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worksheets/sheet19.xml" ContentType="application/vnd.openxmlformats-officedocument.spreadsheetml.worksheet+xml"/>
  <Override PartName="/xl/externalLinks/externalLink10.xml" ContentType="application/vnd.openxmlformats-officedocument.spreadsheetml.externalLink+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Override PartName="/xl/worksheets/sheet16.xml" ContentType="application/vnd.openxmlformats-officedocument.spreadsheetml.worksheet+xml"/>
  <Default Extension="bin" ContentType="application/vnd.openxmlformats-officedocument.spreadsheetml.printerSettings"/>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345" yWindow="-90" windowWidth="20730" windowHeight="8175" tabRatio="877" firstSheet="1" activeTab="10"/>
  </bookViews>
  <sheets>
    <sheet name="pile data ( M30 grade) (2)" sheetId="50" state="hidden" r:id="rId1"/>
    <sheet name="Abstract " sheetId="58" r:id="rId2"/>
    <sheet name="G. Abstract" sheetId="57" r:id="rId3"/>
    <sheet name="pile data " sheetId="32" r:id="rId4"/>
    <sheet name="  Coastal  Elec.Data " sheetId="27" r:id="rId5"/>
    <sheet name="lead  charge" sheetId="4" r:id="rId6"/>
    <sheet name="Elec.Data" sheetId="11" r:id="rId7"/>
    <sheet name="Sliding and french window" sheetId="25" state="hidden" r:id="rId8"/>
    <sheet name="Data" sheetId="1" r:id="rId9"/>
    <sheet name="Sub Data" sheetId="62" state="hidden" r:id="rId10"/>
    <sheet name="station" sheetId="74" r:id="rId11"/>
    <sheet name="main abst" sheetId="75" state="hidden" r:id="rId12"/>
    <sheet name="G. Abstractfinal" sheetId="76" r:id="rId13"/>
    <sheet name="Abs" sheetId="55" r:id="rId14"/>
    <sheet name="paver block (2)" sheetId="86" r:id="rId15"/>
    <sheet name="S.T" sheetId="77" state="hidden" r:id="rId16"/>
    <sheet name="Sump" sheetId="78" state="hidden" r:id="rId17"/>
    <sheet name="Plinth " sheetId="79" state="hidden" r:id="rId18"/>
    <sheet name="CMW" sheetId="80" state="hidden" r:id="rId19"/>
    <sheet name="Sullage" sheetId="81" state="hidden" r:id="rId20"/>
    <sheet name="Paver Block" sheetId="82" state="hidden" r:id="rId21"/>
    <sheet name="CUlvert" sheetId="85" state="hidden" r:id="rId22"/>
    <sheet name="UG Cable" sheetId="84" state="hidden" r:id="rId23"/>
    <sheet name="EX Water" sheetId="83" state="hidden" r:id="rId24"/>
  </sheets>
  <externalReferences>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s>
  <definedNames>
    <definedName name="_xlnm._FilterDatabase" localSheetId="13" hidden="1">Abs!$A$5:$AJ$1067</definedName>
    <definedName name="_xlnm._FilterDatabase" localSheetId="1" hidden="1">'Abstract '!$A$5:$F$1216</definedName>
    <definedName name="aaaaa" localSheetId="21">#REF!</definedName>
    <definedName name="aaaaa" localSheetId="12">#REF!</definedName>
    <definedName name="aaaaa" localSheetId="11">#REF!</definedName>
    <definedName name="aaaaa" localSheetId="14">#REF!</definedName>
    <definedName name="aaaaa">#REF!</definedName>
    <definedName name="ahfk" localSheetId="21">#REF!</definedName>
    <definedName name="ahfk" localSheetId="12">#REF!</definedName>
    <definedName name="ahfk" localSheetId="11">#REF!</definedName>
    <definedName name="ahfk" localSheetId="14">#REF!</definedName>
    <definedName name="ahfk" localSheetId="10">#REF!</definedName>
    <definedName name="ahfk">#REF!</definedName>
    <definedName name="anbu\" localSheetId="21">#REF!</definedName>
    <definedName name="anbu\" localSheetId="12">#REF!</definedName>
    <definedName name="anbu\" localSheetId="11">#REF!</definedName>
    <definedName name="anbu\" localSheetId="14">#REF!</definedName>
    <definedName name="anbu\">#REF!</definedName>
    <definedName name="asdxc" localSheetId="21">#REF!</definedName>
    <definedName name="asdxc">#REF!</definedName>
    <definedName name="asdxfcghj" localSheetId="21">#REF!</definedName>
    <definedName name="asdxfcghj">#REF!</definedName>
    <definedName name="assd" localSheetId="21">#REF!</definedName>
    <definedName name="assd" localSheetId="12">#REF!</definedName>
    <definedName name="assd" localSheetId="11">#REF!</definedName>
    <definedName name="assd" localSheetId="14">#REF!</definedName>
    <definedName name="assd">#REF!</definedName>
    <definedName name="c.data" localSheetId="21">#REF!</definedName>
    <definedName name="c.data" localSheetId="12">#REF!</definedName>
    <definedName name="c.data" localSheetId="11">#REF!</definedName>
    <definedName name="c.data" localSheetId="14">#REF!</definedName>
    <definedName name="c.data">#REF!</definedName>
    <definedName name="dsfd" localSheetId="21">#REF!</definedName>
    <definedName name="dsfd" localSheetId="12">#REF!</definedName>
    <definedName name="dsfd" localSheetId="11">#REF!</definedName>
    <definedName name="dsfd" localSheetId="14">#REF!</definedName>
    <definedName name="dsfd">#REF!</definedName>
    <definedName name="electri" localSheetId="21">#REF!</definedName>
    <definedName name="electri" localSheetId="12">#REF!</definedName>
    <definedName name="electri" localSheetId="11">#REF!</definedName>
    <definedName name="electri" localSheetId="14">#REF!</definedName>
    <definedName name="electri" localSheetId="10">#REF!</definedName>
    <definedName name="electri">#REF!</definedName>
    <definedName name="fhd" localSheetId="21">#REF!</definedName>
    <definedName name="fhd" localSheetId="12">#REF!</definedName>
    <definedName name="fhd" localSheetId="11">#REF!</definedName>
    <definedName name="fhd" localSheetId="14">#REF!</definedName>
    <definedName name="fhd" localSheetId="10">#REF!</definedName>
    <definedName name="fhd">#REF!</definedName>
    <definedName name="fjk" localSheetId="21">#REF!</definedName>
    <definedName name="fjk" localSheetId="12">#REF!</definedName>
    <definedName name="fjk" localSheetId="11">#REF!</definedName>
    <definedName name="fjk" localSheetId="14">#REF!</definedName>
    <definedName name="fjk" localSheetId="10">#REF!</definedName>
    <definedName name="fjk">#REF!</definedName>
    <definedName name="FSEGADRG" localSheetId="21">#REF!</definedName>
    <definedName name="FSEGADRG" localSheetId="12">#REF!</definedName>
    <definedName name="FSEGADRG" localSheetId="11">#REF!</definedName>
    <definedName name="FSEGADRG" localSheetId="14">#REF!</definedName>
    <definedName name="FSEGADRG" localSheetId="10">#REF!</definedName>
    <definedName name="FSEGADRG">#REF!</definedName>
    <definedName name="hia" localSheetId="13">#REF!</definedName>
    <definedName name="hia" localSheetId="1">#REF!</definedName>
    <definedName name="hia" localSheetId="21">#REF!</definedName>
    <definedName name="hia" localSheetId="2">#REF!</definedName>
    <definedName name="hia" localSheetId="12">#REF!</definedName>
    <definedName name="hia" localSheetId="11">#REF!</definedName>
    <definedName name="hia" localSheetId="14">#REF!</definedName>
    <definedName name="hia" localSheetId="0">#REF!</definedName>
    <definedName name="hia" localSheetId="10">#REF!</definedName>
    <definedName name="hia">#REF!</definedName>
    <definedName name="ins" localSheetId="21">#REF!</definedName>
    <definedName name="ins" localSheetId="12">#REF!</definedName>
    <definedName name="ins" localSheetId="11">#REF!</definedName>
    <definedName name="ins" localSheetId="14">#REF!</definedName>
    <definedName name="ins" localSheetId="10">#REF!</definedName>
    <definedName name="ins">#REF!</definedName>
    <definedName name="k404." localSheetId="1">#REF!</definedName>
    <definedName name="k404." localSheetId="21">#REF!</definedName>
    <definedName name="k404." localSheetId="2">#REF!</definedName>
    <definedName name="k404." localSheetId="12">#REF!</definedName>
    <definedName name="k404." localSheetId="11">#REF!</definedName>
    <definedName name="k404." localSheetId="14">#REF!</definedName>
    <definedName name="k404." localSheetId="10">#REF!</definedName>
    <definedName name="k404.">#REF!</definedName>
    <definedName name="P" localSheetId="21">#REF!</definedName>
    <definedName name="P" localSheetId="12">#REF!</definedName>
    <definedName name="P" localSheetId="11">#REF!</definedName>
    <definedName name="P" localSheetId="14">#REF!</definedName>
    <definedName name="P">#REF!</definedName>
    <definedName name="pc" localSheetId="1">#REF!</definedName>
    <definedName name="pc" localSheetId="21">#REF!</definedName>
    <definedName name="pc" localSheetId="2">#REF!</definedName>
    <definedName name="pc" localSheetId="12">#REF!</definedName>
    <definedName name="pc" localSheetId="11">#REF!</definedName>
    <definedName name="pc" localSheetId="14">#REF!</definedName>
    <definedName name="pc" localSheetId="10">#REF!</definedName>
    <definedName name="pc">#REF!</definedName>
    <definedName name="POOMBUHAR" localSheetId="21">#REF!</definedName>
    <definedName name="POOMBUHAR" localSheetId="12">#REF!</definedName>
    <definedName name="POOMBUHAR" localSheetId="11">#REF!</definedName>
    <definedName name="POOMBUHAR" localSheetId="14">#REF!</definedName>
    <definedName name="POOMBUHAR">#REF!</definedName>
    <definedName name="print" localSheetId="13">#REF!</definedName>
    <definedName name="print" localSheetId="1">#REF!</definedName>
    <definedName name="print" localSheetId="21">#REF!</definedName>
    <definedName name="print" localSheetId="2">#REF!</definedName>
    <definedName name="print" localSheetId="12">#REF!</definedName>
    <definedName name="print" localSheetId="11">#REF!</definedName>
    <definedName name="print" localSheetId="14">#REF!</definedName>
    <definedName name="print" localSheetId="0">#REF!</definedName>
    <definedName name="print" localSheetId="10">#REF!</definedName>
    <definedName name="print">#REF!</definedName>
    <definedName name="_xlnm.Print_Area" localSheetId="4">'  Coastal  Elec.Data '!$F$2832:$K$2988</definedName>
    <definedName name="_xlnm.Print_Area" localSheetId="13">Abs!$A$1:$Z$960</definedName>
    <definedName name="_xlnm.Print_Area" localSheetId="1">'Abstract '!$A$1:$F$1026</definedName>
    <definedName name="_xlnm.Print_Area" localSheetId="21">#REF!</definedName>
    <definedName name="_xlnm.Print_Area" localSheetId="8">Data!$F$1:$K$4073</definedName>
    <definedName name="_xlnm.Print_Area" localSheetId="6">Elec.Data!$F$2832:$K$4094</definedName>
    <definedName name="_xlnm.Print_Area" localSheetId="2">'G. Abstract'!$A$1:$F$24</definedName>
    <definedName name="_xlnm.Print_Area" localSheetId="12">'G. Abstractfinal'!$A$1:$F$39</definedName>
    <definedName name="_xlnm.Print_Area" localSheetId="5">'lead  charge'!$A$1:$S$27</definedName>
    <definedName name="_xlnm.Print_Area" localSheetId="11">#REF!</definedName>
    <definedName name="_xlnm.Print_Area" localSheetId="14">#REF!</definedName>
    <definedName name="_xlnm.Print_Area" localSheetId="3">'pile data '!$A$1:$H$162</definedName>
    <definedName name="_xlnm.Print_Area" localSheetId="0">'pile data ( M30 grade) (2)'!$A$1:$H$162</definedName>
    <definedName name="_xlnm.Print_Area" localSheetId="7">'Sliding and french window'!$A$166:$G$241</definedName>
    <definedName name="_xlnm.Print_Area" localSheetId="10">station!$A$1:$J$1520</definedName>
    <definedName name="_xlnm.Print_Area" localSheetId="9">'Sub Data'!$A$1:$F$124</definedName>
    <definedName name="_xlnm.Print_Area">#REF!</definedName>
    <definedName name="Print_Area_MI" localSheetId="4">'  Coastal  Elec.Data '!$F$1:$K$213</definedName>
    <definedName name="PRINT_AREA_MI" localSheetId="1">#REF!</definedName>
    <definedName name="PRINT_AREA_MI" localSheetId="21">#REF!</definedName>
    <definedName name="Print_Area_MI" localSheetId="8">Data!$F$1:$K$211</definedName>
    <definedName name="Print_Area_MI" localSheetId="6">Elec.Data!$F$1:$K$213</definedName>
    <definedName name="PRINT_AREA_MI" localSheetId="2">#REF!</definedName>
    <definedName name="PRINT_AREA_MI" localSheetId="12">#REF!</definedName>
    <definedName name="PRINT_AREA_MI" localSheetId="11">#REF!</definedName>
    <definedName name="PRINT_AREA_MI" localSheetId="14">#REF!</definedName>
    <definedName name="PRINT_AREA_MI" localSheetId="3">#REF!</definedName>
    <definedName name="PRINT_AREA_MI" localSheetId="0">#REF!</definedName>
    <definedName name="PRINT_AREA_MI" localSheetId="10">#REF!</definedName>
    <definedName name="PRINT_AREA_MI">#REF!</definedName>
    <definedName name="Print_Title" localSheetId="21">#REF!</definedName>
    <definedName name="Print_Title" localSheetId="12">#REF!</definedName>
    <definedName name="Print_Title" localSheetId="11">#REF!</definedName>
    <definedName name="Print_Title" localSheetId="14">#REF!</definedName>
    <definedName name="Print_Title">#REF!</definedName>
    <definedName name="_xlnm.Print_Titles" localSheetId="4">#REF!</definedName>
    <definedName name="_xlnm.Print_Titles" localSheetId="13">Abs!$3:$4</definedName>
    <definedName name="_xlnm.Print_Titles" localSheetId="1">'Abstract '!$4:$4</definedName>
    <definedName name="_xlnm.Print_Titles" localSheetId="21">#REF!</definedName>
    <definedName name="_xlnm.Print_Titles" localSheetId="12">#REF!</definedName>
    <definedName name="_xlnm.Print_Titles" localSheetId="11">#REF!</definedName>
    <definedName name="_xlnm.Print_Titles" localSheetId="14">#REF!</definedName>
    <definedName name="_xlnm.Print_Titles" localSheetId="3">#REF!</definedName>
    <definedName name="_xlnm.Print_Titles" localSheetId="0">#REF!</definedName>
    <definedName name="_xlnm.Print_Titles">#REF!</definedName>
    <definedName name="PRINT_TITLES_MI" localSheetId="4">'  Coastal  Elec.Data '!$GJ$7:$IG$7608</definedName>
    <definedName name="PRINT_TITLES_MI" localSheetId="1">#REF!</definedName>
    <definedName name="PRINT_TITLES_MI" localSheetId="21">#REF!</definedName>
    <definedName name="PRINT_TITLES_MI" localSheetId="8">Data!$GJ$5:$IG$7589</definedName>
    <definedName name="PRINT_TITLES_MI" localSheetId="6">Elec.Data!$GJ$7:$IG$7617</definedName>
    <definedName name="PRINT_TITLES_MI" localSheetId="2">#REF!</definedName>
    <definedName name="PRINT_TITLES_MI" localSheetId="12">#REF!</definedName>
    <definedName name="PRINT_TITLES_MI" localSheetId="11">#REF!</definedName>
    <definedName name="PRINT_TITLES_MI" localSheetId="14">#REF!</definedName>
    <definedName name="PRINT_TITLES_MI" localSheetId="3">#REF!</definedName>
    <definedName name="PRINT_TITLES_MI" localSheetId="0">#REF!</definedName>
    <definedName name="PRINT_TITLES_MI" localSheetId="10">#REF!</definedName>
    <definedName name="PRINT_TITLES_MI">#REF!</definedName>
    <definedName name="QQE" localSheetId="21">#REF!</definedName>
    <definedName name="QQE" localSheetId="12">#REF!</definedName>
    <definedName name="QQE" localSheetId="11">#REF!</definedName>
    <definedName name="QQE" localSheetId="14">#REF!</definedName>
    <definedName name="QQE" localSheetId="10">#REF!</definedName>
    <definedName name="QQE">#REF!</definedName>
    <definedName name="QWE" localSheetId="21">#REF!</definedName>
    <definedName name="QWE" localSheetId="12">#REF!</definedName>
    <definedName name="QWE" localSheetId="11">#REF!</definedName>
    <definedName name="QWE" localSheetId="14">#REF!</definedName>
    <definedName name="QWE" localSheetId="10">#REF!</definedName>
    <definedName name="QWE">#REF!</definedName>
    <definedName name="s" localSheetId="21">#REF!</definedName>
    <definedName name="s" localSheetId="12">#REF!</definedName>
    <definedName name="s" localSheetId="11">#REF!</definedName>
    <definedName name="s" localSheetId="14">#REF!</definedName>
    <definedName name="s">#REF!</definedName>
    <definedName name="sdfghj" localSheetId="21">#REF!</definedName>
    <definedName name="sdfghj" localSheetId="12">#REF!</definedName>
    <definedName name="sdfghj" localSheetId="11">#REF!</definedName>
    <definedName name="sdfghj" localSheetId="14">#REF!</definedName>
    <definedName name="sdfghj" localSheetId="10">#REF!</definedName>
    <definedName name="sdfghj">#REF!</definedName>
    <definedName name="tyu" localSheetId="21">#REF!</definedName>
    <definedName name="tyu" localSheetId="12">#REF!</definedName>
    <definedName name="tyu" localSheetId="11">#REF!</definedName>
    <definedName name="tyu" localSheetId="14">#REF!</definedName>
    <definedName name="tyu">#REF!</definedName>
    <definedName name="we" localSheetId="21">#REF!</definedName>
    <definedName name="we" localSheetId="12">#REF!</definedName>
    <definedName name="we" localSheetId="11">#REF!</definedName>
    <definedName name="we" localSheetId="14">#REF!</definedName>
    <definedName name="we">#REF!</definedName>
    <definedName name="Zx" localSheetId="21">#REF!</definedName>
    <definedName name="Zx" localSheetId="12">#REF!</definedName>
    <definedName name="Zx" localSheetId="11">#REF!</definedName>
    <definedName name="Zx" localSheetId="14">#REF!</definedName>
    <definedName name="Zx">#REF!</definedName>
    <definedName name="zxv" localSheetId="21">#REF!</definedName>
    <definedName name="zxv" localSheetId="12">#REF!</definedName>
    <definedName name="zxv" localSheetId="11">#REF!</definedName>
    <definedName name="zxv" localSheetId="14">#REF!</definedName>
    <definedName name="zxv">#REF!</definedName>
  </definedNames>
  <calcPr calcId="124519" fullPrecision="0"/>
</workbook>
</file>

<file path=xl/calcChain.xml><?xml version="1.0" encoding="utf-8"?>
<calcChain xmlns="http://schemas.openxmlformats.org/spreadsheetml/2006/main">
  <c r="K1220" i="74"/>
  <c r="K1219"/>
  <c r="I790"/>
  <c r="I617"/>
  <c r="M379" i="55"/>
  <c r="M364"/>
  <c r="M60"/>
  <c r="M46"/>
  <c r="M39"/>
  <c r="M19"/>
  <c r="H39" i="86"/>
  <c r="H38"/>
  <c r="H40" s="1"/>
  <c r="H41" s="1"/>
  <c r="H33"/>
  <c r="H32"/>
  <c r="H34" s="1"/>
  <c r="H35" s="1"/>
  <c r="H28"/>
  <c r="H27"/>
  <c r="H29" s="1"/>
  <c r="H30" s="1"/>
  <c r="H22"/>
  <c r="H21"/>
  <c r="H23" s="1"/>
  <c r="H24" s="1"/>
  <c r="H16"/>
  <c r="H15"/>
  <c r="H17" s="1"/>
  <c r="H18" s="1"/>
  <c r="H11"/>
  <c r="H10"/>
  <c r="H12" s="1"/>
  <c r="H13" s="1"/>
  <c r="A1"/>
  <c r="F866" i="55" l="1"/>
  <c r="F865"/>
  <c r="C867"/>
  <c r="I1520" i="74"/>
  <c r="E867" i="55" s="1"/>
  <c r="F867" s="1"/>
  <c r="C597"/>
  <c r="I1382" i="74"/>
  <c r="I1383" s="1"/>
  <c r="I1384" s="1"/>
  <c r="E597" i="55" s="1"/>
  <c r="F597" s="1"/>
  <c r="P122" i="1"/>
  <c r="W958" i="55"/>
  <c r="W956"/>
  <c r="Y956" s="1"/>
  <c r="Z956" s="1"/>
  <c r="W954"/>
  <c r="Y954" s="1"/>
  <c r="Z954" s="1"/>
  <c r="W952"/>
  <c r="Y952" s="1"/>
  <c r="Z952" s="1"/>
  <c r="W950"/>
  <c r="Y950" s="1"/>
  <c r="Z950" s="1"/>
  <c r="W948"/>
  <c r="Y948" s="1"/>
  <c r="Z948" s="1"/>
  <c r="W946"/>
  <c r="Y946" s="1"/>
  <c r="Z946" s="1"/>
  <c r="W943"/>
  <c r="Y943" s="1"/>
  <c r="Z943" s="1"/>
  <c r="W942"/>
  <c r="Y942" s="1"/>
  <c r="Z942" s="1"/>
  <c r="W941"/>
  <c r="Y941" s="1"/>
  <c r="Z941" s="1"/>
  <c r="W939"/>
  <c r="Y939" s="1"/>
  <c r="Z939" s="1"/>
  <c r="W938"/>
  <c r="Y938" s="1"/>
  <c r="Z938" s="1"/>
  <c r="W936"/>
  <c r="Y936" s="1"/>
  <c r="Z936" s="1"/>
  <c r="W935"/>
  <c r="Y935" s="1"/>
  <c r="Z935" s="1"/>
  <c r="W933"/>
  <c r="Y933" s="1"/>
  <c r="Z933" s="1"/>
  <c r="W931"/>
  <c r="Y931" s="1"/>
  <c r="Z931" s="1"/>
  <c r="W930"/>
  <c r="Y930" s="1"/>
  <c r="Z930" s="1"/>
  <c r="W928"/>
  <c r="Y928" s="1"/>
  <c r="Z928" s="1"/>
  <c r="W927"/>
  <c r="Y927" s="1"/>
  <c r="Z927" s="1"/>
  <c r="W925"/>
  <c r="Y925" s="1"/>
  <c r="Z925" s="1"/>
  <c r="W924"/>
  <c r="Y924" s="1"/>
  <c r="Z924" s="1"/>
  <c r="W922"/>
  <c r="Y922" s="1"/>
  <c r="Z922" s="1"/>
  <c r="W919"/>
  <c r="Y919" s="1"/>
  <c r="Z919" s="1"/>
  <c r="W917"/>
  <c r="Y917" s="1"/>
  <c r="Z917" s="1"/>
  <c r="W916"/>
  <c r="Y916" s="1"/>
  <c r="Z916" s="1"/>
  <c r="W914"/>
  <c r="Y914" s="1"/>
  <c r="Z914" s="1"/>
  <c r="W901"/>
  <c r="Y901" s="1"/>
  <c r="Z901" s="1"/>
  <c r="W900"/>
  <c r="Y900" s="1"/>
  <c r="Z900" s="1"/>
  <c r="W898"/>
  <c r="Y898" s="1"/>
  <c r="Z898" s="1"/>
  <c r="W896"/>
  <c r="Y896" s="1"/>
  <c r="Z896" s="1"/>
  <c r="W895"/>
  <c r="Y895" s="1"/>
  <c r="Z895" s="1"/>
  <c r="W891"/>
  <c r="Y891" s="1"/>
  <c r="Z891" s="1"/>
  <c r="W890"/>
  <c r="Y890" s="1"/>
  <c r="Z890" s="1"/>
  <c r="W888"/>
  <c r="Y888" s="1"/>
  <c r="Z888" s="1"/>
  <c r="W886"/>
  <c r="Y886" s="1"/>
  <c r="Z886" s="1"/>
  <c r="W884"/>
  <c r="Y884" s="1"/>
  <c r="Z884" s="1"/>
  <c r="W882"/>
  <c r="Y882" s="1"/>
  <c r="Z882" s="1"/>
  <c r="W880"/>
  <c r="Y880" s="1"/>
  <c r="Z880" s="1"/>
  <c r="W878"/>
  <c r="Y878" s="1"/>
  <c r="Z878" s="1"/>
  <c r="W876"/>
  <c r="Y876" s="1"/>
  <c r="Z876" s="1"/>
  <c r="W874"/>
  <c r="Y874" s="1"/>
  <c r="Z874" s="1"/>
  <c r="W872"/>
  <c r="Y872" s="1"/>
  <c r="Z872" s="1"/>
  <c r="W870"/>
  <c r="Y870" s="1"/>
  <c r="Z870" s="1"/>
  <c r="W868"/>
  <c r="Y868" s="1"/>
  <c r="Z868" s="1"/>
  <c r="W866"/>
  <c r="Y866" s="1"/>
  <c r="Z866" s="1"/>
  <c r="W865"/>
  <c r="Y865" s="1"/>
  <c r="Z865" s="1"/>
  <c r="W861"/>
  <c r="W860"/>
  <c r="W859"/>
  <c r="Y859" s="1"/>
  <c r="Z859" s="1"/>
  <c r="W858"/>
  <c r="W857"/>
  <c r="Y857" s="1"/>
  <c r="Z857" s="1"/>
  <c r="W851"/>
  <c r="Y851" s="1"/>
  <c r="Z851" s="1"/>
  <c r="W793"/>
  <c r="W792"/>
  <c r="W791"/>
  <c r="W790"/>
  <c r="W789"/>
  <c r="W788"/>
  <c r="Y788" s="1"/>
  <c r="Z788" s="1"/>
  <c r="W787"/>
  <c r="W786"/>
  <c r="W785"/>
  <c r="Y785" s="1"/>
  <c r="Z785" s="1"/>
  <c r="W782"/>
  <c r="Y782" s="1"/>
  <c r="Z782" s="1"/>
  <c r="W781"/>
  <c r="Y781" s="1"/>
  <c r="W780"/>
  <c r="W779"/>
  <c r="Y779" s="1"/>
  <c r="W778"/>
  <c r="Y778" s="1"/>
  <c r="W777"/>
  <c r="W776"/>
  <c r="W775"/>
  <c r="W774"/>
  <c r="Y774" s="1"/>
  <c r="Z774" s="1"/>
  <c r="W665"/>
  <c r="Y665" s="1"/>
  <c r="W664"/>
  <c r="W663"/>
  <c r="W662"/>
  <c r="Y662" s="1"/>
  <c r="W661"/>
  <c r="Y661" s="1"/>
  <c r="W660"/>
  <c r="Y660" s="1"/>
  <c r="Z660" s="1"/>
  <c r="W659"/>
  <c r="W658"/>
  <c r="Y658" s="1"/>
  <c r="W657"/>
  <c r="W656"/>
  <c r="Y656" s="1"/>
  <c r="Z656" s="1"/>
  <c r="W655"/>
  <c r="Y655" s="1"/>
  <c r="W654"/>
  <c r="Y654" s="1"/>
  <c r="W653"/>
  <c r="W651"/>
  <c r="Y651" s="1"/>
  <c r="W650"/>
  <c r="W649"/>
  <c r="W648"/>
  <c r="W646"/>
  <c r="W639"/>
  <c r="W638"/>
  <c r="Y638" s="1"/>
  <c r="W637"/>
  <c r="W636"/>
  <c r="W635"/>
  <c r="W634"/>
  <c r="Y634" s="1"/>
  <c r="Z634" s="1"/>
  <c r="W629"/>
  <c r="Y629" s="1"/>
  <c r="W627"/>
  <c r="Y627" s="1"/>
  <c r="W626"/>
  <c r="Y626" s="1"/>
  <c r="W625"/>
  <c r="W624"/>
  <c r="Y624" s="1"/>
  <c r="W623"/>
  <c r="Y623" s="1"/>
  <c r="W622"/>
  <c r="W621"/>
  <c r="Y621" s="1"/>
  <c r="W620"/>
  <c r="W619"/>
  <c r="W618"/>
  <c r="W617"/>
  <c r="W616"/>
  <c r="W615"/>
  <c r="W614"/>
  <c r="W613"/>
  <c r="Y613" s="1"/>
  <c r="Z613" s="1"/>
  <c r="W611"/>
  <c r="W610"/>
  <c r="W609"/>
  <c r="W608"/>
  <c r="Y608" s="1"/>
  <c r="Z608" s="1"/>
  <c r="W604"/>
  <c r="W602"/>
  <c r="Y602" s="1"/>
  <c r="W600"/>
  <c r="W598"/>
  <c r="Y598" s="1"/>
  <c r="W596"/>
  <c r="W594"/>
  <c r="Y594" s="1"/>
  <c r="W593"/>
  <c r="W592"/>
  <c r="Y592" s="1"/>
  <c r="W591"/>
  <c r="W565"/>
  <c r="W562"/>
  <c r="Y562" s="1"/>
  <c r="W561"/>
  <c r="Y561" s="1"/>
  <c r="W560"/>
  <c r="Y560" s="1"/>
  <c r="W559"/>
  <c r="Y559" s="1"/>
  <c r="Z559" s="1"/>
  <c r="W558"/>
  <c r="Y558" s="1"/>
  <c r="W557"/>
  <c r="Y557" s="1"/>
  <c r="W556"/>
  <c r="Y556" s="1"/>
  <c r="W555"/>
  <c r="Y555" s="1"/>
  <c r="W554"/>
  <c r="W553"/>
  <c r="W552"/>
  <c r="W551"/>
  <c r="W550"/>
  <c r="Y550" s="1"/>
  <c r="W549"/>
  <c r="Y549" s="1"/>
  <c r="W548"/>
  <c r="Y548" s="1"/>
  <c r="Z548" s="1"/>
  <c r="W547"/>
  <c r="Y547" s="1"/>
  <c r="W546"/>
  <c r="W545"/>
  <c r="Y545" s="1"/>
  <c r="W544"/>
  <c r="Y544" s="1"/>
  <c r="Z544" s="1"/>
  <c r="W543"/>
  <c r="Y543" s="1"/>
  <c r="W542"/>
  <c r="Y542" s="1"/>
  <c r="Z542" s="1"/>
  <c r="W537"/>
  <c r="Y537" s="1"/>
  <c r="W536"/>
  <c r="W527"/>
  <c r="Y527" s="1"/>
  <c r="W525"/>
  <c r="Y525" s="1"/>
  <c r="W524"/>
  <c r="Y524" s="1"/>
  <c r="Z524" s="1"/>
  <c r="W523"/>
  <c r="W516"/>
  <c r="Y516" s="1"/>
  <c r="Z516" s="1"/>
  <c r="W513"/>
  <c r="Y513" s="1"/>
  <c r="W511"/>
  <c r="Y511" s="1"/>
  <c r="W510"/>
  <c r="Y510" s="1"/>
  <c r="W509"/>
  <c r="Y509" s="1"/>
  <c r="W508"/>
  <c r="Y508" s="1"/>
  <c r="W507"/>
  <c r="W506"/>
  <c r="W503"/>
  <c r="Y503" s="1"/>
  <c r="Z503" s="1"/>
  <c r="W502"/>
  <c r="Y502" s="1"/>
  <c r="W501"/>
  <c r="Y501" s="1"/>
  <c r="W500"/>
  <c r="Y500" s="1"/>
  <c r="W499"/>
  <c r="Y499" s="1"/>
  <c r="W498"/>
  <c r="W497"/>
  <c r="W496"/>
  <c r="Y496" s="1"/>
  <c r="Z496" s="1"/>
  <c r="W479"/>
  <c r="Y479" s="1"/>
  <c r="W478"/>
  <c r="Y478" s="1"/>
  <c r="W477"/>
  <c r="Y477" s="1"/>
  <c r="W476"/>
  <c r="W475"/>
  <c r="W473"/>
  <c r="Y473" s="1"/>
  <c r="W472"/>
  <c r="Y472" s="1"/>
  <c r="W471"/>
  <c r="Y471" s="1"/>
  <c r="W470"/>
  <c r="Y470" s="1"/>
  <c r="W469"/>
  <c r="W468"/>
  <c r="W467"/>
  <c r="Y467" s="1"/>
  <c r="W466"/>
  <c r="Y466" s="1"/>
  <c r="Z466" s="1"/>
  <c r="W465"/>
  <c r="Y465" s="1"/>
  <c r="W464"/>
  <c r="W462"/>
  <c r="W457"/>
  <c r="W452"/>
  <c r="W451"/>
  <c r="W450"/>
  <c r="W446"/>
  <c r="W442"/>
  <c r="W441"/>
  <c r="W440"/>
  <c r="Y440" s="1"/>
  <c r="W439"/>
  <c r="W438"/>
  <c r="W437"/>
  <c r="Y437" s="1"/>
  <c r="W436"/>
  <c r="Y436" s="1"/>
  <c r="W435"/>
  <c r="Y435" s="1"/>
  <c r="Z435" s="1"/>
  <c r="W434"/>
  <c r="W433"/>
  <c r="W425"/>
  <c r="Y425" s="1"/>
  <c r="Z425" s="1"/>
  <c r="W411"/>
  <c r="W409"/>
  <c r="Y409" s="1"/>
  <c r="W388"/>
  <c r="W387"/>
  <c r="W386"/>
  <c r="W385"/>
  <c r="W384"/>
  <c r="Y384" s="1"/>
  <c r="Z384" s="1"/>
  <c r="W383"/>
  <c r="Y383" s="1"/>
  <c r="W382"/>
  <c r="W381"/>
  <c r="W380"/>
  <c r="W377"/>
  <c r="W376"/>
  <c r="W375"/>
  <c r="W374"/>
  <c r="W362"/>
  <c r="W354"/>
  <c r="W353"/>
  <c r="W350"/>
  <c r="Y350" s="1"/>
  <c r="Z350" s="1"/>
  <c r="W349"/>
  <c r="W343"/>
  <c r="W329"/>
  <c r="W328"/>
  <c r="W327"/>
  <c r="Y327" s="1"/>
  <c r="W313"/>
  <c r="W312"/>
  <c r="Y312" s="1"/>
  <c r="W297"/>
  <c r="W296"/>
  <c r="W295"/>
  <c r="Y295" s="1"/>
  <c r="Z295" s="1"/>
  <c r="W294"/>
  <c r="Y294" s="1"/>
  <c r="Z294" s="1"/>
  <c r="W293"/>
  <c r="Y293" s="1"/>
  <c r="Z293" s="1"/>
  <c r="W233"/>
  <c r="W222"/>
  <c r="W221"/>
  <c r="W220"/>
  <c r="Y220" s="1"/>
  <c r="Z220" s="1"/>
  <c r="W186"/>
  <c r="W185"/>
  <c r="W184"/>
  <c r="Y184" s="1"/>
  <c r="Z184" s="1"/>
  <c r="W176"/>
  <c r="Y176" s="1"/>
  <c r="W175"/>
  <c r="Y175" s="1"/>
  <c r="W174"/>
  <c r="W173"/>
  <c r="W170"/>
  <c r="Y170" s="1"/>
  <c r="Z170" s="1"/>
  <c r="W126"/>
  <c r="Y126" s="1"/>
  <c r="W125"/>
  <c r="Y125" s="1"/>
  <c r="W124"/>
  <c r="W123"/>
  <c r="W121"/>
  <c r="Y121" s="1"/>
  <c r="Z121" s="1"/>
  <c r="W66"/>
  <c r="Y66" s="1"/>
  <c r="W65"/>
  <c r="Y65" s="1"/>
  <c r="Z65" s="1"/>
  <c r="W64"/>
  <c r="Y64" s="1"/>
  <c r="Z64" s="1"/>
  <c r="W51"/>
  <c r="Y51" s="1"/>
  <c r="W48"/>
  <c r="W47"/>
  <c r="Y47" s="1"/>
  <c r="W43"/>
  <c r="Y43" s="1"/>
  <c r="W25"/>
  <c r="Y25" s="1"/>
  <c r="W23"/>
  <c r="Y23" s="1"/>
  <c r="Z23" s="1"/>
  <c r="W18"/>
  <c r="Y18" s="1"/>
  <c r="Z18" s="1"/>
  <c r="W8"/>
  <c r="Y8" s="1"/>
  <c r="R958"/>
  <c r="R957"/>
  <c r="R956"/>
  <c r="R954"/>
  <c r="R953"/>
  <c r="R952"/>
  <c r="R951"/>
  <c r="R950"/>
  <c r="R948"/>
  <c r="R947"/>
  <c r="R946"/>
  <c r="R945"/>
  <c r="R944"/>
  <c r="R943"/>
  <c r="R942"/>
  <c r="R941"/>
  <c r="R940"/>
  <c r="R939"/>
  <c r="R938"/>
  <c r="R936"/>
  <c r="R935"/>
  <c r="R933"/>
  <c r="R931"/>
  <c r="R930"/>
  <c r="R929"/>
  <c r="R928"/>
  <c r="R927"/>
  <c r="R926"/>
  <c r="R925"/>
  <c r="R924"/>
  <c r="R922"/>
  <c r="R921"/>
  <c r="R920"/>
  <c r="R919"/>
  <c r="R918"/>
  <c r="R917"/>
  <c r="R916"/>
  <c r="R915"/>
  <c r="R914"/>
  <c r="R913"/>
  <c r="R912"/>
  <c r="R911"/>
  <c r="R910"/>
  <c r="R909"/>
  <c r="R908"/>
  <c r="R907"/>
  <c r="R906"/>
  <c r="R905"/>
  <c r="R904"/>
  <c r="R903"/>
  <c r="R902"/>
  <c r="R901"/>
  <c r="R900"/>
  <c r="R899"/>
  <c r="R898"/>
  <c r="R897"/>
  <c r="R896"/>
  <c r="R895"/>
  <c r="R894"/>
  <c r="R893"/>
  <c r="R892"/>
  <c r="R891"/>
  <c r="R890"/>
  <c r="R889"/>
  <c r="R888"/>
  <c r="R887"/>
  <c r="R886"/>
  <c r="R885"/>
  <c r="R884"/>
  <c r="R883"/>
  <c r="R882"/>
  <c r="R881"/>
  <c r="R880"/>
  <c r="R879"/>
  <c r="R878"/>
  <c r="R877"/>
  <c r="R876"/>
  <c r="R875"/>
  <c r="R874"/>
  <c r="R873"/>
  <c r="R872"/>
  <c r="R871"/>
  <c r="R870"/>
  <c r="R869"/>
  <c r="R868"/>
  <c r="R866"/>
  <c r="R865"/>
  <c r="R861"/>
  <c r="R860"/>
  <c r="R859"/>
  <c r="R858"/>
  <c r="R857"/>
  <c r="R851"/>
  <c r="R790"/>
  <c r="R789"/>
  <c r="R788"/>
  <c r="R787"/>
  <c r="R786"/>
  <c r="R785"/>
  <c r="R782"/>
  <c r="R774"/>
  <c r="R660"/>
  <c r="R656"/>
  <c r="R634"/>
  <c r="R613"/>
  <c r="R608"/>
  <c r="R559"/>
  <c r="R554"/>
  <c r="R548"/>
  <c r="R544"/>
  <c r="R542"/>
  <c r="R524"/>
  <c r="R516"/>
  <c r="R503"/>
  <c r="R496"/>
  <c r="R473"/>
  <c r="R467"/>
  <c r="R466"/>
  <c r="R462"/>
  <c r="R435"/>
  <c r="R425"/>
  <c r="R384"/>
  <c r="R362"/>
  <c r="R350"/>
  <c r="R295"/>
  <c r="R294"/>
  <c r="R293"/>
  <c r="R220"/>
  <c r="R184"/>
  <c r="R170"/>
  <c r="R121"/>
  <c r="R65"/>
  <c r="R64"/>
  <c r="R23"/>
  <c r="R18"/>
  <c r="Q342"/>
  <c r="Q347"/>
  <c r="Q652"/>
  <c r="Q599"/>
  <c r="Q520"/>
  <c r="Q518"/>
  <c r="W518" s="1"/>
  <c r="Q517"/>
  <c r="Q504"/>
  <c r="Q514"/>
  <c r="W514" s="1"/>
  <c r="Y514" s="1"/>
  <c r="Q49"/>
  <c r="Q19"/>
  <c r="W46"/>
  <c r="Y46" s="1"/>
  <c r="W60"/>
  <c r="Y60" s="1"/>
  <c r="W364"/>
  <c r="W379"/>
  <c r="Y379" s="1"/>
  <c r="G47" i="85"/>
  <c r="H36"/>
  <c r="G37" s="1"/>
  <c r="H46"/>
  <c r="E46"/>
  <c r="G44"/>
  <c r="H40"/>
  <c r="H39"/>
  <c r="H35"/>
  <c r="H34"/>
  <c r="H33"/>
  <c r="H32"/>
  <c r="H25"/>
  <c r="H26" s="1"/>
  <c r="G27" s="1"/>
  <c r="H21"/>
  <c r="H12"/>
  <c r="H17"/>
  <c r="H16"/>
  <c r="H15"/>
  <c r="H9"/>
  <c r="G10" s="1"/>
  <c r="H6"/>
  <c r="G7" s="1"/>
  <c r="G50"/>
  <c r="G22"/>
  <c r="G13"/>
  <c r="H49"/>
  <c r="H29"/>
  <c r="G30" s="1"/>
  <c r="A1"/>
  <c r="I159" i="74"/>
  <c r="I161"/>
  <c r="I160"/>
  <c r="I89"/>
  <c r="I88"/>
  <c r="I87"/>
  <c r="I86"/>
  <c r="I85"/>
  <c r="I83"/>
  <c r="I82"/>
  <c r="I81"/>
  <c r="I484"/>
  <c r="I483"/>
  <c r="I482"/>
  <c r="I481"/>
  <c r="I480"/>
  <c r="I479"/>
  <c r="I478"/>
  <c r="I477"/>
  <c r="I476"/>
  <c r="I474"/>
  <c r="I473"/>
  <c r="I472"/>
  <c r="M471"/>
  <c r="I471"/>
  <c r="L471" s="1"/>
  <c r="I21"/>
  <c r="F120" i="62"/>
  <c r="F119"/>
  <c r="F118"/>
  <c r="F117"/>
  <c r="F115"/>
  <c r="D107"/>
  <c r="F107" s="1"/>
  <c r="F111" s="1"/>
  <c r="C46" i="55" s="1"/>
  <c r="F579"/>
  <c r="H579"/>
  <c r="J579"/>
  <c r="L579"/>
  <c r="N579"/>
  <c r="P579"/>
  <c r="T579"/>
  <c r="V579"/>
  <c r="W579"/>
  <c r="Y579" s="1"/>
  <c r="Z579" s="1"/>
  <c r="C580"/>
  <c r="H580" s="1"/>
  <c r="W580"/>
  <c r="Y580" s="1"/>
  <c r="C581"/>
  <c r="F581" s="1"/>
  <c r="W581"/>
  <c r="Y581" s="1"/>
  <c r="C582"/>
  <c r="H582" s="1"/>
  <c r="W582"/>
  <c r="F573"/>
  <c r="H573"/>
  <c r="J573"/>
  <c r="L573"/>
  <c r="N573"/>
  <c r="P573"/>
  <c r="T573"/>
  <c r="V573"/>
  <c r="W573"/>
  <c r="Y573" s="1"/>
  <c r="Z573" s="1"/>
  <c r="C574"/>
  <c r="H574" s="1"/>
  <c r="W574"/>
  <c r="Y574" s="1"/>
  <c r="C575"/>
  <c r="J575" s="1"/>
  <c r="W575"/>
  <c r="Y575" s="1"/>
  <c r="G474"/>
  <c r="W474" s="1"/>
  <c r="E616"/>
  <c r="Y616" s="1"/>
  <c r="W847"/>
  <c r="Y847" s="1"/>
  <c r="W818"/>
  <c r="Y818" s="1"/>
  <c r="W817"/>
  <c r="Y817" s="1"/>
  <c r="W816"/>
  <c r="Y816" s="1"/>
  <c r="W815"/>
  <c r="Y815" s="1"/>
  <c r="W814"/>
  <c r="Y814" s="1"/>
  <c r="W812"/>
  <c r="Y812" s="1"/>
  <c r="W811"/>
  <c r="Y811" s="1"/>
  <c r="W810"/>
  <c r="Y810" s="1"/>
  <c r="W809"/>
  <c r="Y809" s="1"/>
  <c r="W808"/>
  <c r="Y808" s="1"/>
  <c r="W807"/>
  <c r="Y807" s="1"/>
  <c r="W806"/>
  <c r="Y806" s="1"/>
  <c r="W805"/>
  <c r="Y805" s="1"/>
  <c r="W804"/>
  <c r="Y804" s="1"/>
  <c r="W803"/>
  <c r="Y803" s="1"/>
  <c r="W802"/>
  <c r="Y802" s="1"/>
  <c r="W773"/>
  <c r="Y773" s="1"/>
  <c r="W772"/>
  <c r="Y772" s="1"/>
  <c r="W771"/>
  <c r="Y771" s="1"/>
  <c r="W770"/>
  <c r="Y770" s="1"/>
  <c r="W769"/>
  <c r="Y769" s="1"/>
  <c r="W768"/>
  <c r="Y768" s="1"/>
  <c r="W767"/>
  <c r="Y767" s="1"/>
  <c r="W766"/>
  <c r="Y766" s="1"/>
  <c r="W765"/>
  <c r="Y765" s="1"/>
  <c r="W764"/>
  <c r="Y764" s="1"/>
  <c r="W763"/>
  <c r="Y763" s="1"/>
  <c r="W762"/>
  <c r="Y762" s="1"/>
  <c r="W761"/>
  <c r="Y761" s="1"/>
  <c r="W760"/>
  <c r="Y760" s="1"/>
  <c r="W759"/>
  <c r="Y759" s="1"/>
  <c r="W758"/>
  <c r="Y758" s="1"/>
  <c r="W757"/>
  <c r="Y757" s="1"/>
  <c r="W756"/>
  <c r="Y756" s="1"/>
  <c r="W755"/>
  <c r="Y755" s="1"/>
  <c r="W754"/>
  <c r="Y754" s="1"/>
  <c r="W753"/>
  <c r="Y753" s="1"/>
  <c r="W752"/>
  <c r="Y752" s="1"/>
  <c r="W751"/>
  <c r="Y751" s="1"/>
  <c r="W750"/>
  <c r="Y750" s="1"/>
  <c r="W749"/>
  <c r="Y749" s="1"/>
  <c r="W748"/>
  <c r="Y748" s="1"/>
  <c r="W747"/>
  <c r="Y747" s="1"/>
  <c r="W746"/>
  <c r="Y746" s="1"/>
  <c r="W744"/>
  <c r="Y744" s="1"/>
  <c r="W743"/>
  <c r="Y743" s="1"/>
  <c r="W742"/>
  <c r="Y742" s="1"/>
  <c r="W741"/>
  <c r="Y741" s="1"/>
  <c r="W740"/>
  <c r="Y740" s="1"/>
  <c r="W739"/>
  <c r="Y739" s="1"/>
  <c r="W732"/>
  <c r="Y732" s="1"/>
  <c r="W729"/>
  <c r="Y729" s="1"/>
  <c r="W728"/>
  <c r="Y728" s="1"/>
  <c r="W727"/>
  <c r="Y727" s="1"/>
  <c r="W726"/>
  <c r="Y726" s="1"/>
  <c r="W725"/>
  <c r="Y725" s="1"/>
  <c r="W724"/>
  <c r="Y724" s="1"/>
  <c r="W723"/>
  <c r="Y723" s="1"/>
  <c r="W722"/>
  <c r="Y722" s="1"/>
  <c r="W721"/>
  <c r="Y721" s="1"/>
  <c r="W720"/>
  <c r="Y720" s="1"/>
  <c r="W719"/>
  <c r="Y719" s="1"/>
  <c r="W718"/>
  <c r="Y718" s="1"/>
  <c r="W717"/>
  <c r="Y717" s="1"/>
  <c r="W716"/>
  <c r="Y716" s="1"/>
  <c r="W715"/>
  <c r="Y715" s="1"/>
  <c r="W714"/>
  <c r="Y714" s="1"/>
  <c r="W713"/>
  <c r="Y713" s="1"/>
  <c r="W712"/>
  <c r="Y712" s="1"/>
  <c r="W711"/>
  <c r="Y711" s="1"/>
  <c r="W710"/>
  <c r="Y710" s="1"/>
  <c r="W694"/>
  <c r="Y694" s="1"/>
  <c r="W690"/>
  <c r="Y690" s="1"/>
  <c r="W689"/>
  <c r="Y689" s="1"/>
  <c r="W688"/>
  <c r="Y688" s="1"/>
  <c r="W687"/>
  <c r="Y687" s="1"/>
  <c r="W686"/>
  <c r="Y686" s="1"/>
  <c r="W685"/>
  <c r="Y685" s="1"/>
  <c r="W684"/>
  <c r="Y684" s="1"/>
  <c r="W683"/>
  <c r="Y683" s="1"/>
  <c r="W682"/>
  <c r="Y682" s="1"/>
  <c r="W681"/>
  <c r="Y681" s="1"/>
  <c r="W680"/>
  <c r="Y680" s="1"/>
  <c r="W679"/>
  <c r="Y679" s="1"/>
  <c r="W678"/>
  <c r="Y678" s="1"/>
  <c r="W677"/>
  <c r="Y677" s="1"/>
  <c r="W676"/>
  <c r="Y676" s="1"/>
  <c r="W675"/>
  <c r="Y675" s="1"/>
  <c r="W674"/>
  <c r="Y674" s="1"/>
  <c r="W673"/>
  <c r="Y673" s="1"/>
  <c r="W672"/>
  <c r="Y672" s="1"/>
  <c r="W671"/>
  <c r="Y671" s="1"/>
  <c r="W670"/>
  <c r="Y670" s="1"/>
  <c r="W669"/>
  <c r="Y669" s="1"/>
  <c r="W668"/>
  <c r="Y668" s="1"/>
  <c r="W667"/>
  <c r="Y667" s="1"/>
  <c r="W666"/>
  <c r="Y666" s="1"/>
  <c r="W645"/>
  <c r="Y645" s="1"/>
  <c r="W644"/>
  <c r="Y644" s="1"/>
  <c r="W643"/>
  <c r="Y643" s="1"/>
  <c r="W642"/>
  <c r="Y642" s="1"/>
  <c r="W641"/>
  <c r="Y641" s="1"/>
  <c r="W640"/>
  <c r="Y640" s="1"/>
  <c r="W633"/>
  <c r="Y633" s="1"/>
  <c r="W632"/>
  <c r="Y632" s="1"/>
  <c r="W631"/>
  <c r="Y631" s="1"/>
  <c r="W630"/>
  <c r="Y630" s="1"/>
  <c r="W576"/>
  <c r="Y576" s="1"/>
  <c r="W495"/>
  <c r="Y495" s="1"/>
  <c r="W494"/>
  <c r="Y494" s="1"/>
  <c r="W493"/>
  <c r="Y493" s="1"/>
  <c r="W492"/>
  <c r="Y492" s="1"/>
  <c r="W491"/>
  <c r="Y491" s="1"/>
  <c r="W490"/>
  <c r="Y490" s="1"/>
  <c r="W432"/>
  <c r="Y432" s="1"/>
  <c r="W431"/>
  <c r="Y431" s="1"/>
  <c r="W430"/>
  <c r="Y430" s="1"/>
  <c r="W429"/>
  <c r="Y429" s="1"/>
  <c r="W428"/>
  <c r="Y428" s="1"/>
  <c r="W427"/>
  <c r="Y427" s="1"/>
  <c r="W426"/>
  <c r="Y426" s="1"/>
  <c r="W223"/>
  <c r="Y223" s="1"/>
  <c r="W193"/>
  <c r="Y193" s="1"/>
  <c r="W192"/>
  <c r="Y192" s="1"/>
  <c r="W191"/>
  <c r="Y191" s="1"/>
  <c r="W190"/>
  <c r="Y190" s="1"/>
  <c r="W189"/>
  <c r="Y189" s="1"/>
  <c r="W188"/>
  <c r="Y188" s="1"/>
  <c r="W187"/>
  <c r="Y187" s="1"/>
  <c r="W183"/>
  <c r="Y183" s="1"/>
  <c r="W182"/>
  <c r="Y182" s="1"/>
  <c r="W181"/>
  <c r="Y181" s="1"/>
  <c r="W180"/>
  <c r="Y180" s="1"/>
  <c r="W179"/>
  <c r="Y179" s="1"/>
  <c r="W178"/>
  <c r="Y178" s="1"/>
  <c r="W177"/>
  <c r="Y177" s="1"/>
  <c r="W169"/>
  <c r="Y169" s="1"/>
  <c r="W168"/>
  <c r="Y168" s="1"/>
  <c r="W167"/>
  <c r="Y167" s="1"/>
  <c r="W166"/>
  <c r="Y166" s="1"/>
  <c r="W165"/>
  <c r="Y165" s="1"/>
  <c r="W164"/>
  <c r="Y164" s="1"/>
  <c r="W163"/>
  <c r="Y163" s="1"/>
  <c r="W162"/>
  <c r="Y162" s="1"/>
  <c r="W161"/>
  <c r="Y161" s="1"/>
  <c r="W160"/>
  <c r="Y160" s="1"/>
  <c r="W159"/>
  <c r="Y159" s="1"/>
  <c r="W158"/>
  <c r="Y158" s="1"/>
  <c r="W157"/>
  <c r="Y157" s="1"/>
  <c r="W156"/>
  <c r="Y156" s="1"/>
  <c r="W155"/>
  <c r="Y155" s="1"/>
  <c r="W154"/>
  <c r="Y154" s="1"/>
  <c r="W153"/>
  <c r="Y153" s="1"/>
  <c r="W152"/>
  <c r="Y152" s="1"/>
  <c r="W151"/>
  <c r="Y151" s="1"/>
  <c r="W150"/>
  <c r="Y150" s="1"/>
  <c r="W149"/>
  <c r="Y149" s="1"/>
  <c r="W148"/>
  <c r="Y148" s="1"/>
  <c r="W147"/>
  <c r="Y147" s="1"/>
  <c r="W146"/>
  <c r="Y146" s="1"/>
  <c r="W145"/>
  <c r="Y145" s="1"/>
  <c r="W144"/>
  <c r="Y144" s="1"/>
  <c r="W143"/>
  <c r="Y143" s="1"/>
  <c r="W142"/>
  <c r="Y142" s="1"/>
  <c r="W141"/>
  <c r="Y141" s="1"/>
  <c r="W140"/>
  <c r="Y140" s="1"/>
  <c r="W139"/>
  <c r="Y139" s="1"/>
  <c r="W138"/>
  <c r="Y138" s="1"/>
  <c r="W137"/>
  <c r="Y137" s="1"/>
  <c r="W136"/>
  <c r="Y136" s="1"/>
  <c r="W135"/>
  <c r="Y135" s="1"/>
  <c r="W134"/>
  <c r="Y134" s="1"/>
  <c r="W133"/>
  <c r="Y133" s="1"/>
  <c r="W132"/>
  <c r="Y132" s="1"/>
  <c r="W131"/>
  <c r="Y131" s="1"/>
  <c r="W130"/>
  <c r="Y130" s="1"/>
  <c r="W129"/>
  <c r="Y129" s="1"/>
  <c r="W128"/>
  <c r="Y128" s="1"/>
  <c r="W127"/>
  <c r="Y127" s="1"/>
  <c r="W120"/>
  <c r="Y120" s="1"/>
  <c r="W119"/>
  <c r="Y119" s="1"/>
  <c r="W118"/>
  <c r="Y118" s="1"/>
  <c r="W117"/>
  <c r="Y117" s="1"/>
  <c r="W116"/>
  <c r="Y116" s="1"/>
  <c r="W115"/>
  <c r="Y115" s="1"/>
  <c r="W114"/>
  <c r="Y114" s="1"/>
  <c r="W113"/>
  <c r="Y113" s="1"/>
  <c r="W112"/>
  <c r="Y112" s="1"/>
  <c r="W111"/>
  <c r="Y111" s="1"/>
  <c r="W110"/>
  <c r="Y110" s="1"/>
  <c r="W109"/>
  <c r="Y109" s="1"/>
  <c r="W108"/>
  <c r="Y108" s="1"/>
  <c r="W107"/>
  <c r="Y107" s="1"/>
  <c r="W106"/>
  <c r="Y106" s="1"/>
  <c r="W105"/>
  <c r="Y105" s="1"/>
  <c r="W104"/>
  <c r="Y104" s="1"/>
  <c r="W103"/>
  <c r="Y103" s="1"/>
  <c r="W102"/>
  <c r="Y102" s="1"/>
  <c r="W101"/>
  <c r="Y101" s="1"/>
  <c r="W100"/>
  <c r="Y100" s="1"/>
  <c r="W99"/>
  <c r="Y99" s="1"/>
  <c r="W98"/>
  <c r="Y98" s="1"/>
  <c r="W97"/>
  <c r="Y97" s="1"/>
  <c r="W96"/>
  <c r="Y96" s="1"/>
  <c r="W95"/>
  <c r="Y95" s="1"/>
  <c r="W94"/>
  <c r="Y94" s="1"/>
  <c r="W62"/>
  <c r="Y62" s="1"/>
  <c r="W61"/>
  <c r="Y61" s="1"/>
  <c r="W42"/>
  <c r="Y42" s="1"/>
  <c r="W41"/>
  <c r="Y41" s="1"/>
  <c r="W40"/>
  <c r="Y40" s="1"/>
  <c r="V958"/>
  <c r="V957"/>
  <c r="V956"/>
  <c r="V954"/>
  <c r="V953"/>
  <c r="V952"/>
  <c r="V951"/>
  <c r="V950"/>
  <c r="V948"/>
  <c r="V947"/>
  <c r="V946"/>
  <c r="V945"/>
  <c r="V944"/>
  <c r="V943"/>
  <c r="V942"/>
  <c r="V941"/>
  <c r="V940"/>
  <c r="V939"/>
  <c r="V938"/>
  <c r="V936"/>
  <c r="V935"/>
  <c r="V933"/>
  <c r="V931"/>
  <c r="V930"/>
  <c r="V929"/>
  <c r="V928"/>
  <c r="V927"/>
  <c r="V926"/>
  <c r="V925"/>
  <c r="V924"/>
  <c r="V922"/>
  <c r="V919"/>
  <c r="V917"/>
  <c r="V916"/>
  <c r="V914"/>
  <c r="V901"/>
  <c r="V900"/>
  <c r="V898"/>
  <c r="V896"/>
  <c r="V895"/>
  <c r="V891"/>
  <c r="V890"/>
  <c r="V888"/>
  <c r="V886"/>
  <c r="V884"/>
  <c r="V882"/>
  <c r="V880"/>
  <c r="V878"/>
  <c r="V876"/>
  <c r="V874"/>
  <c r="V872"/>
  <c r="V870"/>
  <c r="V868"/>
  <c r="V866"/>
  <c r="V865"/>
  <c r="V861"/>
  <c r="V860"/>
  <c r="V859"/>
  <c r="V858"/>
  <c r="V857"/>
  <c r="V851"/>
  <c r="V847"/>
  <c r="V814"/>
  <c r="V802"/>
  <c r="V790"/>
  <c r="V789"/>
  <c r="V788"/>
  <c r="V787"/>
  <c r="V786"/>
  <c r="V785"/>
  <c r="V782"/>
  <c r="V774"/>
  <c r="V773"/>
  <c r="V772"/>
  <c r="V771"/>
  <c r="V763"/>
  <c r="V760"/>
  <c r="V754"/>
  <c r="V749"/>
  <c r="V744"/>
  <c r="V732"/>
  <c r="V729"/>
  <c r="V728"/>
  <c r="V727"/>
  <c r="V726"/>
  <c r="V725"/>
  <c r="V724"/>
  <c r="V723"/>
  <c r="V722"/>
  <c r="V721"/>
  <c r="V720"/>
  <c r="V719"/>
  <c r="V718"/>
  <c r="V717"/>
  <c r="V716"/>
  <c r="V715"/>
  <c r="V714"/>
  <c r="V713"/>
  <c r="V712"/>
  <c r="V711"/>
  <c r="V710"/>
  <c r="V694"/>
  <c r="V690"/>
  <c r="V689"/>
  <c r="V688"/>
  <c r="V687"/>
  <c r="V686"/>
  <c r="V685"/>
  <c r="V684"/>
  <c r="V683"/>
  <c r="V682"/>
  <c r="V681"/>
  <c r="V680"/>
  <c r="V679"/>
  <c r="V678"/>
  <c r="V677"/>
  <c r="V676"/>
  <c r="V675"/>
  <c r="V674"/>
  <c r="V666"/>
  <c r="V660"/>
  <c r="V656"/>
  <c r="V641"/>
  <c r="V634"/>
  <c r="V630"/>
  <c r="V613"/>
  <c r="V608"/>
  <c r="V559"/>
  <c r="V554"/>
  <c r="V548"/>
  <c r="V544"/>
  <c r="V542"/>
  <c r="V524"/>
  <c r="V516"/>
  <c r="V503"/>
  <c r="V496"/>
  <c r="V490"/>
  <c r="V466"/>
  <c r="V462"/>
  <c r="V435"/>
  <c r="V427"/>
  <c r="V425"/>
  <c r="V384"/>
  <c r="V362"/>
  <c r="V350"/>
  <c r="V295"/>
  <c r="V294"/>
  <c r="V293"/>
  <c r="V220"/>
  <c r="V190"/>
  <c r="V184"/>
  <c r="V183"/>
  <c r="V182"/>
  <c r="V181"/>
  <c r="V180"/>
  <c r="V179"/>
  <c r="V178"/>
  <c r="V177"/>
  <c r="V170"/>
  <c r="V169"/>
  <c r="V168"/>
  <c r="V167"/>
  <c r="V166"/>
  <c r="V165"/>
  <c r="V164"/>
  <c r="V163"/>
  <c r="V162"/>
  <c r="V161"/>
  <c r="V160"/>
  <c r="V159"/>
  <c r="V158"/>
  <c r="V157"/>
  <c r="V156"/>
  <c r="V140"/>
  <c r="V133"/>
  <c r="V132"/>
  <c r="V131"/>
  <c r="V130"/>
  <c r="V129"/>
  <c r="V128"/>
  <c r="V127"/>
  <c r="V121"/>
  <c r="V120"/>
  <c r="V119"/>
  <c r="V118"/>
  <c r="V117"/>
  <c r="V116"/>
  <c r="V115"/>
  <c r="V114"/>
  <c r="V113"/>
  <c r="V112"/>
  <c r="V111"/>
  <c r="V110"/>
  <c r="V109"/>
  <c r="V94"/>
  <c r="V65"/>
  <c r="V64"/>
  <c r="V62"/>
  <c r="V61"/>
  <c r="V23"/>
  <c r="V18"/>
  <c r="T958"/>
  <c r="T956"/>
  <c r="T954"/>
  <c r="T952"/>
  <c r="T950"/>
  <c r="T948"/>
  <c r="T946"/>
  <c r="T943"/>
  <c r="T942"/>
  <c r="T941"/>
  <c r="T939"/>
  <c r="T938"/>
  <c r="T936"/>
  <c r="T935"/>
  <c r="T933"/>
  <c r="T931"/>
  <c r="T930"/>
  <c r="T928"/>
  <c r="T927"/>
  <c r="T925"/>
  <c r="T924"/>
  <c r="T922"/>
  <c r="T921"/>
  <c r="T920"/>
  <c r="T919"/>
  <c r="T918"/>
  <c r="T917"/>
  <c r="T916"/>
  <c r="T915"/>
  <c r="T914"/>
  <c r="T913"/>
  <c r="T912"/>
  <c r="T911"/>
  <c r="T910"/>
  <c r="T909"/>
  <c r="T908"/>
  <c r="T907"/>
  <c r="T906"/>
  <c r="T905"/>
  <c r="T904"/>
  <c r="T903"/>
  <c r="T902"/>
  <c r="T901"/>
  <c r="T900"/>
  <c r="T899"/>
  <c r="T898"/>
  <c r="T897"/>
  <c r="T896"/>
  <c r="T895"/>
  <c r="T894"/>
  <c r="T893"/>
  <c r="T892"/>
  <c r="T891"/>
  <c r="T890"/>
  <c r="T889"/>
  <c r="T888"/>
  <c r="T887"/>
  <c r="T886"/>
  <c r="T885"/>
  <c r="T884"/>
  <c r="T883"/>
  <c r="T882"/>
  <c r="T881"/>
  <c r="T880"/>
  <c r="T879"/>
  <c r="T878"/>
  <c r="T877"/>
  <c r="T876"/>
  <c r="T875"/>
  <c r="T874"/>
  <c r="T873"/>
  <c r="T872"/>
  <c r="T871"/>
  <c r="T870"/>
  <c r="T869"/>
  <c r="T868"/>
  <c r="T866"/>
  <c r="T865"/>
  <c r="T861"/>
  <c r="T860"/>
  <c r="T859"/>
  <c r="T858"/>
  <c r="T857"/>
  <c r="T851"/>
  <c r="T847"/>
  <c r="T814"/>
  <c r="T802"/>
  <c r="T790"/>
  <c r="T789"/>
  <c r="T788"/>
  <c r="T787"/>
  <c r="T786"/>
  <c r="T785"/>
  <c r="T782"/>
  <c r="T774"/>
  <c r="T773"/>
  <c r="T772"/>
  <c r="T771"/>
  <c r="T763"/>
  <c r="T760"/>
  <c r="T754"/>
  <c r="T749"/>
  <c r="T744"/>
  <c r="T732"/>
  <c r="T729"/>
  <c r="T728"/>
  <c r="T727"/>
  <c r="T726"/>
  <c r="T725"/>
  <c r="T724"/>
  <c r="T723"/>
  <c r="T722"/>
  <c r="T721"/>
  <c r="T720"/>
  <c r="T719"/>
  <c r="T718"/>
  <c r="T717"/>
  <c r="T716"/>
  <c r="T715"/>
  <c r="T714"/>
  <c r="T713"/>
  <c r="T712"/>
  <c r="T711"/>
  <c r="T710"/>
  <c r="T694"/>
  <c r="T690"/>
  <c r="T689"/>
  <c r="T688"/>
  <c r="T687"/>
  <c r="T686"/>
  <c r="T685"/>
  <c r="T684"/>
  <c r="T683"/>
  <c r="T682"/>
  <c r="T681"/>
  <c r="T680"/>
  <c r="T679"/>
  <c r="T678"/>
  <c r="T677"/>
  <c r="T676"/>
  <c r="T675"/>
  <c r="T674"/>
  <c r="T666"/>
  <c r="T660"/>
  <c r="T656"/>
  <c r="T641"/>
  <c r="T634"/>
  <c r="T630"/>
  <c r="T613"/>
  <c r="T608"/>
  <c r="T559"/>
  <c r="T554"/>
  <c r="T548"/>
  <c r="T544"/>
  <c r="T542"/>
  <c r="T524"/>
  <c r="T516"/>
  <c r="T503"/>
  <c r="T496"/>
  <c r="T490"/>
  <c r="T466"/>
  <c r="T462"/>
  <c r="T435"/>
  <c r="T427"/>
  <c r="T425"/>
  <c r="T384"/>
  <c r="T362"/>
  <c r="T350"/>
  <c r="T295"/>
  <c r="T294"/>
  <c r="T293"/>
  <c r="T220"/>
  <c r="T190"/>
  <c r="T184"/>
  <c r="T183"/>
  <c r="T182"/>
  <c r="T181"/>
  <c r="T180"/>
  <c r="T179"/>
  <c r="T178"/>
  <c r="T177"/>
  <c r="T170"/>
  <c r="T169"/>
  <c r="T168"/>
  <c r="T167"/>
  <c r="T166"/>
  <c r="T165"/>
  <c r="T164"/>
  <c r="T163"/>
  <c r="T162"/>
  <c r="T161"/>
  <c r="T160"/>
  <c r="T159"/>
  <c r="T158"/>
  <c r="T157"/>
  <c r="T156"/>
  <c r="T140"/>
  <c r="T133"/>
  <c r="T132"/>
  <c r="T131"/>
  <c r="T130"/>
  <c r="T129"/>
  <c r="T128"/>
  <c r="T127"/>
  <c r="T121"/>
  <c r="T120"/>
  <c r="T119"/>
  <c r="T118"/>
  <c r="T117"/>
  <c r="T116"/>
  <c r="T115"/>
  <c r="T114"/>
  <c r="T113"/>
  <c r="T112"/>
  <c r="T111"/>
  <c r="T110"/>
  <c r="T109"/>
  <c r="T94"/>
  <c r="T65"/>
  <c r="T64"/>
  <c r="T62"/>
  <c r="T61"/>
  <c r="T23"/>
  <c r="T18"/>
  <c r="P958"/>
  <c r="P957"/>
  <c r="P956"/>
  <c r="P954"/>
  <c r="P953"/>
  <c r="P952"/>
  <c r="P951"/>
  <c r="P950"/>
  <c r="P948"/>
  <c r="P947"/>
  <c r="P946"/>
  <c r="P945"/>
  <c r="P944"/>
  <c r="P943"/>
  <c r="P942"/>
  <c r="P941"/>
  <c r="P940"/>
  <c r="P939"/>
  <c r="P938"/>
  <c r="P936"/>
  <c r="P935"/>
  <c r="P933"/>
  <c r="P931"/>
  <c r="P930"/>
  <c r="P929"/>
  <c r="P928"/>
  <c r="P927"/>
  <c r="P926"/>
  <c r="P925"/>
  <c r="P924"/>
  <c r="P922"/>
  <c r="P921"/>
  <c r="P920"/>
  <c r="P919"/>
  <c r="P918"/>
  <c r="P917"/>
  <c r="P916"/>
  <c r="P915"/>
  <c r="P914"/>
  <c r="P913"/>
  <c r="P912"/>
  <c r="P911"/>
  <c r="P910"/>
  <c r="P909"/>
  <c r="P908"/>
  <c r="P907"/>
  <c r="P906"/>
  <c r="P905"/>
  <c r="P904"/>
  <c r="P903"/>
  <c r="P902"/>
  <c r="P901"/>
  <c r="P900"/>
  <c r="P899"/>
  <c r="P898"/>
  <c r="P897"/>
  <c r="P896"/>
  <c r="P895"/>
  <c r="P894"/>
  <c r="P893"/>
  <c r="P892"/>
  <c r="P891"/>
  <c r="P890"/>
  <c r="P889"/>
  <c r="P888"/>
  <c r="P887"/>
  <c r="P886"/>
  <c r="P885"/>
  <c r="P884"/>
  <c r="P883"/>
  <c r="P882"/>
  <c r="P881"/>
  <c r="P880"/>
  <c r="P879"/>
  <c r="P878"/>
  <c r="P877"/>
  <c r="P876"/>
  <c r="P875"/>
  <c r="P874"/>
  <c r="P873"/>
  <c r="P872"/>
  <c r="P871"/>
  <c r="P870"/>
  <c r="P869"/>
  <c r="P868"/>
  <c r="P866"/>
  <c r="P865"/>
  <c r="P861"/>
  <c r="P860"/>
  <c r="P859"/>
  <c r="P858"/>
  <c r="P857"/>
  <c r="P851"/>
  <c r="P847"/>
  <c r="P814"/>
  <c r="P802"/>
  <c r="P790"/>
  <c r="P789"/>
  <c r="P788"/>
  <c r="P787"/>
  <c r="P786"/>
  <c r="P785"/>
  <c r="P782"/>
  <c r="P774"/>
  <c r="P773"/>
  <c r="P772"/>
  <c r="P771"/>
  <c r="P763"/>
  <c r="P760"/>
  <c r="P754"/>
  <c r="P749"/>
  <c r="P744"/>
  <c r="P732"/>
  <c r="P729"/>
  <c r="P728"/>
  <c r="P727"/>
  <c r="P726"/>
  <c r="P725"/>
  <c r="P724"/>
  <c r="P723"/>
  <c r="P722"/>
  <c r="P721"/>
  <c r="P720"/>
  <c r="P719"/>
  <c r="P718"/>
  <c r="P717"/>
  <c r="P716"/>
  <c r="P715"/>
  <c r="P714"/>
  <c r="P713"/>
  <c r="P712"/>
  <c r="P711"/>
  <c r="P710"/>
  <c r="P694"/>
  <c r="P690"/>
  <c r="P689"/>
  <c r="P688"/>
  <c r="P687"/>
  <c r="P686"/>
  <c r="P685"/>
  <c r="P684"/>
  <c r="P683"/>
  <c r="P682"/>
  <c r="P681"/>
  <c r="P680"/>
  <c r="P679"/>
  <c r="P678"/>
  <c r="P677"/>
  <c r="P676"/>
  <c r="P675"/>
  <c r="P674"/>
  <c r="P666"/>
  <c r="P660"/>
  <c r="P656"/>
  <c r="P641"/>
  <c r="P634"/>
  <c r="P630"/>
  <c r="P613"/>
  <c r="P608"/>
  <c r="P559"/>
  <c r="P554"/>
  <c r="P548"/>
  <c r="P544"/>
  <c r="P542"/>
  <c r="P524"/>
  <c r="P516"/>
  <c r="P503"/>
  <c r="P496"/>
  <c r="P490"/>
  <c r="P466"/>
  <c r="P462"/>
  <c r="P435"/>
  <c r="P427"/>
  <c r="P425"/>
  <c r="P384"/>
  <c r="P362"/>
  <c r="P350"/>
  <c r="P295"/>
  <c r="P294"/>
  <c r="P293"/>
  <c r="P220"/>
  <c r="P190"/>
  <c r="P184"/>
  <c r="P183"/>
  <c r="P182"/>
  <c r="P181"/>
  <c r="P180"/>
  <c r="P179"/>
  <c r="P178"/>
  <c r="P177"/>
  <c r="P170"/>
  <c r="P169"/>
  <c r="P168"/>
  <c r="P167"/>
  <c r="P166"/>
  <c r="P165"/>
  <c r="P164"/>
  <c r="P163"/>
  <c r="P162"/>
  <c r="P161"/>
  <c r="P160"/>
  <c r="P159"/>
  <c r="P158"/>
  <c r="P157"/>
  <c r="P156"/>
  <c r="P140"/>
  <c r="P133"/>
  <c r="P132"/>
  <c r="P131"/>
  <c r="P130"/>
  <c r="P129"/>
  <c r="P128"/>
  <c r="P127"/>
  <c r="P121"/>
  <c r="P120"/>
  <c r="P119"/>
  <c r="P118"/>
  <c r="P117"/>
  <c r="P116"/>
  <c r="P115"/>
  <c r="P114"/>
  <c r="P113"/>
  <c r="P112"/>
  <c r="P111"/>
  <c r="P110"/>
  <c r="P109"/>
  <c r="P94"/>
  <c r="P65"/>
  <c r="P64"/>
  <c r="P62"/>
  <c r="P61"/>
  <c r="P23"/>
  <c r="P18"/>
  <c r="N958"/>
  <c r="N957"/>
  <c r="N956"/>
  <c r="N954"/>
  <c r="N953"/>
  <c r="N952"/>
  <c r="N951"/>
  <c r="N950"/>
  <c r="N948"/>
  <c r="N947"/>
  <c r="N946"/>
  <c r="N945"/>
  <c r="N944"/>
  <c r="N943"/>
  <c r="N942"/>
  <c r="N941"/>
  <c r="N940"/>
  <c r="N939"/>
  <c r="N938"/>
  <c r="N936"/>
  <c r="N935"/>
  <c r="N933"/>
  <c r="N931"/>
  <c r="N930"/>
  <c r="N929"/>
  <c r="N928"/>
  <c r="N927"/>
  <c r="N926"/>
  <c r="N925"/>
  <c r="N924"/>
  <c r="N922"/>
  <c r="N921"/>
  <c r="N920"/>
  <c r="N919"/>
  <c r="N918"/>
  <c r="N917"/>
  <c r="N916"/>
  <c r="N915"/>
  <c r="N914"/>
  <c r="N913"/>
  <c r="N912"/>
  <c r="N911"/>
  <c r="N910"/>
  <c r="N909"/>
  <c r="N908"/>
  <c r="N907"/>
  <c r="N906"/>
  <c r="N905"/>
  <c r="N904"/>
  <c r="N903"/>
  <c r="N902"/>
  <c r="N901"/>
  <c r="N900"/>
  <c r="N899"/>
  <c r="N898"/>
  <c r="N897"/>
  <c r="N896"/>
  <c r="N895"/>
  <c r="N894"/>
  <c r="N893"/>
  <c r="N892"/>
  <c r="N891"/>
  <c r="N890"/>
  <c r="N889"/>
  <c r="N888"/>
  <c r="N887"/>
  <c r="N886"/>
  <c r="N885"/>
  <c r="N884"/>
  <c r="N883"/>
  <c r="N882"/>
  <c r="N881"/>
  <c r="N880"/>
  <c r="N879"/>
  <c r="N878"/>
  <c r="N877"/>
  <c r="N876"/>
  <c r="N875"/>
  <c r="N874"/>
  <c r="N873"/>
  <c r="N872"/>
  <c r="N871"/>
  <c r="N870"/>
  <c r="N869"/>
  <c r="N868"/>
  <c r="N866"/>
  <c r="N865"/>
  <c r="N861"/>
  <c r="N860"/>
  <c r="N859"/>
  <c r="N858"/>
  <c r="N857"/>
  <c r="N851"/>
  <c r="N847"/>
  <c r="N814"/>
  <c r="N802"/>
  <c r="N790"/>
  <c r="N789"/>
  <c r="N788"/>
  <c r="N787"/>
  <c r="N786"/>
  <c r="N785"/>
  <c r="N782"/>
  <c r="N774"/>
  <c r="N773"/>
  <c r="N772"/>
  <c r="N771"/>
  <c r="N763"/>
  <c r="N760"/>
  <c r="N754"/>
  <c r="N749"/>
  <c r="N744"/>
  <c r="N732"/>
  <c r="N729"/>
  <c r="N728"/>
  <c r="N727"/>
  <c r="N726"/>
  <c r="N725"/>
  <c r="N724"/>
  <c r="N723"/>
  <c r="N722"/>
  <c r="N721"/>
  <c r="N720"/>
  <c r="N719"/>
  <c r="N718"/>
  <c r="N717"/>
  <c r="N716"/>
  <c r="N715"/>
  <c r="N714"/>
  <c r="N713"/>
  <c r="N712"/>
  <c r="N711"/>
  <c r="N710"/>
  <c r="N694"/>
  <c r="N690"/>
  <c r="N689"/>
  <c r="N688"/>
  <c r="N687"/>
  <c r="N686"/>
  <c r="N685"/>
  <c r="N684"/>
  <c r="N683"/>
  <c r="N682"/>
  <c r="N681"/>
  <c r="N680"/>
  <c r="N679"/>
  <c r="N678"/>
  <c r="N677"/>
  <c r="N676"/>
  <c r="N675"/>
  <c r="N674"/>
  <c r="N666"/>
  <c r="N660"/>
  <c r="N656"/>
  <c r="N641"/>
  <c r="N634"/>
  <c r="N630"/>
  <c r="N613"/>
  <c r="N608"/>
  <c r="N559"/>
  <c r="N554"/>
  <c r="N548"/>
  <c r="N544"/>
  <c r="N542"/>
  <c r="N524"/>
  <c r="N516"/>
  <c r="N503"/>
  <c r="N496"/>
  <c r="N490"/>
  <c r="N466"/>
  <c r="N462"/>
  <c r="N435"/>
  <c r="N427"/>
  <c r="N425"/>
  <c r="N384"/>
  <c r="N362"/>
  <c r="N350"/>
  <c r="N295"/>
  <c r="N294"/>
  <c r="N293"/>
  <c r="N220"/>
  <c r="N190"/>
  <c r="N184"/>
  <c r="N183"/>
  <c r="N182"/>
  <c r="N181"/>
  <c r="N180"/>
  <c r="N179"/>
  <c r="N178"/>
  <c r="N177"/>
  <c r="N170"/>
  <c r="N169"/>
  <c r="N168"/>
  <c r="N167"/>
  <c r="N166"/>
  <c r="N165"/>
  <c r="N164"/>
  <c r="N163"/>
  <c r="N162"/>
  <c r="N161"/>
  <c r="N160"/>
  <c r="N159"/>
  <c r="N158"/>
  <c r="N157"/>
  <c r="N156"/>
  <c r="N140"/>
  <c r="N133"/>
  <c r="N132"/>
  <c r="N131"/>
  <c r="N130"/>
  <c r="N129"/>
  <c r="N128"/>
  <c r="N127"/>
  <c r="N121"/>
  <c r="N120"/>
  <c r="N119"/>
  <c r="N118"/>
  <c r="N117"/>
  <c r="N116"/>
  <c r="N115"/>
  <c r="N114"/>
  <c r="N113"/>
  <c r="N112"/>
  <c r="N111"/>
  <c r="N110"/>
  <c r="N109"/>
  <c r="N94"/>
  <c r="N65"/>
  <c r="N64"/>
  <c r="N62"/>
  <c r="N61"/>
  <c r="N23"/>
  <c r="N18"/>
  <c r="L958"/>
  <c r="L957"/>
  <c r="L956"/>
  <c r="L954"/>
  <c r="L953"/>
  <c r="L952"/>
  <c r="L951"/>
  <c r="L950"/>
  <c r="L948"/>
  <c r="L947"/>
  <c r="L946"/>
  <c r="L945"/>
  <c r="L944"/>
  <c r="L943"/>
  <c r="L942"/>
  <c r="L941"/>
  <c r="L940"/>
  <c r="L939"/>
  <c r="L938"/>
  <c r="L936"/>
  <c r="L935"/>
  <c r="L933"/>
  <c r="L931"/>
  <c r="L930"/>
  <c r="L929"/>
  <c r="L928"/>
  <c r="L927"/>
  <c r="L926"/>
  <c r="L925"/>
  <c r="L924"/>
  <c r="L922"/>
  <c r="L921"/>
  <c r="L920"/>
  <c r="L919"/>
  <c r="L918"/>
  <c r="L917"/>
  <c r="L916"/>
  <c r="L915"/>
  <c r="L914"/>
  <c r="L913"/>
  <c r="L912"/>
  <c r="L911"/>
  <c r="L910"/>
  <c r="L909"/>
  <c r="L908"/>
  <c r="L907"/>
  <c r="L906"/>
  <c r="L905"/>
  <c r="L904"/>
  <c r="L903"/>
  <c r="L902"/>
  <c r="L901"/>
  <c r="L900"/>
  <c r="L899"/>
  <c r="L898"/>
  <c r="L897"/>
  <c r="L896"/>
  <c r="L895"/>
  <c r="L894"/>
  <c r="L893"/>
  <c r="L892"/>
  <c r="L891"/>
  <c r="L890"/>
  <c r="L889"/>
  <c r="L888"/>
  <c r="L887"/>
  <c r="L886"/>
  <c r="L885"/>
  <c r="L884"/>
  <c r="L883"/>
  <c r="L882"/>
  <c r="L881"/>
  <c r="L880"/>
  <c r="L879"/>
  <c r="L878"/>
  <c r="L877"/>
  <c r="L876"/>
  <c r="L875"/>
  <c r="L874"/>
  <c r="L873"/>
  <c r="L872"/>
  <c r="L871"/>
  <c r="L870"/>
  <c r="L869"/>
  <c r="L868"/>
  <c r="L866"/>
  <c r="L865"/>
  <c r="L861"/>
  <c r="L860"/>
  <c r="L859"/>
  <c r="L858"/>
  <c r="L857"/>
  <c r="L851"/>
  <c r="L847"/>
  <c r="L814"/>
  <c r="L802"/>
  <c r="L790"/>
  <c r="L789"/>
  <c r="L788"/>
  <c r="L787"/>
  <c r="L786"/>
  <c r="L785"/>
  <c r="L782"/>
  <c r="L774"/>
  <c r="L773"/>
  <c r="L772"/>
  <c r="L771"/>
  <c r="L763"/>
  <c r="L760"/>
  <c r="L754"/>
  <c r="L749"/>
  <c r="L744"/>
  <c r="L732"/>
  <c r="L729"/>
  <c r="L728"/>
  <c r="L727"/>
  <c r="L726"/>
  <c r="L725"/>
  <c r="L724"/>
  <c r="L723"/>
  <c r="L722"/>
  <c r="L721"/>
  <c r="L720"/>
  <c r="L719"/>
  <c r="L718"/>
  <c r="L717"/>
  <c r="L716"/>
  <c r="L715"/>
  <c r="L714"/>
  <c r="L713"/>
  <c r="L712"/>
  <c r="L711"/>
  <c r="L710"/>
  <c r="L694"/>
  <c r="L690"/>
  <c r="L689"/>
  <c r="L688"/>
  <c r="L687"/>
  <c r="L686"/>
  <c r="L685"/>
  <c r="L684"/>
  <c r="L683"/>
  <c r="L682"/>
  <c r="L681"/>
  <c r="L680"/>
  <c r="L679"/>
  <c r="L678"/>
  <c r="L677"/>
  <c r="L676"/>
  <c r="L675"/>
  <c r="L674"/>
  <c r="L666"/>
  <c r="L660"/>
  <c r="L656"/>
  <c r="L641"/>
  <c r="L634"/>
  <c r="L630"/>
  <c r="L613"/>
  <c r="L608"/>
  <c r="L559"/>
  <c r="L554"/>
  <c r="L548"/>
  <c r="L544"/>
  <c r="L542"/>
  <c r="L524"/>
  <c r="L516"/>
  <c r="L503"/>
  <c r="L496"/>
  <c r="L490"/>
  <c r="L466"/>
  <c r="L462"/>
  <c r="L435"/>
  <c r="L427"/>
  <c r="L425"/>
  <c r="L384"/>
  <c r="L362"/>
  <c r="L350"/>
  <c r="L295"/>
  <c r="L294"/>
  <c r="L293"/>
  <c r="L220"/>
  <c r="L190"/>
  <c r="L184"/>
  <c r="L183"/>
  <c r="L182"/>
  <c r="L181"/>
  <c r="L180"/>
  <c r="L179"/>
  <c r="L178"/>
  <c r="L177"/>
  <c r="L170"/>
  <c r="L169"/>
  <c r="L168"/>
  <c r="L167"/>
  <c r="L166"/>
  <c r="L165"/>
  <c r="L164"/>
  <c r="L163"/>
  <c r="L162"/>
  <c r="L161"/>
  <c r="L160"/>
  <c r="L159"/>
  <c r="L158"/>
  <c r="L157"/>
  <c r="L156"/>
  <c r="L140"/>
  <c r="L133"/>
  <c r="L132"/>
  <c r="L131"/>
  <c r="L130"/>
  <c r="L129"/>
  <c r="L128"/>
  <c r="L127"/>
  <c r="L121"/>
  <c r="L120"/>
  <c r="L119"/>
  <c r="L118"/>
  <c r="L117"/>
  <c r="L116"/>
  <c r="L115"/>
  <c r="L114"/>
  <c r="L113"/>
  <c r="L112"/>
  <c r="L111"/>
  <c r="L110"/>
  <c r="L109"/>
  <c r="L94"/>
  <c r="L65"/>
  <c r="L64"/>
  <c r="L62"/>
  <c r="L61"/>
  <c r="L23"/>
  <c r="L18"/>
  <c r="J958"/>
  <c r="J957"/>
  <c r="J956"/>
  <c r="J954"/>
  <c r="J953"/>
  <c r="J952"/>
  <c r="J951"/>
  <c r="J950"/>
  <c r="J948"/>
  <c r="J947"/>
  <c r="J946"/>
  <c r="J945"/>
  <c r="J944"/>
  <c r="J943"/>
  <c r="J942"/>
  <c r="J941"/>
  <c r="J940"/>
  <c r="J939"/>
  <c r="J938"/>
  <c r="J936"/>
  <c r="J935"/>
  <c r="J933"/>
  <c r="J931"/>
  <c r="J930"/>
  <c r="J929"/>
  <c r="J928"/>
  <c r="J927"/>
  <c r="J926"/>
  <c r="J925"/>
  <c r="J924"/>
  <c r="J922"/>
  <c r="J921"/>
  <c r="J920"/>
  <c r="J919"/>
  <c r="J918"/>
  <c r="J917"/>
  <c r="J916"/>
  <c r="J915"/>
  <c r="J914"/>
  <c r="J913"/>
  <c r="J912"/>
  <c r="J911"/>
  <c r="J910"/>
  <c r="J909"/>
  <c r="J908"/>
  <c r="J907"/>
  <c r="J906"/>
  <c r="J905"/>
  <c r="J904"/>
  <c r="J903"/>
  <c r="J902"/>
  <c r="J901"/>
  <c r="J900"/>
  <c r="J899"/>
  <c r="J898"/>
  <c r="J897"/>
  <c r="J896"/>
  <c r="J895"/>
  <c r="J894"/>
  <c r="J893"/>
  <c r="J892"/>
  <c r="J891"/>
  <c r="J890"/>
  <c r="J889"/>
  <c r="J888"/>
  <c r="J887"/>
  <c r="J886"/>
  <c r="J885"/>
  <c r="J884"/>
  <c r="J883"/>
  <c r="J882"/>
  <c r="J881"/>
  <c r="J880"/>
  <c r="J879"/>
  <c r="J878"/>
  <c r="J877"/>
  <c r="J876"/>
  <c r="J875"/>
  <c r="J874"/>
  <c r="J873"/>
  <c r="J872"/>
  <c r="J871"/>
  <c r="J870"/>
  <c r="J869"/>
  <c r="J868"/>
  <c r="J866"/>
  <c r="J865"/>
  <c r="J861"/>
  <c r="J860"/>
  <c r="J859"/>
  <c r="J858"/>
  <c r="J857"/>
  <c r="J851"/>
  <c r="J847"/>
  <c r="J814"/>
  <c r="J802"/>
  <c r="J790"/>
  <c r="J789"/>
  <c r="J788"/>
  <c r="J787"/>
  <c r="J786"/>
  <c r="J785"/>
  <c r="J782"/>
  <c r="J774"/>
  <c r="J773"/>
  <c r="J772"/>
  <c r="J771"/>
  <c r="J763"/>
  <c r="J760"/>
  <c r="J754"/>
  <c r="J749"/>
  <c r="J744"/>
  <c r="J732"/>
  <c r="J729"/>
  <c r="J728"/>
  <c r="J727"/>
  <c r="J726"/>
  <c r="J725"/>
  <c r="J724"/>
  <c r="J723"/>
  <c r="J722"/>
  <c r="J721"/>
  <c r="J720"/>
  <c r="J719"/>
  <c r="J718"/>
  <c r="J717"/>
  <c r="J716"/>
  <c r="J715"/>
  <c r="J714"/>
  <c r="J713"/>
  <c r="J712"/>
  <c r="J711"/>
  <c r="J710"/>
  <c r="J694"/>
  <c r="J690"/>
  <c r="J689"/>
  <c r="J688"/>
  <c r="J687"/>
  <c r="J686"/>
  <c r="J685"/>
  <c r="J684"/>
  <c r="J683"/>
  <c r="J682"/>
  <c r="J681"/>
  <c r="J680"/>
  <c r="J679"/>
  <c r="J678"/>
  <c r="J677"/>
  <c r="J676"/>
  <c r="J675"/>
  <c r="J674"/>
  <c r="J666"/>
  <c r="J660"/>
  <c r="J656"/>
  <c r="J641"/>
  <c r="J634"/>
  <c r="J630"/>
  <c r="J613"/>
  <c r="J608"/>
  <c r="J559"/>
  <c r="J554"/>
  <c r="J548"/>
  <c r="J544"/>
  <c r="J542"/>
  <c r="J524"/>
  <c r="J516"/>
  <c r="J503"/>
  <c r="J496"/>
  <c r="J490"/>
  <c r="J466"/>
  <c r="J462"/>
  <c r="J435"/>
  <c r="J427"/>
  <c r="J425"/>
  <c r="J384"/>
  <c r="J362"/>
  <c r="J350"/>
  <c r="J295"/>
  <c r="J294"/>
  <c r="J293"/>
  <c r="J220"/>
  <c r="J190"/>
  <c r="J184"/>
  <c r="J183"/>
  <c r="J182"/>
  <c r="J181"/>
  <c r="J180"/>
  <c r="J179"/>
  <c r="J178"/>
  <c r="J177"/>
  <c r="J170"/>
  <c r="J169"/>
  <c r="J168"/>
  <c r="J167"/>
  <c r="J166"/>
  <c r="J165"/>
  <c r="J164"/>
  <c r="J163"/>
  <c r="J162"/>
  <c r="J161"/>
  <c r="J160"/>
  <c r="J159"/>
  <c r="J158"/>
  <c r="J157"/>
  <c r="J156"/>
  <c r="J140"/>
  <c r="J133"/>
  <c r="J132"/>
  <c r="J131"/>
  <c r="J130"/>
  <c r="J129"/>
  <c r="J128"/>
  <c r="J127"/>
  <c r="J121"/>
  <c r="J120"/>
  <c r="J119"/>
  <c r="J118"/>
  <c r="J117"/>
  <c r="J116"/>
  <c r="J115"/>
  <c r="J114"/>
  <c r="J113"/>
  <c r="J112"/>
  <c r="J111"/>
  <c r="J110"/>
  <c r="J109"/>
  <c r="J94"/>
  <c r="J65"/>
  <c r="J64"/>
  <c r="J62"/>
  <c r="J61"/>
  <c r="J23"/>
  <c r="J18"/>
  <c r="H957"/>
  <c r="H956"/>
  <c r="H954"/>
  <c r="H953"/>
  <c r="H952"/>
  <c r="H951"/>
  <c r="H950"/>
  <c r="H948"/>
  <c r="H947"/>
  <c r="H946"/>
  <c r="H945"/>
  <c r="H944"/>
  <c r="H943"/>
  <c r="H942"/>
  <c r="H941"/>
  <c r="H940"/>
  <c r="H939"/>
  <c r="H938"/>
  <c r="H936"/>
  <c r="H935"/>
  <c r="H933"/>
  <c r="H931"/>
  <c r="H930"/>
  <c r="H929"/>
  <c r="H928"/>
  <c r="H927"/>
  <c r="H926"/>
  <c r="H925"/>
  <c r="H924"/>
  <c r="H922"/>
  <c r="H921"/>
  <c r="H920"/>
  <c r="H919"/>
  <c r="H918"/>
  <c r="H917"/>
  <c r="H916"/>
  <c r="H915"/>
  <c r="H914"/>
  <c r="H913"/>
  <c r="H912"/>
  <c r="H911"/>
  <c r="H910"/>
  <c r="H909"/>
  <c r="H908"/>
  <c r="H907"/>
  <c r="H906"/>
  <c r="H905"/>
  <c r="H904"/>
  <c r="H903"/>
  <c r="H902"/>
  <c r="H901"/>
  <c r="H900"/>
  <c r="H899"/>
  <c r="H898"/>
  <c r="H897"/>
  <c r="H896"/>
  <c r="H895"/>
  <c r="H894"/>
  <c r="H893"/>
  <c r="H892"/>
  <c r="H891"/>
  <c r="H890"/>
  <c r="H889"/>
  <c r="H888"/>
  <c r="H887"/>
  <c r="H886"/>
  <c r="H885"/>
  <c r="H884"/>
  <c r="H883"/>
  <c r="H882"/>
  <c r="H881"/>
  <c r="H880"/>
  <c r="H879"/>
  <c r="H878"/>
  <c r="H877"/>
  <c r="H876"/>
  <c r="H875"/>
  <c r="H874"/>
  <c r="H873"/>
  <c r="H872"/>
  <c r="H871"/>
  <c r="H870"/>
  <c r="H869"/>
  <c r="H868"/>
  <c r="H866"/>
  <c r="H865"/>
  <c r="H861"/>
  <c r="H860"/>
  <c r="H859"/>
  <c r="H858"/>
  <c r="H857"/>
  <c r="H851"/>
  <c r="H847"/>
  <c r="H814"/>
  <c r="H802"/>
  <c r="H790"/>
  <c r="H789"/>
  <c r="H788"/>
  <c r="H787"/>
  <c r="H786"/>
  <c r="H785"/>
  <c r="H782"/>
  <c r="H774"/>
  <c r="H773"/>
  <c r="H772"/>
  <c r="H771"/>
  <c r="H763"/>
  <c r="H760"/>
  <c r="H754"/>
  <c r="H749"/>
  <c r="H744"/>
  <c r="H732"/>
  <c r="H729"/>
  <c r="H728"/>
  <c r="H727"/>
  <c r="H726"/>
  <c r="H725"/>
  <c r="H724"/>
  <c r="H723"/>
  <c r="H722"/>
  <c r="H721"/>
  <c r="H720"/>
  <c r="H719"/>
  <c r="H718"/>
  <c r="H717"/>
  <c r="H716"/>
  <c r="H715"/>
  <c r="H714"/>
  <c r="H713"/>
  <c r="H712"/>
  <c r="H711"/>
  <c r="H710"/>
  <c r="H694"/>
  <c r="H690"/>
  <c r="H689"/>
  <c r="H688"/>
  <c r="H687"/>
  <c r="H686"/>
  <c r="H685"/>
  <c r="H684"/>
  <c r="H683"/>
  <c r="H682"/>
  <c r="H681"/>
  <c r="H680"/>
  <c r="H679"/>
  <c r="H678"/>
  <c r="H677"/>
  <c r="H676"/>
  <c r="H675"/>
  <c r="H674"/>
  <c r="H666"/>
  <c r="H660"/>
  <c r="H656"/>
  <c r="H641"/>
  <c r="H634"/>
  <c r="H630"/>
  <c r="H613"/>
  <c r="H608"/>
  <c r="H559"/>
  <c r="H554"/>
  <c r="H548"/>
  <c r="H544"/>
  <c r="H542"/>
  <c r="H524"/>
  <c r="H516"/>
  <c r="H503"/>
  <c r="H496"/>
  <c r="H490"/>
  <c r="H466"/>
  <c r="H462"/>
  <c r="H435"/>
  <c r="H427"/>
  <c r="H425"/>
  <c r="H384"/>
  <c r="H362"/>
  <c r="H350"/>
  <c r="H295"/>
  <c r="H294"/>
  <c r="H293"/>
  <c r="H220"/>
  <c r="H190"/>
  <c r="H184"/>
  <c r="H183"/>
  <c r="H182"/>
  <c r="H181"/>
  <c r="H180"/>
  <c r="H179"/>
  <c r="H178"/>
  <c r="H177"/>
  <c r="H170"/>
  <c r="H169"/>
  <c r="H168"/>
  <c r="H167"/>
  <c r="H166"/>
  <c r="H165"/>
  <c r="H164"/>
  <c r="H163"/>
  <c r="H162"/>
  <c r="H161"/>
  <c r="H160"/>
  <c r="H159"/>
  <c r="H158"/>
  <c r="H157"/>
  <c r="H156"/>
  <c r="H140"/>
  <c r="H133"/>
  <c r="H132"/>
  <c r="H131"/>
  <c r="H130"/>
  <c r="H129"/>
  <c r="H128"/>
  <c r="H127"/>
  <c r="H121"/>
  <c r="H120"/>
  <c r="H119"/>
  <c r="H118"/>
  <c r="H117"/>
  <c r="H116"/>
  <c r="H115"/>
  <c r="H114"/>
  <c r="H113"/>
  <c r="H112"/>
  <c r="H111"/>
  <c r="H110"/>
  <c r="H109"/>
  <c r="H94"/>
  <c r="H65"/>
  <c r="H64"/>
  <c r="H62"/>
  <c r="H61"/>
  <c r="H23"/>
  <c r="H18"/>
  <c r="U921"/>
  <c r="W921" s="1"/>
  <c r="Y921" s="1"/>
  <c r="U920"/>
  <c r="W920" s="1"/>
  <c r="Y920" s="1"/>
  <c r="U918"/>
  <c r="W918" s="1"/>
  <c r="Y918" s="1"/>
  <c r="U915"/>
  <c r="W915" s="1"/>
  <c r="Y915" s="1"/>
  <c r="U913"/>
  <c r="W913" s="1"/>
  <c r="Y913" s="1"/>
  <c r="U912"/>
  <c r="W912" s="1"/>
  <c r="Y912" s="1"/>
  <c r="U911"/>
  <c r="W911" s="1"/>
  <c r="Y911" s="1"/>
  <c r="U910"/>
  <c r="W910" s="1"/>
  <c r="Y910" s="1"/>
  <c r="U909"/>
  <c r="W909" s="1"/>
  <c r="Y909" s="1"/>
  <c r="U908"/>
  <c r="W908" s="1"/>
  <c r="Y908" s="1"/>
  <c r="U907"/>
  <c r="W907" s="1"/>
  <c r="Y907" s="1"/>
  <c r="U906"/>
  <c r="W906" s="1"/>
  <c r="Y906" s="1"/>
  <c r="U905"/>
  <c r="W905" s="1"/>
  <c r="Y905" s="1"/>
  <c r="U904"/>
  <c r="W904" s="1"/>
  <c r="Y904" s="1"/>
  <c r="U903"/>
  <c r="W903" s="1"/>
  <c r="Y903" s="1"/>
  <c r="U902"/>
  <c r="W902" s="1"/>
  <c r="Y902" s="1"/>
  <c r="U899"/>
  <c r="W899" s="1"/>
  <c r="Y899" s="1"/>
  <c r="U897"/>
  <c r="W897" s="1"/>
  <c r="Y897" s="1"/>
  <c r="U873"/>
  <c r="W873" s="1"/>
  <c r="Y873" s="1"/>
  <c r="S957"/>
  <c r="W957" s="1"/>
  <c r="Y957" s="1"/>
  <c r="S955"/>
  <c r="W955" s="1"/>
  <c r="Y955" s="1"/>
  <c r="S953"/>
  <c r="W953" s="1"/>
  <c r="Y953" s="1"/>
  <c r="S951"/>
  <c r="W951" s="1"/>
  <c r="Y951" s="1"/>
  <c r="S949"/>
  <c r="W949" s="1"/>
  <c r="Y949" s="1"/>
  <c r="S947"/>
  <c r="W947" s="1"/>
  <c r="Y947" s="1"/>
  <c r="S945"/>
  <c r="W945" s="1"/>
  <c r="Y945" s="1"/>
  <c r="S944"/>
  <c r="W944" s="1"/>
  <c r="Y944" s="1"/>
  <c r="S940"/>
  <c r="W940" s="1"/>
  <c r="Y940" s="1"/>
  <c r="S937"/>
  <c r="W937" s="1"/>
  <c r="Y937" s="1"/>
  <c r="S934"/>
  <c r="W934" s="1"/>
  <c r="Y934" s="1"/>
  <c r="S647"/>
  <c r="W647" s="1"/>
  <c r="Y647" s="1"/>
  <c r="H22" i="84"/>
  <c r="H23" s="1"/>
  <c r="S932" i="55" s="1"/>
  <c r="W932" s="1"/>
  <c r="Y932" s="1"/>
  <c r="S929"/>
  <c r="W929" s="1"/>
  <c r="Y929" s="1"/>
  <c r="S926"/>
  <c r="W926" s="1"/>
  <c r="Y926" s="1"/>
  <c r="S923"/>
  <c r="W923" s="1"/>
  <c r="Y923" s="1"/>
  <c r="O336"/>
  <c r="O348"/>
  <c r="O347"/>
  <c r="O171"/>
  <c r="O49"/>
  <c r="O24"/>
  <c r="W24" s="1"/>
  <c r="Y24" s="1"/>
  <c r="W363"/>
  <c r="W361"/>
  <c r="W352"/>
  <c r="W351"/>
  <c r="W122"/>
  <c r="W505"/>
  <c r="K601"/>
  <c r="W601" s="1"/>
  <c r="Y601" s="1"/>
  <c r="K347"/>
  <c r="K171"/>
  <c r="K63"/>
  <c r="K49"/>
  <c r="K39"/>
  <c r="K7"/>
  <c r="I599"/>
  <c r="I391"/>
  <c r="W391" s="1"/>
  <c r="Y391" s="1"/>
  <c r="I603"/>
  <c r="I519"/>
  <c r="I522"/>
  <c r="W522" s="1"/>
  <c r="Y522" s="1"/>
  <c r="I512"/>
  <c r="W512" s="1"/>
  <c r="I347"/>
  <c r="I171"/>
  <c r="I504"/>
  <c r="I49"/>
  <c r="I20"/>
  <c r="I19"/>
  <c r="G784"/>
  <c r="W784" s="1"/>
  <c r="G783"/>
  <c r="W783" s="1"/>
  <c r="G599"/>
  <c r="G612"/>
  <c r="W612" s="1"/>
  <c r="Y612" s="1"/>
  <c r="G348"/>
  <c r="G347"/>
  <c r="G336"/>
  <c r="G603"/>
  <c r="G517"/>
  <c r="G504"/>
  <c r="G63"/>
  <c r="G50"/>
  <c r="W50" s="1"/>
  <c r="Y50" s="1"/>
  <c r="G49"/>
  <c r="G45"/>
  <c r="W45" s="1"/>
  <c r="Y45" s="1"/>
  <c r="G44"/>
  <c r="W44" s="1"/>
  <c r="Y44" s="1"/>
  <c r="G20"/>
  <c r="G39"/>
  <c r="G19"/>
  <c r="C949"/>
  <c r="R949" s="1"/>
  <c r="C923"/>
  <c r="R923" s="1"/>
  <c r="H62" i="84"/>
  <c r="H61"/>
  <c r="H60"/>
  <c r="H54"/>
  <c r="H51"/>
  <c r="H48"/>
  <c r="H45"/>
  <c r="H42"/>
  <c r="H40"/>
  <c r="H36"/>
  <c r="H35"/>
  <c r="H34"/>
  <c r="H37" s="1"/>
  <c r="H31"/>
  <c r="H32" s="1"/>
  <c r="H30"/>
  <c r="H28"/>
  <c r="H27"/>
  <c r="H26"/>
  <c r="H20"/>
  <c r="H19"/>
  <c r="H17"/>
  <c r="H16"/>
  <c r="H12"/>
  <c r="H11"/>
  <c r="H14" s="1"/>
  <c r="H7"/>
  <c r="A2"/>
  <c r="H102" i="83"/>
  <c r="H86"/>
  <c r="H79"/>
  <c r="H73"/>
  <c r="H72"/>
  <c r="H71"/>
  <c r="H70"/>
  <c r="H69"/>
  <c r="H68"/>
  <c r="H67"/>
  <c r="H66"/>
  <c r="H65"/>
  <c r="H64"/>
  <c r="H63"/>
  <c r="H62"/>
  <c r="H59"/>
  <c r="H60" s="1"/>
  <c r="H56"/>
  <c r="G57" s="1"/>
  <c r="H55"/>
  <c r="H50"/>
  <c r="H49"/>
  <c r="H48"/>
  <c r="H47"/>
  <c r="H45"/>
  <c r="U893" i="55" s="1"/>
  <c r="W893" s="1"/>
  <c r="Y893" s="1"/>
  <c r="H42" i="83"/>
  <c r="H43" s="1"/>
  <c r="U892" i="55" s="1"/>
  <c r="W892" s="1"/>
  <c r="Y892" s="1"/>
  <c r="H37" i="83"/>
  <c r="H38" s="1"/>
  <c r="U889" i="55" s="1"/>
  <c r="W889" s="1"/>
  <c r="Y889" s="1"/>
  <c r="H34" i="83"/>
  <c r="H33"/>
  <c r="H30"/>
  <c r="U885" i="55" s="1"/>
  <c r="W885" s="1"/>
  <c r="Y885" s="1"/>
  <c r="H28" i="83"/>
  <c r="U883" i="55" s="1"/>
  <c r="W883" s="1"/>
  <c r="Y883" s="1"/>
  <c r="H26" i="83"/>
  <c r="U881" i="55" s="1"/>
  <c r="W881" s="1"/>
  <c r="Y881" s="1"/>
  <c r="H24" i="83"/>
  <c r="U879" i="55" s="1"/>
  <c r="W879" s="1"/>
  <c r="Y879" s="1"/>
  <c r="H21" i="83"/>
  <c r="U877" i="55" s="1"/>
  <c r="W877" s="1"/>
  <c r="Y877" s="1"/>
  <c r="H18" i="83"/>
  <c r="H17"/>
  <c r="H10"/>
  <c r="H11" s="1"/>
  <c r="U871" i="55" s="1"/>
  <c r="W871" s="1"/>
  <c r="Y871" s="1"/>
  <c r="H7" i="83"/>
  <c r="H8" s="1"/>
  <c r="U869" i="55" s="1"/>
  <c r="W869" s="1"/>
  <c r="Y869" s="1"/>
  <c r="A2" i="83"/>
  <c r="H39" i="82"/>
  <c r="H38"/>
  <c r="H40" s="1"/>
  <c r="H41" s="1"/>
  <c r="H33"/>
  <c r="H32"/>
  <c r="H34" s="1"/>
  <c r="H35" s="1"/>
  <c r="H28"/>
  <c r="H27"/>
  <c r="H29" s="1"/>
  <c r="H30" s="1"/>
  <c r="H22"/>
  <c r="H21"/>
  <c r="H23" s="1"/>
  <c r="H24" s="1"/>
  <c r="H16"/>
  <c r="H15"/>
  <c r="H17" s="1"/>
  <c r="H18" s="1"/>
  <c r="H11"/>
  <c r="H10"/>
  <c r="H12" s="1"/>
  <c r="H13" s="1"/>
  <c r="A1"/>
  <c r="H42" i="81"/>
  <c r="H43" s="1"/>
  <c r="H41"/>
  <c r="H40"/>
  <c r="H39"/>
  <c r="H35"/>
  <c r="H34"/>
  <c r="H33"/>
  <c r="H36" s="1"/>
  <c r="H37" s="1"/>
  <c r="H28"/>
  <c r="H27"/>
  <c r="H26"/>
  <c r="H29" s="1"/>
  <c r="H30" s="1"/>
  <c r="H21"/>
  <c r="H20"/>
  <c r="H19"/>
  <c r="H22" s="1"/>
  <c r="H23" s="1"/>
  <c r="H16"/>
  <c r="H17" s="1"/>
  <c r="H15"/>
  <c r="H14"/>
  <c r="H13"/>
  <c r="H9"/>
  <c r="H8"/>
  <c r="H7"/>
  <c r="H10" s="1"/>
  <c r="H11" s="1"/>
  <c r="G116" i="80"/>
  <c r="I115"/>
  <c r="I114"/>
  <c r="G113"/>
  <c r="G112"/>
  <c r="G117" s="1"/>
  <c r="G119" s="1"/>
  <c r="I111"/>
  <c r="I110"/>
  <c r="I117" s="1"/>
  <c r="I119" s="1"/>
  <c r="H109"/>
  <c r="H117" s="1"/>
  <c r="H119" s="1"/>
  <c r="I104"/>
  <c r="I103"/>
  <c r="I102"/>
  <c r="I101"/>
  <c r="I97"/>
  <c r="I96"/>
  <c r="I95"/>
  <c r="I91"/>
  <c r="I92" s="1"/>
  <c r="I87"/>
  <c r="I88" s="1"/>
  <c r="I89" s="1"/>
  <c r="F78"/>
  <c r="I78" s="1"/>
  <c r="I73"/>
  <c r="I72"/>
  <c r="I71"/>
  <c r="I70"/>
  <c r="I69"/>
  <c r="I68"/>
  <c r="I67"/>
  <c r="I66"/>
  <c r="I65"/>
  <c r="I64"/>
  <c r="I74" s="1"/>
  <c r="I75" s="1"/>
  <c r="I83" s="1"/>
  <c r="I60"/>
  <c r="I58"/>
  <c r="I57"/>
  <c r="I56"/>
  <c r="I55"/>
  <c r="I54"/>
  <c r="D49"/>
  <c r="I49" s="1"/>
  <c r="I48"/>
  <c r="I46"/>
  <c r="I45"/>
  <c r="I40"/>
  <c r="I39"/>
  <c r="I41" s="1"/>
  <c r="I42" s="1"/>
  <c r="I34"/>
  <c r="I35" s="1"/>
  <c r="I36" s="1"/>
  <c r="I30"/>
  <c r="I29"/>
  <c r="I28"/>
  <c r="I27"/>
  <c r="I26"/>
  <c r="I21"/>
  <c r="D21"/>
  <c r="I20"/>
  <c r="I19"/>
  <c r="I18"/>
  <c r="I17"/>
  <c r="I16"/>
  <c r="I15"/>
  <c r="I22" s="1"/>
  <c r="I23" s="1"/>
  <c r="I11"/>
  <c r="I10"/>
  <c r="I9"/>
  <c r="I8"/>
  <c r="I7"/>
  <c r="I6"/>
  <c r="I12" s="1"/>
  <c r="I13" s="1"/>
  <c r="I46" i="79"/>
  <c r="I45"/>
  <c r="I47" s="1"/>
  <c r="I48" s="1"/>
  <c r="I39"/>
  <c r="I40" s="1"/>
  <c r="I41" s="1"/>
  <c r="I38"/>
  <c r="I34"/>
  <c r="I35" s="1"/>
  <c r="I33"/>
  <c r="I32"/>
  <c r="I27"/>
  <c r="I28" s="1"/>
  <c r="I21"/>
  <c r="F20"/>
  <c r="I20" s="1"/>
  <c r="I22" s="1"/>
  <c r="I23" s="1"/>
  <c r="I14"/>
  <c r="I13"/>
  <c r="I15" s="1"/>
  <c r="I16" s="1"/>
  <c r="B12"/>
  <c r="B19" s="1"/>
  <c r="B26" s="1"/>
  <c r="B31" s="1"/>
  <c r="B37" s="1"/>
  <c r="B44" s="1"/>
  <c r="I7"/>
  <c r="I6"/>
  <c r="I8" s="1"/>
  <c r="I9" s="1"/>
  <c r="A1"/>
  <c r="G83" i="78"/>
  <c r="G82"/>
  <c r="G81"/>
  <c r="G80"/>
  <c r="G79"/>
  <c r="G78"/>
  <c r="G77"/>
  <c r="G76"/>
  <c r="G75"/>
  <c r="G74"/>
  <c r="G73"/>
  <c r="G72"/>
  <c r="G71"/>
  <c r="G69"/>
  <c r="G68"/>
  <c r="H67"/>
  <c r="H66"/>
  <c r="H84" s="1"/>
  <c r="H86" s="1"/>
  <c r="G65"/>
  <c r="G64"/>
  <c r="G63"/>
  <c r="G62"/>
  <c r="G61"/>
  <c r="G60"/>
  <c r="G59"/>
  <c r="G58"/>
  <c r="G57"/>
  <c r="G56"/>
  <c r="G55"/>
  <c r="G54"/>
  <c r="G84" s="1"/>
  <c r="G86" s="1"/>
  <c r="G87" s="1"/>
  <c r="H45"/>
  <c r="H41"/>
  <c r="H42" s="1"/>
  <c r="H34"/>
  <c r="H35" s="1"/>
  <c r="H33"/>
  <c r="H32"/>
  <c r="H29"/>
  <c r="H30" s="1"/>
  <c r="H25"/>
  <c r="H24"/>
  <c r="H23"/>
  <c r="H26" s="1"/>
  <c r="H27" s="1"/>
  <c r="H19"/>
  <c r="H20" s="1"/>
  <c r="H21" s="1"/>
  <c r="E88" s="1"/>
  <c r="H88" s="1"/>
  <c r="G89" s="1"/>
  <c r="H13"/>
  <c r="H10"/>
  <c r="H7"/>
  <c r="H125" i="77"/>
  <c r="H124"/>
  <c r="H126" s="1"/>
  <c r="G127" s="1"/>
  <c r="H119"/>
  <c r="H118"/>
  <c r="H117"/>
  <c r="H116"/>
  <c r="H115"/>
  <c r="C109"/>
  <c r="C108"/>
  <c r="H105"/>
  <c r="G106" s="1"/>
  <c r="H100"/>
  <c r="H99"/>
  <c r="H101" s="1"/>
  <c r="H102" s="1"/>
  <c r="H91"/>
  <c r="H92" s="1"/>
  <c r="H80"/>
  <c r="F79"/>
  <c r="E79"/>
  <c r="H79" s="1"/>
  <c r="H81" s="1"/>
  <c r="H82" s="1"/>
  <c r="H78"/>
  <c r="H74"/>
  <c r="H75" s="1"/>
  <c r="H76" s="1"/>
  <c r="E109" s="1"/>
  <c r="G109" s="1"/>
  <c r="H71"/>
  <c r="G72" s="1"/>
  <c r="G67"/>
  <c r="H67" s="1"/>
  <c r="E66"/>
  <c r="H66" s="1"/>
  <c r="H65"/>
  <c r="H64"/>
  <c r="H63"/>
  <c r="H68" s="1"/>
  <c r="H69" s="1"/>
  <c r="H57"/>
  <c r="H56"/>
  <c r="H59" s="1"/>
  <c r="H60" s="1"/>
  <c r="E108" s="1"/>
  <c r="G108" s="1"/>
  <c r="G110" s="1"/>
  <c r="C111" s="1"/>
  <c r="H111" s="1"/>
  <c r="G112" s="1"/>
  <c r="H51"/>
  <c r="H50"/>
  <c r="H49"/>
  <c r="H48"/>
  <c r="H47"/>
  <c r="H52" s="1"/>
  <c r="H53" s="1"/>
  <c r="H41"/>
  <c r="H42" s="1"/>
  <c r="H37"/>
  <c r="H38" s="1"/>
  <c r="H33"/>
  <c r="G34" s="1"/>
  <c r="H32"/>
  <c r="H28"/>
  <c r="H29" s="1"/>
  <c r="G30" s="1"/>
  <c r="H24"/>
  <c r="H25" s="1"/>
  <c r="H18"/>
  <c r="H19" s="1"/>
  <c r="H20" s="1"/>
  <c r="H21" s="1"/>
  <c r="H13"/>
  <c r="H12"/>
  <c r="H11"/>
  <c r="H14" s="1"/>
  <c r="H15" s="1"/>
  <c r="A5"/>
  <c r="W7" i="55" l="1"/>
  <c r="W652"/>
  <c r="W63"/>
  <c r="W347"/>
  <c r="R955"/>
  <c r="W20"/>
  <c r="Y20" s="1"/>
  <c r="W603"/>
  <c r="W171"/>
  <c r="Y171" s="1"/>
  <c r="W599"/>
  <c r="W49"/>
  <c r="W336"/>
  <c r="Z580"/>
  <c r="W19"/>
  <c r="Y19" s="1"/>
  <c r="W348"/>
  <c r="W39"/>
  <c r="V46"/>
  <c r="L46"/>
  <c r="R46"/>
  <c r="J46"/>
  <c r="T46"/>
  <c r="P46"/>
  <c r="H46"/>
  <c r="W342"/>
  <c r="Z574"/>
  <c r="X582"/>
  <c r="L581"/>
  <c r="W520"/>
  <c r="N581"/>
  <c r="Z575"/>
  <c r="Z581"/>
  <c r="L580"/>
  <c r="N575"/>
  <c r="L582"/>
  <c r="P581"/>
  <c r="H581"/>
  <c r="T580"/>
  <c r="T575"/>
  <c r="T582"/>
  <c r="T581"/>
  <c r="J581"/>
  <c r="X580"/>
  <c r="H41" i="85"/>
  <c r="G42" s="1"/>
  <c r="H18"/>
  <c r="G19" s="1"/>
  <c r="I90" i="74"/>
  <c r="L476"/>
  <c r="I105" i="80"/>
  <c r="I106" s="1"/>
  <c r="W519" i="55" s="1"/>
  <c r="I98" i="80"/>
  <c r="I99" s="1"/>
  <c r="W517" i="55" s="1"/>
  <c r="I31" i="80"/>
  <c r="I32" s="1"/>
  <c r="W504" i="55" s="1"/>
  <c r="I61" i="80"/>
  <c r="I62" s="1"/>
  <c r="W172" i="55" s="1"/>
  <c r="Y582"/>
  <c r="Z582" s="1"/>
  <c r="L575"/>
  <c r="X574"/>
  <c r="P582"/>
  <c r="J582"/>
  <c r="V581"/>
  <c r="P580"/>
  <c r="J580"/>
  <c r="L574"/>
  <c r="V582"/>
  <c r="F582"/>
  <c r="X581"/>
  <c r="V580"/>
  <c r="F580"/>
  <c r="X579"/>
  <c r="H575"/>
  <c r="T574"/>
  <c r="N582"/>
  <c r="N580"/>
  <c r="V575"/>
  <c r="F575"/>
  <c r="P574"/>
  <c r="J574"/>
  <c r="X575"/>
  <c r="P575"/>
  <c r="V574"/>
  <c r="F574"/>
  <c r="X573"/>
  <c r="N574"/>
  <c r="Z893"/>
  <c r="V893"/>
  <c r="Z949"/>
  <c r="T949"/>
  <c r="Z915"/>
  <c r="V915"/>
  <c r="Z869"/>
  <c r="V869"/>
  <c r="Z877"/>
  <c r="V877"/>
  <c r="Z885"/>
  <c r="V885"/>
  <c r="Z892"/>
  <c r="V892"/>
  <c r="Z929"/>
  <c r="T929"/>
  <c r="Z947"/>
  <c r="T947"/>
  <c r="Z955"/>
  <c r="T955"/>
  <c r="Z899"/>
  <c r="V899"/>
  <c r="Z905"/>
  <c r="V905"/>
  <c r="Z909"/>
  <c r="V909"/>
  <c r="Z913"/>
  <c r="V913"/>
  <c r="Z921"/>
  <c r="V921"/>
  <c r="Z871"/>
  <c r="V871"/>
  <c r="V923"/>
  <c r="P923"/>
  <c r="N923"/>
  <c r="L923"/>
  <c r="J923"/>
  <c r="H923"/>
  <c r="Z957"/>
  <c r="T957"/>
  <c r="Z906"/>
  <c r="V906"/>
  <c r="Z889"/>
  <c r="V889"/>
  <c r="Z926"/>
  <c r="T926"/>
  <c r="Z945"/>
  <c r="T945"/>
  <c r="Z953"/>
  <c r="T953"/>
  <c r="Z897"/>
  <c r="V897"/>
  <c r="Z904"/>
  <c r="V904"/>
  <c r="Z908"/>
  <c r="V908"/>
  <c r="Z912"/>
  <c r="V912"/>
  <c r="Z920"/>
  <c r="V920"/>
  <c r="Z879"/>
  <c r="V879"/>
  <c r="Z940"/>
  <c r="T940"/>
  <c r="Z902"/>
  <c r="V902"/>
  <c r="Z910"/>
  <c r="V910"/>
  <c r="Z883"/>
  <c r="V883"/>
  <c r="V955"/>
  <c r="P955"/>
  <c r="N955"/>
  <c r="L955"/>
  <c r="H955"/>
  <c r="Z881"/>
  <c r="V881"/>
  <c r="V949"/>
  <c r="P949"/>
  <c r="N949"/>
  <c r="L949"/>
  <c r="J949"/>
  <c r="Z46"/>
  <c r="N46"/>
  <c r="Z923"/>
  <c r="T923"/>
  <c r="Z944"/>
  <c r="T944"/>
  <c r="Z951"/>
  <c r="T951"/>
  <c r="Z873"/>
  <c r="V873"/>
  <c r="Z903"/>
  <c r="V903"/>
  <c r="Z907"/>
  <c r="V907"/>
  <c r="Z911"/>
  <c r="V911"/>
  <c r="Z918"/>
  <c r="V918"/>
  <c r="H949"/>
  <c r="J955"/>
  <c r="H35" i="83"/>
  <c r="U887" i="55" s="1"/>
  <c r="W887" s="1"/>
  <c r="Y887" s="1"/>
  <c r="H19" i="83"/>
  <c r="U875" i="55" s="1"/>
  <c r="W875" s="1"/>
  <c r="Y875" s="1"/>
  <c r="H51" i="83"/>
  <c r="U894" i="55" s="1"/>
  <c r="W894" s="1"/>
  <c r="Y894" s="1"/>
  <c r="H120" i="77"/>
  <c r="G121" s="1"/>
  <c r="I120" i="80"/>
  <c r="I121" s="1"/>
  <c r="I50"/>
  <c r="I51" s="1"/>
  <c r="F80"/>
  <c r="I80" s="1"/>
  <c r="Z875" i="55" l="1"/>
  <c r="V875"/>
  <c r="Z894"/>
  <c r="V894"/>
  <c r="Z887"/>
  <c r="V887"/>
  <c r="E860"/>
  <c r="Y860" l="1"/>
  <c r="Z860" s="1"/>
  <c r="F466"/>
  <c r="E439"/>
  <c r="Y439" s="1"/>
  <c r="E434"/>
  <c r="Y434" s="1"/>
  <c r="E363"/>
  <c r="Y363" s="1"/>
  <c r="A1"/>
  <c r="A9" i="76"/>
  <c r="A10" s="1"/>
  <c r="C175" i="75"/>
  <c r="F106"/>
  <c r="F110"/>
  <c r="F136"/>
  <c r="F144"/>
  <c r="F155"/>
  <c r="F156"/>
  <c r="F160"/>
  <c r="F163"/>
  <c r="F166"/>
  <c r="E154"/>
  <c r="I1455" i="74"/>
  <c r="E649" i="55" s="1"/>
  <c r="Y649" s="1"/>
  <c r="I1454" i="74"/>
  <c r="E648" i="55" s="1"/>
  <c r="Y648" s="1"/>
  <c r="I1452" i="74"/>
  <c r="C99" i="75"/>
  <c r="E91"/>
  <c r="E88"/>
  <c r="E82"/>
  <c r="F8"/>
  <c r="F16"/>
  <c r="F20"/>
  <c r="F24"/>
  <c r="F29"/>
  <c r="F32"/>
  <c r="F36"/>
  <c r="F39"/>
  <c r="F52"/>
  <c r="F53"/>
  <c r="F71"/>
  <c r="E60"/>
  <c r="B51"/>
  <c r="B176"/>
  <c r="E172"/>
  <c r="D172"/>
  <c r="C172"/>
  <c r="B172"/>
  <c r="E171"/>
  <c r="D171"/>
  <c r="C171"/>
  <c r="B171"/>
  <c r="E170"/>
  <c r="D170"/>
  <c r="C170"/>
  <c r="B170"/>
  <c r="E169"/>
  <c r="D169"/>
  <c r="C169"/>
  <c r="B169"/>
  <c r="E168"/>
  <c r="D168"/>
  <c r="C168"/>
  <c r="B168"/>
  <c r="E167"/>
  <c r="D167"/>
  <c r="C167"/>
  <c r="B167"/>
  <c r="B166"/>
  <c r="E165"/>
  <c r="D165"/>
  <c r="C165"/>
  <c r="B165"/>
  <c r="E164"/>
  <c r="D164"/>
  <c r="C164"/>
  <c r="B164"/>
  <c r="B163"/>
  <c r="D162"/>
  <c r="C162"/>
  <c r="B162"/>
  <c r="D161"/>
  <c r="C161"/>
  <c r="B161"/>
  <c r="B160"/>
  <c r="C159"/>
  <c r="C158"/>
  <c r="C157"/>
  <c r="D154"/>
  <c r="C154"/>
  <c r="B154"/>
  <c r="D153"/>
  <c r="C153"/>
  <c r="B153"/>
  <c r="D152"/>
  <c r="C152"/>
  <c r="B152"/>
  <c r="A152"/>
  <c r="D151"/>
  <c r="C151"/>
  <c r="F151" s="1"/>
  <c r="B151"/>
  <c r="B1455" i="74" s="1"/>
  <c r="E150" i="75"/>
  <c r="D150"/>
  <c r="C150"/>
  <c r="B150"/>
  <c r="B1454" i="74" s="1"/>
  <c r="D149" i="75"/>
  <c r="C149"/>
  <c r="B149"/>
  <c r="A149"/>
  <c r="D148"/>
  <c r="C148"/>
  <c r="B148"/>
  <c r="A148"/>
  <c r="E147"/>
  <c r="D147"/>
  <c r="C147"/>
  <c r="B147"/>
  <c r="B1448" i="74" s="1"/>
  <c r="I1448" s="1"/>
  <c r="E637" i="55" s="1"/>
  <c r="Y637" s="1"/>
  <c r="D146" i="75"/>
  <c r="C146"/>
  <c r="B146"/>
  <c r="D145"/>
  <c r="C145"/>
  <c r="B145"/>
  <c r="A144"/>
  <c r="D143"/>
  <c r="C143"/>
  <c r="B143"/>
  <c r="A143"/>
  <c r="D142"/>
  <c r="C142"/>
  <c r="B142"/>
  <c r="A142"/>
  <c r="C141"/>
  <c r="E140"/>
  <c r="D140"/>
  <c r="C140"/>
  <c r="B140"/>
  <c r="A140"/>
  <c r="D139"/>
  <c r="C139"/>
  <c r="B139"/>
  <c r="A139"/>
  <c r="D138"/>
  <c r="C138"/>
  <c r="B138"/>
  <c r="D137"/>
  <c r="C137"/>
  <c r="B137"/>
  <c r="B136"/>
  <c r="A136"/>
  <c r="D135"/>
  <c r="C135"/>
  <c r="B135"/>
  <c r="A135"/>
  <c r="D134"/>
  <c r="C134"/>
  <c r="F134" s="1"/>
  <c r="B134"/>
  <c r="A134"/>
  <c r="D133"/>
  <c r="C133"/>
  <c r="F133" s="1"/>
  <c r="B133"/>
  <c r="A133"/>
  <c r="E132"/>
  <c r="D132"/>
  <c r="C132"/>
  <c r="F132" s="1"/>
  <c r="B132"/>
  <c r="A132"/>
  <c r="D131"/>
  <c r="C131"/>
  <c r="B131"/>
  <c r="A131"/>
  <c r="D130"/>
  <c r="C130"/>
  <c r="B130"/>
  <c r="A130"/>
  <c r="C129"/>
  <c r="D128"/>
  <c r="C128"/>
  <c r="B128"/>
  <c r="A128"/>
  <c r="E127"/>
  <c r="D127"/>
  <c r="C127"/>
  <c r="B127"/>
  <c r="A127"/>
  <c r="D126"/>
  <c r="C126"/>
  <c r="B126"/>
  <c r="A126"/>
  <c r="D125"/>
  <c r="C125"/>
  <c r="B125"/>
  <c r="A125"/>
  <c r="C124"/>
  <c r="C121"/>
  <c r="D120"/>
  <c r="C120"/>
  <c r="B120"/>
  <c r="A120"/>
  <c r="D119"/>
  <c r="C119"/>
  <c r="B119"/>
  <c r="D118"/>
  <c r="C118"/>
  <c r="B118"/>
  <c r="D117"/>
  <c r="C117"/>
  <c r="B117"/>
  <c r="D116"/>
  <c r="C116"/>
  <c r="B116"/>
  <c r="D115"/>
  <c r="C115"/>
  <c r="F115" s="1"/>
  <c r="B115"/>
  <c r="D114"/>
  <c r="C114"/>
  <c r="B114"/>
  <c r="D113"/>
  <c r="C113"/>
  <c r="B113"/>
  <c r="D112"/>
  <c r="C112"/>
  <c r="B112"/>
  <c r="D111"/>
  <c r="C111"/>
  <c r="B111"/>
  <c r="B110"/>
  <c r="A110"/>
  <c r="C109"/>
  <c r="D108"/>
  <c r="C108"/>
  <c r="D107"/>
  <c r="C107"/>
  <c r="D105"/>
  <c r="C105"/>
  <c r="B105"/>
  <c r="D104"/>
  <c r="C104"/>
  <c r="B104"/>
  <c r="B102"/>
  <c r="D101"/>
  <c r="B101"/>
  <c r="A101"/>
  <c r="D99"/>
  <c r="B99"/>
  <c r="A99"/>
  <c r="D98"/>
  <c r="B98"/>
  <c r="A98"/>
  <c r="D97"/>
  <c r="B97"/>
  <c r="A97"/>
  <c r="D96"/>
  <c r="B96"/>
  <c r="A96"/>
  <c r="D95"/>
  <c r="B95"/>
  <c r="A95"/>
  <c r="D94"/>
  <c r="B94"/>
  <c r="A94"/>
  <c r="D93"/>
  <c r="B93"/>
  <c r="A93"/>
  <c r="D89"/>
  <c r="A89"/>
  <c r="D88"/>
  <c r="B88"/>
  <c r="A88"/>
  <c r="D87"/>
  <c r="B87"/>
  <c r="A87"/>
  <c r="D86"/>
  <c r="B86"/>
  <c r="A86"/>
  <c r="D85"/>
  <c r="B85"/>
  <c r="A85"/>
  <c r="D84"/>
  <c r="B84"/>
  <c r="A84"/>
  <c r="D83"/>
  <c r="B83"/>
  <c r="A83"/>
  <c r="D82"/>
  <c r="C82"/>
  <c r="B82"/>
  <c r="D81"/>
  <c r="B81"/>
  <c r="D80"/>
  <c r="B80"/>
  <c r="A80"/>
  <c r="F79"/>
  <c r="B79"/>
  <c r="D78"/>
  <c r="C78"/>
  <c r="B78"/>
  <c r="A78"/>
  <c r="D77"/>
  <c r="C77"/>
  <c r="F77" s="1"/>
  <c r="B77"/>
  <c r="A77"/>
  <c r="E76"/>
  <c r="D76"/>
  <c r="C76"/>
  <c r="B76"/>
  <c r="A76"/>
  <c r="D75"/>
  <c r="C75"/>
  <c r="B75"/>
  <c r="A75"/>
  <c r="D73"/>
  <c r="C73"/>
  <c r="B73"/>
  <c r="D72"/>
  <c r="C72"/>
  <c r="B72"/>
  <c r="B71"/>
  <c r="A71"/>
  <c r="D70"/>
  <c r="C70"/>
  <c r="F70" s="1"/>
  <c r="B70"/>
  <c r="A70"/>
  <c r="D69"/>
  <c r="C69"/>
  <c r="B69"/>
  <c r="A69"/>
  <c r="D68"/>
  <c r="C68"/>
  <c r="B68"/>
  <c r="A68"/>
  <c r="D67"/>
  <c r="C67"/>
  <c r="B67"/>
  <c r="A67"/>
  <c r="D66"/>
  <c r="C66"/>
  <c r="F66" s="1"/>
  <c r="B66"/>
  <c r="A66"/>
  <c r="D65"/>
  <c r="C65"/>
  <c r="B65"/>
  <c r="A65"/>
  <c r="D64"/>
  <c r="C64"/>
  <c r="B64"/>
  <c r="A64"/>
  <c r="D63"/>
  <c r="C63"/>
  <c r="B63"/>
  <c r="A63"/>
  <c r="D62"/>
  <c r="B62"/>
  <c r="A62"/>
  <c r="D61"/>
  <c r="B61"/>
  <c r="A61"/>
  <c r="D60"/>
  <c r="B60"/>
  <c r="A60"/>
  <c r="D58"/>
  <c r="B58"/>
  <c r="A58"/>
  <c r="D57"/>
  <c r="B57"/>
  <c r="A57"/>
  <c r="D56"/>
  <c r="B56"/>
  <c r="D55"/>
  <c r="B55"/>
  <c r="D54"/>
  <c r="B54"/>
  <c r="A54"/>
  <c r="B53"/>
  <c r="A53"/>
  <c r="D50"/>
  <c r="B50"/>
  <c r="A50"/>
  <c r="D49"/>
  <c r="B49"/>
  <c r="A49"/>
  <c r="D48"/>
  <c r="B48"/>
  <c r="A48"/>
  <c r="D47"/>
  <c r="B47"/>
  <c r="A47"/>
  <c r="D46"/>
  <c r="B46"/>
  <c r="A46"/>
  <c r="D45"/>
  <c r="B45"/>
  <c r="A45"/>
  <c r="D44"/>
  <c r="B44"/>
  <c r="A44"/>
  <c r="D43"/>
  <c r="B43"/>
  <c r="A43"/>
  <c r="D42"/>
  <c r="B42"/>
  <c r="A42"/>
  <c r="D41"/>
  <c r="B41"/>
  <c r="D40"/>
  <c r="B40"/>
  <c r="B39"/>
  <c r="A39"/>
  <c r="D35"/>
  <c r="B35"/>
  <c r="A35"/>
  <c r="D34"/>
  <c r="B34"/>
  <c r="D33"/>
  <c r="B33"/>
  <c r="B32"/>
  <c r="D31"/>
  <c r="B31"/>
  <c r="D30"/>
  <c r="B30"/>
  <c r="B29"/>
  <c r="D27"/>
  <c r="B27"/>
  <c r="D26"/>
  <c r="B26"/>
  <c r="D25"/>
  <c r="B25"/>
  <c r="B24"/>
  <c r="A24"/>
  <c r="D23"/>
  <c r="B23"/>
  <c r="D22"/>
  <c r="B22"/>
  <c r="D21"/>
  <c r="B21"/>
  <c r="B20"/>
  <c r="A20"/>
  <c r="C19"/>
  <c r="C18"/>
  <c r="C17"/>
  <c r="D15"/>
  <c r="B15"/>
  <c r="A15"/>
  <c r="C14"/>
  <c r="D13"/>
  <c r="B13"/>
  <c r="A13"/>
  <c r="C12"/>
  <c r="D11"/>
  <c r="B11"/>
  <c r="A11"/>
  <c r="D10"/>
  <c r="B10"/>
  <c r="D9"/>
  <c r="B9"/>
  <c r="D8"/>
  <c r="B8"/>
  <c r="A8"/>
  <c r="D7"/>
  <c r="B7"/>
  <c r="D6"/>
  <c r="B6"/>
  <c r="B5"/>
  <c r="A5"/>
  <c r="A1"/>
  <c r="Y603" i="55"/>
  <c r="E28" i="75"/>
  <c r="I420" i="74"/>
  <c r="E114" i="75"/>
  <c r="F114" s="1"/>
  <c r="I1222" i="74"/>
  <c r="I1220"/>
  <c r="F1221"/>
  <c r="I1221" s="1"/>
  <c r="I304"/>
  <c r="F164" i="75" l="1"/>
  <c r="F165"/>
  <c r="E175"/>
  <c r="F175" s="1"/>
  <c r="Y174" i="55"/>
  <c r="Y520"/>
  <c r="E149" i="75"/>
  <c r="F149" s="1"/>
  <c r="E646" i="55"/>
  <c r="Y646" s="1"/>
  <c r="F167" i="75"/>
  <c r="F168"/>
  <c r="F169"/>
  <c r="F170"/>
  <c r="F171"/>
  <c r="F172"/>
  <c r="F140"/>
  <c r="F147"/>
  <c r="F150"/>
  <c r="F127"/>
  <c r="F154"/>
  <c r="F82"/>
  <c r="F76"/>
  <c r="I1219" i="74"/>
  <c r="E51" i="75" l="1"/>
  <c r="Y512" i="55"/>
  <c r="I1426" i="74"/>
  <c r="I1374"/>
  <c r="I1373"/>
  <c r="I1371"/>
  <c r="I1370"/>
  <c r="I1360"/>
  <c r="I1361"/>
  <c r="I1359"/>
  <c r="I1358"/>
  <c r="I1357"/>
  <c r="I1356"/>
  <c r="I1355"/>
  <c r="I1354"/>
  <c r="I1338"/>
  <c r="I1330"/>
  <c r="I1334"/>
  <c r="I1336"/>
  <c r="I1335"/>
  <c r="I1333"/>
  <c r="I1332"/>
  <c r="I1331"/>
  <c r="I1329"/>
  <c r="I1209"/>
  <c r="I1208"/>
  <c r="I1217"/>
  <c r="F1205"/>
  <c r="I1137"/>
  <c r="I1136"/>
  <c r="I1135"/>
  <c r="I1134"/>
  <c r="I1133"/>
  <c r="I1132"/>
  <c r="I1131"/>
  <c r="I1130"/>
  <c r="I1129"/>
  <c r="I1111"/>
  <c r="I770"/>
  <c r="I769"/>
  <c r="I747"/>
  <c r="I651"/>
  <c r="I643"/>
  <c r="I641"/>
  <c r="I640"/>
  <c r="I628"/>
  <c r="I317"/>
  <c r="I562"/>
  <c r="I563"/>
  <c r="G561"/>
  <c r="I557"/>
  <c r="I556"/>
  <c r="G555"/>
  <c r="I315"/>
  <c r="I316"/>
  <c r="I255"/>
  <c r="F261"/>
  <c r="G254"/>
  <c r="I247"/>
  <c r="I176"/>
  <c r="I191"/>
  <c r="I158"/>
  <c r="I162"/>
  <c r="I144"/>
  <c r="I116"/>
  <c r="G60"/>
  <c r="G44"/>
  <c r="I33"/>
  <c r="I22"/>
  <c r="I23"/>
  <c r="I1493"/>
  <c r="E861" i="55" s="1"/>
  <c r="I1425" i="74"/>
  <c r="I1424"/>
  <c r="I1423"/>
  <c r="I1422"/>
  <c r="I1421"/>
  <c r="I1420"/>
  <c r="I576"/>
  <c r="I578" s="1"/>
  <c r="I1519"/>
  <c r="I1458"/>
  <c r="I1048"/>
  <c r="I1488"/>
  <c r="E792" i="55" s="1"/>
  <c r="Y792" s="1"/>
  <c r="I1487" i="74"/>
  <c r="E791" i="55" s="1"/>
  <c r="Y791" s="1"/>
  <c r="I1512" i="74"/>
  <c r="I1511"/>
  <c r="I1510"/>
  <c r="I1509"/>
  <c r="I1508"/>
  <c r="I1507"/>
  <c r="I1506"/>
  <c r="I1505"/>
  <c r="I1504"/>
  <c r="I1503"/>
  <c r="K1495"/>
  <c r="I1502"/>
  <c r="I1471"/>
  <c r="I1469"/>
  <c r="I1467"/>
  <c r="I1461"/>
  <c r="I1460"/>
  <c r="I1450"/>
  <c r="I1446"/>
  <c r="I1445"/>
  <c r="I1442"/>
  <c r="I1441"/>
  <c r="I998"/>
  <c r="I997"/>
  <c r="I996"/>
  <c r="I995"/>
  <c r="I994"/>
  <c r="I993"/>
  <c r="I992"/>
  <c r="I991"/>
  <c r="I990"/>
  <c r="I989"/>
  <c r="I988"/>
  <c r="I987"/>
  <c r="I986"/>
  <c r="I985"/>
  <c r="I984"/>
  <c r="I970"/>
  <c r="E620" i="55" s="1"/>
  <c r="Y620" s="1"/>
  <c r="I961" i="74"/>
  <c r="I950"/>
  <c r="E617" i="55" s="1"/>
  <c r="Y617" s="1"/>
  <c r="I947" i="74"/>
  <c r="I946"/>
  <c r="I945"/>
  <c r="I944"/>
  <c r="I943"/>
  <c r="I942"/>
  <c r="I941"/>
  <c r="I940"/>
  <c r="I939"/>
  <c r="I933"/>
  <c r="I932"/>
  <c r="I931"/>
  <c r="I930"/>
  <c r="I929"/>
  <c r="I928"/>
  <c r="I927"/>
  <c r="I926"/>
  <c r="I925"/>
  <c r="I924"/>
  <c r="I923"/>
  <c r="I922"/>
  <c r="I919"/>
  <c r="I918"/>
  <c r="I917"/>
  <c r="I916"/>
  <c r="I915"/>
  <c r="I914"/>
  <c r="I913"/>
  <c r="I912"/>
  <c r="I911"/>
  <c r="I910"/>
  <c r="I909"/>
  <c r="I908"/>
  <c r="I907"/>
  <c r="I906"/>
  <c r="I905"/>
  <c r="I904"/>
  <c r="I1417"/>
  <c r="I1413"/>
  <c r="I1412"/>
  <c r="I1410"/>
  <c r="I1406"/>
  <c r="I1405"/>
  <c r="I1400"/>
  <c r="I1399"/>
  <c r="I1393"/>
  <c r="I1365"/>
  <c r="I1364"/>
  <c r="I1363"/>
  <c r="I1362"/>
  <c r="I572"/>
  <c r="I573" s="1"/>
  <c r="I574" s="1"/>
  <c r="I1348"/>
  <c r="I1347"/>
  <c r="I1346"/>
  <c r="I1345"/>
  <c r="I1344"/>
  <c r="I1343"/>
  <c r="I1342"/>
  <c r="I1341"/>
  <c r="I1340"/>
  <c r="I1337"/>
  <c r="J1326"/>
  <c r="H1326"/>
  <c r="I1324"/>
  <c r="IG1305"/>
  <c r="IF1305"/>
  <c r="IE1305"/>
  <c r="ID1305"/>
  <c r="IC1305"/>
  <c r="IB1305"/>
  <c r="IA1305"/>
  <c r="HZ1305"/>
  <c r="HY1305"/>
  <c r="HX1305"/>
  <c r="HW1305"/>
  <c r="HV1305"/>
  <c r="HU1305"/>
  <c r="HT1305"/>
  <c r="HS1305"/>
  <c r="HR1305"/>
  <c r="HQ1305"/>
  <c r="HP1305"/>
  <c r="HO1305"/>
  <c r="HN1305"/>
  <c r="HM1305"/>
  <c r="HL1305"/>
  <c r="HK1305"/>
  <c r="HJ1305"/>
  <c r="HI1305"/>
  <c r="HH1305"/>
  <c r="HG1305"/>
  <c r="HF1305"/>
  <c r="HE1305"/>
  <c r="HD1305"/>
  <c r="HC1305"/>
  <c r="HB1305"/>
  <c r="HA1305"/>
  <c r="GZ1305"/>
  <c r="GY1305"/>
  <c r="GX1305"/>
  <c r="GW1305"/>
  <c r="GV1305"/>
  <c r="GU1305"/>
  <c r="GT1305"/>
  <c r="GS1305"/>
  <c r="GR1305"/>
  <c r="GQ1305"/>
  <c r="GP1305"/>
  <c r="GO1305"/>
  <c r="GN1305"/>
  <c r="GM1305"/>
  <c r="GL1305"/>
  <c r="GK1305"/>
  <c r="GJ1305"/>
  <c r="GI1305"/>
  <c r="GH1305"/>
  <c r="GG1305"/>
  <c r="GF1305"/>
  <c r="GE1305"/>
  <c r="GD1305"/>
  <c r="GC1305"/>
  <c r="GB1305"/>
  <c r="GA1305"/>
  <c r="FZ1305"/>
  <c r="FY1305"/>
  <c r="FX1305"/>
  <c r="FW1305"/>
  <c r="FV1305"/>
  <c r="FU1305"/>
  <c r="FT1305"/>
  <c r="FS1305"/>
  <c r="FR1305"/>
  <c r="FQ1305"/>
  <c r="FP1305"/>
  <c r="FO1305"/>
  <c r="FN1305"/>
  <c r="FM1305"/>
  <c r="FL1305"/>
  <c r="FK1305"/>
  <c r="FJ1305"/>
  <c r="FI1305"/>
  <c r="FH1305"/>
  <c r="FG1305"/>
  <c r="FF1305"/>
  <c r="FE1305"/>
  <c r="FD1305"/>
  <c r="FC1305"/>
  <c r="FB1305"/>
  <c r="FA1305"/>
  <c r="EZ1305"/>
  <c r="EY1305"/>
  <c r="EX1305"/>
  <c r="EW1305"/>
  <c r="EV1305"/>
  <c r="EU1305"/>
  <c r="ET1305"/>
  <c r="ES1305"/>
  <c r="ER1305"/>
  <c r="EQ1305"/>
  <c r="EP1305"/>
  <c r="EO1305"/>
  <c r="EN1305"/>
  <c r="EM1305"/>
  <c r="EL1305"/>
  <c r="EK1305"/>
  <c r="EJ1305"/>
  <c r="EI1305"/>
  <c r="EH1305"/>
  <c r="EG1305"/>
  <c r="EF1305"/>
  <c r="EE1305"/>
  <c r="ED1305"/>
  <c r="EC1305"/>
  <c r="EB1305"/>
  <c r="EA1305"/>
  <c r="DZ1305"/>
  <c r="DY1305"/>
  <c r="DX1305"/>
  <c r="DW1305"/>
  <c r="DV1305"/>
  <c r="DU1305"/>
  <c r="DT1305"/>
  <c r="DS1305"/>
  <c r="DR1305"/>
  <c r="DQ1305"/>
  <c r="DP1305"/>
  <c r="DO1305"/>
  <c r="DN1305"/>
  <c r="DM1305"/>
  <c r="DL1305"/>
  <c r="DK1305"/>
  <c r="DJ1305"/>
  <c r="DI1305"/>
  <c r="DH1305"/>
  <c r="DG1305"/>
  <c r="DF1305"/>
  <c r="DE1305"/>
  <c r="DD1305"/>
  <c r="DC1305"/>
  <c r="DB1305"/>
  <c r="DA1305"/>
  <c r="CZ1305"/>
  <c r="CY1305"/>
  <c r="CX1305"/>
  <c r="CW1305"/>
  <c r="CV1305"/>
  <c r="CU1305"/>
  <c r="CT1305"/>
  <c r="CS1305"/>
  <c r="CR1305"/>
  <c r="CQ1305"/>
  <c r="CP1305"/>
  <c r="CO1305"/>
  <c r="CN1305"/>
  <c r="CM1305"/>
  <c r="CL1305"/>
  <c r="CK1305"/>
  <c r="CJ1305"/>
  <c r="CI1305"/>
  <c r="CH1305"/>
  <c r="CG1305"/>
  <c r="CF1305"/>
  <c r="CE1305"/>
  <c r="CD1305"/>
  <c r="CC1305"/>
  <c r="CB1305"/>
  <c r="CA1305"/>
  <c r="BZ1305"/>
  <c r="BY1305"/>
  <c r="BX1305"/>
  <c r="BW1305"/>
  <c r="BV1305"/>
  <c r="BU1305"/>
  <c r="BT1305"/>
  <c r="BS1305"/>
  <c r="BR1305"/>
  <c r="BQ1305"/>
  <c r="BP1305"/>
  <c r="BO1305"/>
  <c r="BN1305"/>
  <c r="BM1305"/>
  <c r="BL1305"/>
  <c r="BK1305"/>
  <c r="BJ1305"/>
  <c r="BI1305"/>
  <c r="BH1305"/>
  <c r="BG1305"/>
  <c r="BF1305"/>
  <c r="BE1305"/>
  <c r="BD1305"/>
  <c r="BC1305"/>
  <c r="BB1305"/>
  <c r="BA1305"/>
  <c r="AZ1305"/>
  <c r="AY1305"/>
  <c r="AX1305"/>
  <c r="AW1305"/>
  <c r="AV1305"/>
  <c r="AU1305"/>
  <c r="AT1305"/>
  <c r="AS1305"/>
  <c r="AR1305"/>
  <c r="AQ1305"/>
  <c r="AP1305"/>
  <c r="AO1305"/>
  <c r="AN1305"/>
  <c r="AM1305"/>
  <c r="AL1305"/>
  <c r="AK1305"/>
  <c r="AJ1305"/>
  <c r="AI1305"/>
  <c r="AH1305"/>
  <c r="AG1305"/>
  <c r="AF1305"/>
  <c r="AE1305"/>
  <c r="AD1305"/>
  <c r="AC1305"/>
  <c r="AB1305"/>
  <c r="I1323"/>
  <c r="I1322"/>
  <c r="I1321"/>
  <c r="I1320"/>
  <c r="I1319"/>
  <c r="I1318"/>
  <c r="I1317"/>
  <c r="I1316"/>
  <c r="I1315"/>
  <c r="I1314"/>
  <c r="I1299"/>
  <c r="I1300" s="1"/>
  <c r="I1297"/>
  <c r="I1298" s="1"/>
  <c r="I1294"/>
  <c r="I1295" s="1"/>
  <c r="I1308"/>
  <c r="I1310" s="1"/>
  <c r="I1311" s="1"/>
  <c r="I1304"/>
  <c r="I1306" s="1"/>
  <c r="I1307" s="1"/>
  <c r="I1290"/>
  <c r="I1289"/>
  <c r="I1288"/>
  <c r="I1287"/>
  <c r="I1283"/>
  <c r="I1282"/>
  <c r="I1277"/>
  <c r="I1276"/>
  <c r="I1275"/>
  <c r="I1274"/>
  <c r="I1273"/>
  <c r="I1272"/>
  <c r="I1271"/>
  <c r="I1270"/>
  <c r="I1269"/>
  <c r="I1267"/>
  <c r="I1266"/>
  <c r="I1265"/>
  <c r="I1263"/>
  <c r="I1262"/>
  <c r="I1261"/>
  <c r="I1260"/>
  <c r="I1259"/>
  <c r="I1258"/>
  <c r="I1257"/>
  <c r="I1256"/>
  <c r="I1255"/>
  <c r="I1254"/>
  <c r="I1253"/>
  <c r="I1252"/>
  <c r="I1251"/>
  <c r="I1250"/>
  <c r="I1248"/>
  <c r="I1247"/>
  <c r="I1246"/>
  <c r="I1245"/>
  <c r="I1244"/>
  <c r="I1243"/>
  <c r="I1242"/>
  <c r="I1240"/>
  <c r="I1239"/>
  <c r="I1238"/>
  <c r="I1237"/>
  <c r="I1236"/>
  <c r="I1235"/>
  <c r="I1232"/>
  <c r="H1231"/>
  <c r="I1231" s="1"/>
  <c r="I1230"/>
  <c r="H1229"/>
  <c r="I1229" s="1"/>
  <c r="H1228"/>
  <c r="I1228" s="1"/>
  <c r="I1216"/>
  <c r="I1215"/>
  <c r="I1214"/>
  <c r="I1213"/>
  <c r="I1212"/>
  <c r="I1211"/>
  <c r="I1207"/>
  <c r="I1206"/>
  <c r="I1205"/>
  <c r="I1204"/>
  <c r="I1203"/>
  <c r="I1202"/>
  <c r="I1201"/>
  <c r="I1200"/>
  <c r="I1199"/>
  <c r="I1198"/>
  <c r="I1196"/>
  <c r="I1195"/>
  <c r="I1194"/>
  <c r="I1193"/>
  <c r="I1192"/>
  <c r="I1191"/>
  <c r="I1190"/>
  <c r="I1189"/>
  <c r="I1187"/>
  <c r="I1186"/>
  <c r="I1185"/>
  <c r="I1184"/>
  <c r="I1183"/>
  <c r="I1182"/>
  <c r="I1181"/>
  <c r="I1180"/>
  <c r="I1179"/>
  <c r="I1178"/>
  <c r="I1177"/>
  <c r="I1176"/>
  <c r="I1175"/>
  <c r="I1174"/>
  <c r="I1173"/>
  <c r="I1172"/>
  <c r="I1171"/>
  <c r="I1170"/>
  <c r="I1169"/>
  <c r="I1168"/>
  <c r="I1167"/>
  <c r="I1166"/>
  <c r="I1165"/>
  <c r="I1164"/>
  <c r="I1163"/>
  <c r="I1162"/>
  <c r="I1161"/>
  <c r="I1160"/>
  <c r="I1159"/>
  <c r="I1158"/>
  <c r="I1156"/>
  <c r="I1155"/>
  <c r="I1154"/>
  <c r="I1153"/>
  <c r="I1152"/>
  <c r="I1151"/>
  <c r="I1150"/>
  <c r="I1149"/>
  <c r="I1148"/>
  <c r="I1147"/>
  <c r="I1146"/>
  <c r="I1145"/>
  <c r="I1144"/>
  <c r="I1143"/>
  <c r="I1142"/>
  <c r="I1141"/>
  <c r="I1140"/>
  <c r="I1139"/>
  <c r="B1127"/>
  <c r="I1123"/>
  <c r="I1122"/>
  <c r="I1121"/>
  <c r="I1120"/>
  <c r="I1119"/>
  <c r="I1118"/>
  <c r="I1117"/>
  <c r="I1116"/>
  <c r="I1115"/>
  <c r="I1114"/>
  <c r="I1113"/>
  <c r="I1110"/>
  <c r="I1109"/>
  <c r="I1108"/>
  <c r="I1107"/>
  <c r="I1106"/>
  <c r="I1105"/>
  <c r="I1104"/>
  <c r="I1103"/>
  <c r="I1102"/>
  <c r="I1101"/>
  <c r="I1100"/>
  <c r="I1099"/>
  <c r="I1098"/>
  <c r="I1097"/>
  <c r="I1096"/>
  <c r="I1095"/>
  <c r="I1094"/>
  <c r="M1068"/>
  <c r="N1068" s="1"/>
  <c r="I1091"/>
  <c r="M1067"/>
  <c r="N1067" s="1"/>
  <c r="I1090"/>
  <c r="M1066"/>
  <c r="N1066" s="1"/>
  <c r="I1089"/>
  <c r="M1065"/>
  <c r="N1065" s="1"/>
  <c r="I1088"/>
  <c r="I1042"/>
  <c r="I1040"/>
  <c r="I1041" s="1"/>
  <c r="I1038"/>
  <c r="I1037"/>
  <c r="I1034"/>
  <c r="I1033"/>
  <c r="I1030"/>
  <c r="I1029"/>
  <c r="I1027"/>
  <c r="I1025"/>
  <c r="I1014"/>
  <c r="I1002"/>
  <c r="I976"/>
  <c r="I975"/>
  <c r="I1484"/>
  <c r="E790" i="55" s="1"/>
  <c r="I1483" i="74"/>
  <c r="E789" i="55" s="1"/>
  <c r="I1481" i="74"/>
  <c r="E787" i="55" s="1"/>
  <c r="I1480" i="74"/>
  <c r="E786" i="55" s="1"/>
  <c r="I1477" i="74"/>
  <c r="I1475"/>
  <c r="I900"/>
  <c r="I1490"/>
  <c r="E793" i="55" s="1"/>
  <c r="Y793" s="1"/>
  <c r="I897" i="74"/>
  <c r="I894"/>
  <c r="I895" s="1"/>
  <c r="I891"/>
  <c r="I892" s="1"/>
  <c r="E386" i="55" s="1"/>
  <c r="Y386" s="1"/>
  <c r="I888" i="74"/>
  <c r="I889" s="1"/>
  <c r="E385" i="55" s="1"/>
  <c r="Y385" s="1"/>
  <c r="I885" i="74"/>
  <c r="E884"/>
  <c r="I884" s="1"/>
  <c r="I883"/>
  <c r="I882"/>
  <c r="I880"/>
  <c r="I879"/>
  <c r="I878"/>
  <c r="I849"/>
  <c r="I848"/>
  <c r="I843"/>
  <c r="I844" s="1"/>
  <c r="G845" s="1"/>
  <c r="I845" s="1"/>
  <c r="I819"/>
  <c r="I818"/>
  <c r="I817"/>
  <c r="I816"/>
  <c r="I815"/>
  <c r="F802"/>
  <c r="F807" s="1"/>
  <c r="F801"/>
  <c r="I801" s="1"/>
  <c r="I797"/>
  <c r="I802" s="1"/>
  <c r="I807" s="1"/>
  <c r="I796"/>
  <c r="I789"/>
  <c r="I788"/>
  <c r="I787"/>
  <c r="I786"/>
  <c r="I785"/>
  <c r="I784"/>
  <c r="I783"/>
  <c r="I782"/>
  <c r="I781"/>
  <c r="I780"/>
  <c r="I779"/>
  <c r="I778"/>
  <c r="I777"/>
  <c r="I776"/>
  <c r="I775"/>
  <c r="F774"/>
  <c r="I774" s="1"/>
  <c r="I773"/>
  <c r="I772"/>
  <c r="I771"/>
  <c r="I768"/>
  <c r="I767"/>
  <c r="I766"/>
  <c r="I765"/>
  <c r="I764"/>
  <c r="I763"/>
  <c r="I762"/>
  <c r="I761"/>
  <c r="I759"/>
  <c r="I758"/>
  <c r="I757"/>
  <c r="I756"/>
  <c r="I755"/>
  <c r="I754"/>
  <c r="I753"/>
  <c r="I752"/>
  <c r="I751"/>
  <c r="I750"/>
  <c r="I749"/>
  <c r="I748"/>
  <c r="I746"/>
  <c r="I745"/>
  <c r="I744"/>
  <c r="I743"/>
  <c r="I742"/>
  <c r="I741"/>
  <c r="I740"/>
  <c r="I734"/>
  <c r="I733"/>
  <c r="I732"/>
  <c r="I723"/>
  <c r="I722"/>
  <c r="I721"/>
  <c r="I720"/>
  <c r="I719"/>
  <c r="I718"/>
  <c r="I717"/>
  <c r="I716"/>
  <c r="I715"/>
  <c r="I714"/>
  <c r="I713"/>
  <c r="I712"/>
  <c r="I711"/>
  <c r="I710"/>
  <c r="I709"/>
  <c r="I708"/>
  <c r="I707"/>
  <c r="I706"/>
  <c r="I705"/>
  <c r="I704"/>
  <c r="I703"/>
  <c r="I702"/>
  <c r="I701"/>
  <c r="I700"/>
  <c r="I699"/>
  <c r="I698"/>
  <c r="I697"/>
  <c r="I696"/>
  <c r="I694"/>
  <c r="I693"/>
  <c r="I692"/>
  <c r="I691"/>
  <c r="I690"/>
  <c r="I689"/>
  <c r="I688"/>
  <c r="I687"/>
  <c r="I686"/>
  <c r="I685"/>
  <c r="I684"/>
  <c r="I683"/>
  <c r="I682"/>
  <c r="I681"/>
  <c r="I680"/>
  <c r="I679"/>
  <c r="I678"/>
  <c r="I677"/>
  <c r="I676"/>
  <c r="I675"/>
  <c r="I674"/>
  <c r="I673"/>
  <c r="I672"/>
  <c r="I671"/>
  <c r="I670"/>
  <c r="I669"/>
  <c r="I668"/>
  <c r="I667"/>
  <c r="I665"/>
  <c r="I664"/>
  <c r="I663"/>
  <c r="I662"/>
  <c r="I661"/>
  <c r="I660"/>
  <c r="I658"/>
  <c r="I657"/>
  <c r="I656"/>
  <c r="I655"/>
  <c r="I654"/>
  <c r="I653"/>
  <c r="I652"/>
  <c r="I647"/>
  <c r="I650"/>
  <c r="I649"/>
  <c r="I648"/>
  <c r="I646"/>
  <c r="I644"/>
  <c r="I645"/>
  <c r="I639"/>
  <c r="I638"/>
  <c r="I637"/>
  <c r="I636"/>
  <c r="I635"/>
  <c r="I634"/>
  <c r="I633"/>
  <c r="I632"/>
  <c r="I631"/>
  <c r="I630"/>
  <c r="I629"/>
  <c r="I627"/>
  <c r="I626"/>
  <c r="I625"/>
  <c r="I624"/>
  <c r="I623"/>
  <c r="I622"/>
  <c r="I615"/>
  <c r="I614"/>
  <c r="I613"/>
  <c r="I612"/>
  <c r="I611"/>
  <c r="I610"/>
  <c r="I609"/>
  <c r="I608"/>
  <c r="I607"/>
  <c r="I606"/>
  <c r="I605"/>
  <c r="I603"/>
  <c r="I602"/>
  <c r="I601"/>
  <c r="I600"/>
  <c r="I599"/>
  <c r="I598"/>
  <c r="I597"/>
  <c r="I596"/>
  <c r="I595"/>
  <c r="I594"/>
  <c r="I593"/>
  <c r="I591"/>
  <c r="I590"/>
  <c r="I589"/>
  <c r="I588"/>
  <c r="I587"/>
  <c r="I586"/>
  <c r="I585"/>
  <c r="I584"/>
  <c r="I583"/>
  <c r="I582"/>
  <c r="I568"/>
  <c r="I567"/>
  <c r="I566"/>
  <c r="I565"/>
  <c r="C564"/>
  <c r="I564" s="1"/>
  <c r="I555"/>
  <c r="I554"/>
  <c r="I553"/>
  <c r="I552"/>
  <c r="I551"/>
  <c r="I550"/>
  <c r="I549"/>
  <c r="I548"/>
  <c r="I547"/>
  <c r="I546"/>
  <c r="I545"/>
  <c r="I544"/>
  <c r="I543"/>
  <c r="I540"/>
  <c r="I541" s="1"/>
  <c r="B540"/>
  <c r="I537"/>
  <c r="I538" s="1"/>
  <c r="I533"/>
  <c r="I532"/>
  <c r="I528"/>
  <c r="I527"/>
  <c r="I521"/>
  <c r="I520"/>
  <c r="C519"/>
  <c r="I519" s="1"/>
  <c r="I515"/>
  <c r="I514"/>
  <c r="I513"/>
  <c r="I512"/>
  <c r="I1082"/>
  <c r="I1081"/>
  <c r="I1080"/>
  <c r="I1076"/>
  <c r="I1075"/>
  <c r="I1074"/>
  <c r="I1073"/>
  <c r="I1072"/>
  <c r="I1071"/>
  <c r="I1068"/>
  <c r="I1069" s="1"/>
  <c r="E474" i="55" s="1"/>
  <c r="Y474" s="1"/>
  <c r="I1063" i="74"/>
  <c r="I1062"/>
  <c r="I1061"/>
  <c r="I1057"/>
  <c r="I1056"/>
  <c r="I1055"/>
  <c r="I1054"/>
  <c r="I1053"/>
  <c r="I1052"/>
  <c r="I506"/>
  <c r="I505"/>
  <c r="I504"/>
  <c r="I503"/>
  <c r="I502"/>
  <c r="I501"/>
  <c r="I500"/>
  <c r="I499"/>
  <c r="I498"/>
  <c r="I495"/>
  <c r="H494"/>
  <c r="I494" s="1"/>
  <c r="I493"/>
  <c r="H492"/>
  <c r="I492" s="1"/>
  <c r="H491"/>
  <c r="I491" s="1"/>
  <c r="I489"/>
  <c r="I488"/>
  <c r="I487"/>
  <c r="I486"/>
  <c r="I468"/>
  <c r="I469" s="1"/>
  <c r="I465"/>
  <c r="I466" s="1"/>
  <c r="I459"/>
  <c r="I458"/>
  <c r="I454"/>
  <c r="I453"/>
  <c r="I452"/>
  <c r="I451"/>
  <c r="I445"/>
  <c r="I444"/>
  <c r="I443"/>
  <c r="I442"/>
  <c r="I441"/>
  <c r="I440"/>
  <c r="I439"/>
  <c r="I435"/>
  <c r="I434"/>
  <c r="I433"/>
  <c r="I432"/>
  <c r="I431"/>
  <c r="I430"/>
  <c r="I429"/>
  <c r="I428"/>
  <c r="I427"/>
  <c r="I426"/>
  <c r="I425"/>
  <c r="I418"/>
  <c r="I417"/>
  <c r="I416"/>
  <c r="I415"/>
  <c r="I414"/>
  <c r="I413"/>
  <c r="I409"/>
  <c r="I408"/>
  <c r="I407"/>
  <c r="I406"/>
  <c r="I405"/>
  <c r="I404"/>
  <c r="I403"/>
  <c r="I402"/>
  <c r="I401"/>
  <c r="I400"/>
  <c r="I399"/>
  <c r="I398"/>
  <c r="I397"/>
  <c r="I396"/>
  <c r="I395"/>
  <c r="I394"/>
  <c r="I393"/>
  <c r="I392"/>
  <c r="I391"/>
  <c r="I390"/>
  <c r="I389"/>
  <c r="I388"/>
  <c r="I387"/>
  <c r="I386"/>
  <c r="I385"/>
  <c r="I384"/>
  <c r="I383"/>
  <c r="I382"/>
  <c r="I381"/>
  <c r="I380"/>
  <c r="I379"/>
  <c r="I378"/>
  <c r="I377"/>
  <c r="I376"/>
  <c r="I375"/>
  <c r="I374"/>
  <c r="I373"/>
  <c r="I372"/>
  <c r="I371"/>
  <c r="I370"/>
  <c r="I369"/>
  <c r="I368"/>
  <c r="I364"/>
  <c r="I363"/>
  <c r="I362"/>
  <c r="I361"/>
  <c r="I360"/>
  <c r="I359"/>
  <c r="I358"/>
  <c r="I357"/>
  <c r="I356"/>
  <c r="I355"/>
  <c r="I354"/>
  <c r="I353"/>
  <c r="I352"/>
  <c r="I351"/>
  <c r="I350"/>
  <c r="I349"/>
  <c r="I348"/>
  <c r="I347"/>
  <c r="I346"/>
  <c r="I345"/>
  <c r="I344"/>
  <c r="I343"/>
  <c r="I342"/>
  <c r="I341"/>
  <c r="I339"/>
  <c r="I338"/>
  <c r="I337"/>
  <c r="I336"/>
  <c r="I335"/>
  <c r="I334"/>
  <c r="I333"/>
  <c r="I332"/>
  <c r="I331"/>
  <c r="I330"/>
  <c r="I329"/>
  <c r="I328"/>
  <c r="I327"/>
  <c r="I326"/>
  <c r="I325"/>
  <c r="I324"/>
  <c r="I323"/>
  <c r="I322"/>
  <c r="I321"/>
  <c r="I320"/>
  <c r="I319"/>
  <c r="I318"/>
  <c r="I314"/>
  <c r="Q313"/>
  <c r="I313"/>
  <c r="I312"/>
  <c r="I311"/>
  <c r="I310"/>
  <c r="I309"/>
  <c r="I303"/>
  <c r="I302"/>
  <c r="I301"/>
  <c r="I300"/>
  <c r="I299"/>
  <c r="I298"/>
  <c r="I294"/>
  <c r="I293"/>
  <c r="I292"/>
  <c r="I291"/>
  <c r="I290"/>
  <c r="I289"/>
  <c r="I288"/>
  <c r="I287"/>
  <c r="I286"/>
  <c r="I285"/>
  <c r="I284"/>
  <c r="I283"/>
  <c r="I282"/>
  <c r="I281"/>
  <c r="I280"/>
  <c r="I279"/>
  <c r="I278"/>
  <c r="I277"/>
  <c r="I276"/>
  <c r="I275"/>
  <c r="I274"/>
  <c r="I273"/>
  <c r="I272"/>
  <c r="I271"/>
  <c r="I270"/>
  <c r="I269"/>
  <c r="I268"/>
  <c r="I267"/>
  <c r="I266"/>
  <c r="I265"/>
  <c r="I264"/>
  <c r="I263"/>
  <c r="I262"/>
  <c r="I261"/>
  <c r="I260"/>
  <c r="I259"/>
  <c r="I258"/>
  <c r="I257"/>
  <c r="I256"/>
  <c r="I254"/>
  <c r="I252"/>
  <c r="I251"/>
  <c r="F250"/>
  <c r="I250" s="1"/>
  <c r="I249"/>
  <c r="I246"/>
  <c r="I245"/>
  <c r="I244"/>
  <c r="I243"/>
  <c r="I242"/>
  <c r="I241"/>
  <c r="I239"/>
  <c r="I238"/>
  <c r="I237"/>
  <c r="I236"/>
  <c r="I235"/>
  <c r="I234"/>
  <c r="I233"/>
  <c r="I232"/>
  <c r="I227"/>
  <c r="I226"/>
  <c r="I225"/>
  <c r="I224"/>
  <c r="I223"/>
  <c r="I222"/>
  <c r="I221"/>
  <c r="I220"/>
  <c r="I219"/>
  <c r="I218"/>
  <c r="I216"/>
  <c r="I215"/>
  <c r="I214"/>
  <c r="I213"/>
  <c r="I212"/>
  <c r="I211"/>
  <c r="I210"/>
  <c r="I209"/>
  <c r="I208"/>
  <c r="I207"/>
  <c r="I206"/>
  <c r="I205"/>
  <c r="I203"/>
  <c r="I202"/>
  <c r="I201"/>
  <c r="I200"/>
  <c r="I199"/>
  <c r="I198"/>
  <c r="I197"/>
  <c r="G196"/>
  <c r="F194"/>
  <c r="I194" s="1"/>
  <c r="I193"/>
  <c r="I190"/>
  <c r="I189"/>
  <c r="I188"/>
  <c r="I187"/>
  <c r="I186"/>
  <c r="I185"/>
  <c r="I184"/>
  <c r="I183"/>
  <c r="I181"/>
  <c r="I180"/>
  <c r="E179"/>
  <c r="I179" s="1"/>
  <c r="E178"/>
  <c r="I178" s="1"/>
  <c r="I177"/>
  <c r="E175"/>
  <c r="I175" s="1"/>
  <c r="I169"/>
  <c r="I168"/>
  <c r="I167"/>
  <c r="I166"/>
  <c r="I165"/>
  <c r="I164"/>
  <c r="I163"/>
  <c r="I157"/>
  <c r="P156"/>
  <c r="I156"/>
  <c r="I155"/>
  <c r="I154"/>
  <c r="I153"/>
  <c r="I152"/>
  <c r="M151"/>
  <c r="I147"/>
  <c r="I146"/>
  <c r="I145"/>
  <c r="I143"/>
  <c r="I142"/>
  <c r="I141"/>
  <c r="I140"/>
  <c r="I139"/>
  <c r="I138"/>
  <c r="I137"/>
  <c r="I136"/>
  <c r="I135"/>
  <c r="I134"/>
  <c r="I132"/>
  <c r="I131"/>
  <c r="I130"/>
  <c r="I129"/>
  <c r="I128"/>
  <c r="I127"/>
  <c r="I125"/>
  <c r="I124"/>
  <c r="I123"/>
  <c r="I122"/>
  <c r="I121"/>
  <c r="I120"/>
  <c r="I118"/>
  <c r="I117"/>
  <c r="I115"/>
  <c r="I114"/>
  <c r="I113"/>
  <c r="I112"/>
  <c r="I111"/>
  <c r="I110"/>
  <c r="I109"/>
  <c r="I106"/>
  <c r="H105"/>
  <c r="I105" s="1"/>
  <c r="I104"/>
  <c r="H103"/>
  <c r="I103" s="1"/>
  <c r="H102"/>
  <c r="H107" s="1"/>
  <c r="I107" s="1"/>
  <c r="I100"/>
  <c r="I99"/>
  <c r="I98"/>
  <c r="I97"/>
  <c r="I80"/>
  <c r="I79"/>
  <c r="I78"/>
  <c r="I77"/>
  <c r="I76"/>
  <c r="I75"/>
  <c r="I74"/>
  <c r="I73"/>
  <c r="I72"/>
  <c r="I70"/>
  <c r="I69"/>
  <c r="M68"/>
  <c r="I68"/>
  <c r="I61"/>
  <c r="I60"/>
  <c r="I59"/>
  <c r="I58"/>
  <c r="I57"/>
  <c r="I56"/>
  <c r="I55"/>
  <c r="I54"/>
  <c r="I53"/>
  <c r="I52"/>
  <c r="L51"/>
  <c r="I51"/>
  <c r="I50"/>
  <c r="I49"/>
  <c r="I48"/>
  <c r="I44"/>
  <c r="I43"/>
  <c r="I42"/>
  <c r="I41"/>
  <c r="I40"/>
  <c r="I39"/>
  <c r="I38"/>
  <c r="I37"/>
  <c r="I36"/>
  <c r="I35"/>
  <c r="I34"/>
  <c r="I32"/>
  <c r="I27"/>
  <c r="I26"/>
  <c r="I25"/>
  <c r="I20"/>
  <c r="P19"/>
  <c r="I19"/>
  <c r="I18"/>
  <c r="I17"/>
  <c r="I16"/>
  <c r="I15"/>
  <c r="I14"/>
  <c r="I13"/>
  <c r="I12"/>
  <c r="I10"/>
  <c r="M9"/>
  <c r="I9"/>
  <c r="M8"/>
  <c r="I8"/>
  <c r="I791" l="1"/>
  <c r="Y786" i="55"/>
  <c r="Z786" s="1"/>
  <c r="Y790"/>
  <c r="Z790" s="1"/>
  <c r="Y789"/>
  <c r="Z789" s="1"/>
  <c r="Y861"/>
  <c r="Z861" s="1"/>
  <c r="Y787"/>
  <c r="Z787" s="1"/>
  <c r="E619"/>
  <c r="Y619" s="1"/>
  <c r="E618"/>
  <c r="Y618" s="1"/>
  <c r="E42" i="75"/>
  <c r="E313" i="55"/>
  <c r="Y313" s="1"/>
  <c r="E59" i="75"/>
  <c r="F59" s="1"/>
  <c r="E362" i="55"/>
  <c r="Y362" s="1"/>
  <c r="E63" i="75"/>
  <c r="F63" s="1"/>
  <c r="E375" i="55"/>
  <c r="Y375" s="1"/>
  <c r="E68" i="75"/>
  <c r="F68" s="1"/>
  <c r="E381" i="55"/>
  <c r="Y381" s="1"/>
  <c r="E74" i="75"/>
  <c r="E387" i="55"/>
  <c r="Y387" s="1"/>
  <c r="E161" i="75"/>
  <c r="F161" s="1"/>
  <c r="E783" i="55"/>
  <c r="Y783" s="1"/>
  <c r="E90" i="75"/>
  <c r="E438" i="55"/>
  <c r="Y438" s="1"/>
  <c r="E97" i="75"/>
  <c r="E452" i="55"/>
  <c r="Y452" s="1"/>
  <c r="E122" i="75"/>
  <c r="E553" i="55"/>
  <c r="Y553" s="1"/>
  <c r="E84" i="75"/>
  <c r="E145"/>
  <c r="F145" s="1"/>
  <c r="E635" i="55"/>
  <c r="Y635" s="1"/>
  <c r="E34" i="75"/>
  <c r="E222" i="55"/>
  <c r="Y222" s="1"/>
  <c r="E107" i="75"/>
  <c r="F107" s="1"/>
  <c r="E62"/>
  <c r="E374" i="55"/>
  <c r="Y374" s="1"/>
  <c r="E67" i="75"/>
  <c r="F67" s="1"/>
  <c r="E380" i="55"/>
  <c r="Y380" s="1"/>
  <c r="E78" i="75"/>
  <c r="F78" s="1"/>
  <c r="E411" i="55"/>
  <c r="Y411" s="1"/>
  <c r="E94" i="75"/>
  <c r="E446" i="55"/>
  <c r="Y446" s="1"/>
  <c r="E100" i="75"/>
  <c r="F100" s="1"/>
  <c r="E650" i="55"/>
  <c r="Y650" s="1"/>
  <c r="E121" i="75"/>
  <c r="F121" s="1"/>
  <c r="E552" i="55"/>
  <c r="Y552" s="1"/>
  <c r="E120" i="75"/>
  <c r="F120" s="1"/>
  <c r="E565" i="55"/>
  <c r="Y565" s="1"/>
  <c r="E137" i="75"/>
  <c r="F137" s="1"/>
  <c r="E609" i="55"/>
  <c r="Y609" s="1"/>
  <c r="E143" i="75"/>
  <c r="F143" s="1"/>
  <c r="E625" i="55"/>
  <c r="Y625" s="1"/>
  <c r="E159" i="75"/>
  <c r="F159" s="1"/>
  <c r="E777" i="55"/>
  <c r="Y777" s="1"/>
  <c r="E152" i="75"/>
  <c r="F152" s="1"/>
  <c r="E657" i="55"/>
  <c r="Y657" s="1"/>
  <c r="E33" i="75"/>
  <c r="E221" i="55"/>
  <c r="Y221" s="1"/>
  <c r="E43" i="75"/>
  <c r="E328" i="55"/>
  <c r="Y328" s="1"/>
  <c r="E65" i="75"/>
  <c r="F65" s="1"/>
  <c r="E377" i="55"/>
  <c r="Y377" s="1"/>
  <c r="E93" i="75"/>
  <c r="E442" i="55"/>
  <c r="Y442" s="1"/>
  <c r="E99" i="75"/>
  <c r="F99" s="1"/>
  <c r="E462" i="55"/>
  <c r="E119" i="75"/>
  <c r="F119" s="1"/>
  <c r="E551" i="55"/>
  <c r="Y551" s="1"/>
  <c r="E139" i="75"/>
  <c r="F139" s="1"/>
  <c r="E611" i="55"/>
  <c r="Y611" s="1"/>
  <c r="E142" i="75"/>
  <c r="F142" s="1"/>
  <c r="E622" i="55"/>
  <c r="Y622" s="1"/>
  <c r="E148" i="75"/>
  <c r="F148" s="1"/>
  <c r="E639" i="55"/>
  <c r="Y639" s="1"/>
  <c r="E158" i="75"/>
  <c r="F158" s="1"/>
  <c r="E776" i="55"/>
  <c r="Y776" s="1"/>
  <c r="E101" i="75"/>
  <c r="E464" i="55"/>
  <c r="Y464" s="1"/>
  <c r="E64" i="75"/>
  <c r="F64" s="1"/>
  <c r="E376" i="55"/>
  <c r="Y376" s="1"/>
  <c r="E69" i="75"/>
  <c r="F69" s="1"/>
  <c r="E382" i="55"/>
  <c r="Y382" s="1"/>
  <c r="E75" i="75"/>
  <c r="F75" s="1"/>
  <c r="E388" i="55"/>
  <c r="Y388" s="1"/>
  <c r="E162" i="75"/>
  <c r="F162" s="1"/>
  <c r="E784" i="55"/>
  <c r="Y784" s="1"/>
  <c r="E92" i="75"/>
  <c r="E441" i="55"/>
  <c r="Y441" s="1"/>
  <c r="E98" i="75"/>
  <c r="E457" i="55"/>
  <c r="Y457" s="1"/>
  <c r="E118" i="75"/>
  <c r="F118" s="1"/>
  <c r="E546" i="55"/>
  <c r="Y546" s="1"/>
  <c r="E46" i="75"/>
  <c r="E342" i="55"/>
  <c r="Y342" s="1"/>
  <c r="E146" i="75"/>
  <c r="F146" s="1"/>
  <c r="E636" i="55"/>
  <c r="Y636" s="1"/>
  <c r="E157" i="75"/>
  <c r="F157" s="1"/>
  <c r="E775" i="55"/>
  <c r="Y775" s="1"/>
  <c r="E47" i="75"/>
  <c r="E343" i="55"/>
  <c r="Y343" s="1"/>
  <c r="E85" i="75"/>
  <c r="E86"/>
  <c r="H873" i="74"/>
  <c r="I873" s="1"/>
  <c r="E73" i="75"/>
  <c r="F73" s="1"/>
  <c r="H872" i="74"/>
  <c r="I872" s="1"/>
  <c r="E72" i="75"/>
  <c r="F72" s="1"/>
  <c r="I421" i="74"/>
  <c r="I618"/>
  <c r="I619" s="1"/>
  <c r="I728" s="1"/>
  <c r="I1387" s="1"/>
  <c r="I305"/>
  <c r="I306" s="1"/>
  <c r="I1392" s="1"/>
  <c r="I365"/>
  <c r="I1223"/>
  <c r="I1224" s="1"/>
  <c r="I1427"/>
  <c r="I1428" s="1"/>
  <c r="I1366"/>
  <c r="I1367" s="1"/>
  <c r="I558"/>
  <c r="I874"/>
  <c r="I875" s="1"/>
  <c r="I91"/>
  <c r="I62" s="1"/>
  <c r="I64" s="1"/>
  <c r="I65" s="1"/>
  <c r="I28"/>
  <c r="I29" s="1"/>
  <c r="I979"/>
  <c r="E433" i="55" s="1"/>
  <c r="Y433" s="1"/>
  <c r="I1401" i="74"/>
  <c r="I1402" s="1"/>
  <c r="I1407"/>
  <c r="I920"/>
  <c r="E614" i="55" s="1"/>
  <c r="Y614" s="1"/>
  <c r="I934" i="74"/>
  <c r="E615" i="55" s="1"/>
  <c r="Y615" s="1"/>
  <c r="I196" i="74"/>
  <c r="I410"/>
  <c r="I411" s="1"/>
  <c r="I422"/>
  <c r="I1077"/>
  <c r="I1078" s="1"/>
  <c r="E475" i="55" s="1"/>
  <c r="Y475" s="1"/>
  <c r="I529" i="74"/>
  <c r="I530" s="1"/>
  <c r="I534"/>
  <c r="I535" s="1"/>
  <c r="I724"/>
  <c r="I725" s="1"/>
  <c r="F1378" s="1"/>
  <c r="I1378" s="1"/>
  <c r="I1379" s="1"/>
  <c r="I1380" s="1"/>
  <c r="I948"/>
  <c r="I999"/>
  <c r="E858" i="55" s="1"/>
  <c r="I1513" i="74"/>
  <c r="I1514" s="1"/>
  <c r="I1031"/>
  <c r="I1035"/>
  <c r="I1124"/>
  <c r="I1125" s="1"/>
  <c r="I1284"/>
  <c r="I1285" s="1"/>
  <c r="I1291"/>
  <c r="I1292" s="1"/>
  <c r="I1325"/>
  <c r="I1326" s="1"/>
  <c r="I1349"/>
  <c r="I1350" s="1"/>
  <c r="I1375"/>
  <c r="I1376" s="1"/>
  <c r="I1414"/>
  <c r="I1415" s="1"/>
  <c r="I1463"/>
  <c r="I45"/>
  <c r="I46" s="1"/>
  <c r="L72"/>
  <c r="I102"/>
  <c r="I148" s="1"/>
  <c r="I149" s="1"/>
  <c r="E504" i="55" s="1"/>
  <c r="Y504" s="1"/>
  <c r="I170" i="74"/>
  <c r="I171" s="1"/>
  <c r="I295"/>
  <c r="I296" s="1"/>
  <c r="E506" i="55" s="1"/>
  <c r="Y506" s="1"/>
  <c r="I366" i="74"/>
  <c r="I436"/>
  <c r="I437" s="1"/>
  <c r="I446"/>
  <c r="I447" s="1"/>
  <c r="I455"/>
  <c r="I456" s="1"/>
  <c r="I460"/>
  <c r="I461" s="1"/>
  <c r="I1058"/>
  <c r="I1059" s="1"/>
  <c r="I1064"/>
  <c r="I1065" s="1"/>
  <c r="E469" i="55" s="1"/>
  <c r="Y469" s="1"/>
  <c r="I1083" i="74"/>
  <c r="I1084" s="1"/>
  <c r="E476" i="55" s="1"/>
  <c r="Y476" s="1"/>
  <c r="I516" i="74"/>
  <c r="I517" s="1"/>
  <c r="I522"/>
  <c r="I523" s="1"/>
  <c r="I559"/>
  <c r="I561"/>
  <c r="I569" s="1"/>
  <c r="I570" s="1"/>
  <c r="I735"/>
  <c r="I736" s="1"/>
  <c r="I792"/>
  <c r="E349" i="55" s="1"/>
  <c r="Y349" s="1"/>
  <c r="I798" i="74"/>
  <c r="I799" s="1"/>
  <c r="I820"/>
  <c r="I821" s="1"/>
  <c r="G822" s="1"/>
  <c r="I822" s="1"/>
  <c r="I823" s="1"/>
  <c r="I850"/>
  <c r="I803"/>
  <c r="I804" s="1"/>
  <c r="H496"/>
  <c r="I496" s="1"/>
  <c r="I507" s="1"/>
  <c r="F806"/>
  <c r="I806" s="1"/>
  <c r="I808" s="1"/>
  <c r="I809" s="1"/>
  <c r="H1233"/>
  <c r="I1233" s="1"/>
  <c r="I1279" s="1"/>
  <c r="I1280" s="1"/>
  <c r="L68"/>
  <c r="Y858" i="55" l="1"/>
  <c r="Z858" s="1"/>
  <c r="Y462"/>
  <c r="Z462" s="1"/>
  <c r="I92" i="74"/>
  <c r="E13" i="75" s="1"/>
  <c r="I508" i="74"/>
  <c r="F362" i="55"/>
  <c r="Z362"/>
  <c r="E56" i="75"/>
  <c r="E353" i="55"/>
  <c r="Y353" s="1"/>
  <c r="E112" i="75"/>
  <c r="F112" s="1"/>
  <c r="E518" i="55"/>
  <c r="Y518" s="1"/>
  <c r="E38" i="75"/>
  <c r="E498" i="55"/>
  <c r="Y498" s="1"/>
  <c r="E104" i="75"/>
  <c r="F104" s="1"/>
  <c r="E468" i="55"/>
  <c r="Y468" s="1"/>
  <c r="E26" i="75"/>
  <c r="E172" i="55"/>
  <c r="Y172" s="1"/>
  <c r="E15" i="75"/>
  <c r="E63" i="55"/>
  <c r="Y63" s="1"/>
  <c r="E12" i="75"/>
  <c r="F12" s="1"/>
  <c r="E48" i="55"/>
  <c r="Y48" s="1"/>
  <c r="E126" i="75"/>
  <c r="F126" s="1"/>
  <c r="E593" i="55"/>
  <c r="Y593" s="1"/>
  <c r="E116" i="75"/>
  <c r="F116" s="1"/>
  <c r="E523" i="55"/>
  <c r="Y523" s="1"/>
  <c r="E174" i="75"/>
  <c r="E780" i="55"/>
  <c r="Y780" s="1"/>
  <c r="E41" i="75"/>
  <c r="E297" i="55"/>
  <c r="Y297" s="1"/>
  <c r="E22" i="75"/>
  <c r="E123" i="55"/>
  <c r="Y123" s="1"/>
  <c r="E135" i="75"/>
  <c r="F135" s="1"/>
  <c r="E604" i="55"/>
  <c r="Y604" s="1"/>
  <c r="E141" i="75"/>
  <c r="F141" s="1"/>
  <c r="E664" i="55"/>
  <c r="Y664" s="1"/>
  <c r="E129" i="75"/>
  <c r="F129" s="1"/>
  <c r="E652" i="55"/>
  <c r="Y652" s="1"/>
  <c r="E49" i="75"/>
  <c r="E348" i="55"/>
  <c r="Y348" s="1"/>
  <c r="E54" i="75"/>
  <c r="E351" i="55"/>
  <c r="Y351" s="1"/>
  <c r="E105" i="75"/>
  <c r="F105" s="1"/>
  <c r="E27"/>
  <c r="E173" i="55"/>
  <c r="Y173" s="1"/>
  <c r="E138" i="75"/>
  <c r="F138" s="1"/>
  <c r="E610" i="55"/>
  <c r="Y610" s="1"/>
  <c r="E117" i="75"/>
  <c r="F117" s="1"/>
  <c r="E536" i="55"/>
  <c r="Y536" s="1"/>
  <c r="E95" i="75"/>
  <c r="E450" i="55"/>
  <c r="Y450" s="1"/>
  <c r="E128" i="75"/>
  <c r="F128" s="1"/>
  <c r="E596" i="55"/>
  <c r="Y596" s="1"/>
  <c r="E23" i="75"/>
  <c r="E124" i="55"/>
  <c r="Y124" s="1"/>
  <c r="E80" i="75"/>
  <c r="E125"/>
  <c r="F125" s="1"/>
  <c r="E591" i="55"/>
  <c r="Y591" s="1"/>
  <c r="E19" i="75"/>
  <c r="F19" s="1"/>
  <c r="E507" i="55"/>
  <c r="Y507" s="1"/>
  <c r="E113" i="75"/>
  <c r="F113" s="1"/>
  <c r="E519" i="55"/>
  <c r="Y519" s="1"/>
  <c r="E6" i="75"/>
  <c r="E7" i="55"/>
  <c r="Y7" s="1"/>
  <c r="E44" i="75"/>
  <c r="E329" i="55"/>
  <c r="Y329" s="1"/>
  <c r="E55" i="75"/>
  <c r="E352" i="55"/>
  <c r="Y352" s="1"/>
  <c r="E58" i="75"/>
  <c r="E361" i="55"/>
  <c r="Y361" s="1"/>
  <c r="E45" i="75"/>
  <c r="E336" i="55"/>
  <c r="Y336" s="1"/>
  <c r="E109" i="75"/>
  <c r="F109" s="1"/>
  <c r="E30"/>
  <c r="E185" i="55"/>
  <c r="Y185" s="1"/>
  <c r="E153" i="75"/>
  <c r="F153" s="1"/>
  <c r="E659" i="55"/>
  <c r="Y659" s="1"/>
  <c r="E123" i="75"/>
  <c r="F123" s="1"/>
  <c r="E554" i="55"/>
  <c r="Y554" s="1"/>
  <c r="E96" i="75"/>
  <c r="E451" i="55"/>
  <c r="Y451" s="1"/>
  <c r="E83" i="75"/>
  <c r="E108"/>
  <c r="F108" s="1"/>
  <c r="E81"/>
  <c r="F81" s="1"/>
  <c r="E35"/>
  <c r="E233" i="55"/>
  <c r="Y233" s="1"/>
  <c r="E37" i="75"/>
  <c r="E497" i="55"/>
  <c r="Y497" s="1"/>
  <c r="E31" i="75"/>
  <c r="E186" i="55"/>
  <c r="Y186" s="1"/>
  <c r="E21" i="75"/>
  <c r="E122" i="55"/>
  <c r="Y122" s="1"/>
  <c r="E11" i="75"/>
  <c r="E39" i="55"/>
  <c r="Y39" s="1"/>
  <c r="E124" i="75"/>
  <c r="F124" s="1"/>
  <c r="E663" i="55"/>
  <c r="Y663" s="1"/>
  <c r="E111" i="75"/>
  <c r="F111" s="1"/>
  <c r="E517" i="55"/>
  <c r="Y517" s="1"/>
  <c r="E40" i="75"/>
  <c r="E296" i="55"/>
  <c r="Y296" s="1"/>
  <c r="E131" i="75"/>
  <c r="F131" s="1"/>
  <c r="E600" i="55"/>
  <c r="Y600" s="1"/>
  <c r="E61" i="75"/>
  <c r="E364" i="55"/>
  <c r="Y364" s="1"/>
  <c r="E89" i="75"/>
  <c r="F89" s="1"/>
  <c r="E87"/>
  <c r="F812" i="74"/>
  <c r="I812" s="1"/>
  <c r="E50" i="75"/>
  <c r="I1391" i="74"/>
  <c r="E18" i="75"/>
  <c r="F18" s="1"/>
  <c r="I1389" i="74"/>
  <c r="E14" i="75"/>
  <c r="F14" s="1"/>
  <c r="I727" i="74"/>
  <c r="I729" s="1"/>
  <c r="I228"/>
  <c r="I229" s="1"/>
  <c r="E505" i="55" s="1"/>
  <c r="Y505" s="1"/>
  <c r="E49" l="1"/>
  <c r="Y49" s="1"/>
  <c r="F554"/>
  <c r="Z554"/>
  <c r="E48" i="75"/>
  <c r="E347" i="55"/>
  <c r="Y347" s="1"/>
  <c r="E57" i="75"/>
  <c r="E354" i="55"/>
  <c r="Y354" s="1"/>
  <c r="I1390" i="74"/>
  <c r="I1394" s="1"/>
  <c r="F1395" s="1"/>
  <c r="I1395" s="1"/>
  <c r="I1396" s="1"/>
  <c r="E17" i="75"/>
  <c r="F1497" i="74"/>
  <c r="I1497" s="1"/>
  <c r="I1498" s="1"/>
  <c r="I1499" s="1"/>
  <c r="E173" i="75" l="1"/>
  <c r="E653" i="55"/>
  <c r="Y653" s="1"/>
  <c r="E130" i="75"/>
  <c r="F130" s="1"/>
  <c r="E599" i="55"/>
  <c r="Y599" s="1"/>
  <c r="F17" i="75"/>
  <c r="W15" i="1"/>
  <c r="W34"/>
  <c r="W35"/>
  <c r="AE8"/>
  <c r="AE9"/>
  <c r="AE10"/>
  <c r="AE11"/>
  <c r="AE12"/>
  <c r="AE13"/>
  <c r="AE14"/>
  <c r="AE15"/>
  <c r="AE16"/>
  <c r="AE17"/>
  <c r="AE18"/>
  <c r="AE19"/>
  <c r="AE20"/>
  <c r="AE21"/>
  <c r="AE22"/>
  <c r="AE23"/>
  <c r="AE24"/>
  <c r="AE25"/>
  <c r="AE26"/>
  <c r="AE27"/>
  <c r="AE28"/>
  <c r="AE29"/>
  <c r="AE30"/>
  <c r="AE31"/>
  <c r="AE32"/>
  <c r="AE33"/>
  <c r="AE34"/>
  <c r="AE35"/>
  <c r="AE36"/>
  <c r="AE7"/>
  <c r="V1331" s="1"/>
  <c r="X1331" s="1"/>
  <c r="AE48"/>
  <c r="AE56"/>
  <c r="AE57"/>
  <c r="AE58"/>
  <c r="AE59"/>
  <c r="AE60"/>
  <c r="AE61"/>
  <c r="AE62"/>
  <c r="AE63"/>
  <c r="AE64"/>
  <c r="AE65"/>
  <c r="AE66"/>
  <c r="AE67"/>
  <c r="AE68"/>
  <c r="AE69"/>
  <c r="AE70"/>
  <c r="AE71"/>
  <c r="AE72"/>
  <c r="AE73"/>
  <c r="AE74"/>
  <c r="AE75"/>
  <c r="AE76"/>
  <c r="AE77"/>
  <c r="AE78"/>
  <c r="AE79"/>
  <c r="AE80"/>
  <c r="AE81"/>
  <c r="AE82"/>
  <c r="AE83"/>
  <c r="AE84"/>
  <c r="AE85"/>
  <c r="AE86"/>
  <c r="AE87"/>
  <c r="AE88"/>
  <c r="AE89"/>
  <c r="AE90"/>
  <c r="AE91"/>
  <c r="AE92"/>
  <c r="AE93"/>
  <c r="AE94"/>
  <c r="AE95"/>
  <c r="AE96"/>
  <c r="AE97"/>
  <c r="AE98"/>
  <c r="AE99"/>
  <c r="AE100"/>
  <c r="AE101"/>
  <c r="AE102"/>
  <c r="AE103"/>
  <c r="AE104"/>
  <c r="AE105"/>
  <c r="AE106"/>
  <c r="AE107"/>
  <c r="AE108"/>
  <c r="AE109"/>
  <c r="AE110"/>
  <c r="AE111"/>
  <c r="AE112"/>
  <c r="AE113"/>
  <c r="AE114"/>
  <c r="AE115"/>
  <c r="AE116"/>
  <c r="AE117"/>
  <c r="AE118"/>
  <c r="AE119"/>
  <c r="AE120"/>
  <c r="AE121"/>
  <c r="AE122"/>
  <c r="AE123"/>
  <c r="AE124"/>
  <c r="AE125"/>
  <c r="Y14"/>
  <c r="Y1342"/>
  <c r="I3259" i="11"/>
  <c r="K3152"/>
  <c r="K3171" s="1"/>
  <c r="K2895"/>
  <c r="P2076" i="1"/>
  <c r="P2069"/>
  <c r="M2079" s="1"/>
  <c r="P2068"/>
  <c r="M2078"/>
  <c r="P2067"/>
  <c r="M2077" s="1"/>
  <c r="P2066"/>
  <c r="M2076" s="1"/>
  <c r="R2076" s="1"/>
  <c r="P2064"/>
  <c r="M2075" s="1"/>
  <c r="P2061"/>
  <c r="P2060"/>
  <c r="P2062" s="1"/>
  <c r="M2074" s="1"/>
  <c r="P2056"/>
  <c r="P2055"/>
  <c r="P2052"/>
  <c r="P2051"/>
  <c r="P2053" s="1"/>
  <c r="P2047"/>
  <c r="P2046"/>
  <c r="P2044"/>
  <c r="AE2785"/>
  <c r="AG2785" s="1"/>
  <c r="V3682"/>
  <c r="X3682" s="1"/>
  <c r="V3684"/>
  <c r="X3684" s="1"/>
  <c r="V1315"/>
  <c r="V645"/>
  <c r="V676" s="1"/>
  <c r="AK55"/>
  <c r="AJ55"/>
  <c r="AE55" s="1"/>
  <c r="P3224" s="1"/>
  <c r="AI55"/>
  <c r="AH55"/>
  <c r="AG55"/>
  <c r="K3733"/>
  <c r="I3636"/>
  <c r="I3742" s="1"/>
  <c r="K3742" s="1"/>
  <c r="AG54"/>
  <c r="AK54"/>
  <c r="K3565" i="11"/>
  <c r="L3565" s="1"/>
  <c r="R3117"/>
  <c r="I3535" i="1"/>
  <c r="AG53"/>
  <c r="AK53"/>
  <c r="AG51"/>
  <c r="AH51"/>
  <c r="AI51"/>
  <c r="AJ51"/>
  <c r="AE51" s="1"/>
  <c r="I3195" s="1"/>
  <c r="AK51"/>
  <c r="AG52"/>
  <c r="AH52"/>
  <c r="AI52"/>
  <c r="AJ52"/>
  <c r="AE52" s="1"/>
  <c r="I3209" s="1"/>
  <c r="K3209" s="1"/>
  <c r="AK52"/>
  <c r="AG50"/>
  <c r="AH50"/>
  <c r="AI50"/>
  <c r="AJ50"/>
  <c r="AE50" s="1"/>
  <c r="I2864" s="1"/>
  <c r="AK50"/>
  <c r="AG49"/>
  <c r="AH49"/>
  <c r="AI49"/>
  <c r="AJ49"/>
  <c r="AE49" s="1"/>
  <c r="AK49"/>
  <c r="I2344"/>
  <c r="K2344" s="1"/>
  <c r="P3115" i="11"/>
  <c r="R3115" s="1"/>
  <c r="I4078"/>
  <c r="K3885"/>
  <c r="K3863"/>
  <c r="K3862"/>
  <c r="I3561"/>
  <c r="K3561"/>
  <c r="N3415"/>
  <c r="M3415"/>
  <c r="N3222"/>
  <c r="M3222"/>
  <c r="K3020"/>
  <c r="H2974"/>
  <c r="I2957"/>
  <c r="L2957"/>
  <c r="I2935"/>
  <c r="I2935" i="27" s="1"/>
  <c r="K2894" i="11"/>
  <c r="K2881"/>
  <c r="I2852"/>
  <c r="I2850"/>
  <c r="I2846"/>
  <c r="C605" i="1"/>
  <c r="P1219" s="1"/>
  <c r="R1219" s="1"/>
  <c r="C599"/>
  <c r="C598"/>
  <c r="Y35"/>
  <c r="Y34"/>
  <c r="E15" i="4"/>
  <c r="E14"/>
  <c r="Q13"/>
  <c r="Z40" i="1" s="1"/>
  <c r="Q12" i="4"/>
  <c r="Z23" i="1" s="1"/>
  <c r="N12" i="4"/>
  <c r="K12"/>
  <c r="Q11"/>
  <c r="K11"/>
  <c r="H11"/>
  <c r="N10"/>
  <c r="Y44" i="1"/>
  <c r="Y41"/>
  <c r="Y32"/>
  <c r="Y31"/>
  <c r="Y15"/>
  <c r="Y9"/>
  <c r="C32"/>
  <c r="P805" s="1"/>
  <c r="E25"/>
  <c r="C26" s="1"/>
  <c r="AF43"/>
  <c r="AF40"/>
  <c r="E20" i="4"/>
  <c r="H19"/>
  <c r="E19"/>
  <c r="H18"/>
  <c r="E18"/>
  <c r="E17"/>
  <c r="N4"/>
  <c r="N5" s="1"/>
  <c r="N6" s="1"/>
  <c r="Q3"/>
  <c r="N3"/>
  <c r="K3"/>
  <c r="K4" s="1"/>
  <c r="K5" s="1"/>
  <c r="K6" s="1"/>
  <c r="H3"/>
  <c r="H4" s="1"/>
  <c r="H5" s="1"/>
  <c r="H6" s="1"/>
  <c r="E3"/>
  <c r="C3"/>
  <c r="C4" s="1"/>
  <c r="C5" s="1"/>
  <c r="C6" s="1"/>
  <c r="H24" i="57"/>
  <c r="A13"/>
  <c r="A15" s="1"/>
  <c r="A17" s="1"/>
  <c r="A18" s="1"/>
  <c r="A8" i="58"/>
  <c r="C8"/>
  <c r="E8"/>
  <c r="A9"/>
  <c r="C9"/>
  <c r="D9"/>
  <c r="E9"/>
  <c r="A10"/>
  <c r="C10"/>
  <c r="E10"/>
  <c r="A11"/>
  <c r="C11"/>
  <c r="E11"/>
  <c r="A12"/>
  <c r="C12"/>
  <c r="D12"/>
  <c r="E12"/>
  <c r="A13"/>
  <c r="C13"/>
  <c r="E13"/>
  <c r="A14"/>
  <c r="C14"/>
  <c r="E14"/>
  <c r="A15"/>
  <c r="C15"/>
  <c r="D15"/>
  <c r="E15"/>
  <c r="A16"/>
  <c r="C16"/>
  <c r="E16"/>
  <c r="A17"/>
  <c r="C17"/>
  <c r="E17"/>
  <c r="A18"/>
  <c r="B18"/>
  <c r="C18"/>
  <c r="D18"/>
  <c r="E18"/>
  <c r="A19"/>
  <c r="C19"/>
  <c r="E19"/>
  <c r="A20"/>
  <c r="C20"/>
  <c r="E20"/>
  <c r="A21"/>
  <c r="C21"/>
  <c r="E21"/>
  <c r="A22"/>
  <c r="C22"/>
  <c r="E22"/>
  <c r="A23"/>
  <c r="C23"/>
  <c r="D23"/>
  <c r="E23"/>
  <c r="A24"/>
  <c r="C24"/>
  <c r="E24"/>
  <c r="A25"/>
  <c r="C25"/>
  <c r="E25"/>
  <c r="A26"/>
  <c r="C26"/>
  <c r="D26"/>
  <c r="E26"/>
  <c r="A27"/>
  <c r="C27"/>
  <c r="E27"/>
  <c r="A28"/>
  <c r="C28"/>
  <c r="E28"/>
  <c r="A29"/>
  <c r="C29"/>
  <c r="D29"/>
  <c r="E29"/>
  <c r="A30"/>
  <c r="C30"/>
  <c r="E30"/>
  <c r="A31"/>
  <c r="C31"/>
  <c r="E31"/>
  <c r="A32"/>
  <c r="C32"/>
  <c r="D32"/>
  <c r="E32"/>
  <c r="A33"/>
  <c r="C33"/>
  <c r="D33"/>
  <c r="E33"/>
  <c r="A34"/>
  <c r="C34"/>
  <c r="D34"/>
  <c r="E34"/>
  <c r="A35"/>
  <c r="C35"/>
  <c r="D35"/>
  <c r="E35"/>
  <c r="A36"/>
  <c r="C36"/>
  <c r="D36"/>
  <c r="E36"/>
  <c r="A37"/>
  <c r="C37"/>
  <c r="D37"/>
  <c r="E37"/>
  <c r="A38"/>
  <c r="C38"/>
  <c r="D38"/>
  <c r="E38"/>
  <c r="A39"/>
  <c r="C39"/>
  <c r="E39"/>
  <c r="A40"/>
  <c r="C40"/>
  <c r="E40"/>
  <c r="A41"/>
  <c r="C41"/>
  <c r="E41"/>
  <c r="A42"/>
  <c r="C42"/>
  <c r="E42"/>
  <c r="A43"/>
  <c r="C43"/>
  <c r="E43"/>
  <c r="A44"/>
  <c r="C44"/>
  <c r="E44"/>
  <c r="A45"/>
  <c r="C45"/>
  <c r="E45"/>
  <c r="A46"/>
  <c r="C46"/>
  <c r="E46"/>
  <c r="A47"/>
  <c r="C47"/>
  <c r="E47"/>
  <c r="A48"/>
  <c r="C48"/>
  <c r="E48"/>
  <c r="A49"/>
  <c r="C49"/>
  <c r="D49"/>
  <c r="E49"/>
  <c r="A50"/>
  <c r="C50"/>
  <c r="D50"/>
  <c r="E50"/>
  <c r="A51"/>
  <c r="C51"/>
  <c r="E51"/>
  <c r="A52"/>
  <c r="C52"/>
  <c r="E52"/>
  <c r="A53"/>
  <c r="C53"/>
  <c r="E53"/>
  <c r="A54"/>
  <c r="C54"/>
  <c r="E54"/>
  <c r="A55"/>
  <c r="C55"/>
  <c r="E55"/>
  <c r="A56"/>
  <c r="C56"/>
  <c r="E56"/>
  <c r="A57"/>
  <c r="C57"/>
  <c r="E57"/>
  <c r="A58"/>
  <c r="C58"/>
  <c r="D58"/>
  <c r="E58"/>
  <c r="A59"/>
  <c r="C59"/>
  <c r="D59"/>
  <c r="E59"/>
  <c r="A60"/>
  <c r="C60"/>
  <c r="E60"/>
  <c r="A61"/>
  <c r="C61"/>
  <c r="D61"/>
  <c r="E61"/>
  <c r="A62"/>
  <c r="C62"/>
  <c r="D62"/>
  <c r="E62"/>
  <c r="A63"/>
  <c r="C63"/>
  <c r="E63"/>
  <c r="A64"/>
  <c r="C64"/>
  <c r="E64"/>
  <c r="A65"/>
  <c r="C65"/>
  <c r="D65"/>
  <c r="E65"/>
  <c r="A66"/>
  <c r="C66"/>
  <c r="E66"/>
  <c r="A67"/>
  <c r="C67"/>
  <c r="E67"/>
  <c r="A68"/>
  <c r="C68"/>
  <c r="E68"/>
  <c r="A69"/>
  <c r="C69"/>
  <c r="E69"/>
  <c r="A70"/>
  <c r="C70"/>
  <c r="E70"/>
  <c r="A71"/>
  <c r="C71"/>
  <c r="D71"/>
  <c r="E71"/>
  <c r="A72"/>
  <c r="C72"/>
  <c r="E72"/>
  <c r="A73"/>
  <c r="C73"/>
  <c r="E73"/>
  <c r="A74"/>
  <c r="C74"/>
  <c r="E74"/>
  <c r="A75"/>
  <c r="C75"/>
  <c r="E75"/>
  <c r="A76"/>
  <c r="C76"/>
  <c r="E76"/>
  <c r="A77"/>
  <c r="C77"/>
  <c r="E77"/>
  <c r="A78"/>
  <c r="C78"/>
  <c r="E78"/>
  <c r="A79"/>
  <c r="C79"/>
  <c r="E79"/>
  <c r="A80"/>
  <c r="C80"/>
  <c r="E80"/>
  <c r="A81"/>
  <c r="C81"/>
  <c r="E81"/>
  <c r="A82"/>
  <c r="C82"/>
  <c r="E82"/>
  <c r="A83"/>
  <c r="C83"/>
  <c r="E83"/>
  <c r="A84"/>
  <c r="C84"/>
  <c r="E84"/>
  <c r="A85"/>
  <c r="C85"/>
  <c r="D85"/>
  <c r="E85"/>
  <c r="A86"/>
  <c r="C86"/>
  <c r="E86"/>
  <c r="A87"/>
  <c r="C87"/>
  <c r="E87"/>
  <c r="A88"/>
  <c r="C88"/>
  <c r="E88"/>
  <c r="A89"/>
  <c r="C89"/>
  <c r="E89"/>
  <c r="A90"/>
  <c r="C90"/>
  <c r="E90"/>
  <c r="A91"/>
  <c r="B91"/>
  <c r="C91"/>
  <c r="D91"/>
  <c r="E91"/>
  <c r="A92"/>
  <c r="C92"/>
  <c r="E92"/>
  <c r="A93"/>
  <c r="C93"/>
  <c r="E93"/>
  <c r="A94"/>
  <c r="C94"/>
  <c r="E94"/>
  <c r="A95"/>
  <c r="C95"/>
  <c r="E95"/>
  <c r="A96"/>
  <c r="C96"/>
  <c r="E96"/>
  <c r="A97"/>
  <c r="C97"/>
  <c r="E97"/>
  <c r="A98"/>
  <c r="C98"/>
  <c r="E98"/>
  <c r="A99"/>
  <c r="C99"/>
  <c r="E99"/>
  <c r="A100"/>
  <c r="C100"/>
  <c r="E100"/>
  <c r="A101"/>
  <c r="C101"/>
  <c r="E101"/>
  <c r="A102"/>
  <c r="C102"/>
  <c r="E102"/>
  <c r="A103"/>
  <c r="C103"/>
  <c r="E103"/>
  <c r="A104"/>
  <c r="C104"/>
  <c r="E104"/>
  <c r="A105"/>
  <c r="C105"/>
  <c r="E105"/>
  <c r="A106"/>
  <c r="C106"/>
  <c r="D106"/>
  <c r="E106"/>
  <c r="A107"/>
  <c r="C107"/>
  <c r="D107"/>
  <c r="E107"/>
  <c r="A108"/>
  <c r="C108"/>
  <c r="D108"/>
  <c r="E108"/>
  <c r="A109"/>
  <c r="C109"/>
  <c r="D109"/>
  <c r="E109"/>
  <c r="A110"/>
  <c r="C110"/>
  <c r="D110"/>
  <c r="E110"/>
  <c r="A111"/>
  <c r="C111"/>
  <c r="D111"/>
  <c r="E111"/>
  <c r="A112"/>
  <c r="C112"/>
  <c r="D112"/>
  <c r="E112"/>
  <c r="A113"/>
  <c r="C113"/>
  <c r="D113"/>
  <c r="E113"/>
  <c r="A114"/>
  <c r="C114"/>
  <c r="D114"/>
  <c r="E114"/>
  <c r="A115"/>
  <c r="C115"/>
  <c r="D115"/>
  <c r="E115"/>
  <c r="A116"/>
  <c r="C116"/>
  <c r="D116"/>
  <c r="E116"/>
  <c r="A117"/>
  <c r="C117"/>
  <c r="D117"/>
  <c r="E117"/>
  <c r="A118"/>
  <c r="C118"/>
  <c r="D118"/>
  <c r="E118"/>
  <c r="A119"/>
  <c r="C119"/>
  <c r="E119"/>
  <c r="A120"/>
  <c r="C120"/>
  <c r="E120"/>
  <c r="A121"/>
  <c r="C121"/>
  <c r="E121"/>
  <c r="A122"/>
  <c r="C122"/>
  <c r="E122"/>
  <c r="A123"/>
  <c r="C123"/>
  <c r="E123"/>
  <c r="A124"/>
  <c r="C124"/>
  <c r="D124"/>
  <c r="E124"/>
  <c r="A125"/>
  <c r="C125"/>
  <c r="D125"/>
  <c r="E125"/>
  <c r="A126"/>
  <c r="C126"/>
  <c r="D126"/>
  <c r="E126"/>
  <c r="A127"/>
  <c r="C127"/>
  <c r="D127"/>
  <c r="E127"/>
  <c r="A128"/>
  <c r="C128"/>
  <c r="D128"/>
  <c r="E128"/>
  <c r="A129"/>
  <c r="C129"/>
  <c r="D129"/>
  <c r="E129"/>
  <c r="A130"/>
  <c r="C130"/>
  <c r="D130"/>
  <c r="E130"/>
  <c r="A131"/>
  <c r="C131"/>
  <c r="E131"/>
  <c r="A132"/>
  <c r="C132"/>
  <c r="E132"/>
  <c r="A133"/>
  <c r="C133"/>
  <c r="E133"/>
  <c r="A134"/>
  <c r="C134"/>
  <c r="E134"/>
  <c r="A135"/>
  <c r="C135"/>
  <c r="E135"/>
  <c r="A136"/>
  <c r="C136"/>
  <c r="E136"/>
  <c r="A137"/>
  <c r="B137"/>
  <c r="C137"/>
  <c r="D137"/>
  <c r="E137"/>
  <c r="A138"/>
  <c r="C138"/>
  <c r="E138"/>
  <c r="A139"/>
  <c r="C139"/>
  <c r="E139"/>
  <c r="A140"/>
  <c r="C140"/>
  <c r="E140"/>
  <c r="A141"/>
  <c r="C141"/>
  <c r="E141"/>
  <c r="A142"/>
  <c r="C142"/>
  <c r="E142"/>
  <c r="A143"/>
  <c r="C143"/>
  <c r="E143"/>
  <c r="A144"/>
  <c r="C144"/>
  <c r="E144"/>
  <c r="A145"/>
  <c r="C145"/>
  <c r="E145"/>
  <c r="A146"/>
  <c r="C146"/>
  <c r="E146"/>
  <c r="A147"/>
  <c r="C147"/>
  <c r="E147"/>
  <c r="A148"/>
  <c r="C148"/>
  <c r="E148"/>
  <c r="A149"/>
  <c r="C149"/>
  <c r="E149"/>
  <c r="A150"/>
  <c r="C150"/>
  <c r="E150"/>
  <c r="A151"/>
  <c r="C151"/>
  <c r="E151"/>
  <c r="A152"/>
  <c r="C152"/>
  <c r="E152"/>
  <c r="A153"/>
  <c r="C153"/>
  <c r="D153"/>
  <c r="E153"/>
  <c r="A154"/>
  <c r="C154"/>
  <c r="D154"/>
  <c r="E154"/>
  <c r="A155"/>
  <c r="C155"/>
  <c r="D155"/>
  <c r="E155"/>
  <c r="A156"/>
  <c r="C156"/>
  <c r="D156"/>
  <c r="E156"/>
  <c r="A157"/>
  <c r="C157"/>
  <c r="D157"/>
  <c r="E157"/>
  <c r="A158"/>
  <c r="C158"/>
  <c r="D158"/>
  <c r="E158"/>
  <c r="A159"/>
  <c r="C159"/>
  <c r="D159"/>
  <c r="E159"/>
  <c r="A160"/>
  <c r="C160"/>
  <c r="D160"/>
  <c r="E160"/>
  <c r="A161"/>
  <c r="C161"/>
  <c r="D161"/>
  <c r="E161"/>
  <c r="A162"/>
  <c r="C162"/>
  <c r="D162"/>
  <c r="E162"/>
  <c r="A163"/>
  <c r="C163"/>
  <c r="D163"/>
  <c r="E163"/>
  <c r="A164"/>
  <c r="C164"/>
  <c r="D164"/>
  <c r="E164"/>
  <c r="A165"/>
  <c r="C165"/>
  <c r="D165"/>
  <c r="E165"/>
  <c r="A166"/>
  <c r="C166"/>
  <c r="D166"/>
  <c r="E166"/>
  <c r="A167"/>
  <c r="C167"/>
  <c r="D167"/>
  <c r="E167"/>
  <c r="A168"/>
  <c r="C168"/>
  <c r="E168"/>
  <c r="A169"/>
  <c r="C169"/>
  <c r="E169"/>
  <c r="A170"/>
  <c r="C170"/>
  <c r="E170"/>
  <c r="A171"/>
  <c r="C171"/>
  <c r="E171"/>
  <c r="A172"/>
  <c r="C172"/>
  <c r="E172"/>
  <c r="A173"/>
  <c r="C173"/>
  <c r="E173"/>
  <c r="A174"/>
  <c r="C174"/>
  <c r="D174"/>
  <c r="E174"/>
  <c r="A175"/>
  <c r="C175"/>
  <c r="D175"/>
  <c r="E175"/>
  <c r="A176"/>
  <c r="C176"/>
  <c r="D176"/>
  <c r="E176"/>
  <c r="A177"/>
  <c r="C177"/>
  <c r="D177"/>
  <c r="E177"/>
  <c r="A178"/>
  <c r="C178"/>
  <c r="D178"/>
  <c r="E178"/>
  <c r="A179"/>
  <c r="C179"/>
  <c r="D179"/>
  <c r="E179"/>
  <c r="A180"/>
  <c r="C180"/>
  <c r="D180"/>
  <c r="E180"/>
  <c r="A181"/>
  <c r="C181"/>
  <c r="D181"/>
  <c r="E181"/>
  <c r="A182"/>
  <c r="C182"/>
  <c r="E182"/>
  <c r="A183"/>
  <c r="C183"/>
  <c r="E183"/>
  <c r="A184"/>
  <c r="C184"/>
  <c r="E184"/>
  <c r="A185"/>
  <c r="C185"/>
  <c r="E185"/>
  <c r="A186"/>
  <c r="C186"/>
  <c r="E186"/>
  <c r="A187"/>
  <c r="B187"/>
  <c r="C187"/>
  <c r="D187"/>
  <c r="E187"/>
  <c r="A188"/>
  <c r="C188"/>
  <c r="E188"/>
  <c r="A189"/>
  <c r="C189"/>
  <c r="E189"/>
  <c r="A190"/>
  <c r="C190"/>
  <c r="E190"/>
  <c r="A191"/>
  <c r="C191"/>
  <c r="E191"/>
  <c r="A192"/>
  <c r="C192"/>
  <c r="E192"/>
  <c r="A193"/>
  <c r="C193"/>
  <c r="D193"/>
  <c r="E193"/>
  <c r="A194"/>
  <c r="C194"/>
  <c r="D194"/>
  <c r="E194"/>
  <c r="A195"/>
  <c r="C195"/>
  <c r="D195"/>
  <c r="E195"/>
  <c r="A196"/>
  <c r="C196"/>
  <c r="D196"/>
  <c r="E196"/>
  <c r="A197"/>
  <c r="C197"/>
  <c r="D197"/>
  <c r="E197"/>
  <c r="A198"/>
  <c r="C198"/>
  <c r="D198"/>
  <c r="E198"/>
  <c r="A199"/>
  <c r="C199"/>
  <c r="D199"/>
  <c r="E199"/>
  <c r="A200"/>
  <c r="C200"/>
  <c r="D200"/>
  <c r="E200"/>
  <c r="A201"/>
  <c r="C201"/>
  <c r="D201"/>
  <c r="E201"/>
  <c r="A202"/>
  <c r="C202"/>
  <c r="D202"/>
  <c r="E202"/>
  <c r="A203"/>
  <c r="C203"/>
  <c r="D203"/>
  <c r="E203"/>
  <c r="A204"/>
  <c r="C204"/>
  <c r="D204"/>
  <c r="E204"/>
  <c r="A205"/>
  <c r="C205"/>
  <c r="D205"/>
  <c r="E205"/>
  <c r="A206"/>
  <c r="C206"/>
  <c r="E206"/>
  <c r="A207"/>
  <c r="C207"/>
  <c r="E207"/>
  <c r="A208"/>
  <c r="C208"/>
  <c r="E208"/>
  <c r="A209"/>
  <c r="C209"/>
  <c r="E209"/>
  <c r="A210"/>
  <c r="C210"/>
  <c r="E210"/>
  <c r="A211"/>
  <c r="C211"/>
  <c r="D211"/>
  <c r="E211"/>
  <c r="A212"/>
  <c r="C212"/>
  <c r="D212"/>
  <c r="E212"/>
  <c r="A213"/>
  <c r="C213"/>
  <c r="D213"/>
  <c r="E213"/>
  <c r="A214"/>
  <c r="C214"/>
  <c r="D214"/>
  <c r="E214"/>
  <c r="A215"/>
  <c r="C215"/>
  <c r="D215"/>
  <c r="E215"/>
  <c r="A216"/>
  <c r="C216"/>
  <c r="D216"/>
  <c r="E216"/>
  <c r="A217"/>
  <c r="B217"/>
  <c r="C217"/>
  <c r="D217"/>
  <c r="E217"/>
  <c r="A218"/>
  <c r="C218"/>
  <c r="E218"/>
  <c r="A219"/>
  <c r="C219"/>
  <c r="E219"/>
  <c r="A220"/>
  <c r="C220"/>
  <c r="E220"/>
  <c r="A221"/>
  <c r="C221"/>
  <c r="E221"/>
  <c r="A222"/>
  <c r="C222"/>
  <c r="E222"/>
  <c r="A223"/>
  <c r="C223"/>
  <c r="D223"/>
  <c r="E223"/>
  <c r="A224"/>
  <c r="C224"/>
  <c r="D224"/>
  <c r="E224"/>
  <c r="A225"/>
  <c r="C225"/>
  <c r="D225"/>
  <c r="E225"/>
  <c r="A226"/>
  <c r="C226"/>
  <c r="D226"/>
  <c r="E226"/>
  <c r="A227"/>
  <c r="C227"/>
  <c r="D227"/>
  <c r="E227"/>
  <c r="A228"/>
  <c r="C228"/>
  <c r="D228"/>
  <c r="E228"/>
  <c r="A229"/>
  <c r="C229"/>
  <c r="D229"/>
  <c r="E229"/>
  <c r="A230"/>
  <c r="C230"/>
  <c r="E230"/>
  <c r="A231"/>
  <c r="C231"/>
  <c r="D231"/>
  <c r="E231"/>
  <c r="A232"/>
  <c r="C232"/>
  <c r="D232"/>
  <c r="E232"/>
  <c r="A233"/>
  <c r="C233"/>
  <c r="E233"/>
  <c r="A234"/>
  <c r="C234"/>
  <c r="E234"/>
  <c r="A235"/>
  <c r="C235"/>
  <c r="E235"/>
  <c r="A236"/>
  <c r="C236"/>
  <c r="E236"/>
  <c r="A237"/>
  <c r="C237"/>
  <c r="E237"/>
  <c r="A238"/>
  <c r="C238"/>
  <c r="E238"/>
  <c r="A239"/>
  <c r="C239"/>
  <c r="E239"/>
  <c r="A240"/>
  <c r="C240"/>
  <c r="E240"/>
  <c r="A241"/>
  <c r="C241"/>
  <c r="E241"/>
  <c r="A242"/>
  <c r="C242"/>
  <c r="E242"/>
  <c r="A243"/>
  <c r="C243"/>
  <c r="E243"/>
  <c r="A244"/>
  <c r="C244"/>
  <c r="E244"/>
  <c r="A245"/>
  <c r="C245"/>
  <c r="D245"/>
  <c r="E245"/>
  <c r="A246"/>
  <c r="C246"/>
  <c r="E246"/>
  <c r="A247"/>
  <c r="C247"/>
  <c r="E247"/>
  <c r="A248"/>
  <c r="C248"/>
  <c r="E248"/>
  <c r="A249"/>
  <c r="C249"/>
  <c r="E249"/>
  <c r="A250"/>
  <c r="C250"/>
  <c r="E250"/>
  <c r="A251"/>
  <c r="C251"/>
  <c r="E251"/>
  <c r="A252"/>
  <c r="C252"/>
  <c r="D252"/>
  <c r="E252"/>
  <c r="A253"/>
  <c r="C253"/>
  <c r="E253"/>
  <c r="A254"/>
  <c r="C254"/>
  <c r="E254"/>
  <c r="A255"/>
  <c r="C255"/>
  <c r="E255"/>
  <c r="A256"/>
  <c r="C256"/>
  <c r="E256"/>
  <c r="A257"/>
  <c r="C257"/>
  <c r="E257"/>
  <c r="A258"/>
  <c r="C258"/>
  <c r="D258"/>
  <c r="E258"/>
  <c r="A259"/>
  <c r="C259"/>
  <c r="E259"/>
  <c r="A260"/>
  <c r="C260"/>
  <c r="E260"/>
  <c r="A261"/>
  <c r="C261"/>
  <c r="E261"/>
  <c r="A262"/>
  <c r="C262"/>
  <c r="E262"/>
  <c r="A263"/>
  <c r="C263"/>
  <c r="E263"/>
  <c r="A264"/>
  <c r="C264"/>
  <c r="D264"/>
  <c r="E264"/>
  <c r="A265"/>
  <c r="C265"/>
  <c r="E265"/>
  <c r="A266"/>
  <c r="C266"/>
  <c r="E266"/>
  <c r="A267"/>
  <c r="C267"/>
  <c r="E267"/>
  <c r="A268"/>
  <c r="C268"/>
  <c r="E268"/>
  <c r="A269"/>
  <c r="C269"/>
  <c r="E269"/>
  <c r="A270"/>
  <c r="C270"/>
  <c r="D270"/>
  <c r="E270"/>
  <c r="A271"/>
  <c r="C271"/>
  <c r="E271"/>
  <c r="A272"/>
  <c r="C272"/>
  <c r="E272"/>
  <c r="A273"/>
  <c r="C273"/>
  <c r="E273"/>
  <c r="A274"/>
  <c r="C274"/>
  <c r="E274"/>
  <c r="A275"/>
  <c r="C275"/>
  <c r="E275"/>
  <c r="A276"/>
  <c r="C276"/>
  <c r="D276"/>
  <c r="E276"/>
  <c r="A277"/>
  <c r="C277"/>
  <c r="E277"/>
  <c r="A278"/>
  <c r="C278"/>
  <c r="E278"/>
  <c r="A279"/>
  <c r="C279"/>
  <c r="E279"/>
  <c r="A280"/>
  <c r="C280"/>
  <c r="E280"/>
  <c r="A281"/>
  <c r="C281"/>
  <c r="E281"/>
  <c r="A282"/>
  <c r="C282"/>
  <c r="D282"/>
  <c r="E282"/>
  <c r="A283"/>
  <c r="C283"/>
  <c r="D283"/>
  <c r="E283"/>
  <c r="A284"/>
  <c r="C284"/>
  <c r="D284"/>
  <c r="E284"/>
  <c r="A285"/>
  <c r="C285"/>
  <c r="D285"/>
  <c r="E285"/>
  <c r="A286"/>
  <c r="C286"/>
  <c r="D286"/>
  <c r="E286"/>
  <c r="A287"/>
  <c r="C287"/>
  <c r="E287"/>
  <c r="A288"/>
  <c r="C288"/>
  <c r="E288"/>
  <c r="A289"/>
  <c r="C289"/>
  <c r="E289"/>
  <c r="A290"/>
  <c r="B290"/>
  <c r="C290"/>
  <c r="D290"/>
  <c r="E290"/>
  <c r="A291"/>
  <c r="C291"/>
  <c r="E291"/>
  <c r="A292"/>
  <c r="C292"/>
  <c r="E292"/>
  <c r="A293"/>
  <c r="C293"/>
  <c r="E293"/>
  <c r="A294"/>
  <c r="C294"/>
  <c r="D294"/>
  <c r="E294"/>
  <c r="A295"/>
  <c r="C295"/>
  <c r="E295"/>
  <c r="A296"/>
  <c r="C296"/>
  <c r="E296"/>
  <c r="A297"/>
  <c r="C297"/>
  <c r="E297"/>
  <c r="A298"/>
  <c r="C298"/>
  <c r="E298"/>
  <c r="A299"/>
  <c r="C299"/>
  <c r="D299"/>
  <c r="E299"/>
  <c r="A300"/>
  <c r="C300"/>
  <c r="E300"/>
  <c r="A301"/>
  <c r="C301"/>
  <c r="D301"/>
  <c r="E301"/>
  <c r="A302"/>
  <c r="C302"/>
  <c r="E302"/>
  <c r="A303"/>
  <c r="C303"/>
  <c r="E303"/>
  <c r="A304"/>
  <c r="C304"/>
  <c r="D304"/>
  <c r="E304"/>
  <c r="A305"/>
  <c r="C305"/>
  <c r="D305"/>
  <c r="E305"/>
  <c r="A306"/>
  <c r="C306"/>
  <c r="E306"/>
  <c r="A307"/>
  <c r="C307"/>
  <c r="E307"/>
  <c r="A308"/>
  <c r="C308"/>
  <c r="E308"/>
  <c r="A309"/>
  <c r="C309"/>
  <c r="D309"/>
  <c r="E309"/>
  <c r="A310"/>
  <c r="C310"/>
  <c r="E310"/>
  <c r="A311"/>
  <c r="C311"/>
  <c r="E311"/>
  <c r="A312"/>
  <c r="C312"/>
  <c r="E312"/>
  <c r="A313"/>
  <c r="C313"/>
  <c r="E313"/>
  <c r="A314"/>
  <c r="C314"/>
  <c r="E314"/>
  <c r="A315"/>
  <c r="C315"/>
  <c r="E315"/>
  <c r="A316"/>
  <c r="C316"/>
  <c r="E316"/>
  <c r="A317"/>
  <c r="C317"/>
  <c r="E317"/>
  <c r="A318"/>
  <c r="C318"/>
  <c r="E318"/>
  <c r="A319"/>
  <c r="C319"/>
  <c r="E319"/>
  <c r="A320"/>
  <c r="C320"/>
  <c r="E320"/>
  <c r="A321"/>
  <c r="C321"/>
  <c r="E321"/>
  <c r="A322"/>
  <c r="C322"/>
  <c r="E322"/>
  <c r="A323"/>
  <c r="C323"/>
  <c r="E323"/>
  <c r="A324"/>
  <c r="C324"/>
  <c r="E324"/>
  <c r="A325"/>
  <c r="C325"/>
  <c r="E325"/>
  <c r="A326"/>
  <c r="C326"/>
  <c r="E326"/>
  <c r="A327"/>
  <c r="C327"/>
  <c r="D327"/>
  <c r="E327"/>
  <c r="A328"/>
  <c r="C328"/>
  <c r="D328"/>
  <c r="E328"/>
  <c r="A329"/>
  <c r="C329"/>
  <c r="E329"/>
  <c r="A330"/>
  <c r="C330"/>
  <c r="D330"/>
  <c r="E330"/>
  <c r="A331"/>
  <c r="C331"/>
  <c r="E331"/>
  <c r="A332"/>
  <c r="C332"/>
  <c r="D332"/>
  <c r="E332"/>
  <c r="A333"/>
  <c r="C333"/>
  <c r="E333"/>
  <c r="A334"/>
  <c r="C334"/>
  <c r="E334"/>
  <c r="A335"/>
  <c r="C335"/>
  <c r="E335"/>
  <c r="A336"/>
  <c r="C336"/>
  <c r="E336"/>
  <c r="A337"/>
  <c r="C337"/>
  <c r="E337"/>
  <c r="A338"/>
  <c r="C338"/>
  <c r="E338"/>
  <c r="A339"/>
  <c r="C339"/>
  <c r="D339"/>
  <c r="E339"/>
  <c r="A340"/>
  <c r="C340"/>
  <c r="E340"/>
  <c r="A341"/>
  <c r="C341"/>
  <c r="D341"/>
  <c r="E341"/>
  <c r="A342"/>
  <c r="C342"/>
  <c r="E342"/>
  <c r="A343"/>
  <c r="C343"/>
  <c r="E343"/>
  <c r="A344"/>
  <c r="C344"/>
  <c r="E344"/>
  <c r="A345"/>
  <c r="B345"/>
  <c r="C345"/>
  <c r="D345"/>
  <c r="E345"/>
  <c r="A346"/>
  <c r="C346"/>
  <c r="E346"/>
  <c r="A347"/>
  <c r="C347"/>
  <c r="E347"/>
  <c r="A348"/>
  <c r="C348"/>
  <c r="E348"/>
  <c r="A349"/>
  <c r="C349"/>
  <c r="E349"/>
  <c r="A350"/>
  <c r="C350"/>
  <c r="D350"/>
  <c r="E350"/>
  <c r="A351"/>
  <c r="C351"/>
  <c r="D351"/>
  <c r="E351"/>
  <c r="A352"/>
  <c r="C352"/>
  <c r="D352"/>
  <c r="E352"/>
  <c r="A353"/>
  <c r="C353"/>
  <c r="D353"/>
  <c r="E353"/>
  <c r="A354"/>
  <c r="C354"/>
  <c r="E354"/>
  <c r="A355"/>
  <c r="C355"/>
  <c r="E355"/>
  <c r="A356"/>
  <c r="C356"/>
  <c r="E356"/>
  <c r="A357"/>
  <c r="C357"/>
  <c r="E357"/>
  <c r="A358"/>
  <c r="C358"/>
  <c r="E358"/>
  <c r="A359"/>
  <c r="C359"/>
  <c r="D359"/>
  <c r="E359"/>
  <c r="A360"/>
  <c r="C360"/>
  <c r="E360"/>
  <c r="A361"/>
  <c r="C361"/>
  <c r="E361"/>
  <c r="A362"/>
  <c r="C362"/>
  <c r="D362"/>
  <c r="E362"/>
  <c r="A363"/>
  <c r="C363"/>
  <c r="E363"/>
  <c r="A364"/>
  <c r="C364"/>
  <c r="E364"/>
  <c r="A365"/>
  <c r="C365"/>
  <c r="E365"/>
  <c r="A366"/>
  <c r="C366"/>
  <c r="D366"/>
  <c r="E366"/>
  <c r="A367"/>
  <c r="C367"/>
  <c r="E367"/>
  <c r="A368"/>
  <c r="C368"/>
  <c r="E368"/>
  <c r="A369"/>
  <c r="C369"/>
  <c r="E369"/>
  <c r="A370"/>
  <c r="C370"/>
  <c r="E370"/>
  <c r="A371"/>
  <c r="C371"/>
  <c r="E371"/>
  <c r="A372"/>
  <c r="C372"/>
  <c r="D372"/>
  <c r="E372"/>
  <c r="A373"/>
  <c r="C373"/>
  <c r="E373"/>
  <c r="A374"/>
  <c r="C374"/>
  <c r="E374"/>
  <c r="A375"/>
  <c r="C375"/>
  <c r="E375"/>
  <c r="A376"/>
  <c r="C376"/>
  <c r="E376"/>
  <c r="A377"/>
  <c r="C377"/>
  <c r="E377"/>
  <c r="A378"/>
  <c r="C378"/>
  <c r="D378"/>
  <c r="E378"/>
  <c r="A379"/>
  <c r="C379"/>
  <c r="E379"/>
  <c r="A380"/>
  <c r="C380"/>
  <c r="E380"/>
  <c r="A381"/>
  <c r="C381"/>
  <c r="E381"/>
  <c r="A382"/>
  <c r="C382"/>
  <c r="E382"/>
  <c r="A383"/>
  <c r="C383"/>
  <c r="E383"/>
  <c r="A384"/>
  <c r="C384"/>
  <c r="D384"/>
  <c r="E384"/>
  <c r="A385"/>
  <c r="C385"/>
  <c r="E385"/>
  <c r="A386"/>
  <c r="C386"/>
  <c r="E386"/>
  <c r="A387"/>
  <c r="C387"/>
  <c r="E387"/>
  <c r="A388"/>
  <c r="C388"/>
  <c r="E388"/>
  <c r="A389"/>
  <c r="C389"/>
  <c r="E389"/>
  <c r="A390"/>
  <c r="C390"/>
  <c r="E390"/>
  <c r="A391"/>
  <c r="C391"/>
  <c r="E391"/>
  <c r="A392"/>
  <c r="C392"/>
  <c r="E392"/>
  <c r="A393"/>
  <c r="C393"/>
  <c r="E393"/>
  <c r="A394"/>
  <c r="C394"/>
  <c r="E394"/>
  <c r="A395"/>
  <c r="C395"/>
  <c r="D395"/>
  <c r="E395"/>
  <c r="A396"/>
  <c r="C396"/>
  <c r="E396"/>
  <c r="A397"/>
  <c r="C397"/>
  <c r="E397"/>
  <c r="A398"/>
  <c r="C398"/>
  <c r="E398"/>
  <c r="A399"/>
  <c r="C399"/>
  <c r="D399"/>
  <c r="E399"/>
  <c r="A400"/>
  <c r="C400"/>
  <c r="E400"/>
  <c r="A401"/>
  <c r="C401"/>
  <c r="D401"/>
  <c r="E401"/>
  <c r="A402"/>
  <c r="C402"/>
  <c r="D402"/>
  <c r="E402"/>
  <c r="A403"/>
  <c r="C403"/>
  <c r="E403"/>
  <c r="A404"/>
  <c r="C404"/>
  <c r="D404"/>
  <c r="E404"/>
  <c r="A405"/>
  <c r="C405"/>
  <c r="E405"/>
  <c r="A406"/>
  <c r="C406"/>
  <c r="D406"/>
  <c r="E406"/>
  <c r="A407"/>
  <c r="C407"/>
  <c r="E407"/>
  <c r="A408"/>
  <c r="C408"/>
  <c r="E408"/>
  <c r="A409"/>
  <c r="C409"/>
  <c r="D409"/>
  <c r="E409"/>
  <c r="A410"/>
  <c r="C410"/>
  <c r="E410"/>
  <c r="A411"/>
  <c r="C411"/>
  <c r="E411"/>
  <c r="A412"/>
  <c r="C412"/>
  <c r="D412"/>
  <c r="E412"/>
  <c r="A413"/>
  <c r="C413"/>
  <c r="E413"/>
  <c r="A414"/>
  <c r="C414"/>
  <c r="E414"/>
  <c r="A415"/>
  <c r="C415"/>
  <c r="D415"/>
  <c r="E415"/>
  <c r="A416"/>
  <c r="C416"/>
  <c r="E416"/>
  <c r="A417"/>
  <c r="C417"/>
  <c r="E417"/>
  <c r="A418"/>
  <c r="C418"/>
  <c r="E418"/>
  <c r="A419"/>
  <c r="B419"/>
  <c r="C419"/>
  <c r="D419"/>
  <c r="E419"/>
  <c r="A420"/>
  <c r="C420"/>
  <c r="E420"/>
  <c r="A421"/>
  <c r="C421"/>
  <c r="D421"/>
  <c r="E421"/>
  <c r="A422"/>
  <c r="C422"/>
  <c r="E422"/>
  <c r="A423"/>
  <c r="C423"/>
  <c r="E423"/>
  <c r="A424"/>
  <c r="C424"/>
  <c r="E424"/>
  <c r="A425"/>
  <c r="C425"/>
  <c r="E425"/>
  <c r="A426"/>
  <c r="C426"/>
  <c r="E426"/>
  <c r="A427"/>
  <c r="C427"/>
  <c r="E427"/>
  <c r="A428"/>
  <c r="C428"/>
  <c r="E428"/>
  <c r="A429"/>
  <c r="C429"/>
  <c r="D429"/>
  <c r="E429"/>
  <c r="A430"/>
  <c r="C430"/>
  <c r="E430"/>
  <c r="A431"/>
  <c r="C431"/>
  <c r="E431"/>
  <c r="A432"/>
  <c r="C432"/>
  <c r="E432"/>
  <c r="A433"/>
  <c r="C433"/>
  <c r="E433"/>
  <c r="A434"/>
  <c r="C434"/>
  <c r="E434"/>
  <c r="A435"/>
  <c r="C435"/>
  <c r="E435"/>
  <c r="A436"/>
  <c r="C436"/>
  <c r="E436"/>
  <c r="A437"/>
  <c r="C437"/>
  <c r="D437"/>
  <c r="E437"/>
  <c r="A438"/>
  <c r="C438"/>
  <c r="D438"/>
  <c r="E438"/>
  <c r="A439"/>
  <c r="C439"/>
  <c r="D439"/>
  <c r="E439"/>
  <c r="A440"/>
  <c r="C440"/>
  <c r="E440"/>
  <c r="A441"/>
  <c r="C441"/>
  <c r="E441"/>
  <c r="A442"/>
  <c r="C442"/>
  <c r="E442"/>
  <c r="A443"/>
  <c r="C443"/>
  <c r="E443"/>
  <c r="A444"/>
  <c r="C444"/>
  <c r="E444"/>
  <c r="A445"/>
  <c r="C445"/>
  <c r="E445"/>
  <c r="A446"/>
  <c r="C446"/>
  <c r="E446"/>
  <c r="A447"/>
  <c r="C447"/>
  <c r="D447"/>
  <c r="E447"/>
  <c r="A448"/>
  <c r="C448"/>
  <c r="E448"/>
  <c r="A449"/>
  <c r="C449"/>
  <c r="E449"/>
  <c r="A450"/>
  <c r="C450"/>
  <c r="E450"/>
  <c r="A451"/>
  <c r="C451"/>
  <c r="E451"/>
  <c r="A452"/>
  <c r="C452"/>
  <c r="E452"/>
  <c r="A453"/>
  <c r="C453"/>
  <c r="E453"/>
  <c r="A454"/>
  <c r="C454"/>
  <c r="D454"/>
  <c r="E454"/>
  <c r="A455"/>
  <c r="C455"/>
  <c r="E455"/>
  <c r="A456"/>
  <c r="C456"/>
  <c r="D456"/>
  <c r="E456"/>
  <c r="A457"/>
  <c r="C457"/>
  <c r="E457"/>
  <c r="A458"/>
  <c r="C458"/>
  <c r="E458"/>
  <c r="A459"/>
  <c r="C459"/>
  <c r="E459"/>
  <c r="A460"/>
  <c r="B460"/>
  <c r="C460"/>
  <c r="D460"/>
  <c r="E460"/>
  <c r="A461"/>
  <c r="C461"/>
  <c r="D461"/>
  <c r="E461"/>
  <c r="A462"/>
  <c r="C462"/>
  <c r="E462"/>
  <c r="A463"/>
  <c r="C463"/>
  <c r="E463"/>
  <c r="A464"/>
  <c r="C464"/>
  <c r="E464"/>
  <c r="A465"/>
  <c r="C465"/>
  <c r="E465"/>
  <c r="A466"/>
  <c r="C466"/>
  <c r="E466"/>
  <c r="A467"/>
  <c r="C467"/>
  <c r="D467"/>
  <c r="E467"/>
  <c r="A468"/>
  <c r="C468"/>
  <c r="E468"/>
  <c r="A469"/>
  <c r="C469"/>
  <c r="E469"/>
  <c r="A470"/>
  <c r="C470"/>
  <c r="E470"/>
  <c r="A471"/>
  <c r="C471"/>
  <c r="E471"/>
  <c r="A472"/>
  <c r="C472"/>
  <c r="E472"/>
  <c r="A473"/>
  <c r="C473"/>
  <c r="E473"/>
  <c r="A474"/>
  <c r="C474"/>
  <c r="D474"/>
  <c r="E474"/>
  <c r="A475"/>
  <c r="C475"/>
  <c r="E475"/>
  <c r="A476"/>
  <c r="C476"/>
  <c r="E476"/>
  <c r="A477"/>
  <c r="C477"/>
  <c r="E477"/>
  <c r="A478"/>
  <c r="C478"/>
  <c r="E478"/>
  <c r="A479"/>
  <c r="C479"/>
  <c r="E479"/>
  <c r="A480"/>
  <c r="B480"/>
  <c r="C480"/>
  <c r="D480"/>
  <c r="E480"/>
  <c r="A481"/>
  <c r="C481"/>
  <c r="E481"/>
  <c r="A482"/>
  <c r="C482"/>
  <c r="E482"/>
  <c r="A483"/>
  <c r="C483"/>
  <c r="E483"/>
  <c r="A484"/>
  <c r="C484"/>
  <c r="E484"/>
  <c r="A485"/>
  <c r="C485"/>
  <c r="E485"/>
  <c r="A486"/>
  <c r="C486"/>
  <c r="E486"/>
  <c r="A487"/>
  <c r="B487"/>
  <c r="C487"/>
  <c r="D487"/>
  <c r="E487"/>
  <c r="A488"/>
  <c r="C488"/>
  <c r="E488"/>
  <c r="A489"/>
  <c r="C489"/>
  <c r="E489"/>
  <c r="A490"/>
  <c r="C490"/>
  <c r="E490"/>
  <c r="A491"/>
  <c r="C491"/>
  <c r="E491"/>
  <c r="A492"/>
  <c r="C492"/>
  <c r="E492"/>
  <c r="A493"/>
  <c r="C493"/>
  <c r="D493"/>
  <c r="E493"/>
  <c r="A494"/>
  <c r="C494"/>
  <c r="E494"/>
  <c r="A495"/>
  <c r="C495"/>
  <c r="E495"/>
  <c r="A496"/>
  <c r="C496"/>
  <c r="E496"/>
  <c r="A497"/>
  <c r="C497"/>
  <c r="E497"/>
  <c r="A498"/>
  <c r="C498"/>
  <c r="E498"/>
  <c r="A499"/>
  <c r="C499"/>
  <c r="E499"/>
  <c r="A500"/>
  <c r="C500"/>
  <c r="D500"/>
  <c r="E500"/>
  <c r="A501"/>
  <c r="C501"/>
  <c r="E501"/>
  <c r="A502"/>
  <c r="C502"/>
  <c r="E502"/>
  <c r="A503"/>
  <c r="C503"/>
  <c r="E503"/>
  <c r="A504"/>
  <c r="C504"/>
  <c r="E504"/>
  <c r="A505"/>
  <c r="C505"/>
  <c r="E505"/>
  <c r="A506"/>
  <c r="C506"/>
  <c r="E506"/>
  <c r="A507"/>
  <c r="B507"/>
  <c r="C507"/>
  <c r="D507"/>
  <c r="E507"/>
  <c r="A508"/>
  <c r="C508"/>
  <c r="E508"/>
  <c r="A509"/>
  <c r="C509"/>
  <c r="E509"/>
  <c r="A510"/>
  <c r="C510"/>
  <c r="E510"/>
  <c r="A511"/>
  <c r="C511"/>
  <c r="E511"/>
  <c r="A512"/>
  <c r="C512"/>
  <c r="E512"/>
  <c r="A513"/>
  <c r="C513"/>
  <c r="D513"/>
  <c r="E513"/>
  <c r="A514"/>
  <c r="C514"/>
  <c r="E514"/>
  <c r="A515"/>
  <c r="C515"/>
  <c r="E515"/>
  <c r="A516"/>
  <c r="C516"/>
  <c r="D516"/>
  <c r="E516"/>
  <c r="A517"/>
  <c r="C517"/>
  <c r="E517"/>
  <c r="A518"/>
  <c r="C518"/>
  <c r="E518"/>
  <c r="A519"/>
  <c r="C519"/>
  <c r="E519"/>
  <c r="A520"/>
  <c r="C520"/>
  <c r="E520"/>
  <c r="A521"/>
  <c r="C521"/>
  <c r="E521"/>
  <c r="A522"/>
  <c r="C522"/>
  <c r="E522"/>
  <c r="A523"/>
  <c r="C523"/>
  <c r="E523"/>
  <c r="A524"/>
  <c r="C524"/>
  <c r="E524"/>
  <c r="A525"/>
  <c r="C525"/>
  <c r="E525"/>
  <c r="A526"/>
  <c r="C526"/>
  <c r="E526"/>
  <c r="A527"/>
  <c r="C527"/>
  <c r="E527"/>
  <c r="A528"/>
  <c r="C528"/>
  <c r="E528"/>
  <c r="A529"/>
  <c r="C529"/>
  <c r="E529"/>
  <c r="A530"/>
  <c r="C530"/>
  <c r="E530"/>
  <c r="A531"/>
  <c r="C531"/>
  <c r="E531"/>
  <c r="A532"/>
  <c r="C532"/>
  <c r="D532"/>
  <c r="E532"/>
  <c r="A533"/>
  <c r="C533"/>
  <c r="E533"/>
  <c r="A534"/>
  <c r="C534"/>
  <c r="E534"/>
  <c r="A535"/>
  <c r="C535"/>
  <c r="E535"/>
  <c r="A536"/>
  <c r="C536"/>
  <c r="E536"/>
  <c r="A537"/>
  <c r="C537"/>
  <c r="E537"/>
  <c r="A538"/>
  <c r="C538"/>
  <c r="E538"/>
  <c r="A539"/>
  <c r="C539"/>
  <c r="D539"/>
  <c r="E539"/>
  <c r="A540"/>
  <c r="C540"/>
  <c r="E540"/>
  <c r="A541"/>
  <c r="C541"/>
  <c r="E541"/>
  <c r="A542"/>
  <c r="C542"/>
  <c r="D542"/>
  <c r="E542"/>
  <c r="A543"/>
  <c r="C543"/>
  <c r="E543"/>
  <c r="A544"/>
  <c r="C544"/>
  <c r="E544"/>
  <c r="A545"/>
  <c r="C545"/>
  <c r="D545"/>
  <c r="E545"/>
  <c r="A546"/>
  <c r="C546"/>
  <c r="E546"/>
  <c r="A547"/>
  <c r="C547"/>
  <c r="E547"/>
  <c r="A548"/>
  <c r="C548"/>
  <c r="E548"/>
  <c r="A549"/>
  <c r="C549"/>
  <c r="E549"/>
  <c r="A550"/>
  <c r="C550"/>
  <c r="E550"/>
  <c r="A551"/>
  <c r="C551"/>
  <c r="E551"/>
  <c r="A552"/>
  <c r="C552"/>
  <c r="E552"/>
  <c r="A553"/>
  <c r="C553"/>
  <c r="E553"/>
  <c r="A554"/>
  <c r="C554"/>
  <c r="E554"/>
  <c r="A555"/>
  <c r="C555"/>
  <c r="E555"/>
  <c r="A556"/>
  <c r="C556"/>
  <c r="E556"/>
  <c r="A557"/>
  <c r="C557"/>
  <c r="E557"/>
  <c r="A558"/>
  <c r="C558"/>
  <c r="E558"/>
  <c r="A559"/>
  <c r="C559"/>
  <c r="E559"/>
  <c r="A560"/>
  <c r="C560"/>
  <c r="E560"/>
  <c r="A561"/>
  <c r="C561"/>
  <c r="E561"/>
  <c r="A562"/>
  <c r="C562"/>
  <c r="D562"/>
  <c r="E562"/>
  <c r="A563"/>
  <c r="C563"/>
  <c r="E563"/>
  <c r="A564"/>
  <c r="C564"/>
  <c r="E564"/>
  <c r="A565"/>
  <c r="C565"/>
  <c r="E565"/>
  <c r="A566"/>
  <c r="C566"/>
  <c r="E566"/>
  <c r="A567"/>
  <c r="C567"/>
  <c r="D567"/>
  <c r="E567"/>
  <c r="A568"/>
  <c r="C568"/>
  <c r="E568"/>
  <c r="A569"/>
  <c r="C569"/>
  <c r="E569"/>
  <c r="A570"/>
  <c r="C570"/>
  <c r="E570"/>
  <c r="A571"/>
  <c r="C571"/>
  <c r="D571"/>
  <c r="E571"/>
  <c r="A572"/>
  <c r="C572"/>
  <c r="E572"/>
  <c r="A573"/>
  <c r="C573"/>
  <c r="E573"/>
  <c r="A574"/>
  <c r="C574"/>
  <c r="E574"/>
  <c r="A575"/>
  <c r="C575"/>
  <c r="D575"/>
  <c r="E575"/>
  <c r="A576"/>
  <c r="C576"/>
  <c r="E576"/>
  <c r="A577"/>
  <c r="C577"/>
  <c r="E577"/>
  <c r="A578"/>
  <c r="C578"/>
  <c r="E578"/>
  <c r="A579"/>
  <c r="C579"/>
  <c r="D579"/>
  <c r="E579"/>
  <c r="A580"/>
  <c r="C580"/>
  <c r="D580"/>
  <c r="E580"/>
  <c r="A581"/>
  <c r="C581"/>
  <c r="E581"/>
  <c r="A582"/>
  <c r="C582"/>
  <c r="E582"/>
  <c r="A583"/>
  <c r="C583"/>
  <c r="E583"/>
  <c r="A584"/>
  <c r="C584"/>
  <c r="E584"/>
  <c r="A585"/>
  <c r="B585"/>
  <c r="C585"/>
  <c r="D585"/>
  <c r="E585"/>
  <c r="A586"/>
  <c r="C586"/>
  <c r="E586"/>
  <c r="A587"/>
  <c r="C587"/>
  <c r="E587"/>
  <c r="A588"/>
  <c r="C588"/>
  <c r="E588"/>
  <c r="A589"/>
  <c r="C589"/>
  <c r="E589"/>
  <c r="A590"/>
  <c r="C590"/>
  <c r="E590"/>
  <c r="A591"/>
  <c r="C591"/>
  <c r="E591"/>
  <c r="A592"/>
  <c r="C592"/>
  <c r="E592"/>
  <c r="A593"/>
  <c r="B593"/>
  <c r="C593"/>
  <c r="D593"/>
  <c r="E593"/>
  <c r="A594"/>
  <c r="C594"/>
  <c r="E594"/>
  <c r="A595"/>
  <c r="C595"/>
  <c r="E595"/>
  <c r="A596"/>
  <c r="C596"/>
  <c r="E596"/>
  <c r="A597"/>
  <c r="C597"/>
  <c r="E597"/>
  <c r="A598"/>
  <c r="C598"/>
  <c r="D598"/>
  <c r="E598"/>
  <c r="A599"/>
  <c r="C599"/>
  <c r="E599"/>
  <c r="A600"/>
  <c r="C600"/>
  <c r="D600"/>
  <c r="E600"/>
  <c r="A601"/>
  <c r="C601"/>
  <c r="E601"/>
  <c r="A602"/>
  <c r="C602"/>
  <c r="E602"/>
  <c r="A603"/>
  <c r="C603"/>
  <c r="D603"/>
  <c r="E603"/>
  <c r="A604"/>
  <c r="C604"/>
  <c r="E604"/>
  <c r="A605"/>
  <c r="C605"/>
  <c r="E605"/>
  <c r="A606"/>
  <c r="C606"/>
  <c r="E606"/>
  <c r="A607"/>
  <c r="C607"/>
  <c r="D607"/>
  <c r="E607"/>
  <c r="A608"/>
  <c r="C608"/>
  <c r="E608"/>
  <c r="A609"/>
  <c r="C609"/>
  <c r="E609"/>
  <c r="A610"/>
  <c r="C610"/>
  <c r="D610"/>
  <c r="E610"/>
  <c r="A611"/>
  <c r="B611"/>
  <c r="C611"/>
  <c r="D611"/>
  <c r="E611"/>
  <c r="A612"/>
  <c r="C612"/>
  <c r="E612"/>
  <c r="A613"/>
  <c r="C613"/>
  <c r="D613"/>
  <c r="E613"/>
  <c r="A614"/>
  <c r="C614"/>
  <c r="E614"/>
  <c r="A615"/>
  <c r="C615"/>
  <c r="E615"/>
  <c r="A616"/>
  <c r="C616"/>
  <c r="E616"/>
  <c r="A617"/>
  <c r="C617"/>
  <c r="D617"/>
  <c r="E617"/>
  <c r="A618"/>
  <c r="C618"/>
  <c r="E618"/>
  <c r="A619"/>
  <c r="C619"/>
  <c r="E619"/>
  <c r="A620"/>
  <c r="C620"/>
  <c r="E620"/>
  <c r="A621"/>
  <c r="C621"/>
  <c r="E621"/>
  <c r="A622"/>
  <c r="C622"/>
  <c r="E622"/>
  <c r="A623"/>
  <c r="C623"/>
  <c r="E623"/>
  <c r="A624"/>
  <c r="C624"/>
  <c r="E624"/>
  <c r="A625"/>
  <c r="C625"/>
  <c r="D625"/>
  <c r="E625"/>
  <c r="A626"/>
  <c r="C626"/>
  <c r="E626"/>
  <c r="A627"/>
  <c r="C627"/>
  <c r="E627"/>
  <c r="A628"/>
  <c r="C628"/>
  <c r="E628"/>
  <c r="A629"/>
  <c r="C629"/>
  <c r="E629"/>
  <c r="A630"/>
  <c r="C630"/>
  <c r="D630"/>
  <c r="E630"/>
  <c r="A631"/>
  <c r="C631"/>
  <c r="E631"/>
  <c r="A632"/>
  <c r="C632"/>
  <c r="E632"/>
  <c r="A633"/>
  <c r="C633"/>
  <c r="D633"/>
  <c r="E633"/>
  <c r="A634"/>
  <c r="C634"/>
  <c r="E634"/>
  <c r="A635"/>
  <c r="C635"/>
  <c r="E635"/>
  <c r="A636"/>
  <c r="C636"/>
  <c r="E636"/>
  <c r="A637"/>
  <c r="C637"/>
  <c r="E637"/>
  <c r="A638"/>
  <c r="C638"/>
  <c r="E638"/>
  <c r="A639"/>
  <c r="B639"/>
  <c r="C639"/>
  <c r="D639"/>
  <c r="E639"/>
  <c r="A640"/>
  <c r="C640"/>
  <c r="E640"/>
  <c r="A641"/>
  <c r="C641"/>
  <c r="E641"/>
  <c r="A642"/>
  <c r="C642"/>
  <c r="E642"/>
  <c r="A643"/>
  <c r="C643"/>
  <c r="E643"/>
  <c r="A644"/>
  <c r="C644"/>
  <c r="E644"/>
  <c r="A645"/>
  <c r="B645"/>
  <c r="C645"/>
  <c r="D645"/>
  <c r="E645"/>
  <c r="A646"/>
  <c r="C646"/>
  <c r="E646"/>
  <c r="A647"/>
  <c r="C647"/>
  <c r="E647"/>
  <c r="A648"/>
  <c r="C648"/>
  <c r="E648"/>
  <c r="A649"/>
  <c r="C649"/>
  <c r="E649"/>
  <c r="A650"/>
  <c r="C650"/>
  <c r="E650"/>
  <c r="A651"/>
  <c r="B651"/>
  <c r="C651"/>
  <c r="D651"/>
  <c r="E651"/>
  <c r="A652"/>
  <c r="C652"/>
  <c r="E652"/>
  <c r="A653"/>
  <c r="C653"/>
  <c r="E653"/>
  <c r="A654"/>
  <c r="C654"/>
  <c r="E654"/>
  <c r="A655"/>
  <c r="C655"/>
  <c r="E655"/>
  <c r="A656"/>
  <c r="C656"/>
  <c r="E656"/>
  <c r="A657"/>
  <c r="C657"/>
  <c r="E657"/>
  <c r="A658"/>
  <c r="C658"/>
  <c r="E658"/>
  <c r="A659"/>
  <c r="C659"/>
  <c r="E659"/>
  <c r="A660"/>
  <c r="C660"/>
  <c r="E660"/>
  <c r="A661"/>
  <c r="C661"/>
  <c r="E661"/>
  <c r="A662"/>
  <c r="C662"/>
  <c r="E662"/>
  <c r="A663"/>
  <c r="C663"/>
  <c r="E663"/>
  <c r="A664"/>
  <c r="C664"/>
  <c r="E664"/>
  <c r="A665"/>
  <c r="C665"/>
  <c r="E665"/>
  <c r="A666"/>
  <c r="C666"/>
  <c r="E666"/>
  <c r="A667"/>
  <c r="C667"/>
  <c r="E667"/>
  <c r="A668"/>
  <c r="C668"/>
  <c r="E668"/>
  <c r="A669"/>
  <c r="C669"/>
  <c r="E669"/>
  <c r="A670"/>
  <c r="C670"/>
  <c r="E670"/>
  <c r="A671"/>
  <c r="C671"/>
  <c r="E671"/>
  <c r="A672"/>
  <c r="C672"/>
  <c r="E672"/>
  <c r="A673"/>
  <c r="B673"/>
  <c r="C673"/>
  <c r="D673"/>
  <c r="E673"/>
  <c r="A674"/>
  <c r="C674"/>
  <c r="E674"/>
  <c r="A675"/>
  <c r="C675"/>
  <c r="E675"/>
  <c r="A676"/>
  <c r="C676"/>
  <c r="E676"/>
  <c r="A677"/>
  <c r="C677"/>
  <c r="E677"/>
  <c r="A678"/>
  <c r="C678"/>
  <c r="D678"/>
  <c r="E678"/>
  <c r="A679"/>
  <c r="C679"/>
  <c r="E679"/>
  <c r="A680"/>
  <c r="C680"/>
  <c r="E680"/>
  <c r="A681"/>
  <c r="C681"/>
  <c r="E681"/>
  <c r="A682"/>
  <c r="C682"/>
  <c r="E682"/>
  <c r="A683"/>
  <c r="C683"/>
  <c r="E683"/>
  <c r="A684"/>
  <c r="C684"/>
  <c r="E684"/>
  <c r="A685"/>
  <c r="C685"/>
  <c r="E685"/>
  <c r="A686"/>
  <c r="C686"/>
  <c r="E686"/>
  <c r="A687"/>
  <c r="C687"/>
  <c r="E687"/>
  <c r="A688"/>
  <c r="C688"/>
  <c r="E688"/>
  <c r="A689"/>
  <c r="C689"/>
  <c r="E689"/>
  <c r="A690"/>
  <c r="C690"/>
  <c r="E690"/>
  <c r="A691"/>
  <c r="C691"/>
  <c r="E691"/>
  <c r="A692"/>
  <c r="C692"/>
  <c r="E692"/>
  <c r="A693"/>
  <c r="C693"/>
  <c r="E693"/>
  <c r="A694"/>
  <c r="C694"/>
  <c r="E694"/>
  <c r="A695"/>
  <c r="C695"/>
  <c r="D695"/>
  <c r="E695"/>
  <c r="A696"/>
  <c r="C696"/>
  <c r="E696"/>
  <c r="A697"/>
  <c r="C697"/>
  <c r="E697"/>
  <c r="A698"/>
  <c r="C698"/>
  <c r="E698"/>
  <c r="A699"/>
  <c r="B699"/>
  <c r="C699"/>
  <c r="D699"/>
  <c r="E699"/>
  <c r="A700"/>
  <c r="C700"/>
  <c r="E700"/>
  <c r="A701"/>
  <c r="C701"/>
  <c r="E701"/>
  <c r="A702"/>
  <c r="C702"/>
  <c r="E702"/>
  <c r="A703"/>
  <c r="C703"/>
  <c r="E703"/>
  <c r="A704"/>
  <c r="C704"/>
  <c r="E704"/>
  <c r="A705"/>
  <c r="C705"/>
  <c r="E705"/>
  <c r="A706"/>
  <c r="C706"/>
  <c r="D706"/>
  <c r="E706"/>
  <c r="A707"/>
  <c r="C707"/>
  <c r="E707"/>
  <c r="A708"/>
  <c r="C708"/>
  <c r="E708"/>
  <c r="A709"/>
  <c r="C709"/>
  <c r="E709"/>
  <c r="A710"/>
  <c r="C710"/>
  <c r="E710"/>
  <c r="A711"/>
  <c r="C711"/>
  <c r="E711"/>
  <c r="A712"/>
  <c r="C712"/>
  <c r="E712"/>
  <c r="A713"/>
  <c r="C713"/>
  <c r="E713"/>
  <c r="A714"/>
  <c r="C714"/>
  <c r="E714"/>
  <c r="A715"/>
  <c r="E715"/>
  <c r="A716"/>
  <c r="C716"/>
  <c r="E716"/>
  <c r="A717"/>
  <c r="C717"/>
  <c r="E717"/>
  <c r="A718"/>
  <c r="C718"/>
  <c r="E718"/>
  <c r="A719"/>
  <c r="E719"/>
  <c r="A720"/>
  <c r="E720"/>
  <c r="A721"/>
  <c r="C721"/>
  <c r="D721"/>
  <c r="E721"/>
  <c r="A722"/>
  <c r="C722"/>
  <c r="E722"/>
  <c r="A723"/>
  <c r="C723"/>
  <c r="E723"/>
  <c r="A724"/>
  <c r="C724"/>
  <c r="E724"/>
  <c r="A725"/>
  <c r="C725"/>
  <c r="D725"/>
  <c r="E725"/>
  <c r="A726"/>
  <c r="C726"/>
  <c r="E726"/>
  <c r="A727"/>
  <c r="C727"/>
  <c r="E727"/>
  <c r="A728"/>
  <c r="C728"/>
  <c r="E728"/>
  <c r="A729"/>
  <c r="C729"/>
  <c r="E729"/>
  <c r="A730"/>
  <c r="C730"/>
  <c r="E730"/>
  <c r="A731"/>
  <c r="C731"/>
  <c r="D731"/>
  <c r="E731"/>
  <c r="A732"/>
  <c r="C732"/>
  <c r="E732"/>
  <c r="A733"/>
  <c r="C733"/>
  <c r="E733"/>
  <c r="A734"/>
  <c r="C734"/>
  <c r="E734"/>
  <c r="A735"/>
  <c r="C735"/>
  <c r="E735"/>
  <c r="A736"/>
  <c r="C736"/>
  <c r="E736"/>
  <c r="A737"/>
  <c r="C737"/>
  <c r="E737"/>
  <c r="A738"/>
  <c r="C738"/>
  <c r="E738"/>
  <c r="C739"/>
  <c r="D739"/>
  <c r="E739"/>
  <c r="A740"/>
  <c r="C740"/>
  <c r="D740"/>
  <c r="E740"/>
  <c r="A741"/>
  <c r="C741"/>
  <c r="D741"/>
  <c r="E741"/>
  <c r="A742"/>
  <c r="C742"/>
  <c r="D742"/>
  <c r="E742"/>
  <c r="A743"/>
  <c r="C743"/>
  <c r="D743"/>
  <c r="E743"/>
  <c r="A744"/>
  <c r="C744"/>
  <c r="D744"/>
  <c r="E744"/>
  <c r="A745"/>
  <c r="C745"/>
  <c r="D745"/>
  <c r="E745"/>
  <c r="A746"/>
  <c r="C746"/>
  <c r="D746"/>
  <c r="E746"/>
  <c r="A747"/>
  <c r="C747"/>
  <c r="D747"/>
  <c r="E747"/>
  <c r="A748"/>
  <c r="C748"/>
  <c r="D748"/>
  <c r="E748"/>
  <c r="A749"/>
  <c r="C749"/>
  <c r="D749"/>
  <c r="E749"/>
  <c r="A750"/>
  <c r="C750"/>
  <c r="D750"/>
  <c r="E750"/>
  <c r="A751"/>
  <c r="C751"/>
  <c r="D751"/>
  <c r="E751"/>
  <c r="A752"/>
  <c r="C752"/>
  <c r="D752"/>
  <c r="E752"/>
  <c r="A753"/>
  <c r="C753"/>
  <c r="D753"/>
  <c r="E753"/>
  <c r="A754"/>
  <c r="C754"/>
  <c r="D754"/>
  <c r="E754"/>
  <c r="A755"/>
  <c r="C755"/>
  <c r="D755"/>
  <c r="E755"/>
  <c r="A756"/>
  <c r="C756"/>
  <c r="D756"/>
  <c r="E756"/>
  <c r="A757"/>
  <c r="C757"/>
  <c r="D757"/>
  <c r="E757"/>
  <c r="A758"/>
  <c r="C758"/>
  <c r="D758"/>
  <c r="E758"/>
  <c r="A759"/>
  <c r="C759"/>
  <c r="D759"/>
  <c r="E759"/>
  <c r="A760"/>
  <c r="C760"/>
  <c r="D760"/>
  <c r="E760"/>
  <c r="A761"/>
  <c r="C761"/>
  <c r="E761"/>
  <c r="A762"/>
  <c r="C762"/>
  <c r="E762"/>
  <c r="A763"/>
  <c r="C763"/>
  <c r="E763"/>
  <c r="A764"/>
  <c r="C764"/>
  <c r="E764"/>
  <c r="A765"/>
  <c r="C765"/>
  <c r="E765"/>
  <c r="A766"/>
  <c r="C766"/>
  <c r="E766"/>
  <c r="A767"/>
  <c r="C767"/>
  <c r="E767"/>
  <c r="A768"/>
  <c r="C768"/>
  <c r="E768"/>
  <c r="A769"/>
  <c r="C769"/>
  <c r="E769"/>
  <c r="A770"/>
  <c r="C770"/>
  <c r="D770"/>
  <c r="E770"/>
  <c r="A771"/>
  <c r="C771"/>
  <c r="D771"/>
  <c r="E771"/>
  <c r="A772"/>
  <c r="C772"/>
  <c r="D772"/>
  <c r="E772"/>
  <c r="A773"/>
  <c r="C773"/>
  <c r="D773"/>
  <c r="E773"/>
  <c r="A774"/>
  <c r="C774"/>
  <c r="D774"/>
  <c r="E774"/>
  <c r="A775"/>
  <c r="C775"/>
  <c r="D775"/>
  <c r="E775"/>
  <c r="A776"/>
  <c r="C776"/>
  <c r="D776"/>
  <c r="E776"/>
  <c r="A777"/>
  <c r="C777"/>
  <c r="D777"/>
  <c r="E777"/>
  <c r="A778"/>
  <c r="C778"/>
  <c r="D778"/>
  <c r="E778"/>
  <c r="A779"/>
  <c r="C779"/>
  <c r="D779"/>
  <c r="E779"/>
  <c r="A780"/>
  <c r="C780"/>
  <c r="D780"/>
  <c r="E780"/>
  <c r="A781"/>
  <c r="C781"/>
  <c r="D781"/>
  <c r="E781"/>
  <c r="A782"/>
  <c r="C782"/>
  <c r="D782"/>
  <c r="E782"/>
  <c r="A783"/>
  <c r="C783"/>
  <c r="D783"/>
  <c r="E783"/>
  <c r="A784"/>
  <c r="C784"/>
  <c r="D784"/>
  <c r="E784"/>
  <c r="A785"/>
  <c r="C785"/>
  <c r="D785"/>
  <c r="E785"/>
  <c r="A786"/>
  <c r="C786"/>
  <c r="D786"/>
  <c r="E786"/>
  <c r="A787"/>
  <c r="C787"/>
  <c r="D787"/>
  <c r="E787"/>
  <c r="A788"/>
  <c r="C788"/>
  <c r="D788"/>
  <c r="E788"/>
  <c r="A789"/>
  <c r="C789"/>
  <c r="D789"/>
  <c r="E789"/>
  <c r="A790"/>
  <c r="C790"/>
  <c r="D790"/>
  <c r="E790"/>
  <c r="A791"/>
  <c r="C791"/>
  <c r="D791"/>
  <c r="E791"/>
  <c r="A792"/>
  <c r="C792"/>
  <c r="D792"/>
  <c r="E792"/>
  <c r="A793"/>
  <c r="C793"/>
  <c r="D793"/>
  <c r="E793"/>
  <c r="A794"/>
  <c r="C794"/>
  <c r="D794"/>
  <c r="E794"/>
  <c r="A795"/>
  <c r="C795"/>
  <c r="D795"/>
  <c r="E795"/>
  <c r="A796"/>
  <c r="C796"/>
  <c r="D796"/>
  <c r="E796"/>
  <c r="A797"/>
  <c r="B797"/>
  <c r="C797"/>
  <c r="D797"/>
  <c r="E797"/>
  <c r="A798"/>
  <c r="C798"/>
  <c r="E798"/>
  <c r="A799"/>
  <c r="C799"/>
  <c r="E799"/>
  <c r="A800"/>
  <c r="C800"/>
  <c r="E800"/>
  <c r="A801"/>
  <c r="C801"/>
  <c r="E801"/>
  <c r="A802"/>
  <c r="C802"/>
  <c r="E802"/>
  <c r="A803"/>
  <c r="C803"/>
  <c r="E803"/>
  <c r="A804"/>
  <c r="C804"/>
  <c r="E804"/>
  <c r="A805"/>
  <c r="C805"/>
  <c r="E805"/>
  <c r="A806"/>
  <c r="C806"/>
  <c r="E806"/>
  <c r="A807"/>
  <c r="C807"/>
  <c r="E807"/>
  <c r="A808"/>
  <c r="C808"/>
  <c r="E808"/>
  <c r="A809"/>
  <c r="B809"/>
  <c r="C809"/>
  <c r="D809"/>
  <c r="E809"/>
  <c r="A810"/>
  <c r="C810"/>
  <c r="E810"/>
  <c r="A811"/>
  <c r="C811"/>
  <c r="E811"/>
  <c r="A812"/>
  <c r="C812"/>
  <c r="E812"/>
  <c r="A813"/>
  <c r="C813"/>
  <c r="E813"/>
  <c r="A814"/>
  <c r="C814"/>
  <c r="D814"/>
  <c r="E814"/>
  <c r="A815"/>
  <c r="C815"/>
  <c r="E815"/>
  <c r="A816"/>
  <c r="C816"/>
  <c r="E816"/>
  <c r="A817"/>
  <c r="C817"/>
  <c r="E817"/>
  <c r="A818"/>
  <c r="C818"/>
  <c r="E818"/>
  <c r="A819"/>
  <c r="C819"/>
  <c r="D819"/>
  <c r="E819"/>
  <c r="A820"/>
  <c r="C820"/>
  <c r="E820"/>
  <c r="A821"/>
  <c r="C821"/>
  <c r="E821"/>
  <c r="A822"/>
  <c r="C822"/>
  <c r="E822"/>
  <c r="A823"/>
  <c r="C823"/>
  <c r="E823"/>
  <c r="A824"/>
  <c r="C824"/>
  <c r="E824"/>
  <c r="A825"/>
  <c r="D825"/>
  <c r="E825"/>
  <c r="A826"/>
  <c r="C826"/>
  <c r="E826"/>
  <c r="A827"/>
  <c r="C827"/>
  <c r="E827"/>
  <c r="A828"/>
  <c r="C828"/>
  <c r="D828"/>
  <c r="E828"/>
  <c r="A829"/>
  <c r="C829"/>
  <c r="E829"/>
  <c r="A830"/>
  <c r="C830"/>
  <c r="E830"/>
  <c r="A831"/>
  <c r="C831"/>
  <c r="E831"/>
  <c r="A832"/>
  <c r="C832"/>
  <c r="E832"/>
  <c r="A833"/>
  <c r="C833"/>
  <c r="E833"/>
  <c r="A834"/>
  <c r="C834"/>
  <c r="E834"/>
  <c r="A835"/>
  <c r="C835"/>
  <c r="E835"/>
  <c r="A836"/>
  <c r="C836"/>
  <c r="D836"/>
  <c r="E836"/>
  <c r="A837"/>
  <c r="C837"/>
  <c r="D837"/>
  <c r="E837"/>
  <c r="A838"/>
  <c r="C838"/>
  <c r="D838"/>
  <c r="E838"/>
  <c r="A839"/>
  <c r="C839"/>
  <c r="D839"/>
  <c r="E839"/>
  <c r="A840"/>
  <c r="C840"/>
  <c r="E840"/>
  <c r="A841"/>
  <c r="C841"/>
  <c r="E841"/>
  <c r="A842"/>
  <c r="C842"/>
  <c r="E842"/>
  <c r="A843"/>
  <c r="C843"/>
  <c r="E843"/>
  <c r="A844"/>
  <c r="C844"/>
  <c r="E844"/>
  <c r="A845"/>
  <c r="C845"/>
  <c r="E845"/>
  <c r="A846"/>
  <c r="B846"/>
  <c r="C846"/>
  <c r="D846"/>
  <c r="E846"/>
  <c r="A847"/>
  <c r="C847"/>
  <c r="E847"/>
  <c r="A848"/>
  <c r="C848"/>
  <c r="E848"/>
  <c r="A849"/>
  <c r="B849"/>
  <c r="C849"/>
  <c r="D849"/>
  <c r="E849"/>
  <c r="A850"/>
  <c r="C850"/>
  <c r="D850"/>
  <c r="E850"/>
  <c r="A851"/>
  <c r="C851"/>
  <c r="D851"/>
  <c r="E851"/>
  <c r="A852"/>
  <c r="B852"/>
  <c r="C852"/>
  <c r="D852"/>
  <c r="E852"/>
  <c r="A853"/>
  <c r="C853"/>
  <c r="D853"/>
  <c r="E853"/>
  <c r="A854"/>
  <c r="C854"/>
  <c r="D854"/>
  <c r="E854"/>
  <c r="A855"/>
  <c r="C855"/>
  <c r="E855"/>
  <c r="A856"/>
  <c r="C856"/>
  <c r="E856"/>
  <c r="A857"/>
  <c r="C857"/>
  <c r="E857"/>
  <c r="A858"/>
  <c r="C858"/>
  <c r="E858"/>
  <c r="A859"/>
  <c r="C859"/>
  <c r="D859"/>
  <c r="E859"/>
  <c r="A860"/>
  <c r="C860"/>
  <c r="E860"/>
  <c r="A861"/>
  <c r="C861"/>
  <c r="E861"/>
  <c r="A862"/>
  <c r="C862"/>
  <c r="E862"/>
  <c r="A863"/>
  <c r="C863"/>
  <c r="E863"/>
  <c r="A864"/>
  <c r="C864"/>
  <c r="E864"/>
  <c r="A865"/>
  <c r="C865"/>
  <c r="E865"/>
  <c r="A866"/>
  <c r="B866"/>
  <c r="C866"/>
  <c r="D866"/>
  <c r="E866"/>
  <c r="A867"/>
  <c r="C867"/>
  <c r="E867"/>
  <c r="A868"/>
  <c r="C868"/>
  <c r="E868"/>
  <c r="A869"/>
  <c r="C869"/>
  <c r="E869"/>
  <c r="A870"/>
  <c r="C870"/>
  <c r="E870"/>
  <c r="A871"/>
  <c r="C871"/>
  <c r="E871"/>
  <c r="A872"/>
  <c r="C872"/>
  <c r="E872"/>
  <c r="A873"/>
  <c r="C873"/>
  <c r="E873"/>
  <c r="A874"/>
  <c r="C874"/>
  <c r="E874"/>
  <c r="A875"/>
  <c r="C875"/>
  <c r="E875"/>
  <c r="A876"/>
  <c r="C876"/>
  <c r="E876"/>
  <c r="A877"/>
  <c r="C877"/>
  <c r="E877"/>
  <c r="A878"/>
  <c r="B878"/>
  <c r="C878"/>
  <c r="D878"/>
  <c r="E878"/>
  <c r="A879"/>
  <c r="C879"/>
  <c r="E879"/>
  <c r="A880"/>
  <c r="C880"/>
  <c r="E880"/>
  <c r="A881"/>
  <c r="C881"/>
  <c r="E881"/>
  <c r="A882"/>
  <c r="C882"/>
  <c r="E882"/>
  <c r="A883"/>
  <c r="C883"/>
  <c r="E883"/>
  <c r="A884"/>
  <c r="C884"/>
  <c r="E884"/>
  <c r="A885"/>
  <c r="C885"/>
  <c r="D885"/>
  <c r="E885"/>
  <c r="A886"/>
  <c r="C886"/>
  <c r="E886"/>
  <c r="A887"/>
  <c r="C887"/>
  <c r="D887"/>
  <c r="E887"/>
  <c r="A888"/>
  <c r="C888"/>
  <c r="E888"/>
  <c r="A889"/>
  <c r="C889"/>
  <c r="E889"/>
  <c r="A890"/>
  <c r="C890"/>
  <c r="E890"/>
  <c r="A891"/>
  <c r="C891"/>
  <c r="E891"/>
  <c r="A892"/>
  <c r="C892"/>
  <c r="D892"/>
  <c r="E892"/>
  <c r="A893"/>
  <c r="C893"/>
  <c r="E893"/>
  <c r="A894"/>
  <c r="C894"/>
  <c r="E894"/>
  <c r="A895"/>
  <c r="C895"/>
  <c r="E895"/>
  <c r="A896"/>
  <c r="C896"/>
  <c r="D896"/>
  <c r="E896"/>
  <c r="A897"/>
  <c r="C897"/>
  <c r="D897"/>
  <c r="E897"/>
  <c r="A898"/>
  <c r="C898"/>
  <c r="D898"/>
  <c r="E898"/>
  <c r="A899"/>
  <c r="C899"/>
  <c r="D899"/>
  <c r="E899"/>
  <c r="A900"/>
  <c r="C900"/>
  <c r="E900"/>
  <c r="A901"/>
  <c r="C901"/>
  <c r="E901"/>
  <c r="A902"/>
  <c r="C902"/>
  <c r="E902"/>
  <c r="A903"/>
  <c r="C903"/>
  <c r="E903"/>
  <c r="A904"/>
  <c r="C904"/>
  <c r="E904"/>
  <c r="A905"/>
  <c r="C905"/>
  <c r="E905"/>
  <c r="A906"/>
  <c r="C906"/>
  <c r="E906"/>
  <c r="A907"/>
  <c r="C907"/>
  <c r="E907"/>
  <c r="A908"/>
  <c r="C908"/>
  <c r="E908"/>
  <c r="A909"/>
  <c r="C909"/>
  <c r="E909"/>
  <c r="A910"/>
  <c r="C910"/>
  <c r="E910"/>
  <c r="A911"/>
  <c r="C911"/>
  <c r="D911"/>
  <c r="E911"/>
  <c r="A912"/>
  <c r="C912"/>
  <c r="E912"/>
  <c r="A913"/>
  <c r="C913"/>
  <c r="D913"/>
  <c r="E913"/>
  <c r="A914"/>
  <c r="C914"/>
  <c r="D914"/>
  <c r="E914"/>
  <c r="A915"/>
  <c r="C915"/>
  <c r="D915"/>
  <c r="E915"/>
  <c r="A916"/>
  <c r="C916"/>
  <c r="D916"/>
  <c r="E916"/>
  <c r="A917"/>
  <c r="C917"/>
  <c r="E917"/>
  <c r="A918"/>
  <c r="C918"/>
  <c r="E918"/>
  <c r="A919"/>
  <c r="C919"/>
  <c r="E919"/>
  <c r="A920"/>
  <c r="C920"/>
  <c r="E920"/>
  <c r="A921"/>
  <c r="C921"/>
  <c r="D921"/>
  <c r="E921"/>
  <c r="A922"/>
  <c r="C922"/>
  <c r="D922"/>
  <c r="E922"/>
  <c r="A923"/>
  <c r="C923"/>
  <c r="D923"/>
  <c r="E923"/>
  <c r="A924"/>
  <c r="C924"/>
  <c r="D924"/>
  <c r="E924"/>
  <c r="A925"/>
  <c r="C925"/>
  <c r="D925"/>
  <c r="A926"/>
  <c r="C926"/>
  <c r="D926"/>
  <c r="E926"/>
  <c r="A927"/>
  <c r="C927"/>
  <c r="E927"/>
  <c r="A928"/>
  <c r="C928"/>
  <c r="D928"/>
  <c r="E928"/>
  <c r="A929"/>
  <c r="C929"/>
  <c r="D929"/>
  <c r="E929"/>
  <c r="A930"/>
  <c r="C930"/>
  <c r="D930"/>
  <c r="E930"/>
  <c r="A931"/>
  <c r="C931"/>
  <c r="D931"/>
  <c r="E931"/>
  <c r="A932"/>
  <c r="C932"/>
  <c r="E932"/>
  <c r="A933"/>
  <c r="C933"/>
  <c r="D933"/>
  <c r="E933"/>
  <c r="A934"/>
  <c r="C934"/>
  <c r="E934"/>
  <c r="A935"/>
  <c r="C935"/>
  <c r="D935"/>
  <c r="E935"/>
  <c r="A936"/>
  <c r="C936"/>
  <c r="D936"/>
  <c r="E936"/>
  <c r="A937"/>
  <c r="C937"/>
  <c r="E937"/>
  <c r="A938"/>
  <c r="C938"/>
  <c r="D938"/>
  <c r="E938"/>
  <c r="A939"/>
  <c r="C939"/>
  <c r="D939"/>
  <c r="E939"/>
  <c r="A940"/>
  <c r="C940"/>
  <c r="D940"/>
  <c r="E940"/>
  <c r="A941"/>
  <c r="C941"/>
  <c r="D941"/>
  <c r="E941"/>
  <c r="A942"/>
  <c r="C942"/>
  <c r="D942"/>
  <c r="E942"/>
  <c r="A943"/>
  <c r="C943"/>
  <c r="D943"/>
  <c r="E943"/>
  <c r="A944"/>
  <c r="C944"/>
  <c r="D944"/>
  <c r="E944"/>
  <c r="A945"/>
  <c r="C945"/>
  <c r="D945"/>
  <c r="E945"/>
  <c r="A946"/>
  <c r="C946"/>
  <c r="D946"/>
  <c r="E946"/>
  <c r="A947"/>
  <c r="C947"/>
  <c r="D947"/>
  <c r="E947"/>
  <c r="A948"/>
  <c r="C948"/>
  <c r="D948"/>
  <c r="E948"/>
  <c r="A949"/>
  <c r="C949"/>
  <c r="D949"/>
  <c r="E949"/>
  <c r="A950"/>
  <c r="C950"/>
  <c r="D950"/>
  <c r="E950"/>
  <c r="A951"/>
  <c r="C951"/>
  <c r="D951"/>
  <c r="E951"/>
  <c r="A952"/>
  <c r="C952"/>
  <c r="D952"/>
  <c r="E952"/>
  <c r="A953"/>
  <c r="B953"/>
  <c r="C953"/>
  <c r="D953"/>
  <c r="E953"/>
  <c r="A954"/>
  <c r="C954"/>
  <c r="D954"/>
  <c r="E954"/>
  <c r="A955"/>
  <c r="C955"/>
  <c r="D955"/>
  <c r="E955"/>
  <c r="A956"/>
  <c r="C956"/>
  <c r="D956"/>
  <c r="E956"/>
  <c r="A957"/>
  <c r="C957"/>
  <c r="D957"/>
  <c r="E957"/>
  <c r="A958"/>
  <c r="C958"/>
  <c r="D958"/>
  <c r="E958"/>
  <c r="A959"/>
  <c r="C959"/>
  <c r="D959"/>
  <c r="E959"/>
  <c r="A960"/>
  <c r="C960"/>
  <c r="D960"/>
  <c r="E960"/>
  <c r="A961"/>
  <c r="C961"/>
  <c r="D961"/>
  <c r="E961"/>
  <c r="A962"/>
  <c r="C962"/>
  <c r="D962"/>
  <c r="E962"/>
  <c r="A963"/>
  <c r="C963"/>
  <c r="D963"/>
  <c r="E963"/>
  <c r="A964"/>
  <c r="C964"/>
  <c r="D964"/>
  <c r="E964"/>
  <c r="A965"/>
  <c r="C965"/>
  <c r="D965"/>
  <c r="E965"/>
  <c r="A966"/>
  <c r="C966"/>
  <c r="D966"/>
  <c r="E966"/>
  <c r="A967"/>
  <c r="C967"/>
  <c r="D967"/>
  <c r="E967"/>
  <c r="A968"/>
  <c r="C968"/>
  <c r="D968"/>
  <c r="E968"/>
  <c r="A969"/>
  <c r="C969"/>
  <c r="D969"/>
  <c r="E969"/>
  <c r="A970"/>
  <c r="C970"/>
  <c r="D970"/>
  <c r="E970"/>
  <c r="A971"/>
  <c r="C971"/>
  <c r="D971"/>
  <c r="E971"/>
  <c r="A972"/>
  <c r="C972"/>
  <c r="D972"/>
  <c r="E972"/>
  <c r="A973"/>
  <c r="C973"/>
  <c r="D973"/>
  <c r="E973"/>
  <c r="A974"/>
  <c r="B974"/>
  <c r="C974"/>
  <c r="D974"/>
  <c r="E974"/>
  <c r="A975"/>
  <c r="C975"/>
  <c r="D975"/>
  <c r="E975"/>
  <c r="A976"/>
  <c r="C976"/>
  <c r="D976"/>
  <c r="E976"/>
  <c r="A977"/>
  <c r="C977"/>
  <c r="D977"/>
  <c r="E977"/>
  <c r="A978"/>
  <c r="C978"/>
  <c r="D978"/>
  <c r="E978"/>
  <c r="A979"/>
  <c r="C979"/>
  <c r="D979"/>
  <c r="E979"/>
  <c r="A980"/>
  <c r="C980"/>
  <c r="D980"/>
  <c r="E980"/>
  <c r="A981"/>
  <c r="B981"/>
  <c r="C981"/>
  <c r="D981"/>
  <c r="E981"/>
  <c r="A982"/>
  <c r="C982"/>
  <c r="D982"/>
  <c r="E982"/>
  <c r="A983"/>
  <c r="C983"/>
  <c r="D983"/>
  <c r="E983"/>
  <c r="A984"/>
  <c r="C984"/>
  <c r="D984"/>
  <c r="E984"/>
  <c r="A985"/>
  <c r="C985"/>
  <c r="D985"/>
  <c r="E985"/>
  <c r="A986"/>
  <c r="C986"/>
  <c r="D986"/>
  <c r="E986"/>
  <c r="A987"/>
  <c r="C987"/>
  <c r="D987"/>
  <c r="E987"/>
  <c r="A988"/>
  <c r="C988"/>
  <c r="D988"/>
  <c r="E988"/>
  <c r="A989"/>
  <c r="C989"/>
  <c r="D989"/>
  <c r="E989"/>
  <c r="A990"/>
  <c r="B990"/>
  <c r="C990"/>
  <c r="D990"/>
  <c r="E990"/>
  <c r="A991"/>
  <c r="C991"/>
  <c r="D991"/>
  <c r="E991"/>
  <c r="A992"/>
  <c r="B992"/>
  <c r="C992"/>
  <c r="D992"/>
  <c r="E992"/>
  <c r="A993"/>
  <c r="C993"/>
  <c r="D993"/>
  <c r="E993"/>
  <c r="A994"/>
  <c r="B994"/>
  <c r="C994"/>
  <c r="D994"/>
  <c r="E994"/>
  <c r="A995"/>
  <c r="C995"/>
  <c r="D995"/>
  <c r="E995"/>
  <c r="A996"/>
  <c r="C996"/>
  <c r="D996"/>
  <c r="E996"/>
  <c r="A997"/>
  <c r="C997"/>
  <c r="D997"/>
  <c r="E997"/>
  <c r="A998"/>
  <c r="C998"/>
  <c r="D998"/>
  <c r="E998"/>
  <c r="A999"/>
  <c r="C999"/>
  <c r="D999"/>
  <c r="E999"/>
  <c r="A1000"/>
  <c r="C1000"/>
  <c r="D1000"/>
  <c r="E1000"/>
  <c r="A1001"/>
  <c r="C1001"/>
  <c r="D1001"/>
  <c r="E1001"/>
  <c r="A1002"/>
  <c r="B1002"/>
  <c r="C1002"/>
  <c r="D1002"/>
  <c r="E1002"/>
  <c r="A1003"/>
  <c r="C1003"/>
  <c r="D1003"/>
  <c r="E1003"/>
  <c r="A1004"/>
  <c r="C1004"/>
  <c r="D1004"/>
  <c r="E1004"/>
  <c r="A1005"/>
  <c r="C1005"/>
  <c r="D1005"/>
  <c r="E1005"/>
  <c r="A1006"/>
  <c r="C1006"/>
  <c r="D1006"/>
  <c r="E1006"/>
  <c r="A1007"/>
  <c r="C1007"/>
  <c r="D1007"/>
  <c r="E1007"/>
  <c r="A1008"/>
  <c r="C1008"/>
  <c r="D1008"/>
  <c r="E1008"/>
  <c r="A1009"/>
  <c r="C1009"/>
  <c r="D1009"/>
  <c r="E1009"/>
  <c r="A1010"/>
  <c r="C1010"/>
  <c r="D1010"/>
  <c r="E1010"/>
  <c r="A1011"/>
  <c r="C1011"/>
  <c r="D1011"/>
  <c r="E1011"/>
  <c r="A1012"/>
  <c r="C1012"/>
  <c r="D1012"/>
  <c r="E1012"/>
  <c r="A1013"/>
  <c r="C1013"/>
  <c r="D1013"/>
  <c r="E1013"/>
  <c r="A1014"/>
  <c r="C1014"/>
  <c r="D1014"/>
  <c r="E1014"/>
  <c r="A1015"/>
  <c r="C1015"/>
  <c r="D1015"/>
  <c r="E1015"/>
  <c r="A1016"/>
  <c r="B1016"/>
  <c r="C1016"/>
  <c r="D1016"/>
  <c r="E1016"/>
  <c r="A1017"/>
  <c r="C1017"/>
  <c r="D1017"/>
  <c r="E1017"/>
  <c r="A1018"/>
  <c r="C1018"/>
  <c r="D1018"/>
  <c r="E1018"/>
  <c r="A1019"/>
  <c r="C1019"/>
  <c r="D1019"/>
  <c r="E1019"/>
  <c r="A1020"/>
  <c r="C1020"/>
  <c r="D1020"/>
  <c r="E1020"/>
  <c r="A1021"/>
  <c r="C1021"/>
  <c r="D1021"/>
  <c r="E1021"/>
  <c r="A1022"/>
  <c r="C1022"/>
  <c r="D1022"/>
  <c r="E1022"/>
  <c r="A1023"/>
  <c r="C1023"/>
  <c r="D1023"/>
  <c r="E1023"/>
  <c r="A1024"/>
  <c r="C1024"/>
  <c r="D1024"/>
  <c r="E1024"/>
  <c r="A1025"/>
  <c r="C1025"/>
  <c r="D1025"/>
  <c r="E1025"/>
  <c r="A1026"/>
  <c r="B1026"/>
  <c r="C1026"/>
  <c r="E1026"/>
  <c r="A1027"/>
  <c r="C1027"/>
  <c r="D1027"/>
  <c r="E1027"/>
  <c r="A1028"/>
  <c r="C1028"/>
  <c r="D1028"/>
  <c r="E1028"/>
  <c r="A1029"/>
  <c r="C1029"/>
  <c r="D1029"/>
  <c r="E1029"/>
  <c r="A1030"/>
  <c r="C1030"/>
  <c r="E1030"/>
  <c r="A1031"/>
  <c r="C1031"/>
  <c r="E1031"/>
  <c r="A1032"/>
  <c r="C1032"/>
  <c r="E1032"/>
  <c r="A1033"/>
  <c r="C1033"/>
  <c r="D1033"/>
  <c r="E1033"/>
  <c r="A1034"/>
  <c r="C1034"/>
  <c r="D1034"/>
  <c r="E1034"/>
  <c r="A1035"/>
  <c r="C1035"/>
  <c r="D1035"/>
  <c r="E1035"/>
  <c r="A1036"/>
  <c r="C1036"/>
  <c r="D1036"/>
  <c r="E1036"/>
  <c r="A1037"/>
  <c r="C1037"/>
  <c r="E1037"/>
  <c r="A1038"/>
  <c r="C1038"/>
  <c r="E1038"/>
  <c r="A1039"/>
  <c r="C1039"/>
  <c r="E1039"/>
  <c r="A1040"/>
  <c r="C1040"/>
  <c r="E1040"/>
  <c r="A1041"/>
  <c r="C1041"/>
  <c r="E1041"/>
  <c r="A1042"/>
  <c r="C1042"/>
  <c r="E1042"/>
  <c r="A1043"/>
  <c r="C1043"/>
  <c r="E1043"/>
  <c r="A1044"/>
  <c r="C1044"/>
  <c r="E1044"/>
  <c r="A1045"/>
  <c r="E1045"/>
  <c r="A1046"/>
  <c r="C1046"/>
  <c r="E1046"/>
  <c r="A1047"/>
  <c r="C1047"/>
  <c r="E1047"/>
  <c r="A1048"/>
  <c r="C1048"/>
  <c r="E1048"/>
  <c r="A1049"/>
  <c r="C1049"/>
  <c r="E1049"/>
  <c r="A1050"/>
  <c r="C1050"/>
  <c r="E1050"/>
  <c r="A1051"/>
  <c r="C1051"/>
  <c r="E1051"/>
  <c r="A1052"/>
  <c r="C1052"/>
  <c r="E1052"/>
  <c r="A1053"/>
  <c r="C1053"/>
  <c r="E1053"/>
  <c r="A1054"/>
  <c r="C1054"/>
  <c r="E1054"/>
  <c r="A1055"/>
  <c r="C1055"/>
  <c r="E1055"/>
  <c r="A1056"/>
  <c r="C1056"/>
  <c r="E1056"/>
  <c r="A1057"/>
  <c r="C1057"/>
  <c r="E1057"/>
  <c r="A1058"/>
  <c r="C1058"/>
  <c r="E1058"/>
  <c r="A1059"/>
  <c r="C1059"/>
  <c r="E1059"/>
  <c r="A1060"/>
  <c r="C1060"/>
  <c r="E1060"/>
  <c r="A1061"/>
  <c r="C1061"/>
  <c r="E1061"/>
  <c r="A1062"/>
  <c r="C1062"/>
  <c r="E1062"/>
  <c r="A1063"/>
  <c r="C1063"/>
  <c r="E1063"/>
  <c r="A1064"/>
  <c r="C1064"/>
  <c r="E1064"/>
  <c r="A1065"/>
  <c r="C1065"/>
  <c r="E1065"/>
  <c r="A1066"/>
  <c r="C1066"/>
  <c r="E1066"/>
  <c r="A7"/>
  <c r="C7"/>
  <c r="E7"/>
  <c r="E6"/>
  <c r="D6"/>
  <c r="C6"/>
  <c r="B6"/>
  <c r="A6"/>
  <c r="W9" i="55"/>
  <c r="Y9" s="1"/>
  <c r="B9" i="58" s="1"/>
  <c r="F9" s="1"/>
  <c r="W10" i="55"/>
  <c r="Y10" s="1"/>
  <c r="B10" i="58" s="1"/>
  <c r="W11" i="55"/>
  <c r="Y11" s="1"/>
  <c r="B11" i="58" s="1"/>
  <c r="W12" i="55"/>
  <c r="Y12" s="1"/>
  <c r="W13"/>
  <c r="Y13" s="1"/>
  <c r="B13" i="58" s="1"/>
  <c r="W14" i="55"/>
  <c r="Y14" s="1"/>
  <c r="B14" i="58" s="1"/>
  <c r="W15" i="55"/>
  <c r="Y15" s="1"/>
  <c r="B15" i="58" s="1"/>
  <c r="W16" i="55"/>
  <c r="Y16" s="1"/>
  <c r="B16" i="58" s="1"/>
  <c r="W17" i="55"/>
  <c r="Y17" s="1"/>
  <c r="B17" i="58" s="1"/>
  <c r="X18" i="55"/>
  <c r="B19" i="58"/>
  <c r="B20"/>
  <c r="W21" i="55"/>
  <c r="Y21" s="1"/>
  <c r="W22"/>
  <c r="Y22" s="1"/>
  <c r="B22" i="58" s="1"/>
  <c r="B24"/>
  <c r="W26" i="55"/>
  <c r="Y26" s="1"/>
  <c r="B26" i="58" s="1"/>
  <c r="W27" i="55"/>
  <c r="Y27" s="1"/>
  <c r="B27" i="58" s="1"/>
  <c r="W28" i="55"/>
  <c r="Y28" s="1"/>
  <c r="B28" i="58" s="1"/>
  <c r="W29" i="55"/>
  <c r="Y29" s="1"/>
  <c r="W30"/>
  <c r="Y30" s="1"/>
  <c r="B30" i="58" s="1"/>
  <c r="W31" i="55"/>
  <c r="Y31" s="1"/>
  <c r="B31" i="58" s="1"/>
  <c r="W32" i="55"/>
  <c r="Y32" s="1"/>
  <c r="B32" i="58" s="1"/>
  <c r="F32" s="1"/>
  <c r="W33" i="55"/>
  <c r="Y33" s="1"/>
  <c r="W34"/>
  <c r="Y34" s="1"/>
  <c r="B34" i="58" s="1"/>
  <c r="W35" i="55"/>
  <c r="Y35" s="1"/>
  <c r="B35" i="58" s="1"/>
  <c r="W36" i="55"/>
  <c r="Y36" s="1"/>
  <c r="B36" i="58" s="1"/>
  <c r="F36" s="1"/>
  <c r="W37" i="55"/>
  <c r="Y37" s="1"/>
  <c r="W38"/>
  <c r="Y38" s="1"/>
  <c r="B38" i="58" s="1"/>
  <c r="F38" s="1"/>
  <c r="B39"/>
  <c r="B40"/>
  <c r="B42"/>
  <c r="B43"/>
  <c r="B45"/>
  <c r="B46"/>
  <c r="B47"/>
  <c r="W52" i="55"/>
  <c r="Y52" s="1"/>
  <c r="B49" i="58" s="1"/>
  <c r="F49" s="1"/>
  <c r="W53" i="55"/>
  <c r="Y53" s="1"/>
  <c r="W54"/>
  <c r="Y54" s="1"/>
  <c r="B51" i="58" s="1"/>
  <c r="W55" i="55"/>
  <c r="Y55" s="1"/>
  <c r="B52" i="58" s="1"/>
  <c r="W56" i="55"/>
  <c r="Y56" s="1"/>
  <c r="W57"/>
  <c r="Y57" s="1"/>
  <c r="B54" i="58" s="1"/>
  <c r="W58" i="55"/>
  <c r="Y58" s="1"/>
  <c r="B55" i="58" s="1"/>
  <c r="W59" i="55"/>
  <c r="Y59" s="1"/>
  <c r="B56" i="58" s="1"/>
  <c r="B59"/>
  <c r="F59" s="1"/>
  <c r="B60"/>
  <c r="B61"/>
  <c r="B63"/>
  <c r="W67" i="55"/>
  <c r="Y67" s="1"/>
  <c r="B64" i="58" s="1"/>
  <c r="W68" i="55"/>
  <c r="Y68" s="1"/>
  <c r="W69"/>
  <c r="Y69" s="1"/>
  <c r="B66" i="58" s="1"/>
  <c r="W70" i="55"/>
  <c r="Y70" s="1"/>
  <c r="B67" i="58" s="1"/>
  <c r="W71" i="55"/>
  <c r="Y71" s="1"/>
  <c r="B68" i="58" s="1"/>
  <c r="W72" i="55"/>
  <c r="Y72" s="1"/>
  <c r="B69" i="58" s="1"/>
  <c r="W73" i="55"/>
  <c r="Y73" s="1"/>
  <c r="W74"/>
  <c r="Y74" s="1"/>
  <c r="W75"/>
  <c r="Y75" s="1"/>
  <c r="B72" i="58" s="1"/>
  <c r="W76" i="55"/>
  <c r="Y76" s="1"/>
  <c r="B73" i="58" s="1"/>
  <c r="W77" i="55"/>
  <c r="Y77" s="1"/>
  <c r="W78"/>
  <c r="Y78" s="1"/>
  <c r="B75" i="58" s="1"/>
  <c r="W79" i="55"/>
  <c r="Y79" s="1"/>
  <c r="B76" i="58" s="1"/>
  <c r="W80" i="55"/>
  <c r="Y80" s="1"/>
  <c r="W81"/>
  <c r="Y81" s="1"/>
  <c r="B78" i="58" s="1"/>
  <c r="W82" i="55"/>
  <c r="Y82" s="1"/>
  <c r="B79" i="58" s="1"/>
  <c r="W83" i="55"/>
  <c r="Y83" s="1"/>
  <c r="B80" i="58" s="1"/>
  <c r="W84" i="55"/>
  <c r="Y84" s="1"/>
  <c r="W85"/>
  <c r="Y85" s="1"/>
  <c r="B82" i="58" s="1"/>
  <c r="W86" i="55"/>
  <c r="Y86" s="1"/>
  <c r="B83" i="58" s="1"/>
  <c r="W87" i="55"/>
  <c r="Y87" s="1"/>
  <c r="B84" i="58" s="1"/>
  <c r="W88" i="55"/>
  <c r="Y88" s="1"/>
  <c r="W89"/>
  <c r="Y89" s="1"/>
  <c r="B86" i="58" s="1"/>
  <c r="W90" i="55"/>
  <c r="Y90" s="1"/>
  <c r="B87" i="58" s="1"/>
  <c r="W91" i="55"/>
  <c r="Y91" s="1"/>
  <c r="B88" i="58" s="1"/>
  <c r="W92" i="55"/>
  <c r="Y92" s="1"/>
  <c r="W93"/>
  <c r="Y93" s="1"/>
  <c r="B90" i="58" s="1"/>
  <c r="X94" i="55"/>
  <c r="B92" i="58"/>
  <c r="B93"/>
  <c r="B94"/>
  <c r="B95"/>
  <c r="B96"/>
  <c r="B97"/>
  <c r="B98"/>
  <c r="B100"/>
  <c r="B101"/>
  <c r="B102"/>
  <c r="B103"/>
  <c r="B104"/>
  <c r="B105"/>
  <c r="B106"/>
  <c r="B114"/>
  <c r="F114" s="1"/>
  <c r="B119"/>
  <c r="B121"/>
  <c r="B122"/>
  <c r="B123"/>
  <c r="B125"/>
  <c r="F125" s="1"/>
  <c r="B126"/>
  <c r="F126" s="1"/>
  <c r="B127"/>
  <c r="F127" s="1"/>
  <c r="B129"/>
  <c r="B131"/>
  <c r="B133"/>
  <c r="B134"/>
  <c r="B135"/>
  <c r="B139"/>
  <c r="B140"/>
  <c r="B141"/>
  <c r="B143"/>
  <c r="B144"/>
  <c r="B145"/>
  <c r="B147"/>
  <c r="B148"/>
  <c r="B149"/>
  <c r="B151"/>
  <c r="B152"/>
  <c r="B153"/>
  <c r="F153" s="1"/>
  <c r="B155"/>
  <c r="F155" s="1"/>
  <c r="B156"/>
  <c r="F156" s="1"/>
  <c r="B159"/>
  <c r="F159" s="1"/>
  <c r="B163"/>
  <c r="F163" s="1"/>
  <c r="B164"/>
  <c r="F164" s="1"/>
  <c r="B166"/>
  <c r="F166" s="1"/>
  <c r="B167"/>
  <c r="F167" s="1"/>
  <c r="B170"/>
  <c r="B171"/>
  <c r="B179"/>
  <c r="F179" s="1"/>
  <c r="B182"/>
  <c r="B183"/>
  <c r="B184"/>
  <c r="B186"/>
  <c r="X190" i="55"/>
  <c r="B190" i="58"/>
  <c r="W194" i="55"/>
  <c r="Y194" s="1"/>
  <c r="B191" i="58" s="1"/>
  <c r="W195" i="55"/>
  <c r="Y195" s="1"/>
  <c r="B192" i="58" s="1"/>
  <c r="W196" i="55"/>
  <c r="W197"/>
  <c r="Y197" s="1"/>
  <c r="Z197" s="1"/>
  <c r="W198"/>
  <c r="Y198" s="1"/>
  <c r="B195" i="58" s="1"/>
  <c r="W199" i="55"/>
  <c r="Y199" s="1"/>
  <c r="B196" i="58" s="1"/>
  <c r="F196" s="1"/>
  <c r="W200" i="55"/>
  <c r="W201"/>
  <c r="Y201" s="1"/>
  <c r="B198" i="58" s="1"/>
  <c r="F198" s="1"/>
  <c r="W202" i="55"/>
  <c r="Y202" s="1"/>
  <c r="W203"/>
  <c r="Y203" s="1"/>
  <c r="B200" i="58" s="1"/>
  <c r="W204" i="55"/>
  <c r="W205"/>
  <c r="Y205" s="1"/>
  <c r="B202" i="58" s="1"/>
  <c r="F202" s="1"/>
  <c r="W206" i="55"/>
  <c r="Y206" s="1"/>
  <c r="W207"/>
  <c r="Y207" s="1"/>
  <c r="W208"/>
  <c r="W209"/>
  <c r="Y209" s="1"/>
  <c r="B206" i="58" s="1"/>
  <c r="W210" i="55"/>
  <c r="Y210" s="1"/>
  <c r="B207" i="58" s="1"/>
  <c r="W211" i="55"/>
  <c r="Y211" s="1"/>
  <c r="B208" i="58" s="1"/>
  <c r="W212" i="55"/>
  <c r="W213"/>
  <c r="Y213" s="1"/>
  <c r="W214"/>
  <c r="Y214" s="1"/>
  <c r="B211" i="58" s="1"/>
  <c r="F211" s="1"/>
  <c r="W215" i="55"/>
  <c r="Y215" s="1"/>
  <c r="W216"/>
  <c r="W217"/>
  <c r="Y217" s="1"/>
  <c r="Z217" s="1"/>
  <c r="W218"/>
  <c r="Y218" s="1"/>
  <c r="W219"/>
  <c r="Y219" s="1"/>
  <c r="B218" i="58"/>
  <c r="W224" i="55"/>
  <c r="Y224" s="1"/>
  <c r="B221" i="58" s="1"/>
  <c r="W225" i="55"/>
  <c r="Y225" s="1"/>
  <c r="B222" i="58" s="1"/>
  <c r="W226" i="55"/>
  <c r="Y226" s="1"/>
  <c r="W227"/>
  <c r="W228"/>
  <c r="Y228" s="1"/>
  <c r="W229"/>
  <c r="Y229" s="1"/>
  <c r="B226" i="58" s="1"/>
  <c r="F226" s="1"/>
  <c r="W230" i="55"/>
  <c r="Y230" s="1"/>
  <c r="W231"/>
  <c r="W232"/>
  <c r="Y232" s="1"/>
  <c r="B229" i="58" s="1"/>
  <c r="F229" s="1"/>
  <c r="W234" i="55"/>
  <c r="Y234" s="1"/>
  <c r="B231" i="58" s="1"/>
  <c r="W235" i="55"/>
  <c r="W236"/>
  <c r="Y236" s="1"/>
  <c r="W237"/>
  <c r="Y237" s="1"/>
  <c r="B234" i="58" s="1"/>
  <c r="W238" i="55"/>
  <c r="Y238" s="1"/>
  <c r="W239"/>
  <c r="W240"/>
  <c r="Y240" s="1"/>
  <c r="B237" i="58" s="1"/>
  <c r="W241" i="55"/>
  <c r="Y241" s="1"/>
  <c r="B238" i="58" s="1"/>
  <c r="W242" i="55"/>
  <c r="Y242" s="1"/>
  <c r="B239" i="58" s="1"/>
  <c r="W243" i="55"/>
  <c r="W244"/>
  <c r="Y244" s="1"/>
  <c r="B241" i="58" s="1"/>
  <c r="W245" i="55"/>
  <c r="Y245" s="1"/>
  <c r="B242" i="58" s="1"/>
  <c r="W246" i="55"/>
  <c r="Y246" s="1"/>
  <c r="W247"/>
  <c r="W248"/>
  <c r="Y248" s="1"/>
  <c r="B245" i="58" s="1"/>
  <c r="W249" i="55"/>
  <c r="Y249" s="1"/>
  <c r="B246" i="58" s="1"/>
  <c r="W250" i="55"/>
  <c r="Y250" s="1"/>
  <c r="B247" i="58" s="1"/>
  <c r="W251" i="55"/>
  <c r="W252"/>
  <c r="Y252" s="1"/>
  <c r="W253"/>
  <c r="Y253" s="1"/>
  <c r="B250" i="58" s="1"/>
  <c r="W254" i="55"/>
  <c r="Y254" s="1"/>
  <c r="W255"/>
  <c r="W256"/>
  <c r="Y256" s="1"/>
  <c r="B253" i="58" s="1"/>
  <c r="W257" i="55"/>
  <c r="Y257" s="1"/>
  <c r="W258"/>
  <c r="Y258" s="1"/>
  <c r="B255" i="58" s="1"/>
  <c r="W259" i="55"/>
  <c r="W260"/>
  <c r="Y260" s="1"/>
  <c r="W261"/>
  <c r="Y261" s="1"/>
  <c r="B258" i="58" s="1"/>
  <c r="F258" s="1"/>
  <c r="W262" i="55"/>
  <c r="Y262" s="1"/>
  <c r="W263"/>
  <c r="W264"/>
  <c r="Y264" s="1"/>
  <c r="B261" i="58" s="1"/>
  <c r="W265" i="55"/>
  <c r="Y265" s="1"/>
  <c r="W266"/>
  <c r="Y266" s="1"/>
  <c r="B263" i="58" s="1"/>
  <c r="W267" i="55"/>
  <c r="W268"/>
  <c r="Y268" s="1"/>
  <c r="B265" i="58" s="1"/>
  <c r="W269" i="55"/>
  <c r="W270"/>
  <c r="W271"/>
  <c r="W272"/>
  <c r="W273"/>
  <c r="W274"/>
  <c r="W275"/>
  <c r="W276"/>
  <c r="Y276" s="1"/>
  <c r="B273" i="58" s="1"/>
  <c r="W277" i="55"/>
  <c r="W278"/>
  <c r="W279"/>
  <c r="W280"/>
  <c r="Y280" s="1"/>
  <c r="B277" i="58" s="1"/>
  <c r="W281" i="55"/>
  <c r="W282"/>
  <c r="W283"/>
  <c r="W284"/>
  <c r="Y284" s="1"/>
  <c r="B281" i="58" s="1"/>
  <c r="W285" i="55"/>
  <c r="W286"/>
  <c r="W287"/>
  <c r="W288"/>
  <c r="Y288" s="1"/>
  <c r="W289"/>
  <c r="W290"/>
  <c r="W291"/>
  <c r="W292"/>
  <c r="Y292" s="1"/>
  <c r="B289" i="58" s="1"/>
  <c r="W298" i="55"/>
  <c r="Y298" s="1"/>
  <c r="W299"/>
  <c r="W300"/>
  <c r="W301"/>
  <c r="W302"/>
  <c r="Y302" s="1"/>
  <c r="B297" i="58" s="1"/>
  <c r="W303" i="55"/>
  <c r="W304"/>
  <c r="W305"/>
  <c r="W306"/>
  <c r="Y306" s="1"/>
  <c r="W307"/>
  <c r="W308"/>
  <c r="W309"/>
  <c r="W310"/>
  <c r="X310" s="1"/>
  <c r="W311"/>
  <c r="W314"/>
  <c r="Y314" s="1"/>
  <c r="W315"/>
  <c r="W316"/>
  <c r="W317"/>
  <c r="W318"/>
  <c r="Y318" s="1"/>
  <c r="B313" i="58" s="1"/>
  <c r="W319" i="55"/>
  <c r="W320"/>
  <c r="W321"/>
  <c r="W322"/>
  <c r="Y322" s="1"/>
  <c r="B317" i="58" s="1"/>
  <c r="W323" i="55"/>
  <c r="W324"/>
  <c r="W325"/>
  <c r="W326"/>
  <c r="Y326" s="1"/>
  <c r="B321" i="58" s="1"/>
  <c r="W330" i="55"/>
  <c r="Y330" s="1"/>
  <c r="B325" i="58" s="1"/>
  <c r="W331" i="55"/>
  <c r="W332"/>
  <c r="W333"/>
  <c r="W334"/>
  <c r="Y334" s="1"/>
  <c r="B329" i="58" s="1"/>
  <c r="W335" i="55"/>
  <c r="W337"/>
  <c r="W338"/>
  <c r="W339"/>
  <c r="W340"/>
  <c r="W341"/>
  <c r="B337" i="58"/>
  <c r="W344" i="55"/>
  <c r="W345"/>
  <c r="W346"/>
  <c r="Y346" s="1"/>
  <c r="X350"/>
  <c r="B349" i="58"/>
  <c r="W355" i="55"/>
  <c r="W356"/>
  <c r="W357"/>
  <c r="W358"/>
  <c r="Y358" s="1"/>
  <c r="W359"/>
  <c r="W360"/>
  <c r="B357" i="58"/>
  <c r="W365" i="55"/>
  <c r="W366"/>
  <c r="W367"/>
  <c r="W368"/>
  <c r="W369"/>
  <c r="W370"/>
  <c r="W371"/>
  <c r="Y371" s="1"/>
  <c r="B365" i="58" s="1"/>
  <c r="W372" i="55"/>
  <c r="W373"/>
  <c r="W378"/>
  <c r="Y378" s="1"/>
  <c r="B372" i="58" s="1"/>
  <c r="B373"/>
  <c r="B376"/>
  <c r="B379"/>
  <c r="B382"/>
  <c r="W389" i="55"/>
  <c r="Y389" s="1"/>
  <c r="B383" i="58" s="1"/>
  <c r="W390" i="55"/>
  <c r="Y390" s="1"/>
  <c r="Z390" s="1"/>
  <c r="B385" i="58"/>
  <c r="W392" i="55"/>
  <c r="Y392" s="1"/>
  <c r="B386" i="58" s="1"/>
  <c r="W393" i="55"/>
  <c r="Y393" s="1"/>
  <c r="W394"/>
  <c r="Y394" s="1"/>
  <c r="B388" i="58" s="1"/>
  <c r="W395" i="55"/>
  <c r="Y395" s="1"/>
  <c r="B389" i="58" s="1"/>
  <c r="W396" i="55"/>
  <c r="Y396" s="1"/>
  <c r="W397"/>
  <c r="Y397" s="1"/>
  <c r="B391" i="58" s="1"/>
  <c r="W398" i="55"/>
  <c r="Y398" s="1"/>
  <c r="W399"/>
  <c r="Y399" s="1"/>
  <c r="B393" i="58" s="1"/>
  <c r="W400" i="55"/>
  <c r="Y400" s="1"/>
  <c r="B394" i="58" s="1"/>
  <c r="W401" i="55"/>
  <c r="Y401" s="1"/>
  <c r="W402"/>
  <c r="Y402" s="1"/>
  <c r="B396" i="58" s="1"/>
  <c r="W403" i="55"/>
  <c r="W404"/>
  <c r="Y404" s="1"/>
  <c r="B398" i="58" s="1"/>
  <c r="W405" i="55"/>
  <c r="Y405" s="1"/>
  <c r="B399" i="58" s="1"/>
  <c r="W406" i="55"/>
  <c r="Y406" s="1"/>
  <c r="W407"/>
  <c r="X407" s="1"/>
  <c r="W408"/>
  <c r="Y408" s="1"/>
  <c r="W410"/>
  <c r="Y410" s="1"/>
  <c r="W412"/>
  <c r="Y412" s="1"/>
  <c r="W413"/>
  <c r="Y413" s="1"/>
  <c r="B407" i="58" s="1"/>
  <c r="W414" i="55"/>
  <c r="Y414" s="1"/>
  <c r="B408" i="58" s="1"/>
  <c r="W415" i="55"/>
  <c r="W416"/>
  <c r="Y416" s="1"/>
  <c r="B410" i="58" s="1"/>
  <c r="W417" i="55"/>
  <c r="Y417" s="1"/>
  <c r="B411" i="58" s="1"/>
  <c r="W418" i="55"/>
  <c r="Y418" s="1"/>
  <c r="B412" i="58" s="1"/>
  <c r="F412" s="1"/>
  <c r="W419" i="55"/>
  <c r="W420"/>
  <c r="Y420" s="1"/>
  <c r="W421"/>
  <c r="Y421" s="1"/>
  <c r="B415" i="58" s="1"/>
  <c r="F415" s="1"/>
  <c r="W422" i="55"/>
  <c r="Y422" s="1"/>
  <c r="W423"/>
  <c r="W424"/>
  <c r="Y424" s="1"/>
  <c r="B418" i="58" s="1"/>
  <c r="X425" i="55"/>
  <c r="B420" i="58"/>
  <c r="B423"/>
  <c r="B424"/>
  <c r="B427"/>
  <c r="B428"/>
  <c r="B430"/>
  <c r="B432"/>
  <c r="B436"/>
  <c r="W443" i="55"/>
  <c r="W444"/>
  <c r="Y444" s="1"/>
  <c r="W445"/>
  <c r="Y445" s="1"/>
  <c r="B439" i="58" s="1"/>
  <c r="B440"/>
  <c r="W447" i="55"/>
  <c r="W448"/>
  <c r="Y448" s="1"/>
  <c r="W449"/>
  <c r="Y449" s="1"/>
  <c r="B443" i="58" s="1"/>
  <c r="B444"/>
  <c r="B445"/>
  <c r="W453" i="55"/>
  <c r="Y453" s="1"/>
  <c r="W454"/>
  <c r="Y454" s="1"/>
  <c r="B448" i="58" s="1"/>
  <c r="W455" i="55"/>
  <c r="Y455" s="1"/>
  <c r="W456"/>
  <c r="Y456" s="1"/>
  <c r="B450" i="58" s="1"/>
  <c r="B451"/>
  <c r="W458" i="55"/>
  <c r="Y458" s="1"/>
  <c r="B452" i="58" s="1"/>
  <c r="W459" i="55"/>
  <c r="Y459" s="1"/>
  <c r="B453" i="58" s="1"/>
  <c r="W460" i="55"/>
  <c r="X460" s="1"/>
  <c r="W461"/>
  <c r="Y461" s="1"/>
  <c r="W463"/>
  <c r="Y463" s="1"/>
  <c r="B457" i="58" s="1"/>
  <c r="B458"/>
  <c r="B459"/>
  <c r="X466" i="55"/>
  <c r="Z467"/>
  <c r="W480"/>
  <c r="Y480" s="1"/>
  <c r="B474" i="58" s="1"/>
  <c r="W481" i="55"/>
  <c r="Y481" s="1"/>
  <c r="W482"/>
  <c r="Y482" s="1"/>
  <c r="B476" i="58" s="1"/>
  <c r="W483" i="55"/>
  <c r="Y483" s="1"/>
  <c r="W484"/>
  <c r="Y484" s="1"/>
  <c r="B478" i="58" s="1"/>
  <c r="B479"/>
  <c r="B481"/>
  <c r="W485" i="55"/>
  <c r="Y485" s="1"/>
  <c r="W486"/>
  <c r="Y486" s="1"/>
  <c r="B483" i="58" s="1"/>
  <c r="W487" i="55"/>
  <c r="Y487" s="1"/>
  <c r="B484" i="58" s="1"/>
  <c r="W488" i="55"/>
  <c r="Y488" s="1"/>
  <c r="W489"/>
  <c r="B488" i="58"/>
  <c r="B489"/>
  <c r="B490"/>
  <c r="B492"/>
  <c r="B493"/>
  <c r="F493" s="1"/>
  <c r="B494"/>
  <c r="B495"/>
  <c r="B496"/>
  <c r="B497"/>
  <c r="B501"/>
  <c r="B502"/>
  <c r="B504"/>
  <c r="B505"/>
  <c r="B509"/>
  <c r="B510"/>
  <c r="B512"/>
  <c r="B514"/>
  <c r="B515"/>
  <c r="B517"/>
  <c r="B519"/>
  <c r="B520"/>
  <c r="B522"/>
  <c r="B523"/>
  <c r="B524"/>
  <c r="B525"/>
  <c r="B527"/>
  <c r="B528"/>
  <c r="B530"/>
  <c r="B532"/>
  <c r="B533"/>
  <c r="B536"/>
  <c r="B538"/>
  <c r="B540"/>
  <c r="B543"/>
  <c r="B544"/>
  <c r="B546"/>
  <c r="B548"/>
  <c r="B549"/>
  <c r="B552"/>
  <c r="B560"/>
  <c r="B564"/>
  <c r="B568"/>
  <c r="B570"/>
  <c r="B572"/>
  <c r="B578"/>
  <c r="W515" i="55"/>
  <c r="Y515" s="1"/>
  <c r="B584" i="58" s="1"/>
  <c r="B586"/>
  <c r="W521" i="55"/>
  <c r="W526"/>
  <c r="B596" i="58"/>
  <c r="W528" i="55"/>
  <c r="W529"/>
  <c r="W530"/>
  <c r="W531"/>
  <c r="Y531" s="1"/>
  <c r="B600" i="58" s="1"/>
  <c r="F600" s="1"/>
  <c r="W532" i="55"/>
  <c r="W533"/>
  <c r="W534"/>
  <c r="W535"/>
  <c r="W538"/>
  <c r="W539"/>
  <c r="Y539" s="1"/>
  <c r="B608" i="58" s="1"/>
  <c r="W540" i="55"/>
  <c r="W541"/>
  <c r="Y541" s="1"/>
  <c r="B610" i="58" s="1"/>
  <c r="X542" i="55"/>
  <c r="B612" i="58"/>
  <c r="X544" i="55"/>
  <c r="B616" i="58"/>
  <c r="X548" i="55"/>
  <c r="B620" i="58"/>
  <c r="B624"/>
  <c r="X559" i="55"/>
  <c r="B628" i="58"/>
  <c r="W563" i="55"/>
  <c r="W564"/>
  <c r="X564" s="1"/>
  <c r="W566"/>
  <c r="Y566" s="1"/>
  <c r="B632" i="58" s="1"/>
  <c r="W567" i="55"/>
  <c r="X567" s="1"/>
  <c r="W568"/>
  <c r="W569"/>
  <c r="W570"/>
  <c r="Y570" s="1"/>
  <c r="B636" i="58" s="1"/>
  <c r="W571" i="55"/>
  <c r="W572"/>
  <c r="B640" i="58"/>
  <c r="W577" i="55"/>
  <c r="W578"/>
  <c r="Y578" s="1"/>
  <c r="B644" i="58" s="1"/>
  <c r="B648"/>
  <c r="W583" i="55"/>
  <c r="W584"/>
  <c r="W585"/>
  <c r="X585" s="1"/>
  <c r="W586"/>
  <c r="Y586" s="1"/>
  <c r="B652" i="58" s="1"/>
  <c r="W587" i="55"/>
  <c r="W588"/>
  <c r="W589"/>
  <c r="W590"/>
  <c r="Y590" s="1"/>
  <c r="B656" i="58" s="1"/>
  <c r="B660"/>
  <c r="W595" i="55"/>
  <c r="B664" i="58"/>
  <c r="W605" i="55"/>
  <c r="W606"/>
  <c r="W607"/>
  <c r="Y607" s="1"/>
  <c r="B672" i="58" s="1"/>
  <c r="X608" i="55"/>
  <c r="B676" i="58"/>
  <c r="X613" i="55"/>
  <c r="B680" i="58"/>
  <c r="B684"/>
  <c r="B688"/>
  <c r="B692"/>
  <c r="W628" i="55"/>
  <c r="X630"/>
  <c r="X634"/>
  <c r="B700" i="58"/>
  <c r="B704"/>
  <c r="X641" i="55"/>
  <c r="B708" i="58"/>
  <c r="B712"/>
  <c r="B716"/>
  <c r="B720"/>
  <c r="X656" i="55"/>
  <c r="B724" i="58"/>
  <c r="X660" i="55"/>
  <c r="B728" i="58"/>
  <c r="X666" i="55"/>
  <c r="B732" i="58"/>
  <c r="B736"/>
  <c r="X674" i="55"/>
  <c r="X675"/>
  <c r="X676"/>
  <c r="X677"/>
  <c r="X678"/>
  <c r="X679"/>
  <c r="X680"/>
  <c r="X681"/>
  <c r="X682"/>
  <c r="X683"/>
  <c r="X684"/>
  <c r="X685"/>
  <c r="X686"/>
  <c r="X688"/>
  <c r="X689"/>
  <c r="X690"/>
  <c r="W691"/>
  <c r="Y691" s="1"/>
  <c r="B756" i="58" s="1"/>
  <c r="W692" i="55"/>
  <c r="X692" s="1"/>
  <c r="W693"/>
  <c r="X694"/>
  <c r="W695"/>
  <c r="Y695" s="1"/>
  <c r="B760" i="58" s="1"/>
  <c r="W696" i="55"/>
  <c r="W697"/>
  <c r="W698"/>
  <c r="W699"/>
  <c r="Y699" s="1"/>
  <c r="W700"/>
  <c r="W701"/>
  <c r="Y701" s="1"/>
  <c r="B766" i="58" s="1"/>
  <c r="W702" i="55"/>
  <c r="W703"/>
  <c r="Y703" s="1"/>
  <c r="B768" i="58" s="1"/>
  <c r="W704" i="55"/>
  <c r="W705"/>
  <c r="X705" s="1"/>
  <c r="W706"/>
  <c r="X706" s="1"/>
  <c r="W707"/>
  <c r="Y707" s="1"/>
  <c r="Z707" s="1"/>
  <c r="W708"/>
  <c r="X708" s="1"/>
  <c r="W709"/>
  <c r="Y709" s="1"/>
  <c r="B774" i="58" s="1"/>
  <c r="X710" i="55"/>
  <c r="Z711"/>
  <c r="X712"/>
  <c r="X713"/>
  <c r="X714"/>
  <c r="Z715"/>
  <c r="X716"/>
  <c r="B782" i="58"/>
  <c r="X718" i="55"/>
  <c r="B784" i="58"/>
  <c r="X720" i="55"/>
  <c r="Z723"/>
  <c r="X724"/>
  <c r="X725"/>
  <c r="X726"/>
  <c r="Z727"/>
  <c r="X728"/>
  <c r="X729"/>
  <c r="W730"/>
  <c r="X730" s="1"/>
  <c r="W731"/>
  <c r="Y731" s="1"/>
  <c r="B796" i="58" s="1"/>
  <c r="X732" i="55"/>
  <c r="W733"/>
  <c r="Y733" s="1"/>
  <c r="B798" i="58" s="1"/>
  <c r="W734" i="55"/>
  <c r="W735"/>
  <c r="Y735" s="1"/>
  <c r="B800" i="58" s="1"/>
  <c r="W736" i="55"/>
  <c r="W737"/>
  <c r="W738"/>
  <c r="B804" i="58"/>
  <c r="B808"/>
  <c r="X744" i="55"/>
  <c r="W745"/>
  <c r="B812" i="58"/>
  <c r="B816"/>
  <c r="X754" i="55"/>
  <c r="B822" i="58"/>
  <c r="B824"/>
  <c r="X760" i="55"/>
  <c r="B828" i="58"/>
  <c r="F828" s="1"/>
  <c r="B830"/>
  <c r="B832"/>
  <c r="B836"/>
  <c r="F836" s="1"/>
  <c r="X772" i="55"/>
  <c r="B838" i="58"/>
  <c r="X774" i="55"/>
  <c r="B840" i="58"/>
  <c r="X782" i="55"/>
  <c r="X785"/>
  <c r="X789"/>
  <c r="B854" i="58"/>
  <c r="B856"/>
  <c r="W794" i="55"/>
  <c r="W795"/>
  <c r="X795" s="1"/>
  <c r="W796"/>
  <c r="Y796" s="1"/>
  <c r="B860" i="58" s="1"/>
  <c r="W797" i="55"/>
  <c r="W798"/>
  <c r="Y798" s="1"/>
  <c r="B862" i="58" s="1"/>
  <c r="W799" i="55"/>
  <c r="W800"/>
  <c r="Y800" s="1"/>
  <c r="B864" i="58" s="1"/>
  <c r="W801" i="55"/>
  <c r="X802"/>
  <c r="B872" i="58"/>
  <c r="B876"/>
  <c r="W813" i="55"/>
  <c r="X814"/>
  <c r="B880" i="58"/>
  <c r="W819" i="55"/>
  <c r="W820"/>
  <c r="Y820" s="1"/>
  <c r="B884" i="58" s="1"/>
  <c r="W821" i="55"/>
  <c r="X821" s="1"/>
  <c r="W822"/>
  <c r="Y822" s="1"/>
  <c r="W823"/>
  <c r="X823" s="1"/>
  <c r="W824"/>
  <c r="Y824" s="1"/>
  <c r="B888" i="58" s="1"/>
  <c r="W825" i="55"/>
  <c r="W826"/>
  <c r="W827"/>
  <c r="W828"/>
  <c r="Y828" s="1"/>
  <c r="W829"/>
  <c r="W830"/>
  <c r="Y830" s="1"/>
  <c r="W831"/>
  <c r="W832"/>
  <c r="Y832" s="1"/>
  <c r="B896" i="58" s="1"/>
  <c r="W833" i="55"/>
  <c r="X833" s="1"/>
  <c r="W834"/>
  <c r="X834" s="1"/>
  <c r="W835"/>
  <c r="X835" s="1"/>
  <c r="W836"/>
  <c r="Y836" s="1"/>
  <c r="B900" i="58" s="1"/>
  <c r="W837" i="55"/>
  <c r="W838"/>
  <c r="Y838" s="1"/>
  <c r="B902" i="58" s="1"/>
  <c r="W839" i="55"/>
  <c r="W840"/>
  <c r="Y840" s="1"/>
  <c r="B904" i="58" s="1"/>
  <c r="W841" i="55"/>
  <c r="W842"/>
  <c r="W843"/>
  <c r="W844"/>
  <c r="Y844" s="1"/>
  <c r="B908" i="58" s="1"/>
  <c r="W845" i="55"/>
  <c r="W846"/>
  <c r="X847"/>
  <c r="W848"/>
  <c r="Y848" s="1"/>
  <c r="W849"/>
  <c r="X849" s="1"/>
  <c r="W850"/>
  <c r="X850" s="1"/>
  <c r="X851"/>
  <c r="W852"/>
  <c r="Y852" s="1"/>
  <c r="B916" i="58" s="1"/>
  <c r="W853" i="55"/>
  <c r="W854"/>
  <c r="Y854" s="1"/>
  <c r="W855"/>
  <c r="W856"/>
  <c r="Y856" s="1"/>
  <c r="B920" i="58" s="1"/>
  <c r="X857" i="55"/>
  <c r="X858"/>
  <c r="B923" i="58"/>
  <c r="B924"/>
  <c r="X861" i="55"/>
  <c r="W862"/>
  <c r="X862" s="1"/>
  <c r="W863"/>
  <c r="Y863" s="1"/>
  <c r="B927" i="58" s="1"/>
  <c r="W864" i="55"/>
  <c r="Y864" s="1"/>
  <c r="X865"/>
  <c r="X866"/>
  <c r="X931"/>
  <c r="B932" i="58"/>
  <c r="X933" i="55"/>
  <c r="X935"/>
  <c r="X938"/>
  <c r="X939"/>
  <c r="X940"/>
  <c r="B944" i="58"/>
  <c r="X942" i="55"/>
  <c r="X943"/>
  <c r="B948" i="58"/>
  <c r="B950"/>
  <c r="F950" s="1"/>
  <c r="X945" i="55"/>
  <c r="X947"/>
  <c r="X948"/>
  <c r="X949"/>
  <c r="X951"/>
  <c r="X953"/>
  <c r="X955"/>
  <c r="X956"/>
  <c r="X957"/>
  <c r="B966" i="58"/>
  <c r="B968"/>
  <c r="F968" s="1"/>
  <c r="B976"/>
  <c r="B982"/>
  <c r="B988"/>
  <c r="B998"/>
  <c r="B1004"/>
  <c r="B1008"/>
  <c r="F1008" s="1"/>
  <c r="B1014"/>
  <c r="B1020"/>
  <c r="X958" i="55"/>
  <c r="W959"/>
  <c r="W960"/>
  <c r="X960" s="1"/>
  <c r="W961"/>
  <c r="Y961" s="1"/>
  <c r="B1028" i="58" s="1"/>
  <c r="F1028" s="1"/>
  <c r="W962" i="55"/>
  <c r="Y962" s="1"/>
  <c r="W963"/>
  <c r="Y963" s="1"/>
  <c r="B1030" i="58" s="1"/>
  <c r="W964" i="55"/>
  <c r="W965"/>
  <c r="Y965" s="1"/>
  <c r="W966"/>
  <c r="X966" s="1"/>
  <c r="W967"/>
  <c r="X967" s="1"/>
  <c r="W968"/>
  <c r="X968" s="1"/>
  <c r="W969"/>
  <c r="Y969" s="1"/>
  <c r="B1036" i="58" s="1"/>
  <c r="W970" i="55"/>
  <c r="W971"/>
  <c r="Y971" s="1"/>
  <c r="W972"/>
  <c r="Y972" s="1"/>
  <c r="W973"/>
  <c r="W974"/>
  <c r="Y974" s="1"/>
  <c r="B1041" i="58" s="1"/>
  <c r="W975" i="55"/>
  <c r="Y975" s="1"/>
  <c r="B1042" i="58" s="1"/>
  <c r="W976" i="55"/>
  <c r="Y976" s="1"/>
  <c r="B1043" i="58" s="1"/>
  <c r="W977" i="55"/>
  <c r="Y977" s="1"/>
  <c r="W978"/>
  <c r="W979"/>
  <c r="Y979" s="1"/>
  <c r="W980"/>
  <c r="W981"/>
  <c r="Y981" s="1"/>
  <c r="W982"/>
  <c r="Y982" s="1"/>
  <c r="B1049" i="58" s="1"/>
  <c r="W983" i="55"/>
  <c r="Y983" s="1"/>
  <c r="B1050" i="58" s="1"/>
  <c r="W984" i="55"/>
  <c r="W985"/>
  <c r="Y985" s="1"/>
  <c r="B1052" i="58" s="1"/>
  <c r="W986" i="55"/>
  <c r="Y986" s="1"/>
  <c r="B1053" i="58" s="1"/>
  <c r="W987" i="55"/>
  <c r="W988"/>
  <c r="Y988" s="1"/>
  <c r="W989"/>
  <c r="W990"/>
  <c r="Y990" s="1"/>
  <c r="B1057" i="58" s="1"/>
  <c r="W991" i="55"/>
  <c r="Y991" s="1"/>
  <c r="B1058" i="58" s="1"/>
  <c r="W992" i="55"/>
  <c r="W993"/>
  <c r="Y993" s="1"/>
  <c r="W994"/>
  <c r="W995"/>
  <c r="Y995" s="1"/>
  <c r="B1062" i="58" s="1"/>
  <c r="W996" i="55"/>
  <c r="W997"/>
  <c r="Y997" s="1"/>
  <c r="W998"/>
  <c r="Y998" s="1"/>
  <c r="B1065" i="58" s="1"/>
  <c r="W999" i="55"/>
  <c r="Y999" s="1"/>
  <c r="B1066" i="58" s="1"/>
  <c r="W1000" i="55"/>
  <c r="W1001"/>
  <c r="Y1001" s="1"/>
  <c r="W1002"/>
  <c r="Y1002" s="1"/>
  <c r="W1003"/>
  <c r="W1004"/>
  <c r="Y1004" s="1"/>
  <c r="W1005"/>
  <c r="W1006"/>
  <c r="Y1006" s="1"/>
  <c r="W1007"/>
  <c r="Y1007" s="1"/>
  <c r="W1008"/>
  <c r="W1009"/>
  <c r="Y1009" s="1"/>
  <c r="W1010"/>
  <c r="W1011"/>
  <c r="Y1011" s="1"/>
  <c r="W1012"/>
  <c r="Y1012" s="1"/>
  <c r="W1013"/>
  <c r="Y1013" s="1"/>
  <c r="W1014"/>
  <c r="Y1014" s="1"/>
  <c r="W1015"/>
  <c r="Y1015" s="1"/>
  <c r="W1016"/>
  <c r="W1017"/>
  <c r="Y1017" s="1"/>
  <c r="W1018"/>
  <c r="W1019"/>
  <c r="W1020"/>
  <c r="Y1020" s="1"/>
  <c r="W1021"/>
  <c r="Y1021" s="1"/>
  <c r="W1022"/>
  <c r="W1023"/>
  <c r="Y1023" s="1"/>
  <c r="W1024"/>
  <c r="W1025"/>
  <c r="Y1025" s="1"/>
  <c r="W1026"/>
  <c r="W1027"/>
  <c r="Y1027" s="1"/>
  <c r="W1028"/>
  <c r="Y1028" s="1"/>
  <c r="W1029"/>
  <c r="Y1029" s="1"/>
  <c r="W1030"/>
  <c r="W1031"/>
  <c r="Y1031" s="1"/>
  <c r="W1032"/>
  <c r="Y1032" s="1"/>
  <c r="W1033"/>
  <c r="Y1033" s="1"/>
  <c r="W1034"/>
  <c r="W1035"/>
  <c r="W1036"/>
  <c r="Y1036" s="1"/>
  <c r="W1037"/>
  <c r="W1038"/>
  <c r="W1039"/>
  <c r="Y1039" s="1"/>
  <c r="W1040"/>
  <c r="Y1040" s="1"/>
  <c r="W1041"/>
  <c r="Y1041" s="1"/>
  <c r="W1042"/>
  <c r="W1043"/>
  <c r="Y1043" s="1"/>
  <c r="W1044"/>
  <c r="Y1044" s="1"/>
  <c r="W1045"/>
  <c r="Y1045" s="1"/>
  <c r="W1046"/>
  <c r="W1047"/>
  <c r="Y1047" s="1"/>
  <c r="W1048"/>
  <c r="W1049"/>
  <c r="Y1049" s="1"/>
  <c r="W1050"/>
  <c r="W1051"/>
  <c r="W1052"/>
  <c r="Y1052" s="1"/>
  <c r="W1053"/>
  <c r="W1054"/>
  <c r="W1055"/>
  <c r="Y1055" s="1"/>
  <c r="W1056"/>
  <c r="Y1056" s="1"/>
  <c r="B1071" i="58" s="1"/>
  <c r="W1057" i="55"/>
  <c r="Y1057" s="1"/>
  <c r="B1072" i="58" s="1"/>
  <c r="W1058" i="55"/>
  <c r="W1059"/>
  <c r="W1060"/>
  <c r="Y1060" s="1"/>
  <c r="W1061"/>
  <c r="X1061" s="1"/>
  <c r="W1062"/>
  <c r="X1062" s="1"/>
  <c r="W1063"/>
  <c r="Y1063" s="1"/>
  <c r="Z1063" s="1"/>
  <c r="W1064"/>
  <c r="X1064" s="1"/>
  <c r="W1065"/>
  <c r="Y1065" s="1"/>
  <c r="Z1065" s="1"/>
  <c r="W1066"/>
  <c r="X1066" s="1"/>
  <c r="W1067"/>
  <c r="X1067" s="1"/>
  <c r="W1068"/>
  <c r="X1068" s="1"/>
  <c r="W1069"/>
  <c r="Y1069" s="1"/>
  <c r="W1070"/>
  <c r="Y1070" s="1"/>
  <c r="W1071"/>
  <c r="Y1071" s="1"/>
  <c r="B1086" i="58" s="1"/>
  <c r="W1072" i="55"/>
  <c r="X1072" s="1"/>
  <c r="W1073"/>
  <c r="X1073" s="1"/>
  <c r="W1074"/>
  <c r="X1074" s="1"/>
  <c r="W1075"/>
  <c r="X1075" s="1"/>
  <c r="W1076"/>
  <c r="X1076" s="1"/>
  <c r="W1077"/>
  <c r="X1077" s="1"/>
  <c r="W1078"/>
  <c r="X1078" s="1"/>
  <c r="W1079"/>
  <c r="X1079" s="1"/>
  <c r="W1080"/>
  <c r="X1080" s="1"/>
  <c r="W1081"/>
  <c r="X1081" s="1"/>
  <c r="W1082"/>
  <c r="X1082" s="1"/>
  <c r="B7" i="58"/>
  <c r="V9" i="55"/>
  <c r="V12"/>
  <c r="V15"/>
  <c r="V26"/>
  <c r="V29"/>
  <c r="V32"/>
  <c r="V33"/>
  <c r="V34"/>
  <c r="V35"/>
  <c r="V36"/>
  <c r="V37"/>
  <c r="V38"/>
  <c r="V52"/>
  <c r="V53"/>
  <c r="V68"/>
  <c r="V74"/>
  <c r="V88"/>
  <c r="V196"/>
  <c r="V197"/>
  <c r="V198"/>
  <c r="V199"/>
  <c r="V200"/>
  <c r="V201"/>
  <c r="V202"/>
  <c r="V203"/>
  <c r="V204"/>
  <c r="V205"/>
  <c r="V206"/>
  <c r="V207"/>
  <c r="V208"/>
  <c r="V214"/>
  <c r="V215"/>
  <c r="V216"/>
  <c r="V217"/>
  <c r="V218"/>
  <c r="V219"/>
  <c r="V226"/>
  <c r="V227"/>
  <c r="V228"/>
  <c r="V229"/>
  <c r="V230"/>
  <c r="V231"/>
  <c r="V232"/>
  <c r="V234"/>
  <c r="V235"/>
  <c r="V248"/>
  <c r="V255"/>
  <c r="V261"/>
  <c r="V267"/>
  <c r="V273"/>
  <c r="V279"/>
  <c r="V285"/>
  <c r="V286"/>
  <c r="V287"/>
  <c r="V288"/>
  <c r="V289"/>
  <c r="V299"/>
  <c r="V304"/>
  <c r="V306"/>
  <c r="V309"/>
  <c r="V310"/>
  <c r="V314"/>
  <c r="V332"/>
  <c r="V333"/>
  <c r="V335"/>
  <c r="V337"/>
  <c r="V344"/>
  <c r="V346"/>
  <c r="V355"/>
  <c r="V356"/>
  <c r="V357"/>
  <c r="V358"/>
  <c r="V365"/>
  <c r="V368"/>
  <c r="V372"/>
  <c r="V378"/>
  <c r="V390"/>
  <c r="V401"/>
  <c r="V405"/>
  <c r="V407"/>
  <c r="V408"/>
  <c r="V410"/>
  <c r="V412"/>
  <c r="V415"/>
  <c r="V418"/>
  <c r="V421"/>
  <c r="V443"/>
  <c r="V444"/>
  <c r="V445"/>
  <c r="V453"/>
  <c r="V460"/>
  <c r="V467"/>
  <c r="V473"/>
  <c r="V480"/>
  <c r="V529"/>
  <c r="V531"/>
  <c r="V534"/>
  <c r="V538"/>
  <c r="V541"/>
  <c r="V564"/>
  <c r="V567"/>
  <c r="V585"/>
  <c r="V691"/>
  <c r="V692"/>
  <c r="V693"/>
  <c r="V695"/>
  <c r="V705"/>
  <c r="V706"/>
  <c r="V707"/>
  <c r="V708"/>
  <c r="V709"/>
  <c r="V730"/>
  <c r="V731"/>
  <c r="V795"/>
  <c r="V821"/>
  <c r="V823"/>
  <c r="V828"/>
  <c r="V832"/>
  <c r="V833"/>
  <c r="V834"/>
  <c r="V835"/>
  <c r="V849"/>
  <c r="V850"/>
  <c r="V852"/>
  <c r="V862"/>
  <c r="V864"/>
  <c r="V960"/>
  <c r="V961"/>
  <c r="V962"/>
  <c r="V966"/>
  <c r="V967"/>
  <c r="V968"/>
  <c r="V969"/>
  <c r="V1060"/>
  <c r="V1061"/>
  <c r="V1062"/>
  <c r="V1063"/>
  <c r="V1064"/>
  <c r="V1065"/>
  <c r="V1066"/>
  <c r="V1067"/>
  <c r="V1068"/>
  <c r="V1069"/>
  <c r="V1070"/>
  <c r="V1071"/>
  <c r="V1072"/>
  <c r="V1073"/>
  <c r="V1074"/>
  <c r="V1075"/>
  <c r="V1076"/>
  <c r="V1077"/>
  <c r="V1078"/>
  <c r="V1079"/>
  <c r="V1080"/>
  <c r="V1081"/>
  <c r="V1082"/>
  <c r="V1083"/>
  <c r="V1084"/>
  <c r="V1085"/>
  <c r="V1086"/>
  <c r="V1087"/>
  <c r="V1088"/>
  <c r="V1089"/>
  <c r="V1090"/>
  <c r="T9"/>
  <c r="T12"/>
  <c r="T15"/>
  <c r="T26"/>
  <c r="T29"/>
  <c r="T32"/>
  <c r="T33"/>
  <c r="T34"/>
  <c r="T35"/>
  <c r="T36"/>
  <c r="T37"/>
  <c r="T38"/>
  <c r="T52"/>
  <c r="T53"/>
  <c r="T68"/>
  <c r="T74"/>
  <c r="T88"/>
  <c r="T196"/>
  <c r="T197"/>
  <c r="T198"/>
  <c r="T199"/>
  <c r="T200"/>
  <c r="T201"/>
  <c r="T202"/>
  <c r="T203"/>
  <c r="T204"/>
  <c r="T205"/>
  <c r="T206"/>
  <c r="T207"/>
  <c r="T208"/>
  <c r="T214"/>
  <c r="T215"/>
  <c r="T216"/>
  <c r="T217"/>
  <c r="T218"/>
  <c r="T219"/>
  <c r="T226"/>
  <c r="T227"/>
  <c r="T228"/>
  <c r="T229"/>
  <c r="T230"/>
  <c r="T231"/>
  <c r="T232"/>
  <c r="T234"/>
  <c r="T235"/>
  <c r="T248"/>
  <c r="T255"/>
  <c r="T261"/>
  <c r="T267"/>
  <c r="T273"/>
  <c r="T279"/>
  <c r="T285"/>
  <c r="T286"/>
  <c r="T287"/>
  <c r="T288"/>
  <c r="T289"/>
  <c r="T299"/>
  <c r="T304"/>
  <c r="T306"/>
  <c r="T309"/>
  <c r="T310"/>
  <c r="T314"/>
  <c r="T332"/>
  <c r="T333"/>
  <c r="T335"/>
  <c r="T337"/>
  <c r="T344"/>
  <c r="T346"/>
  <c r="T355"/>
  <c r="T356"/>
  <c r="T357"/>
  <c r="T358"/>
  <c r="T365"/>
  <c r="T368"/>
  <c r="T372"/>
  <c r="T378"/>
  <c r="T390"/>
  <c r="T401"/>
  <c r="T405"/>
  <c r="T407"/>
  <c r="T408"/>
  <c r="T410"/>
  <c r="T412"/>
  <c r="T415"/>
  <c r="T418"/>
  <c r="T421"/>
  <c r="T443"/>
  <c r="T444"/>
  <c r="T445"/>
  <c r="T453"/>
  <c r="T460"/>
  <c r="T467"/>
  <c r="T473"/>
  <c r="T480"/>
  <c r="T529"/>
  <c r="T531"/>
  <c r="T534"/>
  <c r="T538"/>
  <c r="T541"/>
  <c r="T564"/>
  <c r="T567"/>
  <c r="T585"/>
  <c r="T691"/>
  <c r="T692"/>
  <c r="T693"/>
  <c r="T695"/>
  <c r="T705"/>
  <c r="T706"/>
  <c r="T707"/>
  <c r="T708"/>
  <c r="T709"/>
  <c r="T730"/>
  <c r="T731"/>
  <c r="T795"/>
  <c r="T821"/>
  <c r="T823"/>
  <c r="T828"/>
  <c r="T832"/>
  <c r="T833"/>
  <c r="T834"/>
  <c r="T835"/>
  <c r="T849"/>
  <c r="T850"/>
  <c r="T852"/>
  <c r="T862"/>
  <c r="T864"/>
  <c r="T960"/>
  <c r="T961"/>
  <c r="T962"/>
  <c r="T966"/>
  <c r="T967"/>
  <c r="T968"/>
  <c r="T969"/>
  <c r="T1060"/>
  <c r="T1061"/>
  <c r="T1062"/>
  <c r="T1063"/>
  <c r="T1064"/>
  <c r="T1065"/>
  <c r="T1066"/>
  <c r="T1067"/>
  <c r="T1068"/>
  <c r="T1069"/>
  <c r="T1070"/>
  <c r="T1071"/>
  <c r="T1072"/>
  <c r="T1073"/>
  <c r="T1074"/>
  <c r="T1075"/>
  <c r="T1076"/>
  <c r="T1077"/>
  <c r="T1078"/>
  <c r="T1079"/>
  <c r="T1080"/>
  <c r="T1081"/>
  <c r="T1082"/>
  <c r="T1083"/>
  <c r="T1084"/>
  <c r="J9"/>
  <c r="J12"/>
  <c r="J15"/>
  <c r="J26"/>
  <c r="J29"/>
  <c r="J32"/>
  <c r="J33"/>
  <c r="J34"/>
  <c r="J35"/>
  <c r="J36"/>
  <c r="J37"/>
  <c r="J38"/>
  <c r="J52"/>
  <c r="J53"/>
  <c r="J68"/>
  <c r="J74"/>
  <c r="J88"/>
  <c r="J196"/>
  <c r="J197"/>
  <c r="J198"/>
  <c r="J199"/>
  <c r="J200"/>
  <c r="J201"/>
  <c r="J202"/>
  <c r="J203"/>
  <c r="J204"/>
  <c r="J205"/>
  <c r="J206"/>
  <c r="J207"/>
  <c r="J208"/>
  <c r="J214"/>
  <c r="J215"/>
  <c r="J216"/>
  <c r="J217"/>
  <c r="J218"/>
  <c r="J219"/>
  <c r="J226"/>
  <c r="J227"/>
  <c r="J228"/>
  <c r="J229"/>
  <c r="J230"/>
  <c r="J231"/>
  <c r="J232"/>
  <c r="J234"/>
  <c r="J235"/>
  <c r="J248"/>
  <c r="J255"/>
  <c r="J261"/>
  <c r="J267"/>
  <c r="J273"/>
  <c r="J279"/>
  <c r="J285"/>
  <c r="J286"/>
  <c r="J287"/>
  <c r="J288"/>
  <c r="J289"/>
  <c r="J299"/>
  <c r="J304"/>
  <c r="J306"/>
  <c r="J309"/>
  <c r="J310"/>
  <c r="J314"/>
  <c r="J332"/>
  <c r="J333"/>
  <c r="J335"/>
  <c r="J337"/>
  <c r="J344"/>
  <c r="J346"/>
  <c r="J355"/>
  <c r="J356"/>
  <c r="J357"/>
  <c r="J358"/>
  <c r="J365"/>
  <c r="J368"/>
  <c r="J372"/>
  <c r="J378"/>
  <c r="J390"/>
  <c r="J401"/>
  <c r="J405"/>
  <c r="J407"/>
  <c r="J408"/>
  <c r="J410"/>
  <c r="J412"/>
  <c r="J415"/>
  <c r="J418"/>
  <c r="J421"/>
  <c r="J443"/>
  <c r="J444"/>
  <c r="J445"/>
  <c r="J453"/>
  <c r="J460"/>
  <c r="J467"/>
  <c r="J473"/>
  <c r="J480"/>
  <c r="J529"/>
  <c r="J531"/>
  <c r="J534"/>
  <c r="J538"/>
  <c r="J541"/>
  <c r="J564"/>
  <c r="J567"/>
  <c r="J585"/>
  <c r="J691"/>
  <c r="J692"/>
  <c r="J693"/>
  <c r="J695"/>
  <c r="J705"/>
  <c r="J706"/>
  <c r="J707"/>
  <c r="J708"/>
  <c r="J709"/>
  <c r="J730"/>
  <c r="J731"/>
  <c r="J795"/>
  <c r="J821"/>
  <c r="J823"/>
  <c r="J828"/>
  <c r="J832"/>
  <c r="J833"/>
  <c r="J834"/>
  <c r="J835"/>
  <c r="J849"/>
  <c r="J850"/>
  <c r="J852"/>
  <c r="J862"/>
  <c r="J864"/>
  <c r="J960"/>
  <c r="J961"/>
  <c r="J962"/>
  <c r="J966"/>
  <c r="J967"/>
  <c r="J968"/>
  <c r="J969"/>
  <c r="J1060"/>
  <c r="J1061"/>
  <c r="J1062"/>
  <c r="J1063"/>
  <c r="J1064"/>
  <c r="J1065"/>
  <c r="J1066"/>
  <c r="J1067"/>
  <c r="J1068"/>
  <c r="J1069"/>
  <c r="J1070"/>
  <c r="J1071"/>
  <c r="J1072"/>
  <c r="J1073"/>
  <c r="J1074"/>
  <c r="J1075"/>
  <c r="J1076"/>
  <c r="J1077"/>
  <c r="J1078"/>
  <c r="J1079"/>
  <c r="J1080"/>
  <c r="J1081"/>
  <c r="J1082"/>
  <c r="J1083"/>
  <c r="J1084"/>
  <c r="J1085"/>
  <c r="J1086"/>
  <c r="J1087"/>
  <c r="J1088"/>
  <c r="X1063"/>
  <c r="Y1024"/>
  <c r="Y1008"/>
  <c r="Y992"/>
  <c r="Y827"/>
  <c r="B891" i="58" s="1"/>
  <c r="B870"/>
  <c r="X773" i="55"/>
  <c r="Z754"/>
  <c r="Y705"/>
  <c r="Z705" s="1"/>
  <c r="B754" i="58"/>
  <c r="X445" i="55"/>
  <c r="X408"/>
  <c r="X401"/>
  <c r="X384"/>
  <c r="X110"/>
  <c r="X64"/>
  <c r="X36"/>
  <c r="X34"/>
  <c r="X32"/>
  <c r="X26"/>
  <c r="X12"/>
  <c r="Y1064"/>
  <c r="Z1064" s="1"/>
  <c r="Y1048"/>
  <c r="Y1016"/>
  <c r="Y1000"/>
  <c r="Y984"/>
  <c r="X952"/>
  <c r="B875" i="58"/>
  <c r="B818"/>
  <c r="X709" i="55"/>
  <c r="Y706"/>
  <c r="B771" i="58" s="1"/>
  <c r="B755"/>
  <c r="F755" s="1"/>
  <c r="X444" i="55"/>
  <c r="X37"/>
  <c r="X35"/>
  <c r="X33"/>
  <c r="X29"/>
  <c r="X23"/>
  <c r="X15"/>
  <c r="B1019" i="58"/>
  <c r="Y850" i="55"/>
  <c r="B914" i="58" s="1"/>
  <c r="Y835" i="55"/>
  <c r="Z835" s="1"/>
  <c r="B882" i="58"/>
  <c r="B867"/>
  <c r="B843"/>
  <c r="X749" i="55"/>
  <c r="B811" i="58"/>
  <c r="X717" i="55"/>
  <c r="B779" i="58"/>
  <c r="Z686" i="55"/>
  <c r="X421"/>
  <c r="X412"/>
  <c r="X405"/>
  <c r="X177"/>
  <c r="X169"/>
  <c r="X114"/>
  <c r="Y960"/>
  <c r="Z960" s="1"/>
  <c r="B1003" i="58"/>
  <c r="F1003" s="1"/>
  <c r="B962"/>
  <c r="X944" i="55"/>
  <c r="B947" i="58"/>
  <c r="B930"/>
  <c r="B915"/>
  <c r="Y834" i="55"/>
  <c r="Z834" s="1"/>
  <c r="Y819"/>
  <c r="B883" i="58" s="1"/>
  <c r="Y795" i="55"/>
  <c r="B859" i="58" s="1"/>
  <c r="B827"/>
  <c r="Y730" i="55"/>
  <c r="B795" i="58" s="1"/>
  <c r="F795" s="1"/>
  <c r="Y698" i="55"/>
  <c r="B763" i="58" s="1"/>
  <c r="Z685" i="55"/>
  <c r="X161"/>
  <c r="X129"/>
  <c r="Y1066"/>
  <c r="Z1066" s="1"/>
  <c r="Y1062"/>
  <c r="Z1062" s="1"/>
  <c r="Y1058"/>
  <c r="B1073" i="58" s="1"/>
  <c r="Y1054" i="55"/>
  <c r="Y1050"/>
  <c r="Y1046"/>
  <c r="Y1042"/>
  <c r="Y1038"/>
  <c r="Y1034"/>
  <c r="Y1030"/>
  <c r="Y1026"/>
  <c r="Y1022"/>
  <c r="Y1018"/>
  <c r="Y1010"/>
  <c r="Y994"/>
  <c r="B1061" i="58" s="1"/>
  <c r="Y978" i="55"/>
  <c r="B1045" i="58" s="1"/>
  <c r="Y967" i="55"/>
  <c r="Z967" s="1"/>
  <c r="B1018" i="58"/>
  <c r="B986"/>
  <c r="B938"/>
  <c r="F938" s="1"/>
  <c r="B922"/>
  <c r="Y842" i="55"/>
  <c r="B906" i="58" s="1"/>
  <c r="Y826" i="55"/>
  <c r="B890" i="58" s="1"/>
  <c r="B874"/>
  <c r="Y794" i="55"/>
  <c r="B858" i="58" s="1"/>
  <c r="B842"/>
  <c r="B826"/>
  <c r="Y745" i="55"/>
  <c r="B810" i="58" s="1"/>
  <c r="B794"/>
  <c r="Z713" i="55"/>
  <c r="Y697"/>
  <c r="B762" i="58" s="1"/>
  <c r="B1023"/>
  <c r="B991"/>
  <c r="B959"/>
  <c r="B911"/>
  <c r="Y831" i="55"/>
  <c r="B895" i="58" s="1"/>
  <c r="B879"/>
  <c r="Y799" i="55"/>
  <c r="B863" i="58" s="1"/>
  <c r="B847"/>
  <c r="B831"/>
  <c r="B815"/>
  <c r="Y734" i="55"/>
  <c r="B799" i="58" s="1"/>
  <c r="Z718" i="55"/>
  <c r="Y702"/>
  <c r="B767" i="58" s="1"/>
  <c r="X197" i="55"/>
  <c r="X181"/>
  <c r="X165"/>
  <c r="X133"/>
  <c r="X120"/>
  <c r="X117"/>
  <c r="X115"/>
  <c r="X112"/>
  <c r="X109"/>
  <c r="X65"/>
  <c r="X61"/>
  <c r="X53"/>
  <c r="X38"/>
  <c r="Y964"/>
  <c r="B1031" i="58" s="1"/>
  <c r="B1015"/>
  <c r="B999"/>
  <c r="B983"/>
  <c r="B967"/>
  <c r="B951"/>
  <c r="Y855" i="55"/>
  <c r="B919" i="58" s="1"/>
  <c r="Y839" i="55"/>
  <c r="B903" i="58" s="1"/>
  <c r="Y823" i="55"/>
  <c r="B887" i="58" s="1"/>
  <c r="B871"/>
  <c r="B855"/>
  <c r="B839"/>
  <c r="B823"/>
  <c r="B807"/>
  <c r="B791"/>
  <c r="B775"/>
  <c r="B759"/>
  <c r="X205" i="55"/>
  <c r="X157"/>
  <c r="X127"/>
  <c r="X121"/>
  <c r="X119"/>
  <c r="X116"/>
  <c r="X113"/>
  <c r="X111"/>
  <c r="X88"/>
  <c r="X68"/>
  <c r="Y538"/>
  <c r="B607" i="58" s="1"/>
  <c r="X538" i="55"/>
  <c r="Y534"/>
  <c r="B603" i="58" s="1"/>
  <c r="F603" s="1"/>
  <c r="X534" i="55"/>
  <c r="Y530"/>
  <c r="B599" i="58" s="1"/>
  <c r="Y526" i="55"/>
  <c r="B595" i="58" s="1"/>
  <c r="B591"/>
  <c r="B587"/>
  <c r="B583"/>
  <c r="B579"/>
  <c r="F579" s="1"/>
  <c r="B575"/>
  <c r="B567"/>
  <c r="F567" s="1"/>
  <c r="B563"/>
  <c r="B559"/>
  <c r="B555"/>
  <c r="B551"/>
  <c r="B547"/>
  <c r="B539"/>
  <c r="B535"/>
  <c r="B529"/>
  <c r="Y970" i="55"/>
  <c r="B1037" i="58" s="1"/>
  <c r="X969" i="55"/>
  <c r="X961"/>
  <c r="B1005" i="58"/>
  <c r="B1001"/>
  <c r="B997"/>
  <c r="F997" s="1"/>
  <c r="B993"/>
  <c r="B989"/>
  <c r="B977"/>
  <c r="F977" s="1"/>
  <c r="B973"/>
  <c r="B961"/>
  <c r="X954" i="55"/>
  <c r="X950"/>
  <c r="X946"/>
  <c r="B949" i="58"/>
  <c r="B945"/>
  <c r="X941" i="55"/>
  <c r="B941" i="58"/>
  <c r="X936" i="55"/>
  <c r="B933" i="58"/>
  <c r="B929"/>
  <c r="X864" i="55"/>
  <c r="B925" i="58"/>
  <c r="Y853" i="55"/>
  <c r="B917" i="58" s="1"/>
  <c r="Y849" i="55"/>
  <c r="B913" i="58" s="1"/>
  <c r="Y845" i="55"/>
  <c r="B909" i="58" s="1"/>
  <c r="Y841" i="55"/>
  <c r="B905" i="58" s="1"/>
  <c r="Y837" i="55"/>
  <c r="B901" i="58" s="1"/>
  <c r="Y833" i="55"/>
  <c r="B897" i="58" s="1"/>
  <c r="Y829" i="55"/>
  <c r="B893" i="58" s="1"/>
  <c r="Y825" i="55"/>
  <c r="B889" i="58" s="1"/>
  <c r="Y821" i="55"/>
  <c r="B885" i="58" s="1"/>
  <c r="F885" s="1"/>
  <c r="B881"/>
  <c r="Y813" i="55"/>
  <c r="B877" i="58" s="1"/>
  <c r="B873"/>
  <c r="B869"/>
  <c r="Y801" i="55"/>
  <c r="B865" i="58" s="1"/>
  <c r="Y797" i="55"/>
  <c r="B861" i="58" s="1"/>
  <c r="B857"/>
  <c r="B853"/>
  <c r="X788" i="55"/>
  <c r="B845" i="58"/>
  <c r="B841"/>
  <c r="B837"/>
  <c r="F837" s="1"/>
  <c r="X771" i="55"/>
  <c r="B833" i="58"/>
  <c r="B829"/>
  <c r="B825"/>
  <c r="F825" s="1"/>
  <c r="B821"/>
  <c r="B817"/>
  <c r="B813"/>
  <c r="B805"/>
  <c r="Y736" i="55"/>
  <c r="B801" i="58" s="1"/>
  <c r="Z728" i="55"/>
  <c r="X727"/>
  <c r="B789" i="58"/>
  <c r="Z720" i="55"/>
  <c r="X719"/>
  <c r="B781" i="58"/>
  <c r="B777"/>
  <c r="F777" s="1"/>
  <c r="X711" i="55"/>
  <c r="Y708"/>
  <c r="B773" i="58" s="1"/>
  <c r="Y704" i="55"/>
  <c r="B769" i="58" s="1"/>
  <c r="Y700" i="55"/>
  <c r="B765" i="58" s="1"/>
  <c r="Y696" i="55"/>
  <c r="B761" i="58" s="1"/>
  <c r="Y692" i="55"/>
  <c r="B757" i="58" s="1"/>
  <c r="X691" i="55"/>
  <c r="Z688"/>
  <c r="B749" i="58"/>
  <c r="Y535" i="55"/>
  <c r="B604" i="58" s="1"/>
  <c r="B592"/>
  <c r="B746"/>
  <c r="Z677" i="55"/>
  <c r="B738" i="58"/>
  <c r="B734"/>
  <c r="B730"/>
  <c r="B726"/>
  <c r="B722"/>
  <c r="B718"/>
  <c r="B714"/>
  <c r="B710"/>
  <c r="B706"/>
  <c r="B702"/>
  <c r="B698"/>
  <c r="B694"/>
  <c r="B690"/>
  <c r="B686"/>
  <c r="B682"/>
  <c r="B674"/>
  <c r="Y605" i="55"/>
  <c r="B670" i="58" s="1"/>
  <c r="B666"/>
  <c r="B662"/>
  <c r="Y588" i="55"/>
  <c r="B654" i="58" s="1"/>
  <c r="Y584" i="55"/>
  <c r="B650" i="58" s="1"/>
  <c r="B646"/>
  <c r="B642"/>
  <c r="Y572" i="55"/>
  <c r="B638" i="58" s="1"/>
  <c r="Y568" i="55"/>
  <c r="B634" i="58" s="1"/>
  <c r="Y564" i="55"/>
  <c r="Z564" s="1"/>
  <c r="B626" i="58"/>
  <c r="B622"/>
  <c r="B618"/>
  <c r="B614"/>
  <c r="B605"/>
  <c r="Y532" i="55"/>
  <c r="B601" i="58" s="1"/>
  <c r="Y528" i="55"/>
  <c r="B597" i="58" s="1"/>
  <c r="X524" i="55"/>
  <c r="B589" i="58"/>
  <c r="X516" i="55"/>
  <c r="B581" i="58"/>
  <c r="B577"/>
  <c r="B573"/>
  <c r="B569"/>
  <c r="B565"/>
  <c r="B561"/>
  <c r="B557"/>
  <c r="B553"/>
  <c r="B541"/>
  <c r="B537"/>
  <c r="B606"/>
  <c r="Y533" i="55"/>
  <c r="B602" i="58" s="1"/>
  <c r="Y529" i="55"/>
  <c r="B598" i="58" s="1"/>
  <c r="X529" i="55"/>
  <c r="B594" i="58"/>
  <c r="Y521" i="55"/>
  <c r="B590" i="58" s="1"/>
  <c r="B531"/>
  <c r="B747"/>
  <c r="B745"/>
  <c r="F745" s="1"/>
  <c r="B743"/>
  <c r="B741"/>
  <c r="B739"/>
  <c r="B737"/>
  <c r="B735"/>
  <c r="B733"/>
  <c r="B731"/>
  <c r="F731" s="1"/>
  <c r="B729"/>
  <c r="B727"/>
  <c r="B725"/>
  <c r="B723"/>
  <c r="B719"/>
  <c r="B717"/>
  <c r="B715"/>
  <c r="B713"/>
  <c r="B711"/>
  <c r="B709"/>
  <c r="B707"/>
  <c r="B705"/>
  <c r="B701"/>
  <c r="B697"/>
  <c r="B695"/>
  <c r="Y628" i="55"/>
  <c r="B693" i="58" s="1"/>
  <c r="B691"/>
  <c r="B689"/>
  <c r="B687"/>
  <c r="B685"/>
  <c r="B683"/>
  <c r="B681"/>
  <c r="B679"/>
  <c r="B677"/>
  <c r="B675"/>
  <c r="Y606" i="55"/>
  <c r="B671" i="58" s="1"/>
  <c r="B669"/>
  <c r="B667"/>
  <c r="B665"/>
  <c r="B663"/>
  <c r="Y595" i="55"/>
  <c r="B661" i="58" s="1"/>
  <c r="B659"/>
  <c r="B657"/>
  <c r="Y589" i="55"/>
  <c r="B655" i="58" s="1"/>
  <c r="Y587" i="55"/>
  <c r="B653" i="58" s="1"/>
  <c r="Y583" i="55"/>
  <c r="B649" i="58" s="1"/>
  <c r="B647"/>
  <c r="Y577" i="55"/>
  <c r="B643" i="58" s="1"/>
  <c r="B641"/>
  <c r="Y571" i="55"/>
  <c r="B637" i="58" s="1"/>
  <c r="Y569" i="55"/>
  <c r="B635" i="58" s="1"/>
  <c r="Y567" i="55"/>
  <c r="B633" i="58" s="1"/>
  <c r="B631"/>
  <c r="Y563" i="55"/>
  <c r="B629" i="58" s="1"/>
  <c r="B627"/>
  <c r="B625"/>
  <c r="B623"/>
  <c r="B621"/>
  <c r="B619"/>
  <c r="B617"/>
  <c r="F617" s="1"/>
  <c r="B615"/>
  <c r="B613"/>
  <c r="Y540" i="55"/>
  <c r="B609" i="58" s="1"/>
  <c r="Y447" i="55"/>
  <c r="B441" i="58" s="1"/>
  <c r="Y443" i="55"/>
  <c r="B437" i="58" s="1"/>
  <c r="F437" s="1"/>
  <c r="X443" i="55"/>
  <c r="B433" i="58"/>
  <c r="B429"/>
  <c r="F429" s="1"/>
  <c r="X435" i="55"/>
  <c r="B425" i="58"/>
  <c r="B421"/>
  <c r="F421" s="1"/>
  <c r="X427" i="55"/>
  <c r="Y423"/>
  <c r="B417" i="58" s="1"/>
  <c r="Y419" i="55"/>
  <c r="B413" i="58" s="1"/>
  <c r="Y415" i="55"/>
  <c r="Z415" s="1"/>
  <c r="X415"/>
  <c r="B405" i="58"/>
  <c r="Y403" i="55"/>
  <c r="B397" i="58" s="1"/>
  <c r="B381"/>
  <c r="X496" i="55"/>
  <c r="X490"/>
  <c r="X473"/>
  <c r="X467"/>
  <c r="X453"/>
  <c r="Y208"/>
  <c r="B205" i="58" s="1"/>
  <c r="F205" s="1"/>
  <c r="X208" i="55"/>
  <c r="B189" i="58"/>
  <c r="B173"/>
  <c r="B369"/>
  <c r="Y373" i="55"/>
  <c r="B367" i="58" s="1"/>
  <c r="Y369" i="55"/>
  <c r="B363" i="58" s="1"/>
  <c r="Y367" i="55"/>
  <c r="B361" i="58" s="1"/>
  <c r="Y365" i="55"/>
  <c r="B359" i="58" s="1"/>
  <c r="F359" s="1"/>
  <c r="X365" i="55"/>
  <c r="Y360"/>
  <c r="B355" i="58" s="1"/>
  <c r="Y356" i="55"/>
  <c r="Z356" s="1"/>
  <c r="X356"/>
  <c r="B347" i="58"/>
  <c r="B343"/>
  <c r="Y344" i="55"/>
  <c r="B339" i="58" s="1"/>
  <c r="F339" s="1"/>
  <c r="X344" i="55"/>
  <c r="Y340"/>
  <c r="B335" i="58" s="1"/>
  <c r="Y338" i="55"/>
  <c r="B333" i="58" s="1"/>
  <c r="B331"/>
  <c r="Y332" i="55"/>
  <c r="B327" i="58" s="1"/>
  <c r="F327" s="1"/>
  <c r="X332" i="55"/>
  <c r="B323" i="58"/>
  <c r="Y324" i="55"/>
  <c r="B319" i="58" s="1"/>
  <c r="Y320" i="55"/>
  <c r="B315" i="58" s="1"/>
  <c r="Y316" i="55"/>
  <c r="B311" i="58" s="1"/>
  <c r="Y310" i="55"/>
  <c r="B305" i="58" s="1"/>
  <c r="F305" s="1"/>
  <c r="Y308" i="55"/>
  <c r="B303" i="58" s="1"/>
  <c r="X306" i="55"/>
  <c r="Y304"/>
  <c r="B299" i="58" s="1"/>
  <c r="X304" i="55"/>
  <c r="Y300"/>
  <c r="B295" i="58" s="1"/>
  <c r="B291"/>
  <c r="Y290" i="55"/>
  <c r="B287" i="58" s="1"/>
  <c r="Y286" i="55"/>
  <c r="Z286" s="1"/>
  <c r="X286"/>
  <c r="Y282"/>
  <c r="B279" i="58" s="1"/>
  <c r="Y278" i="55"/>
  <c r="B275" i="58" s="1"/>
  <c r="Y274" i="55"/>
  <c r="B271" i="58" s="1"/>
  <c r="Y272" i="55"/>
  <c r="B269" i="58" s="1"/>
  <c r="Y270" i="55"/>
  <c r="B267" i="58" s="1"/>
  <c r="X220" i="55"/>
  <c r="Y204"/>
  <c r="B201" i="58" s="1"/>
  <c r="F201" s="1"/>
  <c r="X204" i="55"/>
  <c r="B185" i="58"/>
  <c r="B169"/>
  <c r="X378" i="55"/>
  <c r="X248"/>
  <c r="X232"/>
  <c r="X228"/>
  <c r="Y216"/>
  <c r="B213" i="58" s="1"/>
  <c r="F213" s="1"/>
  <c r="X216" i="55"/>
  <c r="Y200"/>
  <c r="B197" i="58" s="1"/>
  <c r="F197" s="1"/>
  <c r="X200" i="55"/>
  <c r="B181" i="58"/>
  <c r="F181" s="1"/>
  <c r="X184" i="55"/>
  <c r="B165" i="58"/>
  <c r="F165" s="1"/>
  <c r="X168" i="55"/>
  <c r="B370" i="58"/>
  <c r="B368"/>
  <c r="Y372" i="55"/>
  <c r="B366" i="58" s="1"/>
  <c r="F366" s="1"/>
  <c r="X372" i="55"/>
  <c r="Y370"/>
  <c r="B364" i="58" s="1"/>
  <c r="Y368" i="55"/>
  <c r="B362" i="58" s="1"/>
  <c r="F362" s="1"/>
  <c r="X368" i="55"/>
  <c r="Y366"/>
  <c r="B360" i="58" s="1"/>
  <c r="B358"/>
  <c r="B356"/>
  <c r="Y359" i="55"/>
  <c r="B354" i="58" s="1"/>
  <c r="Y357" i="55"/>
  <c r="B352" i="58" s="1"/>
  <c r="X357" i="55"/>
  <c r="Y355"/>
  <c r="B350" i="58" s="1"/>
  <c r="X355" i="55"/>
  <c r="B348" i="58"/>
  <c r="B346"/>
  <c r="B344"/>
  <c r="B342"/>
  <c r="Y345" i="55"/>
  <c r="B340" i="58" s="1"/>
  <c r="B338"/>
  <c r="Y341" i="55"/>
  <c r="B336" i="58" s="1"/>
  <c r="Y339" i="55"/>
  <c r="B334" i="58" s="1"/>
  <c r="Y337" i="55"/>
  <c r="Z337" s="1"/>
  <c r="X337"/>
  <c r="Y335"/>
  <c r="B330" i="58" s="1"/>
  <c r="X335" i="55"/>
  <c r="Y333"/>
  <c r="B328" i="58" s="1"/>
  <c r="F328" s="1"/>
  <c r="X333" i="55"/>
  <c r="Y331"/>
  <c r="B326" i="58" s="1"/>
  <c r="B324"/>
  <c r="Y325" i="55"/>
  <c r="B320" i="58" s="1"/>
  <c r="Y323" i="55"/>
  <c r="B318" i="58" s="1"/>
  <c r="Y321" i="55"/>
  <c r="B316" i="58" s="1"/>
  <c r="Y319" i="55"/>
  <c r="B314" i="58" s="1"/>
  <c r="Y317" i="55"/>
  <c r="B312" i="58" s="1"/>
  <c r="Y315" i="55"/>
  <c r="B310" i="58" s="1"/>
  <c r="B308"/>
  <c r="Y311" i="55"/>
  <c r="B306" i="58" s="1"/>
  <c r="Y309" i="55"/>
  <c r="B304" i="58" s="1"/>
  <c r="F304" s="1"/>
  <c r="X309" i="55"/>
  <c r="Y307"/>
  <c r="B302" i="58" s="1"/>
  <c r="Y305" i="55"/>
  <c r="B300" i="58" s="1"/>
  <c r="Y303" i="55"/>
  <c r="B298" i="58" s="1"/>
  <c r="Y301" i="55"/>
  <c r="B296" i="58" s="1"/>
  <c r="Y299" i="55"/>
  <c r="B294" i="58" s="1"/>
  <c r="X299" i="55"/>
  <c r="B292" i="58"/>
  <c r="X295" i="55"/>
  <c r="Y291"/>
  <c r="B288" i="58" s="1"/>
  <c r="Y289" i="55"/>
  <c r="B286" i="58" s="1"/>
  <c r="X289" i="55"/>
  <c r="Y287"/>
  <c r="Z287" s="1"/>
  <c r="X287"/>
  <c r="Y285"/>
  <c r="B282" i="58" s="1"/>
  <c r="F282" s="1"/>
  <c r="X285" i="55"/>
  <c r="Y283"/>
  <c r="B280" i="58" s="1"/>
  <c r="Y281" i="55"/>
  <c r="B278" i="58" s="1"/>
  <c r="Y279" i="55"/>
  <c r="B276" i="58" s="1"/>
  <c r="X279" i="55"/>
  <c r="Y277"/>
  <c r="B274" i="58" s="1"/>
  <c r="Y275" i="55"/>
  <c r="B272" i="58" s="1"/>
  <c r="Y273" i="55"/>
  <c r="B270" i="58" s="1"/>
  <c r="X273" i="55"/>
  <c r="Y271"/>
  <c r="B268" i="58" s="1"/>
  <c r="Y269" i="55"/>
  <c r="B266" i="58" s="1"/>
  <c r="Y267" i="55"/>
  <c r="B264" i="58" s="1"/>
  <c r="X267" i="55"/>
  <c r="Y263"/>
  <c r="B260" i="58" s="1"/>
  <c r="Y259" i="55"/>
  <c r="B256" i="58" s="1"/>
  <c r="Y255" i="55"/>
  <c r="B252" i="58" s="1"/>
  <c r="F252" s="1"/>
  <c r="X255" i="55"/>
  <c r="Y251"/>
  <c r="B248" i="58" s="1"/>
  <c r="Y247" i="55"/>
  <c r="B244" i="58" s="1"/>
  <c r="Y243" i="55"/>
  <c r="B240" i="58" s="1"/>
  <c r="Y239" i="55"/>
  <c r="B236" i="58" s="1"/>
  <c r="Y235" i="55"/>
  <c r="B232" i="58" s="1"/>
  <c r="X235" i="55"/>
  <c r="Y231"/>
  <c r="Z231" s="1"/>
  <c r="X231"/>
  <c r="Y227"/>
  <c r="B224" i="58" s="1"/>
  <c r="F224" s="1"/>
  <c r="X227" i="55"/>
  <c r="B220" i="58"/>
  <c r="Y212" i="55"/>
  <c r="B209" i="58" s="1"/>
  <c r="Y196" i="55"/>
  <c r="B193" i="58" s="1"/>
  <c r="F193" s="1"/>
  <c r="X196" i="55"/>
  <c r="B177" i="58"/>
  <c r="F177" s="1"/>
  <c r="X180" i="55"/>
  <c r="Z164"/>
  <c r="X164"/>
  <c r="X219"/>
  <c r="X215"/>
  <c r="X207"/>
  <c r="X203"/>
  <c r="X199"/>
  <c r="X183"/>
  <c r="X179"/>
  <c r="X167"/>
  <c r="X163"/>
  <c r="X159"/>
  <c r="X131"/>
  <c r="X234"/>
  <c r="X230"/>
  <c r="X226"/>
  <c r="X218"/>
  <c r="X214"/>
  <c r="X206"/>
  <c r="X202"/>
  <c r="X198"/>
  <c r="X170"/>
  <c r="X130"/>
  <c r="X160"/>
  <c r="X156"/>
  <c r="X140"/>
  <c r="X132"/>
  <c r="X128"/>
  <c r="H9"/>
  <c r="H12"/>
  <c r="H15"/>
  <c r="H26"/>
  <c r="H29"/>
  <c r="H32"/>
  <c r="H33"/>
  <c r="H34"/>
  <c r="H35"/>
  <c r="H36"/>
  <c r="H37"/>
  <c r="H38"/>
  <c r="H52"/>
  <c r="H53"/>
  <c r="H68"/>
  <c r="H74"/>
  <c r="H88"/>
  <c r="H196"/>
  <c r="H197"/>
  <c r="H198"/>
  <c r="H199"/>
  <c r="H200"/>
  <c r="H201"/>
  <c r="H202"/>
  <c r="H203"/>
  <c r="H204"/>
  <c r="H205"/>
  <c r="H206"/>
  <c r="H207"/>
  <c r="H208"/>
  <c r="H214"/>
  <c r="H215"/>
  <c r="H216"/>
  <c r="H217"/>
  <c r="H218"/>
  <c r="H219"/>
  <c r="H226"/>
  <c r="H227"/>
  <c r="H228"/>
  <c r="H229"/>
  <c r="H230"/>
  <c r="H231"/>
  <c r="H232"/>
  <c r="H234"/>
  <c r="H235"/>
  <c r="H248"/>
  <c r="H255"/>
  <c r="H261"/>
  <c r="H267"/>
  <c r="H273"/>
  <c r="H279"/>
  <c r="H285"/>
  <c r="H286"/>
  <c r="H287"/>
  <c r="H288"/>
  <c r="H289"/>
  <c r="H299"/>
  <c r="H304"/>
  <c r="H306"/>
  <c r="H309"/>
  <c r="H310"/>
  <c r="H314"/>
  <c r="H332"/>
  <c r="H333"/>
  <c r="H335"/>
  <c r="H337"/>
  <c r="H344"/>
  <c r="H346"/>
  <c r="H355"/>
  <c r="H356"/>
  <c r="H357"/>
  <c r="H358"/>
  <c r="H365"/>
  <c r="H368"/>
  <c r="H372"/>
  <c r="H378"/>
  <c r="H390"/>
  <c r="H401"/>
  <c r="H405"/>
  <c r="H407"/>
  <c r="H408"/>
  <c r="H410"/>
  <c r="H412"/>
  <c r="H415"/>
  <c r="H418"/>
  <c r="H421"/>
  <c r="H443"/>
  <c r="H444"/>
  <c r="H445"/>
  <c r="H453"/>
  <c r="H460"/>
  <c r="H467"/>
  <c r="H473"/>
  <c r="H480"/>
  <c r="H529"/>
  <c r="H531"/>
  <c r="H534"/>
  <c r="H538"/>
  <c r="H541"/>
  <c r="H564"/>
  <c r="H567"/>
  <c r="H585"/>
  <c r="H691"/>
  <c r="H692"/>
  <c r="H693"/>
  <c r="H695"/>
  <c r="H705"/>
  <c r="H706"/>
  <c r="H707"/>
  <c r="H708"/>
  <c r="H709"/>
  <c r="H730"/>
  <c r="H731"/>
  <c r="H795"/>
  <c r="H821"/>
  <c r="H823"/>
  <c r="H828"/>
  <c r="H832"/>
  <c r="H833"/>
  <c r="H834"/>
  <c r="H835"/>
  <c r="H849"/>
  <c r="H850"/>
  <c r="H852"/>
  <c r="H862"/>
  <c r="H864"/>
  <c r="H960"/>
  <c r="H961"/>
  <c r="H962"/>
  <c r="H966"/>
  <c r="H967"/>
  <c r="H968"/>
  <c r="H969"/>
  <c r="H1060"/>
  <c r="H1061"/>
  <c r="H1062"/>
  <c r="H1063"/>
  <c r="H1064"/>
  <c r="H1065"/>
  <c r="H1066"/>
  <c r="H1067"/>
  <c r="H1068"/>
  <c r="H1069"/>
  <c r="H1070"/>
  <c r="H1071"/>
  <c r="H1072"/>
  <c r="H1073"/>
  <c r="H1074"/>
  <c r="H1075"/>
  <c r="H1076"/>
  <c r="H1077"/>
  <c r="H1078"/>
  <c r="H1079"/>
  <c r="H1080"/>
  <c r="F9"/>
  <c r="F12"/>
  <c r="F15"/>
  <c r="F18"/>
  <c r="F23"/>
  <c r="F26"/>
  <c r="F29"/>
  <c r="F32"/>
  <c r="F33"/>
  <c r="F34"/>
  <c r="F35"/>
  <c r="F36"/>
  <c r="F37"/>
  <c r="F38"/>
  <c r="F52"/>
  <c r="F53"/>
  <c r="F61"/>
  <c r="F62"/>
  <c r="F64"/>
  <c r="F65"/>
  <c r="F68"/>
  <c r="F74"/>
  <c r="F88"/>
  <c r="F94"/>
  <c r="F109"/>
  <c r="F110"/>
  <c r="F111"/>
  <c r="F112"/>
  <c r="F113"/>
  <c r="F114"/>
  <c r="F115"/>
  <c r="F116"/>
  <c r="F117"/>
  <c r="F118"/>
  <c r="F119"/>
  <c r="F120"/>
  <c r="F121"/>
  <c r="F127"/>
  <c r="F128"/>
  <c r="F129"/>
  <c r="F130"/>
  <c r="F131"/>
  <c r="F132"/>
  <c r="F133"/>
  <c r="F140"/>
  <c r="F156"/>
  <c r="F157"/>
  <c r="F158"/>
  <c r="F159"/>
  <c r="F160"/>
  <c r="F161"/>
  <c r="F162"/>
  <c r="F163"/>
  <c r="F164"/>
  <c r="F165"/>
  <c r="F166"/>
  <c r="F167"/>
  <c r="F168"/>
  <c r="F169"/>
  <c r="F170"/>
  <c r="F177"/>
  <c r="F178"/>
  <c r="F179"/>
  <c r="F180"/>
  <c r="F181"/>
  <c r="F182"/>
  <c r="F183"/>
  <c r="F184"/>
  <c r="F190"/>
  <c r="F196"/>
  <c r="F197"/>
  <c r="F198"/>
  <c r="F199"/>
  <c r="F200"/>
  <c r="F201"/>
  <c r="F202"/>
  <c r="F203"/>
  <c r="F204"/>
  <c r="F205"/>
  <c r="F206"/>
  <c r="F207"/>
  <c r="F208"/>
  <c r="F214"/>
  <c r="F215"/>
  <c r="F216"/>
  <c r="F217"/>
  <c r="F218"/>
  <c r="F219"/>
  <c r="F220"/>
  <c r="F226"/>
  <c r="F227"/>
  <c r="F228"/>
  <c r="F229"/>
  <c r="F230"/>
  <c r="F231"/>
  <c r="F232"/>
  <c r="F234"/>
  <c r="F235"/>
  <c r="F248"/>
  <c r="F255"/>
  <c r="F261"/>
  <c r="F267"/>
  <c r="F273"/>
  <c r="F279"/>
  <c r="F285"/>
  <c r="F286"/>
  <c r="F287"/>
  <c r="F288"/>
  <c r="F289"/>
  <c r="F295"/>
  <c r="F299"/>
  <c r="F304"/>
  <c r="F306"/>
  <c r="F309"/>
  <c r="F310"/>
  <c r="F314"/>
  <c r="F332"/>
  <c r="F333"/>
  <c r="F335"/>
  <c r="F337"/>
  <c r="F344"/>
  <c r="F346"/>
  <c r="F350"/>
  <c r="F355"/>
  <c r="F356"/>
  <c r="F357"/>
  <c r="F358"/>
  <c r="F365"/>
  <c r="F368"/>
  <c r="F372"/>
  <c r="F378"/>
  <c r="F384"/>
  <c r="F390"/>
  <c r="F401"/>
  <c r="F405"/>
  <c r="F407"/>
  <c r="F408"/>
  <c r="F410"/>
  <c r="F412"/>
  <c r="F415"/>
  <c r="F418"/>
  <c r="F421"/>
  <c r="F425"/>
  <c r="F427"/>
  <c r="F435"/>
  <c r="F443"/>
  <c r="F444"/>
  <c r="F445"/>
  <c r="F453"/>
  <c r="F460"/>
  <c r="F462"/>
  <c r="F467"/>
  <c r="F473"/>
  <c r="F480"/>
  <c r="F490"/>
  <c r="F496"/>
  <c r="F503"/>
  <c r="F516"/>
  <c r="F524"/>
  <c r="F529"/>
  <c r="F531"/>
  <c r="F534"/>
  <c r="F538"/>
  <c r="F541"/>
  <c r="F542"/>
  <c r="F544"/>
  <c r="F548"/>
  <c r="F559"/>
  <c r="F564"/>
  <c r="F567"/>
  <c r="F585"/>
  <c r="F608"/>
  <c r="F613"/>
  <c r="F630"/>
  <c r="F634"/>
  <c r="F641"/>
  <c r="F656"/>
  <c r="F660"/>
  <c r="F666"/>
  <c r="F674"/>
  <c r="F675"/>
  <c r="F676"/>
  <c r="F677"/>
  <c r="F678"/>
  <c r="F679"/>
  <c r="F680"/>
  <c r="F681"/>
  <c r="F682"/>
  <c r="F683"/>
  <c r="F684"/>
  <c r="F685"/>
  <c r="F686"/>
  <c r="F687"/>
  <c r="F688"/>
  <c r="F689"/>
  <c r="F690"/>
  <c r="F691"/>
  <c r="F692"/>
  <c r="F693"/>
  <c r="F694"/>
  <c r="F695"/>
  <c r="F705"/>
  <c r="F706"/>
  <c r="F707"/>
  <c r="F708"/>
  <c r="F709"/>
  <c r="F710"/>
  <c r="F711"/>
  <c r="F712"/>
  <c r="F713"/>
  <c r="F714"/>
  <c r="F715"/>
  <c r="F716"/>
  <c r="F717"/>
  <c r="F718"/>
  <c r="F719"/>
  <c r="F720"/>
  <c r="F721"/>
  <c r="F722"/>
  <c r="F723"/>
  <c r="F724"/>
  <c r="F725"/>
  <c r="F726"/>
  <c r="F727"/>
  <c r="F728"/>
  <c r="F729"/>
  <c r="F730"/>
  <c r="F731"/>
  <c r="F732"/>
  <c r="F744"/>
  <c r="F749"/>
  <c r="F754"/>
  <c r="F760"/>
  <c r="F763"/>
  <c r="F771"/>
  <c r="F772"/>
  <c r="F773"/>
  <c r="F774"/>
  <c r="F782"/>
  <c r="F785"/>
  <c r="F786"/>
  <c r="F787"/>
  <c r="F788"/>
  <c r="F789"/>
  <c r="F790"/>
  <c r="F795"/>
  <c r="F802"/>
  <c r="F814"/>
  <c r="F821"/>
  <c r="F823"/>
  <c r="F828"/>
  <c r="F832"/>
  <c r="F833"/>
  <c r="F834"/>
  <c r="F835"/>
  <c r="F847"/>
  <c r="F849"/>
  <c r="F850"/>
  <c r="F851"/>
  <c r="F852"/>
  <c r="F857"/>
  <c r="F858"/>
  <c r="F859"/>
  <c r="F860"/>
  <c r="F861"/>
  <c r="F862"/>
  <c r="F864"/>
  <c r="F931"/>
  <c r="F933"/>
  <c r="F935"/>
  <c r="F936"/>
  <c r="F938"/>
  <c r="F939"/>
  <c r="F940"/>
  <c r="F941"/>
  <c r="F942"/>
  <c r="F943"/>
  <c r="F944"/>
  <c r="F945"/>
  <c r="F946"/>
  <c r="F947"/>
  <c r="F948"/>
  <c r="F949"/>
  <c r="F950"/>
  <c r="F951"/>
  <c r="F952"/>
  <c r="F953"/>
  <c r="F954"/>
  <c r="F955"/>
  <c r="F956"/>
  <c r="F957"/>
  <c r="F958"/>
  <c r="F960"/>
  <c r="F961"/>
  <c r="F962"/>
  <c r="F966"/>
  <c r="F967"/>
  <c r="F968"/>
  <c r="F969"/>
  <c r="F1060"/>
  <c r="F1061"/>
  <c r="F1062"/>
  <c r="F1063"/>
  <c r="F1064"/>
  <c r="F1065"/>
  <c r="F1066"/>
  <c r="F1067"/>
  <c r="F1069"/>
  <c r="F1070"/>
  <c r="F1071"/>
  <c r="F1072"/>
  <c r="F1073"/>
  <c r="F1074"/>
  <c r="F1076"/>
  <c r="F1077"/>
  <c r="F1078"/>
  <c r="F1079"/>
  <c r="F1080"/>
  <c r="F1081"/>
  <c r="F1082"/>
  <c r="F1083"/>
  <c r="F1084"/>
  <c r="F1085"/>
  <c r="F1086"/>
  <c r="F1087"/>
  <c r="F1088"/>
  <c r="A1067" i="58"/>
  <c r="C1067"/>
  <c r="E1067"/>
  <c r="A1068"/>
  <c r="C1068"/>
  <c r="E1068"/>
  <c r="A1069"/>
  <c r="C1069"/>
  <c r="E1069"/>
  <c r="A1070"/>
  <c r="C1070"/>
  <c r="E1070"/>
  <c r="A1071"/>
  <c r="C1071"/>
  <c r="E1071"/>
  <c r="A1072"/>
  <c r="C1072"/>
  <c r="E1072"/>
  <c r="A1073"/>
  <c r="E1073"/>
  <c r="A1074"/>
  <c r="E1074"/>
  <c r="A1075"/>
  <c r="C1075"/>
  <c r="D1075"/>
  <c r="E1075"/>
  <c r="A1076"/>
  <c r="C1076"/>
  <c r="D1076"/>
  <c r="E1076"/>
  <c r="A1077"/>
  <c r="C1077"/>
  <c r="D1077"/>
  <c r="E1077"/>
  <c r="A1078"/>
  <c r="C1078"/>
  <c r="D1078"/>
  <c r="E1078"/>
  <c r="A1079"/>
  <c r="C1079"/>
  <c r="D1079"/>
  <c r="E1079"/>
  <c r="A1080"/>
  <c r="C1080"/>
  <c r="D1080"/>
  <c r="E1080"/>
  <c r="A1081"/>
  <c r="C1081"/>
  <c r="D1081"/>
  <c r="E1081"/>
  <c r="A1082"/>
  <c r="C1082"/>
  <c r="D1082"/>
  <c r="E1082"/>
  <c r="A1083"/>
  <c r="C1083"/>
  <c r="D1083"/>
  <c r="E1083"/>
  <c r="A1084"/>
  <c r="C1084"/>
  <c r="D1084"/>
  <c r="E1084"/>
  <c r="A1085"/>
  <c r="C1085"/>
  <c r="D1085"/>
  <c r="E1085"/>
  <c r="A1086"/>
  <c r="C1086"/>
  <c r="D1086"/>
  <c r="E1086"/>
  <c r="A1087"/>
  <c r="C1087"/>
  <c r="D1087"/>
  <c r="E1087"/>
  <c r="A1088"/>
  <c r="C1088"/>
  <c r="D1088"/>
  <c r="E1088"/>
  <c r="A1089"/>
  <c r="C1089"/>
  <c r="D1089"/>
  <c r="E1089"/>
  <c r="A1090"/>
  <c r="C1090"/>
  <c r="D1090"/>
  <c r="E1090"/>
  <c r="A1091"/>
  <c r="C1091"/>
  <c r="D1091"/>
  <c r="E1091"/>
  <c r="A1092"/>
  <c r="C1092"/>
  <c r="D1092"/>
  <c r="E1092"/>
  <c r="A1093"/>
  <c r="C1093"/>
  <c r="D1093"/>
  <c r="E1093"/>
  <c r="A1094"/>
  <c r="C1094"/>
  <c r="D1094"/>
  <c r="E1094"/>
  <c r="A1095"/>
  <c r="C1095"/>
  <c r="D1095"/>
  <c r="E1095"/>
  <c r="A1096"/>
  <c r="C1096"/>
  <c r="D1096"/>
  <c r="E1096"/>
  <c r="A1097"/>
  <c r="C1097"/>
  <c r="D1097"/>
  <c r="E1097"/>
  <c r="A1098"/>
  <c r="C1098"/>
  <c r="D1098"/>
  <c r="E1098"/>
  <c r="A1099"/>
  <c r="C1099"/>
  <c r="D1099"/>
  <c r="E1099"/>
  <c r="A1100"/>
  <c r="B1100"/>
  <c r="C1100"/>
  <c r="D1100"/>
  <c r="E1100"/>
  <c r="A1101"/>
  <c r="B1101"/>
  <c r="C1101"/>
  <c r="D1101"/>
  <c r="E1101"/>
  <c r="A1102"/>
  <c r="B1102"/>
  <c r="C1102"/>
  <c r="D1102"/>
  <c r="E1102"/>
  <c r="A1103"/>
  <c r="B1103"/>
  <c r="C1103"/>
  <c r="D1103"/>
  <c r="E1103"/>
  <c r="A1104"/>
  <c r="B1104"/>
  <c r="C1104"/>
  <c r="D1104"/>
  <c r="E1104"/>
  <c r="A1105"/>
  <c r="B1105"/>
  <c r="C1105"/>
  <c r="D1105"/>
  <c r="E1105"/>
  <c r="A1106"/>
  <c r="B1106"/>
  <c r="C1106"/>
  <c r="D1106"/>
  <c r="E1106"/>
  <c r="A1107"/>
  <c r="B1107"/>
  <c r="C1107"/>
  <c r="D1107"/>
  <c r="E1107"/>
  <c r="I3505" i="1"/>
  <c r="AS385"/>
  <c r="R3664" i="11"/>
  <c r="R3663"/>
  <c r="R3662"/>
  <c r="R3661"/>
  <c r="R3710" i="1"/>
  <c r="R3711"/>
  <c r="R3712"/>
  <c r="R3713"/>
  <c r="R3715"/>
  <c r="R3242" i="11"/>
  <c r="R3241"/>
  <c r="S3241" s="1"/>
  <c r="R3239"/>
  <c r="R2292" i="1"/>
  <c r="R3562"/>
  <c r="R3557"/>
  <c r="A20" i="57"/>
  <c r="A21" s="1"/>
  <c r="A22" s="1"/>
  <c r="A23" s="1"/>
  <c r="D5" i="25"/>
  <c r="F5" s="1"/>
  <c r="D6"/>
  <c r="F6" s="1"/>
  <c r="D7"/>
  <c r="F7" s="1"/>
  <c r="F8"/>
  <c r="F9"/>
  <c r="F10"/>
  <c r="F11"/>
  <c r="F12"/>
  <c r="F13"/>
  <c r="F14"/>
  <c r="F15"/>
  <c r="F25"/>
  <c r="F26"/>
  <c r="F27"/>
  <c r="F28"/>
  <c r="J36"/>
  <c r="F37"/>
  <c r="J37"/>
  <c r="D38"/>
  <c r="F38" s="1"/>
  <c r="J38"/>
  <c r="D39"/>
  <c r="F39" s="1"/>
  <c r="J39"/>
  <c r="D40"/>
  <c r="F40"/>
  <c r="J40"/>
  <c r="D41"/>
  <c r="F41" s="1"/>
  <c r="I41"/>
  <c r="J41"/>
  <c r="J42"/>
  <c r="D60"/>
  <c r="F60" s="1"/>
  <c r="F61"/>
  <c r="F62"/>
  <c r="F63"/>
  <c r="F64"/>
  <c r="F88"/>
  <c r="D89"/>
  <c r="D111" s="1"/>
  <c r="F90"/>
  <c r="F91"/>
  <c r="F92"/>
  <c r="F110"/>
  <c r="C112"/>
  <c r="F112"/>
  <c r="F113"/>
  <c r="F114"/>
  <c r="D136"/>
  <c r="D159" s="1"/>
  <c r="F159" s="1"/>
  <c r="F136"/>
  <c r="C138"/>
  <c r="C161" s="1"/>
  <c r="D138"/>
  <c r="F138"/>
  <c r="D139"/>
  <c r="D305" s="1"/>
  <c r="F305" s="1"/>
  <c r="F140"/>
  <c r="D161"/>
  <c r="F161"/>
  <c r="F163"/>
  <c r="E187"/>
  <c r="E188"/>
  <c r="D194"/>
  <c r="D197" s="1"/>
  <c r="A194" s="1"/>
  <c r="G194" s="1"/>
  <c r="D195"/>
  <c r="D196"/>
  <c r="D198"/>
  <c r="G198"/>
  <c r="D199"/>
  <c r="A199" s="1"/>
  <c r="D200"/>
  <c r="A200"/>
  <c r="G200" s="1"/>
  <c r="G201"/>
  <c r="D203"/>
  <c r="D204"/>
  <c r="D205" s="1"/>
  <c r="A203" s="1"/>
  <c r="G203" s="1"/>
  <c r="G206"/>
  <c r="D207"/>
  <c r="A207"/>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2"/>
  <c r="F302" s="1"/>
  <c r="D306"/>
  <c r="F306" s="1"/>
  <c r="G318"/>
  <c r="G320"/>
  <c r="G322"/>
  <c r="G324"/>
  <c r="G326"/>
  <c r="G328"/>
  <c r="G334"/>
  <c r="G336"/>
  <c r="G338"/>
  <c r="G342"/>
  <c r="A343"/>
  <c r="G343"/>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3" s="1"/>
  <c r="A484" s="1"/>
  <c r="G484" s="1"/>
  <c r="G472"/>
  <c r="G475"/>
  <c r="G476"/>
  <c r="G479"/>
  <c r="G485"/>
  <c r="G486"/>
  <c r="G487"/>
  <c r="G494"/>
  <c r="G495"/>
  <c r="G496"/>
  <c r="G503"/>
  <c r="G505" s="1"/>
  <c r="G504"/>
  <c r="G506"/>
  <c r="A515" s="1"/>
  <c r="G515" s="1"/>
  <c r="G508"/>
  <c r="A516" s="1"/>
  <c r="G516" s="1"/>
  <c r="G510"/>
  <c r="A517" s="1"/>
  <c r="E531"/>
  <c r="E532"/>
  <c r="E537"/>
  <c r="A547" s="1"/>
  <c r="E540"/>
  <c r="A548" s="1"/>
  <c r="F540"/>
  <c r="E542"/>
  <c r="E543" s="1"/>
  <c r="A549" s="1"/>
  <c r="D548"/>
  <c r="D585" s="1"/>
  <c r="D620" s="1"/>
  <c r="G558"/>
  <c r="E567"/>
  <c r="E568"/>
  <c r="E573"/>
  <c r="A584" s="1"/>
  <c r="E576"/>
  <c r="F576"/>
  <c r="E578"/>
  <c r="E579" s="1"/>
  <c r="A586" s="1"/>
  <c r="A585"/>
  <c r="E602"/>
  <c r="E603"/>
  <c r="E608"/>
  <c r="A619" s="1"/>
  <c r="E611"/>
  <c r="F611"/>
  <c r="E613"/>
  <c r="E614" s="1"/>
  <c r="A621" s="1"/>
  <c r="A620"/>
  <c r="E638"/>
  <c r="E639"/>
  <c r="E644"/>
  <c r="A655" s="1"/>
  <c r="E647"/>
  <c r="F647"/>
  <c r="E649"/>
  <c r="E650" s="1"/>
  <c r="A657" s="1"/>
  <c r="A656"/>
  <c r="E674"/>
  <c r="E675"/>
  <c r="E680"/>
  <c r="A691" s="1"/>
  <c r="E683"/>
  <c r="F683"/>
  <c r="E685"/>
  <c r="E686" s="1"/>
  <c r="A693" s="1"/>
  <c r="A692"/>
  <c r="H2" i="1"/>
  <c r="J2"/>
  <c r="O2"/>
  <c r="Q2"/>
  <c r="W2"/>
  <c r="X7"/>
  <c r="AG7"/>
  <c r="AH7"/>
  <c r="AI7"/>
  <c r="AJ7"/>
  <c r="AK7"/>
  <c r="W8"/>
  <c r="X8"/>
  <c r="AG8"/>
  <c r="AH8"/>
  <c r="AI8"/>
  <c r="AJ8"/>
  <c r="AK8"/>
  <c r="A9"/>
  <c r="A10" s="1"/>
  <c r="A11" s="1"/>
  <c r="A12" s="1"/>
  <c r="A13" s="1"/>
  <c r="A14" s="1"/>
  <c r="A15" s="1"/>
  <c r="A16" s="1"/>
  <c r="A17" s="1"/>
  <c r="A18" s="1"/>
  <c r="A19" s="1"/>
  <c r="A20" s="1"/>
  <c r="A21" s="1"/>
  <c r="A22" s="1"/>
  <c r="A23" s="1"/>
  <c r="A24" s="1"/>
  <c r="A25" s="1"/>
  <c r="A26" s="1"/>
  <c r="A27" s="1"/>
  <c r="A28" s="1"/>
  <c r="A29" s="1"/>
  <c r="A30" s="1"/>
  <c r="A31" s="1"/>
  <c r="A32" s="1"/>
  <c r="A33" s="1"/>
  <c r="A36" s="1"/>
  <c r="A37" s="1"/>
  <c r="A38" s="1"/>
  <c r="A39" s="1"/>
  <c r="A40" s="1"/>
  <c r="A41" s="1"/>
  <c r="A42" s="1"/>
  <c r="A43" s="1"/>
  <c r="A44" s="1"/>
  <c r="A45" s="1"/>
  <c r="A46" s="1"/>
  <c r="A47" s="1"/>
  <c r="A48" s="1"/>
  <c r="A49" s="1"/>
  <c r="A50" s="1"/>
  <c r="A51" s="1"/>
  <c r="A52" s="1"/>
  <c r="A53" s="1"/>
  <c r="A54" s="1"/>
  <c r="A55"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134" s="1"/>
  <c r="A135" s="1"/>
  <c r="A136" s="1"/>
  <c r="A137" s="1"/>
  <c r="A138" s="1"/>
  <c r="A139" s="1"/>
  <c r="A140" s="1"/>
  <c r="A142" s="1"/>
  <c r="A144" s="1"/>
  <c r="A145" s="1"/>
  <c r="A189" s="1"/>
  <c r="A190" s="1"/>
  <c r="A191" s="1"/>
  <c r="A192" s="1"/>
  <c r="A193" s="1"/>
  <c r="A194" s="1"/>
  <c r="A195" s="1"/>
  <c r="A196" s="1"/>
  <c r="A197" s="1"/>
  <c r="A198" s="1"/>
  <c r="A199" s="1"/>
  <c r="A200" s="1"/>
  <c r="A201" s="1"/>
  <c r="A202" s="1"/>
  <c r="A203" s="1"/>
  <c r="P9"/>
  <c r="R9"/>
  <c r="X9"/>
  <c r="X41" s="1"/>
  <c r="AG9"/>
  <c r="AH9"/>
  <c r="AI9"/>
  <c r="AJ9"/>
  <c r="V3668" s="1"/>
  <c r="X3668" s="1"/>
  <c r="AK9"/>
  <c r="AG10"/>
  <c r="AH10"/>
  <c r="AI10"/>
  <c r="AJ10"/>
  <c r="AK10"/>
  <c r="AG11"/>
  <c r="AH11"/>
  <c r="AI11"/>
  <c r="AJ11"/>
  <c r="AK11"/>
  <c r="AG12"/>
  <c r="AH12"/>
  <c r="AI12"/>
  <c r="AJ12"/>
  <c r="AK12"/>
  <c r="AG13"/>
  <c r="AH13"/>
  <c r="AI13"/>
  <c r="AJ13"/>
  <c r="C13" s="1"/>
  <c r="AK13"/>
  <c r="X14"/>
  <c r="X15" s="1"/>
  <c r="AG14"/>
  <c r="AH14"/>
  <c r="AI14"/>
  <c r="AJ14"/>
  <c r="AK14"/>
  <c r="AG15"/>
  <c r="AH15"/>
  <c r="AI15"/>
  <c r="AJ15"/>
  <c r="AK15"/>
  <c r="X16"/>
  <c r="X27" s="1"/>
  <c r="X32" s="1"/>
  <c r="AG16"/>
  <c r="AH16"/>
  <c r="AI16"/>
  <c r="AJ16"/>
  <c r="AK16"/>
  <c r="W17"/>
  <c r="X17"/>
  <c r="X18" s="1"/>
  <c r="AG17"/>
  <c r="AH17"/>
  <c r="AI17"/>
  <c r="AJ17"/>
  <c r="AK17"/>
  <c r="W18"/>
  <c r="AG18"/>
  <c r="AH18"/>
  <c r="AI18"/>
  <c r="AJ18"/>
  <c r="AK18"/>
  <c r="X19"/>
  <c r="X20" s="1"/>
  <c r="AG19"/>
  <c r="AH19"/>
  <c r="AI19"/>
  <c r="AJ19"/>
  <c r="I2694" s="1"/>
  <c r="K2694" s="1"/>
  <c r="AK19"/>
  <c r="AC20"/>
  <c r="C81" s="1"/>
  <c r="AG20"/>
  <c r="AH20"/>
  <c r="AI20"/>
  <c r="AJ20"/>
  <c r="C38" s="1"/>
  <c r="AK20"/>
  <c r="X21"/>
  <c r="AG21"/>
  <c r="AH21"/>
  <c r="AI21"/>
  <c r="AJ21"/>
  <c r="C27" s="1"/>
  <c r="I1231" s="1"/>
  <c r="K1231" s="1"/>
  <c r="AK21"/>
  <c r="AG22"/>
  <c r="AH22"/>
  <c r="AI22"/>
  <c r="AJ22"/>
  <c r="C16" s="1"/>
  <c r="AK22"/>
  <c r="X23"/>
  <c r="X24" s="1"/>
  <c r="X25" s="1"/>
  <c r="X26" s="1"/>
  <c r="X28" s="1"/>
  <c r="AG23"/>
  <c r="AH23"/>
  <c r="AI23"/>
  <c r="AJ23"/>
  <c r="C23" s="1"/>
  <c r="AK23"/>
  <c r="AG24"/>
  <c r="AH24"/>
  <c r="AI24"/>
  <c r="AJ24"/>
  <c r="I3507" s="1"/>
  <c r="K3507" s="1"/>
  <c r="AK24"/>
  <c r="AG25"/>
  <c r="AH25"/>
  <c r="AI25"/>
  <c r="AJ25"/>
  <c r="V80" s="1"/>
  <c r="AK25"/>
  <c r="AG26"/>
  <c r="AH26"/>
  <c r="AI26"/>
  <c r="AJ26"/>
  <c r="AK26"/>
  <c r="E27"/>
  <c r="W27"/>
  <c r="AG27"/>
  <c r="AH27"/>
  <c r="AI27"/>
  <c r="AJ27"/>
  <c r="C58" s="1"/>
  <c r="AK27"/>
  <c r="AC28"/>
  <c r="C134" s="1"/>
  <c r="I1215" s="1"/>
  <c r="K1215" s="1"/>
  <c r="AG28"/>
  <c r="AH28"/>
  <c r="AI28"/>
  <c r="AJ28"/>
  <c r="AK28"/>
  <c r="X29"/>
  <c r="AG29"/>
  <c r="AH29"/>
  <c r="AI29"/>
  <c r="AJ29"/>
  <c r="D28" s="1"/>
  <c r="AK29"/>
  <c r="X30"/>
  <c r="X31" s="1"/>
  <c r="AG30"/>
  <c r="AH30"/>
  <c r="AI30"/>
  <c r="AJ30"/>
  <c r="AK30"/>
  <c r="AG31"/>
  <c r="AH31"/>
  <c r="AI31"/>
  <c r="AJ31"/>
  <c r="AK31"/>
  <c r="D32"/>
  <c r="W32"/>
  <c r="W38" s="1"/>
  <c r="AG32"/>
  <c r="AH32"/>
  <c r="AI32"/>
  <c r="AJ32"/>
  <c r="AK32"/>
  <c r="W33"/>
  <c r="AG33"/>
  <c r="AH33"/>
  <c r="AI33"/>
  <c r="AJ33"/>
  <c r="D31" s="1"/>
  <c r="I2246" s="1"/>
  <c r="K2246" s="1"/>
  <c r="AK33"/>
  <c r="AG34"/>
  <c r="AH34"/>
  <c r="AI34"/>
  <c r="AJ34"/>
  <c r="D58" s="1"/>
  <c r="I91" s="1"/>
  <c r="K91" s="1"/>
  <c r="AK34"/>
  <c r="AG35"/>
  <c r="AH35"/>
  <c r="AI35"/>
  <c r="AJ35"/>
  <c r="AK35"/>
  <c r="X36"/>
  <c r="AG36"/>
  <c r="AH36"/>
  <c r="AI36"/>
  <c r="AJ36"/>
  <c r="AK36"/>
  <c r="V78"/>
  <c r="X38"/>
  <c r="X39" s="1"/>
  <c r="AG38"/>
  <c r="AH38"/>
  <c r="AI38"/>
  <c r="AJ38"/>
  <c r="AE38" s="1"/>
  <c r="C17" s="1"/>
  <c r="AK38"/>
  <c r="AG39"/>
  <c r="AH39"/>
  <c r="AI39"/>
  <c r="AJ39"/>
  <c r="AE39" s="1"/>
  <c r="C18" s="1"/>
  <c r="AK39"/>
  <c r="W40"/>
  <c r="W41" s="1"/>
  <c r="X40"/>
  <c r="AG40"/>
  <c r="AH40"/>
  <c r="AI40"/>
  <c r="AJ40"/>
  <c r="AE40" s="1"/>
  <c r="AK40"/>
  <c r="AG41"/>
  <c r="AH41"/>
  <c r="AI41"/>
  <c r="AJ41"/>
  <c r="AE41" s="1"/>
  <c r="C20" s="1"/>
  <c r="AK41"/>
  <c r="X42"/>
  <c r="AG42"/>
  <c r="AH42"/>
  <c r="AI42"/>
  <c r="AJ42"/>
  <c r="AE42" s="1"/>
  <c r="C21" s="1"/>
  <c r="J612" s="1"/>
  <c r="V590" s="1"/>
  <c r="AK42"/>
  <c r="X43"/>
  <c r="X44" s="1"/>
  <c r="AG43"/>
  <c r="AH43"/>
  <c r="AI43"/>
  <c r="AJ43"/>
  <c r="AE43" s="1"/>
  <c r="AK43"/>
  <c r="AG44"/>
  <c r="AH44"/>
  <c r="AI44"/>
  <c r="AJ44"/>
  <c r="AE44" s="1"/>
  <c r="AK44"/>
  <c r="AJ45"/>
  <c r="AE45" s="1"/>
  <c r="AG46"/>
  <c r="AH46"/>
  <c r="AI46"/>
  <c r="AJ46"/>
  <c r="AE46" s="1"/>
  <c r="C457" s="1"/>
  <c r="AK46"/>
  <c r="AG47"/>
  <c r="AH47"/>
  <c r="AI47"/>
  <c r="AJ47"/>
  <c r="AE47" s="1"/>
  <c r="C458" s="1"/>
  <c r="AK47"/>
  <c r="AH53"/>
  <c r="AI53"/>
  <c r="AJ53"/>
  <c r="AE53" s="1"/>
  <c r="I3253" s="1"/>
  <c r="K3253" s="1"/>
  <c r="AH54"/>
  <c r="AI54"/>
  <c r="AJ54"/>
  <c r="AE54" s="1"/>
  <c r="I3598" s="1"/>
  <c r="K3598" s="1"/>
  <c r="AH56"/>
  <c r="AI56"/>
  <c r="AJ56"/>
  <c r="AH57"/>
  <c r="AI57"/>
  <c r="AJ57"/>
  <c r="AH58"/>
  <c r="AI58"/>
  <c r="AH59"/>
  <c r="AH60"/>
  <c r="AP60"/>
  <c r="AH61"/>
  <c r="AH62"/>
  <c r="AH63"/>
  <c r="AH64"/>
  <c r="AH65"/>
  <c r="AH66"/>
  <c r="AH67"/>
  <c r="AH68"/>
  <c r="AH69"/>
  <c r="AH70"/>
  <c r="AH71"/>
  <c r="AH72"/>
  <c r="AH73"/>
  <c r="AH74"/>
  <c r="AH75"/>
  <c r="AH76"/>
  <c r="AH77"/>
  <c r="AH78"/>
  <c r="AH79"/>
  <c r="AH80"/>
  <c r="AH81"/>
  <c r="AH82"/>
  <c r="AP82"/>
  <c r="AH83"/>
  <c r="AH84"/>
  <c r="AN84"/>
  <c r="AP84"/>
  <c r="AH85"/>
  <c r="AN85"/>
  <c r="AH86"/>
  <c r="AH87"/>
  <c r="AH88"/>
  <c r="AH89"/>
  <c r="AH90"/>
  <c r="AH91"/>
  <c r="AH92"/>
  <c r="AH93"/>
  <c r="AH94"/>
  <c r="AH95"/>
  <c r="AH96"/>
  <c r="AH97"/>
  <c r="AH98"/>
  <c r="AH99"/>
  <c r="AH100"/>
  <c r="AH101"/>
  <c r="AH102"/>
  <c r="AP102"/>
  <c r="AH103"/>
  <c r="AH104"/>
  <c r="AP104"/>
  <c r="AH105"/>
  <c r="AH106"/>
  <c r="AH107"/>
  <c r="AH108"/>
  <c r="AH109"/>
  <c r="AH110"/>
  <c r="AU110"/>
  <c r="AV110" s="1"/>
  <c r="AH111"/>
  <c r="AU111"/>
  <c r="AV111" s="1"/>
  <c r="AH112"/>
  <c r="AH113"/>
  <c r="AU113"/>
  <c r="AV113" s="1"/>
  <c r="AH114"/>
  <c r="AH115"/>
  <c r="AU115"/>
  <c r="AV115" s="1"/>
  <c r="AH116"/>
  <c r="AH117"/>
  <c r="AH118"/>
  <c r="AH119"/>
  <c r="AH120"/>
  <c r="AE126"/>
  <c r="AE127"/>
  <c r="AP127"/>
  <c r="AE128"/>
  <c r="AE129"/>
  <c r="AN129"/>
  <c r="AP129"/>
  <c r="AE130"/>
  <c r="AE131"/>
  <c r="AE132"/>
  <c r="AE133"/>
  <c r="AE134"/>
  <c r="AE135"/>
  <c r="AU135"/>
  <c r="AV135" s="1"/>
  <c r="AE136"/>
  <c r="AU136"/>
  <c r="AV136" s="1"/>
  <c r="AE137"/>
  <c r="AE138"/>
  <c r="AU138"/>
  <c r="AV138" s="1"/>
  <c r="AE139"/>
  <c r="AE140"/>
  <c r="AU140"/>
  <c r="AV140" s="1"/>
  <c r="AE141"/>
  <c r="AU141"/>
  <c r="AV141" s="1"/>
  <c r="AE142"/>
  <c r="AU142"/>
  <c r="AV142" s="1"/>
  <c r="AE143"/>
  <c r="AU143"/>
  <c r="AV143" s="1"/>
  <c r="AE144"/>
  <c r="AE145"/>
  <c r="AE146"/>
  <c r="AU146"/>
  <c r="AV146"/>
  <c r="AE147"/>
  <c r="AU147"/>
  <c r="AV147" s="1"/>
  <c r="AE148"/>
  <c r="AE149"/>
  <c r="AU149"/>
  <c r="AV149" s="1"/>
  <c r="I150"/>
  <c r="K150" s="1"/>
  <c r="AE150"/>
  <c r="AE151"/>
  <c r="AU151"/>
  <c r="AV151" s="1"/>
  <c r="I152"/>
  <c r="K152" s="1"/>
  <c r="AE152"/>
  <c r="AE153"/>
  <c r="I154"/>
  <c r="K154" s="1"/>
  <c r="AE154"/>
  <c r="AE155"/>
  <c r="AE156"/>
  <c r="AE157"/>
  <c r="AU157"/>
  <c r="AV157" s="1"/>
  <c r="AE158"/>
  <c r="AP158"/>
  <c r="AU158"/>
  <c r="AV158" s="1"/>
  <c r="AE159"/>
  <c r="AU159"/>
  <c r="AV159" s="1"/>
  <c r="AE160"/>
  <c r="AN160"/>
  <c r="AP160"/>
  <c r="AE161"/>
  <c r="AN161"/>
  <c r="AE162"/>
  <c r="AE163"/>
  <c r="AE164"/>
  <c r="AE165"/>
  <c r="AE166"/>
  <c r="AU166"/>
  <c r="AV166" s="1"/>
  <c r="AE167"/>
  <c r="AU167"/>
  <c r="AV167" s="1"/>
  <c r="AE168"/>
  <c r="AE169"/>
  <c r="AU169"/>
  <c r="AV169" s="1"/>
  <c r="AE170"/>
  <c r="AE171"/>
  <c r="AU171"/>
  <c r="AV171" s="1"/>
  <c r="AE172"/>
  <c r="AU172"/>
  <c r="AV172" s="1"/>
  <c r="AE173"/>
  <c r="AU173"/>
  <c r="AV173" s="1"/>
  <c r="AE174"/>
  <c r="AU174"/>
  <c r="AV174" s="1"/>
  <c r="AE175"/>
  <c r="AU175"/>
  <c r="AV175" s="1"/>
  <c r="AE176"/>
  <c r="AE177"/>
  <c r="AE178"/>
  <c r="AU178"/>
  <c r="AV178" s="1"/>
  <c r="AE179"/>
  <c r="AU179"/>
  <c r="AV179" s="1"/>
  <c r="AE180"/>
  <c r="AE181"/>
  <c r="AU181"/>
  <c r="AV181" s="1"/>
  <c r="I182"/>
  <c r="K182" s="1"/>
  <c r="AE182"/>
  <c r="I183"/>
  <c r="K183" s="1"/>
  <c r="AE183"/>
  <c r="AU183"/>
  <c r="AV183" s="1"/>
  <c r="AE184"/>
  <c r="AE185"/>
  <c r="AE186"/>
  <c r="AE187"/>
  <c r="AE188"/>
  <c r="AE189"/>
  <c r="AU189"/>
  <c r="AV189" s="1"/>
  <c r="AE190"/>
  <c r="AU190"/>
  <c r="AV190" s="1"/>
  <c r="AE191"/>
  <c r="AU191"/>
  <c r="AV191" s="1"/>
  <c r="AE192"/>
  <c r="AU192"/>
  <c r="AV192" s="1"/>
  <c r="AE193"/>
  <c r="AU193"/>
  <c r="AV193" s="1"/>
  <c r="AE194"/>
  <c r="AU194"/>
  <c r="AV194" s="1"/>
  <c r="AE195"/>
  <c r="AU195"/>
  <c r="AV195" s="1"/>
  <c r="AE196"/>
  <c r="AU196"/>
  <c r="AV196" s="1"/>
  <c r="AE197"/>
  <c r="AU197"/>
  <c r="AV197" s="1"/>
  <c r="AE198"/>
  <c r="AU198"/>
  <c r="AV198" s="1"/>
  <c r="AE199"/>
  <c r="AU199"/>
  <c r="AV199"/>
  <c r="AE200"/>
  <c r="AU200"/>
  <c r="AV200" s="1"/>
  <c r="AE201"/>
  <c r="AU201"/>
  <c r="AV201" s="1"/>
  <c r="AE202"/>
  <c r="AU202"/>
  <c r="AV202" s="1"/>
  <c r="AE203"/>
  <c r="AU203"/>
  <c r="AV203" s="1"/>
  <c r="AE204"/>
  <c r="AU204"/>
  <c r="AV204" s="1"/>
  <c r="AE205"/>
  <c r="AU205"/>
  <c r="AV205" s="1"/>
  <c r="AE206"/>
  <c r="AU206"/>
  <c r="AV206" s="1"/>
  <c r="AE207"/>
  <c r="AU207"/>
  <c r="AV207" s="1"/>
  <c r="AE208"/>
  <c r="AU208"/>
  <c r="AV208" s="1"/>
  <c r="P209"/>
  <c r="R209" s="1"/>
  <c r="AE209"/>
  <c r="AU209"/>
  <c r="AV209" s="1"/>
  <c r="AE210"/>
  <c r="AU210"/>
  <c r="AV210" s="1"/>
  <c r="P211"/>
  <c r="R211" s="1"/>
  <c r="AE211"/>
  <c r="AU211"/>
  <c r="AV211" s="1"/>
  <c r="P212"/>
  <c r="R212" s="1"/>
  <c r="AE212"/>
  <c r="AU212"/>
  <c r="AV212" s="1"/>
  <c r="P213"/>
  <c r="R213" s="1"/>
  <c r="AE213"/>
  <c r="AU213"/>
  <c r="AV213" s="1"/>
  <c r="P214"/>
  <c r="R214" s="1"/>
  <c r="AE214"/>
  <c r="AU214"/>
  <c r="AV214" s="1"/>
  <c r="P215"/>
  <c r="R215" s="1"/>
  <c r="AE215"/>
  <c r="P216"/>
  <c r="R216" s="1"/>
  <c r="AE216"/>
  <c r="AE217"/>
  <c r="AE218"/>
  <c r="AE219"/>
  <c r="AE220"/>
  <c r="AE221"/>
  <c r="AE222"/>
  <c r="AE223"/>
  <c r="AE224"/>
  <c r="AE225"/>
  <c r="AE226"/>
  <c r="AE227"/>
  <c r="AE228"/>
  <c r="AE229"/>
  <c r="AE230"/>
  <c r="AE231"/>
  <c r="AE232"/>
  <c r="AE233"/>
  <c r="AE234"/>
  <c r="AE235"/>
  <c r="AE236"/>
  <c r="AE237"/>
  <c r="I238"/>
  <c r="K238" s="1"/>
  <c r="AE238"/>
  <c r="AE239"/>
  <c r="AE240"/>
  <c r="AE241"/>
  <c r="K242"/>
  <c r="AE242"/>
  <c r="AE243"/>
  <c r="AE244"/>
  <c r="AE245"/>
  <c r="AE246"/>
  <c r="AE247"/>
  <c r="AE248"/>
  <c r="AE249"/>
  <c r="AE250"/>
  <c r="AE251"/>
  <c r="AE252"/>
  <c r="I253"/>
  <c r="K253" s="1"/>
  <c r="AE253"/>
  <c r="K254"/>
  <c r="AE254"/>
  <c r="AE255"/>
  <c r="AE256"/>
  <c r="AE257"/>
  <c r="AE258"/>
  <c r="AE259"/>
  <c r="AE260"/>
  <c r="AE261"/>
  <c r="AE262"/>
  <c r="AE263"/>
  <c r="AE264"/>
  <c r="AE265"/>
  <c r="AE266"/>
  <c r="AE267"/>
  <c r="AE268"/>
  <c r="AE269"/>
  <c r="AE270"/>
  <c r="AC271"/>
  <c r="AD271"/>
  <c r="AE271"/>
  <c r="AC272"/>
  <c r="AD272"/>
  <c r="AE272"/>
  <c r="AC273"/>
  <c r="AD273"/>
  <c r="AE273"/>
  <c r="AC274"/>
  <c r="AD274"/>
  <c r="AE274"/>
  <c r="AC275"/>
  <c r="AD275"/>
  <c r="AE275"/>
  <c r="AE276"/>
  <c r="AE277"/>
  <c r="AE278"/>
  <c r="AE279"/>
  <c r="AE280"/>
  <c r="AE281"/>
  <c r="AE282"/>
  <c r="AE283"/>
  <c r="AE284"/>
  <c r="AE285"/>
  <c r="AE286"/>
  <c r="AE287"/>
  <c r="AE288"/>
  <c r="AE289"/>
  <c r="AE290"/>
  <c r="AE291"/>
  <c r="AE292"/>
  <c r="AE293"/>
  <c r="AE294"/>
  <c r="AE295"/>
  <c r="AE296"/>
  <c r="AE297"/>
  <c r="AE298"/>
  <c r="AE299"/>
  <c r="AE300"/>
  <c r="AE301"/>
  <c r="AE302"/>
  <c r="AE303"/>
  <c r="AE304"/>
  <c r="H308"/>
  <c r="AD308"/>
  <c r="AD421" s="1"/>
  <c r="H330"/>
  <c r="H350" s="1"/>
  <c r="AD330"/>
  <c r="AD359" s="1"/>
  <c r="F332"/>
  <c r="H332"/>
  <c r="AB332"/>
  <c r="AD332"/>
  <c r="F333"/>
  <c r="AB333"/>
  <c r="X338"/>
  <c r="H352"/>
  <c r="AD361"/>
  <c r="P364"/>
  <c r="R364" s="1"/>
  <c r="H374"/>
  <c r="F376"/>
  <c r="H376"/>
  <c r="AD383"/>
  <c r="AB385"/>
  <c r="AD385"/>
  <c r="H405"/>
  <c r="F407"/>
  <c r="H407"/>
  <c r="F408"/>
  <c r="X413"/>
  <c r="AD419"/>
  <c r="AB421"/>
  <c r="AB425"/>
  <c r="AB426"/>
  <c r="AB427"/>
  <c r="AB428"/>
  <c r="AB429"/>
  <c r="P430"/>
  <c r="R430" s="1"/>
  <c r="P436"/>
  <c r="R436" s="1"/>
  <c r="P437"/>
  <c r="R437" s="1"/>
  <c r="P438"/>
  <c r="R438" s="1"/>
  <c r="P449"/>
  <c r="R449" s="1"/>
  <c r="AJ449"/>
  <c r="P454"/>
  <c r="R454" s="1"/>
  <c r="P455"/>
  <c r="R455" s="1"/>
  <c r="P456"/>
  <c r="R456" s="1"/>
  <c r="AE461"/>
  <c r="AE462"/>
  <c r="AE463"/>
  <c r="AE464"/>
  <c r="AE465"/>
  <c r="AE466"/>
  <c r="P467"/>
  <c r="R467" s="1"/>
  <c r="AE467"/>
  <c r="AE468"/>
  <c r="AE476"/>
  <c r="AB477"/>
  <c r="AE477"/>
  <c r="AE478"/>
  <c r="P479"/>
  <c r="R479" s="1"/>
  <c r="AE479"/>
  <c r="P480"/>
  <c r="R480" s="1"/>
  <c r="AE480"/>
  <c r="P481"/>
  <c r="R481" s="1"/>
  <c r="AE481"/>
  <c r="AE482"/>
  <c r="AE483"/>
  <c r="AE484"/>
  <c r="AE485"/>
  <c r="AE486"/>
  <c r="AE487"/>
  <c r="AE488"/>
  <c r="I489"/>
  <c r="K489" s="1"/>
  <c r="AE489"/>
  <c r="AE490"/>
  <c r="AE491"/>
  <c r="AE492"/>
  <c r="AE493"/>
  <c r="AE494"/>
  <c r="AE495"/>
  <c r="P496"/>
  <c r="R496" s="1"/>
  <c r="AE496"/>
  <c r="AE497"/>
  <c r="P498"/>
  <c r="R498" s="1"/>
  <c r="AE498"/>
  <c r="P499"/>
  <c r="R499" s="1"/>
  <c r="AE499"/>
  <c r="AE500"/>
  <c r="AE501"/>
  <c r="AE502"/>
  <c r="AE503"/>
  <c r="R504"/>
  <c r="AE504"/>
  <c r="AE505"/>
  <c r="AE506"/>
  <c r="AE507"/>
  <c r="AE508"/>
  <c r="AE509"/>
  <c r="AE510"/>
  <c r="AE511"/>
  <c r="AE512"/>
  <c r="AE513"/>
  <c r="P514"/>
  <c r="R514" s="1"/>
  <c r="AE514"/>
  <c r="AE515"/>
  <c r="P516"/>
  <c r="R516" s="1"/>
  <c r="AE516"/>
  <c r="P517"/>
  <c r="R517" s="1"/>
  <c r="AE517"/>
  <c r="AE518"/>
  <c r="AE519"/>
  <c r="AE520"/>
  <c r="AE521"/>
  <c r="R522"/>
  <c r="AE522"/>
  <c r="AE523"/>
  <c r="AE524"/>
  <c r="AE525"/>
  <c r="AE526"/>
  <c r="AE527"/>
  <c r="AB528"/>
  <c r="AB552" s="1"/>
  <c r="AE528"/>
  <c r="AE529"/>
  <c r="AE530"/>
  <c r="AE531"/>
  <c r="AE532"/>
  <c r="AE533"/>
  <c r="P534"/>
  <c r="R534" s="1"/>
  <c r="AE534"/>
  <c r="AE535"/>
  <c r="P536"/>
  <c r="R536" s="1"/>
  <c r="AE536"/>
  <c r="P545"/>
  <c r="R545" s="1"/>
  <c r="W545"/>
  <c r="AC545" s="1"/>
  <c r="AE545"/>
  <c r="W546"/>
  <c r="AC546" s="1"/>
  <c r="AE546"/>
  <c r="AE547"/>
  <c r="AE548"/>
  <c r="AE549"/>
  <c r="E550"/>
  <c r="R550"/>
  <c r="AE550"/>
  <c r="AE551"/>
  <c r="V552"/>
  <c r="AE552"/>
  <c r="AE553"/>
  <c r="AE554"/>
  <c r="AE555"/>
  <c r="M556"/>
  <c r="AE556"/>
  <c r="M557"/>
  <c r="AE557"/>
  <c r="M558"/>
  <c r="AE558"/>
  <c r="M559"/>
  <c r="AE559"/>
  <c r="AE560"/>
  <c r="AE561"/>
  <c r="AC563"/>
  <c r="AB569"/>
  <c r="AC569"/>
  <c r="AE569"/>
  <c r="AE570"/>
  <c r="AE571"/>
  <c r="AE572"/>
  <c r="AE573"/>
  <c r="AE574"/>
  <c r="P575"/>
  <c r="R575" s="1"/>
  <c r="AE575"/>
  <c r="AE576"/>
  <c r="AE577"/>
  <c r="AE578"/>
  <c r="I579"/>
  <c r="K579" s="1"/>
  <c r="AE579"/>
  <c r="R580"/>
  <c r="AE580"/>
  <c r="R581"/>
  <c r="AE581"/>
  <c r="P582"/>
  <c r="R582" s="1"/>
  <c r="V582"/>
  <c r="AE582"/>
  <c r="AE583"/>
  <c r="AE584"/>
  <c r="AE585"/>
  <c r="AE586"/>
  <c r="AE587"/>
  <c r="AE588"/>
  <c r="AE589"/>
  <c r="AE590"/>
  <c r="AE591"/>
  <c r="AE592"/>
  <c r="AE593"/>
  <c r="AE594"/>
  <c r="AE595"/>
  <c r="AE596"/>
  <c r="AE597"/>
  <c r="AE598"/>
  <c r="E599"/>
  <c r="AE599"/>
  <c r="AE600"/>
  <c r="I601"/>
  <c r="AE601"/>
  <c r="AE602"/>
  <c r="AE603"/>
  <c r="AE604"/>
  <c r="E605"/>
  <c r="E606" s="1"/>
  <c r="AE605"/>
  <c r="AE606"/>
  <c r="AE607"/>
  <c r="AE608"/>
  <c r="AE609"/>
  <c r="AE610"/>
  <c r="AE611"/>
  <c r="C612"/>
  <c r="AE612"/>
  <c r="AE613"/>
  <c r="AE614"/>
  <c r="AE615"/>
  <c r="I616"/>
  <c r="K616" s="1"/>
  <c r="AE616"/>
  <c r="AE617"/>
  <c r="AE618"/>
  <c r="AE619"/>
  <c r="AE620"/>
  <c r="AE621"/>
  <c r="AE622"/>
  <c r="AE623"/>
  <c r="AE624"/>
  <c r="AE625"/>
  <c r="P626"/>
  <c r="R626" s="1"/>
  <c r="AE626"/>
  <c r="AE627"/>
  <c r="AE628"/>
  <c r="AE629"/>
  <c r="AE630"/>
  <c r="AE631"/>
  <c r="AE632"/>
  <c r="AE633"/>
  <c r="AE634"/>
  <c r="P639"/>
  <c r="R639" s="1"/>
  <c r="X645"/>
  <c r="AD645"/>
  <c r="AF645" s="1"/>
  <c r="P655"/>
  <c r="R655" s="1"/>
  <c r="P656"/>
  <c r="R656" s="1"/>
  <c r="P657"/>
  <c r="R657" s="1"/>
  <c r="AE670"/>
  <c r="AE671"/>
  <c r="AE672"/>
  <c r="AE673"/>
  <c r="AE674"/>
  <c r="P675"/>
  <c r="R675" s="1"/>
  <c r="R679" s="1"/>
  <c r="AE675"/>
  <c r="AE676"/>
  <c r="I677"/>
  <c r="K677" s="1"/>
  <c r="AE677"/>
  <c r="I678"/>
  <c r="K678" s="1"/>
  <c r="AE678"/>
  <c r="K679"/>
  <c r="AE679"/>
  <c r="AA680"/>
  <c r="AE680"/>
  <c r="AC681"/>
  <c r="AE681"/>
  <c r="AC682"/>
  <c r="AE682"/>
  <c r="AE683"/>
  <c r="AE684"/>
  <c r="P685"/>
  <c r="R685" s="1"/>
  <c r="R689" s="1"/>
  <c r="AE685"/>
  <c r="AE686"/>
  <c r="AF686"/>
  <c r="AE687"/>
  <c r="AE688"/>
  <c r="AF688"/>
  <c r="AE689"/>
  <c r="AE690"/>
  <c r="AE691"/>
  <c r="AE692"/>
  <c r="AE693"/>
  <c r="AE694"/>
  <c r="P695"/>
  <c r="R695" s="1"/>
  <c r="R699" s="1"/>
  <c r="AE695"/>
  <c r="I696"/>
  <c r="K696" s="1"/>
  <c r="AE696"/>
  <c r="I697"/>
  <c r="K697" s="1"/>
  <c r="AE697"/>
  <c r="K698"/>
  <c r="AE698"/>
  <c r="AE699"/>
  <c r="AE700"/>
  <c r="AE701"/>
  <c r="AE702"/>
  <c r="AE703"/>
  <c r="AE704"/>
  <c r="AE705"/>
  <c r="P706"/>
  <c r="R706" s="1"/>
  <c r="R710" s="1"/>
  <c r="S706"/>
  <c r="V706"/>
  <c r="AE706"/>
  <c r="W707"/>
  <c r="AE707"/>
  <c r="AE708"/>
  <c r="AE709"/>
  <c r="V710"/>
  <c r="AE710"/>
  <c r="V711"/>
  <c r="AE711"/>
  <c r="AE712"/>
  <c r="V713"/>
  <c r="AE713"/>
  <c r="I714"/>
  <c r="K714" s="1"/>
  <c r="V714"/>
  <c r="AE714"/>
  <c r="I715"/>
  <c r="K715" s="1"/>
  <c r="AE715"/>
  <c r="AE716"/>
  <c r="I717"/>
  <c r="K717" s="1"/>
  <c r="P717"/>
  <c r="R717" s="1"/>
  <c r="AE717"/>
  <c r="AE718"/>
  <c r="P719"/>
  <c r="R719" s="1"/>
  <c r="AE719"/>
  <c r="P720"/>
  <c r="R720" s="1"/>
  <c r="AE720"/>
  <c r="P721"/>
  <c r="R721" s="1"/>
  <c r="AE721"/>
  <c r="P722"/>
  <c r="R722" s="1"/>
  <c r="AE722"/>
  <c r="AE723"/>
  <c r="AE724"/>
  <c r="AE725"/>
  <c r="AE726"/>
  <c r="AE727"/>
  <c r="AE728"/>
  <c r="AE729"/>
  <c r="AE730"/>
  <c r="AE731"/>
  <c r="P732"/>
  <c r="R732" s="1"/>
  <c r="AE732"/>
  <c r="AE733"/>
  <c r="P734"/>
  <c r="R734" s="1"/>
  <c r="V734"/>
  <c r="AE734"/>
  <c r="P735"/>
  <c r="R735" s="1"/>
  <c r="V735"/>
  <c r="AE735"/>
  <c r="P736"/>
  <c r="R736" s="1"/>
  <c r="AE736"/>
  <c r="P737"/>
  <c r="R737" s="1"/>
  <c r="AE737"/>
  <c r="AE738"/>
  <c r="AE739"/>
  <c r="I740"/>
  <c r="K740" s="1"/>
  <c r="AE740"/>
  <c r="AE741"/>
  <c r="AE742"/>
  <c r="AE743"/>
  <c r="AE744"/>
  <c r="AE745"/>
  <c r="AE746"/>
  <c r="AE747"/>
  <c r="P748"/>
  <c r="R748" s="1"/>
  <c r="AE748"/>
  <c r="AE749"/>
  <c r="P750"/>
  <c r="R750" s="1"/>
  <c r="AE750"/>
  <c r="P751"/>
  <c r="R751" s="1"/>
  <c r="AE751"/>
  <c r="P752"/>
  <c r="R752" s="1"/>
  <c r="AE752"/>
  <c r="P753"/>
  <c r="R753" s="1"/>
  <c r="AE753"/>
  <c r="AE754"/>
  <c r="AE755"/>
  <c r="I756"/>
  <c r="K756" s="1"/>
  <c r="I777" s="1"/>
  <c r="K777" s="1"/>
  <c r="AE756"/>
  <c r="I757"/>
  <c r="K757" s="1"/>
  <c r="AE757"/>
  <c r="K758"/>
  <c r="AE758"/>
  <c r="AE759"/>
  <c r="AE760"/>
  <c r="AE761"/>
  <c r="K762"/>
  <c r="AE762"/>
  <c r="K763"/>
  <c r="AE763"/>
  <c r="AE764"/>
  <c r="AE765"/>
  <c r="AE766"/>
  <c r="R767"/>
  <c r="AE767"/>
  <c r="AE768"/>
  <c r="AE769"/>
  <c r="AE770"/>
  <c r="AE771"/>
  <c r="R772"/>
  <c r="AE772"/>
  <c r="AE773"/>
  <c r="AE774"/>
  <c r="AE775"/>
  <c r="AE776"/>
  <c r="AE777"/>
  <c r="AE778"/>
  <c r="AE779"/>
  <c r="I780"/>
  <c r="K780" s="1"/>
  <c r="R780"/>
  <c r="AE780"/>
  <c r="A781"/>
  <c r="AE781"/>
  <c r="AE782"/>
  <c r="AE783"/>
  <c r="I784"/>
  <c r="K784" s="1"/>
  <c r="AE784"/>
  <c r="K785"/>
  <c r="AE785"/>
  <c r="K786"/>
  <c r="AE786"/>
  <c r="AE787"/>
  <c r="AE788"/>
  <c r="P789"/>
  <c r="R789" s="1"/>
  <c r="AE789"/>
  <c r="AE790"/>
  <c r="AE791"/>
  <c r="AE792"/>
  <c r="AE793"/>
  <c r="AE794"/>
  <c r="AE795"/>
  <c r="AE796"/>
  <c r="AE797"/>
  <c r="AE798"/>
  <c r="AE799"/>
  <c r="AE800"/>
  <c r="W801"/>
  <c r="AE801"/>
  <c r="AE802"/>
  <c r="AE803"/>
  <c r="AE804"/>
  <c r="AE805"/>
  <c r="AE806"/>
  <c r="AE807"/>
  <c r="P808"/>
  <c r="R808" s="1"/>
  <c r="AE808"/>
  <c r="R809"/>
  <c r="AE809"/>
  <c r="R810"/>
  <c r="AE810"/>
  <c r="R811"/>
  <c r="AE811"/>
  <c r="R812"/>
  <c r="AE812"/>
  <c r="R813"/>
  <c r="AE813"/>
  <c r="R814"/>
  <c r="AE814"/>
  <c r="AE815"/>
  <c r="W816"/>
  <c r="AE816"/>
  <c r="AE817"/>
  <c r="AE818"/>
  <c r="AE819"/>
  <c r="V820"/>
  <c r="AE820"/>
  <c r="V821"/>
  <c r="AE821"/>
  <c r="V822"/>
  <c r="AE822"/>
  <c r="AE823"/>
  <c r="AE824"/>
  <c r="AE834"/>
  <c r="P835"/>
  <c r="R835" s="1"/>
  <c r="AE835"/>
  <c r="R836"/>
  <c r="AE836"/>
  <c r="R837"/>
  <c r="AE837"/>
  <c r="R838"/>
  <c r="AE838"/>
  <c r="R839"/>
  <c r="AE839"/>
  <c r="R840"/>
  <c r="AE840"/>
  <c r="R841"/>
  <c r="AE841"/>
  <c r="AE842"/>
  <c r="AE843"/>
  <c r="AE844"/>
  <c r="AE845"/>
  <c r="AE846"/>
  <c r="AE847"/>
  <c r="AE848"/>
  <c r="AE849"/>
  <c r="AE850"/>
  <c r="P851"/>
  <c r="R851" s="1"/>
  <c r="AE851"/>
  <c r="P852"/>
  <c r="R852" s="1"/>
  <c r="AE852"/>
  <c r="P853"/>
  <c r="R853" s="1"/>
  <c r="AE853"/>
  <c r="P854"/>
  <c r="R854" s="1"/>
  <c r="AE854"/>
  <c r="AE855"/>
  <c r="AE856"/>
  <c r="P857"/>
  <c r="R857" s="1"/>
  <c r="AE857"/>
  <c r="K858"/>
  <c r="V858"/>
  <c r="X858" s="1"/>
  <c r="AE858"/>
  <c r="K859"/>
  <c r="P859"/>
  <c r="V859"/>
  <c r="X859" s="1"/>
  <c r="AE859"/>
  <c r="K860"/>
  <c r="V860"/>
  <c r="X860" s="1"/>
  <c r="AE860"/>
  <c r="K861"/>
  <c r="V861"/>
  <c r="X861" s="1"/>
  <c r="AE861"/>
  <c r="AE862"/>
  <c r="AE863"/>
  <c r="K864"/>
  <c r="V864"/>
  <c r="X864" s="1"/>
  <c r="AE864"/>
  <c r="AE865"/>
  <c r="AE866"/>
  <c r="AE867"/>
  <c r="AE868"/>
  <c r="AE869"/>
  <c r="AE870"/>
  <c r="P871"/>
  <c r="R871" s="1"/>
  <c r="AE871"/>
  <c r="R872"/>
  <c r="AE872"/>
  <c r="R873"/>
  <c r="AE873"/>
  <c r="R874"/>
  <c r="AE874"/>
  <c r="R875"/>
  <c r="AE875"/>
  <c r="I876"/>
  <c r="K876" s="1"/>
  <c r="R876"/>
  <c r="AE876"/>
  <c r="I877"/>
  <c r="V877" s="1"/>
  <c r="R877"/>
  <c r="AE877"/>
  <c r="I878"/>
  <c r="K878" s="1"/>
  <c r="AE878"/>
  <c r="I879"/>
  <c r="K879" s="1"/>
  <c r="AE879"/>
  <c r="AE880"/>
  <c r="AE881"/>
  <c r="K882"/>
  <c r="V882"/>
  <c r="X882" s="1"/>
  <c r="AE882"/>
  <c r="AE883"/>
  <c r="AE884"/>
  <c r="AE885"/>
  <c r="AE886"/>
  <c r="AE887"/>
  <c r="AE888"/>
  <c r="AE889"/>
  <c r="AE890"/>
  <c r="AE891"/>
  <c r="AE892"/>
  <c r="AE893"/>
  <c r="H894"/>
  <c r="AE894"/>
  <c r="AE895"/>
  <c r="AE896"/>
  <c r="AE897"/>
  <c r="H898"/>
  <c r="K898"/>
  <c r="AE898"/>
  <c r="R899"/>
  <c r="AE899"/>
  <c r="R900"/>
  <c r="AE900"/>
  <c r="R901"/>
  <c r="AE901"/>
  <c r="AE902"/>
  <c r="AE903"/>
  <c r="AE904"/>
  <c r="AE905"/>
  <c r="AE906"/>
  <c r="AE907"/>
  <c r="AE908"/>
  <c r="AE909"/>
  <c r="AE910"/>
  <c r="AE911"/>
  <c r="AE912"/>
  <c r="AE913"/>
  <c r="AE914"/>
  <c r="AE915"/>
  <c r="AE916"/>
  <c r="AE917"/>
  <c r="AE918"/>
  <c r="AE919"/>
  <c r="AE920"/>
  <c r="AE921"/>
  <c r="AE922"/>
  <c r="AE923"/>
  <c r="AE924"/>
  <c r="AE925"/>
  <c r="AE926"/>
  <c r="AE927"/>
  <c r="AE928"/>
  <c r="AE929"/>
  <c r="AE930"/>
  <c r="AE931"/>
  <c r="AE932"/>
  <c r="AE933"/>
  <c r="AE934"/>
  <c r="AE935"/>
  <c r="AE936"/>
  <c r="AE937"/>
  <c r="AE938"/>
  <c r="AE939"/>
  <c r="AE940"/>
  <c r="AE941"/>
  <c r="AE942"/>
  <c r="AE943"/>
  <c r="AE944"/>
  <c r="AE945"/>
  <c r="AE946"/>
  <c r="AE947"/>
  <c r="AE948"/>
  <c r="AE949"/>
  <c r="AE950"/>
  <c r="AE951"/>
  <c r="I952"/>
  <c r="P945" s="1"/>
  <c r="R945" s="1"/>
  <c r="AE952"/>
  <c r="I953"/>
  <c r="P946" s="1"/>
  <c r="R946" s="1"/>
  <c r="AE953"/>
  <c r="I954"/>
  <c r="K954" s="1"/>
  <c r="AE954"/>
  <c r="I955"/>
  <c r="P948" s="1"/>
  <c r="R948" s="1"/>
  <c r="AE955"/>
  <c r="I956"/>
  <c r="K956" s="1"/>
  <c r="AE956"/>
  <c r="I957"/>
  <c r="P950" s="1"/>
  <c r="R950" s="1"/>
  <c r="AE957"/>
  <c r="K958"/>
  <c r="AE958"/>
  <c r="AE959"/>
  <c r="AE960"/>
  <c r="AE961"/>
  <c r="AE962"/>
  <c r="AE963"/>
  <c r="AE964"/>
  <c r="AE965"/>
  <c r="AE966"/>
  <c r="AE967"/>
  <c r="AE968"/>
  <c r="AE969"/>
  <c r="AE970"/>
  <c r="AE971"/>
  <c r="AE972"/>
  <c r="AE973"/>
  <c r="AE974"/>
  <c r="AE975"/>
  <c r="AE976"/>
  <c r="AE977"/>
  <c r="AE978"/>
  <c r="AE979"/>
  <c r="AE980"/>
  <c r="AE981"/>
  <c r="AE982"/>
  <c r="AE983"/>
  <c r="AE984"/>
  <c r="AE985"/>
  <c r="AE986"/>
  <c r="I987"/>
  <c r="K987" s="1"/>
  <c r="AE987"/>
  <c r="I988"/>
  <c r="K988" s="1"/>
  <c r="AE988"/>
  <c r="I989"/>
  <c r="K989"/>
  <c r="AE989"/>
  <c r="I990"/>
  <c r="K990" s="1"/>
  <c r="AE990"/>
  <c r="I991"/>
  <c r="K991" s="1"/>
  <c r="AE991"/>
  <c r="I992"/>
  <c r="K992" s="1"/>
  <c r="AE992"/>
  <c r="I993"/>
  <c r="K993" s="1"/>
  <c r="AE993"/>
  <c r="AE994"/>
  <c r="AE995"/>
  <c r="AE996"/>
  <c r="AE997"/>
  <c r="AE998"/>
  <c r="AE999"/>
  <c r="AE1000"/>
  <c r="AE1001"/>
  <c r="AE1003"/>
  <c r="AE1004"/>
  <c r="AE1005"/>
  <c r="AE1006"/>
  <c r="AE1007"/>
  <c r="AE1008"/>
  <c r="AE1009"/>
  <c r="AE1010"/>
  <c r="AE1011"/>
  <c r="AE1012"/>
  <c r="AE1013"/>
  <c r="AE1014"/>
  <c r="AE1015"/>
  <c r="AE1016"/>
  <c r="I1017"/>
  <c r="P1091" s="1"/>
  <c r="AE1017"/>
  <c r="I1018"/>
  <c r="P1092" s="1"/>
  <c r="AE1018"/>
  <c r="I1019"/>
  <c r="P1093" s="1"/>
  <c r="AE1019"/>
  <c r="I1020"/>
  <c r="K1020" s="1"/>
  <c r="AE1020"/>
  <c r="I1021"/>
  <c r="P1095" s="1"/>
  <c r="AE1021"/>
  <c r="I1022"/>
  <c r="K1022" s="1"/>
  <c r="AE1022"/>
  <c r="AE1023"/>
  <c r="AE1024"/>
  <c r="AE1025"/>
  <c r="AE1026"/>
  <c r="AE1027"/>
  <c r="AE1028"/>
  <c r="K1029"/>
  <c r="AE1029"/>
  <c r="AE1030"/>
  <c r="AE1031"/>
  <c r="AE1033"/>
  <c r="AE1034"/>
  <c r="AE1035"/>
  <c r="AE1036"/>
  <c r="AE1037"/>
  <c r="AE1038"/>
  <c r="I1052"/>
  <c r="K1052" s="1"/>
  <c r="I1054"/>
  <c r="P1047" s="1"/>
  <c r="R1047" s="1"/>
  <c r="I1055"/>
  <c r="P1048" s="1"/>
  <c r="R1048" s="1"/>
  <c r="I1056"/>
  <c r="AE1065" s="1"/>
  <c r="AG1065" s="1"/>
  <c r="I1057"/>
  <c r="P991" s="1"/>
  <c r="R991" s="1"/>
  <c r="I1058"/>
  <c r="P1051" s="1"/>
  <c r="R1051" s="1"/>
  <c r="I1059"/>
  <c r="AE1068" s="1"/>
  <c r="AG1068" s="1"/>
  <c r="K1069"/>
  <c r="I1071"/>
  <c r="K1071" s="1"/>
  <c r="I1072"/>
  <c r="K1072" s="1"/>
  <c r="I1074"/>
  <c r="K1074" s="1"/>
  <c r="AE1074"/>
  <c r="AE1075"/>
  <c r="AE1076"/>
  <c r="AE1077"/>
  <c r="AE1078"/>
  <c r="AE1079"/>
  <c r="AE1080"/>
  <c r="AE1081"/>
  <c r="AE1082"/>
  <c r="AE1083"/>
  <c r="H1084"/>
  <c r="I1084"/>
  <c r="K1084" s="1"/>
  <c r="AE1084"/>
  <c r="AE1085"/>
  <c r="I1086"/>
  <c r="K1086" s="1"/>
  <c r="AE1086"/>
  <c r="I1087"/>
  <c r="K1087" s="1"/>
  <c r="AE1087"/>
  <c r="AE1088"/>
  <c r="I1089"/>
  <c r="K1089" s="1"/>
  <c r="R1089"/>
  <c r="AE1089"/>
  <c r="AE1090"/>
  <c r="AE1091"/>
  <c r="AE1092"/>
  <c r="AE1093"/>
  <c r="P1094"/>
  <c r="P1115" s="1"/>
  <c r="R1115" s="1"/>
  <c r="AE1094"/>
  <c r="AE1095"/>
  <c r="P1096"/>
  <c r="P1117" s="1"/>
  <c r="R1117" s="1"/>
  <c r="AE1096"/>
  <c r="AE1097"/>
  <c r="AE1098"/>
  <c r="H1100"/>
  <c r="I1100"/>
  <c r="K1100"/>
  <c r="AE1100"/>
  <c r="AE1101"/>
  <c r="I1102"/>
  <c r="K1102"/>
  <c r="AE1102"/>
  <c r="I1103"/>
  <c r="K1103" s="1"/>
  <c r="AE1103"/>
  <c r="I1104"/>
  <c r="K1104" s="1"/>
  <c r="AE1104"/>
  <c r="AE1105"/>
  <c r="AE1106"/>
  <c r="AE1107"/>
  <c r="AE1108"/>
  <c r="AE1109"/>
  <c r="AE1110"/>
  <c r="AE1111"/>
  <c r="AE1112"/>
  <c r="AE1113"/>
  <c r="AE1115"/>
  <c r="AE1116"/>
  <c r="AE1117"/>
  <c r="AE1118"/>
  <c r="AE1119"/>
  <c r="AE1120"/>
  <c r="AE1121"/>
  <c r="AE1122"/>
  <c r="AE1123"/>
  <c r="AE1124"/>
  <c r="AE1125"/>
  <c r="AE1126"/>
  <c r="K1127"/>
  <c r="AE1127"/>
  <c r="AE1128"/>
  <c r="I1129"/>
  <c r="K1129" s="1"/>
  <c r="AE1129"/>
  <c r="I1130"/>
  <c r="K1130" s="1"/>
  <c r="AE1130"/>
  <c r="K1131"/>
  <c r="AE1131"/>
  <c r="K1132"/>
  <c r="AE1132"/>
  <c r="AE1133"/>
  <c r="AE1134"/>
  <c r="AE1135"/>
  <c r="AE1136"/>
  <c r="AE1137"/>
  <c r="AE1138"/>
  <c r="Q1139"/>
  <c r="AE1139"/>
  <c r="AE1140"/>
  <c r="AE1141"/>
  <c r="I1142"/>
  <c r="K1142" s="1"/>
  <c r="AE1142"/>
  <c r="I1143"/>
  <c r="K1143" s="1"/>
  <c r="AE1143"/>
  <c r="AE1144"/>
  <c r="P1146"/>
  <c r="AE1146"/>
  <c r="P1147"/>
  <c r="AE1147"/>
  <c r="P1148"/>
  <c r="AE1148"/>
  <c r="AE1149"/>
  <c r="X1150"/>
  <c r="AE1150"/>
  <c r="AE1151"/>
  <c r="AE1152"/>
  <c r="AE1153"/>
  <c r="AE1154"/>
  <c r="AE1155"/>
  <c r="I1156"/>
  <c r="K1156" s="1"/>
  <c r="AE1156"/>
  <c r="I1157"/>
  <c r="K1157" s="1"/>
  <c r="AE1157"/>
  <c r="AE1158"/>
  <c r="AE1159"/>
  <c r="AE1160"/>
  <c r="AE1161"/>
  <c r="AE1162"/>
  <c r="AE1163"/>
  <c r="AE1164"/>
  <c r="AE1165"/>
  <c r="AE1166"/>
  <c r="AE1167"/>
  <c r="AE1168"/>
  <c r="AE1169"/>
  <c r="AE1170"/>
  <c r="AE1171"/>
  <c r="AE1172"/>
  <c r="K1173"/>
  <c r="Q1173"/>
  <c r="AE1173"/>
  <c r="K1174"/>
  <c r="AE1174"/>
  <c r="K1175"/>
  <c r="AE1175"/>
  <c r="AE1176"/>
  <c r="AE1177"/>
  <c r="AE1178"/>
  <c r="AE1179"/>
  <c r="AE1180"/>
  <c r="AE1181"/>
  <c r="AE1182"/>
  <c r="AE1183"/>
  <c r="AE1184"/>
  <c r="AD1185"/>
  <c r="AE1185"/>
  <c r="AK1185"/>
  <c r="AE1186"/>
  <c r="AE1187"/>
  <c r="K1188"/>
  <c r="AE1188"/>
  <c r="K1190"/>
  <c r="AE1199"/>
  <c r="AE1200"/>
  <c r="AE1206"/>
  <c r="AE1207"/>
  <c r="AE1208"/>
  <c r="AC1209"/>
  <c r="AE1209"/>
  <c r="AD1210"/>
  <c r="AE1210"/>
  <c r="AE1211"/>
  <c r="R1212"/>
  <c r="T1212"/>
  <c r="AB1212"/>
  <c r="AE1212"/>
  <c r="AE1213"/>
  <c r="AE1214"/>
  <c r="AE1215"/>
  <c r="AE1216"/>
  <c r="AE1217"/>
  <c r="AB1218"/>
  <c r="AD1218" s="1"/>
  <c r="AE1218"/>
  <c r="AE1219"/>
  <c r="AE1220"/>
  <c r="AE1221"/>
  <c r="AE1222"/>
  <c r="S1223"/>
  <c r="AB1223"/>
  <c r="AE1223"/>
  <c r="AE1224"/>
  <c r="AE1225"/>
  <c r="AE1226"/>
  <c r="AE1227"/>
  <c r="I1228"/>
  <c r="K1228" s="1"/>
  <c r="AE1228"/>
  <c r="I1229"/>
  <c r="K1229" s="1"/>
  <c r="AE1229"/>
  <c r="I1230"/>
  <c r="K1230" s="1"/>
  <c r="AE1230"/>
  <c r="R1231"/>
  <c r="AE1231"/>
  <c r="AE1232"/>
  <c r="AE1233"/>
  <c r="X1234"/>
  <c r="AE1234"/>
  <c r="AE1235"/>
  <c r="AE1236"/>
  <c r="AE1237"/>
  <c r="AD1238"/>
  <c r="AE1238"/>
  <c r="AE1239"/>
  <c r="AE1240"/>
  <c r="AE1241"/>
  <c r="AE1242"/>
  <c r="AE1243"/>
  <c r="AE1244"/>
  <c r="I1245"/>
  <c r="K1245" s="1"/>
  <c r="AE1245"/>
  <c r="AD1246"/>
  <c r="AE1246"/>
  <c r="AE1247"/>
  <c r="AE1248"/>
  <c r="AE1249"/>
  <c r="AB1250"/>
  <c r="AB1222" s="1"/>
  <c r="AE1250"/>
  <c r="AE1251"/>
  <c r="AE1252"/>
  <c r="K1253"/>
  <c r="AE1253"/>
  <c r="R1254"/>
  <c r="AE1255"/>
  <c r="AE1256"/>
  <c r="AE1257"/>
  <c r="AE1258"/>
  <c r="AB1259"/>
  <c r="AD1259" s="1"/>
  <c r="AC1259"/>
  <c r="AE1259"/>
  <c r="AB1260"/>
  <c r="AC1260"/>
  <c r="AD1260"/>
  <c r="AE1260"/>
  <c r="P1261"/>
  <c r="R1261" s="1"/>
  <c r="AC1261"/>
  <c r="AE1261"/>
  <c r="AC1262"/>
  <c r="AE1262"/>
  <c r="AC1263"/>
  <c r="AE1263"/>
  <c r="AD1264"/>
  <c r="AE1264"/>
  <c r="AE1265"/>
  <c r="I1266"/>
  <c r="K1266" s="1"/>
  <c r="AE1266"/>
  <c r="I1267"/>
  <c r="K1267" s="1"/>
  <c r="AE1267"/>
  <c r="AE1268"/>
  <c r="AE1269"/>
  <c r="AE1270"/>
  <c r="AE1271"/>
  <c r="AE1272"/>
  <c r="AE1273"/>
  <c r="X1274"/>
  <c r="AE1274"/>
  <c r="AE1275"/>
  <c r="V1276"/>
  <c r="AE1276"/>
  <c r="AE1277"/>
  <c r="AE1278"/>
  <c r="AE1279"/>
  <c r="K1280"/>
  <c r="AE1280"/>
  <c r="AE1281"/>
  <c r="V1282"/>
  <c r="X1282" s="1"/>
  <c r="AE1282"/>
  <c r="AE1283"/>
  <c r="AE1284"/>
  <c r="AE1285"/>
  <c r="AE1286"/>
  <c r="AE1287"/>
  <c r="AE1288"/>
  <c r="AE1289"/>
  <c r="AE1290"/>
  <c r="AE1291"/>
  <c r="AE1292"/>
  <c r="AE1293"/>
  <c r="AE1294"/>
  <c r="X1295"/>
  <c r="AE1295"/>
  <c r="AE1296"/>
  <c r="R1297"/>
  <c r="AE1297"/>
  <c r="AE1298"/>
  <c r="AE1299"/>
  <c r="AE1300"/>
  <c r="X1301"/>
  <c r="AE1301"/>
  <c r="V1302"/>
  <c r="V1322" s="1"/>
  <c r="AE1302"/>
  <c r="AE1303"/>
  <c r="AE1304"/>
  <c r="AE1305"/>
  <c r="AE1306"/>
  <c r="AE1307"/>
  <c r="AE1308"/>
  <c r="AE1309"/>
  <c r="AE1310"/>
  <c r="AE1311"/>
  <c r="AE1312"/>
  <c r="AE1313"/>
  <c r="AE1314"/>
  <c r="X1315"/>
  <c r="AE1315"/>
  <c r="R1316"/>
  <c r="AE1316"/>
  <c r="P1317"/>
  <c r="P1298" s="1"/>
  <c r="R1298" s="1"/>
  <c r="AE1317"/>
  <c r="AE1318"/>
  <c r="AE1319"/>
  <c r="AE1320"/>
  <c r="V1321"/>
  <c r="X1321" s="1"/>
  <c r="AE1321"/>
  <c r="AE1322"/>
  <c r="AE1323"/>
  <c r="AE1324"/>
  <c r="AE1325"/>
  <c r="AE1326"/>
  <c r="AE1327"/>
  <c r="X1328"/>
  <c r="AE1328"/>
  <c r="R1329"/>
  <c r="AE1329"/>
  <c r="AE1330"/>
  <c r="AE1331"/>
  <c r="AE1332"/>
  <c r="AE1333"/>
  <c r="AE1334"/>
  <c r="X1335"/>
  <c r="AE1335"/>
  <c r="V1336"/>
  <c r="X1336" s="1"/>
  <c r="AE1336"/>
  <c r="X1337"/>
  <c r="AE1337"/>
  <c r="AE1338"/>
  <c r="X1339"/>
  <c r="AE1339"/>
  <c r="AE1340"/>
  <c r="AE1341"/>
  <c r="AE1342"/>
  <c r="AE1343"/>
  <c r="Y1344"/>
  <c r="AE1344"/>
  <c r="AE1345"/>
  <c r="AE1346"/>
  <c r="AE1347"/>
  <c r="AE1348"/>
  <c r="V1349"/>
  <c r="X1349" s="1"/>
  <c r="AE1349"/>
  <c r="R1350"/>
  <c r="AE1350"/>
  <c r="AE1351"/>
  <c r="R1352"/>
  <c r="AE1352"/>
  <c r="I1353"/>
  <c r="K1353" s="1"/>
  <c r="V1353"/>
  <c r="AB1351" s="1"/>
  <c r="AE1353"/>
  <c r="V1354"/>
  <c r="D24" i="25" s="1"/>
  <c r="F24" s="1"/>
  <c r="AE1354" i="1"/>
  <c r="V1355"/>
  <c r="AB1353" s="1"/>
  <c r="AE1355"/>
  <c r="AE1356"/>
  <c r="V1357"/>
  <c r="X1357" s="1"/>
  <c r="AE1357"/>
  <c r="V1358"/>
  <c r="AB1356" s="1"/>
  <c r="AE1358"/>
  <c r="V1359"/>
  <c r="AB1357" s="1"/>
  <c r="AE1359"/>
  <c r="AE1360"/>
  <c r="AE1361"/>
  <c r="AE1362"/>
  <c r="AE1363"/>
  <c r="AE1364"/>
  <c r="AE1365"/>
  <c r="AE1366"/>
  <c r="AE1367"/>
  <c r="AE1368"/>
  <c r="P1369"/>
  <c r="R1369" s="1"/>
  <c r="AE1369"/>
  <c r="AE1370"/>
  <c r="AE1371"/>
  <c r="I1372"/>
  <c r="K1372" s="1"/>
  <c r="AE1372"/>
  <c r="AE1373"/>
  <c r="AE1374"/>
  <c r="I1375"/>
  <c r="K1375" s="1"/>
  <c r="AE1375"/>
  <c r="AE1376"/>
  <c r="P1377"/>
  <c r="R1377" s="1"/>
  <c r="AE1377"/>
  <c r="AE1378"/>
  <c r="AE1379"/>
  <c r="AE1380"/>
  <c r="AE1381"/>
  <c r="AE1382"/>
  <c r="AE1383"/>
  <c r="AE1384"/>
  <c r="AE1385"/>
  <c r="AE1386"/>
  <c r="AE1387"/>
  <c r="R1388"/>
  <c r="AE1388"/>
  <c r="P1389"/>
  <c r="V1350" s="1"/>
  <c r="AB1348" s="1"/>
  <c r="AE1389"/>
  <c r="P1390"/>
  <c r="V1351" s="1"/>
  <c r="AE1390"/>
  <c r="P1391"/>
  <c r="R1391" s="1"/>
  <c r="AE1391"/>
  <c r="R1392"/>
  <c r="AE1392"/>
  <c r="R1393"/>
  <c r="AE1393"/>
  <c r="R1394"/>
  <c r="AE1394"/>
  <c r="AE1395"/>
  <c r="R1396"/>
  <c r="AE1396"/>
  <c r="R1397"/>
  <c r="AE1397"/>
  <c r="R1398"/>
  <c r="AE1398"/>
  <c r="S1399"/>
  <c r="AE1399"/>
  <c r="S1400"/>
  <c r="AE1400"/>
  <c r="L1401"/>
  <c r="S1401"/>
  <c r="AE1401"/>
  <c r="S1402"/>
  <c r="AE1402"/>
  <c r="S1403"/>
  <c r="AE1403"/>
  <c r="AE1404"/>
  <c r="P1405"/>
  <c r="V1366" s="1"/>
  <c r="AE1405"/>
  <c r="AE1406"/>
  <c r="AE1407"/>
  <c r="AE1408"/>
  <c r="P1409"/>
  <c r="R1409" s="1"/>
  <c r="AE1409"/>
  <c r="P1410"/>
  <c r="V1371" s="1"/>
  <c r="AE1410"/>
  <c r="P1411"/>
  <c r="P1428" s="1"/>
  <c r="AE1411"/>
  <c r="AE1412"/>
  <c r="P1413"/>
  <c r="P1430" s="1"/>
  <c r="AE1413"/>
  <c r="P1414"/>
  <c r="R1414" s="1"/>
  <c r="Y1414"/>
  <c r="AE1414"/>
  <c r="P1415"/>
  <c r="R1415" s="1"/>
  <c r="AE1415"/>
  <c r="L1416"/>
  <c r="Y1416"/>
  <c r="AE1416"/>
  <c r="AE1417"/>
  <c r="AE1418"/>
  <c r="AE1419"/>
  <c r="AE1420"/>
  <c r="AE1421"/>
  <c r="AE1422"/>
  <c r="AE1423"/>
  <c r="X1424"/>
  <c r="AE1424"/>
  <c r="X1425"/>
  <c r="AE1425"/>
  <c r="X1426"/>
  <c r="AE1426"/>
  <c r="S1427"/>
  <c r="AE1427"/>
  <c r="AE1428"/>
  <c r="AE1429"/>
  <c r="U1430"/>
  <c r="AE1430"/>
  <c r="AE1431"/>
  <c r="P1432"/>
  <c r="P1448" s="1"/>
  <c r="AE1432"/>
  <c r="AE1433"/>
  <c r="I1434"/>
  <c r="K1434" s="1"/>
  <c r="AE1434"/>
  <c r="AE1435"/>
  <c r="AE1436"/>
  <c r="AE1437"/>
  <c r="AE1438"/>
  <c r="AE1439"/>
  <c r="AE1440"/>
  <c r="AE1441"/>
  <c r="AE1442"/>
  <c r="AE1443"/>
  <c r="AE1444"/>
  <c r="AE1445"/>
  <c r="AE1446"/>
  <c r="AE1447"/>
  <c r="AE1448"/>
  <c r="M1449"/>
  <c r="AE1449"/>
  <c r="AE1450"/>
  <c r="S1451"/>
  <c r="AE1451"/>
  <c r="AE1452"/>
  <c r="AE1453"/>
  <c r="AE1454"/>
  <c r="AE1455"/>
  <c r="AE1456"/>
  <c r="AE1457"/>
  <c r="AE1458"/>
  <c r="AE1459"/>
  <c r="AE1460"/>
  <c r="AE1461"/>
  <c r="AE1462"/>
  <c r="AE1463"/>
  <c r="AE1464"/>
  <c r="AE1465"/>
  <c r="AE1466"/>
  <c r="AE1467"/>
  <c r="AE1468"/>
  <c r="AE1469"/>
  <c r="AE1470"/>
  <c r="AE1471"/>
  <c r="AE1472"/>
  <c r="AE1473"/>
  <c r="AE1474"/>
  <c r="AE1475"/>
  <c r="AE1476"/>
  <c r="AE1477"/>
  <c r="AE1478"/>
  <c r="S1479"/>
  <c r="T1479" s="1"/>
  <c r="U1479"/>
  <c r="AE1479"/>
  <c r="AE1480"/>
  <c r="AE1481"/>
  <c r="AE1482"/>
  <c r="AE1483"/>
  <c r="AE1484"/>
  <c r="AE1485"/>
  <c r="AE1486"/>
  <c r="AE1487"/>
  <c r="AE1488"/>
  <c r="AE1489"/>
  <c r="AE1490"/>
  <c r="O1491"/>
  <c r="AE1491"/>
  <c r="O1492"/>
  <c r="AE1492"/>
  <c r="O1493"/>
  <c r="AE1493"/>
  <c r="AE1494"/>
  <c r="AE1495"/>
  <c r="AE1496"/>
  <c r="M1497"/>
  <c r="AE1497"/>
  <c r="AE1498"/>
  <c r="AE1499"/>
  <c r="AE1500"/>
  <c r="AE1501"/>
  <c r="I1502"/>
  <c r="K1502" s="1"/>
  <c r="AE1502"/>
  <c r="AE1503"/>
  <c r="AE1504"/>
  <c r="AE1505"/>
  <c r="AE1506"/>
  <c r="AE1507"/>
  <c r="AE1508"/>
  <c r="AE1509"/>
  <c r="AE1510"/>
  <c r="AE1511"/>
  <c r="AE1512"/>
  <c r="AE1513"/>
  <c r="I1514"/>
  <c r="K1514" s="1"/>
  <c r="AE1514"/>
  <c r="AE1515"/>
  <c r="AE1516"/>
  <c r="AE1517"/>
  <c r="R1518"/>
  <c r="AE1518"/>
  <c r="AE1519"/>
  <c r="AE1520"/>
  <c r="AE1521"/>
  <c r="AE1522"/>
  <c r="AE1523"/>
  <c r="AE1524"/>
  <c r="AE1525"/>
  <c r="AE1526"/>
  <c r="AE1527"/>
  <c r="AE1528"/>
  <c r="I1529"/>
  <c r="K1529" s="1"/>
  <c r="AE1529"/>
  <c r="AE1530"/>
  <c r="I1531"/>
  <c r="K1531" s="1"/>
  <c r="AE1531"/>
  <c r="AE1532"/>
  <c r="AE1533"/>
  <c r="AE1534"/>
  <c r="AE1535"/>
  <c r="AE1536"/>
  <c r="AE1537"/>
  <c r="AE1538"/>
  <c r="AE1539"/>
  <c r="AE1540"/>
  <c r="AE1541"/>
  <c r="AE1542"/>
  <c r="AE1543"/>
  <c r="I1544"/>
  <c r="I3193" s="1"/>
  <c r="AE1544"/>
  <c r="AE1545"/>
  <c r="AE1546"/>
  <c r="AE1547"/>
  <c r="AE1548"/>
  <c r="AE1549"/>
  <c r="AE1550"/>
  <c r="AE1551"/>
  <c r="AE1552"/>
  <c r="AE1553"/>
  <c r="AE1554"/>
  <c r="AE1555"/>
  <c r="I1556"/>
  <c r="K1556" s="1"/>
  <c r="AE1556"/>
  <c r="AE1557"/>
  <c r="AE1558"/>
  <c r="K1559"/>
  <c r="AE1559"/>
  <c r="I1560"/>
  <c r="K1560" s="1"/>
  <c r="AE1560"/>
  <c r="AE1561"/>
  <c r="AE1562"/>
  <c r="AE1563"/>
  <c r="AE1564"/>
  <c r="AE1565"/>
  <c r="AE1566"/>
  <c r="AE1567"/>
  <c r="AE1568"/>
  <c r="AE1569"/>
  <c r="AE1570"/>
  <c r="I1571"/>
  <c r="K1571" s="1"/>
  <c r="AE1571"/>
  <c r="AE1572"/>
  <c r="AE1573"/>
  <c r="AE1574"/>
  <c r="K1575"/>
  <c r="AE1575"/>
  <c r="AE1576"/>
  <c r="AE1577"/>
  <c r="AE1578"/>
  <c r="AE1579"/>
  <c r="AE1580"/>
  <c r="AE1581"/>
  <c r="AE1582"/>
  <c r="AE1583"/>
  <c r="I1584"/>
  <c r="K1584" s="1"/>
  <c r="AE1584"/>
  <c r="AE1585"/>
  <c r="AE1586"/>
  <c r="AE1587"/>
  <c r="K1588"/>
  <c r="AE1588"/>
  <c r="AE1589"/>
  <c r="AE1590"/>
  <c r="AE1591"/>
  <c r="AE1592"/>
  <c r="AE1593"/>
  <c r="AE1594"/>
  <c r="AE1595"/>
  <c r="AE1596"/>
  <c r="AE1597"/>
  <c r="AE1598"/>
  <c r="AE1599"/>
  <c r="P1600"/>
  <c r="R1600" s="1"/>
  <c r="AE1600"/>
  <c r="AE1601"/>
  <c r="AE1602"/>
  <c r="AE1603"/>
  <c r="AE1604"/>
  <c r="AE1605"/>
  <c r="AE1606"/>
  <c r="AE1607"/>
  <c r="AE1608"/>
  <c r="AE1609"/>
  <c r="AE1610"/>
  <c r="I1611"/>
  <c r="K1611" s="1"/>
  <c r="AE1611"/>
  <c r="O1612"/>
  <c r="P1612"/>
  <c r="R1612" s="1"/>
  <c r="AE1612"/>
  <c r="AE1613"/>
  <c r="AE1614"/>
  <c r="AE1615"/>
  <c r="AE1616"/>
  <c r="AE1617"/>
  <c r="AE1618"/>
  <c r="AE1619"/>
  <c r="AE1620"/>
  <c r="AE1621"/>
  <c r="AE1622"/>
  <c r="I1623"/>
  <c r="K1623" s="1"/>
  <c r="AE1623"/>
  <c r="I1624"/>
  <c r="K1624" s="1"/>
  <c r="AE1624"/>
  <c r="I1625"/>
  <c r="K1625" s="1"/>
  <c r="Q1625"/>
  <c r="AE1625"/>
  <c r="I1626"/>
  <c r="K1626" s="1"/>
  <c r="Q1626"/>
  <c r="R1626"/>
  <c r="AE1626"/>
  <c r="I1627"/>
  <c r="P1629" s="1"/>
  <c r="R1629" s="1"/>
  <c r="P1627"/>
  <c r="R1627" s="1"/>
  <c r="Q1627"/>
  <c r="AE1627"/>
  <c r="Q1628"/>
  <c r="R1628"/>
  <c r="AE1628"/>
  <c r="Q1629"/>
  <c r="AE1629"/>
  <c r="AE1630"/>
  <c r="P1631"/>
  <c r="AE1631"/>
  <c r="R1632"/>
  <c r="AE1632"/>
  <c r="AE1633"/>
  <c r="AE1634"/>
  <c r="AE1635"/>
  <c r="AE1636"/>
  <c r="S1637"/>
  <c r="AE1637"/>
  <c r="AE1638"/>
  <c r="AE1639"/>
  <c r="AE1640"/>
  <c r="AE1641"/>
  <c r="AE1642"/>
  <c r="AE1643"/>
  <c r="AE1644"/>
  <c r="AE1645"/>
  <c r="AE1646"/>
  <c r="AE1647"/>
  <c r="AE1648"/>
  <c r="AE1649"/>
  <c r="AE1650"/>
  <c r="AE1651"/>
  <c r="AE1652"/>
  <c r="AE1653"/>
  <c r="AE1654"/>
  <c r="AE1655"/>
  <c r="AE1656"/>
  <c r="AE1657"/>
  <c r="AE1658"/>
  <c r="AE1659"/>
  <c r="AE1660"/>
  <c r="AE1661"/>
  <c r="AE1662"/>
  <c r="K1663"/>
  <c r="AE1663"/>
  <c r="K1664"/>
  <c r="AE1664"/>
  <c r="AE1665"/>
  <c r="AE1666"/>
  <c r="AE1667"/>
  <c r="AE1668"/>
  <c r="AE1669"/>
  <c r="AE1670"/>
  <c r="AE1671"/>
  <c r="AE1672"/>
  <c r="AE1673"/>
  <c r="AE1674"/>
  <c r="K1675"/>
  <c r="K1679" s="1"/>
  <c r="C375" i="55" s="1"/>
  <c r="AE1675" i="1"/>
  <c r="AE1676"/>
  <c r="K1677"/>
  <c r="AE1677"/>
  <c r="AE1678"/>
  <c r="AE1679"/>
  <c r="AE1680"/>
  <c r="AE1681"/>
  <c r="AE1682"/>
  <c r="AE1683"/>
  <c r="K1684"/>
  <c r="AE1684"/>
  <c r="AE1685"/>
  <c r="AE1686"/>
  <c r="K1687"/>
  <c r="AE1687"/>
  <c r="AE1688"/>
  <c r="AE1689"/>
  <c r="AE1690"/>
  <c r="K1691"/>
  <c r="K1692" s="1"/>
  <c r="K1694" s="1"/>
  <c r="AE1691"/>
  <c r="AE1692"/>
  <c r="K1718"/>
  <c r="K1719"/>
  <c r="K1720"/>
  <c r="K1748"/>
  <c r="K1751"/>
  <c r="K1752"/>
  <c r="K1753"/>
  <c r="K1765"/>
  <c r="I1766"/>
  <c r="K1766" s="1"/>
  <c r="I1767"/>
  <c r="K1767" s="1"/>
  <c r="I1782"/>
  <c r="K1782" s="1"/>
  <c r="K1783"/>
  <c r="K1790"/>
  <c r="K1793"/>
  <c r="K1794"/>
  <c r="C781" i="55" s="1"/>
  <c r="F781" s="1"/>
  <c r="I1801" i="1"/>
  <c r="K1801" s="1"/>
  <c r="I1803"/>
  <c r="I1804"/>
  <c r="K1809"/>
  <c r="I1819"/>
  <c r="K1819" s="1"/>
  <c r="I1821"/>
  <c r="K1821" s="1"/>
  <c r="I1822"/>
  <c r="K1822" s="1"/>
  <c r="K1827"/>
  <c r="I1837"/>
  <c r="K1837" s="1"/>
  <c r="I1839"/>
  <c r="K1839" s="1"/>
  <c r="I1840"/>
  <c r="K1840" s="1"/>
  <c r="K1845"/>
  <c r="P1854"/>
  <c r="P1885" s="1"/>
  <c r="R1855"/>
  <c r="R1856"/>
  <c r="P1861"/>
  <c r="P1892" s="1"/>
  <c r="P1862"/>
  <c r="P1893" s="1"/>
  <c r="P1863"/>
  <c r="I1867"/>
  <c r="K1867" s="1"/>
  <c r="R1874"/>
  <c r="I1875"/>
  <c r="K1875" s="1"/>
  <c r="P1875"/>
  <c r="R1875" s="1"/>
  <c r="I1876"/>
  <c r="K1876" s="1"/>
  <c r="K1883"/>
  <c r="I1884"/>
  <c r="K1884" s="1"/>
  <c r="R1884"/>
  <c r="R1886"/>
  <c r="R1887"/>
  <c r="I1892"/>
  <c r="P1894"/>
  <c r="I1904"/>
  <c r="K1904" s="1"/>
  <c r="I1905"/>
  <c r="K1905" s="1"/>
  <c r="R1905"/>
  <c r="I1906"/>
  <c r="K1906" s="1"/>
  <c r="P1906"/>
  <c r="R1906" s="1"/>
  <c r="I1919"/>
  <c r="K1919" s="1"/>
  <c r="K1922"/>
  <c r="K1933"/>
  <c r="K1936"/>
  <c r="K1938"/>
  <c r="N1940"/>
  <c r="I1965"/>
  <c r="K1965" s="1"/>
  <c r="P1972"/>
  <c r="I1983"/>
  <c r="K1983" s="1"/>
  <c r="P1985"/>
  <c r="P1987"/>
  <c r="P1993"/>
  <c r="I2002"/>
  <c r="P2003" s="1"/>
  <c r="R2003" s="1"/>
  <c r="P2011"/>
  <c r="I2021"/>
  <c r="K2021" s="1"/>
  <c r="P2029"/>
  <c r="I2046"/>
  <c r="K2046" s="1"/>
  <c r="K2047"/>
  <c r="I2048"/>
  <c r="K2048" s="1"/>
  <c r="I2049"/>
  <c r="K2049" s="1"/>
  <c r="I2070"/>
  <c r="K2070" s="1"/>
  <c r="I2071"/>
  <c r="K2071" s="1"/>
  <c r="I2072"/>
  <c r="K2072" s="1"/>
  <c r="I2073"/>
  <c r="K2073" s="1"/>
  <c r="I2090"/>
  <c r="K2090" s="1"/>
  <c r="I2091"/>
  <c r="K2091" s="1"/>
  <c r="K2092"/>
  <c r="K2093"/>
  <c r="I2101"/>
  <c r="K2101" s="1"/>
  <c r="I2113"/>
  <c r="K2113" s="1"/>
  <c r="K2116" s="1"/>
  <c r="C411" i="55" s="1"/>
  <c r="I2121" i="1"/>
  <c r="K2121" s="1"/>
  <c r="I2126"/>
  <c r="K2126" s="1"/>
  <c r="I2141"/>
  <c r="K2141" s="1"/>
  <c r="I2146"/>
  <c r="K2146" s="1"/>
  <c r="R2148"/>
  <c r="I2160"/>
  <c r="K2160" s="1"/>
  <c r="H2171"/>
  <c r="I2173"/>
  <c r="K2173" s="1"/>
  <c r="I2186"/>
  <c r="K2186" s="1"/>
  <c r="K2190" s="1"/>
  <c r="J2194"/>
  <c r="K2194" s="1"/>
  <c r="K2197" s="1"/>
  <c r="C420" i="55" s="1"/>
  <c r="D414" i="58" s="1"/>
  <c r="I2199" i="1"/>
  <c r="K2199" s="1"/>
  <c r="K2203" s="1"/>
  <c r="C422" i="55" s="1"/>
  <c r="T422" s="1"/>
  <c r="I2209" i="1"/>
  <c r="K2209" s="1"/>
  <c r="K2213" s="1"/>
  <c r="C423" i="55" s="1"/>
  <c r="X423" s="1"/>
  <c r="I2218" i="1"/>
  <c r="K2218" s="1"/>
  <c r="K2222" s="1"/>
  <c r="I2241"/>
  <c r="K2241" s="1"/>
  <c r="I2242"/>
  <c r="K2242" s="1"/>
  <c r="I2243"/>
  <c r="K2243" s="1"/>
  <c r="I2244"/>
  <c r="K2244" s="1"/>
  <c r="K2245"/>
  <c r="M2252"/>
  <c r="L2256"/>
  <c r="L2257"/>
  <c r="L2267"/>
  <c r="K2292"/>
  <c r="I2294"/>
  <c r="P2294" s="1"/>
  <c r="R2294" s="1"/>
  <c r="H2296"/>
  <c r="O2296" s="1"/>
  <c r="I2296"/>
  <c r="P2296" s="1"/>
  <c r="R2296" s="1"/>
  <c r="L2304"/>
  <c r="L2305" s="1"/>
  <c r="I2306"/>
  <c r="K2306" s="1"/>
  <c r="I2307"/>
  <c r="K2307" s="1"/>
  <c r="I2308"/>
  <c r="K2308" s="1"/>
  <c r="I2309"/>
  <c r="K2309" s="1"/>
  <c r="E2310"/>
  <c r="K2324"/>
  <c r="I2325"/>
  <c r="K2325" s="1"/>
  <c r="R2331"/>
  <c r="P2332"/>
  <c r="R2332" s="1"/>
  <c r="R2342"/>
  <c r="D2344"/>
  <c r="K2361"/>
  <c r="K2362"/>
  <c r="K2363"/>
  <c r="P2368"/>
  <c r="R2368" s="1"/>
  <c r="P2369"/>
  <c r="R2369" s="1"/>
  <c r="K2384"/>
  <c r="K2385"/>
  <c r="R2388"/>
  <c r="E2389"/>
  <c r="E2390" s="1"/>
  <c r="R2389"/>
  <c r="R2390"/>
  <c r="R2391"/>
  <c r="R2392"/>
  <c r="R2393"/>
  <c r="K2394"/>
  <c r="R2394"/>
  <c r="R2395"/>
  <c r="R2396"/>
  <c r="R2397"/>
  <c r="R2398"/>
  <c r="R2399"/>
  <c r="R2400"/>
  <c r="R2401"/>
  <c r="R2402"/>
  <c r="R2403"/>
  <c r="R2404"/>
  <c r="I2405"/>
  <c r="K2405"/>
  <c r="R2405"/>
  <c r="K2419"/>
  <c r="I2423"/>
  <c r="P2430" s="1"/>
  <c r="R2426"/>
  <c r="R2434"/>
  <c r="I2439"/>
  <c r="K2439" s="1"/>
  <c r="I2459"/>
  <c r="I2463"/>
  <c r="I2482" s="1"/>
  <c r="I2464"/>
  <c r="I2483" s="1"/>
  <c r="K2483" s="1"/>
  <c r="I2465"/>
  <c r="I2466"/>
  <c r="K2466" s="1"/>
  <c r="H2469"/>
  <c r="I2476"/>
  <c r="I2478" s="1"/>
  <c r="F2482" s="1"/>
  <c r="H2484"/>
  <c r="I2500"/>
  <c r="P2501"/>
  <c r="P2502"/>
  <c r="P2503"/>
  <c r="P2504"/>
  <c r="I2506"/>
  <c r="K2506" s="1"/>
  <c r="K2507"/>
  <c r="R2507"/>
  <c r="K2511"/>
  <c r="P2514"/>
  <c r="R2514"/>
  <c r="N2519"/>
  <c r="I2531"/>
  <c r="K2537"/>
  <c r="K2540"/>
  <c r="I2566"/>
  <c r="P2566"/>
  <c r="H2571"/>
  <c r="K2572"/>
  <c r="P2573"/>
  <c r="R2573" s="1"/>
  <c r="O2577"/>
  <c r="V2586"/>
  <c r="S2601" s="1"/>
  <c r="V2588"/>
  <c r="V2589"/>
  <c r="V2593"/>
  <c r="V2594"/>
  <c r="S2598"/>
  <c r="Z2598"/>
  <c r="V2600"/>
  <c r="AE2648" s="1"/>
  <c r="AE2600"/>
  <c r="AB2615" s="1"/>
  <c r="I2601"/>
  <c r="V2602"/>
  <c r="AE2602"/>
  <c r="V2603"/>
  <c r="AE2603"/>
  <c r="V2604"/>
  <c r="Z2604"/>
  <c r="V2605"/>
  <c r="I2606"/>
  <c r="H3851" s="1"/>
  <c r="X2606"/>
  <c r="K2607"/>
  <c r="V2607"/>
  <c r="Z2605" s="1"/>
  <c r="AE2607"/>
  <c r="AE2608"/>
  <c r="AB2612"/>
  <c r="AE2620"/>
  <c r="AG2620" s="1"/>
  <c r="I2622"/>
  <c r="I2626"/>
  <c r="I2627" s="1"/>
  <c r="K2626"/>
  <c r="P2629"/>
  <c r="M2638" s="1"/>
  <c r="K2632"/>
  <c r="K2634"/>
  <c r="P2634"/>
  <c r="M2639" s="1"/>
  <c r="AE2634"/>
  <c r="AB2649" s="1"/>
  <c r="K2635"/>
  <c r="K2636"/>
  <c r="AE2636"/>
  <c r="K2637"/>
  <c r="M2637"/>
  <c r="AE2637"/>
  <c r="K2638"/>
  <c r="K2639"/>
  <c r="P2639"/>
  <c r="P2641"/>
  <c r="R2641" s="1"/>
  <c r="AE2641"/>
  <c r="P2642"/>
  <c r="AE2642"/>
  <c r="P2643"/>
  <c r="E210" i="25" s="1"/>
  <c r="G210" s="1"/>
  <c r="P2644" i="1"/>
  <c r="R2644" s="1"/>
  <c r="P2645"/>
  <c r="R2645" s="1"/>
  <c r="P2646"/>
  <c r="R2646" s="1"/>
  <c r="AB2646"/>
  <c r="AG2650"/>
  <c r="AG2651"/>
  <c r="AG2652"/>
  <c r="AG2653"/>
  <c r="AG2654"/>
  <c r="AE2655"/>
  <c r="AG2655" s="1"/>
  <c r="AE2656"/>
  <c r="AG2656" s="1"/>
  <c r="K2662"/>
  <c r="I2664"/>
  <c r="K2664" s="1"/>
  <c r="I2665"/>
  <c r="K2665" s="1"/>
  <c r="I2666"/>
  <c r="K2666" s="1"/>
  <c r="I2667"/>
  <c r="P2674" s="1"/>
  <c r="I2677"/>
  <c r="K2677" s="1"/>
  <c r="I2681"/>
  <c r="K2681" s="1"/>
  <c r="K2682"/>
  <c r="L2685"/>
  <c r="I2708"/>
  <c r="K2708" s="1"/>
  <c r="I2714"/>
  <c r="K2714" s="1"/>
  <c r="I2730"/>
  <c r="K2730" s="1"/>
  <c r="E2752"/>
  <c r="E2753" s="1"/>
  <c r="E2754"/>
  <c r="E2756" s="1"/>
  <c r="K2770"/>
  <c r="K2771"/>
  <c r="Y2774"/>
  <c r="L2775"/>
  <c r="F2812" s="1"/>
  <c r="S2780" s="1"/>
  <c r="S2778"/>
  <c r="V2781"/>
  <c r="X2781" s="1"/>
  <c r="S2782"/>
  <c r="S2783"/>
  <c r="V2783"/>
  <c r="S2784"/>
  <c r="V2784"/>
  <c r="S2785"/>
  <c r="V2785"/>
  <c r="S2786"/>
  <c r="X2786" s="1"/>
  <c r="V2786"/>
  <c r="S2787"/>
  <c r="AE2787"/>
  <c r="AG2787" s="1"/>
  <c r="S2788"/>
  <c r="AE2788"/>
  <c r="AG2788" s="1"/>
  <c r="K2789"/>
  <c r="S2789"/>
  <c r="AE2789"/>
  <c r="AG2789" s="1"/>
  <c r="AE2790"/>
  <c r="AG2790" s="1"/>
  <c r="F2811"/>
  <c r="S2779" s="1"/>
  <c r="K2815"/>
  <c r="K2816"/>
  <c r="K2817"/>
  <c r="K2818"/>
  <c r="M2818"/>
  <c r="V2787"/>
  <c r="X2787" s="1"/>
  <c r="M2819"/>
  <c r="P2822"/>
  <c r="R2822" s="1"/>
  <c r="P2823"/>
  <c r="P2856" s="1"/>
  <c r="R2856" s="1"/>
  <c r="P2824"/>
  <c r="R2824" s="1"/>
  <c r="P2825"/>
  <c r="R2825" s="1"/>
  <c r="J2828"/>
  <c r="K2831"/>
  <c r="I2833"/>
  <c r="K2833" s="1"/>
  <c r="I2835"/>
  <c r="I2971"/>
  <c r="I2836"/>
  <c r="K2836" s="1"/>
  <c r="I2837"/>
  <c r="K2837"/>
  <c r="I2838"/>
  <c r="P2827"/>
  <c r="R2827" s="1"/>
  <c r="I2851"/>
  <c r="M2851"/>
  <c r="M2852"/>
  <c r="K2863"/>
  <c r="I2865"/>
  <c r="K2865"/>
  <c r="I2866"/>
  <c r="K2866" s="1"/>
  <c r="I2867"/>
  <c r="K2867"/>
  <c r="I2868"/>
  <c r="K2868" s="1"/>
  <c r="K2880"/>
  <c r="I2881"/>
  <c r="K2881" s="1"/>
  <c r="P2920"/>
  <c r="P2921"/>
  <c r="P2922"/>
  <c r="I2960"/>
  <c r="I2961"/>
  <c r="I2964"/>
  <c r="I2967"/>
  <c r="K2967" s="1"/>
  <c r="I2969"/>
  <c r="P2976" s="1"/>
  <c r="R2976" s="1"/>
  <c r="I2972"/>
  <c r="P2979" s="1"/>
  <c r="R2979" s="1"/>
  <c r="K2992"/>
  <c r="K3006"/>
  <c r="K3009"/>
  <c r="K3011"/>
  <c r="K3014"/>
  <c r="K3038" s="1"/>
  <c r="I3052"/>
  <c r="P3059" s="1"/>
  <c r="R3059" s="1"/>
  <c r="F3053"/>
  <c r="F3072"/>
  <c r="K3079"/>
  <c r="V3098"/>
  <c r="V3099"/>
  <c r="I3100"/>
  <c r="P2074" s="1"/>
  <c r="V3101"/>
  <c r="K3102"/>
  <c r="I3103"/>
  <c r="P2077" s="1"/>
  <c r="V3104"/>
  <c r="AH3104"/>
  <c r="AQ3104"/>
  <c r="AS3104" s="1"/>
  <c r="I3105"/>
  <c r="P2079" s="1"/>
  <c r="V3105"/>
  <c r="AQ3105"/>
  <c r="AS3105" s="1"/>
  <c r="AU3105"/>
  <c r="I3107"/>
  <c r="K3107" s="1"/>
  <c r="V3112"/>
  <c r="V3129" s="1"/>
  <c r="X3129" s="1"/>
  <c r="X3114"/>
  <c r="V3115"/>
  <c r="I4065" s="1"/>
  <c r="K4065" s="1"/>
  <c r="K3116"/>
  <c r="R3116"/>
  <c r="X3116"/>
  <c r="K3117"/>
  <c r="R3117"/>
  <c r="V3119"/>
  <c r="X3119" s="1"/>
  <c r="V3131"/>
  <c r="X3131" s="1"/>
  <c r="V3133"/>
  <c r="X3133" s="1"/>
  <c r="P3137"/>
  <c r="M3153" s="1"/>
  <c r="P3138"/>
  <c r="M3150" s="1"/>
  <c r="P3140"/>
  <c r="P3143"/>
  <c r="P3144"/>
  <c r="F3145"/>
  <c r="I3145"/>
  <c r="U3145"/>
  <c r="U3147" s="1"/>
  <c r="U3146"/>
  <c r="I3147"/>
  <c r="K3147" s="1"/>
  <c r="I3148"/>
  <c r="P3155" s="1"/>
  <c r="K3148"/>
  <c r="U3148"/>
  <c r="I3149"/>
  <c r="K3149" s="1"/>
  <c r="U3149"/>
  <c r="I3150"/>
  <c r="P3157" s="1"/>
  <c r="U3150"/>
  <c r="I3151"/>
  <c r="K3151" s="1"/>
  <c r="M3151"/>
  <c r="I3152"/>
  <c r="K3152" s="1"/>
  <c r="P3152"/>
  <c r="K3153"/>
  <c r="I3165"/>
  <c r="K3165" s="1"/>
  <c r="R3187"/>
  <c r="R3188"/>
  <c r="P3190"/>
  <c r="R3190" s="1"/>
  <c r="L3191"/>
  <c r="R3192"/>
  <c r="R3193"/>
  <c r="R3194"/>
  <c r="R3195"/>
  <c r="S3195"/>
  <c r="T3195" s="1"/>
  <c r="P3196"/>
  <c r="P3231" s="1"/>
  <c r="I3207"/>
  <c r="K3207" s="1"/>
  <c r="L3173" s="1"/>
  <c r="L3207"/>
  <c r="P3220"/>
  <c r="R3220" s="1"/>
  <c r="R3221"/>
  <c r="R3222"/>
  <c r="R3223"/>
  <c r="P3225"/>
  <c r="R3225" s="1"/>
  <c r="P3226"/>
  <c r="R3226" s="1"/>
  <c r="P3227"/>
  <c r="R3227" s="1"/>
  <c r="P3228"/>
  <c r="R3228" s="1"/>
  <c r="P3229"/>
  <c r="P3296" s="1"/>
  <c r="R3296" s="1"/>
  <c r="P3230"/>
  <c r="R3230" s="1"/>
  <c r="L3233"/>
  <c r="V3246"/>
  <c r="X3246" s="1"/>
  <c r="V3249"/>
  <c r="X3249" s="1"/>
  <c r="V3250"/>
  <c r="X3250" s="1"/>
  <c r="V3251"/>
  <c r="X3251" s="1"/>
  <c r="V3252"/>
  <c r="X3252" s="1"/>
  <c r="V3253"/>
  <c r="X3253" s="1"/>
  <c r="V3254"/>
  <c r="X3254" s="1"/>
  <c r="R3257"/>
  <c r="K3259"/>
  <c r="P3261"/>
  <c r="R3261" s="1"/>
  <c r="P3262"/>
  <c r="R3262" s="1"/>
  <c r="I3263"/>
  <c r="K3263" s="1"/>
  <c r="L3229" s="1"/>
  <c r="P3263"/>
  <c r="I3323" s="1"/>
  <c r="P3264"/>
  <c r="R3264" s="1"/>
  <c r="K3278"/>
  <c r="K3281"/>
  <c r="K3282"/>
  <c r="K3283"/>
  <c r="K3284"/>
  <c r="K3285"/>
  <c r="K3286"/>
  <c r="I3287"/>
  <c r="I3325" s="1"/>
  <c r="I3427" s="1"/>
  <c r="P3290"/>
  <c r="R3290" s="1"/>
  <c r="P3295"/>
  <c r="P3398" s="1"/>
  <c r="R3398" s="1"/>
  <c r="R3295"/>
  <c r="P3297"/>
  <c r="R3297" s="1"/>
  <c r="I3298"/>
  <c r="K3298" s="1"/>
  <c r="I3299"/>
  <c r="K3299" s="1"/>
  <c r="I3300"/>
  <c r="K3300" s="1"/>
  <c r="I3301"/>
  <c r="K3301" s="1"/>
  <c r="I3304"/>
  <c r="K3304" s="1"/>
  <c r="I3306"/>
  <c r="I3307"/>
  <c r="K3317"/>
  <c r="P3323"/>
  <c r="R3323" s="1"/>
  <c r="I3324"/>
  <c r="K3324" s="1"/>
  <c r="P3324"/>
  <c r="R3324" s="1"/>
  <c r="K3337"/>
  <c r="I3363"/>
  <c r="K3363" s="1"/>
  <c r="I3386"/>
  <c r="I3405"/>
  <c r="F3420" s="1"/>
  <c r="I3406"/>
  <c r="F3417" s="1"/>
  <c r="I3407"/>
  <c r="I3408"/>
  <c r="I3412"/>
  <c r="I3413"/>
  <c r="I3419"/>
  <c r="K3421"/>
  <c r="K3422"/>
  <c r="K3423"/>
  <c r="K3424"/>
  <c r="K3425"/>
  <c r="R3435"/>
  <c r="P3436"/>
  <c r="R3436" s="1"/>
  <c r="P3437"/>
  <c r="R3437" s="1"/>
  <c r="P3441"/>
  <c r="R3441" s="1"/>
  <c r="P3442"/>
  <c r="R3442" s="1"/>
  <c r="P3444"/>
  <c r="R3444" s="1"/>
  <c r="K3451"/>
  <c r="P3457"/>
  <c r="R3457" s="1"/>
  <c r="I3459"/>
  <c r="K3459" s="1"/>
  <c r="P3459"/>
  <c r="R3459" s="1"/>
  <c r="I3463"/>
  <c r="J3474"/>
  <c r="J3475"/>
  <c r="J3476"/>
  <c r="K3478"/>
  <c r="I3481"/>
  <c r="K3481" s="1"/>
  <c r="I3482"/>
  <c r="K3482" s="1"/>
  <c r="I3483"/>
  <c r="K3483" s="1"/>
  <c r="I3484"/>
  <c r="K3484" s="1"/>
  <c r="I3485"/>
  <c r="K3485" s="1"/>
  <c r="I3486"/>
  <c r="K3486" s="1"/>
  <c r="M3504"/>
  <c r="K3505"/>
  <c r="I3518"/>
  <c r="F3519" s="1"/>
  <c r="I3522"/>
  <c r="I3538" s="1"/>
  <c r="P3522"/>
  <c r="M3523" s="1"/>
  <c r="I3523"/>
  <c r="K3523" s="1"/>
  <c r="P3523"/>
  <c r="I3524"/>
  <c r="K3524" s="1"/>
  <c r="I3526"/>
  <c r="P3530" s="1"/>
  <c r="P3527"/>
  <c r="R3527" s="1"/>
  <c r="I3534"/>
  <c r="F3535" s="1"/>
  <c r="K3535" s="1"/>
  <c r="V3534"/>
  <c r="S3536" s="1"/>
  <c r="AE3534"/>
  <c r="AB3535" s="1"/>
  <c r="AE3535"/>
  <c r="P3538"/>
  <c r="M3539" s="1"/>
  <c r="I3539"/>
  <c r="K3539" s="1"/>
  <c r="P3539"/>
  <c r="V3550"/>
  <c r="S3551" s="1"/>
  <c r="AE3550"/>
  <c r="AB3551" s="1"/>
  <c r="K3554"/>
  <c r="I3557"/>
  <c r="P3560" s="1"/>
  <c r="R3560" s="1"/>
  <c r="K3559"/>
  <c r="V3566"/>
  <c r="S3568" s="1"/>
  <c r="I3570"/>
  <c r="K3570" s="1"/>
  <c r="I3571"/>
  <c r="K3571" s="1"/>
  <c r="I3580"/>
  <c r="K3580" s="1"/>
  <c r="V3581"/>
  <c r="S3582" s="1"/>
  <c r="S3583" s="1"/>
  <c r="X3591"/>
  <c r="V3598"/>
  <c r="S3599" s="1"/>
  <c r="S3600" s="1"/>
  <c r="I3599"/>
  <c r="I3621" s="1"/>
  <c r="K3621" s="1"/>
  <c r="K3600"/>
  <c r="K3601"/>
  <c r="K3602"/>
  <c r="K3603"/>
  <c r="K3604"/>
  <c r="X3608"/>
  <c r="W3613"/>
  <c r="S3614" s="1"/>
  <c r="S3615" s="1"/>
  <c r="J3614"/>
  <c r="H3621"/>
  <c r="K3623"/>
  <c r="I3624"/>
  <c r="K3624" s="1"/>
  <c r="I3625"/>
  <c r="K3625" s="1"/>
  <c r="V3631"/>
  <c r="X3631" s="1"/>
  <c r="V3632"/>
  <c r="X3632" s="1"/>
  <c r="V3633"/>
  <c r="X3633" s="1"/>
  <c r="X3634"/>
  <c r="X3635"/>
  <c r="X3636"/>
  <c r="X3637"/>
  <c r="X3638"/>
  <c r="X3639"/>
  <c r="X3640"/>
  <c r="X3641"/>
  <c r="X3652"/>
  <c r="X3653"/>
  <c r="X3655"/>
  <c r="X3657"/>
  <c r="X3658"/>
  <c r="K3659"/>
  <c r="X3659"/>
  <c r="X3660"/>
  <c r="K3661"/>
  <c r="X3661"/>
  <c r="K3667"/>
  <c r="K3668"/>
  <c r="F3678"/>
  <c r="H3678"/>
  <c r="H3679"/>
  <c r="F3680"/>
  <c r="K3680" s="1"/>
  <c r="V3681"/>
  <c r="X3681" s="1"/>
  <c r="F3682"/>
  <c r="K3682" s="1"/>
  <c r="H3682"/>
  <c r="H3683"/>
  <c r="V3683"/>
  <c r="X3683" s="1"/>
  <c r="H3684"/>
  <c r="H3685"/>
  <c r="V3685"/>
  <c r="X3685" s="1"/>
  <c r="H3686"/>
  <c r="V3687"/>
  <c r="X3687" s="1"/>
  <c r="F3688"/>
  <c r="H3688"/>
  <c r="I3688"/>
  <c r="V3688"/>
  <c r="X3688" s="1"/>
  <c r="F3689"/>
  <c r="H3689"/>
  <c r="I3689"/>
  <c r="V3689"/>
  <c r="X3689" s="1"/>
  <c r="H3690"/>
  <c r="V3690"/>
  <c r="X3690" s="1"/>
  <c r="V3691"/>
  <c r="X3691" s="1"/>
  <c r="K3700"/>
  <c r="X3700"/>
  <c r="X3701"/>
  <c r="X3702"/>
  <c r="X3703"/>
  <c r="N3706"/>
  <c r="J3710"/>
  <c r="K3710"/>
  <c r="J3711"/>
  <c r="K3711"/>
  <c r="J3712"/>
  <c r="K3712"/>
  <c r="J3713"/>
  <c r="V3713"/>
  <c r="J3714"/>
  <c r="V3714"/>
  <c r="X3714" s="1"/>
  <c r="V3715"/>
  <c r="X3715" s="1"/>
  <c r="V3716"/>
  <c r="X3716" s="1"/>
  <c r="V3717"/>
  <c r="X3717" s="1"/>
  <c r="K3731"/>
  <c r="K3747"/>
  <c r="I3758"/>
  <c r="K3758" s="1"/>
  <c r="K3759" s="1"/>
  <c r="K3760"/>
  <c r="K3761" s="1"/>
  <c r="K3762"/>
  <c r="K3763"/>
  <c r="K3778"/>
  <c r="K3779"/>
  <c r="K3780"/>
  <c r="K3781"/>
  <c r="K3782"/>
  <c r="K3783"/>
  <c r="K3784"/>
  <c r="K3785"/>
  <c r="K3786"/>
  <c r="K3802"/>
  <c r="K3818"/>
  <c r="I3837"/>
  <c r="H3839"/>
  <c r="H3840"/>
  <c r="H3841"/>
  <c r="H3842"/>
  <c r="H3852"/>
  <c r="H3873" s="1"/>
  <c r="H3889" s="1"/>
  <c r="J3889" s="1"/>
  <c r="I3858"/>
  <c r="H3860"/>
  <c r="H3861"/>
  <c r="H3862"/>
  <c r="H3863"/>
  <c r="H3882"/>
  <c r="G3893"/>
  <c r="E3894"/>
  <c r="G3894" s="1"/>
  <c r="K3919"/>
  <c r="K3920"/>
  <c r="K3921"/>
  <c r="K3922"/>
  <c r="K3925"/>
  <c r="I3937"/>
  <c r="I3953" s="1"/>
  <c r="I3938"/>
  <c r="K3938" s="1"/>
  <c r="I3939"/>
  <c r="I3955" s="1"/>
  <c r="I3940"/>
  <c r="K3940" s="1"/>
  <c r="K3943"/>
  <c r="K3945"/>
  <c r="I3954"/>
  <c r="K3954" s="1"/>
  <c r="H3955"/>
  <c r="H3959"/>
  <c r="I3959"/>
  <c r="I3976" s="1"/>
  <c r="K3976" s="1"/>
  <c r="I3961"/>
  <c r="I3978" s="1"/>
  <c r="K3990"/>
  <c r="I4006"/>
  <c r="K4008"/>
  <c r="I4023"/>
  <c r="I4035" s="1"/>
  <c r="K4035" s="1"/>
  <c r="J4046"/>
  <c r="J4047"/>
  <c r="J4052"/>
  <c r="F4062" s="1"/>
  <c r="J4055"/>
  <c r="F4063" s="1"/>
  <c r="K4055"/>
  <c r="J4057"/>
  <c r="J4058" s="1"/>
  <c r="F4064" s="1"/>
  <c r="I4063"/>
  <c r="I4064"/>
  <c r="I4066"/>
  <c r="K4066" s="1"/>
  <c r="L4073"/>
  <c r="H3" i="11"/>
  <c r="J3"/>
  <c r="O3"/>
  <c r="Q3"/>
  <c r="U3"/>
  <c r="W3"/>
  <c r="AG6"/>
  <c r="AK8"/>
  <c r="X9"/>
  <c r="X10" s="1"/>
  <c r="Z9"/>
  <c r="Z10" s="1"/>
  <c r="AK9"/>
  <c r="C10"/>
  <c r="P534" s="1"/>
  <c r="W10"/>
  <c r="AK10"/>
  <c r="A11"/>
  <c r="C11"/>
  <c r="I357" s="1"/>
  <c r="K357" s="1"/>
  <c r="P11"/>
  <c r="R11"/>
  <c r="X11"/>
  <c r="X12" s="1"/>
  <c r="X13" s="1"/>
  <c r="X14" s="1"/>
  <c r="X15" s="1"/>
  <c r="AK11"/>
  <c r="A12"/>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2"/>
  <c r="P83" s="1"/>
  <c r="R83" s="1"/>
  <c r="W12"/>
  <c r="AK12"/>
  <c r="C13"/>
  <c r="P536" s="1"/>
  <c r="W13"/>
  <c r="AK13"/>
  <c r="C14"/>
  <c r="D14"/>
  <c r="W14"/>
  <c r="AK14"/>
  <c r="C15"/>
  <c r="W15"/>
  <c r="AK15"/>
  <c r="C16"/>
  <c r="I689" s="1"/>
  <c r="D16"/>
  <c r="X16"/>
  <c r="X17" s="1"/>
  <c r="Z16"/>
  <c r="AC16" s="1"/>
  <c r="C78" s="1"/>
  <c r="AK16"/>
  <c r="C17"/>
  <c r="D17"/>
  <c r="AK17"/>
  <c r="C18"/>
  <c r="I65" s="1"/>
  <c r="K65" s="1"/>
  <c r="X18"/>
  <c r="X34" s="1"/>
  <c r="Z18"/>
  <c r="AK18"/>
  <c r="W19"/>
  <c r="X19"/>
  <c r="X20" s="1"/>
  <c r="Z19"/>
  <c r="AC19" s="1"/>
  <c r="AK19"/>
  <c r="W20"/>
  <c r="AK20"/>
  <c r="X21"/>
  <c r="AC21"/>
  <c r="C83" s="1"/>
  <c r="AK21"/>
  <c r="AC22"/>
  <c r="C84" s="1"/>
  <c r="AK22"/>
  <c r="X23"/>
  <c r="Z23"/>
  <c r="AC23" s="1"/>
  <c r="C85" s="1"/>
  <c r="AK23"/>
  <c r="P24"/>
  <c r="R24" s="1"/>
  <c r="AC24"/>
  <c r="C86" s="1"/>
  <c r="P704" s="1"/>
  <c r="AK24"/>
  <c r="C25"/>
  <c r="P25"/>
  <c r="R25" s="1"/>
  <c r="AC25"/>
  <c r="C87" s="1"/>
  <c r="I2166" s="1"/>
  <c r="K2166" s="1"/>
  <c r="AK25"/>
  <c r="C26"/>
  <c r="I167"/>
  <c r="K167" s="1"/>
  <c r="AC26"/>
  <c r="C88" s="1"/>
  <c r="AK26"/>
  <c r="C27"/>
  <c r="AC27"/>
  <c r="C89" s="1"/>
  <c r="AK27"/>
  <c r="AC28"/>
  <c r="AK28"/>
  <c r="C29"/>
  <c r="I29"/>
  <c r="K29" s="1"/>
  <c r="W29"/>
  <c r="AK29"/>
  <c r="C30"/>
  <c r="I887" s="1"/>
  <c r="K887" s="1"/>
  <c r="D30"/>
  <c r="I1087" s="1"/>
  <c r="K1087" s="1"/>
  <c r="AC30"/>
  <c r="AK30"/>
  <c r="C31"/>
  <c r="I949" s="1"/>
  <c r="K949" s="1"/>
  <c r="D31"/>
  <c r="I1046" s="1"/>
  <c r="K1046" s="1"/>
  <c r="AK31"/>
  <c r="D32"/>
  <c r="AC32"/>
  <c r="C138" s="1"/>
  <c r="AK32"/>
  <c r="D33"/>
  <c r="AC33"/>
  <c r="AK33"/>
  <c r="W34"/>
  <c r="Y34"/>
  <c r="AK34"/>
  <c r="W35"/>
  <c r="AK35"/>
  <c r="W36"/>
  <c r="AK36"/>
  <c r="W37"/>
  <c r="AC38"/>
  <c r="C35" s="1"/>
  <c r="D40"/>
  <c r="C41"/>
  <c r="I46"/>
  <c r="K46" s="1"/>
  <c r="P52"/>
  <c r="R52" s="1"/>
  <c r="I55"/>
  <c r="K55" s="1"/>
  <c r="C61"/>
  <c r="P430" s="1"/>
  <c r="R430" s="1"/>
  <c r="D61"/>
  <c r="I94" s="1"/>
  <c r="K94" s="1"/>
  <c r="C66"/>
  <c r="C67"/>
  <c r="I18"/>
  <c r="K18" s="1"/>
  <c r="P67"/>
  <c r="R67" s="1"/>
  <c r="I72"/>
  <c r="K72" s="1"/>
  <c r="I74"/>
  <c r="K74" s="1"/>
  <c r="P81"/>
  <c r="R81" s="1"/>
  <c r="I82"/>
  <c r="K82" s="1"/>
  <c r="P82"/>
  <c r="R82" s="1"/>
  <c r="C90"/>
  <c r="I95"/>
  <c r="K95" s="1"/>
  <c r="C136"/>
  <c r="I1168" s="1"/>
  <c r="K1168" s="1"/>
  <c r="I140"/>
  <c r="K140"/>
  <c r="C141"/>
  <c r="I152"/>
  <c r="K152" s="1"/>
  <c r="I154"/>
  <c r="K154" s="1"/>
  <c r="I155"/>
  <c r="K155" s="1"/>
  <c r="K156"/>
  <c r="I184"/>
  <c r="K184" s="1"/>
  <c r="K185"/>
  <c r="P191"/>
  <c r="R191" s="1"/>
  <c r="I196"/>
  <c r="K196" s="1"/>
  <c r="I197"/>
  <c r="K197" s="1"/>
  <c r="I211"/>
  <c r="K211" s="1"/>
  <c r="P211"/>
  <c r="R211" s="1"/>
  <c r="I212"/>
  <c r="K212" s="1"/>
  <c r="P212"/>
  <c r="R212" s="1"/>
  <c r="P213"/>
  <c r="R213" s="1"/>
  <c r="P214"/>
  <c r="R214" s="1"/>
  <c r="P215"/>
  <c r="R215" s="1"/>
  <c r="P216"/>
  <c r="R216" s="1"/>
  <c r="P217"/>
  <c r="R217" s="1"/>
  <c r="P218"/>
  <c r="R218" s="1"/>
  <c r="I226"/>
  <c r="K226" s="1"/>
  <c r="I227"/>
  <c r="K227" s="1"/>
  <c r="I240"/>
  <c r="K240" s="1"/>
  <c r="K244"/>
  <c r="K255"/>
  <c r="K256"/>
  <c r="I270"/>
  <c r="K270"/>
  <c r="K282"/>
  <c r="P284"/>
  <c r="R284" s="1"/>
  <c r="P296"/>
  <c r="R296" s="1"/>
  <c r="P297"/>
  <c r="R297" s="1"/>
  <c r="I298"/>
  <c r="K298" s="1"/>
  <c r="I299"/>
  <c r="K299" s="1"/>
  <c r="H310"/>
  <c r="H332"/>
  <c r="F334"/>
  <c r="H334"/>
  <c r="F335"/>
  <c r="H352"/>
  <c r="F354"/>
  <c r="H354"/>
  <c r="F355"/>
  <c r="P366"/>
  <c r="R366" s="1"/>
  <c r="H376"/>
  <c r="P376"/>
  <c r="R376" s="1"/>
  <c r="P377"/>
  <c r="R377" s="1"/>
  <c r="F378"/>
  <c r="H378"/>
  <c r="I380"/>
  <c r="K380" s="1"/>
  <c r="I381"/>
  <c r="K381" s="1"/>
  <c r="I382"/>
  <c r="K382" s="1"/>
  <c r="P390"/>
  <c r="R390" s="1"/>
  <c r="P392"/>
  <c r="R392" s="1"/>
  <c r="H407"/>
  <c r="F409"/>
  <c r="H409"/>
  <c r="P432"/>
  <c r="R432" s="1"/>
  <c r="P438"/>
  <c r="R438" s="1"/>
  <c r="P439"/>
  <c r="R439" s="1"/>
  <c r="P440"/>
  <c r="R440" s="1"/>
  <c r="P451"/>
  <c r="R451" s="1"/>
  <c r="P456"/>
  <c r="R456" s="1"/>
  <c r="P457"/>
  <c r="R457" s="1"/>
  <c r="P458"/>
  <c r="R458" s="1"/>
  <c r="P469"/>
  <c r="R469" s="1"/>
  <c r="P474"/>
  <c r="R474" s="1"/>
  <c r="P475"/>
  <c r="R475" s="1"/>
  <c r="P476"/>
  <c r="R476" s="1"/>
  <c r="I484"/>
  <c r="K484" s="1"/>
  <c r="P491"/>
  <c r="R491" s="1"/>
  <c r="P493"/>
  <c r="R493" s="1"/>
  <c r="P494"/>
  <c r="R494" s="1"/>
  <c r="P495"/>
  <c r="R495" s="1"/>
  <c r="I496"/>
  <c r="K496" s="1"/>
  <c r="R499"/>
  <c r="I500"/>
  <c r="K500" s="1"/>
  <c r="K507"/>
  <c r="P509"/>
  <c r="R509"/>
  <c r="P511"/>
  <c r="R511" s="1"/>
  <c r="P512"/>
  <c r="R512"/>
  <c r="P513"/>
  <c r="R513" s="1"/>
  <c r="R517"/>
  <c r="I519"/>
  <c r="K519" s="1"/>
  <c r="I520"/>
  <c r="K520" s="1"/>
  <c r="J527"/>
  <c r="J528"/>
  <c r="J529"/>
  <c r="P529"/>
  <c r="R529" s="1"/>
  <c r="J530"/>
  <c r="J531"/>
  <c r="P531"/>
  <c r="R531" s="1"/>
  <c r="P532"/>
  <c r="R532"/>
  <c r="P533"/>
  <c r="R533" s="1"/>
  <c r="R534"/>
  <c r="P535"/>
  <c r="R535" s="1"/>
  <c r="R536"/>
  <c r="R537"/>
  <c r="J543"/>
  <c r="J544"/>
  <c r="J545"/>
  <c r="J546"/>
  <c r="J547"/>
  <c r="P555"/>
  <c r="R555"/>
  <c r="I559"/>
  <c r="K559" s="1"/>
  <c r="P560"/>
  <c r="R560"/>
  <c r="I561"/>
  <c r="K561" s="1"/>
  <c r="P561"/>
  <c r="R561"/>
  <c r="P562"/>
  <c r="R562" s="1"/>
  <c r="J568"/>
  <c r="J569"/>
  <c r="J570"/>
  <c r="J571"/>
  <c r="J572"/>
  <c r="I575"/>
  <c r="K575" s="1"/>
  <c r="I577"/>
  <c r="K577" s="1"/>
  <c r="I578"/>
  <c r="K578"/>
  <c r="J583"/>
  <c r="J584"/>
  <c r="J585"/>
  <c r="J586"/>
  <c r="J587"/>
  <c r="I590"/>
  <c r="K590" s="1"/>
  <c r="I592"/>
  <c r="K592" s="1"/>
  <c r="C593"/>
  <c r="I593"/>
  <c r="K593" s="1"/>
  <c r="P607"/>
  <c r="R607"/>
  <c r="P620"/>
  <c r="R620" s="1"/>
  <c r="P636"/>
  <c r="R636" s="1"/>
  <c r="P637"/>
  <c r="R637"/>
  <c r="P638"/>
  <c r="R638" s="1"/>
  <c r="I643"/>
  <c r="K643"/>
  <c r="I644"/>
  <c r="K644" s="1"/>
  <c r="K645"/>
  <c r="P648"/>
  <c r="R648" s="1"/>
  <c r="R652" s="1"/>
  <c r="P658"/>
  <c r="R658" s="1"/>
  <c r="R662" s="1"/>
  <c r="I662"/>
  <c r="K662" s="1"/>
  <c r="I663"/>
  <c r="K663" s="1"/>
  <c r="K667" s="1"/>
  <c r="K669" s="1"/>
  <c r="K670" s="1"/>
  <c r="K671" s="1"/>
  <c r="K672" s="1"/>
  <c r="K673" s="1"/>
  <c r="K664"/>
  <c r="P668"/>
  <c r="R668"/>
  <c r="R672" s="1"/>
  <c r="P679"/>
  <c r="R679" s="1"/>
  <c r="R683" s="1"/>
  <c r="I680"/>
  <c r="K680" s="1"/>
  <c r="I681"/>
  <c r="K681"/>
  <c r="I683"/>
  <c r="K683" s="1"/>
  <c r="K689"/>
  <c r="I690"/>
  <c r="K690" s="1"/>
  <c r="P690"/>
  <c r="R690"/>
  <c r="P692"/>
  <c r="R692" s="1"/>
  <c r="P693"/>
  <c r="R693"/>
  <c r="P694"/>
  <c r="R694" s="1"/>
  <c r="P695"/>
  <c r="R695"/>
  <c r="P705"/>
  <c r="R705" s="1"/>
  <c r="I706"/>
  <c r="K706"/>
  <c r="P707"/>
  <c r="R707" s="1"/>
  <c r="I708"/>
  <c r="K708"/>
  <c r="P708"/>
  <c r="R708" s="1"/>
  <c r="P709"/>
  <c r="R709"/>
  <c r="P710"/>
  <c r="R710" s="1"/>
  <c r="P721"/>
  <c r="R721"/>
  <c r="I722"/>
  <c r="K722" s="1"/>
  <c r="I743" s="1"/>
  <c r="K743" s="1"/>
  <c r="I723"/>
  <c r="K723"/>
  <c r="P723"/>
  <c r="R723" s="1"/>
  <c r="K724"/>
  <c r="P724"/>
  <c r="R724" s="1"/>
  <c r="I725"/>
  <c r="K725" s="1"/>
  <c r="P725"/>
  <c r="R725" s="1"/>
  <c r="P726"/>
  <c r="R726" s="1"/>
  <c r="I727"/>
  <c r="K727" s="1"/>
  <c r="K728"/>
  <c r="K729"/>
  <c r="R740"/>
  <c r="R745"/>
  <c r="I746"/>
  <c r="K746" s="1"/>
  <c r="I747"/>
  <c r="K747" s="1"/>
  <c r="I749"/>
  <c r="K749" s="1"/>
  <c r="K750"/>
  <c r="K751"/>
  <c r="K752"/>
  <c r="R753"/>
  <c r="A754"/>
  <c r="P762"/>
  <c r="R762"/>
  <c r="R769" s="1"/>
  <c r="R771" s="1"/>
  <c r="I772"/>
  <c r="K772" s="1"/>
  <c r="I774"/>
  <c r="K774"/>
  <c r="I775"/>
  <c r="K775" s="1"/>
  <c r="R779"/>
  <c r="R792" s="1"/>
  <c r="P782"/>
  <c r="R782"/>
  <c r="I783"/>
  <c r="K783" s="1"/>
  <c r="R783"/>
  <c r="R784"/>
  <c r="R785"/>
  <c r="R786"/>
  <c r="R788"/>
  <c r="R789"/>
  <c r="R798"/>
  <c r="R810" s="1"/>
  <c r="P801"/>
  <c r="R801"/>
  <c r="R802"/>
  <c r="R803"/>
  <c r="R804"/>
  <c r="R805"/>
  <c r="R806"/>
  <c r="R807"/>
  <c r="K817"/>
  <c r="K818"/>
  <c r="K819"/>
  <c r="K820"/>
  <c r="I821"/>
  <c r="K821"/>
  <c r="I822"/>
  <c r="K822" s="1"/>
  <c r="K823"/>
  <c r="R834"/>
  <c r="R847" s="1"/>
  <c r="K835"/>
  <c r="K836"/>
  <c r="K837"/>
  <c r="P837"/>
  <c r="R837" s="1"/>
  <c r="K838"/>
  <c r="R838"/>
  <c r="I839"/>
  <c r="K839" s="1"/>
  <c r="R839"/>
  <c r="I840"/>
  <c r="K840" s="1"/>
  <c r="R840"/>
  <c r="K841"/>
  <c r="R841"/>
  <c r="R843"/>
  <c r="R844"/>
  <c r="K853"/>
  <c r="K854"/>
  <c r="H855"/>
  <c r="K855"/>
  <c r="P855"/>
  <c r="R855" s="1"/>
  <c r="K856"/>
  <c r="P856"/>
  <c r="R856" s="1"/>
  <c r="I857"/>
  <c r="K857" s="1"/>
  <c r="H859"/>
  <c r="K859"/>
  <c r="I860"/>
  <c r="K860" s="1"/>
  <c r="R869"/>
  <c r="R870"/>
  <c r="R875"/>
  <c r="R871"/>
  <c r="I914"/>
  <c r="K914" s="1"/>
  <c r="I915"/>
  <c r="K915" s="1"/>
  <c r="I916"/>
  <c r="K916" s="1"/>
  <c r="I917"/>
  <c r="K917" s="1"/>
  <c r="I918"/>
  <c r="K918" s="1"/>
  <c r="I919"/>
  <c r="K919" s="1"/>
  <c r="I920"/>
  <c r="K920" s="1"/>
  <c r="I950"/>
  <c r="K950" s="1"/>
  <c r="I951"/>
  <c r="K951" s="1"/>
  <c r="I952"/>
  <c r="K952" s="1"/>
  <c r="I953"/>
  <c r="K953" s="1"/>
  <c r="I954"/>
  <c r="K954" s="1"/>
  <c r="I955"/>
  <c r="K955"/>
  <c r="I978"/>
  <c r="K978" s="1"/>
  <c r="I979"/>
  <c r="K979"/>
  <c r="I980"/>
  <c r="K980" s="1"/>
  <c r="I981"/>
  <c r="K981" s="1"/>
  <c r="I982"/>
  <c r="K982" s="1"/>
  <c r="I983"/>
  <c r="K983" s="1"/>
  <c r="I984"/>
  <c r="K984" s="1"/>
  <c r="I1013"/>
  <c r="K1013"/>
  <c r="I1014"/>
  <c r="K1014" s="1"/>
  <c r="I1015"/>
  <c r="K1015"/>
  <c r="I1016"/>
  <c r="K1016" s="1"/>
  <c r="I1017"/>
  <c r="I2528" s="1"/>
  <c r="K2528" s="1"/>
  <c r="I1018"/>
  <c r="K1018" s="1"/>
  <c r="I1019"/>
  <c r="K1019" s="1"/>
  <c r="I1020"/>
  <c r="K1020" s="1"/>
  <c r="I1030"/>
  <c r="K1030"/>
  <c r="I1031"/>
  <c r="K1031" s="1"/>
  <c r="I1032"/>
  <c r="K1032"/>
  <c r="I1033"/>
  <c r="K1033" s="1"/>
  <c r="I1034"/>
  <c r="K1034" s="1"/>
  <c r="I1035"/>
  <c r="K1035" s="1"/>
  <c r="I1045"/>
  <c r="K1045" s="1"/>
  <c r="I1047"/>
  <c r="K1047"/>
  <c r="I1048"/>
  <c r="K1048" s="1"/>
  <c r="I1049"/>
  <c r="K1049"/>
  <c r="I1050"/>
  <c r="K1050" s="1"/>
  <c r="I1060"/>
  <c r="K1060" s="1"/>
  <c r="I1061"/>
  <c r="K1061" s="1"/>
  <c r="I1062"/>
  <c r="K1062" s="1"/>
  <c r="I1063"/>
  <c r="K1063" s="1"/>
  <c r="I1064"/>
  <c r="K1064"/>
  <c r="I1085"/>
  <c r="K1085" s="1"/>
  <c r="K1086"/>
  <c r="K1088"/>
  <c r="I1089"/>
  <c r="K1089" s="1"/>
  <c r="K1090"/>
  <c r="K1091"/>
  <c r="I1101"/>
  <c r="K1101" s="1"/>
  <c r="I1102"/>
  <c r="K1102"/>
  <c r="I1103"/>
  <c r="K1103" s="1"/>
  <c r="I1114"/>
  <c r="K1114" s="1"/>
  <c r="I1115"/>
  <c r="K1115" s="1"/>
  <c r="I1116"/>
  <c r="K1116"/>
  <c r="I1117"/>
  <c r="K1117" s="1"/>
  <c r="I1131"/>
  <c r="K1131" s="1"/>
  <c r="K1132"/>
  <c r="K1133"/>
  <c r="I1134"/>
  <c r="K1134" s="1"/>
  <c r="I1146"/>
  <c r="K1146"/>
  <c r="I1156"/>
  <c r="K1156" s="1"/>
  <c r="I1157"/>
  <c r="K1157" s="1"/>
  <c r="I1172"/>
  <c r="K1172" s="1"/>
  <c r="I1173"/>
  <c r="K1173" s="1"/>
  <c r="I1175"/>
  <c r="K1175" s="1"/>
  <c r="I1176"/>
  <c r="K1176"/>
  <c r="I1177"/>
  <c r="K1177" s="1"/>
  <c r="I1178"/>
  <c r="K1178" s="1"/>
  <c r="I1181"/>
  <c r="K1181" s="1"/>
  <c r="I1182"/>
  <c r="K1182" s="1"/>
  <c r="I1183"/>
  <c r="K1183"/>
  <c r="I1184"/>
  <c r="K1184" s="1"/>
  <c r="I1198"/>
  <c r="K1198" s="1"/>
  <c r="I1201"/>
  <c r="K1201" s="1"/>
  <c r="I1202"/>
  <c r="K1202" s="1"/>
  <c r="I1203"/>
  <c r="K1203" s="1"/>
  <c r="I1205"/>
  <c r="K1205"/>
  <c r="I1206"/>
  <c r="K1206" s="1"/>
  <c r="I1207"/>
  <c r="K1207"/>
  <c r="I1208"/>
  <c r="K1208" s="1"/>
  <c r="I1209"/>
  <c r="K1209" s="1"/>
  <c r="I1219"/>
  <c r="K1219" s="1"/>
  <c r="I1220"/>
  <c r="K1220" s="1"/>
  <c r="I1222"/>
  <c r="K1222" s="1"/>
  <c r="I1223"/>
  <c r="K1223"/>
  <c r="I1236"/>
  <c r="K1236" s="1"/>
  <c r="I1237"/>
  <c r="K1237"/>
  <c r="I1238"/>
  <c r="K1238" s="1"/>
  <c r="I1239"/>
  <c r="K1239" s="1"/>
  <c r="I1255"/>
  <c r="K1255" s="1"/>
  <c r="I1256"/>
  <c r="K1256" s="1"/>
  <c r="I1269"/>
  <c r="K1269"/>
  <c r="I1270"/>
  <c r="K1270" s="1"/>
  <c r="I1285"/>
  <c r="K1285" s="1"/>
  <c r="I1288"/>
  <c r="K1288" s="1"/>
  <c r="I1289"/>
  <c r="K1289" s="1"/>
  <c r="I1290"/>
  <c r="K1290" s="1"/>
  <c r="I1307"/>
  <c r="K1307" s="1"/>
  <c r="I1310"/>
  <c r="K1310"/>
  <c r="I1311"/>
  <c r="K1311" s="1"/>
  <c r="I1312"/>
  <c r="K1312" s="1"/>
  <c r="I1313"/>
  <c r="K1313" s="1"/>
  <c r="I1314"/>
  <c r="K1314" s="1"/>
  <c r="I1325"/>
  <c r="K1325" s="1"/>
  <c r="I1326"/>
  <c r="K1326"/>
  <c r="I1327"/>
  <c r="K1327" s="1"/>
  <c r="I1338"/>
  <c r="K1338"/>
  <c r="I1339"/>
  <c r="K1339" s="1"/>
  <c r="I1340"/>
  <c r="K1340" s="1"/>
  <c r="I1350"/>
  <c r="K1350" s="1"/>
  <c r="I1351"/>
  <c r="K1351" s="1"/>
  <c r="I1365"/>
  <c r="K1365"/>
  <c r="I1366"/>
  <c r="K1366" s="1"/>
  <c r="I1368"/>
  <c r="K1368" s="1"/>
  <c r="I1385"/>
  <c r="K1385" s="1"/>
  <c r="I1386"/>
  <c r="K1386" s="1"/>
  <c r="I1397"/>
  <c r="K1397" s="1"/>
  <c r="I1398"/>
  <c r="K1398" s="1"/>
  <c r="I1410"/>
  <c r="K1410"/>
  <c r="I1411"/>
  <c r="K1411" s="1"/>
  <c r="I1422"/>
  <c r="K1422"/>
  <c r="I1423"/>
  <c r="K1423" s="1"/>
  <c r="I1424"/>
  <c r="K1424" s="1"/>
  <c r="I1436"/>
  <c r="K1436" s="1"/>
  <c r="I1437"/>
  <c r="K1437" s="1"/>
  <c r="I1438"/>
  <c r="K1438" s="1"/>
  <c r="K1448"/>
  <c r="I1449"/>
  <c r="K1449" s="1"/>
  <c r="I1450"/>
  <c r="K1450" s="1"/>
  <c r="I1451"/>
  <c r="K1451" s="1"/>
  <c r="I1463"/>
  <c r="K1463" s="1"/>
  <c r="I1464"/>
  <c r="K1464"/>
  <c r="I1465"/>
  <c r="K1465" s="1"/>
  <c r="I1466"/>
  <c r="K1466"/>
  <c r="I1478"/>
  <c r="K1478" s="1"/>
  <c r="I1479"/>
  <c r="K1479" s="1"/>
  <c r="I1490"/>
  <c r="K1490" s="1"/>
  <c r="I1492"/>
  <c r="K1492" s="1"/>
  <c r="K1493"/>
  <c r="I1494"/>
  <c r="K1494"/>
  <c r="I1495"/>
  <c r="K1495" s="1"/>
  <c r="I1505"/>
  <c r="K1505"/>
  <c r="I1506"/>
  <c r="K1506" s="1"/>
  <c r="O1506"/>
  <c r="I1507"/>
  <c r="K1507"/>
  <c r="O1507"/>
  <c r="I1508"/>
  <c r="K1508" s="1"/>
  <c r="K1509"/>
  <c r="I1518"/>
  <c r="K1518" s="1"/>
  <c r="I1519"/>
  <c r="K1519" s="1"/>
  <c r="I1520"/>
  <c r="K1520" s="1"/>
  <c r="I1521"/>
  <c r="K1521" s="1"/>
  <c r="K1522"/>
  <c r="I1533"/>
  <c r="K1533"/>
  <c r="I1534"/>
  <c r="K1534" s="1"/>
  <c r="I1545"/>
  <c r="K1545"/>
  <c r="I1546"/>
  <c r="K1546" s="1"/>
  <c r="I1557"/>
  <c r="K1557" s="1"/>
  <c r="I1558"/>
  <c r="K1558" s="1"/>
  <c r="I1559"/>
  <c r="K1559" s="1"/>
  <c r="I1560"/>
  <c r="K1560" s="1"/>
  <c r="I1561"/>
  <c r="K1561"/>
  <c r="I1562"/>
  <c r="K1562" s="1"/>
  <c r="I1576"/>
  <c r="K1576"/>
  <c r="I1577"/>
  <c r="K1577" s="1"/>
  <c r="I1578"/>
  <c r="K1578" s="1"/>
  <c r="K1597"/>
  <c r="K1598"/>
  <c r="K1609"/>
  <c r="K1613" s="1"/>
  <c r="K1618"/>
  <c r="K1621"/>
  <c r="K1625"/>
  <c r="K1628" s="1"/>
  <c r="I1638"/>
  <c r="K1638"/>
  <c r="I1639"/>
  <c r="K1639" s="1"/>
  <c r="I1640"/>
  <c r="K1640" s="1"/>
  <c r="K1652"/>
  <c r="K1653"/>
  <c r="K1654"/>
  <c r="K1682"/>
  <c r="K1685"/>
  <c r="K1686"/>
  <c r="K1687"/>
  <c r="I1688"/>
  <c r="K1688"/>
  <c r="K1699"/>
  <c r="K1700"/>
  <c r="K1701"/>
  <c r="I1702"/>
  <c r="K1702" s="1"/>
  <c r="I1703"/>
  <c r="K1703" s="1"/>
  <c r="K1713"/>
  <c r="K1714"/>
  <c r="I1715"/>
  <c r="K1715"/>
  <c r="K1716"/>
  <c r="K1717"/>
  <c r="K1724"/>
  <c r="K1727"/>
  <c r="I1735"/>
  <c r="K1735" s="1"/>
  <c r="I1737"/>
  <c r="K1737"/>
  <c r="I1738"/>
  <c r="K1738" s="1"/>
  <c r="I1739"/>
  <c r="K1739" s="1"/>
  <c r="I1740"/>
  <c r="K1740" s="1"/>
  <c r="I1741"/>
  <c r="K1741" s="1"/>
  <c r="I1753"/>
  <c r="K1753"/>
  <c r="I1755"/>
  <c r="K1755" s="1"/>
  <c r="I1756"/>
  <c r="K1756"/>
  <c r="I1757"/>
  <c r="K1757" s="1"/>
  <c r="I1758"/>
  <c r="K1758" s="1"/>
  <c r="I1759"/>
  <c r="K1759" s="1"/>
  <c r="I1760"/>
  <c r="K1760" s="1"/>
  <c r="I1771"/>
  <c r="K1771" s="1"/>
  <c r="I1773"/>
  <c r="K1773"/>
  <c r="I1774"/>
  <c r="K1774" s="1"/>
  <c r="I1775"/>
  <c r="K1775"/>
  <c r="I1776"/>
  <c r="K1776" s="1"/>
  <c r="I1777"/>
  <c r="K1777" s="1"/>
  <c r="I1801"/>
  <c r="I1802" s="1"/>
  <c r="K1802" s="1"/>
  <c r="I1809"/>
  <c r="I1810"/>
  <c r="K1810"/>
  <c r="I1817"/>
  <c r="K1817" s="1"/>
  <c r="I1829"/>
  <c r="K1829" s="1"/>
  <c r="I1832"/>
  <c r="K1832" s="1"/>
  <c r="I1833"/>
  <c r="K1833" s="1"/>
  <c r="I1834"/>
  <c r="K1834" s="1"/>
  <c r="I1844"/>
  <c r="K1844"/>
  <c r="I1858"/>
  <c r="K1858" s="1"/>
  <c r="I1865"/>
  <c r="K1865"/>
  <c r="I1866"/>
  <c r="K1866" s="1"/>
  <c r="I1867"/>
  <c r="K1867" s="1"/>
  <c r="I1890"/>
  <c r="K1890" s="1"/>
  <c r="I1891"/>
  <c r="K1891" s="1"/>
  <c r="I1892"/>
  <c r="K1892" s="1"/>
  <c r="I1894"/>
  <c r="K1894"/>
  <c r="I1895"/>
  <c r="K1895" s="1"/>
  <c r="I1896"/>
  <c r="K1896"/>
  <c r="I1908"/>
  <c r="K1908" s="1"/>
  <c r="I1915"/>
  <c r="K1915" s="1"/>
  <c r="I1916"/>
  <c r="K1916" s="1"/>
  <c r="I1917"/>
  <c r="K1917" s="1"/>
  <c r="I1928"/>
  <c r="K1928" s="1"/>
  <c r="I1930"/>
  <c r="K1930" s="1"/>
  <c r="I1931"/>
  <c r="K1931" s="1"/>
  <c r="I1934"/>
  <c r="K1934"/>
  <c r="I1935"/>
  <c r="K1935" s="1"/>
  <c r="I1947"/>
  <c r="K1947"/>
  <c r="I1949"/>
  <c r="K1949" s="1"/>
  <c r="I1950"/>
  <c r="K1950" s="1"/>
  <c r="I1951"/>
  <c r="K1951" s="1"/>
  <c r="I1953"/>
  <c r="K1953" s="1"/>
  <c r="I1954"/>
  <c r="K1954" s="1"/>
  <c r="I1972"/>
  <c r="K1972"/>
  <c r="I1973"/>
  <c r="K1973" s="1"/>
  <c r="I1974"/>
  <c r="K1974" s="1"/>
  <c r="I1975"/>
  <c r="K1975" s="1"/>
  <c r="I1976"/>
  <c r="K1976" s="1"/>
  <c r="I1977"/>
  <c r="K1977"/>
  <c r="I1978"/>
  <c r="K1978" s="1"/>
  <c r="I1996"/>
  <c r="K1996"/>
  <c r="I1997"/>
  <c r="K1997" s="1"/>
  <c r="I1998"/>
  <c r="K1998" s="1"/>
  <c r="I1999"/>
  <c r="K1999"/>
  <c r="I2000"/>
  <c r="K2000" s="1"/>
  <c r="I2001"/>
  <c r="K2001"/>
  <c r="I2002"/>
  <c r="K2002" s="1"/>
  <c r="K2016"/>
  <c r="K2017"/>
  <c r="K2018"/>
  <c r="I2027"/>
  <c r="K2027" s="1"/>
  <c r="I2029"/>
  <c r="K2029" s="1"/>
  <c r="I2030"/>
  <c r="K2030"/>
  <c r="I2031"/>
  <c r="K2031" s="1"/>
  <c r="I2039"/>
  <c r="K2039"/>
  <c r="K2042"/>
  <c r="I2047"/>
  <c r="K2047" s="1"/>
  <c r="I2049"/>
  <c r="K2049" s="1"/>
  <c r="I2050"/>
  <c r="K2050" s="1"/>
  <c r="I2052"/>
  <c r="K2052" s="1"/>
  <c r="I2053"/>
  <c r="K2053" s="1"/>
  <c r="I2054"/>
  <c r="K2054" s="1"/>
  <c r="I2055"/>
  <c r="K2055"/>
  <c r="I2056"/>
  <c r="K2056" s="1"/>
  <c r="I2067"/>
  <c r="K2067"/>
  <c r="I2068"/>
  <c r="K2068" s="1"/>
  <c r="I2069"/>
  <c r="K2069" s="1"/>
  <c r="I2070"/>
  <c r="K2070" s="1"/>
  <c r="I2072"/>
  <c r="K2072" s="1"/>
  <c r="I2073"/>
  <c r="K2073" s="1"/>
  <c r="I2074"/>
  <c r="K2074"/>
  <c r="I2075"/>
  <c r="K2075" s="1"/>
  <c r="I2086"/>
  <c r="K2086" s="1"/>
  <c r="I2087"/>
  <c r="K2087" s="1"/>
  <c r="I2088"/>
  <c r="K2088" s="1"/>
  <c r="H2097"/>
  <c r="I2099"/>
  <c r="K2099" s="1"/>
  <c r="I2100"/>
  <c r="K2100"/>
  <c r="I2101"/>
  <c r="K2101" s="1"/>
  <c r="I2112"/>
  <c r="K2112" s="1"/>
  <c r="K2116" s="1"/>
  <c r="I2125"/>
  <c r="K2125" s="1"/>
  <c r="K2129" s="1"/>
  <c r="I2135"/>
  <c r="K2135" s="1"/>
  <c r="K2139" s="1"/>
  <c r="I2144"/>
  <c r="K2144"/>
  <c r="K2148" s="1"/>
  <c r="I2167"/>
  <c r="K2167" s="1"/>
  <c r="I2168"/>
  <c r="K2168" s="1"/>
  <c r="I2169"/>
  <c r="K2169"/>
  <c r="I2170"/>
  <c r="K2170" s="1"/>
  <c r="K2171"/>
  <c r="I2172"/>
  <c r="K2172"/>
  <c r="K2218"/>
  <c r="I2219"/>
  <c r="K2219" s="1"/>
  <c r="I2220"/>
  <c r="K2220"/>
  <c r="I2221"/>
  <c r="K2221" s="1"/>
  <c r="I2222"/>
  <c r="K2222"/>
  <c r="K2232"/>
  <c r="K2233"/>
  <c r="K2234"/>
  <c r="K2235"/>
  <c r="I2236"/>
  <c r="K2236" s="1"/>
  <c r="I2237"/>
  <c r="K2237" s="1"/>
  <c r="K2263"/>
  <c r="K2265"/>
  <c r="K2266"/>
  <c r="K2267"/>
  <c r="K2268"/>
  <c r="I2307"/>
  <c r="K2307" s="1"/>
  <c r="I2308"/>
  <c r="K2308"/>
  <c r="K2309"/>
  <c r="K2310"/>
  <c r="K2321"/>
  <c r="K2322"/>
  <c r="K2323"/>
  <c r="K2324"/>
  <c r="K2325"/>
  <c r="K2326"/>
  <c r="I2327"/>
  <c r="K2327" s="1"/>
  <c r="I2328"/>
  <c r="K2328" s="1"/>
  <c r="I2361"/>
  <c r="I2362"/>
  <c r="K2363"/>
  <c r="I2368"/>
  <c r="K2368" s="1"/>
  <c r="I2369"/>
  <c r="I2387" s="1"/>
  <c r="K2387" s="1"/>
  <c r="K2369"/>
  <c r="K2370"/>
  <c r="I2371"/>
  <c r="K2371"/>
  <c r="I2372"/>
  <c r="K2372" s="1"/>
  <c r="I2373"/>
  <c r="K2373" s="1"/>
  <c r="K2375"/>
  <c r="I2388"/>
  <c r="K2388" s="1"/>
  <c r="I2424"/>
  <c r="K2424" s="1"/>
  <c r="I2425"/>
  <c r="K2425"/>
  <c r="K2426"/>
  <c r="I2427"/>
  <c r="K2427"/>
  <c r="I2428"/>
  <c r="K2428" s="1"/>
  <c r="I2429"/>
  <c r="K2429" s="1"/>
  <c r="K2430"/>
  <c r="K2431"/>
  <c r="I2466"/>
  <c r="K2466" s="1"/>
  <c r="I2467"/>
  <c r="K2467"/>
  <c r="K2469"/>
  <c r="K2470"/>
  <c r="K2490"/>
  <c r="K2493"/>
  <c r="K2497"/>
  <c r="K2498"/>
  <c r="K2505"/>
  <c r="K2506"/>
  <c r="K2507"/>
  <c r="I2524"/>
  <c r="K2524" s="1"/>
  <c r="I2526"/>
  <c r="K2526" s="1"/>
  <c r="I2529"/>
  <c r="K2529" s="1"/>
  <c r="I2531"/>
  <c r="K2531" s="1"/>
  <c r="K2557"/>
  <c r="I2559"/>
  <c r="K2559" s="1"/>
  <c r="I2560"/>
  <c r="I2591" s="1"/>
  <c r="K2591" s="1"/>
  <c r="I2561"/>
  <c r="K2561" s="1"/>
  <c r="I2562"/>
  <c r="I2593" s="1"/>
  <c r="K2593" s="1"/>
  <c r="I2564"/>
  <c r="I2595" s="1"/>
  <c r="K2595" s="1"/>
  <c r="K2564"/>
  <c r="I2592"/>
  <c r="K2592"/>
  <c r="K2604"/>
  <c r="I2605"/>
  <c r="K2605" s="1"/>
  <c r="I2606"/>
  <c r="K2606" s="1"/>
  <c r="I2607"/>
  <c r="K2607" s="1"/>
  <c r="I2624"/>
  <c r="K2624" s="1"/>
  <c r="K2628" s="1"/>
  <c r="K2629" s="1"/>
  <c r="I2614" s="1"/>
  <c r="K2614" s="1"/>
  <c r="I2625"/>
  <c r="K2625" s="1"/>
  <c r="K2626"/>
  <c r="K2633"/>
  <c r="K2634"/>
  <c r="K2635"/>
  <c r="K2636"/>
  <c r="K2637"/>
  <c r="K2638"/>
  <c r="K2639"/>
  <c r="K2640"/>
  <c r="I2665"/>
  <c r="K2665" s="1"/>
  <c r="I2667"/>
  <c r="K2667"/>
  <c r="I2668"/>
  <c r="K2668" s="1"/>
  <c r="I2669"/>
  <c r="K2669"/>
  <c r="I2670"/>
  <c r="K2670" s="1"/>
  <c r="K2680"/>
  <c r="K2700"/>
  <c r="K2701"/>
  <c r="K2707"/>
  <c r="K2710" s="1"/>
  <c r="K2711" s="1"/>
  <c r="K2703" s="1"/>
  <c r="K2708"/>
  <c r="K2715"/>
  <c r="K2716"/>
  <c r="K2723"/>
  <c r="K2727" s="1"/>
  <c r="K2728" s="1"/>
  <c r="K2717" s="1"/>
  <c r="K2724"/>
  <c r="K2725"/>
  <c r="K2732"/>
  <c r="K2733"/>
  <c r="K2736" s="1"/>
  <c r="K2734"/>
  <c r="K2735"/>
  <c r="K2743"/>
  <c r="K2744"/>
  <c r="K2752"/>
  <c r="K2753"/>
  <c r="K2754"/>
  <c r="K2755"/>
  <c r="K2756"/>
  <c r="K2757"/>
  <c r="I2758"/>
  <c r="K2758" s="1"/>
  <c r="I2759"/>
  <c r="K2759" s="1"/>
  <c r="I2760"/>
  <c r="K2760" s="1"/>
  <c r="K2783"/>
  <c r="K2784"/>
  <c r="K2785"/>
  <c r="K2786"/>
  <c r="K2787"/>
  <c r="K2788"/>
  <c r="I2789"/>
  <c r="K2789" s="1"/>
  <c r="I2790"/>
  <c r="K2790"/>
  <c r="K2798"/>
  <c r="K2799"/>
  <c r="K2807"/>
  <c r="K2808"/>
  <c r="K2810"/>
  <c r="K2811" s="1"/>
  <c r="K2802" s="1"/>
  <c r="K2815"/>
  <c r="K2816"/>
  <c r="K2817"/>
  <c r="K2818"/>
  <c r="K2825"/>
  <c r="K2829" s="1"/>
  <c r="K2830" s="1"/>
  <c r="I2819" s="1"/>
  <c r="K2819" s="1"/>
  <c r="K2826"/>
  <c r="K2827"/>
  <c r="K2843"/>
  <c r="K2844"/>
  <c r="K2845"/>
  <c r="I2908"/>
  <c r="K2847"/>
  <c r="P2847"/>
  <c r="P2880" s="1"/>
  <c r="R2880" s="1"/>
  <c r="R2848"/>
  <c r="K2849"/>
  <c r="P2849"/>
  <c r="P2882" s="1"/>
  <c r="R2882" s="1"/>
  <c r="K2850"/>
  <c r="K2893"/>
  <c r="K3860" s="1"/>
  <c r="K2851"/>
  <c r="P2851"/>
  <c r="R2851"/>
  <c r="P2852"/>
  <c r="R2852" s="1"/>
  <c r="P2853"/>
  <c r="R2853"/>
  <c r="I2854"/>
  <c r="I3005" s="1"/>
  <c r="K3005" s="1"/>
  <c r="O2854"/>
  <c r="O2887" s="1"/>
  <c r="P2854"/>
  <c r="R2854"/>
  <c r="Q2854"/>
  <c r="I2855"/>
  <c r="I3006" s="1"/>
  <c r="K3006" s="1"/>
  <c r="P2855"/>
  <c r="P2888" s="1"/>
  <c r="R2888" s="1"/>
  <c r="I2856"/>
  <c r="I3819" s="1"/>
  <c r="K3819" s="1"/>
  <c r="R2856"/>
  <c r="L2859"/>
  <c r="S2863"/>
  <c r="T2863" s="1"/>
  <c r="K2866"/>
  <c r="K2867"/>
  <c r="K2868"/>
  <c r="H2869"/>
  <c r="H2872" s="1"/>
  <c r="K2869"/>
  <c r="P2870"/>
  <c r="R2870" s="1"/>
  <c r="K2871"/>
  <c r="P2871"/>
  <c r="R2871" s="1"/>
  <c r="I2872"/>
  <c r="K2872" s="1"/>
  <c r="P2872"/>
  <c r="R2872"/>
  <c r="P2873"/>
  <c r="R2873" s="1"/>
  <c r="K2880"/>
  <c r="K2891" s="1"/>
  <c r="P2881"/>
  <c r="R2881" s="1"/>
  <c r="L2883"/>
  <c r="O2884"/>
  <c r="P2886"/>
  <c r="R2886" s="1"/>
  <c r="O2888"/>
  <c r="R2889"/>
  <c r="K2896"/>
  <c r="T2896"/>
  <c r="S2897"/>
  <c r="L2898"/>
  <c r="H2905"/>
  <c r="I2905"/>
  <c r="K2905" s="1"/>
  <c r="H2906"/>
  <c r="I2906"/>
  <c r="I3029" s="1"/>
  <c r="K3029" s="1"/>
  <c r="K2906"/>
  <c r="H2907"/>
  <c r="I2907"/>
  <c r="K2907"/>
  <c r="H2908"/>
  <c r="H2909"/>
  <c r="H2910"/>
  <c r="I2910"/>
  <c r="I2936" s="1"/>
  <c r="K2936" s="1"/>
  <c r="K2910"/>
  <c r="H2911"/>
  <c r="I2911"/>
  <c r="K2911"/>
  <c r="K2912"/>
  <c r="H2913"/>
  <c r="H2915" s="1"/>
  <c r="I2913"/>
  <c r="I2915" s="1"/>
  <c r="K2913"/>
  <c r="H2917"/>
  <c r="I2917"/>
  <c r="K2917" s="1"/>
  <c r="L2920"/>
  <c r="I2923"/>
  <c r="K2925"/>
  <c r="I2931"/>
  <c r="I2941" s="1"/>
  <c r="K2935"/>
  <c r="M2935"/>
  <c r="I2939"/>
  <c r="I2956"/>
  <c r="K2956" s="1"/>
  <c r="K2957"/>
  <c r="M2957"/>
  <c r="N2957" s="1"/>
  <c r="L2964"/>
  <c r="I2974"/>
  <c r="K2974" s="1"/>
  <c r="K2984"/>
  <c r="I2986"/>
  <c r="K2986" s="1"/>
  <c r="I2995"/>
  <c r="K2995" s="1"/>
  <c r="I2996"/>
  <c r="K2996" s="1"/>
  <c r="I2997"/>
  <c r="K2997" s="1"/>
  <c r="I2998"/>
  <c r="K2998" s="1"/>
  <c r="I2999"/>
  <c r="K2999"/>
  <c r="I3000"/>
  <c r="K3000" s="1"/>
  <c r="I3001"/>
  <c r="K3001"/>
  <c r="I3002"/>
  <c r="K3002" s="1"/>
  <c r="K3019" s="1"/>
  <c r="I3007"/>
  <c r="K3007" s="1"/>
  <c r="L3011"/>
  <c r="L3022"/>
  <c r="I3028"/>
  <c r="K3028" s="1"/>
  <c r="I3035"/>
  <c r="K3035" s="1"/>
  <c r="I3036"/>
  <c r="K3036" s="1"/>
  <c r="L3042"/>
  <c r="L3043"/>
  <c r="K3046"/>
  <c r="I3053"/>
  <c r="K3053" s="1"/>
  <c r="L3062"/>
  <c r="R3071"/>
  <c r="R3074"/>
  <c r="L3080"/>
  <c r="S3080"/>
  <c r="K3088"/>
  <c r="M3094"/>
  <c r="K3098"/>
  <c r="I3101"/>
  <c r="P3494" s="1"/>
  <c r="R3494" s="1"/>
  <c r="L3105"/>
  <c r="I3112"/>
  <c r="K3112" s="1"/>
  <c r="P3112"/>
  <c r="K3113"/>
  <c r="P3113"/>
  <c r="R3113" s="1"/>
  <c r="S3118"/>
  <c r="L3119"/>
  <c r="S3119"/>
  <c r="T3119"/>
  <c r="L3122"/>
  <c r="R3126"/>
  <c r="K3132"/>
  <c r="L3133" s="1"/>
  <c r="S3133"/>
  <c r="I3139"/>
  <c r="K3139"/>
  <c r="I3140"/>
  <c r="K3150"/>
  <c r="K3151"/>
  <c r="M3154"/>
  <c r="I3158"/>
  <c r="K3158" s="1"/>
  <c r="K3169"/>
  <c r="I3170"/>
  <c r="I3181" s="1"/>
  <c r="K3181" s="1"/>
  <c r="K3180"/>
  <c r="K3191"/>
  <c r="K3192"/>
  <c r="K3206"/>
  <c r="I3207"/>
  <c r="K3207"/>
  <c r="K3217"/>
  <c r="J3222"/>
  <c r="I3222"/>
  <c r="I3335"/>
  <c r="K3230"/>
  <c r="I3231"/>
  <c r="K3231" s="1"/>
  <c r="K3240"/>
  <c r="K3241"/>
  <c r="L3244"/>
  <c r="I3247"/>
  <c r="I3248"/>
  <c r="K3248" s="1"/>
  <c r="I3249"/>
  <c r="K3249" s="1"/>
  <c r="K3257"/>
  <c r="I3258"/>
  <c r="K3258" s="1"/>
  <c r="K3289"/>
  <c r="K3290"/>
  <c r="L3294"/>
  <c r="K3306"/>
  <c r="K3307"/>
  <c r="K3308"/>
  <c r="K3309"/>
  <c r="K3312"/>
  <c r="K3313"/>
  <c r="L3313"/>
  <c r="K3314"/>
  <c r="N3314"/>
  <c r="K3315"/>
  <c r="K3316"/>
  <c r="K3345"/>
  <c r="I3351"/>
  <c r="K3351"/>
  <c r="I3352"/>
  <c r="K3352" s="1"/>
  <c r="I3353"/>
  <c r="K3353"/>
  <c r="K3354"/>
  <c r="J3368"/>
  <c r="I3376"/>
  <c r="K3376"/>
  <c r="K3384"/>
  <c r="K3389"/>
  <c r="K3396"/>
  <c r="L3399"/>
  <c r="M3399" s="1"/>
  <c r="N3399" s="1"/>
  <c r="O3399" s="1"/>
  <c r="P3399"/>
  <c r="I3405"/>
  <c r="I3424" s="1"/>
  <c r="I3407"/>
  <c r="I3426" s="1"/>
  <c r="H3415"/>
  <c r="I3415"/>
  <c r="K3415" s="1"/>
  <c r="L3415"/>
  <c r="L3418"/>
  <c r="M3418" s="1"/>
  <c r="N3418" s="1"/>
  <c r="K3436"/>
  <c r="K3438"/>
  <c r="I3454"/>
  <c r="I3454" i="27" s="1"/>
  <c r="K3454" s="1"/>
  <c r="K3455" i="11"/>
  <c r="I3464"/>
  <c r="K3464"/>
  <c r="I3465"/>
  <c r="K3465" s="1"/>
  <c r="K3467"/>
  <c r="I3476"/>
  <c r="K3476" s="1"/>
  <c r="I3478"/>
  <c r="K3495"/>
  <c r="P3495"/>
  <c r="R3495" s="1"/>
  <c r="I3496"/>
  <c r="I3497"/>
  <c r="K3497" s="1"/>
  <c r="P3497"/>
  <c r="R3497" s="1"/>
  <c r="S3501"/>
  <c r="I3503"/>
  <c r="P3503"/>
  <c r="R3503" s="1"/>
  <c r="I3504"/>
  <c r="I3505"/>
  <c r="P3505"/>
  <c r="R3505" s="1"/>
  <c r="I3506"/>
  <c r="K3513"/>
  <c r="K3515"/>
  <c r="K3521"/>
  <c r="K3524" s="1"/>
  <c r="L3524" s="1"/>
  <c r="I3533"/>
  <c r="K3533"/>
  <c r="L3539"/>
  <c r="K3545"/>
  <c r="K3547" s="1"/>
  <c r="M3547" s="1"/>
  <c r="H3553"/>
  <c r="I3553"/>
  <c r="K3553" s="1"/>
  <c r="K3556" s="1"/>
  <c r="M3556"/>
  <c r="L3561"/>
  <c r="M3561"/>
  <c r="N3561"/>
  <c r="I3562"/>
  <c r="K3562" s="1"/>
  <c r="N3562"/>
  <c r="I3563"/>
  <c r="K3563" s="1"/>
  <c r="M3567"/>
  <c r="K3578"/>
  <c r="K3579"/>
  <c r="K3580"/>
  <c r="L3584"/>
  <c r="I3587"/>
  <c r="K3587" s="1"/>
  <c r="I3605"/>
  <c r="J3605"/>
  <c r="K3605"/>
  <c r="L3605"/>
  <c r="K3612"/>
  <c r="K3613"/>
  <c r="P3613"/>
  <c r="R3613" s="1"/>
  <c r="I3614"/>
  <c r="I3614" i="27" s="1"/>
  <c r="I3645" s="1"/>
  <c r="K3645" s="1"/>
  <c r="P3614" i="11"/>
  <c r="R3614"/>
  <c r="I3622"/>
  <c r="K3622" s="1"/>
  <c r="I3624"/>
  <c r="P3625" s="1"/>
  <c r="K3634"/>
  <c r="K3635"/>
  <c r="R3635"/>
  <c r="R3642"/>
  <c r="K3643"/>
  <c r="P3643"/>
  <c r="R3643"/>
  <c r="I3644"/>
  <c r="K3644" s="1"/>
  <c r="I3662"/>
  <c r="I3669"/>
  <c r="K3669"/>
  <c r="R3665"/>
  <c r="R3668" s="1"/>
  <c r="R3669" s="1"/>
  <c r="R3671" s="1"/>
  <c r="I3666"/>
  <c r="I3719"/>
  <c r="I3667"/>
  <c r="K3667" s="1"/>
  <c r="K3670"/>
  <c r="K3671"/>
  <c r="K3672"/>
  <c r="D3674"/>
  <c r="I3683"/>
  <c r="K3683" s="1"/>
  <c r="I3685"/>
  <c r="K3685"/>
  <c r="L3689"/>
  <c r="M3689"/>
  <c r="I3694"/>
  <c r="K3694"/>
  <c r="K3699"/>
  <c r="K3708"/>
  <c r="K3710"/>
  <c r="K3718"/>
  <c r="H3719"/>
  <c r="K3720"/>
  <c r="K3721"/>
  <c r="K3722"/>
  <c r="I3725"/>
  <c r="K3725" s="1"/>
  <c r="K3739"/>
  <c r="K3740"/>
  <c r="L3744"/>
  <c r="K3757"/>
  <c r="I3758"/>
  <c r="K3758"/>
  <c r="H3759"/>
  <c r="K3759"/>
  <c r="K3765"/>
  <c r="K3766"/>
  <c r="K3770"/>
  <c r="K3771"/>
  <c r="K3777"/>
  <c r="K3778"/>
  <c r="K3786"/>
  <c r="K3787"/>
  <c r="I3804"/>
  <c r="K3804"/>
  <c r="I3805"/>
  <c r="K3805" s="1"/>
  <c r="I3806"/>
  <c r="K3806"/>
  <c r="I3808"/>
  <c r="K3808" s="1"/>
  <c r="K3809"/>
  <c r="K3859"/>
  <c r="I3810"/>
  <c r="K3810" s="1"/>
  <c r="I3811"/>
  <c r="K3811"/>
  <c r="I3812"/>
  <c r="K3812" s="1"/>
  <c r="K3846" s="1"/>
  <c r="K3858" s="1"/>
  <c r="I3813"/>
  <c r="K3813" s="1"/>
  <c r="K3814"/>
  <c r="K3816"/>
  <c r="K3882" s="1"/>
  <c r="K3817"/>
  <c r="I3818"/>
  <c r="K3818" s="1"/>
  <c r="K3883" s="1"/>
  <c r="L3824"/>
  <c r="I3833"/>
  <c r="K3833"/>
  <c r="I3834"/>
  <c r="K3834"/>
  <c r="I3835"/>
  <c r="K3835"/>
  <c r="I3836"/>
  <c r="K3836"/>
  <c r="H3847"/>
  <c r="K3847"/>
  <c r="L3850"/>
  <c r="K3861"/>
  <c r="L3866"/>
  <c r="K3884"/>
  <c r="L3888"/>
  <c r="K3899"/>
  <c r="I3902"/>
  <c r="K3902" s="1"/>
  <c r="I3903"/>
  <c r="K3903" s="1"/>
  <c r="L3908"/>
  <c r="I3918"/>
  <c r="K3918" s="1"/>
  <c r="I3919"/>
  <c r="K3919" s="1"/>
  <c r="I3929"/>
  <c r="K3929"/>
  <c r="I3930"/>
  <c r="K3930" s="1"/>
  <c r="I3931"/>
  <c r="K3931"/>
  <c r="I3932"/>
  <c r="K3932" s="1"/>
  <c r="K3942"/>
  <c r="I3943"/>
  <c r="K3943"/>
  <c r="L3950"/>
  <c r="L3951"/>
  <c r="I3958"/>
  <c r="K3958"/>
  <c r="K3983"/>
  <c r="K3984"/>
  <c r="L3988"/>
  <c r="K4004"/>
  <c r="K4019"/>
  <c r="J4030"/>
  <c r="K4039"/>
  <c r="I4048"/>
  <c r="K4048" s="1"/>
  <c r="K4063"/>
  <c r="F4064"/>
  <c r="K4064" s="1"/>
  <c r="K4070"/>
  <c r="K4072"/>
  <c r="K4073"/>
  <c r="I4074"/>
  <c r="K4074" s="1"/>
  <c r="K4075"/>
  <c r="K4078"/>
  <c r="K4079"/>
  <c r="K4080"/>
  <c r="K4081"/>
  <c r="K4082"/>
  <c r="K4083"/>
  <c r="K4084"/>
  <c r="K4085"/>
  <c r="K4086"/>
  <c r="Z38" i="1"/>
  <c r="Z39" s="1"/>
  <c r="AC39" s="1"/>
  <c r="Z19"/>
  <c r="AC19" s="1"/>
  <c r="C80" s="1"/>
  <c r="I1350" s="1"/>
  <c r="K1350" s="1"/>
  <c r="T12" i="4"/>
  <c r="Z29" i="1"/>
  <c r="AC29" s="1"/>
  <c r="U14" i="4"/>
  <c r="V14"/>
  <c r="U16"/>
  <c r="U20" s="1"/>
  <c r="U17"/>
  <c r="U18"/>
  <c r="U19"/>
  <c r="E21"/>
  <c r="H25"/>
  <c r="H3" i="27"/>
  <c r="J3"/>
  <c r="O3"/>
  <c r="Q3"/>
  <c r="U3"/>
  <c r="W3"/>
  <c r="AG6"/>
  <c r="AK8"/>
  <c r="X9"/>
  <c r="X10" s="1"/>
  <c r="Z9"/>
  <c r="AC9"/>
  <c r="C68" s="1"/>
  <c r="I294" s="1"/>
  <c r="K294" s="1"/>
  <c r="K303" s="1"/>
  <c r="K305" s="1"/>
  <c r="AK9"/>
  <c r="C10"/>
  <c r="P348" s="1"/>
  <c r="R348"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P11"/>
  <c r="R11" s="1"/>
  <c r="X11"/>
  <c r="X12"/>
  <c r="X13" s="1"/>
  <c r="X14" s="1"/>
  <c r="X15" s="1"/>
  <c r="AK11"/>
  <c r="C12"/>
  <c r="P192" s="1"/>
  <c r="R192" s="1"/>
  <c r="W12"/>
  <c r="W36" s="1"/>
  <c r="AK12"/>
  <c r="C13"/>
  <c r="W13"/>
  <c r="W37" s="1"/>
  <c r="AK13"/>
  <c r="C14"/>
  <c r="I1103" s="1"/>
  <c r="K1103" s="1"/>
  <c r="D14"/>
  <c r="W14"/>
  <c r="AK14"/>
  <c r="C15"/>
  <c r="W15"/>
  <c r="AK15"/>
  <c r="C16"/>
  <c r="D16"/>
  <c r="I1134" s="1"/>
  <c r="K1134" s="1"/>
  <c r="X16"/>
  <c r="X17" s="1"/>
  <c r="Z16"/>
  <c r="AC16" s="1"/>
  <c r="C78" s="1"/>
  <c r="AK16"/>
  <c r="C17"/>
  <c r="D17"/>
  <c r="AK17"/>
  <c r="C18"/>
  <c r="P24" s="1"/>
  <c r="R24" s="1"/>
  <c r="X18"/>
  <c r="X29"/>
  <c r="Z18"/>
  <c r="AC18" s="1"/>
  <c r="C80" s="1"/>
  <c r="AK18"/>
  <c r="W19"/>
  <c r="X19"/>
  <c r="X20" s="1"/>
  <c r="Z19"/>
  <c r="AK19"/>
  <c r="W20"/>
  <c r="AK20"/>
  <c r="X21"/>
  <c r="AC21"/>
  <c r="C83"/>
  <c r="I1285" s="1"/>
  <c r="K1285" s="1"/>
  <c r="AK21"/>
  <c r="AC22"/>
  <c r="C84" s="1"/>
  <c r="AK22"/>
  <c r="X23"/>
  <c r="Z23"/>
  <c r="AC23" s="1"/>
  <c r="C85" s="1"/>
  <c r="AK23"/>
  <c r="AC24"/>
  <c r="C86" s="1"/>
  <c r="P689" s="1"/>
  <c r="R689" s="1"/>
  <c r="AK24"/>
  <c r="C25"/>
  <c r="I783" s="1"/>
  <c r="K783" s="1"/>
  <c r="AC25"/>
  <c r="C87" s="1"/>
  <c r="I2166" s="1"/>
  <c r="K2166" s="1"/>
  <c r="AK25"/>
  <c r="C26"/>
  <c r="I83"/>
  <c r="K83" s="1"/>
  <c r="I111"/>
  <c r="K111" s="1"/>
  <c r="AC26"/>
  <c r="C88" s="1"/>
  <c r="AK26"/>
  <c r="C27"/>
  <c r="P25" s="1"/>
  <c r="R25" s="1"/>
  <c r="AC27"/>
  <c r="C89" s="1"/>
  <c r="AK27"/>
  <c r="AC28"/>
  <c r="C90" s="1"/>
  <c r="AK28"/>
  <c r="C29"/>
  <c r="W29"/>
  <c r="AK29"/>
  <c r="C30"/>
  <c r="D30"/>
  <c r="AC30"/>
  <c r="C136" s="1"/>
  <c r="I1168" s="1"/>
  <c r="K1168" s="1"/>
  <c r="AK30"/>
  <c r="C31"/>
  <c r="D31"/>
  <c r="I1031" s="1"/>
  <c r="K1031" s="1"/>
  <c r="AK31"/>
  <c r="D32"/>
  <c r="AC32"/>
  <c r="C138" s="1"/>
  <c r="AK32"/>
  <c r="D33"/>
  <c r="AC33"/>
  <c r="C137" s="1"/>
  <c r="I1544" s="1"/>
  <c r="K1544" s="1"/>
  <c r="AK33"/>
  <c r="W34"/>
  <c r="Y34"/>
  <c r="AK34"/>
  <c r="W35"/>
  <c r="AK35"/>
  <c r="AK36"/>
  <c r="AC38"/>
  <c r="C140" s="1"/>
  <c r="D40"/>
  <c r="C41"/>
  <c r="I55"/>
  <c r="K55" s="1"/>
  <c r="C61"/>
  <c r="D61"/>
  <c r="I123" s="1"/>
  <c r="K123" s="1"/>
  <c r="K126" s="1"/>
  <c r="K128" s="1"/>
  <c r="K129" s="1"/>
  <c r="C66"/>
  <c r="C67"/>
  <c r="P68"/>
  <c r="R68" s="1"/>
  <c r="I81"/>
  <c r="K81"/>
  <c r="I82"/>
  <c r="K82" s="1"/>
  <c r="P82"/>
  <c r="R82" s="1"/>
  <c r="I96"/>
  <c r="K96" s="1"/>
  <c r="I110"/>
  <c r="K110" s="1"/>
  <c r="K114" s="1"/>
  <c r="K116" s="1"/>
  <c r="K118" s="1"/>
  <c r="K119" s="1"/>
  <c r="K132"/>
  <c r="K133" s="1"/>
  <c r="C139"/>
  <c r="I140"/>
  <c r="K140" s="1"/>
  <c r="C141"/>
  <c r="I152"/>
  <c r="K152" s="1"/>
  <c r="I154"/>
  <c r="K154" s="1"/>
  <c r="K156"/>
  <c r="I167"/>
  <c r="K167"/>
  <c r="I175"/>
  <c r="K175" s="1"/>
  <c r="I184"/>
  <c r="K184" s="1"/>
  <c r="K185"/>
  <c r="I198"/>
  <c r="K198" s="1"/>
  <c r="P211"/>
  <c r="R211"/>
  <c r="P213"/>
  <c r="R213"/>
  <c r="P214"/>
  <c r="R214"/>
  <c r="P215"/>
  <c r="R215"/>
  <c r="P216"/>
  <c r="R216"/>
  <c r="P217"/>
  <c r="R217"/>
  <c r="P218"/>
  <c r="R218"/>
  <c r="I240"/>
  <c r="K240"/>
  <c r="K244"/>
  <c r="K255"/>
  <c r="K256"/>
  <c r="P267"/>
  <c r="R267" s="1"/>
  <c r="K282"/>
  <c r="P285"/>
  <c r="R285" s="1"/>
  <c r="I299"/>
  <c r="K299" s="1"/>
  <c r="P309"/>
  <c r="R309"/>
  <c r="H310"/>
  <c r="I314"/>
  <c r="K314" s="1"/>
  <c r="H332"/>
  <c r="F334"/>
  <c r="H334"/>
  <c r="F335"/>
  <c r="P338"/>
  <c r="R338" s="1"/>
  <c r="H352"/>
  <c r="F354"/>
  <c r="H354"/>
  <c r="F355"/>
  <c r="I356"/>
  <c r="K356" s="1"/>
  <c r="P366"/>
  <c r="R366"/>
  <c r="H376"/>
  <c r="F378"/>
  <c r="H378"/>
  <c r="I383"/>
  <c r="K383" s="1"/>
  <c r="H407"/>
  <c r="F409"/>
  <c r="H409"/>
  <c r="P430"/>
  <c r="R430" s="1"/>
  <c r="R443" s="1"/>
  <c r="R445" s="1"/>
  <c r="P431"/>
  <c r="R431" s="1"/>
  <c r="P432"/>
  <c r="R432"/>
  <c r="P438"/>
  <c r="R438" s="1"/>
  <c r="P439"/>
  <c r="R439"/>
  <c r="P440"/>
  <c r="R440" s="1"/>
  <c r="I448"/>
  <c r="K448" s="1"/>
  <c r="P449"/>
  <c r="R449" s="1"/>
  <c r="P450"/>
  <c r="R450"/>
  <c r="P451"/>
  <c r="R451" s="1"/>
  <c r="P456"/>
  <c r="R456"/>
  <c r="P457"/>
  <c r="R457" s="1"/>
  <c r="P458"/>
  <c r="R458" s="1"/>
  <c r="P467"/>
  <c r="R467" s="1"/>
  <c r="P468"/>
  <c r="R468"/>
  <c r="P469"/>
  <c r="R469" s="1"/>
  <c r="I474"/>
  <c r="K474"/>
  <c r="P474"/>
  <c r="R474" s="1"/>
  <c r="P475"/>
  <c r="R475"/>
  <c r="P476"/>
  <c r="R476" s="1"/>
  <c r="I482"/>
  <c r="K482" s="1"/>
  <c r="I484"/>
  <c r="K484"/>
  <c r="P491"/>
  <c r="R491" s="1"/>
  <c r="P493"/>
  <c r="R493" s="1"/>
  <c r="P494"/>
  <c r="R494" s="1"/>
  <c r="P495"/>
  <c r="R495" s="1"/>
  <c r="R499"/>
  <c r="K507"/>
  <c r="P509"/>
  <c r="R509" s="1"/>
  <c r="P511"/>
  <c r="R511"/>
  <c r="P512"/>
  <c r="R512" s="1"/>
  <c r="P513"/>
  <c r="R513" s="1"/>
  <c r="R517"/>
  <c r="I520"/>
  <c r="K520" s="1"/>
  <c r="J527"/>
  <c r="J528"/>
  <c r="J529"/>
  <c r="P529"/>
  <c r="R529" s="1"/>
  <c r="J530"/>
  <c r="J531"/>
  <c r="P531"/>
  <c r="R531" s="1"/>
  <c r="P532"/>
  <c r="R532"/>
  <c r="P533"/>
  <c r="R533" s="1"/>
  <c r="I535"/>
  <c r="K535" s="1"/>
  <c r="R537"/>
  <c r="J543"/>
  <c r="J544"/>
  <c r="J545"/>
  <c r="J546"/>
  <c r="J547"/>
  <c r="P553"/>
  <c r="R553" s="1"/>
  <c r="P554"/>
  <c r="R554" s="1"/>
  <c r="P555"/>
  <c r="R555"/>
  <c r="I559"/>
  <c r="K559" s="1"/>
  <c r="P560"/>
  <c r="R560" s="1"/>
  <c r="P561"/>
  <c r="R561"/>
  <c r="P562"/>
  <c r="R562" s="1"/>
  <c r="J568"/>
  <c r="J569"/>
  <c r="J570"/>
  <c r="J571"/>
  <c r="J572"/>
  <c r="I575"/>
  <c r="K575" s="1"/>
  <c r="I578"/>
  <c r="K578" s="1"/>
  <c r="J583"/>
  <c r="J584"/>
  <c r="J585"/>
  <c r="J586"/>
  <c r="J587"/>
  <c r="I590"/>
  <c r="K590"/>
  <c r="I592"/>
  <c r="K592" s="1"/>
  <c r="C593"/>
  <c r="P600"/>
  <c r="R600" s="1"/>
  <c r="P607"/>
  <c r="R607" s="1"/>
  <c r="P618"/>
  <c r="R618"/>
  <c r="P620"/>
  <c r="R620" s="1"/>
  <c r="P630"/>
  <c r="R630" s="1"/>
  <c r="P636"/>
  <c r="R636" s="1"/>
  <c r="P637"/>
  <c r="R637" s="1"/>
  <c r="P638"/>
  <c r="R638"/>
  <c r="I643"/>
  <c r="K643" s="1"/>
  <c r="I644"/>
  <c r="K644"/>
  <c r="K645"/>
  <c r="P648"/>
  <c r="R648" s="1"/>
  <c r="R652" s="1"/>
  <c r="P658"/>
  <c r="R658"/>
  <c r="R662" s="1"/>
  <c r="I662"/>
  <c r="K662" s="1"/>
  <c r="K667" s="1"/>
  <c r="K669" s="1"/>
  <c r="K670" s="1"/>
  <c r="K671" s="1"/>
  <c r="K672" s="1"/>
  <c r="K673" s="1"/>
  <c r="I663"/>
  <c r="K663" s="1"/>
  <c r="K664"/>
  <c r="P668"/>
  <c r="R668" s="1"/>
  <c r="R672" s="1"/>
  <c r="P679"/>
  <c r="R679" s="1"/>
  <c r="R683" s="1"/>
  <c r="I680"/>
  <c r="K680"/>
  <c r="I681"/>
  <c r="K681" s="1"/>
  <c r="I683"/>
  <c r="K683" s="1"/>
  <c r="I689"/>
  <c r="K689"/>
  <c r="P690"/>
  <c r="R690"/>
  <c r="P691"/>
  <c r="R691" s="1"/>
  <c r="P692"/>
  <c r="R692" s="1"/>
  <c r="P693"/>
  <c r="R693" s="1"/>
  <c r="P694"/>
  <c r="R694" s="1"/>
  <c r="P695"/>
  <c r="R695" s="1"/>
  <c r="P705"/>
  <c r="R705" s="1"/>
  <c r="I706"/>
  <c r="K706"/>
  <c r="P707"/>
  <c r="R707"/>
  <c r="I708"/>
  <c r="K708" s="1"/>
  <c r="P708"/>
  <c r="R708"/>
  <c r="P709"/>
  <c r="R709" s="1"/>
  <c r="P710"/>
  <c r="R710" s="1"/>
  <c r="P721"/>
  <c r="R721" s="1"/>
  <c r="I722"/>
  <c r="K722"/>
  <c r="I743" s="1"/>
  <c r="K743" s="1"/>
  <c r="I723"/>
  <c r="K723" s="1"/>
  <c r="P723"/>
  <c r="R723"/>
  <c r="K724"/>
  <c r="P724"/>
  <c r="R724" s="1"/>
  <c r="I725"/>
  <c r="K725"/>
  <c r="P725"/>
  <c r="R725" s="1"/>
  <c r="I726"/>
  <c r="K726" s="1"/>
  <c r="P726"/>
  <c r="R726" s="1"/>
  <c r="I727"/>
  <c r="K727" s="1"/>
  <c r="K728"/>
  <c r="K729"/>
  <c r="R740"/>
  <c r="R745"/>
  <c r="I746"/>
  <c r="K746" s="1"/>
  <c r="I747"/>
  <c r="K747"/>
  <c r="I748"/>
  <c r="K748" s="1"/>
  <c r="I749"/>
  <c r="K749"/>
  <c r="K750"/>
  <c r="K751"/>
  <c r="K752"/>
  <c r="R753"/>
  <c r="A754"/>
  <c r="P762"/>
  <c r="R762" s="1"/>
  <c r="R769" s="1"/>
  <c r="R771" s="1"/>
  <c r="P764"/>
  <c r="R764" s="1"/>
  <c r="I775"/>
  <c r="K775" s="1"/>
  <c r="R779"/>
  <c r="R792" s="1"/>
  <c r="P782"/>
  <c r="R782" s="1"/>
  <c r="R783"/>
  <c r="R784"/>
  <c r="R785"/>
  <c r="R786"/>
  <c r="R788"/>
  <c r="R789"/>
  <c r="R798"/>
  <c r="R810" s="1"/>
  <c r="P801"/>
  <c r="R801" s="1"/>
  <c r="R802"/>
  <c r="R803"/>
  <c r="R804"/>
  <c r="R805"/>
  <c r="R806"/>
  <c r="R807"/>
  <c r="K817"/>
  <c r="K818"/>
  <c r="K819"/>
  <c r="K820"/>
  <c r="I822"/>
  <c r="K822" s="1"/>
  <c r="K823"/>
  <c r="R834"/>
  <c r="R847" s="1"/>
  <c r="K835"/>
  <c r="K836"/>
  <c r="K837"/>
  <c r="P837"/>
  <c r="R837" s="1"/>
  <c r="K838"/>
  <c r="R838"/>
  <c r="R839"/>
  <c r="I840"/>
  <c r="K840" s="1"/>
  <c r="R840"/>
  <c r="K841"/>
  <c r="R841"/>
  <c r="I843"/>
  <c r="K843" s="1"/>
  <c r="R843"/>
  <c r="R844"/>
  <c r="K853"/>
  <c r="K854"/>
  <c r="H855"/>
  <c r="K855"/>
  <c r="P855"/>
  <c r="R855" s="1"/>
  <c r="K856"/>
  <c r="P856"/>
  <c r="R856" s="1"/>
  <c r="R858" s="1"/>
  <c r="R860" s="1"/>
  <c r="I857"/>
  <c r="K857" s="1"/>
  <c r="H859"/>
  <c r="K859"/>
  <c r="R869"/>
  <c r="R875" s="1"/>
  <c r="R870"/>
  <c r="R871"/>
  <c r="I887"/>
  <c r="K887"/>
  <c r="I915"/>
  <c r="K915"/>
  <c r="I916"/>
  <c r="K916" s="1"/>
  <c r="I917"/>
  <c r="K917"/>
  <c r="I918"/>
  <c r="K918" s="1"/>
  <c r="I919"/>
  <c r="K919" s="1"/>
  <c r="I920"/>
  <c r="K920" s="1"/>
  <c r="I949"/>
  <c r="K949"/>
  <c r="I950"/>
  <c r="K950" s="1"/>
  <c r="I951"/>
  <c r="K951"/>
  <c r="I952"/>
  <c r="K952" s="1"/>
  <c r="I953"/>
  <c r="K953"/>
  <c r="I954"/>
  <c r="K954" s="1"/>
  <c r="I955"/>
  <c r="K955" s="1"/>
  <c r="I979"/>
  <c r="K979"/>
  <c r="I980"/>
  <c r="K980" s="1"/>
  <c r="I981"/>
  <c r="K981"/>
  <c r="I982"/>
  <c r="K982" s="1"/>
  <c r="I983"/>
  <c r="K983"/>
  <c r="I984"/>
  <c r="K984" s="1"/>
  <c r="I1013"/>
  <c r="K1013" s="1"/>
  <c r="I1015"/>
  <c r="K1015"/>
  <c r="I1016"/>
  <c r="K1016" s="1"/>
  <c r="I1017"/>
  <c r="K1017"/>
  <c r="I1018"/>
  <c r="K1018" s="1"/>
  <c r="I1019"/>
  <c r="K1019"/>
  <c r="I1020"/>
  <c r="K1020" s="1"/>
  <c r="I1030"/>
  <c r="K1030" s="1"/>
  <c r="I1032"/>
  <c r="K1032"/>
  <c r="I1033"/>
  <c r="K1033" s="1"/>
  <c r="I1034"/>
  <c r="K1034"/>
  <c r="I1035"/>
  <c r="K1035" s="1"/>
  <c r="I1045"/>
  <c r="K1045"/>
  <c r="I1046"/>
  <c r="K1046" s="1"/>
  <c r="I1047"/>
  <c r="K1047" s="1"/>
  <c r="I1048"/>
  <c r="K1048" s="1"/>
  <c r="I1049"/>
  <c r="K1049" s="1"/>
  <c r="I1050"/>
  <c r="K1050" s="1"/>
  <c r="I1060"/>
  <c r="K1060"/>
  <c r="I1061"/>
  <c r="K1061" s="1"/>
  <c r="I1062"/>
  <c r="K1062"/>
  <c r="I1063"/>
  <c r="K1063" s="1"/>
  <c r="I1064"/>
  <c r="K1064" s="1"/>
  <c r="K1086"/>
  <c r="I1087"/>
  <c r="K1087" s="1"/>
  <c r="K1088"/>
  <c r="I1089"/>
  <c r="K1089"/>
  <c r="K1090"/>
  <c r="K1091"/>
  <c r="I1101"/>
  <c r="K1101"/>
  <c r="I1102"/>
  <c r="K1102" s="1"/>
  <c r="I1104"/>
  <c r="K1104" s="1"/>
  <c r="I1114"/>
  <c r="K1114" s="1"/>
  <c r="I1115"/>
  <c r="K1115" s="1"/>
  <c r="I1116"/>
  <c r="K1116" s="1"/>
  <c r="I1131"/>
  <c r="K1131"/>
  <c r="K1132"/>
  <c r="K1133"/>
  <c r="I1146"/>
  <c r="K1146" s="1"/>
  <c r="I1156"/>
  <c r="K1156"/>
  <c r="I1172"/>
  <c r="K1172" s="1"/>
  <c r="I1174"/>
  <c r="K1174" s="1"/>
  <c r="I1175"/>
  <c r="K1175" s="1"/>
  <c r="I1177"/>
  <c r="K1177"/>
  <c r="I1181"/>
  <c r="K1181" s="1"/>
  <c r="I1182"/>
  <c r="K1182"/>
  <c r="I1183"/>
  <c r="K1183" s="1"/>
  <c r="I1184"/>
  <c r="K1184" s="1"/>
  <c r="I1198"/>
  <c r="K1198"/>
  <c r="I1203"/>
  <c r="K1203" s="1"/>
  <c r="I1205"/>
  <c r="K1205" s="1"/>
  <c r="I1206"/>
  <c r="K1206" s="1"/>
  <c r="I1208"/>
  <c r="K1208"/>
  <c r="I1219"/>
  <c r="K1219"/>
  <c r="I1220"/>
  <c r="K1220" s="1"/>
  <c r="I1223"/>
  <c r="K1223" s="1"/>
  <c r="I1236"/>
  <c r="K1236" s="1"/>
  <c r="I1238"/>
  <c r="K1238" s="1"/>
  <c r="I1256"/>
  <c r="K1256" s="1"/>
  <c r="I1269"/>
  <c r="K1269" s="1"/>
  <c r="I1270"/>
  <c r="K1270" s="1"/>
  <c r="I1288"/>
  <c r="K1288" s="1"/>
  <c r="I1291"/>
  <c r="K1291" s="1"/>
  <c r="I1307"/>
  <c r="K1307" s="1"/>
  <c r="I1310"/>
  <c r="K1310" s="1"/>
  <c r="I1311"/>
  <c r="K1311" s="1"/>
  <c r="I1312"/>
  <c r="K1312"/>
  <c r="I1314"/>
  <c r="K1314"/>
  <c r="I1325"/>
  <c r="K1325" s="1"/>
  <c r="I1327"/>
  <c r="K1327" s="1"/>
  <c r="I1338"/>
  <c r="K1338" s="1"/>
  <c r="I1339"/>
  <c r="K1339" s="1"/>
  <c r="I1340"/>
  <c r="K1340" s="1"/>
  <c r="I1351"/>
  <c r="K1351" s="1"/>
  <c r="I1352"/>
  <c r="K1352" s="1"/>
  <c r="I1366"/>
  <c r="K1366" s="1"/>
  <c r="I1367"/>
  <c r="K1367" s="1"/>
  <c r="I1368"/>
  <c r="K1368" s="1"/>
  <c r="I1385"/>
  <c r="K1385"/>
  <c r="I1397"/>
  <c r="K1397"/>
  <c r="I1398"/>
  <c r="K1398" s="1"/>
  <c r="I1411"/>
  <c r="K1411" s="1"/>
  <c r="I1422"/>
  <c r="K1422" s="1"/>
  <c r="I1423"/>
  <c r="K1423" s="1"/>
  <c r="I1424"/>
  <c r="K1424"/>
  <c r="I1436"/>
  <c r="K1436" s="1"/>
  <c r="I1437"/>
  <c r="K1437" s="1"/>
  <c r="I1438"/>
  <c r="K1438"/>
  <c r="I1439"/>
  <c r="K1439" s="1"/>
  <c r="K1448"/>
  <c r="I1449"/>
  <c r="K1449" s="1"/>
  <c r="I1450"/>
  <c r="K1450" s="1"/>
  <c r="K1455" s="1"/>
  <c r="K1457" s="1"/>
  <c r="I1451"/>
  <c r="K1451" s="1"/>
  <c r="I1463"/>
  <c r="K1463"/>
  <c r="I1464"/>
  <c r="K1464" s="1"/>
  <c r="I1465"/>
  <c r="K1465" s="1"/>
  <c r="K1469" s="1"/>
  <c r="K1471" s="1"/>
  <c r="I1466"/>
  <c r="K1466" s="1"/>
  <c r="I1478"/>
  <c r="K1478"/>
  <c r="I1479"/>
  <c r="K1479" s="1"/>
  <c r="I1490"/>
  <c r="K1490" s="1"/>
  <c r="I1492"/>
  <c r="K1492" s="1"/>
  <c r="K1493"/>
  <c r="I1494"/>
  <c r="K1494" s="1"/>
  <c r="I1495"/>
  <c r="K1495" s="1"/>
  <c r="I1504"/>
  <c r="K1504"/>
  <c r="I1505"/>
  <c r="K1505" s="1"/>
  <c r="I1506"/>
  <c r="K1506" s="1"/>
  <c r="K1511" s="1"/>
  <c r="K1513" s="1"/>
  <c r="O1506"/>
  <c r="I1507"/>
  <c r="K1507"/>
  <c r="O1507"/>
  <c r="I1508"/>
  <c r="K1508" s="1"/>
  <c r="K1509"/>
  <c r="I1518"/>
  <c r="K1518" s="1"/>
  <c r="I1519"/>
  <c r="K1519"/>
  <c r="I1520"/>
  <c r="K1520" s="1"/>
  <c r="I1521"/>
  <c r="K1521" s="1"/>
  <c r="K1522"/>
  <c r="I1532"/>
  <c r="K1532" s="1"/>
  <c r="I1533"/>
  <c r="K1533" s="1"/>
  <c r="I1534"/>
  <c r="K1534"/>
  <c r="I1545"/>
  <c r="K1545" s="1"/>
  <c r="I1546"/>
  <c r="K1546" s="1"/>
  <c r="K1549" s="1"/>
  <c r="K1551" s="1"/>
  <c r="I1557"/>
  <c r="K1557" s="1"/>
  <c r="I1558"/>
  <c r="K1558"/>
  <c r="I1559"/>
  <c r="K1559" s="1"/>
  <c r="I1560"/>
  <c r="K1560" s="1"/>
  <c r="K1566" s="1"/>
  <c r="K1569" s="1"/>
  <c r="I1561"/>
  <c r="K1561" s="1"/>
  <c r="I1562"/>
  <c r="K1562"/>
  <c r="I1576"/>
  <c r="K1576" s="1"/>
  <c r="I1577"/>
  <c r="K1577" s="1"/>
  <c r="I1578"/>
  <c r="K1578" s="1"/>
  <c r="I1579"/>
  <c r="K1579"/>
  <c r="K1597"/>
  <c r="K1598"/>
  <c r="K1609"/>
  <c r="K1613" s="1"/>
  <c r="K1618"/>
  <c r="K1621" s="1"/>
  <c r="K1625"/>
  <c r="K1628" s="1"/>
  <c r="I1638"/>
  <c r="K1638"/>
  <c r="I1639"/>
  <c r="K1639" s="1"/>
  <c r="I1640"/>
  <c r="K1640" s="1"/>
  <c r="K1652"/>
  <c r="K1653"/>
  <c r="K1654"/>
  <c r="I1681"/>
  <c r="K1681"/>
  <c r="K1682"/>
  <c r="K1685"/>
  <c r="K1686"/>
  <c r="K1687"/>
  <c r="I1688"/>
  <c r="K1688" s="1"/>
  <c r="K1699"/>
  <c r="K1700"/>
  <c r="K1701"/>
  <c r="I1703"/>
  <c r="K1703"/>
  <c r="I1711"/>
  <c r="K1711" s="1"/>
  <c r="K1713"/>
  <c r="K1714"/>
  <c r="I1715"/>
  <c r="K1715" s="1"/>
  <c r="K1716"/>
  <c r="K1717"/>
  <c r="K1724"/>
  <c r="K1727"/>
  <c r="I1735"/>
  <c r="K1735"/>
  <c r="I1737"/>
  <c r="K1737" s="1"/>
  <c r="I1738"/>
  <c r="K1738" s="1"/>
  <c r="K1747" s="1"/>
  <c r="K1749" s="1"/>
  <c r="I1803" s="1"/>
  <c r="K1803" s="1"/>
  <c r="I1739"/>
  <c r="K1739" s="1"/>
  <c r="I1740"/>
  <c r="K1740"/>
  <c r="I1741"/>
  <c r="K1741" s="1"/>
  <c r="I1742"/>
  <c r="K1742" s="1"/>
  <c r="I1753"/>
  <c r="K1753" s="1"/>
  <c r="I1755"/>
  <c r="K1755"/>
  <c r="I1756"/>
  <c r="K1756" s="1"/>
  <c r="I1757"/>
  <c r="K1757" s="1"/>
  <c r="K1765" s="1"/>
  <c r="K1767" s="1"/>
  <c r="I1811" s="1"/>
  <c r="K1811" s="1"/>
  <c r="I1758"/>
  <c r="K1758" s="1"/>
  <c r="I1759"/>
  <c r="K1759"/>
  <c r="I1760"/>
  <c r="K1760" s="1"/>
  <c r="I1771"/>
  <c r="K1771" s="1"/>
  <c r="I1773"/>
  <c r="K1773" s="1"/>
  <c r="I1774"/>
  <c r="K1774"/>
  <c r="I1775"/>
  <c r="K1775" s="1"/>
  <c r="I1776"/>
  <c r="K1776" s="1"/>
  <c r="I1777"/>
  <c r="K1777" s="1"/>
  <c r="I1778"/>
  <c r="K1778"/>
  <c r="I1801"/>
  <c r="I1802" s="1"/>
  <c r="K1802" s="1"/>
  <c r="I1809"/>
  <c r="K1809" s="1"/>
  <c r="I1817"/>
  <c r="K1817" s="1"/>
  <c r="I1818"/>
  <c r="K1818" s="1"/>
  <c r="I1829"/>
  <c r="K1829"/>
  <c r="I1832"/>
  <c r="K1832"/>
  <c r="I1833"/>
  <c r="K1833" s="1"/>
  <c r="I1834"/>
  <c r="K1834" s="1"/>
  <c r="I1835"/>
  <c r="K1835" s="1"/>
  <c r="I1844"/>
  <c r="K1844" s="1"/>
  <c r="I1845"/>
  <c r="K1845" s="1"/>
  <c r="I1858"/>
  <c r="K1858"/>
  <c r="I1865"/>
  <c r="K1865" s="1"/>
  <c r="I1866"/>
  <c r="K1866" s="1"/>
  <c r="K1870" s="1"/>
  <c r="I1867"/>
  <c r="K1867" s="1"/>
  <c r="I1890"/>
  <c r="K1890"/>
  <c r="I1891"/>
  <c r="K1891" s="1"/>
  <c r="I1892"/>
  <c r="K1892" s="1"/>
  <c r="I1894"/>
  <c r="K1894" s="1"/>
  <c r="I1895"/>
  <c r="K1895"/>
  <c r="I1896"/>
  <c r="K1896" s="1"/>
  <c r="I1908"/>
  <c r="K1908" s="1"/>
  <c r="I1915"/>
  <c r="K1915" s="1"/>
  <c r="I1916"/>
  <c r="K1916"/>
  <c r="I1917"/>
  <c r="K1917" s="1"/>
  <c r="I1928"/>
  <c r="K1928" s="1"/>
  <c r="I1930"/>
  <c r="K1930" s="1"/>
  <c r="I1931"/>
  <c r="K1931" s="1"/>
  <c r="I1932"/>
  <c r="K1932" s="1"/>
  <c r="I1934"/>
  <c r="K1934" s="1"/>
  <c r="I1935"/>
  <c r="K1935"/>
  <c r="I1947"/>
  <c r="K1947" s="1"/>
  <c r="I1949"/>
  <c r="K1949" s="1"/>
  <c r="I1950"/>
  <c r="K1950" s="1"/>
  <c r="I1951"/>
  <c r="K1951"/>
  <c r="I1953"/>
  <c r="K1953" s="1"/>
  <c r="I1954"/>
  <c r="K1954" s="1"/>
  <c r="I1972"/>
  <c r="K1972" s="1"/>
  <c r="I1973"/>
  <c r="K1973" s="1"/>
  <c r="I1974"/>
  <c r="K1974" s="1"/>
  <c r="I1975"/>
  <c r="K1975" s="1"/>
  <c r="I1976"/>
  <c r="K1976"/>
  <c r="I1977"/>
  <c r="K1977" s="1"/>
  <c r="I1978"/>
  <c r="K1978" s="1"/>
  <c r="I1996"/>
  <c r="K1996" s="1"/>
  <c r="I1997"/>
  <c r="K1997" s="1"/>
  <c r="I1998"/>
  <c r="K1998" s="1"/>
  <c r="I1999"/>
  <c r="K1999" s="1"/>
  <c r="I2000"/>
  <c r="K2000"/>
  <c r="I2001"/>
  <c r="K2001" s="1"/>
  <c r="I2002"/>
  <c r="K2002" s="1"/>
  <c r="K2016"/>
  <c r="K2017"/>
  <c r="K2018"/>
  <c r="I2027"/>
  <c r="K2027" s="1"/>
  <c r="I2029"/>
  <c r="K2029" s="1"/>
  <c r="I2030"/>
  <c r="K2030" s="1"/>
  <c r="I2031"/>
  <c r="K2031"/>
  <c r="I2039"/>
  <c r="K2039" s="1"/>
  <c r="K2042" s="1"/>
  <c r="I2047"/>
  <c r="K2047" s="1"/>
  <c r="I2048"/>
  <c r="K2048" s="1"/>
  <c r="I2049"/>
  <c r="K2049"/>
  <c r="I2050"/>
  <c r="K2050" s="1"/>
  <c r="I2052"/>
  <c r="K2052" s="1"/>
  <c r="I2053"/>
  <c r="K2053" s="1"/>
  <c r="I2054"/>
  <c r="K2054"/>
  <c r="I2055"/>
  <c r="K2055" s="1"/>
  <c r="I2056"/>
  <c r="K2056" s="1"/>
  <c r="K2057" s="1"/>
  <c r="I2067"/>
  <c r="K2067" s="1"/>
  <c r="I2068"/>
  <c r="K2068"/>
  <c r="I2069"/>
  <c r="K2069" s="1"/>
  <c r="I2070"/>
  <c r="K2070" s="1"/>
  <c r="I2072"/>
  <c r="K2072" s="1"/>
  <c r="I2073"/>
  <c r="K2073"/>
  <c r="I2074"/>
  <c r="K2074"/>
  <c r="I2075"/>
  <c r="K2075" s="1"/>
  <c r="I2076"/>
  <c r="K2076" s="1"/>
  <c r="I2086"/>
  <c r="K2086" s="1"/>
  <c r="I2087"/>
  <c r="K2087"/>
  <c r="I2088"/>
  <c r="K2088" s="1"/>
  <c r="H2097"/>
  <c r="I2099"/>
  <c r="K2099"/>
  <c r="I2100"/>
  <c r="K2100" s="1"/>
  <c r="I2101"/>
  <c r="K2101" s="1"/>
  <c r="I2112"/>
  <c r="K2112" s="1"/>
  <c r="K2116" s="1"/>
  <c r="I2125"/>
  <c r="K2125"/>
  <c r="K2129" s="1"/>
  <c r="I2135"/>
  <c r="K2135"/>
  <c r="K2139" s="1"/>
  <c r="I2144"/>
  <c r="K2144" s="1"/>
  <c r="K2148" s="1"/>
  <c r="I2167"/>
  <c r="K2167" s="1"/>
  <c r="I2168"/>
  <c r="K2168" s="1"/>
  <c r="I2169"/>
  <c r="K2169" s="1"/>
  <c r="I2170"/>
  <c r="K2170"/>
  <c r="K2171"/>
  <c r="I2172"/>
  <c r="K2172" s="1"/>
  <c r="K2218"/>
  <c r="I2219"/>
  <c r="K2219" s="1"/>
  <c r="I2220"/>
  <c r="K2220" s="1"/>
  <c r="I2221"/>
  <c r="K2221"/>
  <c r="I2222"/>
  <c r="K2222" s="1"/>
  <c r="K2232"/>
  <c r="K2233"/>
  <c r="K2234"/>
  <c r="K2235"/>
  <c r="I2236"/>
  <c r="K2236" s="1"/>
  <c r="K2241" s="1"/>
  <c r="I2237"/>
  <c r="K2237" s="1"/>
  <c r="K2263"/>
  <c r="I2264"/>
  <c r="K2264" s="1"/>
  <c r="K2265"/>
  <c r="K2266"/>
  <c r="K2267"/>
  <c r="K2268"/>
  <c r="I2307"/>
  <c r="K2307" s="1"/>
  <c r="I2308"/>
  <c r="K2308"/>
  <c r="K2309"/>
  <c r="K2310"/>
  <c r="K2321"/>
  <c r="K2322"/>
  <c r="K2323"/>
  <c r="K2324"/>
  <c r="K2325"/>
  <c r="K2326"/>
  <c r="I2327"/>
  <c r="K2327" s="1"/>
  <c r="I2328"/>
  <c r="K2328" s="1"/>
  <c r="K2332" s="1"/>
  <c r="K2336" s="1"/>
  <c r="I2361"/>
  <c r="K2361" s="1"/>
  <c r="I2362"/>
  <c r="K2362"/>
  <c r="K2363"/>
  <c r="I2368"/>
  <c r="K2368" s="1"/>
  <c r="I2369"/>
  <c r="I2387" s="1"/>
  <c r="K2387" s="1"/>
  <c r="K2369"/>
  <c r="K2370"/>
  <c r="I2371"/>
  <c r="I2388" s="1"/>
  <c r="K2388" s="1"/>
  <c r="K2391" s="1"/>
  <c r="I2372"/>
  <c r="K2372" s="1"/>
  <c r="I2373"/>
  <c r="K2373" s="1"/>
  <c r="K2375"/>
  <c r="I2389"/>
  <c r="K2389" s="1"/>
  <c r="I2424"/>
  <c r="K2424" s="1"/>
  <c r="K2426"/>
  <c r="I2427"/>
  <c r="K2427" s="1"/>
  <c r="I2428"/>
  <c r="K2428"/>
  <c r="I2429"/>
  <c r="K2429" s="1"/>
  <c r="K2430"/>
  <c r="K2431"/>
  <c r="I2442"/>
  <c r="K2442" s="1"/>
  <c r="I2466"/>
  <c r="K2466"/>
  <c r="I2467"/>
  <c r="K2467" s="1"/>
  <c r="K2469"/>
  <c r="K2470"/>
  <c r="K2490"/>
  <c r="K2493" s="1"/>
  <c r="K2497"/>
  <c r="K2498"/>
  <c r="K2505"/>
  <c r="K2506"/>
  <c r="K2507"/>
  <c r="K2509"/>
  <c r="K2510" s="1"/>
  <c r="I2499" s="1"/>
  <c r="K2499" s="1"/>
  <c r="K2502" s="1"/>
  <c r="I2524"/>
  <c r="K2524" s="1"/>
  <c r="I2526"/>
  <c r="K2526" s="1"/>
  <c r="I2527"/>
  <c r="K2527"/>
  <c r="I2528"/>
  <c r="K2528" s="1"/>
  <c r="I2529"/>
  <c r="K2529" s="1"/>
  <c r="I2530"/>
  <c r="K2530" s="1"/>
  <c r="I2531"/>
  <c r="K2531"/>
  <c r="K2557"/>
  <c r="I2559"/>
  <c r="K2559" s="1"/>
  <c r="I2560"/>
  <c r="I2591" s="1"/>
  <c r="K2591" s="1"/>
  <c r="I2561"/>
  <c r="I2592" s="1"/>
  <c r="K2592" s="1"/>
  <c r="I2562"/>
  <c r="I2593" s="1"/>
  <c r="K2593" s="1"/>
  <c r="I2563"/>
  <c r="K2563"/>
  <c r="I2564"/>
  <c r="I2595" s="1"/>
  <c r="K2595" s="1"/>
  <c r="I2590"/>
  <c r="K2590" s="1"/>
  <c r="I2594"/>
  <c r="K2594" s="1"/>
  <c r="K2604"/>
  <c r="I2605"/>
  <c r="K2605" s="1"/>
  <c r="I2606"/>
  <c r="K2606" s="1"/>
  <c r="I2607"/>
  <c r="K2607" s="1"/>
  <c r="I2624"/>
  <c r="K2624"/>
  <c r="I2625"/>
  <c r="K2625" s="1"/>
  <c r="K2626"/>
  <c r="K2633"/>
  <c r="K2634"/>
  <c r="K2635"/>
  <c r="K2636"/>
  <c r="K2637"/>
  <c r="K2638"/>
  <c r="K2639"/>
  <c r="K2640"/>
  <c r="I2665"/>
  <c r="K2665" s="1"/>
  <c r="I2667"/>
  <c r="K2667" s="1"/>
  <c r="I2668"/>
  <c r="K2668"/>
  <c r="I2669"/>
  <c r="K2669" s="1"/>
  <c r="I2670"/>
  <c r="K2670" s="1"/>
  <c r="K2680"/>
  <c r="I2694"/>
  <c r="K2694"/>
  <c r="K2700"/>
  <c r="K2701"/>
  <c r="K2707"/>
  <c r="K2710" s="1"/>
  <c r="K2711" s="1"/>
  <c r="K2703" s="1"/>
  <c r="K2705" s="1"/>
  <c r="K2708"/>
  <c r="K2715"/>
  <c r="K2716"/>
  <c r="K2723"/>
  <c r="K2724"/>
  <c r="K2725"/>
  <c r="K2732"/>
  <c r="K2733"/>
  <c r="K2734"/>
  <c r="K2735"/>
  <c r="K2743"/>
  <c r="K2744"/>
  <c r="K2752"/>
  <c r="K2753"/>
  <c r="K2754"/>
  <c r="K2755"/>
  <c r="K2756"/>
  <c r="K2757"/>
  <c r="K2783"/>
  <c r="K2784"/>
  <c r="K2785"/>
  <c r="K2786"/>
  <c r="K2787"/>
  <c r="K2788"/>
  <c r="I2789"/>
  <c r="K2789"/>
  <c r="I2790"/>
  <c r="K2790" s="1"/>
  <c r="K2798"/>
  <c r="K2799"/>
  <c r="K2807"/>
  <c r="K2810" s="1"/>
  <c r="K2811" s="1"/>
  <c r="K2802" s="1"/>
  <c r="K2808"/>
  <c r="K2815"/>
  <c r="K2816"/>
  <c r="K2817"/>
  <c r="K2818"/>
  <c r="K2825"/>
  <c r="K2826"/>
  <c r="K2827"/>
  <c r="I2843"/>
  <c r="K2843" s="1"/>
  <c r="I2844"/>
  <c r="I2906" s="1"/>
  <c r="I2845"/>
  <c r="K2845" s="1"/>
  <c r="I2846"/>
  <c r="K2847"/>
  <c r="R2848"/>
  <c r="I2849"/>
  <c r="I3801" s="1"/>
  <c r="K3801" s="1"/>
  <c r="I2850"/>
  <c r="I3802" s="1"/>
  <c r="K3802" s="1"/>
  <c r="I2851"/>
  <c r="P2853" s="1"/>
  <c r="P2851"/>
  <c r="P2884" s="1"/>
  <c r="R2884" s="1"/>
  <c r="I2852"/>
  <c r="I2854"/>
  <c r="I3005" s="1"/>
  <c r="K3005" s="1"/>
  <c r="I2855"/>
  <c r="I3006" s="1"/>
  <c r="K3006" s="1"/>
  <c r="R2855"/>
  <c r="I2856"/>
  <c r="P2846" s="1"/>
  <c r="P2879" s="1"/>
  <c r="R2879" s="1"/>
  <c r="R2856"/>
  <c r="L2860"/>
  <c r="R2860"/>
  <c r="T2863"/>
  <c r="I2866"/>
  <c r="I3503" s="1"/>
  <c r="I3570" s="1"/>
  <c r="K3570" s="1"/>
  <c r="I2867"/>
  <c r="I3158" s="1"/>
  <c r="I2868"/>
  <c r="I3922" s="1"/>
  <c r="K3922" s="1"/>
  <c r="I2869"/>
  <c r="I2760" s="1"/>
  <c r="K2760" s="1"/>
  <c r="I2870"/>
  <c r="I2871"/>
  <c r="I2872"/>
  <c r="K2872" s="1"/>
  <c r="K2881"/>
  <c r="P2881"/>
  <c r="R2881" s="1"/>
  <c r="L2884"/>
  <c r="P2888"/>
  <c r="R2888" s="1"/>
  <c r="R2889"/>
  <c r="K2894"/>
  <c r="K2895"/>
  <c r="K2896"/>
  <c r="S2896"/>
  <c r="L2899"/>
  <c r="H2905"/>
  <c r="H2909"/>
  <c r="H2937" s="1"/>
  <c r="H2910"/>
  <c r="H2936" s="1"/>
  <c r="H2911"/>
  <c r="K2912"/>
  <c r="L2921"/>
  <c r="I2923"/>
  <c r="K2925" s="1"/>
  <c r="K2935"/>
  <c r="M2935"/>
  <c r="L2945"/>
  <c r="I2957"/>
  <c r="K2957" s="1"/>
  <c r="L2957"/>
  <c r="M2957" s="1"/>
  <c r="N2957" s="1"/>
  <c r="L2965"/>
  <c r="I2984"/>
  <c r="K2984" s="1"/>
  <c r="I2999"/>
  <c r="K2999" s="1"/>
  <c r="L3011"/>
  <c r="K3020"/>
  <c r="M3023"/>
  <c r="I3035"/>
  <c r="K3035" s="1"/>
  <c r="L3044"/>
  <c r="L3063"/>
  <c r="R3071"/>
  <c r="K3078"/>
  <c r="L3080"/>
  <c r="K3088"/>
  <c r="K3090"/>
  <c r="L3092"/>
  <c r="K3098"/>
  <c r="I3101"/>
  <c r="K3101" s="1"/>
  <c r="L3105"/>
  <c r="I3112"/>
  <c r="I3494" s="1"/>
  <c r="P3112"/>
  <c r="R3112" s="1"/>
  <c r="K3113"/>
  <c r="P3113"/>
  <c r="R3113" s="1"/>
  <c r="I3115"/>
  <c r="K3115" s="1"/>
  <c r="S3118"/>
  <c r="L3119"/>
  <c r="R3126"/>
  <c r="K3132"/>
  <c r="K3150"/>
  <c r="K3151"/>
  <c r="K3169"/>
  <c r="I3170"/>
  <c r="I3181" s="1"/>
  <c r="K3181" s="1"/>
  <c r="K3180"/>
  <c r="K3182"/>
  <c r="K3191"/>
  <c r="K3192"/>
  <c r="K3206"/>
  <c r="I3207"/>
  <c r="K3207" s="1"/>
  <c r="K3217"/>
  <c r="K3219"/>
  <c r="J3222"/>
  <c r="M3222"/>
  <c r="N3222"/>
  <c r="I3222" s="1"/>
  <c r="K3230"/>
  <c r="I3231"/>
  <c r="K3231" s="1"/>
  <c r="K3232"/>
  <c r="K3240"/>
  <c r="K3241"/>
  <c r="K3257"/>
  <c r="I3258"/>
  <c r="K3258" s="1"/>
  <c r="I3259"/>
  <c r="I3274" s="1"/>
  <c r="K3274" s="1"/>
  <c r="K3289"/>
  <c r="K3290"/>
  <c r="I3306"/>
  <c r="K3306" s="1"/>
  <c r="I3307"/>
  <c r="K3307" s="1"/>
  <c r="I3308"/>
  <c r="K3308" s="1"/>
  <c r="I3309"/>
  <c r="K3309" s="1"/>
  <c r="I3310"/>
  <c r="I3311"/>
  <c r="I3312"/>
  <c r="K3312" s="1"/>
  <c r="I3313"/>
  <c r="K3313" s="1"/>
  <c r="I3314"/>
  <c r="K3314" s="1"/>
  <c r="I3315"/>
  <c r="K3315" s="1"/>
  <c r="I3316"/>
  <c r="K3316" s="1"/>
  <c r="K3331"/>
  <c r="K3345"/>
  <c r="H3354"/>
  <c r="I3354"/>
  <c r="J3368"/>
  <c r="K3376"/>
  <c r="H3384"/>
  <c r="I3384"/>
  <c r="K3384" s="1"/>
  <c r="I3389"/>
  <c r="K3389" s="1"/>
  <c r="I3464" s="1"/>
  <c r="K3464" s="1"/>
  <c r="I3396"/>
  <c r="L3396"/>
  <c r="L3415" s="1"/>
  <c r="M3396"/>
  <c r="N3396"/>
  <c r="O3396"/>
  <c r="L3399"/>
  <c r="M3399"/>
  <c r="N3399" s="1"/>
  <c r="O3399" s="1"/>
  <c r="L3418"/>
  <c r="K3436"/>
  <c r="K3438"/>
  <c r="H3455"/>
  <c r="I3455"/>
  <c r="K3455" s="1"/>
  <c r="H3464"/>
  <c r="H3465"/>
  <c r="I3478"/>
  <c r="I3665" s="1"/>
  <c r="K3665" s="1"/>
  <c r="K3480"/>
  <c r="K3495"/>
  <c r="P3495"/>
  <c r="R3495" s="1"/>
  <c r="I3496"/>
  <c r="P3496" s="1"/>
  <c r="R3496" s="1"/>
  <c r="K3496"/>
  <c r="I3497"/>
  <c r="P3497" s="1"/>
  <c r="R3497" s="1"/>
  <c r="K3497"/>
  <c r="R3501"/>
  <c r="K3513"/>
  <c r="K3515" s="1"/>
  <c r="K3514"/>
  <c r="K3521"/>
  <c r="K3524" s="1"/>
  <c r="L3524" s="1"/>
  <c r="K3523"/>
  <c r="I3533"/>
  <c r="K3533"/>
  <c r="I3535"/>
  <c r="K3535"/>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I3635"/>
  <c r="K3635" s="1"/>
  <c r="R3635"/>
  <c r="K3637"/>
  <c r="H3643"/>
  <c r="I3643"/>
  <c r="K3643" s="1"/>
  <c r="I3644"/>
  <c r="K3644"/>
  <c r="K3649"/>
  <c r="I3666"/>
  <c r="K3666" s="1"/>
  <c r="I3667"/>
  <c r="K3667"/>
  <c r="H3670"/>
  <c r="I3670"/>
  <c r="K3670" s="1"/>
  <c r="K3671"/>
  <c r="K3672"/>
  <c r="D3674"/>
  <c r="K3675"/>
  <c r="I3683"/>
  <c r="K3683" s="1"/>
  <c r="L3689"/>
  <c r="H3694"/>
  <c r="I3694"/>
  <c r="K3694" s="1"/>
  <c r="H3699"/>
  <c r="I3699"/>
  <c r="K3699" s="1"/>
  <c r="H3708"/>
  <c r="I3708"/>
  <c r="K3708" s="1"/>
  <c r="I3710"/>
  <c r="K3710" s="1"/>
  <c r="H3718"/>
  <c r="I3718"/>
  <c r="K3718" s="1"/>
  <c r="H3719"/>
  <c r="K3720"/>
  <c r="I3721"/>
  <c r="K3721" s="1"/>
  <c r="I3722"/>
  <c r="K3722" s="1"/>
  <c r="L3724"/>
  <c r="I3725"/>
  <c r="K3725" s="1"/>
  <c r="K3739"/>
  <c r="K3740"/>
  <c r="J3742"/>
  <c r="K3742" s="1"/>
  <c r="K3760" s="1"/>
  <c r="K3757"/>
  <c r="I3758"/>
  <c r="K3758"/>
  <c r="K3759"/>
  <c r="H3765"/>
  <c r="I3765"/>
  <c r="K3765" s="1"/>
  <c r="I3766"/>
  <c r="K3766" s="1"/>
  <c r="K3767" s="1"/>
  <c r="K2201" s="1"/>
  <c r="H3770"/>
  <c r="I3770"/>
  <c r="K3770" s="1"/>
  <c r="R3770"/>
  <c r="I3771"/>
  <c r="I3778" s="1"/>
  <c r="K3778" s="1"/>
  <c r="R3771"/>
  <c r="H3777"/>
  <c r="I3777"/>
  <c r="K3777" s="1"/>
  <c r="R3777"/>
  <c r="H3778"/>
  <c r="O3778"/>
  <c r="P3778"/>
  <c r="R3778" s="1"/>
  <c r="I3795"/>
  <c r="K3795" s="1"/>
  <c r="K3798"/>
  <c r="K3800"/>
  <c r="K3804"/>
  <c r="K3805"/>
  <c r="I3806"/>
  <c r="K3806" s="1"/>
  <c r="K3807"/>
  <c r="K3808"/>
  <c r="K3811"/>
  <c r="K3813"/>
  <c r="I3824"/>
  <c r="K3824" s="1"/>
  <c r="K3838"/>
  <c r="K3852"/>
  <c r="N3852"/>
  <c r="K3853"/>
  <c r="K3854"/>
  <c r="N3856"/>
  <c r="K3873"/>
  <c r="K3875"/>
  <c r="K3876"/>
  <c r="K3890"/>
  <c r="I3893"/>
  <c r="K3893" s="1"/>
  <c r="M3893"/>
  <c r="K3894"/>
  <c r="H3911"/>
  <c r="L3918"/>
  <c r="I3921"/>
  <c r="K3921" s="1"/>
  <c r="I3933"/>
  <c r="K3933" s="1"/>
  <c r="I3934"/>
  <c r="K3934" s="1"/>
  <c r="I3935"/>
  <c r="K3935"/>
  <c r="I3949"/>
  <c r="K3949" s="1"/>
  <c r="A9" i="32"/>
  <c r="A10" s="1"/>
  <c r="F10" s="1"/>
  <c r="F11"/>
  <c r="F15"/>
  <c r="A24"/>
  <c r="A25" s="1"/>
  <c r="E24"/>
  <c r="E88" s="1"/>
  <c r="E148" s="1"/>
  <c r="E25"/>
  <c r="E89" s="1"/>
  <c r="I25"/>
  <c r="I26"/>
  <c r="I27"/>
  <c r="M31"/>
  <c r="G32"/>
  <c r="E33"/>
  <c r="G33" s="1"/>
  <c r="A45"/>
  <c r="D49"/>
  <c r="D112" s="1"/>
  <c r="D50"/>
  <c r="D113" s="1"/>
  <c r="D52"/>
  <c r="D115" s="1"/>
  <c r="D53"/>
  <c r="D116" s="1"/>
  <c r="A73"/>
  <c r="A74" s="1"/>
  <c r="F74" s="1"/>
  <c r="F75"/>
  <c r="F79"/>
  <c r="G86"/>
  <c r="A88"/>
  <c r="E90"/>
  <c r="E150" s="1"/>
  <c r="E96"/>
  <c r="G96" s="1"/>
  <c r="G131"/>
  <c r="A133" s="1"/>
  <c r="A134" s="1"/>
  <c r="F134" s="1"/>
  <c r="F135"/>
  <c r="F139"/>
  <c r="G146"/>
  <c r="A148"/>
  <c r="C66" i="55"/>
  <c r="C298"/>
  <c r="H298" s="1"/>
  <c r="C313"/>
  <c r="C327"/>
  <c r="R327" s="1"/>
  <c r="C328"/>
  <c r="AJ342"/>
  <c r="C361"/>
  <c r="C376"/>
  <c r="D370" i="58" s="1"/>
  <c r="C377" i="55"/>
  <c r="C383"/>
  <c r="C391"/>
  <c r="D385" i="58" s="1"/>
  <c r="C392" i="55"/>
  <c r="D386" i="58" s="1"/>
  <c r="F386" s="1"/>
  <c r="C393" i="55"/>
  <c r="T393" s="1"/>
  <c r="C394"/>
  <c r="H394" s="1"/>
  <c r="C424"/>
  <c r="Z424" s="1"/>
  <c r="C436"/>
  <c r="C437"/>
  <c r="C439"/>
  <c r="C449"/>
  <c r="J449" s="1"/>
  <c r="C461"/>
  <c r="Z461" s="1"/>
  <c r="C502"/>
  <c r="C558"/>
  <c r="C565"/>
  <c r="X565" s="1"/>
  <c r="C603"/>
  <c r="D668" i="58" s="1"/>
  <c r="C605" i="55"/>
  <c r="H605" s="1"/>
  <c r="C631"/>
  <c r="C632"/>
  <c r="D697" i="58" s="1"/>
  <c r="C633" i="55"/>
  <c r="F633" s="1"/>
  <c r="C639"/>
  <c r="C640"/>
  <c r="B650"/>
  <c r="C715" i="58" s="1"/>
  <c r="B654" i="55"/>
  <c r="C719" i="58" s="1"/>
  <c r="B655" i="55"/>
  <c r="C720" i="58" s="1"/>
  <c r="A674" i="55"/>
  <c r="A739" i="58" s="1"/>
  <c r="B760" i="55"/>
  <c r="C825" i="58" s="1"/>
  <c r="C827" i="55"/>
  <c r="J827" s="1"/>
  <c r="C848"/>
  <c r="J848" s="1"/>
  <c r="D861"/>
  <c r="E925" i="58" s="1"/>
  <c r="C959" i="55"/>
  <c r="D1026" i="58" s="1"/>
  <c r="AH959" i="55"/>
  <c r="C970"/>
  <c r="C977"/>
  <c r="Z977" s="1"/>
  <c r="B978"/>
  <c r="C1045" i="58" s="1"/>
  <c r="C991" i="55"/>
  <c r="H991" s="1"/>
  <c r="C1023"/>
  <c r="X1023" s="1"/>
  <c r="C1024"/>
  <c r="V1024" s="1"/>
  <c r="C1027"/>
  <c r="C651" s="1"/>
  <c r="B1058"/>
  <c r="C1073" i="58" s="1"/>
  <c r="B1059" i="55"/>
  <c r="C1074" i="58" s="1"/>
  <c r="G17" i="57"/>
  <c r="H22"/>
  <c r="A3" i="58"/>
  <c r="F6"/>
  <c r="A1108"/>
  <c r="B1108"/>
  <c r="C1108"/>
  <c r="D1108"/>
  <c r="E1108"/>
  <c r="A1109"/>
  <c r="B1109"/>
  <c r="C1109"/>
  <c r="D1109"/>
  <c r="E1109"/>
  <c r="A1110"/>
  <c r="B1110"/>
  <c r="C1110"/>
  <c r="D1110"/>
  <c r="F1110" s="1"/>
  <c r="E1110"/>
  <c r="A1111"/>
  <c r="B1111"/>
  <c r="C1111"/>
  <c r="D1111"/>
  <c r="E1111"/>
  <c r="A1112"/>
  <c r="B1112"/>
  <c r="C1112"/>
  <c r="D1112"/>
  <c r="E1112"/>
  <c r="A1113"/>
  <c r="B1113"/>
  <c r="C1113"/>
  <c r="D1113"/>
  <c r="E1113"/>
  <c r="A1114"/>
  <c r="B1114"/>
  <c r="C1114"/>
  <c r="D1114"/>
  <c r="F1114" s="1"/>
  <c r="E1114"/>
  <c r="A1115"/>
  <c r="B1115"/>
  <c r="C1115"/>
  <c r="D1115"/>
  <c r="E1115"/>
  <c r="A1116"/>
  <c r="B1116"/>
  <c r="C1116"/>
  <c r="D1116"/>
  <c r="E1116"/>
  <c r="A1117"/>
  <c r="B1117"/>
  <c r="C1117"/>
  <c r="D1117"/>
  <c r="E1117"/>
  <c r="A1118"/>
  <c r="B1118"/>
  <c r="C1118"/>
  <c r="D1118"/>
  <c r="E1118"/>
  <c r="A1119"/>
  <c r="B1119"/>
  <c r="C1119"/>
  <c r="D1119"/>
  <c r="F1119" s="1"/>
  <c r="E1119"/>
  <c r="A1120"/>
  <c r="B1120"/>
  <c r="C1120"/>
  <c r="D1120"/>
  <c r="E1120"/>
  <c r="A1121"/>
  <c r="B1121"/>
  <c r="C1121"/>
  <c r="D1121"/>
  <c r="E1121"/>
  <c r="A1122"/>
  <c r="B1122"/>
  <c r="C1122"/>
  <c r="D1122"/>
  <c r="F1122" s="1"/>
  <c r="E1122"/>
  <c r="A1123"/>
  <c r="B1123"/>
  <c r="C1123"/>
  <c r="D1123"/>
  <c r="E1123"/>
  <c r="A1124"/>
  <c r="B1124"/>
  <c r="C1124"/>
  <c r="D1124"/>
  <c r="F1124" s="1"/>
  <c r="E1124"/>
  <c r="A1125"/>
  <c r="B1125"/>
  <c r="C1125"/>
  <c r="D1125"/>
  <c r="E1125"/>
  <c r="A1126"/>
  <c r="B1126"/>
  <c r="C1126"/>
  <c r="D1126"/>
  <c r="F1126" s="1"/>
  <c r="E1126"/>
  <c r="A1127"/>
  <c r="B1127"/>
  <c r="C1127"/>
  <c r="D1127"/>
  <c r="E1127"/>
  <c r="A1128"/>
  <c r="B1128"/>
  <c r="C1128"/>
  <c r="D1128"/>
  <c r="E1128"/>
  <c r="A1129"/>
  <c r="B1129"/>
  <c r="C1129"/>
  <c r="D1129"/>
  <c r="E1129"/>
  <c r="A1130"/>
  <c r="B1130"/>
  <c r="C1130"/>
  <c r="D1130"/>
  <c r="F1130" s="1"/>
  <c r="E1130"/>
  <c r="A1131"/>
  <c r="B1131"/>
  <c r="C1131"/>
  <c r="D1131"/>
  <c r="E1131"/>
  <c r="A1132"/>
  <c r="B1132"/>
  <c r="C1132"/>
  <c r="D1132"/>
  <c r="E1132"/>
  <c r="A1133"/>
  <c r="B1133"/>
  <c r="C1133"/>
  <c r="D1133"/>
  <c r="E1133"/>
  <c r="A1134"/>
  <c r="B1134"/>
  <c r="C1134"/>
  <c r="D1134"/>
  <c r="E1134"/>
  <c r="A1135"/>
  <c r="B1135"/>
  <c r="C1135"/>
  <c r="D1135"/>
  <c r="E1135"/>
  <c r="A1136"/>
  <c r="B1136"/>
  <c r="C1136"/>
  <c r="D1136"/>
  <c r="E1136"/>
  <c r="A1137"/>
  <c r="B1137"/>
  <c r="C1137"/>
  <c r="D1137"/>
  <c r="E1137"/>
  <c r="A1138"/>
  <c r="B1138"/>
  <c r="C1138"/>
  <c r="D1138"/>
  <c r="F1138" s="1"/>
  <c r="E1138"/>
  <c r="A1139"/>
  <c r="B1139"/>
  <c r="C1139"/>
  <c r="D1139"/>
  <c r="E1139"/>
  <c r="A1140"/>
  <c r="B1140"/>
  <c r="C1140"/>
  <c r="D1140"/>
  <c r="E1140"/>
  <c r="A1141"/>
  <c r="B1141"/>
  <c r="C1141"/>
  <c r="D1141"/>
  <c r="E1141"/>
  <c r="A1142"/>
  <c r="B1142"/>
  <c r="C1142"/>
  <c r="D1142"/>
  <c r="E1142"/>
  <c r="A1143"/>
  <c r="B1143"/>
  <c r="C1143"/>
  <c r="D1143"/>
  <c r="E1143"/>
  <c r="A1144"/>
  <c r="B1144"/>
  <c r="C1144"/>
  <c r="D1144"/>
  <c r="E1144"/>
  <c r="A1145"/>
  <c r="B1145"/>
  <c r="C1145"/>
  <c r="D1145"/>
  <c r="E1145"/>
  <c r="A1146"/>
  <c r="B1146"/>
  <c r="C1146"/>
  <c r="D1146"/>
  <c r="E1146"/>
  <c r="A1147"/>
  <c r="B1147"/>
  <c r="C1147"/>
  <c r="D1147"/>
  <c r="E1147"/>
  <c r="A1148"/>
  <c r="B1148"/>
  <c r="C1148"/>
  <c r="D1148"/>
  <c r="E1148"/>
  <c r="A1149"/>
  <c r="B1149"/>
  <c r="C1149"/>
  <c r="D1149"/>
  <c r="E1149"/>
  <c r="A1150"/>
  <c r="B1150"/>
  <c r="C1150"/>
  <c r="D1150"/>
  <c r="E1150"/>
  <c r="A1151"/>
  <c r="B1151"/>
  <c r="C1151"/>
  <c r="D1151"/>
  <c r="E1151"/>
  <c r="A1152"/>
  <c r="B1152"/>
  <c r="C1152"/>
  <c r="D1152"/>
  <c r="E1152"/>
  <c r="A1153"/>
  <c r="B1153"/>
  <c r="C1153"/>
  <c r="D1153"/>
  <c r="E1153"/>
  <c r="A1154"/>
  <c r="B1154"/>
  <c r="C1154"/>
  <c r="D1154"/>
  <c r="E1154"/>
  <c r="A1155"/>
  <c r="B1155"/>
  <c r="C1155"/>
  <c r="D1155"/>
  <c r="F1155" s="1"/>
  <c r="E1155"/>
  <c r="A1156"/>
  <c r="B1156"/>
  <c r="C1156"/>
  <c r="D1156"/>
  <c r="E1156"/>
  <c r="A1157"/>
  <c r="B1157"/>
  <c r="C1157"/>
  <c r="D1157"/>
  <c r="E1157"/>
  <c r="A1158"/>
  <c r="B1158"/>
  <c r="C1158"/>
  <c r="D1158"/>
  <c r="F1158" s="1"/>
  <c r="E1158"/>
  <c r="A1159"/>
  <c r="B1159"/>
  <c r="C1159"/>
  <c r="D1159"/>
  <c r="F1159" s="1"/>
  <c r="E1159"/>
  <c r="A1160"/>
  <c r="B1160"/>
  <c r="C1160"/>
  <c r="D1160"/>
  <c r="E1160"/>
  <c r="A1161"/>
  <c r="B1161"/>
  <c r="C1161"/>
  <c r="D1161"/>
  <c r="E1161"/>
  <c r="A1162"/>
  <c r="B1162"/>
  <c r="C1162"/>
  <c r="D1162"/>
  <c r="E1162"/>
  <c r="A1163"/>
  <c r="B1163"/>
  <c r="C1163"/>
  <c r="D1163"/>
  <c r="E1163"/>
  <c r="A1164"/>
  <c r="B1164"/>
  <c r="C1164"/>
  <c r="D1164"/>
  <c r="E1164"/>
  <c r="A1165"/>
  <c r="B1165"/>
  <c r="C1165"/>
  <c r="D1165"/>
  <c r="E1165"/>
  <c r="A1166"/>
  <c r="B1166"/>
  <c r="C1166"/>
  <c r="D1166"/>
  <c r="E1166"/>
  <c r="A1167"/>
  <c r="B1167"/>
  <c r="C1167"/>
  <c r="D1167"/>
  <c r="E1167"/>
  <c r="A1168"/>
  <c r="B1168"/>
  <c r="C1168"/>
  <c r="D1168"/>
  <c r="E1168"/>
  <c r="A1169"/>
  <c r="B1169"/>
  <c r="C1169"/>
  <c r="D1169"/>
  <c r="E1169"/>
  <c r="A1170"/>
  <c r="B1170"/>
  <c r="C1170"/>
  <c r="D1170"/>
  <c r="E1170"/>
  <c r="A1171"/>
  <c r="B1171"/>
  <c r="C1171"/>
  <c r="D1171"/>
  <c r="E1171"/>
  <c r="A1172"/>
  <c r="B1172"/>
  <c r="C1172"/>
  <c r="D1172"/>
  <c r="E1172"/>
  <c r="A1173"/>
  <c r="B1173"/>
  <c r="C1173"/>
  <c r="D1173"/>
  <c r="E1173"/>
  <c r="A1174"/>
  <c r="B1174"/>
  <c r="C1174"/>
  <c r="D1174"/>
  <c r="E1174"/>
  <c r="A1175"/>
  <c r="B1175"/>
  <c r="C1175"/>
  <c r="D1175"/>
  <c r="F1175" s="1"/>
  <c r="E1175"/>
  <c r="A1176"/>
  <c r="B1176"/>
  <c r="C1176"/>
  <c r="D1176"/>
  <c r="E1176"/>
  <c r="A1177"/>
  <c r="B1177"/>
  <c r="C1177"/>
  <c r="D1177"/>
  <c r="E1177"/>
  <c r="A1178"/>
  <c r="B1178"/>
  <c r="C1178"/>
  <c r="D1178"/>
  <c r="E1178"/>
  <c r="A1179"/>
  <c r="B1179"/>
  <c r="C1179"/>
  <c r="D1179"/>
  <c r="E1179"/>
  <c r="A1180"/>
  <c r="B1180"/>
  <c r="C1180"/>
  <c r="D1180"/>
  <c r="E1180"/>
  <c r="A1181"/>
  <c r="B1181"/>
  <c r="C1181"/>
  <c r="D1181"/>
  <c r="E1181"/>
  <c r="A1182"/>
  <c r="B1182"/>
  <c r="C1182"/>
  <c r="D1182"/>
  <c r="E1182"/>
  <c r="A1183"/>
  <c r="B1183"/>
  <c r="C1183"/>
  <c r="D1183"/>
  <c r="E1183"/>
  <c r="A1184"/>
  <c r="B1184"/>
  <c r="C1184"/>
  <c r="D1184"/>
  <c r="E1184"/>
  <c r="A1185"/>
  <c r="B1185"/>
  <c r="C1185"/>
  <c r="D1185"/>
  <c r="E1185"/>
  <c r="A1186"/>
  <c r="B1186"/>
  <c r="C1186"/>
  <c r="D1186"/>
  <c r="E1186"/>
  <c r="A1187"/>
  <c r="B1187"/>
  <c r="C1187"/>
  <c r="D1187"/>
  <c r="E1187"/>
  <c r="A1188"/>
  <c r="B1188"/>
  <c r="C1188"/>
  <c r="D1188"/>
  <c r="F1188" s="1"/>
  <c r="E1188"/>
  <c r="A1189"/>
  <c r="B1189"/>
  <c r="C1189"/>
  <c r="D1189"/>
  <c r="E1189"/>
  <c r="A1190"/>
  <c r="B1190"/>
  <c r="C1190"/>
  <c r="D1190"/>
  <c r="E1190"/>
  <c r="A1191"/>
  <c r="B1191"/>
  <c r="C1191"/>
  <c r="D1191"/>
  <c r="E1191"/>
  <c r="A1192"/>
  <c r="B1192"/>
  <c r="C1192"/>
  <c r="D1192"/>
  <c r="E1192"/>
  <c r="A1193"/>
  <c r="B1193"/>
  <c r="C1193"/>
  <c r="D1193"/>
  <c r="E1193"/>
  <c r="A1194"/>
  <c r="B1194"/>
  <c r="C1194"/>
  <c r="D1194"/>
  <c r="E1194"/>
  <c r="A1195"/>
  <c r="B1195"/>
  <c r="C1195"/>
  <c r="D1195"/>
  <c r="E1195"/>
  <c r="A1196"/>
  <c r="B1196"/>
  <c r="C1196"/>
  <c r="D1196"/>
  <c r="E1196"/>
  <c r="A1197"/>
  <c r="B1197"/>
  <c r="C1197"/>
  <c r="D1197"/>
  <c r="E1197"/>
  <c r="A1198"/>
  <c r="B1198"/>
  <c r="C1198"/>
  <c r="D1198"/>
  <c r="E1198"/>
  <c r="A1199"/>
  <c r="B1199"/>
  <c r="C1199"/>
  <c r="D1199"/>
  <c r="E1199"/>
  <c r="A1200"/>
  <c r="B1200"/>
  <c r="C1200"/>
  <c r="D1200"/>
  <c r="E1200"/>
  <c r="A1201"/>
  <c r="B1201"/>
  <c r="C1201"/>
  <c r="D1201"/>
  <c r="E1201"/>
  <c r="A1202"/>
  <c r="B1202"/>
  <c r="C1202"/>
  <c r="D1202"/>
  <c r="E1202"/>
  <c r="A1203"/>
  <c r="B1203"/>
  <c r="C1203"/>
  <c r="D1203"/>
  <c r="E1203"/>
  <c r="A1204"/>
  <c r="B1204"/>
  <c r="C1204"/>
  <c r="D1204"/>
  <c r="E1204"/>
  <c r="A1205"/>
  <c r="B1205"/>
  <c r="C1205"/>
  <c r="D1205"/>
  <c r="E1205"/>
  <c r="A1206"/>
  <c r="B1206"/>
  <c r="C1206"/>
  <c r="D1206"/>
  <c r="E1206"/>
  <c r="A1207"/>
  <c r="B1207"/>
  <c r="C1207"/>
  <c r="D1207"/>
  <c r="F1207" s="1"/>
  <c r="E1207"/>
  <c r="A1208"/>
  <c r="B1208"/>
  <c r="C1208"/>
  <c r="D1208"/>
  <c r="E1208"/>
  <c r="A1209"/>
  <c r="B1209"/>
  <c r="C1209"/>
  <c r="D1209"/>
  <c r="E1209"/>
  <c r="A1210"/>
  <c r="B1210"/>
  <c r="C1210"/>
  <c r="D1210"/>
  <c r="F1210" s="1"/>
  <c r="E1210"/>
  <c r="A1211"/>
  <c r="B1211"/>
  <c r="C1211"/>
  <c r="D1211"/>
  <c r="E1211"/>
  <c r="A1212"/>
  <c r="B1212"/>
  <c r="C1212"/>
  <c r="D1212"/>
  <c r="E1212"/>
  <c r="A1213"/>
  <c r="B1213"/>
  <c r="C1213"/>
  <c r="D1213"/>
  <c r="E1213"/>
  <c r="A1214"/>
  <c r="B1214"/>
  <c r="C1214"/>
  <c r="D1214"/>
  <c r="F1214" s="1"/>
  <c r="E1214"/>
  <c r="A9" i="50"/>
  <c r="A10" s="1"/>
  <c r="F10" s="1"/>
  <c r="F11"/>
  <c r="F15"/>
  <c r="A24"/>
  <c r="A25" s="1"/>
  <c r="A26" s="1"/>
  <c r="F26" s="1"/>
  <c r="F24"/>
  <c r="E25"/>
  <c r="I25"/>
  <c r="I26"/>
  <c r="I27"/>
  <c r="M31"/>
  <c r="G32"/>
  <c r="G35" s="1"/>
  <c r="G33"/>
  <c r="D49"/>
  <c r="D112" s="1"/>
  <c r="D50"/>
  <c r="D113" s="1"/>
  <c r="G71"/>
  <c r="A73"/>
  <c r="A74" s="1"/>
  <c r="F74" s="1"/>
  <c r="F75"/>
  <c r="F79"/>
  <c r="G86"/>
  <c r="A88" s="1"/>
  <c r="A89" s="1"/>
  <c r="A90" s="1"/>
  <c r="F90" s="1"/>
  <c r="E88"/>
  <c r="E148" s="1"/>
  <c r="E89"/>
  <c r="E149" s="1"/>
  <c r="G96"/>
  <c r="E97"/>
  <c r="G97" s="1"/>
  <c r="D115"/>
  <c r="D116"/>
  <c r="G131"/>
  <c r="A133" s="1"/>
  <c r="A134" s="1"/>
  <c r="F134"/>
  <c r="F135"/>
  <c r="F139"/>
  <c r="G146"/>
  <c r="A148"/>
  <c r="E150"/>
  <c r="E156"/>
  <c r="G156" s="1"/>
  <c r="M3515" i="11"/>
  <c r="K3222"/>
  <c r="I3218" s="1"/>
  <c r="K3218" s="1"/>
  <c r="K3424"/>
  <c r="I3446"/>
  <c r="I3486" s="1"/>
  <c r="K3486" s="1"/>
  <c r="I3719" i="27"/>
  <c r="K3719" s="1"/>
  <c r="K3719" i="11"/>
  <c r="L3759"/>
  <c r="K2854"/>
  <c r="I2914"/>
  <c r="I2938" s="1"/>
  <c r="K2852"/>
  <c r="K2892"/>
  <c r="I2909"/>
  <c r="I2937" s="1"/>
  <c r="K2361"/>
  <c r="I2408"/>
  <c r="K2408" s="1"/>
  <c r="I3351" i="27"/>
  <c r="I3405" s="1"/>
  <c r="I3140"/>
  <c r="K3140" s="1"/>
  <c r="I2914"/>
  <c r="I2938" s="1"/>
  <c r="P2873"/>
  <c r="R2873" s="1"/>
  <c r="K2868"/>
  <c r="M3741" i="11"/>
  <c r="K3666"/>
  <c r="K3624"/>
  <c r="I3572"/>
  <c r="K3572" s="1"/>
  <c r="I3570"/>
  <c r="K3570"/>
  <c r="K3405"/>
  <c r="I2932"/>
  <c r="I3050" s="1"/>
  <c r="K2804"/>
  <c r="I2441"/>
  <c r="K2441" s="1"/>
  <c r="I2389"/>
  <c r="K2389"/>
  <c r="K2391" s="1"/>
  <c r="K1765"/>
  <c r="K1767" s="1"/>
  <c r="I1811" s="1"/>
  <c r="K1811" s="1"/>
  <c r="K1813" s="1"/>
  <c r="K1455"/>
  <c r="K1457" s="1"/>
  <c r="K2362"/>
  <c r="I2410"/>
  <c r="K2410" s="1"/>
  <c r="I3807"/>
  <c r="K3807" s="1"/>
  <c r="K2739"/>
  <c r="P2846"/>
  <c r="P2858" s="1"/>
  <c r="R2858" s="1"/>
  <c r="R2849"/>
  <c r="I3645"/>
  <c r="K3645" s="1"/>
  <c r="K3170"/>
  <c r="I3054"/>
  <c r="K3054" s="1"/>
  <c r="I2934"/>
  <c r="I2954" s="1"/>
  <c r="I3916" s="1"/>
  <c r="K3916" s="1"/>
  <c r="P2885"/>
  <c r="R2885"/>
  <c r="K2103"/>
  <c r="K2105" s="1"/>
  <c r="K2107" s="1"/>
  <c r="I2951"/>
  <c r="I2961" s="1"/>
  <c r="K2057"/>
  <c r="K1957"/>
  <c r="K1870"/>
  <c r="K1566"/>
  <c r="K1569"/>
  <c r="K1469"/>
  <c r="K1471" s="1"/>
  <c r="I1830"/>
  <c r="K1830"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I1831"/>
  <c r="K1831"/>
  <c r="K1801"/>
  <c r="I35"/>
  <c r="K35" s="1"/>
  <c r="I63"/>
  <c r="K63" s="1"/>
  <c r="I20"/>
  <c r="K20" s="1"/>
  <c r="I53"/>
  <c r="K53" s="1"/>
  <c r="I27"/>
  <c r="K27" s="1"/>
  <c r="I9"/>
  <c r="K9" s="1"/>
  <c r="I44"/>
  <c r="K44" s="1"/>
  <c r="K2869" i="27"/>
  <c r="AE2614" i="1"/>
  <c r="K2364" i="11"/>
  <c r="I2365" s="1"/>
  <c r="I2367" s="1"/>
  <c r="K2367" s="1"/>
  <c r="K2376" s="1"/>
  <c r="I3032"/>
  <c r="K3032" s="1"/>
  <c r="K3446"/>
  <c r="K2414"/>
  <c r="K2416"/>
  <c r="I2422" s="1"/>
  <c r="K2422" s="1"/>
  <c r="K2433" s="1"/>
  <c r="K2435" s="1"/>
  <c r="I3900"/>
  <c r="K3900" s="1"/>
  <c r="I2952"/>
  <c r="K2951"/>
  <c r="I3052"/>
  <c r="K3052" s="1"/>
  <c r="P2879"/>
  <c r="R2879" s="1"/>
  <c r="I3037"/>
  <c r="K3037" s="1"/>
  <c r="I3897"/>
  <c r="K3897" s="1"/>
  <c r="F148" i="32"/>
  <c r="A149"/>
  <c r="A150"/>
  <c r="F150" s="1"/>
  <c r="I3532" i="27"/>
  <c r="K3532" s="1"/>
  <c r="K3494"/>
  <c r="K2804"/>
  <c r="K2364"/>
  <c r="I2365"/>
  <c r="I2367" s="1"/>
  <c r="K2367" s="1"/>
  <c r="K2090"/>
  <c r="K2092" s="1"/>
  <c r="K1482"/>
  <c r="K1484" s="1"/>
  <c r="K712"/>
  <c r="K714" s="1"/>
  <c r="I720" s="1"/>
  <c r="K720" s="1"/>
  <c r="F88" i="32"/>
  <c r="A89"/>
  <c r="A90" s="1"/>
  <c r="F90" s="1"/>
  <c r="K2628" i="27"/>
  <c r="K2629" s="1"/>
  <c r="I2614" s="1"/>
  <c r="K2614" s="1"/>
  <c r="I63"/>
  <c r="K63" s="1"/>
  <c r="I270"/>
  <c r="K270" s="1"/>
  <c r="I496"/>
  <c r="K496" s="1"/>
  <c r="I9"/>
  <c r="K9" s="1"/>
  <c r="I44"/>
  <c r="K44" s="1"/>
  <c r="I3809"/>
  <c r="K3809" s="1"/>
  <c r="K3874" s="1"/>
  <c r="K3259"/>
  <c r="I3053"/>
  <c r="K2854"/>
  <c r="K2851"/>
  <c r="K2880" s="1"/>
  <c r="K2891" s="1"/>
  <c r="R479"/>
  <c r="R481"/>
  <c r="R461"/>
  <c r="R463"/>
  <c r="I53"/>
  <c r="K53"/>
  <c r="I27"/>
  <c r="K27"/>
  <c r="K2090" i="11"/>
  <c r="K2092"/>
  <c r="K1498"/>
  <c r="C35" i="27"/>
  <c r="I153" s="1"/>
  <c r="K153" s="1"/>
  <c r="I243"/>
  <c r="K243"/>
  <c r="K2822" i="11"/>
  <c r="K2908"/>
  <c r="I3031"/>
  <c r="K3031" s="1"/>
  <c r="I946"/>
  <c r="K946" s="1"/>
  <c r="I1012"/>
  <c r="I911"/>
  <c r="K3112" i="27"/>
  <c r="I2759"/>
  <c r="K2759" s="1"/>
  <c r="I2666"/>
  <c r="K2666" s="1"/>
  <c r="K2564"/>
  <c r="K2562"/>
  <c r="K2560"/>
  <c r="I2410"/>
  <c r="K2410" s="1"/>
  <c r="K2371"/>
  <c r="I1831"/>
  <c r="K1831"/>
  <c r="K1801"/>
  <c r="I1702"/>
  <c r="K1702" s="1"/>
  <c r="I1517"/>
  <c r="K1517" s="1"/>
  <c r="I94"/>
  <c r="K94" s="1"/>
  <c r="K86"/>
  <c r="K88" s="1"/>
  <c r="I35"/>
  <c r="K35" s="1"/>
  <c r="K2720" i="11"/>
  <c r="K2705"/>
  <c r="K1482"/>
  <c r="K1484" s="1"/>
  <c r="R858"/>
  <c r="R860" s="1"/>
  <c r="P69" i="27"/>
  <c r="R69" s="1"/>
  <c r="I213"/>
  <c r="K213" s="1"/>
  <c r="P286"/>
  <c r="R286" s="1"/>
  <c r="I300"/>
  <c r="K300" s="1"/>
  <c r="I359"/>
  <c r="K359" s="1"/>
  <c r="I483"/>
  <c r="K483" s="1"/>
  <c r="P536"/>
  <c r="R536" s="1"/>
  <c r="P54"/>
  <c r="R54" s="1"/>
  <c r="P193"/>
  <c r="R193" s="1"/>
  <c r="I228"/>
  <c r="K228" s="1"/>
  <c r="I274"/>
  <c r="K274" s="1"/>
  <c r="P298"/>
  <c r="R298" s="1"/>
  <c r="I315"/>
  <c r="K315" s="1"/>
  <c r="P321"/>
  <c r="R321" s="1"/>
  <c r="I339"/>
  <c r="K339" s="1"/>
  <c r="P365"/>
  <c r="R365" s="1"/>
  <c r="P378"/>
  <c r="R378" s="1"/>
  <c r="P392"/>
  <c r="R392" s="1"/>
  <c r="P498"/>
  <c r="R498" s="1"/>
  <c r="P516"/>
  <c r="R516" s="1"/>
  <c r="I212"/>
  <c r="K212" s="1"/>
  <c r="I227"/>
  <c r="K227" s="1"/>
  <c r="P308"/>
  <c r="R308" s="1"/>
  <c r="P349"/>
  <c r="R349" s="1"/>
  <c r="P363"/>
  <c r="R363" s="1"/>
  <c r="I382"/>
  <c r="K382" s="1"/>
  <c r="P83"/>
  <c r="R83" s="1"/>
  <c r="I197"/>
  <c r="K197" s="1"/>
  <c r="P337"/>
  <c r="R337" s="1"/>
  <c r="I413"/>
  <c r="K413" s="1"/>
  <c r="I447"/>
  <c r="K447" s="1"/>
  <c r="I536"/>
  <c r="K536" s="1"/>
  <c r="I561"/>
  <c r="K561" s="1"/>
  <c r="I623"/>
  <c r="K623" s="1"/>
  <c r="I95"/>
  <c r="K95" s="1"/>
  <c r="K2792" i="11"/>
  <c r="K2794" s="1"/>
  <c r="Z24" i="1"/>
  <c r="Z25" s="1"/>
  <c r="AC25" s="1"/>
  <c r="P534" i="27"/>
  <c r="R534" s="1"/>
  <c r="P496"/>
  <c r="R496" s="1"/>
  <c r="I480"/>
  <c r="K480" s="1"/>
  <c r="I459"/>
  <c r="K459" s="1"/>
  <c r="I426"/>
  <c r="K426" s="1"/>
  <c r="I394"/>
  <c r="K394" s="1"/>
  <c r="I380"/>
  <c r="K380" s="1"/>
  <c r="P376"/>
  <c r="R376" s="1"/>
  <c r="I357"/>
  <c r="K357" s="1"/>
  <c r="P284"/>
  <c r="R284" s="1"/>
  <c r="I226"/>
  <c r="K226" s="1"/>
  <c r="P67"/>
  <c r="R67" s="1"/>
  <c r="P52"/>
  <c r="R52" s="1"/>
  <c r="I3700" i="11"/>
  <c r="I3709" s="1"/>
  <c r="K3709" s="1"/>
  <c r="K3712" s="1"/>
  <c r="M3712" s="1"/>
  <c r="I3589"/>
  <c r="K3589" s="1"/>
  <c r="K3506"/>
  <c r="K3505"/>
  <c r="K3504"/>
  <c r="K3503"/>
  <c r="I3003"/>
  <c r="K3003" s="1"/>
  <c r="P2884"/>
  <c r="R2884" s="1"/>
  <c r="P2850"/>
  <c r="P2883" s="1"/>
  <c r="R2883" s="1"/>
  <c r="K2846"/>
  <c r="I2440"/>
  <c r="K2440" s="1"/>
  <c r="I1845"/>
  <c r="K1845" s="1"/>
  <c r="K1809"/>
  <c r="P720"/>
  <c r="R720" s="1"/>
  <c r="R704"/>
  <c r="P630"/>
  <c r="R630" s="1"/>
  <c r="P618"/>
  <c r="R618" s="1"/>
  <c r="P600"/>
  <c r="R600" s="1"/>
  <c r="P554"/>
  <c r="R554" s="1"/>
  <c r="P516"/>
  <c r="R516" s="1"/>
  <c r="P514"/>
  <c r="R514" s="1"/>
  <c r="P498"/>
  <c r="R498" s="1"/>
  <c r="P497"/>
  <c r="R497" s="1"/>
  <c r="I483"/>
  <c r="K483" s="1"/>
  <c r="I481"/>
  <c r="K481" s="1"/>
  <c r="P467"/>
  <c r="R467" s="1"/>
  <c r="P450"/>
  <c r="R450" s="1"/>
  <c r="I448"/>
  <c r="K448" s="1"/>
  <c r="I446"/>
  <c r="K446" s="1"/>
  <c r="P431"/>
  <c r="R431" s="1"/>
  <c r="R443" s="1"/>
  <c r="R445" s="1"/>
  <c r="I426"/>
  <c r="K426" s="1"/>
  <c r="I413"/>
  <c r="K413" s="1"/>
  <c r="I411"/>
  <c r="K411" s="1"/>
  <c r="P364"/>
  <c r="R364" s="1"/>
  <c r="P362"/>
  <c r="R362" s="1"/>
  <c r="I358"/>
  <c r="K358" s="1"/>
  <c r="I356"/>
  <c r="K356" s="1"/>
  <c r="P349"/>
  <c r="R349" s="1"/>
  <c r="I339"/>
  <c r="K339" s="1"/>
  <c r="I338"/>
  <c r="K338" s="1"/>
  <c r="I337"/>
  <c r="K337" s="1"/>
  <c r="I336"/>
  <c r="K336" s="1"/>
  <c r="P320"/>
  <c r="R320" s="1"/>
  <c r="I315"/>
  <c r="K315" s="1"/>
  <c r="I313"/>
  <c r="K313" s="1"/>
  <c r="I274"/>
  <c r="K274" s="1"/>
  <c r="I272"/>
  <c r="K272" s="1"/>
  <c r="P267"/>
  <c r="R267" s="1"/>
  <c r="I175"/>
  <c r="K175" s="1"/>
  <c r="I110"/>
  <c r="K110" s="1"/>
  <c r="I83"/>
  <c r="L3562"/>
  <c r="P3506"/>
  <c r="R3506" s="1"/>
  <c r="I576" i="27"/>
  <c r="K576" s="1"/>
  <c r="I519"/>
  <c r="K519" s="1"/>
  <c r="P514"/>
  <c r="R514" s="1"/>
  <c r="I498"/>
  <c r="K498" s="1"/>
  <c r="I411"/>
  <c r="K411" s="1"/>
  <c r="P390"/>
  <c r="R390" s="1"/>
  <c r="I337"/>
  <c r="K337" s="1"/>
  <c r="P319"/>
  <c r="R319" s="1"/>
  <c r="I313"/>
  <c r="K313" s="1"/>
  <c r="I298"/>
  <c r="K298" s="1"/>
  <c r="P296"/>
  <c r="R296" s="1"/>
  <c r="I272"/>
  <c r="K272" s="1"/>
  <c r="I211"/>
  <c r="K211" s="1"/>
  <c r="I3198" i="11"/>
  <c r="K3198" s="1"/>
  <c r="I2264"/>
  <c r="P553"/>
  <c r="R553" s="1"/>
  <c r="R566" s="1"/>
  <c r="R568" s="1"/>
  <c r="P515"/>
  <c r="R515" s="1"/>
  <c r="I499"/>
  <c r="K499" s="1"/>
  <c r="I498"/>
  <c r="K498" s="1"/>
  <c r="P496"/>
  <c r="R496" s="1"/>
  <c r="I482"/>
  <c r="K482" s="1"/>
  <c r="I480"/>
  <c r="K480" s="1"/>
  <c r="I474"/>
  <c r="K474" s="1"/>
  <c r="P468"/>
  <c r="R468" s="1"/>
  <c r="I459"/>
  <c r="K459" s="1"/>
  <c r="P449"/>
  <c r="R449" s="1"/>
  <c r="R461" s="1"/>
  <c r="R463" s="1"/>
  <c r="I447"/>
  <c r="K447" s="1"/>
  <c r="I445"/>
  <c r="K445" s="1"/>
  <c r="I414"/>
  <c r="K414" s="1"/>
  <c r="I412"/>
  <c r="K412" s="1"/>
  <c r="P365"/>
  <c r="R365" s="1"/>
  <c r="P363"/>
  <c r="R363" s="1"/>
  <c r="I359"/>
  <c r="K359" s="1"/>
  <c r="P350"/>
  <c r="R350" s="1"/>
  <c r="P348"/>
  <c r="R348" s="1"/>
  <c r="P338"/>
  <c r="R338" s="1"/>
  <c r="P337"/>
  <c r="R337" s="1"/>
  <c r="P336"/>
  <c r="R336" s="1"/>
  <c r="P319"/>
  <c r="R319" s="1"/>
  <c r="I314"/>
  <c r="K314" s="1"/>
  <c r="I312"/>
  <c r="K312" s="1"/>
  <c r="I273"/>
  <c r="K273" s="1"/>
  <c r="P2513" i="1"/>
  <c r="R2513" s="1"/>
  <c r="K2464"/>
  <c r="I2535"/>
  <c r="K2535" s="1"/>
  <c r="D137" i="25"/>
  <c r="F137" s="1"/>
  <c r="F111"/>
  <c r="I3803" i="1"/>
  <c r="K3803" s="1"/>
  <c r="P3528"/>
  <c r="R3528" s="1"/>
  <c r="K3522"/>
  <c r="P3434"/>
  <c r="R3434" s="1"/>
  <c r="I3393"/>
  <c r="I3426" s="1"/>
  <c r="K3426" s="1"/>
  <c r="P3364"/>
  <c r="R3364" s="1"/>
  <c r="P3329"/>
  <c r="R3329" s="1"/>
  <c r="P3327"/>
  <c r="R3327" s="1"/>
  <c r="P3159"/>
  <c r="R3159" s="1"/>
  <c r="P3156"/>
  <c r="R3156" s="1"/>
  <c r="V3154"/>
  <c r="X3154" s="1"/>
  <c r="I3057"/>
  <c r="P3064" s="1"/>
  <c r="R3064" s="1"/>
  <c r="I2973"/>
  <c r="I3058" s="1"/>
  <c r="K2838"/>
  <c r="K2820"/>
  <c r="AE2791"/>
  <c r="AG2791" s="1"/>
  <c r="X2785"/>
  <c r="P2673"/>
  <c r="P1983"/>
  <c r="R1983" s="1"/>
  <c r="P1965"/>
  <c r="R1965" s="1"/>
  <c r="F272" i="25"/>
  <c r="D256" s="1"/>
  <c r="F256" s="1"/>
  <c r="F264" s="1"/>
  <c r="F265" s="1"/>
  <c r="I39"/>
  <c r="P1535" i="1"/>
  <c r="R1535" s="1"/>
  <c r="K2819"/>
  <c r="P2826"/>
  <c r="R2826" s="1"/>
  <c r="AE2619"/>
  <c r="AG2619" s="1"/>
  <c r="X2605"/>
  <c r="Z2603" s="1"/>
  <c r="X2604"/>
  <c r="AE2618"/>
  <c r="AG2618" s="1"/>
  <c r="Z2601"/>
  <c r="AE2617"/>
  <c r="AG2617" s="1"/>
  <c r="X2603"/>
  <c r="I2484"/>
  <c r="K2484" s="1"/>
  <c r="K2465"/>
  <c r="I2536"/>
  <c r="K2536" s="1"/>
  <c r="K1627"/>
  <c r="V893"/>
  <c r="X893" s="1"/>
  <c r="X877"/>
  <c r="V3650"/>
  <c r="V3680" s="1"/>
  <c r="V3255"/>
  <c r="X3255" s="1"/>
  <c r="AE2792"/>
  <c r="AG2792" s="1"/>
  <c r="V2788"/>
  <c r="X2788" s="1"/>
  <c r="P2672"/>
  <c r="Z2600"/>
  <c r="X2602"/>
  <c r="AE2616"/>
  <c r="AG2616" s="1"/>
  <c r="K1803"/>
  <c r="I2732"/>
  <c r="K2732" s="1"/>
  <c r="R1095"/>
  <c r="P1116"/>
  <c r="R1116" s="1"/>
  <c r="P1052"/>
  <c r="R1052" s="1"/>
  <c r="I4021"/>
  <c r="I4034" s="1"/>
  <c r="K4034" s="1"/>
  <c r="K4006"/>
  <c r="P3328"/>
  <c r="R3328" s="1"/>
  <c r="I2974"/>
  <c r="P2981" s="1"/>
  <c r="R2981" s="1"/>
  <c r="V2590"/>
  <c r="S2599" s="1"/>
  <c r="I1868"/>
  <c r="K1868" s="1"/>
  <c r="R2642"/>
  <c r="E209" i="25"/>
  <c r="G209" s="1"/>
  <c r="I1893" i="1"/>
  <c r="K1893" s="1"/>
  <c r="K1892"/>
  <c r="K1804"/>
  <c r="I2733"/>
  <c r="K2733" s="1"/>
  <c r="R1430"/>
  <c r="P1446"/>
  <c r="P1463" s="1"/>
  <c r="P2671"/>
  <c r="Z2602"/>
  <c r="I2505"/>
  <c r="P2512" s="1"/>
  <c r="R2512" s="1"/>
  <c r="P1045"/>
  <c r="R1045" s="1"/>
  <c r="P992"/>
  <c r="R992" s="1"/>
  <c r="P988"/>
  <c r="R988" s="1"/>
  <c r="P986"/>
  <c r="R986" s="1"/>
  <c r="D29"/>
  <c r="I1070" s="1"/>
  <c r="K1070" s="1"/>
  <c r="R1413"/>
  <c r="V1374"/>
  <c r="V1391" s="1"/>
  <c r="AD1357"/>
  <c r="X1355"/>
  <c r="X1354"/>
  <c r="X1353"/>
  <c r="V1241"/>
  <c r="X1241" s="1"/>
  <c r="P1238"/>
  <c r="R1238" s="1"/>
  <c r="I1073"/>
  <c r="K1073" s="1"/>
  <c r="P1070"/>
  <c r="R1070" s="1"/>
  <c r="K1056"/>
  <c r="K1054"/>
  <c r="K1021"/>
  <c r="P993"/>
  <c r="R993" s="1"/>
  <c r="P989"/>
  <c r="R989" s="1"/>
  <c r="V898"/>
  <c r="X898" s="1"/>
  <c r="I893"/>
  <c r="K893" s="1"/>
  <c r="K877"/>
  <c r="V876"/>
  <c r="X876" s="1"/>
  <c r="D14"/>
  <c r="D304" i="25"/>
  <c r="F304" s="1"/>
  <c r="F139"/>
  <c r="AB1355" i="1"/>
  <c r="AD1355" s="1"/>
  <c r="P1067"/>
  <c r="R1067" s="1"/>
  <c r="P1065"/>
  <c r="R1065" s="1"/>
  <c r="AE1063"/>
  <c r="AG1063" s="1"/>
  <c r="P1050"/>
  <c r="R1050" s="1"/>
  <c r="P1049"/>
  <c r="R1049" s="1"/>
  <c r="P949"/>
  <c r="R949" s="1"/>
  <c r="C15"/>
  <c r="P2333" s="1"/>
  <c r="R2333" s="1"/>
  <c r="D162" i="25"/>
  <c r="F162" s="1"/>
  <c r="R1390" i="1"/>
  <c r="AB1352"/>
  <c r="AB1369" s="1"/>
  <c r="X1350"/>
  <c r="K1057"/>
  <c r="I894"/>
  <c r="K894" s="1"/>
  <c r="I1088"/>
  <c r="K1088" s="1"/>
  <c r="I1683" i="27"/>
  <c r="K1683" s="1"/>
  <c r="K4021" i="1"/>
  <c r="K3057"/>
  <c r="I2570"/>
  <c r="K2570" s="1"/>
  <c r="K2264" i="11"/>
  <c r="I2666"/>
  <c r="K2666" s="1"/>
  <c r="R2850"/>
  <c r="P3544" i="1"/>
  <c r="R3544" s="1"/>
  <c r="AD1352"/>
  <c r="X1374"/>
  <c r="X3650"/>
  <c r="D160" i="25"/>
  <c r="F160" s="1"/>
  <c r="I96" i="11"/>
  <c r="K96" s="1"/>
  <c r="K99" s="1"/>
  <c r="K101" s="1"/>
  <c r="I111"/>
  <c r="K111" s="1"/>
  <c r="K83"/>
  <c r="B1099" i="58"/>
  <c r="B1085"/>
  <c r="B1079"/>
  <c r="B1098"/>
  <c r="AI959" i="55"/>
  <c r="AJ959" s="1"/>
  <c r="B1067" i="58"/>
  <c r="B1069"/>
  <c r="B1077"/>
  <c r="B1078"/>
  <c r="B1081"/>
  <c r="Y1067" i="55"/>
  <c r="Z1067" s="1"/>
  <c r="X1060"/>
  <c r="Y1059"/>
  <c r="B1074" i="58" s="1"/>
  <c r="Y1053" i="55"/>
  <c r="B1068" i="58" s="1"/>
  <c r="Y1051" i="55"/>
  <c r="X859"/>
  <c r="Y846"/>
  <c r="B910" i="58" s="1"/>
  <c r="B806"/>
  <c r="B786"/>
  <c r="X721" i="55"/>
  <c r="B787" i="58"/>
  <c r="X722" i="55"/>
  <c r="X787"/>
  <c r="X786"/>
  <c r="Y693"/>
  <c r="B758" i="58" s="1"/>
  <c r="X693" i="55"/>
  <c r="B518" i="58"/>
  <c r="B57"/>
  <c r="Y489" i="55"/>
  <c r="B486" i="58" s="1"/>
  <c r="Z763" i="55"/>
  <c r="Y1003"/>
  <c r="Y1035"/>
  <c r="Z128"/>
  <c r="Z38"/>
  <c r="Y973"/>
  <c r="B1040" i="58" s="1"/>
  <c r="Y1037" i="55"/>
  <c r="X52"/>
  <c r="Z961"/>
  <c r="Z52"/>
  <c r="Z198"/>
  <c r="X541"/>
  <c r="B971" i="58"/>
  <c r="Y737" i="55"/>
  <c r="B802" i="58" s="1"/>
  <c r="Z36" i="55"/>
  <c r="Z32"/>
  <c r="Z15"/>
  <c r="Z445"/>
  <c r="Z232"/>
  <c r="Z214"/>
  <c r="Z199"/>
  <c r="Z132"/>
  <c r="Z26"/>
  <c r="Z129"/>
  <c r="Z34"/>
  <c r="Z717"/>
  <c r="Z234"/>
  <c r="Z159"/>
  <c r="Z117"/>
  <c r="Z109"/>
  <c r="Y1005"/>
  <c r="Y996"/>
  <c r="B1063" i="58" s="1"/>
  <c r="Y989" i="55"/>
  <c r="B1056" i="58" s="1"/>
  <c r="Y987" i="55"/>
  <c r="B1054" i="58" s="1"/>
  <c r="Y980" i="55"/>
  <c r="B1047" i="58" s="1"/>
  <c r="Y460" i="55"/>
  <c r="B454" i="58" s="1"/>
  <c r="F454" s="1"/>
  <c r="B99"/>
  <c r="Y1019" i="55"/>
  <c r="X790"/>
  <c r="Y843"/>
  <c r="B907" i="58" s="1"/>
  <c r="Y738" i="55"/>
  <c r="B803" i="58" s="1"/>
  <c r="B1011"/>
  <c r="F1011" s="1"/>
  <c r="B987"/>
  <c r="F987" s="1"/>
  <c r="B230"/>
  <c r="Y968" i="55"/>
  <c r="B1035" i="58" s="1"/>
  <c r="B1010"/>
  <c r="F1010" s="1"/>
  <c r="Y862" i="55"/>
  <c r="B926" i="58" s="1"/>
  <c r="Z725" i="55"/>
  <c r="B1048" i="58"/>
  <c r="B972"/>
  <c r="B964"/>
  <c r="B960"/>
  <c r="B940"/>
  <c r="F940" s="1"/>
  <c r="B928"/>
  <c r="F928" s="1"/>
  <c r="Z864" i="55"/>
  <c r="B886" i="58"/>
  <c r="B850"/>
  <c r="F850" s="1"/>
  <c r="B844"/>
  <c r="B834"/>
  <c r="B792"/>
  <c r="F792" s="1"/>
  <c r="B780"/>
  <c r="F780" s="1"/>
  <c r="B588"/>
  <c r="B576"/>
  <c r="B556"/>
  <c r="B506"/>
  <c r="B503"/>
  <c r="B438"/>
  <c r="F438" s="1"/>
  <c r="Z444" i="55"/>
  <c r="B435" i="58"/>
  <c r="B426"/>
  <c r="B414"/>
  <c r="B257"/>
  <c r="B254"/>
  <c r="B251"/>
  <c r="B194"/>
  <c r="B188"/>
  <c r="Z182" i="55"/>
  <c r="B154" i="58"/>
  <c r="F154" s="1"/>
  <c r="Z157" i="55"/>
  <c r="B138" i="58"/>
  <c r="B128"/>
  <c r="F128" s="1"/>
  <c r="Z131" i="55"/>
  <c r="B1064" i="58"/>
  <c r="B1038"/>
  <c r="B1022"/>
  <c r="F1022" s="1"/>
  <c r="B1012"/>
  <c r="B918"/>
  <c r="B868"/>
  <c r="B835"/>
  <c r="B513"/>
  <c r="B498"/>
  <c r="B482"/>
  <c r="B477"/>
  <c r="B449"/>
  <c r="B446"/>
  <c r="B406"/>
  <c r="F406" s="1"/>
  <c r="Z412" i="55"/>
  <c r="B403" i="58"/>
  <c r="B400"/>
  <c r="B380"/>
  <c r="B374"/>
  <c r="B371"/>
  <c r="B249"/>
  <c r="B243"/>
  <c r="B215"/>
  <c r="F215" s="1"/>
  <c r="Z218" i="55"/>
  <c r="B168" i="58"/>
  <c r="B162"/>
  <c r="F162" s="1"/>
  <c r="Z165" i="55"/>
  <c r="B150" i="58"/>
  <c r="B124"/>
  <c r="F124" s="1"/>
  <c r="Z127" i="55"/>
  <c r="B1080" i="58"/>
  <c r="F1080" s="1"/>
  <c r="Z1060" i="55"/>
  <c r="B1075" i="58"/>
  <c r="B1044"/>
  <c r="B1039"/>
  <c r="B984"/>
  <c r="F984" s="1"/>
  <c r="B942"/>
  <c r="F942" s="1"/>
  <c r="B848"/>
  <c r="B820"/>
  <c r="B764"/>
  <c r="B582"/>
  <c r="B574"/>
  <c r="B566"/>
  <c r="B558"/>
  <c r="B550"/>
  <c r="B542"/>
  <c r="F542" s="1"/>
  <c r="B534"/>
  <c r="B526"/>
  <c r="B508"/>
  <c r="B499"/>
  <c r="B491"/>
  <c r="B485"/>
  <c r="B472"/>
  <c r="B469"/>
  <c r="B461"/>
  <c r="F461" s="1"/>
  <c r="B455"/>
  <c r="B447"/>
  <c r="Z453" i="55"/>
  <c r="B442" i="58"/>
  <c r="B422"/>
  <c r="B395"/>
  <c r="F395" s="1"/>
  <c r="Z401" i="55"/>
  <c r="B392" i="58"/>
  <c r="B375"/>
  <c r="B235"/>
  <c r="B210"/>
  <c r="Z166" i="55"/>
  <c r="B146" i="58"/>
  <c r="B136"/>
  <c r="B120"/>
  <c r="B113"/>
  <c r="F113" s="1"/>
  <c r="Z116" i="55"/>
  <c r="B1070" i="58"/>
  <c r="B1060"/>
  <c r="B1055"/>
  <c r="B1032"/>
  <c r="B1000"/>
  <c r="F1000" s="1"/>
  <c r="B912"/>
  <c r="B521"/>
  <c r="B511"/>
  <c r="B475"/>
  <c r="B470"/>
  <c r="B456"/>
  <c r="F456" s="1"/>
  <c r="B431"/>
  <c r="B416"/>
  <c r="B390"/>
  <c r="B384"/>
  <c r="F384" s="1"/>
  <c r="B262"/>
  <c r="B259"/>
  <c r="B233"/>
  <c r="B219"/>
  <c r="B199"/>
  <c r="Z202" i="55"/>
  <c r="B172" i="58"/>
  <c r="B142"/>
  <c r="B132"/>
  <c r="B116"/>
  <c r="F116" s="1"/>
  <c r="Z119" i="55"/>
  <c r="B70" i="58"/>
  <c r="B8"/>
  <c r="Z180" i="55"/>
  <c r="Z285"/>
  <c r="Z299"/>
  <c r="Z204"/>
  <c r="Z427"/>
  <c r="Z666"/>
  <c r="Z674"/>
  <c r="Z678"/>
  <c r="Z682"/>
  <c r="Z641"/>
  <c r="Z716"/>
  <c r="Z538"/>
  <c r="Z694"/>
  <c r="Z823"/>
  <c r="Z706"/>
  <c r="Z852"/>
  <c r="Z541"/>
  <c r="Z248"/>
  <c r="Z203"/>
  <c r="Z156"/>
  <c r="B1059" i="58"/>
  <c r="B1051"/>
  <c r="B1046"/>
  <c r="B85"/>
  <c r="F85" s="1"/>
  <c r="Z88" i="55"/>
  <c r="B77" i="58"/>
  <c r="B41"/>
  <c r="B25"/>
  <c r="B53"/>
  <c r="B37"/>
  <c r="F37" s="1"/>
  <c r="Z37" i="55"/>
  <c r="B21" i="58"/>
  <c r="Z235" i="55"/>
  <c r="Z273"/>
  <c r="Z289"/>
  <c r="Z355"/>
  <c r="Z372"/>
  <c r="Z676"/>
  <c r="Z529"/>
  <c r="Z692"/>
  <c r="Z708"/>
  <c r="Z710"/>
  <c r="Z969"/>
  <c r="Z773"/>
  <c r="Z709"/>
  <c r="Z480"/>
  <c r="Z421"/>
  <c r="Z405"/>
  <c r="Z378"/>
  <c r="Z261"/>
  <c r="Z169"/>
  <c r="Z167"/>
  <c r="B89" i="58"/>
  <c r="B81"/>
  <c r="B74"/>
  <c r="B58"/>
  <c r="F58" s="1"/>
  <c r="Z61" i="55"/>
  <c r="B44" i="58"/>
  <c r="B33"/>
  <c r="F33" s="1"/>
  <c r="Z33" i="55"/>
  <c r="B12" i="58"/>
  <c r="F12" s="1"/>
  <c r="Z12" i="55"/>
  <c r="F399" i="58"/>
  <c r="F129"/>
  <c r="F15"/>
  <c r="F34"/>
  <c r="F26"/>
  <c r="Z20" i="11"/>
  <c r="AC20" s="1"/>
  <c r="AC18"/>
  <c r="C80" s="1"/>
  <c r="Z29"/>
  <c r="K3538" i="1"/>
  <c r="AE3538"/>
  <c r="AG3538" s="1"/>
  <c r="V3538"/>
  <c r="V3554" s="1"/>
  <c r="R1093"/>
  <c r="P1114"/>
  <c r="R1114" s="1"/>
  <c r="R1092"/>
  <c r="P1113"/>
  <c r="R1113" s="1"/>
  <c r="K2971"/>
  <c r="P2978"/>
  <c r="R2978" s="1"/>
  <c r="I3056"/>
  <c r="I3076"/>
  <c r="K3076" s="1"/>
  <c r="K2835"/>
  <c r="K1019"/>
  <c r="P947"/>
  <c r="R947" s="1"/>
  <c r="P3526"/>
  <c r="P3542" s="1"/>
  <c r="R3542" s="1"/>
  <c r="X3115"/>
  <c r="I2834"/>
  <c r="R1094"/>
  <c r="K1055"/>
  <c r="K1018"/>
  <c r="P3154"/>
  <c r="R3154" s="1"/>
  <c r="V3132"/>
  <c r="X3132" s="1"/>
  <c r="I3178"/>
  <c r="K3178" s="1"/>
  <c r="I3238"/>
  <c r="I3820" i="11" s="1"/>
  <c r="K3820" s="1"/>
  <c r="K3193" i="1"/>
  <c r="C419" i="55"/>
  <c r="Z419" s="1"/>
  <c r="K1544" i="1"/>
  <c r="I2571"/>
  <c r="K2606"/>
  <c r="R1317"/>
  <c r="I1599"/>
  <c r="K1599" s="1"/>
  <c r="R805"/>
  <c r="R817" s="1"/>
  <c r="P823"/>
  <c r="R823" s="1"/>
  <c r="R844" s="1"/>
  <c r="I1781"/>
  <c r="K1781" s="1"/>
  <c r="I2678"/>
  <c r="I2693" s="1"/>
  <c r="K2693" s="1"/>
  <c r="I742"/>
  <c r="I3792"/>
  <c r="AF445"/>
  <c r="J611"/>
  <c r="V589" s="1"/>
  <c r="AC1195"/>
  <c r="AC1196" s="1"/>
  <c r="AC1197" s="1"/>
  <c r="AC1198" s="1"/>
  <c r="AC1199" s="1"/>
  <c r="AC1200" s="1"/>
  <c r="J595"/>
  <c r="J591"/>
  <c r="I1085"/>
  <c r="K1085" s="1"/>
  <c r="I3480"/>
  <c r="K3480" s="1"/>
  <c r="C25"/>
  <c r="I138" s="1"/>
  <c r="K138" s="1"/>
  <c r="I1990"/>
  <c r="V1334"/>
  <c r="AB1332" s="1"/>
  <c r="AC1332" s="1"/>
  <c r="C11"/>
  <c r="I2696" s="1"/>
  <c r="K2696" s="1"/>
  <c r="P2408"/>
  <c r="R2408" s="1"/>
  <c r="I3340"/>
  <c r="K3340" s="1"/>
  <c r="I3721"/>
  <c r="J592"/>
  <c r="J587"/>
  <c r="I71"/>
  <c r="K71" s="1"/>
  <c r="I153"/>
  <c r="K153" s="1"/>
  <c r="I2293"/>
  <c r="K2293" s="1"/>
  <c r="I3458"/>
  <c r="I3825" s="1"/>
  <c r="K3825" s="1"/>
  <c r="Z21"/>
  <c r="AC21" s="1"/>
  <c r="C82" s="1"/>
  <c r="Q4" i="4"/>
  <c r="AE3554" i="1"/>
  <c r="AG3554" s="1"/>
  <c r="V3157"/>
  <c r="D550" i="25" s="1"/>
  <c r="F550" s="1"/>
  <c r="I3075" i="1"/>
  <c r="K3075" s="1"/>
  <c r="K3056"/>
  <c r="P3063"/>
  <c r="R3063" s="1"/>
  <c r="X3538"/>
  <c r="K2834"/>
  <c r="I2970"/>
  <c r="I3055" s="1"/>
  <c r="R3526"/>
  <c r="K3238"/>
  <c r="L3204" s="1"/>
  <c r="P2572"/>
  <c r="R2572" s="1"/>
  <c r="M2578"/>
  <c r="O2578" s="1"/>
  <c r="O2580" s="1"/>
  <c r="O2581" s="1"/>
  <c r="K2571"/>
  <c r="K742"/>
  <c r="I1780"/>
  <c r="K1780"/>
  <c r="I1779"/>
  <c r="K1779"/>
  <c r="I1826"/>
  <c r="K1826" s="1"/>
  <c r="K3713"/>
  <c r="X11"/>
  <c r="X13"/>
  <c r="X22"/>
  <c r="X10"/>
  <c r="X12"/>
  <c r="T1024" i="55"/>
  <c r="F1024"/>
  <c r="J392"/>
  <c r="I3587" i="27"/>
  <c r="K3587" s="1"/>
  <c r="K3354"/>
  <c r="I1683" i="11"/>
  <c r="K1683" s="1"/>
  <c r="I153"/>
  <c r="K153"/>
  <c r="I183"/>
  <c r="K183" s="1"/>
  <c r="K188"/>
  <c r="F585" i="25"/>
  <c r="X392" i="55"/>
  <c r="F548" i="25"/>
  <c r="K911" i="11"/>
  <c r="I2555"/>
  <c r="H420" i="55"/>
  <c r="Z420"/>
  <c r="V298"/>
  <c r="F200" i="58"/>
  <c r="I3910" i="27"/>
  <c r="K3910" s="1"/>
  <c r="I1532" i="11"/>
  <c r="K1532"/>
  <c r="K1537" s="1"/>
  <c r="K1539" s="1"/>
  <c r="I1504"/>
  <c r="K1504" s="1"/>
  <c r="K1511" s="1"/>
  <c r="K1513" s="1"/>
  <c r="AC24" i="1"/>
  <c r="I2694" i="11"/>
  <c r="K2694" s="1"/>
  <c r="K2844" i="27"/>
  <c r="K2906"/>
  <c r="P2847"/>
  <c r="R2847" s="1"/>
  <c r="I3796"/>
  <c r="K3796" s="1"/>
  <c r="I2996"/>
  <c r="I3682" s="1"/>
  <c r="C64" i="1"/>
  <c r="I2853" i="11" s="1"/>
  <c r="P1376" i="1"/>
  <c r="R1376" s="1"/>
  <c r="Z22"/>
  <c r="AC22" s="1"/>
  <c r="C83" s="1"/>
  <c r="AC23"/>
  <c r="C84" s="1"/>
  <c r="I2240" s="1"/>
  <c r="K2240" s="1"/>
  <c r="C140" i="11"/>
  <c r="I243"/>
  <c r="K243" s="1"/>
  <c r="C139"/>
  <c r="C137"/>
  <c r="I888"/>
  <c r="K888" s="1"/>
  <c r="K890" s="1"/>
  <c r="P210"/>
  <c r="R210" s="1"/>
  <c r="I975"/>
  <c r="K975" s="1"/>
  <c r="P209"/>
  <c r="R209" s="1"/>
  <c r="I945"/>
  <c r="K945" s="1"/>
  <c r="I1011"/>
  <c r="I2522" s="1"/>
  <c r="K2522" s="1"/>
  <c r="I1083"/>
  <c r="I2260" s="1"/>
  <c r="I2662" s="1"/>
  <c r="K2662" s="1"/>
  <c r="I881"/>
  <c r="K881" s="1"/>
  <c r="I910"/>
  <c r="I2554" s="1"/>
  <c r="I974"/>
  <c r="K974" s="1"/>
  <c r="X436" i="55"/>
  <c r="J394"/>
  <c r="D388" i="58"/>
  <c r="F388" s="1"/>
  <c r="I2956" i="27"/>
  <c r="K2956" s="1"/>
  <c r="I2913"/>
  <c r="I2939" s="1"/>
  <c r="K2939" s="1"/>
  <c r="I976" i="11"/>
  <c r="K976" s="1"/>
  <c r="P689"/>
  <c r="R689" s="1"/>
  <c r="I2165"/>
  <c r="K2165" s="1"/>
  <c r="K2175"/>
  <c r="K2178" s="1"/>
  <c r="K2211" s="1"/>
  <c r="X977" i="55"/>
  <c r="D455" i="58"/>
  <c r="F461" i="55"/>
  <c r="K2855" i="27"/>
  <c r="I2998"/>
  <c r="K2998" s="1"/>
  <c r="D433" i="58"/>
  <c r="I2911" i="27"/>
  <c r="K2911" s="1"/>
  <c r="I16" i="1"/>
  <c r="K16" s="1"/>
  <c r="I25"/>
  <c r="K25" s="1"/>
  <c r="I1642"/>
  <c r="I50"/>
  <c r="K50" s="1"/>
  <c r="I1252"/>
  <c r="K1252" s="1"/>
  <c r="I92"/>
  <c r="K92" s="1"/>
  <c r="I121"/>
  <c r="K121" s="1"/>
  <c r="K124" s="1"/>
  <c r="K126" s="1"/>
  <c r="K127" s="1"/>
  <c r="V1281"/>
  <c r="X1281" s="1"/>
  <c r="K910" i="11"/>
  <c r="Z26" i="1"/>
  <c r="AC26" s="1"/>
  <c r="P3256" s="1"/>
  <c r="R3256" s="1"/>
  <c r="D656" i="25"/>
  <c r="F656" s="1"/>
  <c r="K2996" i="27"/>
  <c r="P2880"/>
  <c r="R2880" s="1"/>
  <c r="K1011" i="11"/>
  <c r="I60" i="1"/>
  <c r="K60" s="1"/>
  <c r="I1301"/>
  <c r="K1301" s="1"/>
  <c r="I3029" i="27"/>
  <c r="K3029" s="1"/>
  <c r="I2932"/>
  <c r="I2952" s="1"/>
  <c r="K2952" s="1"/>
  <c r="I3050"/>
  <c r="K3050" s="1"/>
  <c r="I3368" i="11"/>
  <c r="K3335"/>
  <c r="I3330" s="1"/>
  <c r="K3330" s="1"/>
  <c r="I3616"/>
  <c r="K3101"/>
  <c r="I3115"/>
  <c r="K3115"/>
  <c r="I2974" i="27"/>
  <c r="K2974" s="1"/>
  <c r="I3447" i="11"/>
  <c r="K3426"/>
  <c r="K3355"/>
  <c r="K3356" s="1"/>
  <c r="K3378" s="1"/>
  <c r="K3379" s="1"/>
  <c r="K3407"/>
  <c r="I3267"/>
  <c r="I3353" i="27"/>
  <c r="I3407" s="1"/>
  <c r="K3407" s="1"/>
  <c r="I3249"/>
  <c r="P3650" i="11"/>
  <c r="R3650"/>
  <c r="R3625"/>
  <c r="I3248" i="27"/>
  <c r="K3248" s="1"/>
  <c r="I3266" i="11"/>
  <c r="I3279" s="1"/>
  <c r="K3351" i="27"/>
  <c r="I3265" i="11"/>
  <c r="I3278" s="1"/>
  <c r="K3247"/>
  <c r="K3250" s="1"/>
  <c r="K3251" s="1"/>
  <c r="K3243" s="1"/>
  <c r="K3772" s="1"/>
  <c r="K3779" s="1"/>
  <c r="K3781" s="1"/>
  <c r="K2761"/>
  <c r="K2764" s="1"/>
  <c r="I3623"/>
  <c r="I3571"/>
  <c r="K3571" s="1"/>
  <c r="K3573" s="1"/>
  <c r="K3564" s="1"/>
  <c r="I3588"/>
  <c r="K3588" s="1"/>
  <c r="P3504"/>
  <c r="R3504" s="1"/>
  <c r="R3507" s="1"/>
  <c r="R3498" s="1"/>
  <c r="K3933"/>
  <c r="I3947" s="1"/>
  <c r="K3947" s="1"/>
  <c r="K3507"/>
  <c r="K3536" s="1"/>
  <c r="I2758" i="27"/>
  <c r="K2758" s="1"/>
  <c r="K2873" i="11"/>
  <c r="K2918" s="1"/>
  <c r="R2875"/>
  <c r="R2877" s="1"/>
  <c r="K2867" i="27"/>
  <c r="I3247"/>
  <c r="K3247" s="1"/>
  <c r="I3504"/>
  <c r="I3571" s="1"/>
  <c r="I3825"/>
  <c r="K3825" s="1"/>
  <c r="K3838" i="11"/>
  <c r="K3905" s="1"/>
  <c r="K3503" i="27"/>
  <c r="I3055" i="11"/>
  <c r="K3055" s="1"/>
  <c r="K2937"/>
  <c r="I3001" i="27"/>
  <c r="K3001" s="1"/>
  <c r="I3034" i="11"/>
  <c r="K3034" s="1"/>
  <c r="K2850" i="27"/>
  <c r="K2893" s="1"/>
  <c r="K3851" s="1"/>
  <c r="P2887" i="11"/>
  <c r="R2887" s="1"/>
  <c r="P2854" i="27"/>
  <c r="P2887" s="1"/>
  <c r="R2887" s="1"/>
  <c r="K2938" i="11"/>
  <c r="I3056"/>
  <c r="K3056"/>
  <c r="I2955"/>
  <c r="K2914"/>
  <c r="K2846" i="27"/>
  <c r="I2933" i="11"/>
  <c r="I2953" s="1"/>
  <c r="I3030"/>
  <c r="K3030" s="1"/>
  <c r="I2997" i="27"/>
  <c r="K2997" s="1"/>
  <c r="I3895" i="11"/>
  <c r="K3895" s="1"/>
  <c r="K3050"/>
  <c r="I3073"/>
  <c r="I3914"/>
  <c r="K3914" s="1"/>
  <c r="K2932"/>
  <c r="I3923"/>
  <c r="K3923" s="1"/>
  <c r="K2961"/>
  <c r="I3059"/>
  <c r="K3059" s="1"/>
  <c r="K2941"/>
  <c r="K2856"/>
  <c r="K2931"/>
  <c r="I3049"/>
  <c r="I3072" s="1"/>
  <c r="I3075" s="1"/>
  <c r="H392" i="55"/>
  <c r="K3427" i="1"/>
  <c r="I3605"/>
  <c r="K3605" s="1"/>
  <c r="I4069"/>
  <c r="K4069" s="1"/>
  <c r="R3196"/>
  <c r="K3489" s="1"/>
  <c r="V3136"/>
  <c r="X3136" s="1"/>
  <c r="J298" i="55"/>
  <c r="P1853" i="1"/>
  <c r="R1853" s="1"/>
  <c r="I2534"/>
  <c r="I2569" s="1"/>
  <c r="K2463"/>
  <c r="K2002"/>
  <c r="P1112"/>
  <c r="R1112" s="1"/>
  <c r="R1091"/>
  <c r="P1395"/>
  <c r="V1356" s="1"/>
  <c r="AB1354" s="1"/>
  <c r="K1017"/>
  <c r="K1058"/>
  <c r="P3326"/>
  <c r="R3326" s="1"/>
  <c r="P3259"/>
  <c r="I3319" s="1"/>
  <c r="K3319" s="1"/>
  <c r="K952"/>
  <c r="P1069"/>
  <c r="R1069" s="1"/>
  <c r="I3521"/>
  <c r="K3521" s="1"/>
  <c r="P3439"/>
  <c r="R3439" s="1"/>
  <c r="P3292"/>
  <c r="R3292" s="1"/>
  <c r="P3158"/>
  <c r="R3158" s="1"/>
  <c r="AE1067"/>
  <c r="AG1067" s="1"/>
  <c r="Z29" i="27"/>
  <c r="Z34" s="1"/>
  <c r="AC34" s="1"/>
  <c r="C77" s="1"/>
  <c r="I443" s="1"/>
  <c r="K443" s="1"/>
  <c r="K451" s="1"/>
  <c r="K453" s="1"/>
  <c r="I458" s="1"/>
  <c r="K458" s="1"/>
  <c r="K462" s="1"/>
  <c r="K464" s="1"/>
  <c r="K466" s="1"/>
  <c r="K3368" i="11"/>
  <c r="I3363"/>
  <c r="K3363" s="1"/>
  <c r="I3402"/>
  <c r="K3616"/>
  <c r="P3617"/>
  <c r="R3617" s="1"/>
  <c r="I3647"/>
  <c r="K3647" s="1"/>
  <c r="I3487"/>
  <c r="K3487" s="1"/>
  <c r="K3488" s="1"/>
  <c r="K3489" s="1"/>
  <c r="K3479" s="1"/>
  <c r="K3447"/>
  <c r="K3448"/>
  <c r="K3449" s="1"/>
  <c r="K3439" s="1"/>
  <c r="I3267" i="27"/>
  <c r="I3280" s="1"/>
  <c r="K3280" s="1"/>
  <c r="K3249"/>
  <c r="K3267" i="11"/>
  <c r="I3280"/>
  <c r="H3123"/>
  <c r="K3840"/>
  <c r="K3821" s="1"/>
  <c r="K3266"/>
  <c r="K3623"/>
  <c r="I3730"/>
  <c r="I3747" s="1"/>
  <c r="K3747" s="1"/>
  <c r="I3684"/>
  <c r="K3684"/>
  <c r="P3624"/>
  <c r="K3265"/>
  <c r="I3122"/>
  <c r="K3116" s="1"/>
  <c r="R3116" s="1"/>
  <c r="R3130" s="1"/>
  <c r="I3265" i="27"/>
  <c r="K3265" s="1"/>
  <c r="I3588"/>
  <c r="K3588" s="1"/>
  <c r="K3571"/>
  <c r="I2985" i="11"/>
  <c r="K2985" s="1"/>
  <c r="K2988" s="1"/>
  <c r="I3917"/>
  <c r="K3917" s="1"/>
  <c r="I2958"/>
  <c r="K2958" s="1"/>
  <c r="K2955"/>
  <c r="I3051"/>
  <c r="I3896" s="1"/>
  <c r="K3896" s="1"/>
  <c r="K3073"/>
  <c r="I3941"/>
  <c r="K3941" s="1"/>
  <c r="I3099"/>
  <c r="P3072" s="1"/>
  <c r="R3072" s="1"/>
  <c r="K3049"/>
  <c r="I3626" i="1"/>
  <c r="K3626" s="1"/>
  <c r="R3298"/>
  <c r="K2534"/>
  <c r="K2539" s="1"/>
  <c r="K2542" s="1"/>
  <c r="I3479"/>
  <c r="K3479" s="1"/>
  <c r="R1395"/>
  <c r="P1412"/>
  <c r="V1373" s="1"/>
  <c r="P3395"/>
  <c r="R3395" s="1"/>
  <c r="P3361"/>
  <c r="R3361" s="1"/>
  <c r="K3402" i="11"/>
  <c r="I3397" s="1"/>
  <c r="K3397" s="1"/>
  <c r="L3397" s="1"/>
  <c r="M3397" s="1"/>
  <c r="N3397" s="1"/>
  <c r="O3397" s="1"/>
  <c r="I3421"/>
  <c r="I3443" s="1"/>
  <c r="I3483" s="1"/>
  <c r="K3280"/>
  <c r="I3298"/>
  <c r="K3298" s="1"/>
  <c r="R3624"/>
  <c r="P3649"/>
  <c r="R3649"/>
  <c r="K3730"/>
  <c r="L2987"/>
  <c r="K3099"/>
  <c r="K3072"/>
  <c r="I3388" i="1"/>
  <c r="K3421" i="11"/>
  <c r="I3416" s="1"/>
  <c r="K3416" s="1"/>
  <c r="L3416" s="1"/>
  <c r="I3323"/>
  <c r="K3323" s="1"/>
  <c r="K3767"/>
  <c r="K2201" s="1"/>
  <c r="I3944"/>
  <c r="K3944" s="1"/>
  <c r="R2855"/>
  <c r="L3556"/>
  <c r="C459" i="55"/>
  <c r="V459" s="1"/>
  <c r="K3614" i="27"/>
  <c r="K3614" i="11"/>
  <c r="I3664"/>
  <c r="K3664" s="1"/>
  <c r="K3454"/>
  <c r="K3347"/>
  <c r="K3348" s="1"/>
  <c r="K3662"/>
  <c r="I3662" i="27"/>
  <c r="I3669" s="1"/>
  <c r="K3669" s="1"/>
  <c r="K3035" i="1"/>
  <c r="C622" i="55" s="1"/>
  <c r="I3664" i="27"/>
  <c r="K3664" s="1"/>
  <c r="K3052" i="1"/>
  <c r="P2974"/>
  <c r="R2974" s="1"/>
  <c r="I3071"/>
  <c r="K3071" s="1"/>
  <c r="K2883"/>
  <c r="K2885" s="1"/>
  <c r="P2858"/>
  <c r="R2858" s="1"/>
  <c r="P2857"/>
  <c r="R2857" s="1"/>
  <c r="X2607"/>
  <c r="D430" i="58"/>
  <c r="F430" s="1"/>
  <c r="K4088" i="11"/>
  <c r="K4089" s="1"/>
  <c r="K4090" s="1"/>
  <c r="K4094" s="1"/>
  <c r="V3535" i="1"/>
  <c r="V3551"/>
  <c r="V3567" s="1"/>
  <c r="I3350"/>
  <c r="K3350" s="1"/>
  <c r="K3636"/>
  <c r="V1375"/>
  <c r="V1392" s="1"/>
  <c r="AB1373"/>
  <c r="AB1390" s="1"/>
  <c r="AD1390" s="1"/>
  <c r="AD1356"/>
  <c r="X1358"/>
  <c r="P1444"/>
  <c r="R1444" s="1"/>
  <c r="R1428"/>
  <c r="R1411"/>
  <c r="V1372"/>
  <c r="X1372" s="1"/>
  <c r="V1388"/>
  <c r="V1404" s="1"/>
  <c r="X1371"/>
  <c r="I3989"/>
  <c r="K3989" s="1"/>
  <c r="AD1351"/>
  <c r="AB1368"/>
  <c r="AD1368" s="1"/>
  <c r="I3988"/>
  <c r="V1370"/>
  <c r="X1370" s="1"/>
  <c r="P1426"/>
  <c r="P1442" s="1"/>
  <c r="X34" i="27"/>
  <c r="X1375" i="1"/>
  <c r="AD1373"/>
  <c r="V1420"/>
  <c r="X1420" s="1"/>
  <c r="K3988"/>
  <c r="I4004"/>
  <c r="K4004" s="1"/>
  <c r="R2079"/>
  <c r="R2077"/>
  <c r="X3654"/>
  <c r="V3156"/>
  <c r="D549" i="25" s="1"/>
  <c r="F549" s="1"/>
  <c r="D45" i="32"/>
  <c r="P3366" i="1"/>
  <c r="R3366" s="1"/>
  <c r="R3530"/>
  <c r="P3546"/>
  <c r="R3546" s="1"/>
  <c r="P3365"/>
  <c r="R3365" s="1"/>
  <c r="R3263"/>
  <c r="I3542"/>
  <c r="V3542" s="1"/>
  <c r="K3526"/>
  <c r="P3443"/>
  <c r="R3443" s="1"/>
  <c r="P3399"/>
  <c r="R3399" s="1"/>
  <c r="I3322"/>
  <c r="I3391" s="1"/>
  <c r="I3321"/>
  <c r="K3321" s="1"/>
  <c r="P3294"/>
  <c r="P3397" s="1"/>
  <c r="R3397" s="1"/>
  <c r="X1351"/>
  <c r="AB1349"/>
  <c r="AD1349" s="1"/>
  <c r="AD1348"/>
  <c r="AB1365"/>
  <c r="AB1382" s="1"/>
  <c r="AD1382" s="1"/>
  <c r="V1352"/>
  <c r="AB1350" s="1"/>
  <c r="D23" i="25"/>
  <c r="D36" s="1"/>
  <c r="R1405" i="1"/>
  <c r="P1422"/>
  <c r="R1422" s="1"/>
  <c r="P1407"/>
  <c r="V1368" s="1"/>
  <c r="AB1347"/>
  <c r="AD1347" s="1"/>
  <c r="P1408"/>
  <c r="R1408" s="1"/>
  <c r="T1219"/>
  <c r="K3788"/>
  <c r="K3789" s="1"/>
  <c r="C842" i="55" s="1"/>
  <c r="V3698" i="1"/>
  <c r="X3698" s="1"/>
  <c r="X3680"/>
  <c r="K3322"/>
  <c r="P3363"/>
  <c r="R3363" s="1"/>
  <c r="I3984"/>
  <c r="I4003" s="1"/>
  <c r="K4003" s="1"/>
  <c r="K36" i="25" s="1"/>
  <c r="AB1366" i="1"/>
  <c r="AB1383" s="1"/>
  <c r="AD1383" s="1"/>
  <c r="V3712"/>
  <c r="X3712" s="1"/>
  <c r="F1131" i="58"/>
  <c r="F760"/>
  <c r="F61"/>
  <c r="F1211"/>
  <c r="F1184"/>
  <c r="F1153"/>
  <c r="F1143"/>
  <c r="F929"/>
  <c r="F923"/>
  <c r="F787"/>
  <c r="F1166"/>
  <c r="F439"/>
  <c r="F276"/>
  <c r="F651"/>
  <c r="F474"/>
  <c r="F1193"/>
  <c r="F1185"/>
  <c r="F270"/>
  <c r="F1015"/>
  <c r="F610"/>
  <c r="F1001"/>
  <c r="F998"/>
  <c r="D377"/>
  <c r="X383" i="55"/>
  <c r="F383"/>
  <c r="H423"/>
  <c r="D587" i="25"/>
  <c r="F587" s="1"/>
  <c r="K2853" i="11"/>
  <c r="I3004"/>
  <c r="K3004" s="1"/>
  <c r="P2857"/>
  <c r="R2857" s="1"/>
  <c r="X420" i="55"/>
  <c r="J420"/>
  <c r="V420"/>
  <c r="T420"/>
  <c r="F392"/>
  <c r="D696" i="58"/>
  <c r="I409" i="27"/>
  <c r="K409"/>
  <c r="K417" s="1"/>
  <c r="K419" s="1"/>
  <c r="I310"/>
  <c r="K310"/>
  <c r="K318" s="1"/>
  <c r="K320" s="1"/>
  <c r="I334"/>
  <c r="K334"/>
  <c r="K342" s="1"/>
  <c r="K344" s="1"/>
  <c r="K346" s="1"/>
  <c r="K347" s="1"/>
  <c r="K348" s="1"/>
  <c r="K349" s="1"/>
  <c r="K350" s="1"/>
  <c r="I888"/>
  <c r="K888" s="1"/>
  <c r="K890" s="1"/>
  <c r="P209"/>
  <c r="R209" s="1"/>
  <c r="I1011"/>
  <c r="I2522" s="1"/>
  <c r="K2522" s="1"/>
  <c r="I974"/>
  <c r="K974" s="1"/>
  <c r="I2683"/>
  <c r="K2683" s="1"/>
  <c r="Z17"/>
  <c r="AC17" s="1"/>
  <c r="F827" i="55"/>
  <c r="I28" i="27"/>
  <c r="K28" s="1"/>
  <c r="K32" s="1"/>
  <c r="I54"/>
  <c r="K54" s="1"/>
  <c r="K58" s="1"/>
  <c r="I10"/>
  <c r="K10" s="1"/>
  <c r="I2071"/>
  <c r="K2071" s="1"/>
  <c r="P10"/>
  <c r="R10" s="1"/>
  <c r="I497"/>
  <c r="K497"/>
  <c r="I36"/>
  <c r="K36" s="1"/>
  <c r="K40" s="1"/>
  <c r="I1684"/>
  <c r="K1684" s="1"/>
  <c r="K3259" i="11"/>
  <c r="I3274"/>
  <c r="K3274" s="1"/>
  <c r="P210" i="27"/>
  <c r="R210" s="1"/>
  <c r="I1059"/>
  <c r="K1059" s="1"/>
  <c r="K1066" s="1"/>
  <c r="K1068" s="1"/>
  <c r="I911"/>
  <c r="K911" s="1"/>
  <c r="I946"/>
  <c r="K946" s="1"/>
  <c r="I1044"/>
  <c r="K1044" s="1"/>
  <c r="K1052" s="1"/>
  <c r="K1054" s="1"/>
  <c r="I1029"/>
  <c r="K1029"/>
  <c r="K1037" s="1"/>
  <c r="K1039" s="1"/>
  <c r="I975"/>
  <c r="K975" s="1"/>
  <c r="I1084"/>
  <c r="K1084" s="1"/>
  <c r="I945"/>
  <c r="K945" s="1"/>
  <c r="I1083"/>
  <c r="I2260" s="1"/>
  <c r="I2662" s="1"/>
  <c r="K2662" s="1"/>
  <c r="I881"/>
  <c r="K881" s="1"/>
  <c r="I910"/>
  <c r="I2554" s="1"/>
  <c r="Z20"/>
  <c r="AC20" s="1"/>
  <c r="AC19"/>
  <c r="C81" s="1"/>
  <c r="I378"/>
  <c r="K378"/>
  <c r="K386" s="1"/>
  <c r="K388" s="1"/>
  <c r="I393" s="1"/>
  <c r="K393" s="1"/>
  <c r="K397" s="1"/>
  <c r="K399" s="1"/>
  <c r="K401" s="1"/>
  <c r="K402" s="1"/>
  <c r="K403" s="1"/>
  <c r="K404" s="1"/>
  <c r="K405" s="1"/>
  <c r="I354"/>
  <c r="K354" s="1"/>
  <c r="K362" s="1"/>
  <c r="K364" s="1"/>
  <c r="K366" s="1"/>
  <c r="K1011"/>
  <c r="I2165"/>
  <c r="K2165" s="1"/>
  <c r="P704"/>
  <c r="R704" s="1"/>
  <c r="I947"/>
  <c r="K947" s="1"/>
  <c r="I912"/>
  <c r="K912" s="1"/>
  <c r="I976"/>
  <c r="K976"/>
  <c r="I19"/>
  <c r="K19" s="1"/>
  <c r="I271"/>
  <c r="K271" s="1"/>
  <c r="I2051"/>
  <c r="K2051" s="1"/>
  <c r="I73"/>
  <c r="K73" s="1"/>
  <c r="I45"/>
  <c r="K45" s="1"/>
  <c r="K49" s="1"/>
  <c r="P22"/>
  <c r="R22"/>
  <c r="R28" s="1"/>
  <c r="R30" s="1"/>
  <c r="I773"/>
  <c r="K773"/>
  <c r="I64"/>
  <c r="K64" s="1"/>
  <c r="K68" s="1"/>
  <c r="Z10"/>
  <c r="Z11" s="1"/>
  <c r="I1012"/>
  <c r="K1012" s="1"/>
  <c r="P720"/>
  <c r="R720" s="1"/>
  <c r="X34" i="1"/>
  <c r="X35" s="1"/>
  <c r="X33"/>
  <c r="I2683" i="11"/>
  <c r="K2683" s="1"/>
  <c r="C81"/>
  <c r="P619" s="1"/>
  <c r="R619" s="1"/>
  <c r="R623" s="1"/>
  <c r="X29"/>
  <c r="C31" i="55"/>
  <c r="T31" s="1"/>
  <c r="C30"/>
  <c r="J30" s="1"/>
  <c r="I1768" i="1"/>
  <c r="K1768" s="1"/>
  <c r="I1176"/>
  <c r="K1176" s="1"/>
  <c r="K1180" s="1"/>
  <c r="K1182" s="1"/>
  <c r="I3169"/>
  <c r="I3182" s="1"/>
  <c r="P1303"/>
  <c r="R1303" s="1"/>
  <c r="AJ1199"/>
  <c r="AF408"/>
  <c r="AR397" s="1"/>
  <c r="J683"/>
  <c r="J703"/>
  <c r="W431"/>
  <c r="W399"/>
  <c r="J596"/>
  <c r="J626"/>
  <c r="J627" s="1"/>
  <c r="J628" s="1"/>
  <c r="J629" s="1"/>
  <c r="J657"/>
  <c r="J658" s="1"/>
  <c r="J659" s="1"/>
  <c r="W484" s="1"/>
  <c r="AC484" s="1"/>
  <c r="J533"/>
  <c r="J534" s="1"/>
  <c r="J535" s="1"/>
  <c r="J594"/>
  <c r="J590"/>
  <c r="AJ1195"/>
  <c r="J610"/>
  <c r="V588" s="1"/>
  <c r="J593"/>
  <c r="J588"/>
  <c r="J589"/>
  <c r="T1179"/>
  <c r="J557"/>
  <c r="J558" s="1"/>
  <c r="T1155"/>
  <c r="M91"/>
  <c r="I1053"/>
  <c r="P1046" s="1"/>
  <c r="R1046" s="1"/>
  <c r="C10"/>
  <c r="I1250" s="1"/>
  <c r="V1333"/>
  <c r="X1333" s="1"/>
  <c r="I1628"/>
  <c r="C164" i="27"/>
  <c r="K910"/>
  <c r="I2523"/>
  <c r="K2523" s="1"/>
  <c r="I2556"/>
  <c r="I2587" s="1"/>
  <c r="K2587" s="1"/>
  <c r="P318" i="1"/>
  <c r="R318" s="1"/>
  <c r="I1146"/>
  <c r="K1146" s="1"/>
  <c r="W559"/>
  <c r="AC559" s="1"/>
  <c r="K2556" i="27"/>
  <c r="C86" i="1" l="1"/>
  <c r="I2660"/>
  <c r="K2660" s="1"/>
  <c r="F294" i="58"/>
  <c r="F350"/>
  <c r="F352"/>
  <c r="F613"/>
  <c r="F625"/>
  <c r="F633"/>
  <c r="F897"/>
  <c r="F913"/>
  <c r="F925"/>
  <c r="F575"/>
  <c r="F607"/>
  <c r="F922"/>
  <c r="F986"/>
  <c r="F914"/>
  <c r="F771"/>
  <c r="F988"/>
  <c r="F924"/>
  <c r="F532"/>
  <c r="F195"/>
  <c r="F106"/>
  <c r="F35"/>
  <c r="H422" i="55"/>
  <c r="I3266" i="27"/>
  <c r="I3007"/>
  <c r="K3007" s="1"/>
  <c r="I2959"/>
  <c r="I3912" s="1"/>
  <c r="K3912" s="1"/>
  <c r="I3505"/>
  <c r="P2872"/>
  <c r="R2872" s="1"/>
  <c r="I2986"/>
  <c r="K2986" s="1"/>
  <c r="K2849"/>
  <c r="K3771"/>
  <c r="Z42" i="1"/>
  <c r="AC42" s="1"/>
  <c r="I3826" i="27"/>
  <c r="K3826" s="1"/>
  <c r="I3139"/>
  <c r="K3139" s="1"/>
  <c r="I3352"/>
  <c r="I3406" s="1"/>
  <c r="K2856"/>
  <c r="I3465"/>
  <c r="K3465" s="1"/>
  <c r="I3810"/>
  <c r="K3810" s="1"/>
  <c r="I3797"/>
  <c r="K3797" s="1"/>
  <c r="F854" i="58"/>
  <c r="F422" i="55"/>
  <c r="X1065"/>
  <c r="T977"/>
  <c r="D322" i="58"/>
  <c r="Z368" i="55"/>
  <c r="Z970"/>
  <c r="Z558"/>
  <c r="R558"/>
  <c r="Z439"/>
  <c r="R439"/>
  <c r="Z383"/>
  <c r="R383"/>
  <c r="Z375"/>
  <c r="R375"/>
  <c r="Z611"/>
  <c r="R611"/>
  <c r="Z651"/>
  <c r="R651"/>
  <c r="Z565"/>
  <c r="R565"/>
  <c r="Z391"/>
  <c r="R391"/>
  <c r="Z361"/>
  <c r="R361"/>
  <c r="Z313"/>
  <c r="R313"/>
  <c r="Z781"/>
  <c r="R781"/>
  <c r="K3662" i="27"/>
  <c r="Z603" i="55"/>
  <c r="R603"/>
  <c r="Z436"/>
  <c r="R436"/>
  <c r="Z376"/>
  <c r="R376"/>
  <c r="Z411"/>
  <c r="R411"/>
  <c r="AC40" i="1"/>
  <c r="I3159" i="27"/>
  <c r="Z622" i="55"/>
  <c r="R622"/>
  <c r="Z639"/>
  <c r="R639"/>
  <c r="Z502"/>
  <c r="R502"/>
  <c r="Z437"/>
  <c r="R437"/>
  <c r="Z377"/>
  <c r="R377"/>
  <c r="Z328"/>
  <c r="R328"/>
  <c r="Z66"/>
  <c r="R66"/>
  <c r="P147" i="1"/>
  <c r="R147" s="1"/>
  <c r="F313" i="55"/>
  <c r="D418" i="58"/>
  <c r="F418" s="1"/>
  <c r="B466"/>
  <c r="B462"/>
  <c r="B471"/>
  <c r="B467"/>
  <c r="F467" s="1"/>
  <c r="Z473" i="55"/>
  <c r="B463" i="58"/>
  <c r="B703"/>
  <c r="B658"/>
  <c r="B468"/>
  <c r="B464"/>
  <c r="V1023" i="55"/>
  <c r="B322" i="58"/>
  <c r="Z327" i="55"/>
  <c r="B307" i="58"/>
  <c r="B554"/>
  <c r="B473"/>
  <c r="B465"/>
  <c r="B434"/>
  <c r="B48"/>
  <c r="V651" i="55"/>
  <c r="P651"/>
  <c r="T651"/>
  <c r="L651"/>
  <c r="N651"/>
  <c r="J651"/>
  <c r="H651"/>
  <c r="V632"/>
  <c r="T632"/>
  <c r="P632"/>
  <c r="N632"/>
  <c r="L632"/>
  <c r="J632"/>
  <c r="H632"/>
  <c r="D631" i="58"/>
  <c r="V565" i="55"/>
  <c r="N565"/>
  <c r="T565"/>
  <c r="P565"/>
  <c r="H565"/>
  <c r="J565"/>
  <c r="L565"/>
  <c r="V391"/>
  <c r="T391"/>
  <c r="P391"/>
  <c r="L391"/>
  <c r="N391"/>
  <c r="H391"/>
  <c r="J391"/>
  <c r="C58" i="75"/>
  <c r="F58" s="1"/>
  <c r="V361" i="55"/>
  <c r="T361"/>
  <c r="P361"/>
  <c r="N361"/>
  <c r="L361"/>
  <c r="H361"/>
  <c r="J361"/>
  <c r="C42" i="75"/>
  <c r="F42" s="1"/>
  <c r="V313" i="55"/>
  <c r="T313"/>
  <c r="P313"/>
  <c r="N313"/>
  <c r="L313"/>
  <c r="J313"/>
  <c r="H313"/>
  <c r="X781"/>
  <c r="V781"/>
  <c r="T781"/>
  <c r="P781"/>
  <c r="N781"/>
  <c r="L781"/>
  <c r="H781"/>
  <c r="J781"/>
  <c r="V622"/>
  <c r="P622"/>
  <c r="L622"/>
  <c r="N622"/>
  <c r="J622"/>
  <c r="H622"/>
  <c r="T622"/>
  <c r="D698" i="58"/>
  <c r="V633" i="55"/>
  <c r="T633"/>
  <c r="P633"/>
  <c r="N633"/>
  <c r="L633"/>
  <c r="J633"/>
  <c r="H633"/>
  <c r="V603"/>
  <c r="T603"/>
  <c r="P603"/>
  <c r="L603"/>
  <c r="N603"/>
  <c r="H603"/>
  <c r="J603"/>
  <c r="V436"/>
  <c r="T436"/>
  <c r="P436"/>
  <c r="N436"/>
  <c r="L436"/>
  <c r="H436"/>
  <c r="J436"/>
  <c r="V376"/>
  <c r="T376"/>
  <c r="P376"/>
  <c r="N376"/>
  <c r="L376"/>
  <c r="J376"/>
  <c r="H376"/>
  <c r="V411"/>
  <c r="T411"/>
  <c r="N411"/>
  <c r="L411"/>
  <c r="H411"/>
  <c r="P411"/>
  <c r="J411"/>
  <c r="D704" i="58"/>
  <c r="F704" s="1"/>
  <c r="V639" i="55"/>
  <c r="P639"/>
  <c r="T639"/>
  <c r="L639"/>
  <c r="N639"/>
  <c r="J639"/>
  <c r="H639"/>
  <c r="V502"/>
  <c r="T502"/>
  <c r="P502"/>
  <c r="N502"/>
  <c r="L502"/>
  <c r="J502"/>
  <c r="H502"/>
  <c r="D431" i="58"/>
  <c r="F431" s="1"/>
  <c r="V437" i="55"/>
  <c r="T437"/>
  <c r="P437"/>
  <c r="L437"/>
  <c r="N437"/>
  <c r="J437"/>
  <c r="H437"/>
  <c r="X377"/>
  <c r="V377"/>
  <c r="T377"/>
  <c r="P377"/>
  <c r="N377"/>
  <c r="L377"/>
  <c r="J377"/>
  <c r="H377"/>
  <c r="C43" i="75"/>
  <c r="F43" s="1"/>
  <c r="V328" i="55"/>
  <c r="T328"/>
  <c r="P328"/>
  <c r="N328"/>
  <c r="J328"/>
  <c r="L328"/>
  <c r="H328"/>
  <c r="D63" i="58"/>
  <c r="F63" s="1"/>
  <c r="V66" i="55"/>
  <c r="T66"/>
  <c r="P66"/>
  <c r="N66"/>
  <c r="L66"/>
  <c r="J66"/>
  <c r="H66"/>
  <c r="V611"/>
  <c r="T611"/>
  <c r="P611"/>
  <c r="N611"/>
  <c r="L611"/>
  <c r="J611"/>
  <c r="H611"/>
  <c r="V640"/>
  <c r="P640"/>
  <c r="L640"/>
  <c r="N640"/>
  <c r="J640"/>
  <c r="T640"/>
  <c r="H640"/>
  <c r="F631"/>
  <c r="V631"/>
  <c r="P631"/>
  <c r="N631"/>
  <c r="T631"/>
  <c r="L631"/>
  <c r="J631"/>
  <c r="H631"/>
  <c r="V558"/>
  <c r="T558"/>
  <c r="P558"/>
  <c r="N558"/>
  <c r="L558"/>
  <c r="J558"/>
  <c r="H558"/>
  <c r="X439"/>
  <c r="V439"/>
  <c r="T439"/>
  <c r="P439"/>
  <c r="N439"/>
  <c r="L439"/>
  <c r="J439"/>
  <c r="H439"/>
  <c r="V383"/>
  <c r="T383"/>
  <c r="P383"/>
  <c r="N383"/>
  <c r="L383"/>
  <c r="J383"/>
  <c r="H383"/>
  <c r="V375"/>
  <c r="T375"/>
  <c r="P375"/>
  <c r="N375"/>
  <c r="L375"/>
  <c r="J375"/>
  <c r="H375"/>
  <c r="X390"/>
  <c r="J605"/>
  <c r="F437"/>
  <c r="Z423"/>
  <c r="F377"/>
  <c r="V393"/>
  <c r="V848"/>
  <c r="F1023"/>
  <c r="F605"/>
  <c r="Z821"/>
  <c r="Z443"/>
  <c r="Z216"/>
  <c r="X502"/>
  <c r="D387" i="58"/>
  <c r="D912"/>
  <c r="Z724" i="55"/>
  <c r="Z640"/>
  <c r="J393"/>
  <c r="X66"/>
  <c r="F393"/>
  <c r="T1023"/>
  <c r="Z605"/>
  <c r="Z208"/>
  <c r="Z29"/>
  <c r="B29" i="58"/>
  <c r="F29" s="1"/>
  <c r="B332"/>
  <c r="F332" s="1"/>
  <c r="Z344" i="55"/>
  <c r="F1079" i="58"/>
  <c r="Z1024" i="55"/>
  <c r="Z848"/>
  <c r="Z422"/>
  <c r="B283" i="58"/>
  <c r="F283" s="1"/>
  <c r="B1029"/>
  <c r="B402"/>
  <c r="F402" s="1"/>
  <c r="Z408" i="55"/>
  <c r="B952" i="58"/>
  <c r="F952" s="1"/>
  <c r="B696"/>
  <c r="F696" s="1"/>
  <c r="Z631" i="55"/>
  <c r="B668" i="58"/>
  <c r="F668" s="1"/>
  <c r="B377"/>
  <c r="F377" s="1"/>
  <c r="B353"/>
  <c r="F353" s="1"/>
  <c r="Z358" i="55"/>
  <c r="B341" i="58"/>
  <c r="F341" s="1"/>
  <c r="Z346" i="55"/>
  <c r="B309" i="58"/>
  <c r="F309" s="1"/>
  <c r="Z314" i="55"/>
  <c r="B301" i="58"/>
  <c r="F301" s="1"/>
  <c r="Z306" i="55"/>
  <c r="B293" i="58"/>
  <c r="Z298" i="55"/>
  <c r="B285" i="58"/>
  <c r="F285" s="1"/>
  <c r="Z288" i="55"/>
  <c r="V977"/>
  <c r="D891" i="58"/>
  <c r="F891" s="1"/>
  <c r="T423" i="55"/>
  <c r="F411"/>
  <c r="X603"/>
  <c r="Z695"/>
  <c r="Z719"/>
  <c r="B516" i="58"/>
  <c r="F516" s="1"/>
  <c r="F1075"/>
  <c r="Z229" i="55"/>
  <c r="Z418"/>
  <c r="Z158"/>
  <c r="X162"/>
  <c r="X182"/>
  <c r="X418"/>
  <c r="X288"/>
  <c r="X314"/>
  <c r="X346"/>
  <c r="X358"/>
  <c r="Y407"/>
  <c r="B401" i="58" s="1"/>
  <c r="F401" s="1"/>
  <c r="F741"/>
  <c r="X531" i="55"/>
  <c r="X695"/>
  <c r="X707"/>
  <c r="X715"/>
  <c r="X723"/>
  <c r="X731"/>
  <c r="X860"/>
  <c r="Y966"/>
  <c r="Z966" s="1"/>
  <c r="F759" i="58"/>
  <c r="F887"/>
  <c r="X261" i="55"/>
  <c r="X687"/>
  <c r="B979" i="58"/>
  <c r="F979" s="1"/>
  <c r="B946"/>
  <c r="F946" s="1"/>
  <c r="X201" i="55"/>
  <c r="V423"/>
  <c r="F603"/>
  <c r="V827"/>
  <c r="T461"/>
  <c r="X631"/>
  <c r="X327"/>
  <c r="V327"/>
  <c r="V991"/>
  <c r="X376"/>
  <c r="Z205"/>
  <c r="Z201"/>
  <c r="B772" i="58"/>
  <c r="F772" s="1"/>
  <c r="Z771" i="55"/>
  <c r="Z832"/>
  <c r="B1006" i="58"/>
  <c r="B214"/>
  <c r="F214" s="1"/>
  <c r="B580"/>
  <c r="F580" s="1"/>
  <c r="B776"/>
  <c r="F776" s="1"/>
  <c r="B788"/>
  <c r="F788" s="1"/>
  <c r="F758"/>
  <c r="T827" i="55"/>
  <c r="D417" i="58"/>
  <c r="F417" s="1"/>
  <c r="F423" i="55"/>
  <c r="F436"/>
  <c r="T298"/>
  <c r="T392"/>
  <c r="X411"/>
  <c r="F439"/>
  <c r="X848"/>
  <c r="X461"/>
  <c r="H461"/>
  <c r="J977"/>
  <c r="H327"/>
  <c r="F327"/>
  <c r="F991"/>
  <c r="F298"/>
  <c r="F376"/>
  <c r="X1024"/>
  <c r="Z35"/>
  <c r="Z691"/>
  <c r="Z680"/>
  <c r="Z335"/>
  <c r="Z726"/>
  <c r="Z630"/>
  <c r="Z310"/>
  <c r="X118"/>
  <c r="Z9"/>
  <c r="Z62"/>
  <c r="F1081" i="58"/>
  <c r="X158" i="55"/>
  <c r="X178"/>
  <c r="X410"/>
  <c r="F739" i="58"/>
  <c r="F747"/>
  <c r="Z679" i="55"/>
  <c r="X763"/>
  <c r="X832"/>
  <c r="X229"/>
  <c r="B931" i="58"/>
  <c r="F931" s="1"/>
  <c r="F1036"/>
  <c r="X827" i="55"/>
  <c r="Z392"/>
  <c r="X422"/>
  <c r="J423"/>
  <c r="X298"/>
  <c r="X633"/>
  <c r="J461"/>
  <c r="V461"/>
  <c r="F977"/>
  <c r="D1044" i="58"/>
  <c r="F1044" s="1"/>
  <c r="T327" i="55"/>
  <c r="J327"/>
  <c r="D1058" i="58"/>
  <c r="F1058" s="1"/>
  <c r="D293"/>
  <c r="H1024" i="55"/>
  <c r="J1024"/>
  <c r="Z690"/>
  <c r="Z693"/>
  <c r="Z130"/>
  <c r="Z633"/>
  <c r="Z227"/>
  <c r="Z162"/>
  <c r="Z731"/>
  <c r="Y1061"/>
  <c r="Z1061" s="1"/>
  <c r="F1077" i="58"/>
  <c r="F1085"/>
  <c r="X166" i="55"/>
  <c r="F743" i="58"/>
  <c r="Z675" i="55"/>
  <c r="Z683"/>
  <c r="X828"/>
  <c r="X852"/>
  <c r="F993" i="58"/>
  <c r="B1017"/>
  <c r="F1017" s="1"/>
  <c r="Y958" i="55"/>
  <c r="B1025" i="58" s="1"/>
  <c r="X74" i="55"/>
  <c r="X503"/>
  <c r="X62"/>
  <c r="X217"/>
  <c r="X9"/>
  <c r="F982" i="58"/>
  <c r="X991" i="55"/>
  <c r="Z991"/>
  <c r="T991"/>
  <c r="X391"/>
  <c r="F632"/>
  <c r="Z449"/>
  <c r="F838" i="58"/>
  <c r="F782"/>
  <c r="F774"/>
  <c r="X424" i="55"/>
  <c r="D308" i="58"/>
  <c r="F308" s="1"/>
  <c r="X632" i="55"/>
  <c r="J422"/>
  <c r="V422"/>
  <c r="F1027"/>
  <c r="D443" i="58"/>
  <c r="F443" s="1"/>
  <c r="D416"/>
  <c r="F416" s="1"/>
  <c r="F791"/>
  <c r="F794"/>
  <c r="F779"/>
  <c r="F796"/>
  <c r="T424" i="55"/>
  <c r="D845" i="58"/>
  <c r="F845" s="1"/>
  <c r="X313" i="55"/>
  <c r="T449"/>
  <c r="F773" i="58"/>
  <c r="F781"/>
  <c r="F789"/>
  <c r="F941"/>
  <c r="F539"/>
  <c r="F775"/>
  <c r="F1204"/>
  <c r="F1196"/>
  <c r="F1192"/>
  <c r="F1172"/>
  <c r="F1168"/>
  <c r="P619" i="27"/>
  <c r="R619" s="1"/>
  <c r="R623" s="1"/>
  <c r="P50"/>
  <c r="R50" s="1"/>
  <c r="R57" s="1"/>
  <c r="R60" s="1"/>
  <c r="I2585"/>
  <c r="K2585" s="1"/>
  <c r="K2554"/>
  <c r="I3915" i="11"/>
  <c r="K3915" s="1"/>
  <c r="K2953"/>
  <c r="I3338"/>
  <c r="K3338" s="1"/>
  <c r="K3279"/>
  <c r="I3297"/>
  <c r="K3297" s="1"/>
  <c r="K3299" s="1"/>
  <c r="K3291" s="1"/>
  <c r="K3293" s="1"/>
  <c r="I2585"/>
  <c r="K2585" s="1"/>
  <c r="K2554"/>
  <c r="P375" i="27"/>
  <c r="R375" s="1"/>
  <c r="P389"/>
  <c r="R389" s="1"/>
  <c r="L3348" i="11"/>
  <c r="C1020" i="55"/>
  <c r="X1020" s="1"/>
  <c r="K2265" i="1"/>
  <c r="C433" i="55" s="1"/>
  <c r="K2989" i="11"/>
  <c r="K2191"/>
  <c r="L2988"/>
  <c r="K2962"/>
  <c r="K3041"/>
  <c r="I834" i="27"/>
  <c r="K834" s="1"/>
  <c r="I851"/>
  <c r="K851" s="1"/>
  <c r="I816"/>
  <c r="K816" s="1"/>
  <c r="K1498"/>
  <c r="I2392"/>
  <c r="I2393" s="1"/>
  <c r="J2378" s="1"/>
  <c r="I238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A206"/>
  <c r="A207" s="1"/>
  <c r="I3337" i="11"/>
  <c r="K3337" s="1"/>
  <c r="K3339" s="1"/>
  <c r="K3340" s="1"/>
  <c r="K3278"/>
  <c r="K3281" s="1"/>
  <c r="K3282" s="1"/>
  <c r="K3275" s="1"/>
  <c r="K3277" s="1"/>
  <c r="I2392"/>
  <c r="I2393" s="1"/>
  <c r="J2378" s="1"/>
  <c r="I2381"/>
  <c r="E149" i="32"/>
  <c r="F149" s="1"/>
  <c r="F152" s="1"/>
  <c r="D578" i="58" s="1"/>
  <c r="F578" s="1"/>
  <c r="F89" i="32"/>
  <c r="K3222" i="27"/>
  <c r="I3218" s="1"/>
  <c r="K3218" s="1"/>
  <c r="I3335"/>
  <c r="P23"/>
  <c r="R23" s="1"/>
  <c r="I1254"/>
  <c r="K1254" s="1"/>
  <c r="P9"/>
  <c r="R9" s="1"/>
  <c r="R14" s="1"/>
  <c r="K1957"/>
  <c r="K1938"/>
  <c r="K1783"/>
  <c r="K1785" s="1"/>
  <c r="I1819" s="1"/>
  <c r="K1819" s="1"/>
  <c r="K1821" s="1"/>
  <c r="I72"/>
  <c r="K72" s="1"/>
  <c r="I18"/>
  <c r="K18" s="1"/>
  <c r="K23" s="1"/>
  <c r="I1176"/>
  <c r="K1176" s="1"/>
  <c r="I772"/>
  <c r="K772" s="1"/>
  <c r="P722"/>
  <c r="R722" s="1"/>
  <c r="I978"/>
  <c r="K978" s="1"/>
  <c r="K986" s="1"/>
  <c r="K988" s="1"/>
  <c r="P706"/>
  <c r="R706" s="1"/>
  <c r="R713" s="1"/>
  <c r="R715" s="1"/>
  <c r="I914"/>
  <c r="I880"/>
  <c r="K880" s="1"/>
  <c r="I1085"/>
  <c r="P350"/>
  <c r="R350" s="1"/>
  <c r="I414"/>
  <c r="K414" s="1"/>
  <c r="I1158"/>
  <c r="K1158" s="1"/>
  <c r="I1179"/>
  <c r="K1179" s="1"/>
  <c r="I1185"/>
  <c r="K1185" s="1"/>
  <c r="I1271"/>
  <c r="K1271" s="1"/>
  <c r="P84"/>
  <c r="R84" s="1"/>
  <c r="I500"/>
  <c r="K500" s="1"/>
  <c r="I776"/>
  <c r="K776" s="1"/>
  <c r="I824"/>
  <c r="K824" s="1"/>
  <c r="I860"/>
  <c r="K860" s="1"/>
  <c r="I1204"/>
  <c r="K1204" s="1"/>
  <c r="I1209"/>
  <c r="K1209" s="1"/>
  <c r="I1239"/>
  <c r="K1239" s="1"/>
  <c r="I1257"/>
  <c r="K1257" s="1"/>
  <c r="I1292"/>
  <c r="K1292" s="1"/>
  <c r="I381"/>
  <c r="K381" s="1"/>
  <c r="I446"/>
  <c r="K446" s="1"/>
  <c r="I774"/>
  <c r="K774" s="1"/>
  <c r="I1202"/>
  <c r="K1202" s="1"/>
  <c r="I1207"/>
  <c r="K1207" s="1"/>
  <c r="I1290"/>
  <c r="K1290" s="1"/>
  <c r="P191"/>
  <c r="R191" s="1"/>
  <c r="I1173"/>
  <c r="K1173" s="1"/>
  <c r="I1487" i="1"/>
  <c r="K1487" s="1"/>
  <c r="P387"/>
  <c r="R387" s="1"/>
  <c r="P373"/>
  <c r="R373" s="1"/>
  <c r="K1691" i="27"/>
  <c r="K1693" s="1"/>
  <c r="I2555"/>
  <c r="AC29"/>
  <c r="C91" s="1"/>
  <c r="D622" i="25"/>
  <c r="AD1366" i="1"/>
  <c r="P1425"/>
  <c r="R1425" s="1"/>
  <c r="K3051" i="11"/>
  <c r="K2933"/>
  <c r="K1083" i="27"/>
  <c r="R729"/>
  <c r="R731" s="1"/>
  <c r="K957"/>
  <c r="K959" s="1"/>
  <c r="K2079"/>
  <c r="K2081" s="1"/>
  <c r="I3985" i="1"/>
  <c r="K3985" s="1"/>
  <c r="P1424"/>
  <c r="R1424" s="1"/>
  <c r="I3390"/>
  <c r="V1387"/>
  <c r="X1388"/>
  <c r="R1412"/>
  <c r="I3940" i="11"/>
  <c r="K3267" i="27"/>
  <c r="R3259" i="1"/>
  <c r="K2942" i="11"/>
  <c r="K3060" s="1"/>
  <c r="K3076" s="1"/>
  <c r="K3102" s="1"/>
  <c r="R3075" s="1"/>
  <c r="K2975"/>
  <c r="I2915" i="27"/>
  <c r="K3498" i="11"/>
  <c r="K2857"/>
  <c r="K3008" s="1"/>
  <c r="I1586" i="1"/>
  <c r="K1586" s="1"/>
  <c r="I3036" i="27"/>
  <c r="K3036" s="1"/>
  <c r="I805" i="1"/>
  <c r="I41"/>
  <c r="K41" s="1"/>
  <c r="I2422"/>
  <c r="P2429" s="1"/>
  <c r="R2429" s="1"/>
  <c r="R220" i="11"/>
  <c r="R223" s="1"/>
  <c r="P2977" i="1"/>
  <c r="R2977" s="1"/>
  <c r="Z721" i="55"/>
  <c r="D303" i="25"/>
  <c r="F303" s="1"/>
  <c r="AB1372" i="1"/>
  <c r="AB1389" s="1"/>
  <c r="AD1389" s="1"/>
  <c r="K1524" i="27"/>
  <c r="K1526" s="1"/>
  <c r="K2954" i="11"/>
  <c r="R2846"/>
  <c r="K2934"/>
  <c r="F1152" i="58"/>
  <c r="F1128"/>
  <c r="I3827" i="27"/>
  <c r="K3827" s="1"/>
  <c r="K3829" s="1"/>
  <c r="K3478"/>
  <c r="K3170"/>
  <c r="K2745"/>
  <c r="K2736"/>
  <c r="K2561"/>
  <c r="I1810"/>
  <c r="K1810" s="1"/>
  <c r="K1813" s="1"/>
  <c r="K1601"/>
  <c r="K1138"/>
  <c r="K1140" s="1"/>
  <c r="P336"/>
  <c r="R336" s="1"/>
  <c r="P297"/>
  <c r="R297" s="1"/>
  <c r="I155"/>
  <c r="K155" s="1"/>
  <c r="I20"/>
  <c r="K20" s="1"/>
  <c r="P81"/>
  <c r="R81" s="1"/>
  <c r="P212"/>
  <c r="R212" s="1"/>
  <c r="I1014"/>
  <c r="I273"/>
  <c r="K273" s="1"/>
  <c r="I499"/>
  <c r="K499" s="1"/>
  <c r="P515"/>
  <c r="R515" s="1"/>
  <c r="P535"/>
  <c r="R535" s="1"/>
  <c r="I577"/>
  <c r="K577" s="1"/>
  <c r="K581" s="1"/>
  <c r="I593"/>
  <c r="K593" s="1"/>
  <c r="P320"/>
  <c r="R320" s="1"/>
  <c r="I338"/>
  <c r="K338" s="1"/>
  <c r="I358"/>
  <c r="K358" s="1"/>
  <c r="P391"/>
  <c r="R391" s="1"/>
  <c r="P497"/>
  <c r="R497" s="1"/>
  <c r="I690"/>
  <c r="K690" s="1"/>
  <c r="I858"/>
  <c r="K858" s="1"/>
  <c r="I1117"/>
  <c r="K1117" s="1"/>
  <c r="I1157"/>
  <c r="K1157" s="1"/>
  <c r="I1178"/>
  <c r="K1178" s="1"/>
  <c r="I1313"/>
  <c r="K1313" s="1"/>
  <c r="I1326"/>
  <c r="K1326" s="1"/>
  <c r="I1386"/>
  <c r="K1386" s="1"/>
  <c r="K3496" i="11"/>
  <c r="P3496"/>
  <c r="R3496" s="1"/>
  <c r="R3500" s="1"/>
  <c r="I3534"/>
  <c r="K3534" s="1"/>
  <c r="R521"/>
  <c r="R523" s="1"/>
  <c r="R503" i="27"/>
  <c r="R505" s="1"/>
  <c r="K99"/>
  <c r="K101" s="1"/>
  <c r="K2376"/>
  <c r="F25" i="50"/>
  <c r="F1201" i="58"/>
  <c r="F1181"/>
  <c r="F1169"/>
  <c r="F1165"/>
  <c r="F1157"/>
  <c r="F1149"/>
  <c r="F1145"/>
  <c r="F1141"/>
  <c r="F1121"/>
  <c r="F1117"/>
  <c r="F1113"/>
  <c r="K2727" i="27"/>
  <c r="K2728" s="1"/>
  <c r="K2717" s="1"/>
  <c r="K2720" s="1"/>
  <c r="I2441"/>
  <c r="K2441" s="1"/>
  <c r="K2021"/>
  <c r="I29"/>
  <c r="K29" s="1"/>
  <c r="I3590" i="11"/>
  <c r="I3625"/>
  <c r="K3478"/>
  <c r="I3665"/>
  <c r="K3665" s="1"/>
  <c r="P3129"/>
  <c r="R3129" s="1"/>
  <c r="R3112"/>
  <c r="I3057"/>
  <c r="K2939"/>
  <c r="K2059" i="27"/>
  <c r="K2061" s="1"/>
  <c r="K77"/>
  <c r="K2175"/>
  <c r="K2178" s="1"/>
  <c r="K2211" s="1"/>
  <c r="K883"/>
  <c r="K3010" i="11"/>
  <c r="M3011" s="1"/>
  <c r="X3156" i="1"/>
  <c r="I4019"/>
  <c r="K4019" s="1"/>
  <c r="K3924" i="11"/>
  <c r="V3161" i="1"/>
  <c r="X3161" s="1"/>
  <c r="I3894" i="11"/>
  <c r="K2959" i="27"/>
  <c r="K3700" i="11"/>
  <c r="K3702" s="1"/>
  <c r="I2144" i="1"/>
  <c r="K2144" s="1"/>
  <c r="I1573"/>
  <c r="K1573" s="1"/>
  <c r="I1223"/>
  <c r="K2973"/>
  <c r="R521" i="27"/>
  <c r="R523" s="1"/>
  <c r="K114" i="11"/>
  <c r="K116" s="1"/>
  <c r="K118" s="1"/>
  <c r="K119" s="1"/>
  <c r="R479"/>
  <c r="R481" s="1"/>
  <c r="K1805" i="27"/>
  <c r="K3141"/>
  <c r="K3142" s="1"/>
  <c r="K3134" s="1"/>
  <c r="K3135" s="1"/>
  <c r="F89" i="50"/>
  <c r="F88"/>
  <c r="I2972" i="11"/>
  <c r="K2972" s="1"/>
  <c r="F1198" i="58"/>
  <c r="F1178"/>
  <c r="R3627" i="27"/>
  <c r="R3628" s="1"/>
  <c r="P3127"/>
  <c r="R3127" s="1"/>
  <c r="P3115"/>
  <c r="P3074"/>
  <c r="R3074" s="1"/>
  <c r="P2871"/>
  <c r="R2871" s="1"/>
  <c r="K2829"/>
  <c r="K2830" s="1"/>
  <c r="I2819" s="1"/>
  <c r="K2819" s="1"/>
  <c r="K2822" s="1"/>
  <c r="K2643"/>
  <c r="K2645" s="1"/>
  <c r="K2609"/>
  <c r="K1537"/>
  <c r="K1539" s="1"/>
  <c r="I445"/>
  <c r="K445" s="1"/>
  <c r="P377"/>
  <c r="R377" s="1"/>
  <c r="R381" s="1"/>
  <c r="R383" s="1"/>
  <c r="P412" s="1"/>
  <c r="R412" s="1"/>
  <c r="P364"/>
  <c r="R364" s="1"/>
  <c r="P53"/>
  <c r="R53" s="1"/>
  <c r="R541" i="11"/>
  <c r="R543" s="1"/>
  <c r="Q5" i="4"/>
  <c r="Q6" s="1"/>
  <c r="Q10"/>
  <c r="Z17" i="1" s="1"/>
  <c r="Z18" s="1"/>
  <c r="AC18" s="1"/>
  <c r="I11" i="27"/>
  <c r="K11" s="1"/>
  <c r="I37"/>
  <c r="K37" s="1"/>
  <c r="I46"/>
  <c r="K46" s="1"/>
  <c r="I74"/>
  <c r="K74" s="1"/>
  <c r="I65"/>
  <c r="K65" s="1"/>
  <c r="P180"/>
  <c r="R180" s="1"/>
  <c r="P307"/>
  <c r="R307" s="1"/>
  <c r="I312"/>
  <c r="K312" s="1"/>
  <c r="I336"/>
  <c r="K336" s="1"/>
  <c r="P362"/>
  <c r="R362" s="1"/>
  <c r="I560"/>
  <c r="K560" s="1"/>
  <c r="K564" s="1"/>
  <c r="K567" s="1"/>
  <c r="I568" s="1"/>
  <c r="K568" s="1"/>
  <c r="I569" s="1"/>
  <c r="K569" s="1"/>
  <c r="I570" s="1"/>
  <c r="K570" s="1"/>
  <c r="I571" s="1"/>
  <c r="K571" s="1"/>
  <c r="I572" s="1"/>
  <c r="K572" s="1"/>
  <c r="I839"/>
  <c r="K839" s="1"/>
  <c r="I1237"/>
  <c r="K1237" s="1"/>
  <c r="I1255"/>
  <c r="K1255" s="1"/>
  <c r="I297"/>
  <c r="K297" s="1"/>
  <c r="I622"/>
  <c r="K622" s="1"/>
  <c r="I821"/>
  <c r="K821" s="1"/>
  <c r="I1201"/>
  <c r="K1201" s="1"/>
  <c r="I1222"/>
  <c r="K1222" s="1"/>
  <c r="I1289"/>
  <c r="K1289" s="1"/>
  <c r="I1350"/>
  <c r="K1350" s="1"/>
  <c r="I1365"/>
  <c r="K1365" s="1"/>
  <c r="I1410"/>
  <c r="K1410" s="1"/>
  <c r="I3159" i="11"/>
  <c r="K3140"/>
  <c r="P1461" i="1"/>
  <c r="R1461" s="1"/>
  <c r="I3920" i="11"/>
  <c r="K3920" s="1"/>
  <c r="I3057" i="27"/>
  <c r="K2913"/>
  <c r="I2605" i="1"/>
  <c r="K2605" s="1"/>
  <c r="R1446"/>
  <c r="I183" i="27"/>
  <c r="K183" s="1"/>
  <c r="K188" s="1"/>
  <c r="K1837" i="11"/>
  <c r="K1839" s="1"/>
  <c r="I1846" s="1"/>
  <c r="K1846" s="1"/>
  <c r="K1849" s="1"/>
  <c r="K1107" i="27"/>
  <c r="K1109" s="1"/>
  <c r="K647"/>
  <c r="K649" s="1"/>
  <c r="K650" s="1"/>
  <c r="K651" s="1"/>
  <c r="K652" s="1"/>
  <c r="K653" s="1"/>
  <c r="J3742" i="11"/>
  <c r="I3535"/>
  <c r="K3535" s="1"/>
  <c r="P3127"/>
  <c r="R3127" s="1"/>
  <c r="I3033"/>
  <c r="K3033" s="1"/>
  <c r="K2855"/>
  <c r="K2859" s="1"/>
  <c r="R2847"/>
  <c r="I2563"/>
  <c r="K2560"/>
  <c r="I2558"/>
  <c r="I2530"/>
  <c r="K2530" s="1"/>
  <c r="I2527"/>
  <c r="K2527" s="1"/>
  <c r="I2076"/>
  <c r="K2076" s="1"/>
  <c r="K2077" s="1"/>
  <c r="I2048"/>
  <c r="K2048" s="1"/>
  <c r="K2021"/>
  <c r="I1932"/>
  <c r="K1932" s="1"/>
  <c r="I1835"/>
  <c r="K1835" s="1"/>
  <c r="I1818"/>
  <c r="K1818" s="1"/>
  <c r="I1742"/>
  <c r="K1742" s="1"/>
  <c r="K1747" s="1"/>
  <c r="K1749" s="1"/>
  <c r="I1803" s="1"/>
  <c r="K1803" s="1"/>
  <c r="K1805" s="1"/>
  <c r="I1681"/>
  <c r="K1681" s="1"/>
  <c r="I1367"/>
  <c r="K1367" s="1"/>
  <c r="I1352"/>
  <c r="K1352" s="1"/>
  <c r="I1291"/>
  <c r="K1291" s="1"/>
  <c r="I1271"/>
  <c r="K1271" s="1"/>
  <c r="I1257"/>
  <c r="K1257" s="1"/>
  <c r="I1204"/>
  <c r="K1204" s="1"/>
  <c r="I1185"/>
  <c r="K1185" s="1"/>
  <c r="I1104"/>
  <c r="K1104" s="1"/>
  <c r="K1017"/>
  <c r="I880"/>
  <c r="K880" s="1"/>
  <c r="K883" s="1"/>
  <c r="I858"/>
  <c r="K858" s="1"/>
  <c r="I843"/>
  <c r="K843" s="1"/>
  <c r="I776"/>
  <c r="K776" s="1"/>
  <c r="I726"/>
  <c r="K726" s="1"/>
  <c r="I536"/>
  <c r="K536" s="1"/>
  <c r="P308"/>
  <c r="R308" s="1"/>
  <c r="I228"/>
  <c r="K228" s="1"/>
  <c r="P192"/>
  <c r="R192" s="1"/>
  <c r="I81"/>
  <c r="K81" s="1"/>
  <c r="K86" s="1"/>
  <c r="K88" s="1"/>
  <c r="P68"/>
  <c r="R68" s="1"/>
  <c r="P53"/>
  <c r="R53" s="1"/>
  <c r="I3581" i="1"/>
  <c r="K3581" s="1"/>
  <c r="S3535"/>
  <c r="X3535" s="1"/>
  <c r="P3440"/>
  <c r="R3440" s="1"/>
  <c r="P3331"/>
  <c r="R3331" s="1"/>
  <c r="P3322"/>
  <c r="P3293"/>
  <c r="K3145"/>
  <c r="P1431"/>
  <c r="V1376"/>
  <c r="R1410"/>
  <c r="R1096"/>
  <c r="G498" i="25"/>
  <c r="E488" s="1"/>
  <c r="F1105" i="58"/>
  <c r="F1101"/>
  <c r="Z255" i="55"/>
  <c r="N3563" i="11"/>
  <c r="K3141"/>
  <c r="K3142" s="1"/>
  <c r="K3134" s="1"/>
  <c r="K3135" s="1"/>
  <c r="I3040"/>
  <c r="K3040" s="1"/>
  <c r="K2745"/>
  <c r="K2748" s="1"/>
  <c r="I2525"/>
  <c r="K2525" s="1"/>
  <c r="K2509"/>
  <c r="K2510" s="1"/>
  <c r="I2499" s="1"/>
  <c r="K2499" s="1"/>
  <c r="K2502" s="1"/>
  <c r="I2262"/>
  <c r="I1778"/>
  <c r="K1778" s="1"/>
  <c r="K1783" s="1"/>
  <c r="K1785" s="1"/>
  <c r="I1819" s="1"/>
  <c r="K1819" s="1"/>
  <c r="K1821" s="1"/>
  <c r="I1711"/>
  <c r="K1711" s="1"/>
  <c r="I1579"/>
  <c r="K1579" s="1"/>
  <c r="I1439"/>
  <c r="K1439" s="1"/>
  <c r="I1292"/>
  <c r="K1292" s="1"/>
  <c r="I1179"/>
  <c r="K1179" s="1"/>
  <c r="I1174"/>
  <c r="K1174" s="1"/>
  <c r="I1158"/>
  <c r="K1158" s="1"/>
  <c r="I824"/>
  <c r="K824" s="1"/>
  <c r="I748"/>
  <c r="K748" s="1"/>
  <c r="K712"/>
  <c r="K714" s="1"/>
  <c r="I720" s="1"/>
  <c r="K720" s="1"/>
  <c r="I623"/>
  <c r="K623" s="1"/>
  <c r="P391"/>
  <c r="R391" s="1"/>
  <c r="P298"/>
  <c r="R298" s="1"/>
  <c r="P285"/>
  <c r="R285" s="1"/>
  <c r="I123"/>
  <c r="K123" s="1"/>
  <c r="K126" s="1"/>
  <c r="K128" s="1"/>
  <c r="K129" s="1"/>
  <c r="P69"/>
  <c r="R69" s="1"/>
  <c r="I3826" i="1"/>
  <c r="K3826" s="1"/>
  <c r="I3540"/>
  <c r="I2760"/>
  <c r="I2761" s="1"/>
  <c r="K2761" s="1"/>
  <c r="AE1066"/>
  <c r="AG1066" s="1"/>
  <c r="E534" i="25"/>
  <c r="A546" s="1"/>
  <c r="G466"/>
  <c r="G467" s="1"/>
  <c r="G468" s="1"/>
  <c r="A483" s="1"/>
  <c r="G483" s="1"/>
  <c r="G402"/>
  <c r="E392" s="1"/>
  <c r="G392" s="1"/>
  <c r="F292"/>
  <c r="F293" s="1"/>
  <c r="E190"/>
  <c r="F1106" i="58"/>
  <c r="Z332" i="55"/>
  <c r="B753" i="58"/>
  <c r="F753" s="1"/>
  <c r="H10" i="4"/>
  <c r="P2048" i="1"/>
  <c r="M2071" s="1"/>
  <c r="P2057"/>
  <c r="K2643" i="11"/>
  <c r="K2645" s="1"/>
  <c r="K647"/>
  <c r="K649" s="1"/>
  <c r="K650" s="1"/>
  <c r="K651" s="1"/>
  <c r="K652" s="1"/>
  <c r="K653" s="1"/>
  <c r="E677" i="25"/>
  <c r="A690" s="1"/>
  <c r="E641"/>
  <c r="A654" s="1"/>
  <c r="E605"/>
  <c r="A618" s="1"/>
  <c r="E570"/>
  <c r="A583" s="1"/>
  <c r="G477"/>
  <c r="G447"/>
  <c r="E437" s="1"/>
  <c r="G437" s="1"/>
  <c r="G374"/>
  <c r="G357"/>
  <c r="E347" s="1"/>
  <c r="G347" s="1"/>
  <c r="G349" s="1"/>
  <c r="G350" s="1"/>
  <c r="C667" i="55" s="1"/>
  <c r="I2590" i="11"/>
  <c r="K2590" s="1"/>
  <c r="K2562"/>
  <c r="K1601"/>
  <c r="I300"/>
  <c r="K300" s="1"/>
  <c r="I198"/>
  <c r="K198" s="1"/>
  <c r="K132"/>
  <c r="K133" s="1"/>
  <c r="G419" i="25"/>
  <c r="G329"/>
  <c r="Z267" i="55"/>
  <c r="Z407"/>
  <c r="Z760"/>
  <c r="B1009" i="58"/>
  <c r="F1009" s="1"/>
  <c r="Y1075" i="55"/>
  <c r="P2058" i="1"/>
  <c r="F328" i="55"/>
  <c r="D323" i="58"/>
  <c r="F323" s="1"/>
  <c r="J424" i="55"/>
  <c r="F502"/>
  <c r="D499" i="58"/>
  <c r="F499" s="1"/>
  <c r="X639" i="55"/>
  <c r="X437"/>
  <c r="F565"/>
  <c r="Z632"/>
  <c r="F639"/>
  <c r="F66"/>
  <c r="D405" i="58"/>
  <c r="F405" s="1"/>
  <c r="H1027" i="55"/>
  <c r="D371" i="58"/>
  <c r="F371" s="1"/>
  <c r="H393" i="55"/>
  <c r="X393"/>
  <c r="V424"/>
  <c r="T848"/>
  <c r="T1027"/>
  <c r="Z1027"/>
  <c r="F391"/>
  <c r="J1023"/>
  <c r="H449"/>
  <c r="F420"/>
  <c r="V605"/>
  <c r="X605"/>
  <c r="X1027"/>
  <c r="F1078" i="58"/>
  <c r="F1025"/>
  <c r="X462" i="55"/>
  <c r="F991" i="58"/>
  <c r="F1018"/>
  <c r="X480" i="55"/>
  <c r="F976" i="58"/>
  <c r="Z1069" i="55"/>
  <c r="B1084" i="58"/>
  <c r="F1084" s="1"/>
  <c r="B562"/>
  <c r="F562" s="1"/>
  <c r="B387"/>
  <c r="Z393" i="55"/>
  <c r="B212" i="58"/>
  <c r="F212" s="1"/>
  <c r="Z215" i="55"/>
  <c r="B112" i="58"/>
  <c r="F112" s="1"/>
  <c r="Z115" i="55"/>
  <c r="B958" i="58"/>
  <c r="B936"/>
  <c r="F936" s="1"/>
  <c r="B225"/>
  <c r="F225" s="1"/>
  <c r="Z228" i="55"/>
  <c r="B180" i="58"/>
  <c r="F180" s="1"/>
  <c r="Z183" i="55"/>
  <c r="B107" i="58"/>
  <c r="F107" s="1"/>
  <c r="Z110" i="55"/>
  <c r="T459"/>
  <c r="B228" i="58"/>
  <c r="F228" s="1"/>
  <c r="Z304" i="55"/>
  <c r="Z365"/>
  <c r="Z958"/>
  <c r="F1086" i="58"/>
  <c r="Y1068" i="55"/>
  <c r="B996" i="58"/>
  <c r="F996" s="1"/>
  <c r="B894"/>
  <c r="B892"/>
  <c r="F892" s="1"/>
  <c r="Z828" i="55"/>
  <c r="B851" i="58"/>
  <c r="F851" s="1"/>
  <c r="B378"/>
  <c r="F378" s="1"/>
  <c r="Z230" i="55"/>
  <c r="B227" i="58"/>
  <c r="F227" s="1"/>
  <c r="B216"/>
  <c r="F216" s="1"/>
  <c r="Z219" i="55"/>
  <c r="Z206"/>
  <c r="B203" i="58"/>
  <c r="F203" s="1"/>
  <c r="B157"/>
  <c r="F157" s="1"/>
  <c r="Z160" i="55"/>
  <c r="B118" i="58"/>
  <c r="F118" s="1"/>
  <c r="B1024"/>
  <c r="F1024" s="1"/>
  <c r="B995"/>
  <c r="F995" s="1"/>
  <c r="B980"/>
  <c r="F980" s="1"/>
  <c r="B956"/>
  <c r="B404"/>
  <c r="F404" s="1"/>
  <c r="Z410" i="55"/>
  <c r="B223" i="58"/>
  <c r="F223" s="1"/>
  <c r="Z226" i="55"/>
  <c r="B204" i="58"/>
  <c r="F204" s="1"/>
  <c r="Z207" i="55"/>
  <c r="B158" i="58"/>
  <c r="F158" s="1"/>
  <c r="Z161" i="55"/>
  <c r="B71" i="58"/>
  <c r="F71" s="1"/>
  <c r="Z74" i="55"/>
  <c r="B65" i="58"/>
  <c r="F65" s="1"/>
  <c r="Z68" i="55"/>
  <c r="Y1079"/>
  <c r="Z357"/>
  <c r="Z168"/>
  <c r="Z681"/>
  <c r="Z531"/>
  <c r="Z712"/>
  <c r="Z849"/>
  <c r="B969" i="58"/>
  <c r="F969" s="1"/>
  <c r="B985"/>
  <c r="F985" s="1"/>
  <c r="B1033"/>
  <c r="F1033" s="1"/>
  <c r="B943"/>
  <c r="F943" s="1"/>
  <c r="Z795" i="55"/>
  <c r="Z850"/>
  <c r="B963" i="58"/>
  <c r="F963" s="1"/>
  <c r="F631"/>
  <c r="Z862" i="55"/>
  <c r="Z279"/>
  <c r="B284" i="58"/>
  <c r="F284" s="1"/>
  <c r="Z309" i="55"/>
  <c r="B351" i="58"/>
  <c r="F351" s="1"/>
  <c r="B409"/>
  <c r="F409" s="1"/>
  <c r="Z567" i="55"/>
  <c r="Z833"/>
  <c r="B921" i="58"/>
  <c r="F921" s="1"/>
  <c r="B937"/>
  <c r="Z534" i="55"/>
  <c r="B1007" i="58"/>
  <c r="F1007" s="1"/>
  <c r="B954"/>
  <c r="F954" s="1"/>
  <c r="B1034"/>
  <c r="Z730" i="55"/>
  <c r="B1027" i="58"/>
  <c r="F1027" s="1"/>
  <c r="B934"/>
  <c r="B770"/>
  <c r="F770" s="1"/>
  <c r="Y1081" i="55"/>
  <c r="Y1077"/>
  <c r="Y1073"/>
  <c r="C91" i="75"/>
  <c r="F91" s="1"/>
  <c r="F1213" i="58"/>
  <c r="F1209"/>
  <c r="F1206"/>
  <c r="F1199"/>
  <c r="F1197"/>
  <c r="F1190"/>
  <c r="F1186"/>
  <c r="F1177"/>
  <c r="F1173"/>
  <c r="F1167"/>
  <c r="F1154"/>
  <c r="F1150"/>
  <c r="F1139"/>
  <c r="F1112"/>
  <c r="F1208"/>
  <c r="F1202"/>
  <c r="F1200"/>
  <c r="F1195"/>
  <c r="F1183"/>
  <c r="F1180"/>
  <c r="F1176"/>
  <c r="F1174"/>
  <c r="F1161"/>
  <c r="F1151"/>
  <c r="F1148"/>
  <c r="F1144"/>
  <c r="F1132"/>
  <c r="R3231" i="1"/>
  <c r="P3265"/>
  <c r="P3332" s="1"/>
  <c r="W39"/>
  <c r="W42"/>
  <c r="K2569"/>
  <c r="K2574" s="1"/>
  <c r="K2577" s="1"/>
  <c r="I2604"/>
  <c r="P2570"/>
  <c r="R2570" s="1"/>
  <c r="X676"/>
  <c r="V730"/>
  <c r="X730" s="1"/>
  <c r="D45" i="50"/>
  <c r="I1270" i="1"/>
  <c r="I1284" s="1"/>
  <c r="K1284" s="1"/>
  <c r="I2052"/>
  <c r="K2052" s="1"/>
  <c r="P2890" i="11"/>
  <c r="R2890" s="1"/>
  <c r="I4015" i="1"/>
  <c r="I4016" s="1"/>
  <c r="F23" i="25"/>
  <c r="AD1365" i="1"/>
  <c r="V1422"/>
  <c r="X1422" s="1"/>
  <c r="AB1385"/>
  <c r="AD1385" s="1"/>
  <c r="I4005"/>
  <c r="I38" i="25" s="1"/>
  <c r="I3537" i="1"/>
  <c r="P2151"/>
  <c r="R2151" s="1"/>
  <c r="K2970"/>
  <c r="X1334"/>
  <c r="V892"/>
  <c r="X892" s="1"/>
  <c r="I2318"/>
  <c r="K2318" s="1"/>
  <c r="K2505"/>
  <c r="K3557"/>
  <c r="F3536"/>
  <c r="I3414"/>
  <c r="F3419" s="1"/>
  <c r="K3419" s="1"/>
  <c r="R3229"/>
  <c r="I3222"/>
  <c r="K3222" s="1"/>
  <c r="L3188" s="1"/>
  <c r="E2757"/>
  <c r="K2294"/>
  <c r="AE1191"/>
  <c r="P1068"/>
  <c r="R1068" s="1"/>
  <c r="I1023"/>
  <c r="AE2604"/>
  <c r="AB2613" s="1"/>
  <c r="I3392"/>
  <c r="K3323"/>
  <c r="AB1386"/>
  <c r="AD1386" s="1"/>
  <c r="AD1369"/>
  <c r="J3851"/>
  <c r="H3872"/>
  <c r="H3888" s="1"/>
  <c r="J3888" s="1"/>
  <c r="K2482"/>
  <c r="K2487" s="1"/>
  <c r="K2489" s="1"/>
  <c r="C963" i="55" s="1"/>
  <c r="T963" s="1"/>
  <c r="I2504" i="1"/>
  <c r="F375" i="55"/>
  <c r="D369" i="58"/>
  <c r="F369" s="1"/>
  <c r="X375" i="55"/>
  <c r="X1366" i="1"/>
  <c r="V1383"/>
  <c r="AD1353"/>
  <c r="AB1370"/>
  <c r="V30" i="55"/>
  <c r="K2468" i="1"/>
  <c r="K2470" s="1"/>
  <c r="C764" i="55" s="1"/>
  <c r="K746" i="1"/>
  <c r="K748" s="1"/>
  <c r="I754" s="1"/>
  <c r="K754" s="1"/>
  <c r="I774" s="1"/>
  <c r="K774" s="1"/>
  <c r="K4064"/>
  <c r="K4063"/>
  <c r="H3866"/>
  <c r="E3870" s="1"/>
  <c r="H3845"/>
  <c r="K3150"/>
  <c r="P3145"/>
  <c r="M3152" s="1"/>
  <c r="R3152" s="1"/>
  <c r="R2643"/>
  <c r="AE2643"/>
  <c r="AB2648" s="1"/>
  <c r="AG2648" s="1"/>
  <c r="AE2609"/>
  <c r="AB2614" s="1"/>
  <c r="AE2621"/>
  <c r="AG2621" s="1"/>
  <c r="V2595"/>
  <c r="S2600" s="1"/>
  <c r="X2600" s="1"/>
  <c r="P2507"/>
  <c r="M2511" s="1"/>
  <c r="I2310"/>
  <c r="K2310" s="1"/>
  <c r="K2296"/>
  <c r="K681"/>
  <c r="I683" s="1"/>
  <c r="K683" s="1"/>
  <c r="P3709"/>
  <c r="R3709" s="1"/>
  <c r="V3106"/>
  <c r="P1406"/>
  <c r="K1059"/>
  <c r="I895"/>
  <c r="K895" s="1"/>
  <c r="V879"/>
  <c r="I3250"/>
  <c r="K3250" s="1"/>
  <c r="D9"/>
  <c r="P1372"/>
  <c r="R1372" s="1"/>
  <c r="C8"/>
  <c r="I2127" s="1"/>
  <c r="K2127" s="1"/>
  <c r="I3745"/>
  <c r="K3745" s="1"/>
  <c r="AB1402"/>
  <c r="X1404"/>
  <c r="P1494"/>
  <c r="R1463"/>
  <c r="J3845"/>
  <c r="E3849"/>
  <c r="I2128"/>
  <c r="K2128" s="1"/>
  <c r="I2174"/>
  <c r="K2174" s="1"/>
  <c r="I2148"/>
  <c r="I2161"/>
  <c r="K2161" s="1"/>
  <c r="E207" i="25"/>
  <c r="V3113" i="1"/>
  <c r="I3002"/>
  <c r="K3002" s="1"/>
  <c r="C24"/>
  <c r="P148"/>
  <c r="R148" s="1"/>
  <c r="D50" i="25"/>
  <c r="V3669" i="1"/>
  <c r="X3669" s="1"/>
  <c r="P1546"/>
  <c r="R1546" s="1"/>
  <c r="I3793"/>
  <c r="K3793" s="1"/>
  <c r="C12"/>
  <c r="P1519" s="1"/>
  <c r="R1519" s="1"/>
  <c r="P2406"/>
  <c r="R2406" s="1"/>
  <c r="I3338"/>
  <c r="P1299"/>
  <c r="I3732"/>
  <c r="I2832"/>
  <c r="I3536"/>
  <c r="I4030"/>
  <c r="K4030" s="1"/>
  <c r="K3984"/>
  <c r="P1441"/>
  <c r="R1407"/>
  <c r="V1369"/>
  <c r="X1369" s="1"/>
  <c r="AB1364"/>
  <c r="I4032"/>
  <c r="K4032" s="1"/>
  <c r="X3551"/>
  <c r="X1356"/>
  <c r="V3537"/>
  <c r="V3117"/>
  <c r="R3265"/>
  <c r="I2631"/>
  <c r="K2631" s="1"/>
  <c r="K805"/>
  <c r="P942"/>
  <c r="R942" s="1"/>
  <c r="X3157"/>
  <c r="V3617"/>
  <c r="X3617" s="1"/>
  <c r="P2293"/>
  <c r="R2293" s="1"/>
  <c r="K2678"/>
  <c r="P868"/>
  <c r="R868" s="1"/>
  <c r="R880" s="1"/>
  <c r="J3872"/>
  <c r="H3850"/>
  <c r="K3582"/>
  <c r="K3583" s="1"/>
  <c r="K3572"/>
  <c r="K3573" s="1"/>
  <c r="I3574" s="1"/>
  <c r="K3574" s="1"/>
  <c r="R3157"/>
  <c r="V3118"/>
  <c r="AB1374"/>
  <c r="I3992"/>
  <c r="C28"/>
  <c r="I2661"/>
  <c r="I43"/>
  <c r="I62"/>
  <c r="I18"/>
  <c r="D48" i="25"/>
  <c r="P1544" i="1"/>
  <c r="R1544" s="1"/>
  <c r="I3764"/>
  <c r="K3764" s="1"/>
  <c r="I3791"/>
  <c r="K3791" s="1"/>
  <c r="AF3102"/>
  <c r="V3667"/>
  <c r="X3667" s="1"/>
  <c r="X3672" s="1"/>
  <c r="I3701"/>
  <c r="K3701" s="1"/>
  <c r="I3719"/>
  <c r="K3719" s="1"/>
  <c r="P1375"/>
  <c r="R1375" s="1"/>
  <c r="P3513"/>
  <c r="R3513" s="1"/>
  <c r="X3642"/>
  <c r="X3644" s="1"/>
  <c r="L1598"/>
  <c r="L1599" s="1"/>
  <c r="J4049"/>
  <c r="F4061" s="1"/>
  <c r="J3852"/>
  <c r="P3543"/>
  <c r="R3543" s="1"/>
  <c r="M3540"/>
  <c r="R3540" s="1"/>
  <c r="AE3539"/>
  <c r="V3539"/>
  <c r="AB3536"/>
  <c r="AG3535"/>
  <c r="I3409"/>
  <c r="F3418" s="1"/>
  <c r="P3400"/>
  <c r="P3260"/>
  <c r="P3330"/>
  <c r="R3330" s="1"/>
  <c r="K3103"/>
  <c r="I3054"/>
  <c r="P3061" s="1"/>
  <c r="R3061" s="1"/>
  <c r="X2784"/>
  <c r="X2783"/>
  <c r="K2667"/>
  <c r="AE2638"/>
  <c r="AB2647" s="1"/>
  <c r="R2639"/>
  <c r="I2311"/>
  <c r="K2311" s="1"/>
  <c r="P2153"/>
  <c r="R2153" s="1"/>
  <c r="K1667"/>
  <c r="C374" i="55" s="1"/>
  <c r="P1625" i="1"/>
  <c r="R1625" s="1"/>
  <c r="R1389"/>
  <c r="X1359"/>
  <c r="R1354"/>
  <c r="R1355" s="1"/>
  <c r="P1066"/>
  <c r="R1066" s="1"/>
  <c r="AE1064"/>
  <c r="AG1064" s="1"/>
  <c r="K955"/>
  <c r="K953"/>
  <c r="R905"/>
  <c r="X706"/>
  <c r="Z706" s="1"/>
  <c r="K701"/>
  <c r="I703" s="1"/>
  <c r="K703" s="1"/>
  <c r="AD569"/>
  <c r="M560"/>
  <c r="C19"/>
  <c r="AF447" s="1"/>
  <c r="AF448" s="1"/>
  <c r="AF449" s="1"/>
  <c r="AF450" s="1"/>
  <c r="AF451" s="1"/>
  <c r="AF452" s="1"/>
  <c r="AF453" s="1"/>
  <c r="AF454" s="1"/>
  <c r="AF455" s="1"/>
  <c r="AF456" s="1"/>
  <c r="AF457" s="1"/>
  <c r="AF458" s="1"/>
  <c r="AF459" s="1"/>
  <c r="AF460" s="1"/>
  <c r="C22"/>
  <c r="AG2614"/>
  <c r="G3896"/>
  <c r="G3897" s="1"/>
  <c r="K3689"/>
  <c r="K3688"/>
  <c r="R3539"/>
  <c r="K3536"/>
  <c r="K2095"/>
  <c r="AE825"/>
  <c r="K2761" i="27"/>
  <c r="K2764" s="1"/>
  <c r="V392" i="55"/>
  <c r="F1104" i="58"/>
  <c r="B678"/>
  <c r="Z749" i="55"/>
  <c r="B814" i="58"/>
  <c r="F814" s="1"/>
  <c r="Z772" i="55"/>
  <c r="B545" i="58"/>
  <c r="F545" s="1"/>
  <c r="B571"/>
  <c r="F571" s="1"/>
  <c r="B778"/>
  <c r="F778" s="1"/>
  <c r="Z714" i="55"/>
  <c r="B783" i="58"/>
  <c r="F783" s="1"/>
  <c r="B790"/>
  <c r="F790" s="1"/>
  <c r="B785"/>
  <c r="F785" s="1"/>
  <c r="B721"/>
  <c r="F721" s="1"/>
  <c r="Z687" i="55"/>
  <c r="B752" i="58"/>
  <c r="F752" s="1"/>
  <c r="B744"/>
  <c r="F744" s="1"/>
  <c r="Z684" i="55"/>
  <c r="Z689"/>
  <c r="F698" i="58"/>
  <c r="B160"/>
  <c r="F160" s="1"/>
  <c r="Z163" i="55"/>
  <c r="B178" i="58"/>
  <c r="F178" s="1"/>
  <c r="Z181" i="55"/>
  <c r="Z177"/>
  <c r="B174" i="58"/>
  <c r="F174" s="1"/>
  <c r="B175"/>
  <c r="F175" s="1"/>
  <c r="Z178" i="55"/>
  <c r="B176" i="58"/>
  <c r="F176" s="1"/>
  <c r="Z179" i="55"/>
  <c r="B161" i="58"/>
  <c r="F161" s="1"/>
  <c r="Z200" i="55"/>
  <c r="Z196"/>
  <c r="Z111"/>
  <c r="B108" i="58"/>
  <c r="F108" s="1"/>
  <c r="Z118" i="55"/>
  <c r="B115" i="58"/>
  <c r="F115" s="1"/>
  <c r="Z112" i="55"/>
  <c r="B109" i="58"/>
  <c r="F109" s="1"/>
  <c r="B130"/>
  <c r="F130" s="1"/>
  <c r="Z133" i="55"/>
  <c r="B110" i="58"/>
  <c r="F110" s="1"/>
  <c r="Z113" i="55"/>
  <c r="Z120"/>
  <c r="B117" i="58"/>
  <c r="F117" s="1"/>
  <c r="B111"/>
  <c r="F111" s="1"/>
  <c r="Z114" i="55"/>
  <c r="B62" i="58"/>
  <c r="F62" s="1"/>
  <c r="B50"/>
  <c r="F50" s="1"/>
  <c r="Z53" i="55"/>
  <c r="B500" i="58"/>
  <c r="F500" s="1"/>
  <c r="F36" i="25"/>
  <c r="D59"/>
  <c r="R2853" i="27"/>
  <c r="P2886"/>
  <c r="R2886" s="1"/>
  <c r="I948" i="1"/>
  <c r="K948" s="1"/>
  <c r="I983"/>
  <c r="K983" s="1"/>
  <c r="I1068"/>
  <c r="K1068" s="1"/>
  <c r="K2938" i="27"/>
  <c r="I2955"/>
  <c r="K2955" s="1"/>
  <c r="I3056"/>
  <c r="K3056" s="1"/>
  <c r="I3425"/>
  <c r="K3425" s="1"/>
  <c r="K3406"/>
  <c r="I2931"/>
  <c r="I2905"/>
  <c r="I3028" s="1"/>
  <c r="K3028" s="1"/>
  <c r="I3426"/>
  <c r="P3504"/>
  <c r="R3504" s="1"/>
  <c r="I2811" i="1"/>
  <c r="I3316"/>
  <c r="K3316" s="1"/>
  <c r="K2422"/>
  <c r="K3352" i="27"/>
  <c r="I2995"/>
  <c r="K2995" s="1"/>
  <c r="F620" i="25"/>
  <c r="J1020" i="55"/>
  <c r="I3298" i="27"/>
  <c r="R2854"/>
  <c r="I3623"/>
  <c r="I3886"/>
  <c r="K3886" s="1"/>
  <c r="K2932"/>
  <c r="P1141" i="1"/>
  <c r="P1172" s="1"/>
  <c r="R1172" s="1"/>
  <c r="I3000" i="27"/>
  <c r="Z30" i="1"/>
  <c r="I3053"/>
  <c r="K3053" s="1"/>
  <c r="K2864"/>
  <c r="K133"/>
  <c r="P573"/>
  <c r="R573" s="1"/>
  <c r="I2142"/>
  <c r="P447"/>
  <c r="R447" s="1"/>
  <c r="I1747"/>
  <c r="K1747" s="1"/>
  <c r="I78"/>
  <c r="I2122"/>
  <c r="K2122" s="1"/>
  <c r="I1966"/>
  <c r="P649"/>
  <c r="R649" s="1"/>
  <c r="P465"/>
  <c r="R465" s="1"/>
  <c r="I107"/>
  <c r="K107" s="1"/>
  <c r="P428"/>
  <c r="P619"/>
  <c r="R619" s="1"/>
  <c r="I1777"/>
  <c r="K1777" s="1"/>
  <c r="I79"/>
  <c r="K130"/>
  <c r="P637"/>
  <c r="R637" s="1"/>
  <c r="I3520"/>
  <c r="P3524" s="1"/>
  <c r="V3552" s="1"/>
  <c r="V3568" s="1"/>
  <c r="C1048" i="55"/>
  <c r="V1048" s="1"/>
  <c r="I381" i="1"/>
  <c r="P549"/>
  <c r="R549" s="1"/>
  <c r="I3365"/>
  <c r="K3182"/>
  <c r="I225" i="27"/>
  <c r="K225" s="1"/>
  <c r="P51"/>
  <c r="R51" s="1"/>
  <c r="I410"/>
  <c r="K410" s="1"/>
  <c r="I444"/>
  <c r="K444" s="1"/>
  <c r="I1337"/>
  <c r="K1337" s="1"/>
  <c r="K1343" s="1"/>
  <c r="K1345" s="1"/>
  <c r="I1155"/>
  <c r="K1155" s="1"/>
  <c r="K1161" s="1"/>
  <c r="K1163" s="1"/>
  <c r="I355"/>
  <c r="K355" s="1"/>
  <c r="I479"/>
  <c r="K479" s="1"/>
  <c r="K487" s="1"/>
  <c r="K489" s="1"/>
  <c r="P361"/>
  <c r="R361" s="1"/>
  <c r="R369" s="1"/>
  <c r="R371" s="1"/>
  <c r="I379"/>
  <c r="K379" s="1"/>
  <c r="I1286"/>
  <c r="K1286" s="1"/>
  <c r="K1295" s="1"/>
  <c r="K1297" s="1"/>
  <c r="I1199"/>
  <c r="K1199" s="1"/>
  <c r="K1212" s="1"/>
  <c r="K1214" s="1"/>
  <c r="I1637"/>
  <c r="K1637" s="1"/>
  <c r="I1349"/>
  <c r="K1349" s="1"/>
  <c r="K1355" s="1"/>
  <c r="K1357" s="1"/>
  <c r="I1268"/>
  <c r="K1268" s="1"/>
  <c r="K1274" s="1"/>
  <c r="K1276" s="1"/>
  <c r="P347"/>
  <c r="R347" s="1"/>
  <c r="R353" s="1"/>
  <c r="R355" s="1"/>
  <c r="I1364"/>
  <c r="K1364" s="1"/>
  <c r="K1371" s="1"/>
  <c r="K1373" s="1"/>
  <c r="I1911" s="1"/>
  <c r="K1911" s="1"/>
  <c r="P295"/>
  <c r="R295" s="1"/>
  <c r="R301" s="1"/>
  <c r="R303" s="1"/>
  <c r="I591"/>
  <c r="K591" s="1"/>
  <c r="K596" s="1"/>
  <c r="K598" s="1"/>
  <c r="K599" s="1"/>
  <c r="K600" s="1"/>
  <c r="K601" s="1"/>
  <c r="K602" s="1"/>
  <c r="K603" s="1"/>
  <c r="I1170"/>
  <c r="K1170" s="1"/>
  <c r="K1188" s="1"/>
  <c r="K1191" s="1"/>
  <c r="P283" s="1"/>
  <c r="R283" s="1"/>
  <c r="R288" s="1"/>
  <c r="R290" s="1"/>
  <c r="I1308"/>
  <c r="K1308" s="1"/>
  <c r="K1317" s="1"/>
  <c r="K1319" s="1"/>
  <c r="I2617"/>
  <c r="K2617" s="1"/>
  <c r="C79"/>
  <c r="I254"/>
  <c r="K254" s="1"/>
  <c r="V1385" i="1"/>
  <c r="X1368"/>
  <c r="AD1350"/>
  <c r="AB1367"/>
  <c r="V3582"/>
  <c r="L3295" i="11"/>
  <c r="K3294"/>
  <c r="M3294"/>
  <c r="R220" i="27"/>
  <c r="R223" s="1"/>
  <c r="P574"/>
  <c r="R574" s="1"/>
  <c r="P588"/>
  <c r="R588" s="1"/>
  <c r="P601"/>
  <c r="R601" s="1"/>
  <c r="R612" s="1"/>
  <c r="I2028"/>
  <c r="K2028" s="1"/>
  <c r="K2034" s="1"/>
  <c r="I1913"/>
  <c r="K1913" s="1"/>
  <c r="I1893"/>
  <c r="K1893" s="1"/>
  <c r="K1899" s="1"/>
  <c r="K1250" i="1"/>
  <c r="V1279"/>
  <c r="X1279" s="1"/>
  <c r="W560"/>
  <c r="AC560" s="1"/>
  <c r="J559"/>
  <c r="P80" i="27"/>
  <c r="R80" s="1"/>
  <c r="I1384"/>
  <c r="K1384" s="1"/>
  <c r="K1389" s="1"/>
  <c r="K1391" s="1"/>
  <c r="I1324"/>
  <c r="K1324" s="1"/>
  <c r="K1330" s="1"/>
  <c r="K1332" s="1"/>
  <c r="P606" s="1"/>
  <c r="R606" s="1"/>
  <c r="P335"/>
  <c r="R335" s="1"/>
  <c r="R341" s="1"/>
  <c r="R343" s="1"/>
  <c r="I1409"/>
  <c r="K1409" s="1"/>
  <c r="K1414" s="1"/>
  <c r="K1416" s="1"/>
  <c r="I311"/>
  <c r="K311" s="1"/>
  <c r="P603" s="1"/>
  <c r="R603" s="1"/>
  <c r="I1396"/>
  <c r="K1396" s="1"/>
  <c r="K1401" s="1"/>
  <c r="K1403" s="1"/>
  <c r="I296"/>
  <c r="K296" s="1"/>
  <c r="I195"/>
  <c r="K195" s="1"/>
  <c r="I425"/>
  <c r="K425" s="1"/>
  <c r="K429" s="1"/>
  <c r="K431" s="1"/>
  <c r="K433" s="1"/>
  <c r="K434" s="1"/>
  <c r="K435" s="1"/>
  <c r="K436" s="1"/>
  <c r="K437" s="1"/>
  <c r="P266"/>
  <c r="R266" s="1"/>
  <c r="R270" s="1"/>
  <c r="R272" s="1"/>
  <c r="R274" s="1"/>
  <c r="R275" s="1"/>
  <c r="R276" s="1"/>
  <c r="R277" s="1"/>
  <c r="X3542" i="1"/>
  <c r="V3558"/>
  <c r="R1442"/>
  <c r="P1459"/>
  <c r="M3416" i="11"/>
  <c r="AD1354" i="1"/>
  <c r="AB1371"/>
  <c r="K3365" i="11"/>
  <c r="K3366" s="1"/>
  <c r="K3332"/>
  <c r="K3333" s="1"/>
  <c r="K467" i="27"/>
  <c r="K468" s="1"/>
  <c r="K469" s="1"/>
  <c r="K470" s="1"/>
  <c r="P635"/>
  <c r="R635" s="1"/>
  <c r="K367"/>
  <c r="K368" s="1"/>
  <c r="K369" s="1"/>
  <c r="K370" s="1"/>
  <c r="I224"/>
  <c r="K224" s="1"/>
  <c r="K231" s="1"/>
  <c r="K233" s="1"/>
  <c r="C165"/>
  <c r="C82"/>
  <c r="I1253" s="1"/>
  <c r="K1253" s="1"/>
  <c r="K1260" s="1"/>
  <c r="K1262" s="1"/>
  <c r="I1909" s="1"/>
  <c r="K1909" s="1"/>
  <c r="K1920" s="1"/>
  <c r="I335"/>
  <c r="K335" s="1"/>
  <c r="P179"/>
  <c r="R179" s="1"/>
  <c r="J842" i="55"/>
  <c r="H842"/>
  <c r="D906" i="58"/>
  <c r="F906" s="1"/>
  <c r="Z842" i="55"/>
  <c r="F842"/>
  <c r="V842"/>
  <c r="T842"/>
  <c r="X842"/>
  <c r="V1408" i="1"/>
  <c r="X1392"/>
  <c r="X433" i="55"/>
  <c r="K3483" i="11"/>
  <c r="I3477" s="1"/>
  <c r="K3477" s="1"/>
  <c r="I3628"/>
  <c r="K2580" i="1"/>
  <c r="C762" i="55"/>
  <c r="X1373" i="1"/>
  <c r="V1390"/>
  <c r="K2545"/>
  <c r="C761" i="55"/>
  <c r="I3089" i="11"/>
  <c r="K3089" s="1"/>
  <c r="I3946"/>
  <c r="K3946" s="1"/>
  <c r="K3075"/>
  <c r="C312" i="55"/>
  <c r="C566"/>
  <c r="X566" s="1"/>
  <c r="AC11" i="27"/>
  <c r="C70" s="1"/>
  <c r="Z12"/>
  <c r="Z35"/>
  <c r="AC35" s="1"/>
  <c r="I253" s="1"/>
  <c r="K253" s="1"/>
  <c r="K258" s="1"/>
  <c r="K260" s="1"/>
  <c r="K14"/>
  <c r="N14"/>
  <c r="P144"/>
  <c r="R144" s="1"/>
  <c r="R196" s="1"/>
  <c r="R198" s="1"/>
  <c r="R201" s="1"/>
  <c r="R202" s="1"/>
  <c r="R203" s="1"/>
  <c r="R204" s="1"/>
  <c r="P79"/>
  <c r="R79" s="1"/>
  <c r="R87" s="1"/>
  <c r="R89" s="1"/>
  <c r="P602"/>
  <c r="R602" s="1"/>
  <c r="K322"/>
  <c r="K323" s="1"/>
  <c r="K324" s="1"/>
  <c r="K325" s="1"/>
  <c r="K326" s="1"/>
  <c r="K4016" i="1"/>
  <c r="I4017"/>
  <c r="D676" i="58"/>
  <c r="F676" s="1"/>
  <c r="X611" i="55"/>
  <c r="F611"/>
  <c r="D1030" i="58"/>
  <c r="F1030" s="1"/>
  <c r="L3781" i="11"/>
  <c r="C621" i="55"/>
  <c r="K3466" i="11"/>
  <c r="K3468" s="1"/>
  <c r="L3379"/>
  <c r="C1022" i="55"/>
  <c r="I3074" i="1"/>
  <c r="K3074" s="1"/>
  <c r="P3062"/>
  <c r="R3062" s="1"/>
  <c r="K3055"/>
  <c r="AC10" i="27"/>
  <c r="C69" s="1"/>
  <c r="I295" s="1"/>
  <c r="K295" s="1"/>
  <c r="P1438" i="1"/>
  <c r="AE3542"/>
  <c r="K1270"/>
  <c r="I310"/>
  <c r="I354"/>
  <c r="I1824"/>
  <c r="K1824" s="1"/>
  <c r="I409"/>
  <c r="K409" s="1"/>
  <c r="K3169"/>
  <c r="P52"/>
  <c r="R52" s="1"/>
  <c r="I2261" i="27"/>
  <c r="K4015" i="1"/>
  <c r="P1440"/>
  <c r="V1386"/>
  <c r="X1352"/>
  <c r="R3294"/>
  <c r="I37" i="25"/>
  <c r="P1492" i="1"/>
  <c r="R1426"/>
  <c r="V1389"/>
  <c r="K3456" i="11"/>
  <c r="K3458" s="1"/>
  <c r="J459" i="55"/>
  <c r="K3443" i="11"/>
  <c r="I3437" s="1"/>
  <c r="K3437" s="1"/>
  <c r="I3991" i="1"/>
  <c r="I4067"/>
  <c r="K4067" s="1"/>
  <c r="P1429"/>
  <c r="D554" i="25"/>
  <c r="I3322" i="11"/>
  <c r="K3322" s="1"/>
  <c r="K3324" s="1"/>
  <c r="K3318" s="1"/>
  <c r="K3319" s="1"/>
  <c r="F92" i="32"/>
  <c r="R503" i="11"/>
  <c r="R505" s="1"/>
  <c r="R541" i="27"/>
  <c r="R543" s="1"/>
  <c r="P1043" i="1"/>
  <c r="I2239"/>
  <c r="K2239" s="1"/>
  <c r="P940"/>
  <c r="P747"/>
  <c r="R747" s="1"/>
  <c r="P731"/>
  <c r="R731" s="1"/>
  <c r="P716"/>
  <c r="R716" s="1"/>
  <c r="V2778"/>
  <c r="V1455"/>
  <c r="R1494"/>
  <c r="V1407"/>
  <c r="X1391"/>
  <c r="I3077"/>
  <c r="K3077" s="1"/>
  <c r="K3058"/>
  <c r="P3065"/>
  <c r="R3065" s="1"/>
  <c r="K2208" i="11"/>
  <c r="K2282" i="1"/>
  <c r="C450" i="55" s="1"/>
  <c r="K104" i="27"/>
  <c r="K105" s="1"/>
  <c r="K102"/>
  <c r="L3135"/>
  <c r="K2192"/>
  <c r="Z459" i="55"/>
  <c r="P2859" i="11"/>
  <c r="R2859" s="1"/>
  <c r="R2861" s="1"/>
  <c r="P2892"/>
  <c r="R2892" s="1"/>
  <c r="R2895" s="1"/>
  <c r="V3570" i="1"/>
  <c r="X3554"/>
  <c r="K89" i="27"/>
  <c r="P586"/>
  <c r="R586" s="1"/>
  <c r="R595" s="1"/>
  <c r="K90"/>
  <c r="I2613"/>
  <c r="P573"/>
  <c r="R573" s="1"/>
  <c r="R581" s="1"/>
  <c r="I3268" i="1"/>
  <c r="K3268" s="1"/>
  <c r="P586" i="11"/>
  <c r="R586" s="1"/>
  <c r="I2613"/>
  <c r="K89"/>
  <c r="K90"/>
  <c r="P573"/>
  <c r="R573" s="1"/>
  <c r="K104"/>
  <c r="K105" s="1"/>
  <c r="K102"/>
  <c r="K731" i="27"/>
  <c r="K733" s="1"/>
  <c r="I740"/>
  <c r="K740" s="1"/>
  <c r="K755" s="1"/>
  <c r="K757" s="1"/>
  <c r="I2380"/>
  <c r="I2382" s="1"/>
  <c r="I2383" s="1"/>
  <c r="I2355" s="1"/>
  <c r="K2355" s="1"/>
  <c r="I2377"/>
  <c r="K2451" i="11"/>
  <c r="I2377"/>
  <c r="I2380"/>
  <c r="I2382" s="1"/>
  <c r="I2383" s="1"/>
  <c r="I2355" s="1"/>
  <c r="K2355" s="1"/>
  <c r="I36" i="25"/>
  <c r="K3542" i="1"/>
  <c r="AB1263"/>
  <c r="AD1263" s="1"/>
  <c r="K2260" i="27"/>
  <c r="P346" i="1"/>
  <c r="R346" s="1"/>
  <c r="P547"/>
  <c r="R547" s="1"/>
  <c r="P317"/>
  <c r="R317" s="1"/>
  <c r="I1825"/>
  <c r="K1825" s="1"/>
  <c r="D586" i="25"/>
  <c r="K3623" i="27"/>
  <c r="I3278"/>
  <c r="I3337" s="1"/>
  <c r="K3337" s="1"/>
  <c r="P3525" i="1"/>
  <c r="R3243" i="11"/>
  <c r="R3244" s="1"/>
  <c r="K3268"/>
  <c r="K3269" s="1"/>
  <c r="K3261" s="1"/>
  <c r="K3262" s="1"/>
  <c r="I2973"/>
  <c r="K2973" s="1"/>
  <c r="K2977" s="1"/>
  <c r="K2952"/>
  <c r="A149" i="50"/>
  <c r="A150" s="1"/>
  <c r="F150" s="1"/>
  <c r="F148"/>
  <c r="F25" i="32"/>
  <c r="A26"/>
  <c r="F26" s="1"/>
  <c r="D546" i="25"/>
  <c r="I1051" i="1"/>
  <c r="I1083"/>
  <c r="K1083" s="1"/>
  <c r="R1141"/>
  <c r="F455" i="58"/>
  <c r="Z460" i="55"/>
  <c r="Z722"/>
  <c r="AD1372" i="1"/>
  <c r="K1442" i="27"/>
  <c r="K1444" s="1"/>
  <c r="K1120"/>
  <c r="K1122" s="1"/>
  <c r="R698"/>
  <c r="R700" s="1"/>
  <c r="K3504"/>
  <c r="K3250"/>
  <c r="K3251" s="1"/>
  <c r="K3243" s="1"/>
  <c r="K3244" s="1"/>
  <c r="I1099" i="1"/>
  <c r="P208"/>
  <c r="R208" s="1"/>
  <c r="AE2784"/>
  <c r="AG2784" s="1"/>
  <c r="I3073" i="27"/>
  <c r="D692" i="25"/>
  <c r="F692" s="1"/>
  <c r="V2780" i="1"/>
  <c r="X2780" s="1"/>
  <c r="I3034" i="27"/>
  <c r="K3034" s="1"/>
  <c r="P23" i="1"/>
  <c r="R23" s="1"/>
  <c r="I2679"/>
  <c r="Z968" i="55"/>
  <c r="B1082" i="58"/>
  <c r="F1082" s="1"/>
  <c r="P2571" i="1"/>
  <c r="R2571" s="1"/>
  <c r="R2575" s="1"/>
  <c r="R2577" s="1"/>
  <c r="C965" i="55" s="1"/>
  <c r="F965" s="1"/>
  <c r="I3059" i="1"/>
  <c r="P2980"/>
  <c r="R2980" s="1"/>
  <c r="K2974"/>
  <c r="E157" i="50"/>
  <c r="G157" s="1"/>
  <c r="G159" s="1"/>
  <c r="K2225" i="27"/>
  <c r="K2227" s="1"/>
  <c r="K2008"/>
  <c r="K2010" s="1"/>
  <c r="F28" i="50"/>
  <c r="C829" i="55" s="1"/>
  <c r="K2792" i="27"/>
  <c r="K2794" s="1"/>
  <c r="I3622"/>
  <c r="K3622" s="1"/>
  <c r="P3503"/>
  <c r="R3503" s="1"/>
  <c r="K3353"/>
  <c r="I1013" i="1"/>
  <c r="K1013" s="1"/>
  <c r="K2260" i="11"/>
  <c r="K1083"/>
  <c r="I3909" i="27"/>
  <c r="K3909" s="1"/>
  <c r="P2859" i="1"/>
  <c r="R2859" s="1"/>
  <c r="G99" i="50"/>
  <c r="G35" i="32"/>
  <c r="K2748" i="27"/>
  <c r="K2103"/>
  <c r="K2105" s="1"/>
  <c r="K2107" s="1"/>
  <c r="K2077"/>
  <c r="K1984"/>
  <c r="K1986" s="1"/>
  <c r="K686"/>
  <c r="I688" s="1"/>
  <c r="K688" s="1"/>
  <c r="K693" s="1"/>
  <c r="K695" s="1"/>
  <c r="K764" s="1"/>
  <c r="X394" i="55"/>
  <c r="V394"/>
  <c r="I3038" i="11"/>
  <c r="K3038" s="1"/>
  <c r="K2915"/>
  <c r="I3913"/>
  <c r="K3913" s="1"/>
  <c r="K2909"/>
  <c r="F1203" i="58"/>
  <c r="F1191"/>
  <c r="F1187"/>
  <c r="F1170"/>
  <c r="F1156"/>
  <c r="F1146"/>
  <c r="F1142"/>
  <c r="F1140"/>
  <c r="F1136"/>
  <c r="F1134"/>
  <c r="F1127"/>
  <c r="F1125"/>
  <c r="F1123"/>
  <c r="F1120"/>
  <c r="F1115"/>
  <c r="F1108"/>
  <c r="H977" i="55"/>
  <c r="E156" i="32"/>
  <c r="G156" s="1"/>
  <c r="E97"/>
  <c r="I3920" i="27"/>
  <c r="K3920" s="1"/>
  <c r="I3616"/>
  <c r="P3494"/>
  <c r="R3494" s="1"/>
  <c r="I2907"/>
  <c r="R2851"/>
  <c r="P2849"/>
  <c r="I2917"/>
  <c r="K2739"/>
  <c r="I2425"/>
  <c r="I2408"/>
  <c r="K2408" s="1"/>
  <c r="K2414" s="1"/>
  <c r="K2416" s="1"/>
  <c r="I2422" s="1"/>
  <c r="K2422" s="1"/>
  <c r="I1421"/>
  <c r="K1421" s="1"/>
  <c r="K1427" s="1"/>
  <c r="K1429" s="1"/>
  <c r="K2332" i="11"/>
  <c r="K2336" s="1"/>
  <c r="K2008"/>
  <c r="K2010" s="1"/>
  <c r="K1938"/>
  <c r="K1138"/>
  <c r="K1140" s="1"/>
  <c r="K1107"/>
  <c r="K1109" s="1"/>
  <c r="F1116" i="58"/>
  <c r="K3481" i="11"/>
  <c r="K3441"/>
  <c r="K3244"/>
  <c r="K2609"/>
  <c r="K1984"/>
  <c r="K1986" s="1"/>
  <c r="K1442"/>
  <c r="K1444" s="1"/>
  <c r="D1037" i="58"/>
  <c r="F1037" s="1"/>
  <c r="X970" i="55"/>
  <c r="T970"/>
  <c r="H970"/>
  <c r="V970"/>
  <c r="F970"/>
  <c r="J970"/>
  <c r="I3901" i="11"/>
  <c r="K3901" s="1"/>
  <c r="K3057"/>
  <c r="R566" i="27"/>
  <c r="R568" s="1"/>
  <c r="K2241" i="11"/>
  <c r="K1120"/>
  <c r="K1122" s="1"/>
  <c r="F1212" i="58"/>
  <c r="F1205"/>
  <c r="F1194"/>
  <c r="F1182"/>
  <c r="F1179"/>
  <c r="F1171"/>
  <c r="F1163"/>
  <c r="F1160"/>
  <c r="F1147"/>
  <c r="F1137"/>
  <c r="F1135"/>
  <c r="F1111"/>
  <c r="F24" i="32"/>
  <c r="F28" s="1"/>
  <c r="I3534" i="27"/>
  <c r="K3534" s="1"/>
  <c r="K2905"/>
  <c r="I1830"/>
  <c r="K1830" s="1"/>
  <c r="K1837" s="1"/>
  <c r="K1839" s="1"/>
  <c r="I1846" s="1"/>
  <c r="K1846" s="1"/>
  <c r="K1849" s="1"/>
  <c r="K3774" i="11"/>
  <c r="K2225"/>
  <c r="K2227" s="1"/>
  <c r="K3953" i="1"/>
  <c r="I3970"/>
  <c r="K3970" s="1"/>
  <c r="M3524"/>
  <c r="R3524" s="1"/>
  <c r="R3523"/>
  <c r="R2430"/>
  <c r="I3744"/>
  <c r="R1448"/>
  <c r="P1465"/>
  <c r="I481" i="27"/>
  <c r="K481" s="1"/>
  <c r="I412"/>
  <c r="K412" s="1"/>
  <c r="I196"/>
  <c r="K196" s="1"/>
  <c r="I3898" i="11"/>
  <c r="K3898" s="1"/>
  <c r="I3731"/>
  <c r="K3731" s="1"/>
  <c r="I3682"/>
  <c r="P3623"/>
  <c r="K3566"/>
  <c r="I2959"/>
  <c r="I2442"/>
  <c r="K2442" s="1"/>
  <c r="K2444" s="1"/>
  <c r="K2446" s="1"/>
  <c r="K2448" s="1"/>
  <c r="O3561"/>
  <c r="I3406"/>
  <c r="K686"/>
  <c r="I688" s="1"/>
  <c r="K688" s="1"/>
  <c r="K693" s="1"/>
  <c r="K695" s="1"/>
  <c r="K764" s="1"/>
  <c r="P706"/>
  <c r="R706" s="1"/>
  <c r="R713" s="1"/>
  <c r="R715" s="1"/>
  <c r="P691"/>
  <c r="R691" s="1"/>
  <c r="R698" s="1"/>
  <c r="R700" s="1"/>
  <c r="P722"/>
  <c r="R722" s="1"/>
  <c r="R729" s="1"/>
  <c r="R731" s="1"/>
  <c r="K3955" i="1"/>
  <c r="I3972"/>
  <c r="K3972" s="1"/>
  <c r="F3520"/>
  <c r="K3519"/>
  <c r="R3155"/>
  <c r="P3191"/>
  <c r="R3191" s="1"/>
  <c r="I3494" i="11"/>
  <c r="P764"/>
  <c r="R764" s="1"/>
  <c r="I576"/>
  <c r="K576" s="1"/>
  <c r="K581" s="1"/>
  <c r="I535"/>
  <c r="K535" s="1"/>
  <c r="I37"/>
  <c r="K37" s="1"/>
  <c r="I11"/>
  <c r="K11" s="1"/>
  <c r="P321"/>
  <c r="R321" s="1"/>
  <c r="P180"/>
  <c r="R180" s="1"/>
  <c r="K4023" i="1"/>
  <c r="I3971"/>
  <c r="K3971" s="1"/>
  <c r="K3959"/>
  <c r="I3956"/>
  <c r="K3939"/>
  <c r="K3937"/>
  <c r="K3599"/>
  <c r="S3567"/>
  <c r="X3567" s="1"/>
  <c r="S3552"/>
  <c r="X3552" s="1"/>
  <c r="AB3552"/>
  <c r="K3540"/>
  <c r="K3287"/>
  <c r="V3158"/>
  <c r="X3112"/>
  <c r="K3105"/>
  <c r="I3104"/>
  <c r="I3073"/>
  <c r="K3073" s="1"/>
  <c r="K2972"/>
  <c r="K2969"/>
  <c r="P2860"/>
  <c r="R2860" s="1"/>
  <c r="P2855"/>
  <c r="R2855" s="1"/>
  <c r="R2823"/>
  <c r="K2760"/>
  <c r="K2423"/>
  <c r="P2021"/>
  <c r="R2021" s="1"/>
  <c r="N1941"/>
  <c r="N1942" s="1"/>
  <c r="I1920"/>
  <c r="K1920" s="1"/>
  <c r="R1432"/>
  <c r="P1427"/>
  <c r="AE1061"/>
  <c r="AG1061" s="1"/>
  <c r="P990"/>
  <c r="R990" s="1"/>
  <c r="K957"/>
  <c r="AF681"/>
  <c r="AF683" s="1"/>
  <c r="AD277"/>
  <c r="AC277"/>
  <c r="I394" i="11"/>
  <c r="K394" s="1"/>
  <c r="I383"/>
  <c r="K383" s="1"/>
  <c r="P378"/>
  <c r="R378" s="1"/>
  <c r="P309"/>
  <c r="R309" s="1"/>
  <c r="P307"/>
  <c r="R307" s="1"/>
  <c r="I297"/>
  <c r="K297" s="1"/>
  <c r="P286"/>
  <c r="R286" s="1"/>
  <c r="I213"/>
  <c r="K213" s="1"/>
  <c r="P193"/>
  <c r="R193" s="1"/>
  <c r="P84"/>
  <c r="R84" s="1"/>
  <c r="P54"/>
  <c r="R54" s="1"/>
  <c r="I892" i="1"/>
  <c r="K892" s="1"/>
  <c r="K720"/>
  <c r="I722" s="1"/>
  <c r="K722" s="1"/>
  <c r="V579"/>
  <c r="X579" s="1"/>
  <c r="K601"/>
  <c r="I622" i="11"/>
  <c r="K622" s="1"/>
  <c r="I560"/>
  <c r="K560" s="1"/>
  <c r="K564" s="1"/>
  <c r="K567" s="1"/>
  <c r="I568" s="1"/>
  <c r="K568" s="1"/>
  <c r="I569" s="1"/>
  <c r="K569" s="1"/>
  <c r="I570" s="1"/>
  <c r="K570" s="1"/>
  <c r="I571" s="1"/>
  <c r="K571" s="1"/>
  <c r="I572" s="1"/>
  <c r="K572" s="1"/>
  <c r="AE3551" i="1"/>
  <c r="K3100"/>
  <c r="P1063"/>
  <c r="R1063" s="1"/>
  <c r="V878"/>
  <c r="C164" i="11"/>
  <c r="G394" i="25"/>
  <c r="G395" s="1"/>
  <c r="C669" i="55" s="1"/>
  <c r="F16" i="25"/>
  <c r="F18" s="1"/>
  <c r="F89"/>
  <c r="Z333" i="55"/>
  <c r="Z847"/>
  <c r="Z729"/>
  <c r="F947" i="58"/>
  <c r="K3520" i="1"/>
  <c r="B23" i="58"/>
  <c r="F23" s="1"/>
  <c r="G207" i="25"/>
  <c r="B630" i="58"/>
  <c r="F630" s="1"/>
  <c r="B742"/>
  <c r="F742" s="1"/>
  <c r="B793"/>
  <c r="F793" s="1"/>
  <c r="B970"/>
  <c r="F970" s="1"/>
  <c r="B750"/>
  <c r="F750" s="1"/>
  <c r="B898"/>
  <c r="F898" s="1"/>
  <c r="B751"/>
  <c r="F751" s="1"/>
  <c r="B899"/>
  <c r="F899" s="1"/>
  <c r="B978"/>
  <c r="F978" s="1"/>
  <c r="B955"/>
  <c r="F955" s="1"/>
  <c r="B819"/>
  <c r="F819" s="1"/>
  <c r="Y1080" i="55"/>
  <c r="Y1076"/>
  <c r="Y1072"/>
  <c r="R151" i="1"/>
  <c r="R2074"/>
  <c r="Y1082" i="55"/>
  <c r="Y1078"/>
  <c r="Y1074"/>
  <c r="F933" i="58"/>
  <c r="F725"/>
  <c r="F951"/>
  <c r="F966"/>
  <c r="F962"/>
  <c r="F956"/>
  <c r="E13" i="4"/>
  <c r="Z36" i="1" s="1"/>
  <c r="E4" i="4"/>
  <c r="W561" i="1"/>
  <c r="AC561" s="1"/>
  <c r="J560"/>
  <c r="I3240"/>
  <c r="K3240" s="1"/>
  <c r="C1049" i="55"/>
  <c r="J1049" s="1"/>
  <c r="K3195" i="1"/>
  <c r="J613"/>
  <c r="V591" s="1"/>
  <c r="AJ1196"/>
  <c r="P2370"/>
  <c r="R2370" s="1"/>
  <c r="C63"/>
  <c r="I2364"/>
  <c r="K2364" s="1"/>
  <c r="P2407"/>
  <c r="R2407" s="1"/>
  <c r="R2411" s="1"/>
  <c r="R2413" s="1"/>
  <c r="C659" i="55" s="1"/>
  <c r="P1300" i="1"/>
  <c r="R1300" s="1"/>
  <c r="D12"/>
  <c r="P3721"/>
  <c r="R3721" s="1"/>
  <c r="K3721"/>
  <c r="AB1331"/>
  <c r="AC1331" s="1"/>
  <c r="D15"/>
  <c r="M113"/>
  <c r="M130" s="1"/>
  <c r="M92"/>
  <c r="M98" s="1"/>
  <c r="K381"/>
  <c r="V381"/>
  <c r="D547" i="25"/>
  <c r="R3224" i="1"/>
  <c r="P3325"/>
  <c r="J684"/>
  <c r="J685" s="1"/>
  <c r="J686" s="1"/>
  <c r="J687" s="1"/>
  <c r="J704"/>
  <c r="J705" s="1"/>
  <c r="J706" s="1"/>
  <c r="J707" s="1"/>
  <c r="AF446"/>
  <c r="AF409"/>
  <c r="W400"/>
  <c r="W432"/>
  <c r="W433" s="1"/>
  <c r="W434" s="1"/>
  <c r="W435" s="1"/>
  <c r="I1600"/>
  <c r="I1572"/>
  <c r="I1769"/>
  <c r="K1769" s="1"/>
  <c r="I3622"/>
  <c r="K3622" s="1"/>
  <c r="D30"/>
  <c r="I1101" s="1"/>
  <c r="K1101" s="1"/>
  <c r="I3280"/>
  <c r="C29"/>
  <c r="E199" i="25"/>
  <c r="G199" s="1"/>
  <c r="G218" s="1"/>
  <c r="I2633" i="1"/>
  <c r="I1907"/>
  <c r="K1907" s="1"/>
  <c r="I604"/>
  <c r="K604" s="1"/>
  <c r="P518"/>
  <c r="R518" s="1"/>
  <c r="P546"/>
  <c r="R546" s="1"/>
  <c r="I1823"/>
  <c r="K1823" s="1"/>
  <c r="K1831" s="1"/>
  <c r="K1833" s="1"/>
  <c r="I1877" s="1"/>
  <c r="K1877" s="1"/>
  <c r="K1879" s="1"/>
  <c r="P500"/>
  <c r="R500" s="1"/>
  <c r="I2734"/>
  <c r="K2734" s="1"/>
  <c r="I1805"/>
  <c r="K1805" s="1"/>
  <c r="P1373"/>
  <c r="R1373" s="1"/>
  <c r="I2295"/>
  <c r="P3511"/>
  <c r="R3511" s="1"/>
  <c r="V1332"/>
  <c r="C9"/>
  <c r="P2356"/>
  <c r="R2356" s="1"/>
  <c r="P363"/>
  <c r="R363" s="1"/>
  <c r="I446"/>
  <c r="K446" s="1"/>
  <c r="I505"/>
  <c r="P336"/>
  <c r="R336" s="1"/>
  <c r="I1304"/>
  <c r="I1392"/>
  <c r="K1392" s="1"/>
  <c r="I1505"/>
  <c r="I1844"/>
  <c r="I2711"/>
  <c r="I337"/>
  <c r="I809"/>
  <c r="I1322"/>
  <c r="K1322" s="1"/>
  <c r="I1379"/>
  <c r="K1379" s="1"/>
  <c r="I1706"/>
  <c r="K1706" s="1"/>
  <c r="I2130"/>
  <c r="K2130" s="1"/>
  <c r="P319"/>
  <c r="R319" s="1"/>
  <c r="I1433"/>
  <c r="K1433" s="1"/>
  <c r="I2006"/>
  <c r="I2382"/>
  <c r="K2382" s="1"/>
  <c r="I1405"/>
  <c r="K1405" s="1"/>
  <c r="I2684"/>
  <c r="K2684" s="1"/>
  <c r="P53"/>
  <c r="R53" s="1"/>
  <c r="I1808"/>
  <c r="K1808" s="1"/>
  <c r="I357"/>
  <c r="P38"/>
  <c r="R38" s="1"/>
  <c r="I272"/>
  <c r="K272" s="1"/>
  <c r="I313"/>
  <c r="P503"/>
  <c r="R503" s="1"/>
  <c r="I1200"/>
  <c r="K1200" s="1"/>
  <c r="P296"/>
  <c r="R296" s="1"/>
  <c r="P376"/>
  <c r="R376" s="1"/>
  <c r="I1256"/>
  <c r="I1645"/>
  <c r="I196"/>
  <c r="V709"/>
  <c r="I865"/>
  <c r="I2737"/>
  <c r="K2737" s="1"/>
  <c r="I412"/>
  <c r="K412" s="1"/>
  <c r="P1144"/>
  <c r="I1251"/>
  <c r="I3457"/>
  <c r="P1521"/>
  <c r="R1521" s="1"/>
  <c r="P307"/>
  <c r="R307" s="1"/>
  <c r="I1490"/>
  <c r="K1490" s="1"/>
  <c r="I1357"/>
  <c r="K1357" s="1"/>
  <c r="P68"/>
  <c r="R68" s="1"/>
  <c r="I2150"/>
  <c r="I899"/>
  <c r="K899" s="1"/>
  <c r="P284"/>
  <c r="R284" s="1"/>
  <c r="I883"/>
  <c r="I211"/>
  <c r="K211" s="1"/>
  <c r="V644"/>
  <c r="I1517"/>
  <c r="K1517" s="1"/>
  <c r="I1226"/>
  <c r="K1226" s="1"/>
  <c r="I1418"/>
  <c r="K1418" s="1"/>
  <c r="I2105"/>
  <c r="K2105" s="1"/>
  <c r="P521"/>
  <c r="R521" s="1"/>
  <c r="I1232"/>
  <c r="K1232" s="1"/>
  <c r="P348"/>
  <c r="R348" s="1"/>
  <c r="I226"/>
  <c r="I1222"/>
  <c r="P390"/>
  <c r="R390" s="1"/>
  <c r="I2426"/>
  <c r="I298"/>
  <c r="K298" s="1"/>
  <c r="I2025"/>
  <c r="I1910"/>
  <c r="K1910" s="1"/>
  <c r="K3365"/>
  <c r="I3352"/>
  <c r="K3352" s="1"/>
  <c r="V3704"/>
  <c r="V3656"/>
  <c r="K1628"/>
  <c r="K1632" s="1"/>
  <c r="K1635" s="1"/>
  <c r="P1630"/>
  <c r="R1630" s="1"/>
  <c r="R1634" s="1"/>
  <c r="I504"/>
  <c r="I2788"/>
  <c r="K2788" s="1"/>
  <c r="L2754" s="1"/>
  <c r="I225"/>
  <c r="I2346"/>
  <c r="P888"/>
  <c r="R888" s="1"/>
  <c r="I1477"/>
  <c r="K1477" s="1"/>
  <c r="I1356"/>
  <c r="K1356" s="1"/>
  <c r="V527"/>
  <c r="I1516"/>
  <c r="K1516" s="1"/>
  <c r="V476"/>
  <c r="I2162"/>
  <c r="K2162" s="1"/>
  <c r="K2164" s="1"/>
  <c r="K2166" s="1"/>
  <c r="C416" i="55" s="1"/>
  <c r="I1255" i="1"/>
  <c r="I411"/>
  <c r="K411" s="1"/>
  <c r="I2425"/>
  <c r="I2149"/>
  <c r="P1357"/>
  <c r="R1357" s="1"/>
  <c r="R1360" s="1"/>
  <c r="R1362" s="1"/>
  <c r="I2076"/>
  <c r="K2076" s="1"/>
  <c r="I336"/>
  <c r="I881"/>
  <c r="I2736"/>
  <c r="K2736" s="1"/>
  <c r="I1909"/>
  <c r="K1909" s="1"/>
  <c r="I1303"/>
  <c r="I1807"/>
  <c r="K1807" s="1"/>
  <c r="I1843"/>
  <c r="I1971"/>
  <c r="P347"/>
  <c r="R347" s="1"/>
  <c r="I525"/>
  <c r="K525" s="1"/>
  <c r="I1432"/>
  <c r="K1432" s="1"/>
  <c r="I1452"/>
  <c r="K1452" s="1"/>
  <c r="I297"/>
  <c r="K297" s="1"/>
  <c r="P335"/>
  <c r="R335" s="1"/>
  <c r="I2028"/>
  <c r="I1391"/>
  <c r="K1391" s="1"/>
  <c r="P37"/>
  <c r="R37" s="1"/>
  <c r="I782"/>
  <c r="K782" s="1"/>
  <c r="I549"/>
  <c r="K549" s="1"/>
  <c r="I1378"/>
  <c r="K1378" s="1"/>
  <c r="I2129"/>
  <c r="K2129" s="1"/>
  <c r="P520"/>
  <c r="R520" s="1"/>
  <c r="I581"/>
  <c r="P295"/>
  <c r="R295" s="1"/>
  <c r="I2683"/>
  <c r="K2683" s="1"/>
  <c r="I1504"/>
  <c r="I1489"/>
  <c r="K1489" s="1"/>
  <c r="I808"/>
  <c r="I3456"/>
  <c r="I487"/>
  <c r="K487" s="1"/>
  <c r="I2710"/>
  <c r="I649"/>
  <c r="K649" s="1"/>
  <c r="P283"/>
  <c r="R283" s="1"/>
  <c r="I897"/>
  <c r="K897" s="1"/>
  <c r="I1644"/>
  <c r="I1417"/>
  <c r="K1417" s="1"/>
  <c r="I2366"/>
  <c r="I195"/>
  <c r="P2334"/>
  <c r="R2334" s="1"/>
  <c r="I1221"/>
  <c r="I2319"/>
  <c r="K2319" s="1"/>
  <c r="P1520"/>
  <c r="R1520" s="1"/>
  <c r="R1524" s="1"/>
  <c r="R1526" s="1"/>
  <c r="I271"/>
  <c r="K271" s="1"/>
  <c r="I1199"/>
  <c r="K1199" s="1"/>
  <c r="I2396"/>
  <c r="P361"/>
  <c r="R361" s="1"/>
  <c r="I1705"/>
  <c r="K1705" s="1"/>
  <c r="I1404"/>
  <c r="K1404" s="1"/>
  <c r="I1321"/>
  <c r="K1321" s="1"/>
  <c r="I863"/>
  <c r="I724"/>
  <c r="K724" s="1"/>
  <c r="I1992"/>
  <c r="I1941"/>
  <c r="I1225"/>
  <c r="K1225" s="1"/>
  <c r="P1143"/>
  <c r="I603"/>
  <c r="K603" s="1"/>
  <c r="I760"/>
  <c r="K760" s="1"/>
  <c r="I312"/>
  <c r="I380"/>
  <c r="I210"/>
  <c r="K210" s="1"/>
  <c r="V643"/>
  <c r="I356"/>
  <c r="V708"/>
  <c r="I2175"/>
  <c r="K2175" s="1"/>
  <c r="K2177" s="1"/>
  <c r="K2179" s="1"/>
  <c r="K2181" s="1"/>
  <c r="C417" i="55" s="1"/>
  <c r="P548" i="1"/>
  <c r="R548" s="1"/>
  <c r="I445"/>
  <c r="K445" s="1"/>
  <c r="P389"/>
  <c r="R389" s="1"/>
  <c r="I619"/>
  <c r="K619" s="1"/>
  <c r="I2991"/>
  <c r="K2991" s="1"/>
  <c r="P306"/>
  <c r="R306" s="1"/>
  <c r="I1159"/>
  <c r="K1159" s="1"/>
  <c r="I1335"/>
  <c r="K1335" s="1"/>
  <c r="I2332"/>
  <c r="K2332" s="1"/>
  <c r="P375"/>
  <c r="R375" s="1"/>
  <c r="I2009"/>
  <c r="J3042"/>
  <c r="K3042" s="1"/>
  <c r="P502"/>
  <c r="R502" s="1"/>
  <c r="I2104"/>
  <c r="K2104" s="1"/>
  <c r="P67"/>
  <c r="R67" s="1"/>
  <c r="I1464"/>
  <c r="K1464" s="1"/>
  <c r="K1990"/>
  <c r="P1990"/>
  <c r="R1990" s="1"/>
  <c r="I1841"/>
  <c r="J660"/>
  <c r="P3438"/>
  <c r="R3438" s="1"/>
  <c r="I1336"/>
  <c r="K1336" s="1"/>
  <c r="I488"/>
  <c r="K488" s="1"/>
  <c r="T312" i="55"/>
  <c r="AE1062" i="1"/>
  <c r="AG1062" s="1"/>
  <c r="P987"/>
  <c r="R987" s="1"/>
  <c r="K1053"/>
  <c r="P1064"/>
  <c r="R1064" s="1"/>
  <c r="J536"/>
  <c r="W535"/>
  <c r="AC535" s="1"/>
  <c r="S1155"/>
  <c r="J556"/>
  <c r="W558" s="1"/>
  <c r="AC558" s="1"/>
  <c r="J625"/>
  <c r="S1179"/>
  <c r="J532"/>
  <c r="W534" s="1"/>
  <c r="AC534" s="1"/>
  <c r="J609"/>
  <c r="V587" s="1"/>
  <c r="AJ1194"/>
  <c r="J656"/>
  <c r="W483" s="1"/>
  <c r="AC483" s="1"/>
  <c r="AC1194"/>
  <c r="I1515"/>
  <c r="K1515" s="1"/>
  <c r="I1144"/>
  <c r="K1144" s="1"/>
  <c r="K1149" s="1"/>
  <c r="K1151" s="1"/>
  <c r="C1000" i="55" s="1"/>
  <c r="I1545" i="1"/>
  <c r="K1545" s="1"/>
  <c r="K1548" s="1"/>
  <c r="K1550" s="1"/>
  <c r="I2715"/>
  <c r="K2715" s="1"/>
  <c r="I1503"/>
  <c r="I2772"/>
  <c r="K2772" s="1"/>
  <c r="K2775" s="1"/>
  <c r="C645" i="55" s="1"/>
  <c r="I2709" i="1"/>
  <c r="K2709" s="1"/>
  <c r="I1532"/>
  <c r="K1532" s="1"/>
  <c r="I1530"/>
  <c r="K1530" s="1"/>
  <c r="I1158"/>
  <c r="K1158" s="1"/>
  <c r="C1050" i="55"/>
  <c r="I3224" i="1"/>
  <c r="K3224" s="1"/>
  <c r="V79"/>
  <c r="X79" s="1"/>
  <c r="X130"/>
  <c r="X78"/>
  <c r="V107"/>
  <c r="X107" s="1"/>
  <c r="X133"/>
  <c r="P3291"/>
  <c r="I1128"/>
  <c r="K1128" s="1"/>
  <c r="I2663"/>
  <c r="I3146"/>
  <c r="P210"/>
  <c r="R210" s="1"/>
  <c r="X80"/>
  <c r="V108"/>
  <c r="X108" s="1"/>
  <c r="C14"/>
  <c r="P3719"/>
  <c r="R3719" s="1"/>
  <c r="I3702"/>
  <c r="K3702" s="1"/>
  <c r="I3765"/>
  <c r="K3765" s="1"/>
  <c r="I2050"/>
  <c r="K2050" s="1"/>
  <c r="I3118"/>
  <c r="I1940"/>
  <c r="I2103"/>
  <c r="K2103" s="1"/>
  <c r="I1969"/>
  <c r="I2074"/>
  <c r="K2074" s="1"/>
  <c r="I2005"/>
  <c r="I2024"/>
  <c r="I2406"/>
  <c r="K2406" s="1"/>
  <c r="J3041"/>
  <c r="K3041" s="1"/>
  <c r="K3043" s="1"/>
  <c r="C643" i="55" s="1"/>
  <c r="I2027" i="1"/>
  <c r="I2008"/>
  <c r="AF3103"/>
  <c r="P1545"/>
  <c r="R1545" s="1"/>
  <c r="R1549" s="1"/>
  <c r="P1538" s="1"/>
  <c r="R1538" s="1"/>
  <c r="P1399"/>
  <c r="I3766"/>
  <c r="K3766" s="1"/>
  <c r="P3512"/>
  <c r="I3339"/>
  <c r="K3339" s="1"/>
  <c r="I3703"/>
  <c r="K3703" s="1"/>
  <c r="P2357"/>
  <c r="R2357" s="1"/>
  <c r="I3720"/>
  <c r="P1374"/>
  <c r="R1374" s="1"/>
  <c r="I3746"/>
  <c r="K3746" s="1"/>
  <c r="D49" i="25"/>
  <c r="T30" i="55"/>
  <c r="D30" i="58"/>
  <c r="H30" i="55"/>
  <c r="F30"/>
  <c r="Z30"/>
  <c r="X30"/>
  <c r="K3792" i="1"/>
  <c r="K3796" s="1"/>
  <c r="I3786" s="1"/>
  <c r="I3806"/>
  <c r="K3806" s="1"/>
  <c r="R428"/>
  <c r="I3657"/>
  <c r="AJ1200"/>
  <c r="AC1201"/>
  <c r="R2335"/>
  <c r="R2336" s="1"/>
  <c r="P574"/>
  <c r="R574" s="1"/>
  <c r="R585" s="1"/>
  <c r="R587" s="1"/>
  <c r="I2123"/>
  <c r="K2123" s="1"/>
  <c r="I173"/>
  <c r="K173" s="1"/>
  <c r="I1754"/>
  <c r="K1754" s="1"/>
  <c r="P138"/>
  <c r="P466"/>
  <c r="R466" s="1"/>
  <c r="R484" s="1"/>
  <c r="R486" s="1"/>
  <c r="P448"/>
  <c r="R448" s="1"/>
  <c r="R459" s="1"/>
  <c r="R461" s="1"/>
  <c r="V712"/>
  <c r="K280"/>
  <c r="I816"/>
  <c r="K816" s="1"/>
  <c r="K512"/>
  <c r="K2320"/>
  <c r="K2321" s="1"/>
  <c r="I2326" s="1"/>
  <c r="K2326" s="1"/>
  <c r="K2327" s="1"/>
  <c r="K2328" s="1"/>
  <c r="C813" i="55" s="1"/>
  <c r="AQ3102" i="1"/>
  <c r="AS3102" s="1"/>
  <c r="AH3102"/>
  <c r="I27"/>
  <c r="I52"/>
  <c r="P22"/>
  <c r="R22" s="1"/>
  <c r="I35"/>
  <c r="I9"/>
  <c r="P3060"/>
  <c r="R3060" s="1"/>
  <c r="I3072"/>
  <c r="K3072" s="1"/>
  <c r="K2249"/>
  <c r="L2218" s="1"/>
  <c r="I1319"/>
  <c r="K1319" s="1"/>
  <c r="P21"/>
  <c r="P7"/>
  <c r="R7" s="1"/>
  <c r="C79"/>
  <c r="I1318" s="1"/>
  <c r="K1318" s="1"/>
  <c r="I222"/>
  <c r="K222" s="1"/>
  <c r="AC17"/>
  <c r="AE308"/>
  <c r="AG308" s="1"/>
  <c r="AE361"/>
  <c r="AG361" s="1"/>
  <c r="AE385"/>
  <c r="AE332"/>
  <c r="AG332" s="1"/>
  <c r="AQ129"/>
  <c r="AS129" s="1"/>
  <c r="AU129" s="1"/>
  <c r="AQ160"/>
  <c r="AS160" s="1"/>
  <c r="AQ84"/>
  <c r="AS84" s="1"/>
  <c r="AQ60"/>
  <c r="AS60" s="1"/>
  <c r="AQ104"/>
  <c r="AS104" s="1"/>
  <c r="AU104" s="1"/>
  <c r="AV104" s="1"/>
  <c r="AC38"/>
  <c r="V332" s="1"/>
  <c r="X332" s="1"/>
  <c r="Z17" i="11"/>
  <c r="AC17" s="1"/>
  <c r="I3693" i="27"/>
  <c r="K3693" s="1"/>
  <c r="K3682"/>
  <c r="I2810" i="1"/>
  <c r="P3185"/>
  <c r="I2659"/>
  <c r="I2630"/>
  <c r="C85"/>
  <c r="I3315"/>
  <c r="K3315" s="1"/>
  <c r="I3143"/>
  <c r="F370" i="58"/>
  <c r="V31" i="55"/>
  <c r="J31"/>
  <c r="D31" i="58"/>
  <c r="Z31" i="55"/>
  <c r="X31"/>
  <c r="F31"/>
  <c r="H31"/>
  <c r="K3405" i="27"/>
  <c r="K3408" s="1"/>
  <c r="K3409" s="1"/>
  <c r="K3398" s="1"/>
  <c r="L3398" s="1"/>
  <c r="I3424"/>
  <c r="K3073"/>
  <c r="I3932"/>
  <c r="K3932" s="1"/>
  <c r="I3099"/>
  <c r="A262" i="1"/>
  <c r="A263" s="1"/>
  <c r="A264" s="1"/>
  <c r="A265" s="1"/>
  <c r="A266" s="1"/>
  <c r="A267" s="1"/>
  <c r="A268" s="1"/>
  <c r="A269" s="1"/>
  <c r="A270" s="1"/>
  <c r="A271" s="1"/>
  <c r="A272" s="1"/>
  <c r="A273" s="1"/>
  <c r="A274" s="1"/>
  <c r="A275" s="1"/>
  <c r="A276" s="1"/>
  <c r="A277"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20" s="1"/>
  <c r="A421" s="1"/>
  <c r="A422" s="1"/>
  <c r="A423" s="1"/>
  <c r="A424" s="1"/>
  <c r="A425" s="1"/>
  <c r="A426" s="1"/>
  <c r="A427" s="1"/>
  <c r="A428" s="1"/>
  <c r="A429" s="1"/>
  <c r="A430" s="1"/>
  <c r="A431" s="1"/>
  <c r="A432" s="1"/>
  <c r="A433" s="1"/>
  <c r="A434"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76" s="1"/>
  <c r="A477" s="1"/>
  <c r="A478" s="1"/>
  <c r="A479" s="1"/>
  <c r="A480" s="1"/>
  <c r="A481" s="1"/>
  <c r="A482" s="1"/>
  <c r="A483" s="1"/>
  <c r="A484" s="1"/>
  <c r="A485" s="1"/>
  <c r="A486" s="1"/>
  <c r="A487" s="1"/>
  <c r="A488" s="1"/>
  <c r="A489" s="1"/>
  <c r="A490" s="1"/>
  <c r="A491" s="1"/>
  <c r="A492" s="1"/>
  <c r="A493" s="1"/>
  <c r="A494"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45" s="1"/>
  <c r="A546" s="1"/>
  <c r="A547" s="1"/>
  <c r="A548" s="1"/>
  <c r="A549" s="1"/>
  <c r="A550" s="1"/>
  <c r="A551" s="1"/>
  <c r="A552" s="1"/>
  <c r="A553" s="1"/>
  <c r="A554" s="1"/>
  <c r="A555" s="1"/>
  <c r="A556" s="1"/>
  <c r="A557" s="1"/>
  <c r="A558" s="1"/>
  <c r="A559" s="1"/>
  <c r="A561" s="1"/>
  <c r="A569" s="1"/>
  <c r="A570" s="1"/>
  <c r="A571" s="1"/>
  <c r="A572" s="1"/>
  <c r="A573" s="1"/>
  <c r="A574" s="1"/>
  <c r="A575" s="1"/>
  <c r="A576" s="1"/>
  <c r="A577" s="1"/>
  <c r="A578" s="1"/>
  <c r="A579" s="1"/>
  <c r="A580" s="1"/>
  <c r="A581" s="1"/>
  <c r="A582" s="1"/>
  <c r="A583" s="1"/>
  <c r="A584" s="1"/>
  <c r="A585" s="1"/>
  <c r="A586" s="1"/>
  <c r="A587" s="1"/>
  <c r="A588" s="1"/>
  <c r="A589" s="1"/>
  <c r="A590" s="1"/>
  <c r="A592" s="1"/>
  <c r="A593" s="1"/>
  <c r="A594" s="1"/>
  <c r="A595" s="1"/>
  <c r="A596" s="1"/>
  <c r="A597" s="1"/>
  <c r="A598" s="1"/>
  <c r="A599" s="1"/>
  <c r="A600" s="1"/>
  <c r="A601" s="1"/>
  <c r="A602" s="1"/>
  <c r="A603" s="1"/>
  <c r="A604" s="1"/>
  <c r="A605"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2" s="1"/>
  <c r="A763" s="1"/>
  <c r="A764" s="1"/>
  <c r="A765" s="1"/>
  <c r="A766" s="1"/>
  <c r="A767" s="1"/>
  <c r="A768" s="1"/>
  <c r="A769" s="1"/>
  <c r="A770" s="1"/>
  <c r="A771" s="1"/>
  <c r="A772" s="1"/>
  <c r="A773" s="1"/>
  <c r="A774" s="1"/>
  <c r="A775" s="1"/>
  <c r="A776" s="1"/>
  <c r="A777" s="1"/>
  <c r="A778" s="1"/>
  <c r="A779" s="1"/>
  <c r="A780" s="1"/>
  <c r="A204"/>
  <c r="A205" s="1"/>
  <c r="K3018" i="11"/>
  <c r="K3022" s="1"/>
  <c r="L3012"/>
  <c r="L3013" s="1"/>
  <c r="K3011"/>
  <c r="C1004" i="55" s="1"/>
  <c r="R3772" i="27"/>
  <c r="K3772"/>
  <c r="K3779" s="1"/>
  <c r="K3781" s="1"/>
  <c r="I3297"/>
  <c r="K3278"/>
  <c r="I3279"/>
  <c r="K3266"/>
  <c r="K3268" s="1"/>
  <c r="K3269" s="1"/>
  <c r="K3261" s="1"/>
  <c r="K3262" s="1"/>
  <c r="Z566" i="55"/>
  <c r="C78" i="1"/>
  <c r="D658" i="25"/>
  <c r="F622"/>
  <c r="K3298" i="27"/>
  <c r="I3323"/>
  <c r="K3323" s="1"/>
  <c r="K3057"/>
  <c r="I3892"/>
  <c r="K3892" s="1"/>
  <c r="I3905"/>
  <c r="K3905" s="1"/>
  <c r="I2973"/>
  <c r="K2973" s="1"/>
  <c r="M2253" i="1"/>
  <c r="P1218"/>
  <c r="K1223"/>
  <c r="D716" i="58"/>
  <c r="X651" i="55"/>
  <c r="F651"/>
  <c r="F949" i="58"/>
  <c r="AV129" i="1"/>
  <c r="F59" i="25"/>
  <c r="D84"/>
  <c r="D108" i="32"/>
  <c r="F108" s="1"/>
  <c r="F45"/>
  <c r="H45" s="1"/>
  <c r="F622" i="55"/>
  <c r="D687" i="58"/>
  <c r="F687" s="1"/>
  <c r="X622" i="55"/>
  <c r="D453" i="58"/>
  <c r="H459" i="55"/>
  <c r="F459"/>
  <c r="X459"/>
  <c r="X762"/>
  <c r="F762"/>
  <c r="Z762"/>
  <c r="C768"/>
  <c r="I3098" i="1"/>
  <c r="P2667"/>
  <c r="C87"/>
  <c r="I3279"/>
  <c r="I2812"/>
  <c r="I1517" i="11"/>
  <c r="K1517" s="1"/>
  <c r="K1524" s="1"/>
  <c r="K1526" s="1"/>
  <c r="I1544"/>
  <c r="K1544" s="1"/>
  <c r="K1549" s="1"/>
  <c r="K1551" s="1"/>
  <c r="I2985" i="27"/>
  <c r="K2985" s="1"/>
  <c r="K2988" s="1"/>
  <c r="I3908"/>
  <c r="I2958"/>
  <c r="K2958" s="1"/>
  <c r="Z34" i="11"/>
  <c r="AC34" s="1"/>
  <c r="C77" s="1"/>
  <c r="I443" s="1"/>
  <c r="K443" s="1"/>
  <c r="K451" s="1"/>
  <c r="K453" s="1"/>
  <c r="I458" s="1"/>
  <c r="K458" s="1"/>
  <c r="K462" s="1"/>
  <c r="K464" s="1"/>
  <c r="K466" s="1"/>
  <c r="P635" s="1"/>
  <c r="R635" s="1"/>
  <c r="AC29"/>
  <c r="C91" s="1"/>
  <c r="P79" s="1"/>
  <c r="R79" s="1"/>
  <c r="R87" s="1"/>
  <c r="R89" s="1"/>
  <c r="I3889" i="27"/>
  <c r="K3889" s="1"/>
  <c r="K3053"/>
  <c r="X361" i="55"/>
  <c r="D356" i="58"/>
  <c r="F361" i="55"/>
  <c r="K2931" i="27"/>
  <c r="I3049"/>
  <c r="I3198"/>
  <c r="K3198" s="1"/>
  <c r="K3158"/>
  <c r="F697" i="58"/>
  <c r="F414"/>
  <c r="F433" i="55"/>
  <c r="V2599" i="1"/>
  <c r="I3418"/>
  <c r="K3418" s="1"/>
  <c r="F419" i="55"/>
  <c r="T419"/>
  <c r="X419"/>
  <c r="J419"/>
  <c r="D413" i="58"/>
  <c r="H419" i="55"/>
  <c r="V419"/>
  <c r="I3199" i="27"/>
  <c r="K3199" s="1"/>
  <c r="K3159"/>
  <c r="H827" i="55"/>
  <c r="Z827"/>
  <c r="F558"/>
  <c r="D624" i="58"/>
  <c r="X558" i="55"/>
  <c r="X328"/>
  <c r="K3396" i="27"/>
  <c r="I3476"/>
  <c r="K3476" s="1"/>
  <c r="I3415"/>
  <c r="K3415" s="1"/>
  <c r="P2858"/>
  <c r="R2858" s="1"/>
  <c r="R2846"/>
  <c r="P2852"/>
  <c r="K2852"/>
  <c r="I3003"/>
  <c r="K3003" s="1"/>
  <c r="I2909"/>
  <c r="F322" i="58"/>
  <c r="K986" i="11"/>
  <c r="K988" s="1"/>
  <c r="K2811" i="1"/>
  <c r="I3597"/>
  <c r="P3186"/>
  <c r="I3144"/>
  <c r="I3637"/>
  <c r="K3637" s="1"/>
  <c r="K1642"/>
  <c r="I851" i="11"/>
  <c r="K851" s="1"/>
  <c r="I834"/>
  <c r="K834" s="1"/>
  <c r="I816"/>
  <c r="K816" s="1"/>
  <c r="P3464" i="1"/>
  <c r="R3464" s="1"/>
  <c r="K3458"/>
  <c r="I912" i="11"/>
  <c r="I947"/>
  <c r="K947" s="1"/>
  <c r="K957" s="1"/>
  <c r="K959" s="1"/>
  <c r="I3385" i="1"/>
  <c r="I3475" s="1"/>
  <c r="K3475" s="1"/>
  <c r="I925"/>
  <c r="K925" s="1"/>
  <c r="I1125"/>
  <c r="K1125" s="1"/>
  <c r="P985"/>
  <c r="R985" s="1"/>
  <c r="AE1060"/>
  <c r="AG1060" s="1"/>
  <c r="K2555" i="11"/>
  <c r="I2586"/>
  <c r="K2586" s="1"/>
  <c r="I2523"/>
  <c r="K2523" s="1"/>
  <c r="K2533" s="1"/>
  <c r="K2535" s="1"/>
  <c r="K1012"/>
  <c r="K1022" s="1"/>
  <c r="K1024" s="1"/>
  <c r="Z1023" i="55"/>
  <c r="H1023"/>
  <c r="F848"/>
  <c r="H848"/>
  <c r="F640"/>
  <c r="D705" i="58"/>
  <c r="X640" i="55"/>
  <c r="V449"/>
  <c r="F449"/>
  <c r="X449"/>
  <c r="Z394"/>
  <c r="T394"/>
  <c r="F394"/>
  <c r="K2871" i="27"/>
  <c r="I3685"/>
  <c r="K3685" s="1"/>
  <c r="I69" i="1"/>
  <c r="I1281"/>
  <c r="K1281" s="1"/>
  <c r="I7"/>
  <c r="I1558"/>
  <c r="K1558" s="1"/>
  <c r="I501"/>
  <c r="I268"/>
  <c r="K268" s="1"/>
  <c r="I33"/>
  <c r="I2124"/>
  <c r="K2124" s="1"/>
  <c r="I2916" i="11"/>
  <c r="I2853" i="27"/>
  <c r="V1027" i="55"/>
  <c r="J1027"/>
  <c r="T605"/>
  <c r="D670" i="58"/>
  <c r="H424" i="55"/>
  <c r="F424"/>
  <c r="P2850" i="27"/>
  <c r="I2908"/>
  <c r="I3799"/>
  <c r="K3799" s="1"/>
  <c r="P375" i="11"/>
  <c r="R375" s="1"/>
  <c r="R381" s="1"/>
  <c r="R383" s="1"/>
  <c r="P412" s="1"/>
  <c r="R412" s="1"/>
  <c r="P389"/>
  <c r="R389" s="1"/>
  <c r="R395" s="1"/>
  <c r="R397" s="1"/>
  <c r="I1421"/>
  <c r="K1421" s="1"/>
  <c r="K1427" s="1"/>
  <c r="K1429" s="1"/>
  <c r="F433" i="58"/>
  <c r="K2914" i="27"/>
  <c r="I3037"/>
  <c r="K3037" s="1"/>
  <c r="I3803"/>
  <c r="K3803" s="1"/>
  <c r="K3837" s="1"/>
  <c r="K3849" s="1"/>
  <c r="I2910"/>
  <c r="K2315" i="1"/>
  <c r="F1035" i="58"/>
  <c r="F989"/>
  <c r="F754"/>
  <c r="F695"/>
  <c r="F598"/>
  <c r="F299"/>
  <c r="F245"/>
  <c r="F232"/>
  <c r="J991" i="55"/>
  <c r="C655"/>
  <c r="P2870" i="27"/>
  <c r="R2870" s="1"/>
  <c r="R2875" s="1"/>
  <c r="R2877" s="1"/>
  <c r="K2866"/>
  <c r="I1029" i="11"/>
  <c r="K1029" s="1"/>
  <c r="K1037" s="1"/>
  <c r="K1039" s="1"/>
  <c r="I1044"/>
  <c r="K1044" s="1"/>
  <c r="K1052" s="1"/>
  <c r="K1054" s="1"/>
  <c r="I1059"/>
  <c r="K1059" s="1"/>
  <c r="K1066" s="1"/>
  <c r="K1068" s="1"/>
  <c r="I1084"/>
  <c r="I3506" i="27"/>
  <c r="I3923"/>
  <c r="K3923" s="1"/>
  <c r="K3924" s="1"/>
  <c r="I3938" s="1"/>
  <c r="K3938" s="1"/>
  <c r="I3002"/>
  <c r="K3002" s="1"/>
  <c r="K3019" s="1"/>
  <c r="F1102" i="58"/>
  <c r="F1012"/>
  <c r="F973"/>
  <c r="F972"/>
  <c r="F971"/>
  <c r="F964"/>
  <c r="F961"/>
  <c r="F960"/>
  <c r="F959"/>
  <c r="F958"/>
  <c r="F911"/>
  <c r="F264"/>
  <c r="F716"/>
  <c r="F746"/>
  <c r="F749"/>
  <c r="F983"/>
  <c r="F1034"/>
  <c r="F930"/>
  <c r="F231"/>
  <c r="F1006"/>
  <c r="F1004"/>
  <c r="F839"/>
  <c r="F786"/>
  <c r="F447"/>
  <c r="F372"/>
  <c r="F1099"/>
  <c r="F1098"/>
  <c r="F330"/>
  <c r="F678"/>
  <c r="F706"/>
  <c r="F757"/>
  <c r="F853"/>
  <c r="F999"/>
  <c r="F859"/>
  <c r="F784"/>
  <c r="F756"/>
  <c r="F1029"/>
  <c r="F945"/>
  <c r="F944"/>
  <c r="F926"/>
  <c r="F896"/>
  <c r="F513"/>
  <c r="F286"/>
  <c r="F194"/>
  <c r="F1014"/>
  <c r="F948"/>
  <c r="F912"/>
  <c r="F385"/>
  <c r="F1189"/>
  <c r="F1133"/>
  <c r="F1107"/>
  <c r="F1103"/>
  <c r="F1100"/>
  <c r="F1023"/>
  <c r="F1020"/>
  <c r="F1019"/>
  <c r="F1164"/>
  <c r="F1005"/>
  <c r="F967"/>
  <c r="F1162"/>
  <c r="F1129"/>
  <c r="F1118"/>
  <c r="F1109"/>
  <c r="F916"/>
  <c r="F915"/>
  <c r="F199"/>
  <c r="I254" i="11"/>
  <c r="K254" s="1"/>
  <c r="I2617"/>
  <c r="K2617" s="1"/>
  <c r="C79"/>
  <c r="I354"/>
  <c r="K354" s="1"/>
  <c r="K362" s="1"/>
  <c r="K364" s="1"/>
  <c r="K366" s="1"/>
  <c r="I334"/>
  <c r="K334" s="1"/>
  <c r="K342" s="1"/>
  <c r="K344" s="1"/>
  <c r="K346" s="1"/>
  <c r="K347" s="1"/>
  <c r="K348" s="1"/>
  <c r="K349" s="1"/>
  <c r="K350" s="1"/>
  <c r="I310"/>
  <c r="K310" s="1"/>
  <c r="K318" s="1"/>
  <c r="K320" s="1"/>
  <c r="I409"/>
  <c r="K409" s="1"/>
  <c r="K417" s="1"/>
  <c r="K419" s="1"/>
  <c r="I378"/>
  <c r="K378" s="1"/>
  <c r="K386" s="1"/>
  <c r="K388" s="1"/>
  <c r="I393" s="1"/>
  <c r="K393" s="1"/>
  <c r="K397" s="1"/>
  <c r="K399" s="1"/>
  <c r="K401" s="1"/>
  <c r="K402" s="1"/>
  <c r="K403" s="1"/>
  <c r="K404" s="1"/>
  <c r="K405" s="1"/>
  <c r="I28"/>
  <c r="K28" s="1"/>
  <c r="K32" s="1"/>
  <c r="I19"/>
  <c r="K19" s="1"/>
  <c r="K23" s="1"/>
  <c r="P22"/>
  <c r="R22" s="1"/>
  <c r="R28" s="1"/>
  <c r="R30" s="1"/>
  <c r="I2071"/>
  <c r="K2071" s="1"/>
  <c r="K2079" s="1"/>
  <c r="K2081" s="1"/>
  <c r="P10"/>
  <c r="R10" s="1"/>
  <c r="I64"/>
  <c r="K64" s="1"/>
  <c r="K68" s="1"/>
  <c r="I271"/>
  <c r="K271" s="1"/>
  <c r="I73"/>
  <c r="K73" s="1"/>
  <c r="K77" s="1"/>
  <c r="I45"/>
  <c r="K45" s="1"/>
  <c r="K49" s="1"/>
  <c r="I10"/>
  <c r="K10" s="1"/>
  <c r="I497"/>
  <c r="K497" s="1"/>
  <c r="I54"/>
  <c r="K54" s="1"/>
  <c r="K58" s="1"/>
  <c r="I2051"/>
  <c r="K2051" s="1"/>
  <c r="K2059" s="1"/>
  <c r="K2061" s="1"/>
  <c r="I1684"/>
  <c r="K1684" s="1"/>
  <c r="K1691" s="1"/>
  <c r="K1693" s="1"/>
  <c r="I773"/>
  <c r="K773" s="1"/>
  <c r="I36"/>
  <c r="K36" s="1"/>
  <c r="K40" s="1"/>
  <c r="C165"/>
  <c r="C82"/>
  <c r="I1253" s="1"/>
  <c r="K1253" s="1"/>
  <c r="K1260" s="1"/>
  <c r="K1262" s="1"/>
  <c r="I1909" s="1"/>
  <c r="K1909" s="1"/>
  <c r="K1920" s="1"/>
  <c r="I224"/>
  <c r="K224" s="1"/>
  <c r="K231" s="1"/>
  <c r="K233" s="1"/>
  <c r="I1254"/>
  <c r="K1254" s="1"/>
  <c r="P23"/>
  <c r="R23" s="1"/>
  <c r="P9"/>
  <c r="R9" s="1"/>
  <c r="R14" s="1"/>
  <c r="AC10"/>
  <c r="C69" s="1"/>
  <c r="I295" s="1"/>
  <c r="K295" s="1"/>
  <c r="Z11"/>
  <c r="P50"/>
  <c r="R50" s="1"/>
  <c r="R57" s="1"/>
  <c r="R60" s="1"/>
  <c r="AC9"/>
  <c r="C68" s="1"/>
  <c r="I294" s="1"/>
  <c r="K294" s="1"/>
  <c r="K303" s="1"/>
  <c r="K305" s="1"/>
  <c r="K3505" i="27" l="1"/>
  <c r="I3624"/>
  <c r="P3505"/>
  <c r="R3505" s="1"/>
  <c r="I3589"/>
  <c r="K3589" s="1"/>
  <c r="Z655" i="55"/>
  <c r="R655"/>
  <c r="Z659"/>
  <c r="R659"/>
  <c r="AC36" i="1"/>
  <c r="I241" s="1"/>
  <c r="K241" s="1"/>
  <c r="Z621" i="55"/>
  <c r="R621"/>
  <c r="Z450"/>
  <c r="R450"/>
  <c r="Z374"/>
  <c r="R374"/>
  <c r="X312"/>
  <c r="R312"/>
  <c r="Z433"/>
  <c r="R433"/>
  <c r="C511"/>
  <c r="C47"/>
  <c r="C138" i="1"/>
  <c r="H1048" i="55"/>
  <c r="F511"/>
  <c r="Z1048"/>
  <c r="Z312"/>
  <c r="V768"/>
  <c r="T768"/>
  <c r="P768"/>
  <c r="N768"/>
  <c r="J768"/>
  <c r="H768"/>
  <c r="L768"/>
  <c r="V761"/>
  <c r="T761"/>
  <c r="P761"/>
  <c r="N761"/>
  <c r="H761"/>
  <c r="L761"/>
  <c r="J761"/>
  <c r="V762"/>
  <c r="T762"/>
  <c r="P762"/>
  <c r="N762"/>
  <c r="L762"/>
  <c r="J762"/>
  <c r="H762"/>
  <c r="C62" i="75"/>
  <c r="F62" s="1"/>
  <c r="V374" i="55"/>
  <c r="T374"/>
  <c r="P374"/>
  <c r="L374"/>
  <c r="N374"/>
  <c r="J374"/>
  <c r="H374"/>
  <c r="V764"/>
  <c r="T764"/>
  <c r="P764"/>
  <c r="N764"/>
  <c r="L764"/>
  <c r="J764"/>
  <c r="H764"/>
  <c r="C95" i="75"/>
  <c r="F95" s="1"/>
  <c r="V450" i="55"/>
  <c r="T450"/>
  <c r="P450"/>
  <c r="N450"/>
  <c r="L450"/>
  <c r="J450"/>
  <c r="H450"/>
  <c r="C87" i="75"/>
  <c r="F87" s="1"/>
  <c r="V433" i="55"/>
  <c r="T433"/>
  <c r="P433"/>
  <c r="L433"/>
  <c r="J433"/>
  <c r="N433"/>
  <c r="H433"/>
  <c r="V659"/>
  <c r="P659"/>
  <c r="T659"/>
  <c r="L659"/>
  <c r="J659"/>
  <c r="N659"/>
  <c r="H659"/>
  <c r="V669"/>
  <c r="T669"/>
  <c r="P669"/>
  <c r="N669"/>
  <c r="L669"/>
  <c r="J669"/>
  <c r="H669"/>
  <c r="V667"/>
  <c r="P667"/>
  <c r="T667"/>
  <c r="N667"/>
  <c r="L667"/>
  <c r="J667"/>
  <c r="H667"/>
  <c r="V655"/>
  <c r="P655"/>
  <c r="N655"/>
  <c r="L655"/>
  <c r="T655"/>
  <c r="J655"/>
  <c r="H655"/>
  <c r="V643"/>
  <c r="P643"/>
  <c r="T643"/>
  <c r="L643"/>
  <c r="N643"/>
  <c r="J643"/>
  <c r="H643"/>
  <c r="V645"/>
  <c r="T645"/>
  <c r="P645"/>
  <c r="N645"/>
  <c r="J645"/>
  <c r="H645"/>
  <c r="L645"/>
  <c r="P511"/>
  <c r="J511"/>
  <c r="H511"/>
  <c r="V621"/>
  <c r="P621"/>
  <c r="T621"/>
  <c r="L621"/>
  <c r="N621"/>
  <c r="J621"/>
  <c r="H621"/>
  <c r="F293" i="58"/>
  <c r="D307"/>
  <c r="F566" i="55"/>
  <c r="H1020"/>
  <c r="F387" i="58"/>
  <c r="C770" i="55"/>
  <c r="Z965"/>
  <c r="H566"/>
  <c r="T566"/>
  <c r="B939" i="58"/>
  <c r="F939" s="1"/>
  <c r="D427"/>
  <c r="F427" s="1"/>
  <c r="B740"/>
  <c r="F740" s="1"/>
  <c r="V566" i="55"/>
  <c r="J566"/>
  <c r="D632" i="58"/>
  <c r="X450" i="55"/>
  <c r="B1021" i="58"/>
  <c r="F1021" s="1"/>
  <c r="B1013"/>
  <c r="F1013" s="1"/>
  <c r="B965"/>
  <c r="F965" s="1"/>
  <c r="X669" i="55"/>
  <c r="Z764"/>
  <c r="H965"/>
  <c r="X965"/>
  <c r="Z1049"/>
  <c r="B935" i="58"/>
  <c r="F935" s="1"/>
  <c r="D734"/>
  <c r="Z669" i="55"/>
  <c r="T965"/>
  <c r="D1032" i="58"/>
  <c r="J965" i="55"/>
  <c r="B748" i="58"/>
  <c r="F748" s="1"/>
  <c r="B975"/>
  <c r="F975" s="1"/>
  <c r="B957"/>
  <c r="F957" s="1"/>
  <c r="F669" i="55"/>
  <c r="V965"/>
  <c r="F667"/>
  <c r="B1076" i="58"/>
  <c r="F1076" s="1"/>
  <c r="F450" i="55"/>
  <c r="X1049"/>
  <c r="X667"/>
  <c r="F764"/>
  <c r="Z667"/>
  <c r="D829" i="58"/>
  <c r="D444"/>
  <c r="H1049" i="55"/>
  <c r="D732" i="58"/>
  <c r="F732" s="1"/>
  <c r="X764" i="55"/>
  <c r="T1049"/>
  <c r="F963"/>
  <c r="Z1020"/>
  <c r="V1020"/>
  <c r="H963"/>
  <c r="V963"/>
  <c r="J963"/>
  <c r="F1020"/>
  <c r="T1020"/>
  <c r="S2864" i="11"/>
  <c r="R2863"/>
  <c r="I210" i="27"/>
  <c r="K210" s="1"/>
  <c r="P318"/>
  <c r="R318" s="1"/>
  <c r="R324" s="1"/>
  <c r="R326" s="1"/>
  <c r="P306"/>
  <c r="R306" s="1"/>
  <c r="R312" s="1"/>
  <c r="R314" s="1"/>
  <c r="I1221"/>
  <c r="K1221" s="1"/>
  <c r="K1226" s="1"/>
  <c r="K1228" s="1"/>
  <c r="P66"/>
  <c r="R66" s="1"/>
  <c r="K2860" i="11"/>
  <c r="L2860"/>
  <c r="K2879"/>
  <c r="R3501"/>
  <c r="T3501"/>
  <c r="K583" i="27"/>
  <c r="I583"/>
  <c r="K3896"/>
  <c r="K3831"/>
  <c r="L3277" i="11"/>
  <c r="K2274" i="1"/>
  <c r="K2200" i="11"/>
  <c r="G330" i="25"/>
  <c r="G331"/>
  <c r="AE3540" i="1"/>
  <c r="V3540"/>
  <c r="K731" i="11"/>
  <c r="K733" s="1"/>
  <c r="I740"/>
  <c r="K740" s="1"/>
  <c r="K755" s="1"/>
  <c r="K757" s="1"/>
  <c r="L3135"/>
  <c r="K2266" i="1"/>
  <c r="K2192" i="11"/>
  <c r="P3362" i="1"/>
  <c r="R3362" s="1"/>
  <c r="P3396"/>
  <c r="R3396" s="1"/>
  <c r="R3293"/>
  <c r="R3115" i="27"/>
  <c r="P3129"/>
  <c r="R3129" s="1"/>
  <c r="K3894" i="11"/>
  <c r="I3904"/>
  <c r="K3904" s="1"/>
  <c r="K3590"/>
  <c r="K3591" s="1"/>
  <c r="K3592" s="1"/>
  <c r="K3582" s="1"/>
  <c r="K3583" s="1"/>
  <c r="I3686"/>
  <c r="K3686" s="1"/>
  <c r="I3038" i="27"/>
  <c r="K3038" s="1"/>
  <c r="K2915"/>
  <c r="K1085"/>
  <c r="I2262"/>
  <c r="K3907" i="11"/>
  <c r="R395" i="27"/>
  <c r="R397" s="1"/>
  <c r="E5" i="4"/>
  <c r="E12"/>
  <c r="Z7" i="1" s="1"/>
  <c r="E10" i="4"/>
  <c r="Z9" i="1" s="1"/>
  <c r="Z1075" i="55"/>
  <c r="B1090" i="58"/>
  <c r="F1090" s="1"/>
  <c r="K2262" i="11"/>
  <c r="I2664"/>
  <c r="K2664" s="1"/>
  <c r="K2563"/>
  <c r="I2594"/>
  <c r="K2594" s="1"/>
  <c r="I3199"/>
  <c r="K3199" s="1"/>
  <c r="K3200" s="1"/>
  <c r="K3201" s="1"/>
  <c r="K3159"/>
  <c r="K3160" s="1"/>
  <c r="K3161" s="1"/>
  <c r="P3626"/>
  <c r="I3732"/>
  <c r="K3625"/>
  <c r="K3626" s="1"/>
  <c r="K3627" s="1"/>
  <c r="V640" i="1"/>
  <c r="V800"/>
  <c r="I2586" i="27"/>
  <c r="K2586" s="1"/>
  <c r="K2555"/>
  <c r="P137" i="1"/>
  <c r="R137" s="1"/>
  <c r="K1162"/>
  <c r="K1164" s="1"/>
  <c r="K3054"/>
  <c r="I1463"/>
  <c r="K1463" s="1"/>
  <c r="I1403"/>
  <c r="K1403" s="1"/>
  <c r="I1320"/>
  <c r="K1320" s="1"/>
  <c r="I896"/>
  <c r="K896" s="1"/>
  <c r="I334"/>
  <c r="P519"/>
  <c r="R519" s="1"/>
  <c r="I862"/>
  <c r="M2072"/>
  <c r="M2073" s="1"/>
  <c r="R2058"/>
  <c r="G488" i="25"/>
  <c r="G490" s="1"/>
  <c r="G491" s="1"/>
  <c r="C668" i="55" s="1"/>
  <c r="E517" i="25"/>
  <c r="G517" s="1"/>
  <c r="G519" s="1"/>
  <c r="G520" s="1"/>
  <c r="R1431" i="1"/>
  <c r="P1447"/>
  <c r="P3618" i="27"/>
  <c r="R3618"/>
  <c r="L3702" i="11"/>
  <c r="C1034" i="55"/>
  <c r="K914" i="27"/>
  <c r="K922" s="1"/>
  <c r="K924" s="1"/>
  <c r="I2558"/>
  <c r="K3335"/>
  <c r="I3330" s="1"/>
  <c r="K3330" s="1"/>
  <c r="I3368"/>
  <c r="K467" i="11"/>
  <c r="K468" s="1"/>
  <c r="K469" s="1"/>
  <c r="K470" s="1"/>
  <c r="K2873" i="27"/>
  <c r="C33" i="1"/>
  <c r="I3001"/>
  <c r="K3001" s="1"/>
  <c r="K3003" s="1"/>
  <c r="K2131"/>
  <c r="K3355" i="27"/>
  <c r="K3356" s="1"/>
  <c r="I1942" i="1"/>
  <c r="I1354"/>
  <c r="K1354" s="1"/>
  <c r="V526"/>
  <c r="I648"/>
  <c r="K648" s="1"/>
  <c r="I548"/>
  <c r="K548" s="1"/>
  <c r="I880"/>
  <c r="I378"/>
  <c r="I1643"/>
  <c r="F1048" i="55"/>
  <c r="P2638" i="1"/>
  <c r="R2638" s="1"/>
  <c r="I3805"/>
  <c r="K3805" s="1"/>
  <c r="I3986"/>
  <c r="E16" i="4"/>
  <c r="R122" i="1" s="1"/>
  <c r="F92" i="50"/>
  <c r="C830" i="55" s="1"/>
  <c r="G420" i="25"/>
  <c r="G421" s="1"/>
  <c r="A432" s="1"/>
  <c r="G432" s="1"/>
  <c r="G439" s="1"/>
  <c r="G440" s="1"/>
  <c r="C670" i="55" s="1"/>
  <c r="G375" i="25"/>
  <c r="G376" s="1"/>
  <c r="Z16" i="1"/>
  <c r="AC16" s="1"/>
  <c r="C77" s="1"/>
  <c r="Z27"/>
  <c r="V1393"/>
  <c r="X1376"/>
  <c r="R3322"/>
  <c r="P3359"/>
  <c r="I2589" i="11"/>
  <c r="K2589" s="1"/>
  <c r="K2558"/>
  <c r="K1014" i="27"/>
  <c r="K1022" s="1"/>
  <c r="K1024" s="1"/>
  <c r="I2525"/>
  <c r="K2525" s="1"/>
  <c r="K2533" s="1"/>
  <c r="K2535" s="1"/>
  <c r="K3940" i="11"/>
  <c r="I3959"/>
  <c r="V1403" i="1"/>
  <c r="X1387"/>
  <c r="P144" i="11"/>
  <c r="R144" s="1"/>
  <c r="R196" s="1"/>
  <c r="R198" s="1"/>
  <c r="R201" s="1"/>
  <c r="R202" s="1"/>
  <c r="R203" s="1"/>
  <c r="R204" s="1"/>
  <c r="D552" i="58"/>
  <c r="F552" s="1"/>
  <c r="P501" i="1"/>
  <c r="R501" s="1"/>
  <c r="I1302"/>
  <c r="I1451"/>
  <c r="K1451" s="1"/>
  <c r="I1476"/>
  <c r="K1476" s="1"/>
  <c r="P305"/>
  <c r="R305" s="1"/>
  <c r="V475"/>
  <c r="Z1068" i="55"/>
  <c r="B1083" i="58"/>
  <c r="F1083" s="1"/>
  <c r="Z1079" i="55"/>
  <c r="B1094" i="58"/>
  <c r="F1094" s="1"/>
  <c r="Z1077" i="55"/>
  <c r="B1092" i="58"/>
  <c r="F1092" s="1"/>
  <c r="Z1073" i="55"/>
  <c r="B1088" i="58"/>
  <c r="F1088" s="1"/>
  <c r="Z1081" i="55"/>
  <c r="B1096" i="58"/>
  <c r="F1096" s="1"/>
  <c r="AE3537" i="1"/>
  <c r="K3537"/>
  <c r="K1023"/>
  <c r="I1060"/>
  <c r="I4020"/>
  <c r="K4005"/>
  <c r="D108" i="50"/>
  <c r="F108" s="1"/>
  <c r="F45"/>
  <c r="H3849" i="1"/>
  <c r="H3870" s="1"/>
  <c r="K2604"/>
  <c r="K2609" s="1"/>
  <c r="K2612" s="1"/>
  <c r="M2612" s="1"/>
  <c r="P3367"/>
  <c r="R3332"/>
  <c r="I684"/>
  <c r="C274" i="55"/>
  <c r="V274" s="1"/>
  <c r="V1367" i="1"/>
  <c r="R1406"/>
  <c r="P1423"/>
  <c r="K33"/>
  <c r="K69"/>
  <c r="V895"/>
  <c r="X895" s="1"/>
  <c r="X879"/>
  <c r="AD1370"/>
  <c r="AB1387"/>
  <c r="AD1387" s="1"/>
  <c r="V1399"/>
  <c r="X1383"/>
  <c r="K2504"/>
  <c r="K2509" s="1"/>
  <c r="K2512" s="1"/>
  <c r="C964" i="55" s="1"/>
  <c r="P2511" i="1"/>
  <c r="R2511" s="1"/>
  <c r="R2516" s="1"/>
  <c r="R2518" s="1"/>
  <c r="C766" i="55" s="1"/>
  <c r="K35" i="1"/>
  <c r="K52"/>
  <c r="K62"/>
  <c r="K9"/>
  <c r="K27"/>
  <c r="K78"/>
  <c r="K18"/>
  <c r="K43"/>
  <c r="I485"/>
  <c r="K485" s="1"/>
  <c r="I1269"/>
  <c r="I1806"/>
  <c r="K1806" s="1"/>
  <c r="P178"/>
  <c r="R178" s="1"/>
  <c r="I2004"/>
  <c r="I392"/>
  <c r="P65"/>
  <c r="R65" s="1"/>
  <c r="I1390"/>
  <c r="K1390" s="1"/>
  <c r="I524"/>
  <c r="K524" s="1"/>
  <c r="P294"/>
  <c r="R294" s="1"/>
  <c r="I443"/>
  <c r="K443" s="1"/>
  <c r="I1431"/>
  <c r="K1431" s="1"/>
  <c r="I2023"/>
  <c r="I295"/>
  <c r="K295" s="1"/>
  <c r="P360"/>
  <c r="R360" s="1"/>
  <c r="I2381"/>
  <c r="I602"/>
  <c r="K602" s="1"/>
  <c r="I618"/>
  <c r="K618" s="1"/>
  <c r="I1219"/>
  <c r="I1198"/>
  <c r="K1198" s="1"/>
  <c r="P362"/>
  <c r="R362" s="1"/>
  <c r="I2695"/>
  <c r="K2695" s="1"/>
  <c r="K2698" s="1"/>
  <c r="K2699" s="1"/>
  <c r="K2700" s="1"/>
  <c r="C638" i="55" s="1"/>
  <c r="I424" i="1"/>
  <c r="K424" s="1"/>
  <c r="P265"/>
  <c r="R265" s="1"/>
  <c r="I457"/>
  <c r="K457" s="1"/>
  <c r="I1248"/>
  <c r="I2147"/>
  <c r="I2735"/>
  <c r="K2735" s="1"/>
  <c r="I1416"/>
  <c r="K1416" s="1"/>
  <c r="P334"/>
  <c r="R334" s="1"/>
  <c r="I580"/>
  <c r="I1842"/>
  <c r="I1376"/>
  <c r="K1376" s="1"/>
  <c r="I1908"/>
  <c r="K1908" s="1"/>
  <c r="I3454"/>
  <c r="I704"/>
  <c r="K704" s="1"/>
  <c r="C280" i="55"/>
  <c r="H280" s="1"/>
  <c r="C404"/>
  <c r="C612"/>
  <c r="R3260" i="1"/>
  <c r="I3320"/>
  <c r="AE3555"/>
  <c r="AG3539"/>
  <c r="F48" i="25"/>
  <c r="D71"/>
  <c r="K2661" i="1"/>
  <c r="I3099"/>
  <c r="P2668"/>
  <c r="P1537"/>
  <c r="R1537" s="1"/>
  <c r="K3992"/>
  <c r="X3118"/>
  <c r="I4068"/>
  <c r="K4068" s="1"/>
  <c r="V3135"/>
  <c r="X3537"/>
  <c r="V3553"/>
  <c r="R1441"/>
  <c r="P1458"/>
  <c r="AE3536"/>
  <c r="V3536"/>
  <c r="X3536" s="1"/>
  <c r="I3756"/>
  <c r="K3756" s="1"/>
  <c r="K3757" s="1"/>
  <c r="K3769" s="1"/>
  <c r="K3771" s="1"/>
  <c r="K3732"/>
  <c r="K3734" s="1"/>
  <c r="K3735" s="1"/>
  <c r="C863" i="55" s="1"/>
  <c r="K3338" i="1"/>
  <c r="K3343" s="1"/>
  <c r="K3345" s="1"/>
  <c r="C653" i="55" s="1"/>
  <c r="I3364" i="1"/>
  <c r="D73" i="25"/>
  <c r="F50"/>
  <c r="P429" i="1"/>
  <c r="I165"/>
  <c r="I80"/>
  <c r="I479"/>
  <c r="K479" s="1"/>
  <c r="C233" i="55" s="1"/>
  <c r="I1967" i="1"/>
  <c r="I2143"/>
  <c r="V3130"/>
  <c r="I4062"/>
  <c r="K4062" s="1"/>
  <c r="X3113"/>
  <c r="AB1419"/>
  <c r="AD1419" s="1"/>
  <c r="AD1402"/>
  <c r="F374" i="55"/>
  <c r="D368" i="58"/>
  <c r="F368" s="1"/>
  <c r="X374" i="55"/>
  <c r="I3527" i="1"/>
  <c r="R3400"/>
  <c r="X3539"/>
  <c r="V3555"/>
  <c r="I2862"/>
  <c r="K2862" s="1"/>
  <c r="I924"/>
  <c r="K924" s="1"/>
  <c r="I1126"/>
  <c r="K1126" s="1"/>
  <c r="I917"/>
  <c r="K917" s="1"/>
  <c r="AB1391"/>
  <c r="AD1391" s="1"/>
  <c r="AD1374"/>
  <c r="H3871"/>
  <c r="J3850"/>
  <c r="X3117"/>
  <c r="V3134"/>
  <c r="AB1381"/>
  <c r="AD1381" s="1"/>
  <c r="AD1364"/>
  <c r="I2968"/>
  <c r="K2832"/>
  <c r="K2840" s="1"/>
  <c r="K2842" s="1"/>
  <c r="P1318"/>
  <c r="R1318" s="1"/>
  <c r="R1321" s="1"/>
  <c r="R1323" s="1"/>
  <c r="R1299"/>
  <c r="K2148"/>
  <c r="P2155"/>
  <c r="R2155" s="1"/>
  <c r="K927"/>
  <c r="C297" i="55" s="1"/>
  <c r="Z31" i="1"/>
  <c r="AC31" s="1"/>
  <c r="AC30"/>
  <c r="C136" s="1"/>
  <c r="P2818"/>
  <c r="I2861"/>
  <c r="K2861" s="1"/>
  <c r="I2951" i="27"/>
  <c r="I2941"/>
  <c r="I3447"/>
  <c r="K3426"/>
  <c r="K3000"/>
  <c r="I3700"/>
  <c r="I3730"/>
  <c r="I3684"/>
  <c r="K3684" s="1"/>
  <c r="X3568" i="1"/>
  <c r="V3583"/>
  <c r="K79"/>
  <c r="L79"/>
  <c r="K2142"/>
  <c r="P2149"/>
  <c r="R2149" s="1"/>
  <c r="T1048" i="55"/>
  <c r="J1048"/>
  <c r="X1048"/>
  <c r="K131" i="1"/>
  <c r="C25" i="55" s="1"/>
  <c r="C24"/>
  <c r="P1966" i="1"/>
  <c r="R1966" s="1"/>
  <c r="K1966"/>
  <c r="I2311" i="11"/>
  <c r="K2311" s="1"/>
  <c r="I2468"/>
  <c r="K2468" s="1"/>
  <c r="K583"/>
  <c r="I583"/>
  <c r="K3347" i="27"/>
  <c r="K3348" s="1"/>
  <c r="K3378"/>
  <c r="K3379" s="1"/>
  <c r="K3908" i="11"/>
  <c r="C1041" i="55" s="1"/>
  <c r="L3909" i="11"/>
  <c r="M3908"/>
  <c r="L3262"/>
  <c r="C1018" i="55"/>
  <c r="S2898" i="11"/>
  <c r="T2895"/>
  <c r="R2896"/>
  <c r="X878" i="1"/>
  <c r="V894"/>
  <c r="X894" s="1"/>
  <c r="X3158"/>
  <c r="D551" i="25"/>
  <c r="K3406" i="11"/>
  <c r="K3408" s="1"/>
  <c r="K3409" s="1"/>
  <c r="K3398" s="1"/>
  <c r="I3425"/>
  <c r="K3425" s="1"/>
  <c r="K3427" s="1"/>
  <c r="K3428" s="1"/>
  <c r="K3417" s="1"/>
  <c r="I3921"/>
  <c r="K3921" s="1"/>
  <c r="K2959"/>
  <c r="K2284" i="1"/>
  <c r="C456" i="55" s="1"/>
  <c r="L3441" i="11"/>
  <c r="K2210"/>
  <c r="I2440" i="27"/>
  <c r="K2440" s="1"/>
  <c r="K2444" s="1"/>
  <c r="K2446" s="1"/>
  <c r="K2425"/>
  <c r="X829" i="55"/>
  <c r="Z829"/>
  <c r="J829"/>
  <c r="D893" i="58"/>
  <c r="F893" s="1"/>
  <c r="T829" i="55"/>
  <c r="F829"/>
  <c r="H829"/>
  <c r="V829"/>
  <c r="I2680" i="1"/>
  <c r="K2680" s="1"/>
  <c r="K2679"/>
  <c r="I3277"/>
  <c r="K1099"/>
  <c r="I1092" i="27"/>
  <c r="K1092" s="1"/>
  <c r="K1095" s="1"/>
  <c r="K1097" s="1"/>
  <c r="I2269"/>
  <c r="D583" i="25"/>
  <c r="F546"/>
  <c r="P1331" i="1"/>
  <c r="K1302"/>
  <c r="I2378" i="11"/>
  <c r="K2378" s="1"/>
  <c r="I2354" s="1"/>
  <c r="K2354" s="1"/>
  <c r="K2356" s="1"/>
  <c r="K2357" s="1"/>
  <c r="I2395"/>
  <c r="I2396"/>
  <c r="K2613"/>
  <c r="I2691"/>
  <c r="K2691" s="1"/>
  <c r="X1407" i="1"/>
  <c r="AB1405"/>
  <c r="D577" i="58"/>
  <c r="F577" s="1"/>
  <c r="K2283" i="1"/>
  <c r="L3319" i="11"/>
  <c r="K2209"/>
  <c r="I4007" i="1"/>
  <c r="K3991"/>
  <c r="P1457"/>
  <c r="R1440"/>
  <c r="V880"/>
  <c r="K880"/>
  <c r="V378"/>
  <c r="K378"/>
  <c r="I3638"/>
  <c r="K3638" s="1"/>
  <c r="K1643"/>
  <c r="L3468" i="11"/>
  <c r="C992" i="55"/>
  <c r="K4017" i="1"/>
  <c r="I4018"/>
  <c r="K4018" s="1"/>
  <c r="F761" i="55"/>
  <c r="Z761"/>
  <c r="D826" i="58"/>
  <c r="F826" s="1"/>
  <c r="X761" i="55"/>
  <c r="I3677" i="11"/>
  <c r="K3677" s="1"/>
  <c r="K3628"/>
  <c r="I3615" s="1"/>
  <c r="C1019" i="55"/>
  <c r="L3333" i="11"/>
  <c r="N3416"/>
  <c r="K2278" i="1"/>
  <c r="K2204" i="11"/>
  <c r="C446" i="55"/>
  <c r="I151" i="27"/>
  <c r="K151" s="1"/>
  <c r="K160" s="1"/>
  <c r="I139"/>
  <c r="K139" s="1"/>
  <c r="K143" s="1"/>
  <c r="P605"/>
  <c r="R605" s="1"/>
  <c r="I1309"/>
  <c r="K1309" s="1"/>
  <c r="I1287"/>
  <c r="K1287" s="1"/>
  <c r="K3160"/>
  <c r="K3161" s="1"/>
  <c r="R508" i="1"/>
  <c r="R510" s="1"/>
  <c r="E6" i="4"/>
  <c r="E11"/>
  <c r="Z1082" i="55"/>
  <c r="B1097" i="58"/>
  <c r="F1097" s="1"/>
  <c r="Z1080" i="55"/>
  <c r="B1095" i="58"/>
  <c r="F1095" s="1"/>
  <c r="AG3551" i="1"/>
  <c r="V3614"/>
  <c r="X3614" s="1"/>
  <c r="AF684"/>
  <c r="AF687"/>
  <c r="AF685"/>
  <c r="P1443"/>
  <c r="R1427"/>
  <c r="K3682" i="11"/>
  <c r="K3688" s="1"/>
  <c r="I3693"/>
  <c r="K3693" s="1"/>
  <c r="K3744" i="1"/>
  <c r="I3641"/>
  <c r="L3774" i="11"/>
  <c r="C1036" i="55"/>
  <c r="I2269" i="11"/>
  <c r="I1092"/>
  <c r="K1092" s="1"/>
  <c r="C1017" i="55"/>
  <c r="K3788" i="11"/>
  <c r="K3790" s="1"/>
  <c r="L3790" s="1"/>
  <c r="P2882" i="27"/>
  <c r="R2882" s="1"/>
  <c r="R2849"/>
  <c r="P3617"/>
  <c r="R3617" s="1"/>
  <c r="R3620" s="1"/>
  <c r="P3636" s="1"/>
  <c r="R3636" s="1"/>
  <c r="R3638" s="1"/>
  <c r="I3647"/>
  <c r="K3647" s="1"/>
  <c r="K3616"/>
  <c r="I3078" i="1"/>
  <c r="K3078" s="1"/>
  <c r="P3066"/>
  <c r="R3066" s="1"/>
  <c r="R3068" s="1"/>
  <c r="R3070" s="1"/>
  <c r="C998" i="55" s="1"/>
  <c r="K3059" i="1"/>
  <c r="K3061" s="1"/>
  <c r="K3063" s="1"/>
  <c r="C997" i="55" s="1"/>
  <c r="K1051" i="1"/>
  <c r="P1062"/>
  <c r="R1062" s="1"/>
  <c r="P1087"/>
  <c r="R3525"/>
  <c r="P3541"/>
  <c r="R3541" s="1"/>
  <c r="F586" i="25"/>
  <c r="D621"/>
  <c r="I2396" i="27"/>
  <c r="I2395"/>
  <c r="I2378"/>
  <c r="K2378" s="1"/>
  <c r="I2354" s="1"/>
  <c r="K2354" s="1"/>
  <c r="K2356" s="1"/>
  <c r="K2357" s="1"/>
  <c r="V3585" i="1"/>
  <c r="X3570"/>
  <c r="R1043"/>
  <c r="P1044"/>
  <c r="R1044" s="1"/>
  <c r="H3886"/>
  <c r="J3886" s="1"/>
  <c r="J3870"/>
  <c r="K2213" i="11"/>
  <c r="K2287" i="1"/>
  <c r="C463" i="55" s="1"/>
  <c r="V1453" i="1"/>
  <c r="R1492"/>
  <c r="V1402"/>
  <c r="X1386"/>
  <c r="X475"/>
  <c r="AB475"/>
  <c r="AD475" s="1"/>
  <c r="R1438"/>
  <c r="P1455"/>
  <c r="P632" i="27"/>
  <c r="R632" s="1"/>
  <c r="R136"/>
  <c r="R137" s="1"/>
  <c r="R138" s="1"/>
  <c r="R139" s="1"/>
  <c r="R140" s="1"/>
  <c r="P589"/>
  <c r="R589" s="1"/>
  <c r="P575"/>
  <c r="R575" s="1"/>
  <c r="I495"/>
  <c r="K495" s="1"/>
  <c r="K503" s="1"/>
  <c r="K505" s="1"/>
  <c r="I1235"/>
  <c r="K1235" s="1"/>
  <c r="K1242" s="1"/>
  <c r="K1244" s="1"/>
  <c r="I1575"/>
  <c r="K1575" s="1"/>
  <c r="K1582" s="1"/>
  <c r="K1584" s="1"/>
  <c r="V3599" i="1"/>
  <c r="X3599" s="1"/>
  <c r="X3582"/>
  <c r="AB1384"/>
  <c r="AD1384" s="1"/>
  <c r="AD1367"/>
  <c r="K3080"/>
  <c r="K3082" s="1"/>
  <c r="C996" i="55" s="1"/>
  <c r="Z996" s="1"/>
  <c r="K2433" i="27"/>
  <c r="K2435" s="1"/>
  <c r="F152" i="50"/>
  <c r="C831" i="55" s="1"/>
  <c r="F149" i="50"/>
  <c r="Z1078" i="55"/>
  <c r="B1093" i="58"/>
  <c r="F1093" s="1"/>
  <c r="Z1076" i="55"/>
  <c r="B1091" i="58"/>
  <c r="F1091" s="1"/>
  <c r="K3494" i="11"/>
  <c r="K3500" s="1"/>
  <c r="I3532"/>
  <c r="R3623"/>
  <c r="P3648"/>
  <c r="R3648" s="1"/>
  <c r="I3040" i="27"/>
  <c r="K3040" s="1"/>
  <c r="K2917"/>
  <c r="C840" i="55"/>
  <c r="K2189" i="11"/>
  <c r="L2977"/>
  <c r="K2263" i="1"/>
  <c r="I1698" i="11"/>
  <c r="K1698" s="1"/>
  <c r="K1706" s="1"/>
  <c r="K91"/>
  <c r="I1698" i="27"/>
  <c r="K1698" s="1"/>
  <c r="K1706" s="1"/>
  <c r="K91"/>
  <c r="K3209" i="11"/>
  <c r="K3210" s="1"/>
  <c r="K3220"/>
  <c r="K3221" s="1"/>
  <c r="K3194"/>
  <c r="K3195" s="1"/>
  <c r="X1455" i="1"/>
  <c r="AB1453"/>
  <c r="AD1453" s="1"/>
  <c r="P1445"/>
  <c r="R1429"/>
  <c r="V354"/>
  <c r="K354"/>
  <c r="K310"/>
  <c r="V310"/>
  <c r="AG3542"/>
  <c r="AE3558"/>
  <c r="X1022" i="55"/>
  <c r="V1022"/>
  <c r="Z1022"/>
  <c r="H1022"/>
  <c r="F1022"/>
  <c r="T1022"/>
  <c r="J1022"/>
  <c r="Z36" i="27"/>
  <c r="AC36" s="1"/>
  <c r="I242" s="1"/>
  <c r="K242" s="1"/>
  <c r="Z13"/>
  <c r="AC12"/>
  <c r="C71" s="1"/>
  <c r="X1390" i="1"/>
  <c r="V1406"/>
  <c r="D827" i="58"/>
  <c r="F827" s="1"/>
  <c r="X1385" i="1"/>
  <c r="V1401"/>
  <c r="G159" i="32"/>
  <c r="Z1074" i="55"/>
  <c r="B1089" i="58"/>
  <c r="F1089" s="1"/>
  <c r="Z1072" i="55"/>
  <c r="B1087" i="58"/>
  <c r="F1087" s="1"/>
  <c r="P2078" i="1"/>
  <c r="R2078" s="1"/>
  <c r="K3104"/>
  <c r="K3956"/>
  <c r="I3973"/>
  <c r="K3973" s="1"/>
  <c r="K3567" i="11"/>
  <c r="C1028" i="55" s="1"/>
  <c r="C934" s="1"/>
  <c r="L3566" i="11"/>
  <c r="M3568"/>
  <c r="R1465" i="1"/>
  <c r="P1496"/>
  <c r="L3481" i="11"/>
  <c r="C990" i="55"/>
  <c r="K3584" i="11"/>
  <c r="C1029" i="55" s="1"/>
  <c r="C937" s="1"/>
  <c r="M3584" i="11"/>
  <c r="I3030" i="27"/>
  <c r="K3030" s="1"/>
  <c r="K2907"/>
  <c r="I2933"/>
  <c r="G97" i="32"/>
  <c r="G99" s="1"/>
  <c r="E157"/>
  <c r="G157" s="1"/>
  <c r="I3563" i="1"/>
  <c r="K1942"/>
  <c r="V550"/>
  <c r="X550" s="1"/>
  <c r="X526"/>
  <c r="AB526"/>
  <c r="K2455" i="11"/>
  <c r="K2453"/>
  <c r="K2613" i="27"/>
  <c r="I2691"/>
  <c r="K2691" s="1"/>
  <c r="X2778" i="1"/>
  <c r="V2779"/>
  <c r="X2779" s="1"/>
  <c r="P941"/>
  <c r="R941" s="1"/>
  <c r="R940"/>
  <c r="F554" i="25"/>
  <c r="D591"/>
  <c r="V1405" i="1"/>
  <c r="X1389"/>
  <c r="I2663" i="27"/>
  <c r="K2663" s="1"/>
  <c r="K2261"/>
  <c r="K334" i="1"/>
  <c r="V334"/>
  <c r="I3923"/>
  <c r="K862"/>
  <c r="P855"/>
  <c r="R855" s="1"/>
  <c r="V862"/>
  <c r="X862" s="1"/>
  <c r="I3302"/>
  <c r="K3302" s="1"/>
  <c r="I584" i="27"/>
  <c r="K584"/>
  <c r="F621" i="55"/>
  <c r="X621"/>
  <c r="D686" i="58"/>
  <c r="F686" s="1"/>
  <c r="F312" i="55"/>
  <c r="V312"/>
  <c r="H312"/>
  <c r="J312"/>
  <c r="AB1406" i="1"/>
  <c r="X1408"/>
  <c r="C1021" i="55"/>
  <c r="L3366" i="11"/>
  <c r="AD1371" i="1"/>
  <c r="AB1388"/>
  <c r="AD1388" s="1"/>
  <c r="P1490"/>
  <c r="P1473"/>
  <c r="R1459"/>
  <c r="X3558"/>
  <c r="V3574"/>
  <c r="P576" i="27"/>
  <c r="R576" s="1"/>
  <c r="P590"/>
  <c r="R590" s="1"/>
  <c r="P633"/>
  <c r="R633" s="1"/>
  <c r="X511" i="55"/>
  <c r="K371" i="27"/>
  <c r="P2024" i="1"/>
  <c r="R2024" s="1"/>
  <c r="K2024"/>
  <c r="P2670"/>
  <c r="I3101"/>
  <c r="K2663"/>
  <c r="W536"/>
  <c r="AC536" s="1"/>
  <c r="J537"/>
  <c r="W485"/>
  <c r="AC485" s="1"/>
  <c r="J661"/>
  <c r="K356"/>
  <c r="V356"/>
  <c r="K312"/>
  <c r="V312"/>
  <c r="Z416" i="55"/>
  <c r="D410" i="58"/>
  <c r="J416" i="55"/>
  <c r="T416"/>
  <c r="X416"/>
  <c r="F416"/>
  <c r="H416"/>
  <c r="V416"/>
  <c r="P231" i="1"/>
  <c r="R231" s="1"/>
  <c r="K225"/>
  <c r="K3457"/>
  <c r="I3462"/>
  <c r="P3463"/>
  <c r="R3463" s="1"/>
  <c r="I3824"/>
  <c r="K3824" s="1"/>
  <c r="I2717"/>
  <c r="K2717" s="1"/>
  <c r="K2711"/>
  <c r="D51" i="32"/>
  <c r="X712" i="1"/>
  <c r="V682"/>
  <c r="T274" i="55"/>
  <c r="K3657" i="1"/>
  <c r="I3678"/>
  <c r="K3678" s="1"/>
  <c r="I705"/>
  <c r="K705" s="1"/>
  <c r="C281" i="55"/>
  <c r="P3720" i="1"/>
  <c r="R3720" s="1"/>
  <c r="K3720"/>
  <c r="K3722" s="1"/>
  <c r="I3714" s="1"/>
  <c r="K3714" s="1"/>
  <c r="K3715" s="1"/>
  <c r="K3716" s="1"/>
  <c r="P3504"/>
  <c r="R3504" s="1"/>
  <c r="R3506" s="1"/>
  <c r="R3507" s="1"/>
  <c r="R3512"/>
  <c r="AQ3103"/>
  <c r="AS3103" s="1"/>
  <c r="AH3103"/>
  <c r="AH3106" s="1"/>
  <c r="P1969"/>
  <c r="R1969" s="1"/>
  <c r="K1969"/>
  <c r="I723"/>
  <c r="K723" s="1"/>
  <c r="K727" s="1"/>
  <c r="K729" s="1"/>
  <c r="K798" s="1"/>
  <c r="I781"/>
  <c r="K781" s="1"/>
  <c r="P791"/>
  <c r="R791" s="1"/>
  <c r="R795" s="1"/>
  <c r="R797" s="1"/>
  <c r="I2345"/>
  <c r="K2345" s="1"/>
  <c r="I759"/>
  <c r="K759" s="1"/>
  <c r="P887"/>
  <c r="R887" s="1"/>
  <c r="R890" s="1"/>
  <c r="R892" s="1"/>
  <c r="I2365"/>
  <c r="K3146"/>
  <c r="P3153"/>
  <c r="R3153" s="1"/>
  <c r="I3166"/>
  <c r="K1503"/>
  <c r="P1857"/>
  <c r="K1841"/>
  <c r="P2010"/>
  <c r="R2010" s="1"/>
  <c r="K2009"/>
  <c r="V678"/>
  <c r="X708"/>
  <c r="Z708" s="1"/>
  <c r="D47" i="32"/>
  <c r="V380" i="1"/>
  <c r="K380"/>
  <c r="P1174"/>
  <c r="R1174" s="1"/>
  <c r="R1143"/>
  <c r="I3639"/>
  <c r="K3639" s="1"/>
  <c r="K1644"/>
  <c r="K2710"/>
  <c r="I2716"/>
  <c r="K2716" s="1"/>
  <c r="V581"/>
  <c r="X581" s="1"/>
  <c r="K581"/>
  <c r="K2028"/>
  <c r="P2028"/>
  <c r="R2028" s="1"/>
  <c r="P1859"/>
  <c r="K1843"/>
  <c r="K1255"/>
  <c r="V1284"/>
  <c r="X1284" s="1"/>
  <c r="V551"/>
  <c r="X551" s="1"/>
  <c r="AB527"/>
  <c r="X527"/>
  <c r="I3575"/>
  <c r="K2346"/>
  <c r="T1637"/>
  <c r="R1637"/>
  <c r="C812" i="55" s="1"/>
  <c r="V883" i="1"/>
  <c r="K883"/>
  <c r="P196"/>
  <c r="K196"/>
  <c r="P164"/>
  <c r="R164" s="1"/>
  <c r="P2007"/>
  <c r="R2007" s="1"/>
  <c r="K2006"/>
  <c r="V337"/>
  <c r="K337"/>
  <c r="D584" i="25"/>
  <c r="F547"/>
  <c r="K2252" i="1"/>
  <c r="K2285" s="1"/>
  <c r="C457" i="55" s="1"/>
  <c r="K684" i="1"/>
  <c r="K1535"/>
  <c r="K1537" s="1"/>
  <c r="K1521"/>
  <c r="K1523" s="1"/>
  <c r="R3515"/>
  <c r="R3516" s="1"/>
  <c r="I3503" s="1"/>
  <c r="K3503" s="1"/>
  <c r="K2742"/>
  <c r="K2744" s="1"/>
  <c r="I2762" s="1"/>
  <c r="K2762" s="1"/>
  <c r="K2764" s="1"/>
  <c r="R526"/>
  <c r="R528" s="1"/>
  <c r="D724" i="58"/>
  <c r="F659" i="55"/>
  <c r="X659"/>
  <c r="D72" i="25"/>
  <c r="F49"/>
  <c r="F52" s="1"/>
  <c r="D42" s="1"/>
  <c r="P2009" i="1"/>
  <c r="R2009" s="1"/>
  <c r="K2008"/>
  <c r="V863"/>
  <c r="X863" s="1"/>
  <c r="P856"/>
  <c r="R856" s="1"/>
  <c r="K863"/>
  <c r="I3303"/>
  <c r="K3303" s="1"/>
  <c r="I3924"/>
  <c r="P163"/>
  <c r="R163" s="1"/>
  <c r="K195"/>
  <c r="P195"/>
  <c r="K1504"/>
  <c r="I3167"/>
  <c r="K881"/>
  <c r="V881"/>
  <c r="P2156"/>
  <c r="R2156" s="1"/>
  <c r="K2149"/>
  <c r="C371" i="55"/>
  <c r="C600"/>
  <c r="P2025" i="1"/>
  <c r="R2025" s="1"/>
  <c r="K2025"/>
  <c r="K1222"/>
  <c r="P1217"/>
  <c r="K1645"/>
  <c r="I3640"/>
  <c r="K3640" s="1"/>
  <c r="K1304"/>
  <c r="P1302"/>
  <c r="R2358"/>
  <c r="R2360" s="1"/>
  <c r="R2362" s="1"/>
  <c r="S2318"/>
  <c r="P2295"/>
  <c r="R2295" s="1"/>
  <c r="R2299" s="1"/>
  <c r="R2301" s="1"/>
  <c r="K2295"/>
  <c r="K2299" s="1"/>
  <c r="K2301" s="1"/>
  <c r="P718"/>
  <c r="R718" s="1"/>
  <c r="R725" s="1"/>
  <c r="R727" s="1"/>
  <c r="I1016"/>
  <c r="P749"/>
  <c r="R749" s="1"/>
  <c r="R756" s="1"/>
  <c r="R758" s="1"/>
  <c r="I951"/>
  <c r="I986"/>
  <c r="K986" s="1"/>
  <c r="P733"/>
  <c r="R733" s="1"/>
  <c r="R740" s="1"/>
  <c r="R742" s="1"/>
  <c r="W402"/>
  <c r="W403" s="1"/>
  <c r="W401"/>
  <c r="AE390"/>
  <c r="X381"/>
  <c r="V412"/>
  <c r="X412" s="1"/>
  <c r="W562"/>
  <c r="AC562" s="1"/>
  <c r="J561"/>
  <c r="J562" s="1"/>
  <c r="J563" s="1"/>
  <c r="J564" s="1"/>
  <c r="J565" s="1"/>
  <c r="J566" s="1"/>
  <c r="J567" s="1"/>
  <c r="J568" s="1"/>
  <c r="P123"/>
  <c r="R138"/>
  <c r="F30" i="58"/>
  <c r="X643" i="55"/>
  <c r="Z643"/>
  <c r="F643"/>
  <c r="D708" i="58"/>
  <c r="K3118" i="1"/>
  <c r="K3120" s="1"/>
  <c r="P3118"/>
  <c r="R3118" s="1"/>
  <c r="R3120" s="1"/>
  <c r="R3291"/>
  <c r="P3394"/>
  <c r="R3394" s="1"/>
  <c r="X131"/>
  <c r="I1133"/>
  <c r="I3488"/>
  <c r="K3488" s="1"/>
  <c r="C1001" i="55"/>
  <c r="I2869" i="1"/>
  <c r="K2869" s="1"/>
  <c r="I2668"/>
  <c r="X645" i="55"/>
  <c r="D710" i="58"/>
  <c r="Z645" i="55"/>
  <c r="F645"/>
  <c r="F1000"/>
  <c r="X1000"/>
  <c r="T1000"/>
  <c r="V1000"/>
  <c r="J1000"/>
  <c r="H1000"/>
  <c r="Z1000"/>
  <c r="H417"/>
  <c r="J417"/>
  <c r="Z417"/>
  <c r="D411" i="58"/>
  <c r="T417" i="55"/>
  <c r="V417"/>
  <c r="F417"/>
  <c r="X417"/>
  <c r="P1992" i="1"/>
  <c r="R1992" s="1"/>
  <c r="K1992"/>
  <c r="K1221"/>
  <c r="P1216"/>
  <c r="K808"/>
  <c r="V802"/>
  <c r="K1971"/>
  <c r="P1971"/>
  <c r="R1971" s="1"/>
  <c r="K504"/>
  <c r="I2898"/>
  <c r="K2898" s="1"/>
  <c r="V3718"/>
  <c r="X3718" s="1"/>
  <c r="X3720" s="1"/>
  <c r="X3721" s="1"/>
  <c r="X3704"/>
  <c r="X3706" s="1"/>
  <c r="X3707" s="1"/>
  <c r="P2433"/>
  <c r="R2433" s="1"/>
  <c r="K2426"/>
  <c r="P2157"/>
  <c r="R2157" s="1"/>
  <c r="K2150"/>
  <c r="P1175"/>
  <c r="R1175" s="1"/>
  <c r="R1144"/>
  <c r="V679"/>
  <c r="X709"/>
  <c r="Z709" s="1"/>
  <c r="D48" i="32"/>
  <c r="V313" i="1"/>
  <c r="K313"/>
  <c r="K809"/>
  <c r="V803"/>
  <c r="I3168"/>
  <c r="K1505"/>
  <c r="I2899"/>
  <c r="K2899" s="1"/>
  <c r="K505"/>
  <c r="AB1330"/>
  <c r="AC1330" s="1"/>
  <c r="X1332"/>
  <c r="I3420"/>
  <c r="K3420" s="1"/>
  <c r="P2640"/>
  <c r="R2640" s="1"/>
  <c r="K2633"/>
  <c r="V2601"/>
  <c r="I1612"/>
  <c r="K1600"/>
  <c r="P1601"/>
  <c r="R1601" s="1"/>
  <c r="F1049" i="55"/>
  <c r="V1049"/>
  <c r="X111" i="1"/>
  <c r="X113" s="1"/>
  <c r="X115" s="1"/>
  <c r="R3722"/>
  <c r="P3714" s="1"/>
  <c r="R3714" s="1"/>
  <c r="R3716" s="1"/>
  <c r="R3717" s="1"/>
  <c r="C673" i="55" s="1"/>
  <c r="K607" i="1"/>
  <c r="K1813"/>
  <c r="K1815" s="1"/>
  <c r="I1869" s="1"/>
  <c r="K1869" s="1"/>
  <c r="K1871" s="1"/>
  <c r="R554"/>
  <c r="R556" s="1"/>
  <c r="F996" i="55"/>
  <c r="H996"/>
  <c r="X996"/>
  <c r="J996"/>
  <c r="V813"/>
  <c r="D877" i="58"/>
  <c r="Z813" i="55"/>
  <c r="X813"/>
  <c r="H813"/>
  <c r="J813"/>
  <c r="F813"/>
  <c r="T813"/>
  <c r="R1145" i="1"/>
  <c r="P1176" s="1"/>
  <c r="R1176" s="1"/>
  <c r="V804"/>
  <c r="AC1202"/>
  <c r="AJ1201"/>
  <c r="R1399"/>
  <c r="R1401" s="1"/>
  <c r="C316" i="55" s="1"/>
  <c r="V1360" i="1"/>
  <c r="P1416"/>
  <c r="K2027"/>
  <c r="P2027"/>
  <c r="R2027" s="1"/>
  <c r="K2005"/>
  <c r="P2006"/>
  <c r="R2006" s="1"/>
  <c r="I3561"/>
  <c r="K1940"/>
  <c r="F1050" i="55"/>
  <c r="H1050"/>
  <c r="V1050"/>
  <c r="T1050"/>
  <c r="J1050"/>
  <c r="Z1050"/>
  <c r="X1050"/>
  <c r="I3487" i="1"/>
  <c r="K3487" s="1"/>
  <c r="C364" i="55"/>
  <c r="F307" i="58"/>
  <c r="AD643" i="1"/>
  <c r="AF643" s="1"/>
  <c r="X643"/>
  <c r="K1941"/>
  <c r="I3562"/>
  <c r="K2396"/>
  <c r="I2408"/>
  <c r="K2408" s="1"/>
  <c r="K2366"/>
  <c r="P2372"/>
  <c r="R2372" s="1"/>
  <c r="P3462"/>
  <c r="R3462" s="1"/>
  <c r="I3823"/>
  <c r="K3823" s="1"/>
  <c r="I3461"/>
  <c r="K3456"/>
  <c r="P1332"/>
  <c r="P1301"/>
  <c r="R1301" s="1"/>
  <c r="K1303"/>
  <c r="K336"/>
  <c r="V336"/>
  <c r="P2432"/>
  <c r="R2432" s="1"/>
  <c r="K2425"/>
  <c r="AB476"/>
  <c r="AD476" s="1"/>
  <c r="X476"/>
  <c r="X3656"/>
  <c r="X3664" s="1"/>
  <c r="X3665" s="1"/>
  <c r="C843" i="55" s="1"/>
  <c r="V3686" i="1"/>
  <c r="X3686" s="1"/>
  <c r="X3692" s="1"/>
  <c r="X3693" s="1"/>
  <c r="C844" i="55" s="1"/>
  <c r="P232" i="1"/>
  <c r="R232" s="1"/>
  <c r="K226"/>
  <c r="X644"/>
  <c r="AD644"/>
  <c r="AF644" s="1"/>
  <c r="V1280"/>
  <c r="X1280" s="1"/>
  <c r="K1251"/>
  <c r="I3305"/>
  <c r="K3305" s="1"/>
  <c r="V865"/>
  <c r="X865" s="1"/>
  <c r="I3926"/>
  <c r="P858"/>
  <c r="R858" s="1"/>
  <c r="K865"/>
  <c r="V1285"/>
  <c r="X1285" s="1"/>
  <c r="K1256"/>
  <c r="K357"/>
  <c r="V357"/>
  <c r="K1844"/>
  <c r="P1860"/>
  <c r="I3455"/>
  <c r="I2990"/>
  <c r="K2990" s="1"/>
  <c r="K2993" s="1"/>
  <c r="V642"/>
  <c r="I1254"/>
  <c r="I503"/>
  <c r="I270"/>
  <c r="K270" s="1"/>
  <c r="I1355"/>
  <c r="K1355" s="1"/>
  <c r="I1334"/>
  <c r="K1334" s="1"/>
  <c r="P282"/>
  <c r="R282" s="1"/>
  <c r="I335"/>
  <c r="I1704"/>
  <c r="K1704" s="1"/>
  <c r="I194"/>
  <c r="I1377"/>
  <c r="K1377" s="1"/>
  <c r="P66"/>
  <c r="R66" s="1"/>
  <c r="I444"/>
  <c r="K444" s="1"/>
  <c r="I2424"/>
  <c r="I209"/>
  <c r="K209" s="1"/>
  <c r="I1224"/>
  <c r="K1224" s="1"/>
  <c r="I311"/>
  <c r="I2787"/>
  <c r="K2787" s="1"/>
  <c r="L2753" s="1"/>
  <c r="L2756" s="1"/>
  <c r="K2790" s="1"/>
  <c r="I1249"/>
  <c r="I379"/>
  <c r="P51"/>
  <c r="R51" s="1"/>
  <c r="P388"/>
  <c r="R388" s="1"/>
  <c r="R393" s="1"/>
  <c r="R395" s="1"/>
  <c r="I1488"/>
  <c r="K1488" s="1"/>
  <c r="K1493" s="1"/>
  <c r="K1495" s="1"/>
  <c r="C354" i="55" s="1"/>
  <c r="I486" i="1"/>
  <c r="K486" s="1"/>
  <c r="I1220"/>
  <c r="I2075"/>
  <c r="K2075" s="1"/>
  <c r="K2082" s="1"/>
  <c r="K2084" s="1"/>
  <c r="I1970"/>
  <c r="I807"/>
  <c r="I410"/>
  <c r="K410" s="1"/>
  <c r="I355"/>
  <c r="V707"/>
  <c r="P1142"/>
  <c r="I2331"/>
  <c r="K2331" s="1"/>
  <c r="P374"/>
  <c r="R374" s="1"/>
  <c r="R379" s="1"/>
  <c r="R381" s="1"/>
  <c r="I224"/>
  <c r="I296"/>
  <c r="K296" s="1"/>
  <c r="I2051"/>
  <c r="K2051" s="1"/>
  <c r="K2058" s="1"/>
  <c r="K2060" s="1"/>
  <c r="I1991"/>
  <c r="C816" i="55"/>
  <c r="V3248" i="1"/>
  <c r="X3248" s="1"/>
  <c r="K3280"/>
  <c r="K1572"/>
  <c r="I1585"/>
  <c r="K1585" s="1"/>
  <c r="AR398"/>
  <c r="AR399" s="1"/>
  <c r="AR400" s="1"/>
  <c r="AR401" s="1"/>
  <c r="AR402" s="1"/>
  <c r="AR403" s="1"/>
  <c r="AF410"/>
  <c r="AF411" s="1"/>
  <c r="AF412" s="1"/>
  <c r="AF413" s="1"/>
  <c r="AF414" s="1"/>
  <c r="AF415" s="1"/>
  <c r="AF416" s="1"/>
  <c r="AF417" s="1"/>
  <c r="AF418" s="1"/>
  <c r="AF419" s="1"/>
  <c r="R3325"/>
  <c r="P3360"/>
  <c r="R3360" s="1"/>
  <c r="I1587"/>
  <c r="K1587" s="1"/>
  <c r="I1574"/>
  <c r="K1574" s="1"/>
  <c r="I1561"/>
  <c r="K1561" s="1"/>
  <c r="K1564" s="1"/>
  <c r="C465" i="55" s="1"/>
  <c r="I783" i="1"/>
  <c r="K783" s="1"/>
  <c r="I761"/>
  <c r="K761" s="1"/>
  <c r="R141"/>
  <c r="C513" i="55" s="1"/>
  <c r="R513" s="1"/>
  <c r="AS3106" i="1"/>
  <c r="K3705"/>
  <c r="K3706" s="1"/>
  <c r="X83"/>
  <c r="X85" s="1"/>
  <c r="K2712"/>
  <c r="K2713" s="1"/>
  <c r="C596" i="55" s="1"/>
  <c r="K2686" i="1"/>
  <c r="K2687" s="1"/>
  <c r="C644" i="55" s="1"/>
  <c r="K1912" i="1"/>
  <c r="K1914" s="1"/>
  <c r="I1921" s="1"/>
  <c r="K1921" s="1"/>
  <c r="K1924" s="1"/>
  <c r="W591"/>
  <c r="R21"/>
  <c r="W588"/>
  <c r="W589"/>
  <c r="W590"/>
  <c r="K1325"/>
  <c r="K1327" s="1"/>
  <c r="C343" i="55" s="1"/>
  <c r="AE421" i="1"/>
  <c r="AG421" s="1"/>
  <c r="AG385"/>
  <c r="AU160"/>
  <c r="AV160" s="1"/>
  <c r="V352"/>
  <c r="X352" s="1"/>
  <c r="V376"/>
  <c r="V308"/>
  <c r="X308" s="1"/>
  <c r="P63"/>
  <c r="R63" s="1"/>
  <c r="I1749"/>
  <c r="K1749" s="1"/>
  <c r="I151"/>
  <c r="K151" s="1"/>
  <c r="I181"/>
  <c r="K181" s="1"/>
  <c r="K186" s="1"/>
  <c r="C43" i="55" s="1"/>
  <c r="I2261" i="11"/>
  <c r="K1084"/>
  <c r="K1095" s="1"/>
  <c r="K1097" s="1"/>
  <c r="R3186" i="1"/>
  <c r="P3219"/>
  <c r="P3255"/>
  <c r="R3255" s="1"/>
  <c r="P3289"/>
  <c r="K2892" i="27"/>
  <c r="K3850" s="1"/>
  <c r="AE2647" i="1"/>
  <c r="AG2647" s="1"/>
  <c r="AE2613"/>
  <c r="AG2613" s="1"/>
  <c r="X2599"/>
  <c r="Z2597"/>
  <c r="R3185"/>
  <c r="P3218"/>
  <c r="P3288"/>
  <c r="P3254"/>
  <c r="R3254" s="1"/>
  <c r="K2910" i="27"/>
  <c r="I2936"/>
  <c r="I3033"/>
  <c r="K3033" s="1"/>
  <c r="K501" i="1"/>
  <c r="I2895"/>
  <c r="K2895" s="1"/>
  <c r="X297" i="55"/>
  <c r="D292" i="58"/>
  <c r="F297" i="55"/>
  <c r="P3151" i="1"/>
  <c r="K3144"/>
  <c r="F734" i="58"/>
  <c r="I3885" i="27"/>
  <c r="I3072"/>
  <c r="K3049"/>
  <c r="F356" i="58"/>
  <c r="I984" i="1"/>
  <c r="K984" s="1"/>
  <c r="I949"/>
  <c r="K949" s="1"/>
  <c r="I1014"/>
  <c r="R1218"/>
  <c r="T1218" s="1"/>
  <c r="P1260"/>
  <c r="Z770" i="55"/>
  <c r="X770"/>
  <c r="F770"/>
  <c r="D835" i="58"/>
  <c r="K3915" i="27"/>
  <c r="K3812"/>
  <c r="K3814" s="1"/>
  <c r="F444" i="58"/>
  <c r="T1004" i="55"/>
  <c r="X1004"/>
  <c r="J1004"/>
  <c r="V1004"/>
  <c r="H1004"/>
  <c r="Z1004"/>
  <c r="F1004"/>
  <c r="P3150" i="1"/>
  <c r="R3150" s="1"/>
  <c r="K3143"/>
  <c r="P2666"/>
  <c r="I3097"/>
  <c r="K2659"/>
  <c r="F453" i="58"/>
  <c r="K3774" i="27"/>
  <c r="I3625"/>
  <c r="K3506"/>
  <c r="K3507" s="1"/>
  <c r="I3590"/>
  <c r="P3506"/>
  <c r="R3506" s="1"/>
  <c r="R3507" s="1"/>
  <c r="R3498" s="1"/>
  <c r="I3572"/>
  <c r="K3572" s="1"/>
  <c r="K3573" s="1"/>
  <c r="K3564" s="1"/>
  <c r="K3566" s="1"/>
  <c r="K3567" s="1"/>
  <c r="K2975"/>
  <c r="K2857"/>
  <c r="K3008" s="1"/>
  <c r="H3123"/>
  <c r="K2942"/>
  <c r="K3060" s="1"/>
  <c r="K3076" s="1"/>
  <c r="K3102" s="1"/>
  <c r="R3075" s="1"/>
  <c r="K2918"/>
  <c r="I3122"/>
  <c r="K3116" s="1"/>
  <c r="R3116" s="1"/>
  <c r="R3130" s="1"/>
  <c r="K2908"/>
  <c r="I2934"/>
  <c r="I3031"/>
  <c r="K3031" s="1"/>
  <c r="F670" i="58"/>
  <c r="I3004" i="27"/>
  <c r="K3004" s="1"/>
  <c r="K2853"/>
  <c r="I2916"/>
  <c r="P2857"/>
  <c r="F624" i="58"/>
  <c r="F457" i="55"/>
  <c r="F31" i="58"/>
  <c r="L3348" i="27"/>
  <c r="K3456"/>
  <c r="K3458" s="1"/>
  <c r="K2213" s="1"/>
  <c r="D720" i="58"/>
  <c r="X655" i="55"/>
  <c r="F655"/>
  <c r="K2909" i="27"/>
  <c r="I3032"/>
  <c r="K3032" s="1"/>
  <c r="I2937"/>
  <c r="F413" i="58"/>
  <c r="C810" i="55"/>
  <c r="K2191" i="27"/>
  <c r="L2988"/>
  <c r="K3279" i="1"/>
  <c r="V3247"/>
  <c r="X3247" s="1"/>
  <c r="D833" i="58"/>
  <c r="F768" i="55"/>
  <c r="Z768"/>
  <c r="X768"/>
  <c r="F84" i="25"/>
  <c r="D85"/>
  <c r="F632" i="58"/>
  <c r="K2883" i="11"/>
  <c r="K2890"/>
  <c r="K2898" s="1"/>
  <c r="F1032" i="58"/>
  <c r="F658" i="25"/>
  <c r="D694"/>
  <c r="F694" s="1"/>
  <c r="R3779" i="27"/>
  <c r="R3781" s="1"/>
  <c r="R3774"/>
  <c r="P3072"/>
  <c r="R3072" s="1"/>
  <c r="K3099"/>
  <c r="M3398"/>
  <c r="P2637" i="1"/>
  <c r="R2637" s="1"/>
  <c r="R2649" s="1"/>
  <c r="R2651" s="1"/>
  <c r="V2598"/>
  <c r="K2630"/>
  <c r="I3417"/>
  <c r="K3417" s="1"/>
  <c r="K3429" s="1"/>
  <c r="K3431" s="1"/>
  <c r="K3200" i="27"/>
  <c r="K3201" s="1"/>
  <c r="P2892"/>
  <c r="R2892" s="1"/>
  <c r="P2859"/>
  <c r="R2859" s="1"/>
  <c r="P402" i="11"/>
  <c r="R402" s="1"/>
  <c r="P401"/>
  <c r="R401" s="1"/>
  <c r="R404" s="1"/>
  <c r="R406" s="1"/>
  <c r="P413" s="1"/>
  <c r="R413" s="1"/>
  <c r="R415" s="1"/>
  <c r="R417" s="1"/>
  <c r="P2883" i="27"/>
  <c r="R2883" s="1"/>
  <c r="R2850"/>
  <c r="I3039" i="11"/>
  <c r="K3039" s="1"/>
  <c r="K3043" s="1"/>
  <c r="K2916"/>
  <c r="K2920" s="1"/>
  <c r="I2940"/>
  <c r="I3743" i="1"/>
  <c r="K3743" s="1"/>
  <c r="K3749" s="1"/>
  <c r="K3750" s="1"/>
  <c r="K7"/>
  <c r="F705" i="58"/>
  <c r="I2556" i="11"/>
  <c r="K912"/>
  <c r="K922" s="1"/>
  <c r="K924" s="1"/>
  <c r="I3620" i="1"/>
  <c r="K3620" s="1"/>
  <c r="K3628" s="1"/>
  <c r="K3630" s="1"/>
  <c r="K3597"/>
  <c r="K3607" s="1"/>
  <c r="K3609" s="1"/>
  <c r="P2885" i="27"/>
  <c r="R2885" s="1"/>
  <c r="R2852"/>
  <c r="K3172"/>
  <c r="K3173" s="1"/>
  <c r="L3173" s="1"/>
  <c r="K3153"/>
  <c r="K3154" s="1"/>
  <c r="K3183"/>
  <c r="K3184" s="1"/>
  <c r="L3184" s="1"/>
  <c r="I3911"/>
  <c r="K3911" s="1"/>
  <c r="K3908"/>
  <c r="K2812" i="1"/>
  <c r="P2819"/>
  <c r="I3476"/>
  <c r="K3476" s="1"/>
  <c r="P2072"/>
  <c r="R2072" s="1"/>
  <c r="K3098"/>
  <c r="F829" i="58"/>
  <c r="P638" i="1"/>
  <c r="R638" s="1"/>
  <c r="R642" s="1"/>
  <c r="P35"/>
  <c r="R35" s="1"/>
  <c r="K3279" i="27"/>
  <c r="K3281" s="1"/>
  <c r="K3282" s="1"/>
  <c r="K3275" s="1"/>
  <c r="K3277" s="1"/>
  <c r="I3338"/>
  <c r="K3338" s="1"/>
  <c r="K3339" s="1"/>
  <c r="K3340" s="1"/>
  <c r="K3297"/>
  <c r="K3299" s="1"/>
  <c r="K3291" s="1"/>
  <c r="K3293" s="1"/>
  <c r="K3294" s="1"/>
  <c r="K2204" s="1"/>
  <c r="I3322"/>
  <c r="K3322" s="1"/>
  <c r="K3324" s="1"/>
  <c r="K3318" s="1"/>
  <c r="K3319" s="1"/>
  <c r="K3023" i="11"/>
  <c r="C1005" i="55" s="1"/>
  <c r="L3023" i="11"/>
  <c r="I3446" i="27"/>
  <c r="K3424"/>
  <c r="K3427" s="1"/>
  <c r="K3428" s="1"/>
  <c r="K3417" s="1"/>
  <c r="L3417" s="1"/>
  <c r="I918" i="1"/>
  <c r="K918" s="1"/>
  <c r="K920" s="1"/>
  <c r="C296" i="55" s="1"/>
  <c r="I1050" i="1"/>
  <c r="P207"/>
  <c r="R207" s="1"/>
  <c r="R218" s="1"/>
  <c r="R221" s="1"/>
  <c r="I982"/>
  <c r="K982" s="1"/>
  <c r="K995" s="1"/>
  <c r="K997" s="1"/>
  <c r="C301" i="55" s="1"/>
  <c r="I3384" i="1"/>
  <c r="I3474" s="1"/>
  <c r="K3474" s="1"/>
  <c r="I1124"/>
  <c r="K1124" s="1"/>
  <c r="I1012"/>
  <c r="K1012" s="1"/>
  <c r="I947"/>
  <c r="K947" s="1"/>
  <c r="K2810"/>
  <c r="AE2783"/>
  <c r="AG2783" s="1"/>
  <c r="P2817"/>
  <c r="I2860"/>
  <c r="K2860" s="1"/>
  <c r="K2872" s="1"/>
  <c r="K2874" s="1"/>
  <c r="K3466" i="27"/>
  <c r="K3468" s="1"/>
  <c r="L3379"/>
  <c r="I1384" i="11"/>
  <c r="K1384" s="1"/>
  <c r="K1389" s="1"/>
  <c r="K1391" s="1"/>
  <c r="I1396"/>
  <c r="K1396" s="1"/>
  <c r="K1401" s="1"/>
  <c r="K1403" s="1"/>
  <c r="I296"/>
  <c r="K296" s="1"/>
  <c r="I1409"/>
  <c r="K1409" s="1"/>
  <c r="K1414" s="1"/>
  <c r="K1416" s="1"/>
  <c r="I1324"/>
  <c r="K1324" s="1"/>
  <c r="K1330" s="1"/>
  <c r="K1332" s="1"/>
  <c r="P606" s="1"/>
  <c r="R606" s="1"/>
  <c r="P335"/>
  <c r="R335" s="1"/>
  <c r="R341" s="1"/>
  <c r="R343" s="1"/>
  <c r="I311"/>
  <c r="K311" s="1"/>
  <c r="P603" s="1"/>
  <c r="R603" s="1"/>
  <c r="P80"/>
  <c r="R80" s="1"/>
  <c r="I195"/>
  <c r="K195" s="1"/>
  <c r="N14"/>
  <c r="K14"/>
  <c r="I210"/>
  <c r="K210" s="1"/>
  <c r="P306"/>
  <c r="R306" s="1"/>
  <c r="R312" s="1"/>
  <c r="R314" s="1"/>
  <c r="I1221"/>
  <c r="K1221" s="1"/>
  <c r="K1226" s="1"/>
  <c r="K1228" s="1"/>
  <c r="P66"/>
  <c r="R66" s="1"/>
  <c r="P318"/>
  <c r="R318" s="1"/>
  <c r="R324" s="1"/>
  <c r="R326" s="1"/>
  <c r="P602"/>
  <c r="R602" s="1"/>
  <c r="K322"/>
  <c r="K323" s="1"/>
  <c r="K324" s="1"/>
  <c r="K325" s="1"/>
  <c r="K326" s="1"/>
  <c r="P574"/>
  <c r="R574" s="1"/>
  <c r="R581" s="1"/>
  <c r="I1913"/>
  <c r="K1913" s="1"/>
  <c r="P601"/>
  <c r="R601" s="1"/>
  <c r="R612" s="1"/>
  <c r="I2028"/>
  <c r="K2028" s="1"/>
  <c r="K2034" s="1"/>
  <c r="P588"/>
  <c r="R588" s="1"/>
  <c r="R595" s="1"/>
  <c r="I1893"/>
  <c r="K1893" s="1"/>
  <c r="K1899" s="1"/>
  <c r="P295"/>
  <c r="R295" s="1"/>
  <c r="R301" s="1"/>
  <c r="R303" s="1"/>
  <c r="I1268"/>
  <c r="K1268" s="1"/>
  <c r="K1274" s="1"/>
  <c r="K1276" s="1"/>
  <c r="I1286"/>
  <c r="K1286" s="1"/>
  <c r="K1295" s="1"/>
  <c r="K1297" s="1"/>
  <c r="I1170"/>
  <c r="K1170" s="1"/>
  <c r="K1188" s="1"/>
  <c r="K1191" s="1"/>
  <c r="P283" s="1"/>
  <c r="R283" s="1"/>
  <c r="R288" s="1"/>
  <c r="R290" s="1"/>
  <c r="I1308"/>
  <c r="K1308" s="1"/>
  <c r="K1317" s="1"/>
  <c r="K1319" s="1"/>
  <c r="I1199"/>
  <c r="K1199" s="1"/>
  <c r="K1212" s="1"/>
  <c r="K1214" s="1"/>
  <c r="I1637"/>
  <c r="K1637" s="1"/>
  <c r="I1349"/>
  <c r="K1349" s="1"/>
  <c r="K1355" s="1"/>
  <c r="K1357" s="1"/>
  <c r="I591"/>
  <c r="K591" s="1"/>
  <c r="K596" s="1"/>
  <c r="K598" s="1"/>
  <c r="K599" s="1"/>
  <c r="K600" s="1"/>
  <c r="K601" s="1"/>
  <c r="K602" s="1"/>
  <c r="K603" s="1"/>
  <c r="P347"/>
  <c r="R347" s="1"/>
  <c r="R353" s="1"/>
  <c r="R355" s="1"/>
  <c r="I1364"/>
  <c r="K1364" s="1"/>
  <c r="K1371" s="1"/>
  <c r="K1373" s="1"/>
  <c r="I1911" s="1"/>
  <c r="K1911" s="1"/>
  <c r="P575"/>
  <c r="R575" s="1"/>
  <c r="R136"/>
  <c r="R137" s="1"/>
  <c r="R138" s="1"/>
  <c r="R139" s="1"/>
  <c r="R140" s="1"/>
  <c r="P632"/>
  <c r="R632" s="1"/>
  <c r="P589"/>
  <c r="R589" s="1"/>
  <c r="P266"/>
  <c r="R266" s="1"/>
  <c r="R270" s="1"/>
  <c r="R272" s="1"/>
  <c r="R274" s="1"/>
  <c r="R275" s="1"/>
  <c r="R276" s="1"/>
  <c r="R277" s="1"/>
  <c r="I425"/>
  <c r="K425" s="1"/>
  <c r="K429" s="1"/>
  <c r="K431" s="1"/>
  <c r="K433" s="1"/>
  <c r="K434" s="1"/>
  <c r="K435" s="1"/>
  <c r="K436" s="1"/>
  <c r="K437" s="1"/>
  <c r="I151"/>
  <c r="K151" s="1"/>
  <c r="K160" s="1"/>
  <c r="I139"/>
  <c r="K139" s="1"/>
  <c r="K143" s="1"/>
  <c r="P605"/>
  <c r="R605" s="1"/>
  <c r="Z35"/>
  <c r="AC35" s="1"/>
  <c r="I253" s="1"/>
  <c r="K253" s="1"/>
  <c r="K258" s="1"/>
  <c r="K260" s="1"/>
  <c r="AC11"/>
  <c r="C70" s="1"/>
  <c r="Z12"/>
  <c r="I444"/>
  <c r="K444" s="1"/>
  <c r="I379"/>
  <c r="K379" s="1"/>
  <c r="I1155"/>
  <c r="K1155" s="1"/>
  <c r="K1161" s="1"/>
  <c r="K1163" s="1"/>
  <c r="I479"/>
  <c r="K479" s="1"/>
  <c r="K487" s="1"/>
  <c r="K489" s="1"/>
  <c r="I1337"/>
  <c r="K1337" s="1"/>
  <c r="K1343" s="1"/>
  <c r="K1345" s="1"/>
  <c r="I355"/>
  <c r="K355" s="1"/>
  <c r="I410"/>
  <c r="K410" s="1"/>
  <c r="P361"/>
  <c r="R361" s="1"/>
  <c r="R369" s="1"/>
  <c r="R371" s="1"/>
  <c r="P179"/>
  <c r="R179" s="1"/>
  <c r="I335"/>
  <c r="K335" s="1"/>
  <c r="I225"/>
  <c r="K225" s="1"/>
  <c r="P51"/>
  <c r="R51" s="1"/>
  <c r="K367"/>
  <c r="K368" s="1"/>
  <c r="K369" s="1"/>
  <c r="K370" s="1"/>
  <c r="D1063" i="58" l="1"/>
  <c r="F1063" s="1"/>
  <c r="V996" i="55"/>
  <c r="T996"/>
  <c r="K3624" i="27"/>
  <c r="I3731"/>
  <c r="K3731" s="1"/>
  <c r="Z343" i="55"/>
  <c r="R343"/>
  <c r="Z596"/>
  <c r="R596"/>
  <c r="Z386"/>
  <c r="R386"/>
  <c r="Z354"/>
  <c r="R354"/>
  <c r="Z446"/>
  <c r="R446"/>
  <c r="Z650"/>
  <c r="R650"/>
  <c r="Z297"/>
  <c r="R297"/>
  <c r="Z653"/>
  <c r="R653"/>
  <c r="V638"/>
  <c r="R638"/>
  <c r="Z296"/>
  <c r="R296"/>
  <c r="Z465"/>
  <c r="R465"/>
  <c r="Z457"/>
  <c r="R457"/>
  <c r="Z612"/>
  <c r="R612"/>
  <c r="Z43"/>
  <c r="R43"/>
  <c r="Z388"/>
  <c r="R388"/>
  <c r="Z364"/>
  <c r="R364"/>
  <c r="Z451"/>
  <c r="R451"/>
  <c r="Z600"/>
  <c r="R600"/>
  <c r="Z937"/>
  <c r="R937"/>
  <c r="Z25"/>
  <c r="R25"/>
  <c r="Z442"/>
  <c r="R442"/>
  <c r="Z387"/>
  <c r="R387"/>
  <c r="Z934"/>
  <c r="R934"/>
  <c r="Z452"/>
  <c r="R452"/>
  <c r="Z24"/>
  <c r="R24"/>
  <c r="Z233"/>
  <c r="R233"/>
  <c r="Z434"/>
  <c r="R434"/>
  <c r="Z511"/>
  <c r="R511"/>
  <c r="H47"/>
  <c r="R47"/>
  <c r="V47"/>
  <c r="L47"/>
  <c r="N47"/>
  <c r="P47"/>
  <c r="Z47"/>
  <c r="T47"/>
  <c r="J47"/>
  <c r="N511"/>
  <c r="L511"/>
  <c r="V511"/>
  <c r="T511"/>
  <c r="X638"/>
  <c r="T638"/>
  <c r="Z638"/>
  <c r="J513"/>
  <c r="Z513"/>
  <c r="D277" i="58"/>
  <c r="F277" s="1"/>
  <c r="V43" i="55"/>
  <c r="T43"/>
  <c r="P43"/>
  <c r="N43"/>
  <c r="J43"/>
  <c r="L43"/>
  <c r="H43"/>
  <c r="V388"/>
  <c r="T388"/>
  <c r="P388"/>
  <c r="L388"/>
  <c r="N388"/>
  <c r="J388"/>
  <c r="H388"/>
  <c r="C61" i="75"/>
  <c r="F61" s="1"/>
  <c r="V364" i="55"/>
  <c r="T364"/>
  <c r="P364"/>
  <c r="L364"/>
  <c r="J364"/>
  <c r="H364"/>
  <c r="N364"/>
  <c r="C97" i="75"/>
  <c r="F97" s="1"/>
  <c r="V452" i="55"/>
  <c r="T452"/>
  <c r="P452"/>
  <c r="L452"/>
  <c r="N452"/>
  <c r="J452"/>
  <c r="H452"/>
  <c r="V24"/>
  <c r="T24"/>
  <c r="N24"/>
  <c r="L24"/>
  <c r="J24"/>
  <c r="H24"/>
  <c r="P24"/>
  <c r="C173" i="75"/>
  <c r="F173" s="1"/>
  <c r="V653" i="55"/>
  <c r="T653"/>
  <c r="P653"/>
  <c r="N653"/>
  <c r="J653"/>
  <c r="H653"/>
  <c r="L653"/>
  <c r="C40" i="75"/>
  <c r="F40" s="1"/>
  <c r="V296" i="55"/>
  <c r="N296"/>
  <c r="P296"/>
  <c r="T296"/>
  <c r="L296"/>
  <c r="J296"/>
  <c r="H296"/>
  <c r="C74" i="75"/>
  <c r="F74" s="1"/>
  <c r="V387" i="55"/>
  <c r="N387"/>
  <c r="T387"/>
  <c r="P387"/>
  <c r="L387"/>
  <c r="J387"/>
  <c r="H387"/>
  <c r="V457"/>
  <c r="T457"/>
  <c r="P457"/>
  <c r="L457"/>
  <c r="N457"/>
  <c r="J457"/>
  <c r="H457"/>
  <c r="V812"/>
  <c r="T812"/>
  <c r="P812"/>
  <c r="N812"/>
  <c r="L812"/>
  <c r="J812"/>
  <c r="H812"/>
  <c r="D937" i="58"/>
  <c r="F937" s="1"/>
  <c r="V937" i="55"/>
  <c r="P937"/>
  <c r="N937"/>
  <c r="L937"/>
  <c r="J937"/>
  <c r="H937"/>
  <c r="T937"/>
  <c r="V650"/>
  <c r="T650"/>
  <c r="N650"/>
  <c r="P650"/>
  <c r="L650"/>
  <c r="J650"/>
  <c r="H650"/>
  <c r="C41" i="75"/>
  <c r="F41" s="1"/>
  <c r="V297" i="55"/>
  <c r="T297"/>
  <c r="P297"/>
  <c r="N297"/>
  <c r="L297"/>
  <c r="J297"/>
  <c r="H297"/>
  <c r="V612"/>
  <c r="T612"/>
  <c r="P612"/>
  <c r="N612"/>
  <c r="L612"/>
  <c r="J612"/>
  <c r="H612"/>
  <c r="V770"/>
  <c r="T770"/>
  <c r="P770"/>
  <c r="N770"/>
  <c r="L770"/>
  <c r="J770"/>
  <c r="H770"/>
  <c r="V810"/>
  <c r="T810"/>
  <c r="P810"/>
  <c r="N810"/>
  <c r="L810"/>
  <c r="J810"/>
  <c r="H810"/>
  <c r="V343"/>
  <c r="T343"/>
  <c r="P343"/>
  <c r="N343"/>
  <c r="L343"/>
  <c r="J343"/>
  <c r="H343"/>
  <c r="V596"/>
  <c r="N596"/>
  <c r="T596"/>
  <c r="P596"/>
  <c r="J596"/>
  <c r="H596"/>
  <c r="L596"/>
  <c r="V386"/>
  <c r="T386"/>
  <c r="P386"/>
  <c r="N386"/>
  <c r="J386"/>
  <c r="H386"/>
  <c r="L386"/>
  <c r="C57" i="75"/>
  <c r="F57" s="1"/>
  <c r="V354" i="55"/>
  <c r="T354"/>
  <c r="P354"/>
  <c r="N354"/>
  <c r="L354"/>
  <c r="J354"/>
  <c r="H354"/>
  <c r="V934"/>
  <c r="P934"/>
  <c r="N934"/>
  <c r="H934"/>
  <c r="L934"/>
  <c r="J934"/>
  <c r="T934"/>
  <c r="C94" i="75"/>
  <c r="F94" s="1"/>
  <c r="V446" i="55"/>
  <c r="T446"/>
  <c r="P446"/>
  <c r="L446"/>
  <c r="N446"/>
  <c r="J446"/>
  <c r="H446"/>
  <c r="V766"/>
  <c r="T766"/>
  <c r="P766"/>
  <c r="N766"/>
  <c r="L766"/>
  <c r="J766"/>
  <c r="H766"/>
  <c r="V670"/>
  <c r="T670"/>
  <c r="P670"/>
  <c r="N670"/>
  <c r="L670"/>
  <c r="J670"/>
  <c r="H670"/>
  <c r="V668"/>
  <c r="T668"/>
  <c r="P668"/>
  <c r="N668"/>
  <c r="L668"/>
  <c r="J668"/>
  <c r="H668"/>
  <c r="V442"/>
  <c r="T442"/>
  <c r="P442"/>
  <c r="L442"/>
  <c r="N442"/>
  <c r="J442"/>
  <c r="H442"/>
  <c r="V644"/>
  <c r="P644"/>
  <c r="T644"/>
  <c r="L644"/>
  <c r="N644"/>
  <c r="J644"/>
  <c r="H644"/>
  <c r="F465"/>
  <c r="V465"/>
  <c r="T465"/>
  <c r="P465"/>
  <c r="L465"/>
  <c r="N465"/>
  <c r="J465"/>
  <c r="H465"/>
  <c r="V816"/>
  <c r="T816"/>
  <c r="P816"/>
  <c r="N816"/>
  <c r="L816"/>
  <c r="J816"/>
  <c r="H816"/>
  <c r="V673"/>
  <c r="T673"/>
  <c r="P673"/>
  <c r="N673"/>
  <c r="J673"/>
  <c r="H673"/>
  <c r="L673"/>
  <c r="C96" i="75"/>
  <c r="F96" s="1"/>
  <c r="V451" i="55"/>
  <c r="N451"/>
  <c r="P451"/>
  <c r="T451"/>
  <c r="L451"/>
  <c r="H451"/>
  <c r="J451"/>
  <c r="V600"/>
  <c r="T600"/>
  <c r="P600"/>
  <c r="N600"/>
  <c r="L600"/>
  <c r="J600"/>
  <c r="H600"/>
  <c r="V25"/>
  <c r="T25"/>
  <c r="P25"/>
  <c r="N25"/>
  <c r="L25"/>
  <c r="J25"/>
  <c r="H25"/>
  <c r="C35" i="75"/>
  <c r="F35" s="1"/>
  <c r="V233" i="55"/>
  <c r="N233"/>
  <c r="P233"/>
  <c r="T233"/>
  <c r="L233"/>
  <c r="J233"/>
  <c r="H233"/>
  <c r="V434"/>
  <c r="T434"/>
  <c r="P434"/>
  <c r="N434"/>
  <c r="L434"/>
  <c r="J434"/>
  <c r="H434"/>
  <c r="H274"/>
  <c r="J274"/>
  <c r="X937"/>
  <c r="F937"/>
  <c r="F670"/>
  <c r="Z670"/>
  <c r="X670"/>
  <c r="D735" i="58"/>
  <c r="F735" s="1"/>
  <c r="F668" i="55"/>
  <c r="Z668"/>
  <c r="X668"/>
  <c r="D733" i="58"/>
  <c r="F733" s="1"/>
  <c r="P3393" i="1"/>
  <c r="R3393" s="1"/>
  <c r="R3359"/>
  <c r="Z32"/>
  <c r="AC32" s="1"/>
  <c r="C74" s="1"/>
  <c r="I441" s="1"/>
  <c r="K441" s="1"/>
  <c r="AC27"/>
  <c r="C88" s="1"/>
  <c r="I3748" i="11"/>
  <c r="K3748" s="1"/>
  <c r="K3749" s="1"/>
  <c r="K3750" s="1"/>
  <c r="K3743" s="1"/>
  <c r="K3732"/>
  <c r="K3733" s="1"/>
  <c r="K3726" s="1"/>
  <c r="K3727" s="1"/>
  <c r="K2262" i="27"/>
  <c r="I2664"/>
  <c r="K2664" s="1"/>
  <c r="K3154" i="1"/>
  <c r="K3156" s="1"/>
  <c r="V1409"/>
  <c r="X1393"/>
  <c r="F830" i="55"/>
  <c r="D894" i="58"/>
  <c r="F894" s="1"/>
  <c r="T830" i="55"/>
  <c r="H830"/>
  <c r="X830"/>
  <c r="Z830"/>
  <c r="J830"/>
  <c r="V830"/>
  <c r="I2589" i="27"/>
  <c r="K2589" s="1"/>
  <c r="K2597" s="1"/>
  <c r="K2599" s="1"/>
  <c r="K2558"/>
  <c r="K2566" s="1"/>
  <c r="K2568" s="1"/>
  <c r="K3617" i="11"/>
  <c r="K3648"/>
  <c r="K3674"/>
  <c r="AC7" i="1"/>
  <c r="C65" s="1"/>
  <c r="I292" s="1"/>
  <c r="K292" s="1"/>
  <c r="Z8"/>
  <c r="AC8" s="1"/>
  <c r="C66" s="1"/>
  <c r="I293" s="1"/>
  <c r="K293" s="1"/>
  <c r="AG3540"/>
  <c r="AE3556"/>
  <c r="C93" i="75"/>
  <c r="F93" s="1"/>
  <c r="X442" i="55"/>
  <c r="D436" i="58"/>
  <c r="F436" s="1"/>
  <c r="F442" i="55"/>
  <c r="I3972" i="11"/>
  <c r="K3959"/>
  <c r="X640" i="1"/>
  <c r="AD640"/>
  <c r="AF640" s="1"/>
  <c r="V705"/>
  <c r="K3153" i="11"/>
  <c r="K3154" s="1"/>
  <c r="K3172"/>
  <c r="K3173" s="1"/>
  <c r="K3183"/>
  <c r="K3184" s="1"/>
  <c r="Z10" i="1"/>
  <c r="Z33"/>
  <c r="AC33" s="1"/>
  <c r="I251" s="1"/>
  <c r="K251" s="1"/>
  <c r="AC9"/>
  <c r="Z34"/>
  <c r="AC34" s="1"/>
  <c r="I240" s="1"/>
  <c r="K240" s="1"/>
  <c r="Z35"/>
  <c r="AC35" s="1"/>
  <c r="I239" s="1"/>
  <c r="K239" s="1"/>
  <c r="Z41"/>
  <c r="AC41" s="1"/>
  <c r="AB1328" s="1"/>
  <c r="AC1328" s="1"/>
  <c r="C88" i="75"/>
  <c r="F88" s="1"/>
  <c r="F434" i="55"/>
  <c r="X434"/>
  <c r="D428" i="58"/>
  <c r="F428" s="1"/>
  <c r="X3540" i="1"/>
  <c r="V3556"/>
  <c r="AB1401"/>
  <c r="X1403"/>
  <c r="I376"/>
  <c r="K376" s="1"/>
  <c r="I332"/>
  <c r="K332" s="1"/>
  <c r="I352"/>
  <c r="K352" s="1"/>
  <c r="I407"/>
  <c r="K407" s="1"/>
  <c r="I308"/>
  <c r="K308" s="1"/>
  <c r="I3987"/>
  <c r="K3987" s="1"/>
  <c r="K3986"/>
  <c r="K3368" i="27"/>
  <c r="I3363" s="1"/>
  <c r="K3363" s="1"/>
  <c r="I3402"/>
  <c r="T1034" i="55"/>
  <c r="H1034"/>
  <c r="J1034"/>
  <c r="Z1034"/>
  <c r="X1034"/>
  <c r="F1034"/>
  <c r="V1034"/>
  <c r="R1447" i="1"/>
  <c r="P1464"/>
  <c r="V815"/>
  <c r="X815" s="1"/>
  <c r="X800"/>
  <c r="R3626" i="11"/>
  <c r="R3627" s="1"/>
  <c r="R3628" s="1"/>
  <c r="P3651"/>
  <c r="R3651" s="1"/>
  <c r="R3652" s="1"/>
  <c r="R3653" s="1"/>
  <c r="P3644" s="1"/>
  <c r="R3644" s="1"/>
  <c r="R3646" s="1"/>
  <c r="S3646" s="1"/>
  <c r="P402" i="27"/>
  <c r="R402" s="1"/>
  <c r="P401"/>
  <c r="R401" s="1"/>
  <c r="R404" s="1"/>
  <c r="R406" s="1"/>
  <c r="P413" s="1"/>
  <c r="R413" s="1"/>
  <c r="R415" s="1"/>
  <c r="R417" s="1"/>
  <c r="K2258" i="1"/>
  <c r="K2184" i="11"/>
  <c r="K2859" i="27"/>
  <c r="R1054" i="1"/>
  <c r="R1056" s="1"/>
  <c r="C98" i="75"/>
  <c r="F98" s="1"/>
  <c r="C47"/>
  <c r="F47" s="1"/>
  <c r="R3367" i="1"/>
  <c r="P3401"/>
  <c r="I4031"/>
  <c r="K4031" s="1"/>
  <c r="K4020"/>
  <c r="AE3553"/>
  <c r="AG3537"/>
  <c r="I1075"/>
  <c r="P994"/>
  <c r="R994" s="1"/>
  <c r="K1060"/>
  <c r="AE1069"/>
  <c r="AG1069" s="1"/>
  <c r="J3849"/>
  <c r="J3854" s="1"/>
  <c r="J3856" s="1"/>
  <c r="C765" i="55" s="1"/>
  <c r="D831" i="58"/>
  <c r="F831" s="1"/>
  <c r="X766" i="55"/>
  <c r="F766"/>
  <c r="Z766"/>
  <c r="R1423" i="1"/>
  <c r="P1439"/>
  <c r="X1367"/>
  <c r="V1384"/>
  <c r="F964" i="55"/>
  <c r="D1031" i="58"/>
  <c r="F1031" s="1"/>
  <c r="H964" i="55"/>
  <c r="J964"/>
  <c r="V964"/>
  <c r="T964"/>
  <c r="X964"/>
  <c r="C769"/>
  <c r="X1399" i="1"/>
  <c r="AB1397"/>
  <c r="D271" i="58"/>
  <c r="F271" s="1"/>
  <c r="F274" i="55"/>
  <c r="X274"/>
  <c r="Z274"/>
  <c r="D718" i="58"/>
  <c r="X653" i="55"/>
  <c r="F653"/>
  <c r="R123" i="1"/>
  <c r="P3460"/>
  <c r="R3460" s="1"/>
  <c r="I3821"/>
  <c r="K3821" s="1"/>
  <c r="K3454"/>
  <c r="V580"/>
  <c r="X580" s="1"/>
  <c r="K580"/>
  <c r="K584" s="1"/>
  <c r="K586" s="1"/>
  <c r="I587" s="1"/>
  <c r="K587" s="1"/>
  <c r="K2147"/>
  <c r="P2154"/>
  <c r="R2154" s="1"/>
  <c r="P1214"/>
  <c r="K1219"/>
  <c r="K2023"/>
  <c r="P2023"/>
  <c r="R2023" s="1"/>
  <c r="K2004"/>
  <c r="P2005"/>
  <c r="R2005" s="1"/>
  <c r="R2015" s="1"/>
  <c r="C793" i="55" s="1"/>
  <c r="H638"/>
  <c r="K1842" i="1"/>
  <c r="P1858"/>
  <c r="K1248"/>
  <c r="V1277"/>
  <c r="X1277" s="1"/>
  <c r="J638" i="55"/>
  <c r="D703" i="58"/>
  <c r="F703" s="1"/>
  <c r="F638" i="55"/>
  <c r="I2395" i="1"/>
  <c r="K2381"/>
  <c r="V392"/>
  <c r="K392"/>
  <c r="I1283"/>
  <c r="K1283" s="1"/>
  <c r="K1269"/>
  <c r="AB1262"/>
  <c r="AD1262" s="1"/>
  <c r="X584"/>
  <c r="X586" s="1"/>
  <c r="X587" s="1"/>
  <c r="D338" i="58"/>
  <c r="F338" s="1"/>
  <c r="C539" i="55"/>
  <c r="C994"/>
  <c r="X3134" i="1"/>
  <c r="V3159"/>
  <c r="X3555"/>
  <c r="V3571"/>
  <c r="K2143"/>
  <c r="P2150"/>
  <c r="R2150" s="1"/>
  <c r="F233" i="55"/>
  <c r="X233"/>
  <c r="D230" i="58"/>
  <c r="F230" s="1"/>
  <c r="K165" i="1"/>
  <c r="C162"/>
  <c r="C41" i="55" s="1"/>
  <c r="C163" i="1"/>
  <c r="C42" i="55" s="1"/>
  <c r="K3364" i="1"/>
  <c r="K3367" s="1"/>
  <c r="K3368" s="1"/>
  <c r="C1058" i="55" s="1"/>
  <c r="I3351" i="1"/>
  <c r="K3351" s="1"/>
  <c r="K3354" s="1"/>
  <c r="K3355" s="1"/>
  <c r="C1059" i="55" s="1"/>
  <c r="Z1059" s="1"/>
  <c r="T863"/>
  <c r="V863"/>
  <c r="Z863"/>
  <c r="J863"/>
  <c r="F863"/>
  <c r="X863"/>
  <c r="H863"/>
  <c r="D927" i="58"/>
  <c r="F927" s="1"/>
  <c r="R1458" i="1"/>
  <c r="V1419"/>
  <c r="X1419" s="1"/>
  <c r="P1489"/>
  <c r="V3569"/>
  <c r="X3553"/>
  <c r="X3135"/>
  <c r="V3160"/>
  <c r="P2073"/>
  <c r="R2073" s="1"/>
  <c r="K3099"/>
  <c r="D99" i="25"/>
  <c r="F71"/>
  <c r="I3389" i="1"/>
  <c r="K3320"/>
  <c r="X612" i="55"/>
  <c r="D677" i="58"/>
  <c r="F677" s="1"/>
  <c r="F612" i="55"/>
  <c r="C652"/>
  <c r="S1323" i="1"/>
  <c r="K2968"/>
  <c r="K2976" s="1"/>
  <c r="K2978" s="1"/>
  <c r="P2975"/>
  <c r="R2975" s="1"/>
  <c r="R2983" s="1"/>
  <c r="R2985" s="1"/>
  <c r="C995" i="55" s="1"/>
  <c r="J3871" i="1"/>
  <c r="H3887"/>
  <c r="J3887" s="1"/>
  <c r="J3891" s="1"/>
  <c r="J3893" s="1"/>
  <c r="I3543"/>
  <c r="K3527"/>
  <c r="P3531"/>
  <c r="V3155"/>
  <c r="X3155" s="1"/>
  <c r="X3130"/>
  <c r="P1967"/>
  <c r="R1967" s="1"/>
  <c r="K1967"/>
  <c r="K80"/>
  <c r="K83" s="1"/>
  <c r="I93"/>
  <c r="I108"/>
  <c r="K108" s="1"/>
  <c r="K111" s="1"/>
  <c r="K113" s="1"/>
  <c r="R429"/>
  <c r="R441" s="1"/>
  <c r="R443" s="1"/>
  <c r="I3658"/>
  <c r="D101" i="25"/>
  <c r="F73"/>
  <c r="AG3536" i="1"/>
  <c r="AE3552"/>
  <c r="AG3552" s="1"/>
  <c r="V3618"/>
  <c r="X3618" s="1"/>
  <c r="AG3555"/>
  <c r="J404" i="55"/>
  <c r="D398" i="58"/>
  <c r="F398" s="1"/>
  <c r="T404" i="55"/>
  <c r="V404"/>
  <c r="X404"/>
  <c r="F404"/>
  <c r="H404"/>
  <c r="Z404"/>
  <c r="J280"/>
  <c r="T280"/>
  <c r="X280"/>
  <c r="F280"/>
  <c r="V280"/>
  <c r="Z280"/>
  <c r="J3875" i="1"/>
  <c r="J3877" s="1"/>
  <c r="C767" i="55" s="1"/>
  <c r="F767" s="1"/>
  <c r="I2961" i="27"/>
  <c r="I3904"/>
  <c r="K3904" s="1"/>
  <c r="K2951"/>
  <c r="I2972"/>
  <c r="K2972" s="1"/>
  <c r="K2977" s="1"/>
  <c r="C137" i="1"/>
  <c r="C135"/>
  <c r="K2941" i="27"/>
  <c r="I3059"/>
  <c r="K3059" s="1"/>
  <c r="I1570" i="1"/>
  <c r="K1570" s="1"/>
  <c r="I1598"/>
  <c r="I3709" i="27"/>
  <c r="K3709" s="1"/>
  <c r="K3712" s="1"/>
  <c r="K3700"/>
  <c r="K3702" s="1"/>
  <c r="P2851" i="1"/>
  <c r="R2851" s="1"/>
  <c r="R2818"/>
  <c r="I3747" i="27"/>
  <c r="K3747" s="1"/>
  <c r="K3730"/>
  <c r="K3447"/>
  <c r="I3487"/>
  <c r="K3487" s="1"/>
  <c r="X25" i="55"/>
  <c r="F25"/>
  <c r="D25" i="58"/>
  <c r="F25" s="1"/>
  <c r="V3600" i="1"/>
  <c r="X3583"/>
  <c r="D24" i="58"/>
  <c r="F24" s="1"/>
  <c r="F24" i="55"/>
  <c r="X24"/>
  <c r="F998"/>
  <c r="T998"/>
  <c r="Z998"/>
  <c r="H998"/>
  <c r="J998"/>
  <c r="X998"/>
  <c r="D1065" i="58"/>
  <c r="F1065" s="1"/>
  <c r="V998" i="55"/>
  <c r="J997"/>
  <c r="F997"/>
  <c r="T997"/>
  <c r="V997"/>
  <c r="X997"/>
  <c r="H997"/>
  <c r="Z997"/>
  <c r="D1064" i="58"/>
  <c r="F1064" s="1"/>
  <c r="V3589" i="1"/>
  <c r="X3574"/>
  <c r="R1490"/>
  <c r="V1451"/>
  <c r="P1533"/>
  <c r="R1533" s="1"/>
  <c r="I3051" i="27"/>
  <c r="K2933"/>
  <c r="I2953"/>
  <c r="H1029" i="55"/>
  <c r="T1029"/>
  <c r="V1029"/>
  <c r="F1029"/>
  <c r="X1029"/>
  <c r="J1029"/>
  <c r="Z1029"/>
  <c r="X310" i="1"/>
  <c r="AE310"/>
  <c r="AG310" s="1"/>
  <c r="AQ62"/>
  <c r="L3195" i="11"/>
  <c r="M3195"/>
  <c r="C1013" i="55"/>
  <c r="L3502" i="11"/>
  <c r="L3500" s="1"/>
  <c r="K3501"/>
  <c r="D895" i="58"/>
  <c r="F895" s="1"/>
  <c r="T831" i="55"/>
  <c r="H831"/>
  <c r="F831"/>
  <c r="Z831"/>
  <c r="V831"/>
  <c r="X831"/>
  <c r="J83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X1402" i="1"/>
  <c r="AB1400"/>
  <c r="J1017" i="55"/>
  <c r="T1017"/>
  <c r="V1017"/>
  <c r="Z1017"/>
  <c r="X1017"/>
  <c r="F1017"/>
  <c r="H1017"/>
  <c r="K3689" i="11"/>
  <c r="K3692" s="1"/>
  <c r="K3695" s="1"/>
  <c r="C1033" i="55" s="1"/>
  <c r="L3690" i="11"/>
  <c r="M3688"/>
  <c r="Z43" i="1"/>
  <c r="Z14"/>
  <c r="K3615" i="11"/>
  <c r="K3619" s="1"/>
  <c r="I3646"/>
  <c r="K3646" s="1"/>
  <c r="K3650" s="1"/>
  <c r="J992" i="55"/>
  <c r="D1059" i="58"/>
  <c r="F1059" s="1"/>
  <c r="T992" i="55"/>
  <c r="H992"/>
  <c r="V992"/>
  <c r="X992"/>
  <c r="Z992"/>
  <c r="F992"/>
  <c r="V896" i="1"/>
  <c r="X896" s="1"/>
  <c r="X880"/>
  <c r="I4022"/>
  <c r="I40" i="25"/>
  <c r="P1536" i="1"/>
  <c r="R1536" s="1"/>
  <c r="K4007"/>
  <c r="D618" i="25"/>
  <c r="F583"/>
  <c r="V3245" i="1"/>
  <c r="X3245" s="1"/>
  <c r="K3277"/>
  <c r="T1018" i="55"/>
  <c r="X1018"/>
  <c r="H1018"/>
  <c r="Z1018"/>
  <c r="F1018"/>
  <c r="J1018"/>
  <c r="V1018"/>
  <c r="Z1041"/>
  <c r="X1041"/>
  <c r="T1041"/>
  <c r="V1041"/>
  <c r="H1041"/>
  <c r="J1041"/>
  <c r="F1041"/>
  <c r="V1434" i="1"/>
  <c r="P1480"/>
  <c r="R1473"/>
  <c r="V1021" i="55"/>
  <c r="J1021"/>
  <c r="X1021"/>
  <c r="F1021"/>
  <c r="Z1021"/>
  <c r="T1021"/>
  <c r="H1021"/>
  <c r="X334" i="1"/>
  <c r="AE334"/>
  <c r="AG334" s="1"/>
  <c r="F591" i="25"/>
  <c r="D626"/>
  <c r="AD526" i="1"/>
  <c r="AB550"/>
  <c r="AD550" s="1"/>
  <c r="K3563"/>
  <c r="P3566"/>
  <c r="R3566" s="1"/>
  <c r="R1496"/>
  <c r="V1457"/>
  <c r="J1028" i="55"/>
  <c r="X1028"/>
  <c r="Z1028"/>
  <c r="T1028"/>
  <c r="V1028"/>
  <c r="F1028"/>
  <c r="H1028"/>
  <c r="X1401" i="1"/>
  <c r="AB1399"/>
  <c r="AE363"/>
  <c r="AG363" s="1"/>
  <c r="X354"/>
  <c r="C619" i="55"/>
  <c r="C431"/>
  <c r="I3971" i="11"/>
  <c r="K3971" s="1"/>
  <c r="K3532"/>
  <c r="K3538" s="1"/>
  <c r="V1416" i="1"/>
  <c r="X1416" s="1"/>
  <c r="R1455"/>
  <c r="P1486"/>
  <c r="P1472"/>
  <c r="X463" i="55"/>
  <c r="H463"/>
  <c r="V463"/>
  <c r="T463"/>
  <c r="J463"/>
  <c r="Z463"/>
  <c r="D457" i="58"/>
  <c r="F457" s="1"/>
  <c r="F463" i="55"/>
  <c r="J1036"/>
  <c r="T1036"/>
  <c r="F1036"/>
  <c r="H1036"/>
  <c r="V1036"/>
  <c r="Z1036"/>
  <c r="X1036"/>
  <c r="X446"/>
  <c r="D440" i="58"/>
  <c r="F440" s="1"/>
  <c r="F446" i="55"/>
  <c r="X452"/>
  <c r="F452"/>
  <c r="D446" i="58"/>
  <c r="F446" s="1"/>
  <c r="F456" i="55"/>
  <c r="D450" i="58"/>
  <c r="F450" s="1"/>
  <c r="V456" i="55"/>
  <c r="J456"/>
  <c r="H456"/>
  <c r="Z456"/>
  <c r="X456"/>
  <c r="T456"/>
  <c r="L3398" i="11"/>
  <c r="K3400"/>
  <c r="I585" i="27"/>
  <c r="K585"/>
  <c r="I3941" i="1"/>
  <c r="K3923"/>
  <c r="AB1404"/>
  <c r="X1406"/>
  <c r="AG3558"/>
  <c r="V3621"/>
  <c r="X3621" s="1"/>
  <c r="M3210" i="11"/>
  <c r="L3210"/>
  <c r="C1014" i="55"/>
  <c r="D904" i="58"/>
  <c r="F904" s="1"/>
  <c r="X840" i="55"/>
  <c r="F840"/>
  <c r="J840"/>
  <c r="T840"/>
  <c r="V840"/>
  <c r="Z840"/>
  <c r="H840"/>
  <c r="AB1451" i="1"/>
  <c r="AD1451" s="1"/>
  <c r="X1453"/>
  <c r="X3585"/>
  <c r="V3602"/>
  <c r="X3602" s="1"/>
  <c r="F621" i="25"/>
  <c r="D657"/>
  <c r="P1109" i="1"/>
  <c r="R1109" s="1"/>
  <c r="R1087"/>
  <c r="I2671" i="11"/>
  <c r="K2671" s="1"/>
  <c r="K2269"/>
  <c r="R1443" i="1"/>
  <c r="P1460"/>
  <c r="X650" i="55"/>
  <c r="D715" i="58"/>
  <c r="F715" s="1"/>
  <c r="F650" i="55"/>
  <c r="V409" i="1"/>
  <c r="X409" s="1"/>
  <c r="AE387"/>
  <c r="X378"/>
  <c r="V1418"/>
  <c r="X1418" s="1"/>
  <c r="P1488"/>
  <c r="R1457"/>
  <c r="AD1405"/>
  <c r="AB1422"/>
  <c r="AD1422" s="1"/>
  <c r="AB1187"/>
  <c r="V1297"/>
  <c r="R1331"/>
  <c r="L3417" i="11"/>
  <c r="K3419"/>
  <c r="D588" i="25"/>
  <c r="F551"/>
  <c r="K3491" i="1"/>
  <c r="K1577"/>
  <c r="K1579" s="1"/>
  <c r="I2934" s="1"/>
  <c r="K2934" s="1"/>
  <c r="AB1423"/>
  <c r="AD1423" s="1"/>
  <c r="AD1406"/>
  <c r="X1405"/>
  <c r="AB1403"/>
  <c r="Z990" i="55"/>
  <c r="F990"/>
  <c r="T990"/>
  <c r="X990"/>
  <c r="H990"/>
  <c r="C647"/>
  <c r="D1057" i="58"/>
  <c r="F1057" s="1"/>
  <c r="V990" i="55"/>
  <c r="J990"/>
  <c r="AC13" i="27"/>
  <c r="C72" s="1"/>
  <c r="Z37"/>
  <c r="AC37" s="1"/>
  <c r="I241" s="1"/>
  <c r="K241" s="1"/>
  <c r="K246" s="1"/>
  <c r="K248" s="1"/>
  <c r="Z14"/>
  <c r="R1445" i="1"/>
  <c r="P1462"/>
  <c r="K2273"/>
  <c r="C441" i="55" s="1"/>
  <c r="M3221" i="11"/>
  <c r="C1016" i="55"/>
  <c r="K3229" i="11"/>
  <c r="K3233" s="1"/>
  <c r="L3221"/>
  <c r="K2199"/>
  <c r="K2451" i="27"/>
  <c r="K2448"/>
  <c r="D832" i="58"/>
  <c r="F832" s="1"/>
  <c r="X767" i="55"/>
  <c r="K3641" i="1"/>
  <c r="K3644" s="1"/>
  <c r="K3645" s="1"/>
  <c r="C818" i="55" s="1"/>
  <c r="P3465" i="1"/>
  <c r="R3465" s="1"/>
  <c r="F1019" i="55"/>
  <c r="Z1019"/>
  <c r="H1019"/>
  <c r="V1019"/>
  <c r="X1019"/>
  <c r="T1019"/>
  <c r="J1019"/>
  <c r="I3663" i="11"/>
  <c r="K3663" s="1"/>
  <c r="I3673"/>
  <c r="K3673" s="1"/>
  <c r="I2671" i="27"/>
  <c r="K2671" s="1"/>
  <c r="K2674" s="1"/>
  <c r="K2676" s="1"/>
  <c r="K2269"/>
  <c r="K2272" s="1"/>
  <c r="K2274" s="1"/>
  <c r="I584" i="11"/>
  <c r="K584"/>
  <c r="K3010" i="27"/>
  <c r="K2720" i="1"/>
  <c r="K2722" s="1"/>
  <c r="L2688" s="1"/>
  <c r="AF3110"/>
  <c r="AF3111" s="1"/>
  <c r="AF3112" s="1"/>
  <c r="C819" i="55" s="1"/>
  <c r="AG3110" i="1"/>
  <c r="AG3111" s="1"/>
  <c r="AG3112" s="1"/>
  <c r="C775" i="55" s="1"/>
  <c r="AH3110" i="1"/>
  <c r="AH3111" s="1"/>
  <c r="AH3112" s="1"/>
  <c r="C776" i="55" s="1"/>
  <c r="P2351" i="1"/>
  <c r="R2351" s="1"/>
  <c r="C779" i="55"/>
  <c r="X465"/>
  <c r="D459" i="58"/>
  <c r="F459" s="1"/>
  <c r="C609" i="55"/>
  <c r="C402"/>
  <c r="I2925" i="1"/>
  <c r="C598" i="55"/>
  <c r="C366"/>
  <c r="F366" s="1"/>
  <c r="C594"/>
  <c r="C403"/>
  <c r="C610"/>
  <c r="T513"/>
  <c r="H513"/>
  <c r="V513"/>
  <c r="D554" i="58"/>
  <c r="F513" i="55"/>
  <c r="K1991" i="1"/>
  <c r="P1991"/>
  <c r="R1991" s="1"/>
  <c r="P400"/>
  <c r="R400" s="1"/>
  <c r="P399"/>
  <c r="R399" s="1"/>
  <c r="C1047" i="55"/>
  <c r="Z844"/>
  <c r="J844"/>
  <c r="V844"/>
  <c r="T844"/>
  <c r="H844"/>
  <c r="D908" i="58"/>
  <c r="F844" i="55"/>
  <c r="X844"/>
  <c r="P1433" i="1"/>
  <c r="V1377"/>
  <c r="R1416"/>
  <c r="R1418" s="1"/>
  <c r="C318" i="55" s="1"/>
  <c r="Z673"/>
  <c r="X673"/>
  <c r="D738" i="58"/>
  <c r="F673" i="55"/>
  <c r="R1216" i="1"/>
  <c r="T1216" s="1"/>
  <c r="P1258"/>
  <c r="P1221"/>
  <c r="F708" i="58"/>
  <c r="V1300" i="1"/>
  <c r="R1302"/>
  <c r="R1306" s="1"/>
  <c r="R1308" s="1"/>
  <c r="P1222"/>
  <c r="P1259"/>
  <c r="R1217"/>
  <c r="T1217" s="1"/>
  <c r="D665" i="58"/>
  <c r="F600" i="55"/>
  <c r="X600"/>
  <c r="V897" i="1"/>
  <c r="X897" s="1"/>
  <c r="X881"/>
  <c r="V195"/>
  <c r="X195" s="1"/>
  <c r="R195"/>
  <c r="V196"/>
  <c r="X196" s="1"/>
  <c r="R196"/>
  <c r="AB551"/>
  <c r="AD551" s="1"/>
  <c r="AD527"/>
  <c r="V732"/>
  <c r="X732" s="1"/>
  <c r="X678"/>
  <c r="D47" i="50"/>
  <c r="K3166" i="1"/>
  <c r="I3179"/>
  <c r="V736"/>
  <c r="X736" s="1"/>
  <c r="X682"/>
  <c r="D51" i="50"/>
  <c r="K3101" i="1"/>
  <c r="P2075"/>
  <c r="R2075" s="1"/>
  <c r="F644" i="55"/>
  <c r="X644"/>
  <c r="Z644"/>
  <c r="D709" i="58"/>
  <c r="AQ3111" i="1"/>
  <c r="AQ3112" s="1"/>
  <c r="AQ3113" s="1"/>
  <c r="AR3111"/>
  <c r="AR3112" s="1"/>
  <c r="AR3113" s="1"/>
  <c r="F386" i="55"/>
  <c r="X386"/>
  <c r="D380" i="58"/>
  <c r="K224" i="1"/>
  <c r="P230"/>
  <c r="R230" s="1"/>
  <c r="X707"/>
  <c r="Z707" s="1"/>
  <c r="D46" i="32"/>
  <c r="V677" i="1"/>
  <c r="K1970"/>
  <c r="P1970"/>
  <c r="R1970" s="1"/>
  <c r="F354" i="55"/>
  <c r="X354"/>
  <c r="D349" i="58"/>
  <c r="K1249" i="1"/>
  <c r="V1278"/>
  <c r="X1278" s="1"/>
  <c r="V335"/>
  <c r="K335"/>
  <c r="AE366"/>
  <c r="AG366" s="1"/>
  <c r="X357"/>
  <c r="K3562"/>
  <c r="P3565"/>
  <c r="R3565" s="1"/>
  <c r="P3564"/>
  <c r="R3564" s="1"/>
  <c r="K3561"/>
  <c r="I609"/>
  <c r="K609"/>
  <c r="D48" i="50"/>
  <c r="X679" i="1"/>
  <c r="V733"/>
  <c r="X733" s="1"/>
  <c r="F710" i="58"/>
  <c r="X1001" i="55"/>
  <c r="V1001"/>
  <c r="F1001"/>
  <c r="H1001"/>
  <c r="Z1001"/>
  <c r="T1001"/>
  <c r="J1001"/>
  <c r="D561" i="58"/>
  <c r="F718"/>
  <c r="K951" i="1"/>
  <c r="I2814"/>
  <c r="P3189"/>
  <c r="P944"/>
  <c r="R944" s="1"/>
  <c r="R952" s="1"/>
  <c r="R954" s="1"/>
  <c r="X451" i="55"/>
  <c r="F451"/>
  <c r="D445" i="58"/>
  <c r="I3942" i="1"/>
  <c r="K3924"/>
  <c r="F72" i="25"/>
  <c r="F76" s="1"/>
  <c r="D65" s="1"/>
  <c r="D100"/>
  <c r="C817" i="55"/>
  <c r="C602"/>
  <c r="AE337" i="1"/>
  <c r="AG337" s="1"/>
  <c r="X337"/>
  <c r="Z812" i="55"/>
  <c r="X812"/>
  <c r="D876" i="58"/>
  <c r="F812" i="55"/>
  <c r="K2365" i="1"/>
  <c r="K2369" s="1"/>
  <c r="K2371" s="1"/>
  <c r="P2371"/>
  <c r="R2371" s="1"/>
  <c r="R2376" s="1"/>
  <c r="R2378" s="1"/>
  <c r="I706"/>
  <c r="K706" s="1"/>
  <c r="C282" i="55"/>
  <c r="P3468" i="1"/>
  <c r="R3468" s="1"/>
  <c r="K3462"/>
  <c r="I3829"/>
  <c r="K3829" s="1"/>
  <c r="X312"/>
  <c r="AQ64"/>
  <c r="AE312"/>
  <c r="AG312" s="1"/>
  <c r="W486"/>
  <c r="AC486" s="1"/>
  <c r="J662"/>
  <c r="K789"/>
  <c r="K791" s="1"/>
  <c r="K3288"/>
  <c r="K3290" s="1"/>
  <c r="X513" i="55"/>
  <c r="K1508" i="1"/>
  <c r="K1510" s="1"/>
  <c r="C359" i="55" s="1"/>
  <c r="R2034" i="1"/>
  <c r="C794" i="55" s="1"/>
  <c r="X596"/>
  <c r="F596"/>
  <c r="D662" i="58"/>
  <c r="P410" i="1"/>
  <c r="R410" s="1"/>
  <c r="C1045" i="55"/>
  <c r="V355" i="1"/>
  <c r="K355"/>
  <c r="K503"/>
  <c r="I2897"/>
  <c r="K2897" s="1"/>
  <c r="X313"/>
  <c r="AQ65"/>
  <c r="AE313"/>
  <c r="AG313" s="1"/>
  <c r="F411" i="58"/>
  <c r="X388" i="55"/>
  <c r="D382" i="58"/>
  <c r="F388" i="55"/>
  <c r="F816"/>
  <c r="D880" i="58"/>
  <c r="X816" i="55"/>
  <c r="Z816"/>
  <c r="R1142" i="1"/>
  <c r="P1173"/>
  <c r="R1173" s="1"/>
  <c r="V801"/>
  <c r="K807"/>
  <c r="K379"/>
  <c r="V379"/>
  <c r="X642"/>
  <c r="AD642"/>
  <c r="AF642" s="1"/>
  <c r="AE336"/>
  <c r="AG336" s="1"/>
  <c r="X336"/>
  <c r="R1332"/>
  <c r="AB1188"/>
  <c r="V1299"/>
  <c r="Z316" i="55"/>
  <c r="X316"/>
  <c r="J316"/>
  <c r="H316"/>
  <c r="T316"/>
  <c r="V316"/>
  <c r="D311" i="58"/>
  <c r="F316" i="55"/>
  <c r="F387"/>
  <c r="X387"/>
  <c r="D381" i="58"/>
  <c r="X116" i="1"/>
  <c r="X802"/>
  <c r="V817"/>
  <c r="X817" s="1"/>
  <c r="T3120"/>
  <c r="C657" i="55"/>
  <c r="R3121" i="1"/>
  <c r="AE426"/>
  <c r="AG426" s="1"/>
  <c r="AG390"/>
  <c r="AQ390"/>
  <c r="AS390" s="1"/>
  <c r="I3180"/>
  <c r="K3167"/>
  <c r="F42" i="25"/>
  <c r="F45" s="1"/>
  <c r="F46" s="1"/>
  <c r="D29"/>
  <c r="F29" s="1"/>
  <c r="F31" s="1"/>
  <c r="F32" s="1"/>
  <c r="C363" i="55"/>
  <c r="I3106" i="1"/>
  <c r="I3544"/>
  <c r="X1059" i="55"/>
  <c r="V1059"/>
  <c r="X883" i="1"/>
  <c r="V899"/>
  <c r="X899" s="1"/>
  <c r="I3584"/>
  <c r="K3584" s="1"/>
  <c r="K3586" s="1"/>
  <c r="K3587" s="1"/>
  <c r="J3589" s="1"/>
  <c r="J3590" s="1"/>
  <c r="J3591" s="1"/>
  <c r="J3592" s="1"/>
  <c r="K3575"/>
  <c r="K3577" s="1"/>
  <c r="K3578" s="1"/>
  <c r="K3588" s="1"/>
  <c r="I3589" s="1"/>
  <c r="D110" i="32"/>
  <c r="F110" s="1"/>
  <c r="F47"/>
  <c r="H47" s="1"/>
  <c r="R1857" i="1"/>
  <c r="P1888"/>
  <c r="R1888" s="1"/>
  <c r="J281" i="55"/>
  <c r="Z281"/>
  <c r="F281"/>
  <c r="H281"/>
  <c r="V281"/>
  <c r="X281"/>
  <c r="T281"/>
  <c r="D278" i="58"/>
  <c r="F51" i="32"/>
  <c r="D114"/>
  <c r="F114" s="1"/>
  <c r="F343" i="55"/>
  <c r="X343"/>
  <c r="D451" i="58"/>
  <c r="F451" s="1"/>
  <c r="K1945" i="1"/>
  <c r="C389" i="55" s="1"/>
  <c r="K2151" i="1"/>
  <c r="K2348"/>
  <c r="K2349" s="1"/>
  <c r="K2031"/>
  <c r="C400" i="55" s="1"/>
  <c r="P3461" i="1"/>
  <c r="R3461" s="1"/>
  <c r="K3455"/>
  <c r="I3460"/>
  <c r="I3822"/>
  <c r="K3822" s="1"/>
  <c r="I3828"/>
  <c r="K3828" s="1"/>
  <c r="K3461"/>
  <c r="P3467"/>
  <c r="R3467" s="1"/>
  <c r="AJ1202"/>
  <c r="AC1203"/>
  <c r="K3168"/>
  <c r="I3181"/>
  <c r="X87"/>
  <c r="X88" s="1"/>
  <c r="X86"/>
  <c r="I2333"/>
  <c r="K2333" s="1"/>
  <c r="K2334" s="1"/>
  <c r="K2335" s="1"/>
  <c r="I2339" s="1"/>
  <c r="K2339" s="1"/>
  <c r="P1215"/>
  <c r="K1220"/>
  <c r="K311"/>
  <c r="V311"/>
  <c r="P2431"/>
  <c r="R2431" s="1"/>
  <c r="K2424"/>
  <c r="P162"/>
  <c r="R162" s="1"/>
  <c r="K194"/>
  <c r="P194"/>
  <c r="K1254"/>
  <c r="V1283"/>
  <c r="X1283" s="1"/>
  <c r="R1860"/>
  <c r="P1891"/>
  <c r="R1891" s="1"/>
  <c r="K3926"/>
  <c r="I3944"/>
  <c r="D907" i="58"/>
  <c r="H843" i="55"/>
  <c r="V843"/>
  <c r="T843"/>
  <c r="X843"/>
  <c r="J843"/>
  <c r="Z843"/>
  <c r="F843"/>
  <c r="X364"/>
  <c r="F364"/>
  <c r="D358" i="58"/>
  <c r="AB1358" i="1"/>
  <c r="X1360"/>
  <c r="X1362" s="1"/>
  <c r="C317" i="55" s="1"/>
  <c r="X804" i="1"/>
  <c r="V819"/>
  <c r="X819" s="1"/>
  <c r="F877" i="58"/>
  <c r="P1613" i="1"/>
  <c r="R1613" s="1"/>
  <c r="K1612"/>
  <c r="Z2599"/>
  <c r="AE2649"/>
  <c r="AG2649" s="1"/>
  <c r="X2601"/>
  <c r="AE2615"/>
  <c r="AG2615" s="1"/>
  <c r="X803"/>
  <c r="V818"/>
  <c r="X818" s="1"/>
  <c r="D111" i="32"/>
  <c r="F111" s="1"/>
  <c r="F48"/>
  <c r="H48" s="1"/>
  <c r="P2675" i="1"/>
  <c r="K2668"/>
  <c r="K2671" s="1"/>
  <c r="K2673" s="1"/>
  <c r="I3528"/>
  <c r="P3532" s="1"/>
  <c r="K1133"/>
  <c r="K1136" s="1"/>
  <c r="K1138" s="1"/>
  <c r="P1090"/>
  <c r="K1016"/>
  <c r="D365" i="58"/>
  <c r="J371" i="55"/>
  <c r="T371"/>
  <c r="F371"/>
  <c r="Z371"/>
  <c r="X371"/>
  <c r="V371"/>
  <c r="H371"/>
  <c r="F724" i="58"/>
  <c r="C360" i="55"/>
  <c r="C595"/>
  <c r="I685" i="1"/>
  <c r="K685" s="1"/>
  <c r="C275" i="55"/>
  <c r="F584" i="25"/>
  <c r="D619"/>
  <c r="R1859" i="1"/>
  <c r="P1890"/>
  <c r="R1890" s="1"/>
  <c r="X588"/>
  <c r="X380"/>
  <c r="AE389"/>
  <c r="V411"/>
  <c r="X411" s="1"/>
  <c r="F410" i="58"/>
  <c r="X356" i="1"/>
  <c r="AE365"/>
  <c r="AG365" s="1"/>
  <c r="W537"/>
  <c r="AC537" s="1"/>
  <c r="J538"/>
  <c r="K959"/>
  <c r="K961" s="1"/>
  <c r="X457" i="55"/>
  <c r="K2012" i="1"/>
  <c r="C399" i="55" s="1"/>
  <c r="K1849" i="1"/>
  <c r="K1851" s="1"/>
  <c r="I1885" s="1"/>
  <c r="K765"/>
  <c r="K767" s="1"/>
  <c r="I2353" s="1"/>
  <c r="I1984"/>
  <c r="X376"/>
  <c r="V407"/>
  <c r="X407" s="1"/>
  <c r="F43" i="55"/>
  <c r="X43"/>
  <c r="D43" i="58"/>
  <c r="L3277" i="27"/>
  <c r="K2200"/>
  <c r="K3018"/>
  <c r="K3022" s="1"/>
  <c r="L3012"/>
  <c r="K3011"/>
  <c r="L3018"/>
  <c r="K2879"/>
  <c r="L2861"/>
  <c r="K2860"/>
  <c r="L2862"/>
  <c r="X1005" i="55"/>
  <c r="J1005"/>
  <c r="F1005"/>
  <c r="V1005"/>
  <c r="Z1005"/>
  <c r="H1005"/>
  <c r="T1005"/>
  <c r="F810"/>
  <c r="X810"/>
  <c r="Z810"/>
  <c r="D874" i="58"/>
  <c r="K3836" i="27"/>
  <c r="K3815"/>
  <c r="L3815" s="1"/>
  <c r="K3872"/>
  <c r="K3878" s="1"/>
  <c r="K3879" s="1"/>
  <c r="F835" i="58"/>
  <c r="V1240" i="1"/>
  <c r="P1237"/>
  <c r="R1237" s="1"/>
  <c r="R1260"/>
  <c r="P1088"/>
  <c r="K1014"/>
  <c r="K1025" s="1"/>
  <c r="K1027" s="1"/>
  <c r="C302" i="55" s="1"/>
  <c r="F292" i="58"/>
  <c r="P3357" i="1"/>
  <c r="R3357" s="1"/>
  <c r="P3391"/>
  <c r="R3391" s="1"/>
  <c r="R3288"/>
  <c r="V3244"/>
  <c r="X3244" s="1"/>
  <c r="X3256" s="1"/>
  <c r="X3258" s="1"/>
  <c r="K1050"/>
  <c r="K1061" s="1"/>
  <c r="K1063" s="1"/>
  <c r="P1086"/>
  <c r="AE1059"/>
  <c r="AG1059" s="1"/>
  <c r="AG1070" s="1"/>
  <c r="AG1072" s="1"/>
  <c r="P1061"/>
  <c r="R1061" s="1"/>
  <c r="P984"/>
  <c r="R984" s="1"/>
  <c r="R995" s="1"/>
  <c r="R997" s="1"/>
  <c r="C563" i="55" s="1"/>
  <c r="L3319" i="27"/>
  <c r="K2209"/>
  <c r="K3044" i="11"/>
  <c r="C1006" i="55" s="1"/>
  <c r="L3044" i="11"/>
  <c r="C985" i="55"/>
  <c r="C549"/>
  <c r="K2884" i="11"/>
  <c r="L2884"/>
  <c r="F833" i="58"/>
  <c r="K2937" i="27"/>
  <c r="I3055"/>
  <c r="K3055" s="1"/>
  <c r="I2944" i="1"/>
  <c r="K2925"/>
  <c r="R2857" i="27"/>
  <c r="R2862" s="1"/>
  <c r="P2890"/>
  <c r="R2890" s="1"/>
  <c r="K3885"/>
  <c r="I3895"/>
  <c r="K3895" s="1"/>
  <c r="R3151" i="1"/>
  <c r="V3111"/>
  <c r="P3358"/>
  <c r="R3358" s="1"/>
  <c r="P3392"/>
  <c r="R3392" s="1"/>
  <c r="R3289"/>
  <c r="X296" i="55"/>
  <c r="D291" i="58"/>
  <c r="F296" i="55"/>
  <c r="K3209" i="27"/>
  <c r="K3210" s="1"/>
  <c r="L3210" s="1"/>
  <c r="K3220"/>
  <c r="K3221" s="1"/>
  <c r="K3194"/>
  <c r="K3195" s="1"/>
  <c r="L3195" s="1"/>
  <c r="I3039"/>
  <c r="K3039" s="1"/>
  <c r="K2916"/>
  <c r="K2920" s="1"/>
  <c r="I2940"/>
  <c r="K3590"/>
  <c r="K3591" s="1"/>
  <c r="K3592" s="1"/>
  <c r="K3582" s="1"/>
  <c r="K3583" s="1"/>
  <c r="K3584" s="1"/>
  <c r="I3686"/>
  <c r="K3686" s="1"/>
  <c r="K3688" s="1"/>
  <c r="P2850" i="1"/>
  <c r="R2850" s="1"/>
  <c r="R2817"/>
  <c r="I3486" i="27"/>
  <c r="K3486" s="1"/>
  <c r="K3488" s="1"/>
  <c r="K3489" s="1"/>
  <c r="K3479" s="1"/>
  <c r="K3446"/>
  <c r="K3448" s="1"/>
  <c r="K3449" s="1"/>
  <c r="K3439" s="1"/>
  <c r="P2852" i="1"/>
  <c r="R2852" s="1"/>
  <c r="R2819"/>
  <c r="K2921" i="11"/>
  <c r="L2921"/>
  <c r="L2922" s="1"/>
  <c r="M2920"/>
  <c r="C557" i="55"/>
  <c r="C978"/>
  <c r="K2899" i="11"/>
  <c r="L2899"/>
  <c r="F85" i="25"/>
  <c r="D86"/>
  <c r="I3052" i="27"/>
  <c r="I2954"/>
  <c r="K2934"/>
  <c r="I3732"/>
  <c r="K3625"/>
  <c r="K3626" s="1"/>
  <c r="K3627" s="1"/>
  <c r="P2071" i="1"/>
  <c r="R2071" s="1"/>
  <c r="K3097"/>
  <c r="I3075" i="27"/>
  <c r="I3931"/>
  <c r="K3072"/>
  <c r="K2261" i="11"/>
  <c r="K2272" s="1"/>
  <c r="K2274" s="1"/>
  <c r="I2663"/>
  <c r="K2663" s="1"/>
  <c r="K2674" s="1"/>
  <c r="K2676" s="1"/>
  <c r="K371"/>
  <c r="K2556"/>
  <c r="K2566" s="1"/>
  <c r="K2568" s="1"/>
  <c r="I2587"/>
  <c r="K2587" s="1"/>
  <c r="K2597" s="1"/>
  <c r="K2599" s="1"/>
  <c r="C999" i="55"/>
  <c r="C535"/>
  <c r="C547"/>
  <c r="C300"/>
  <c r="X301"/>
  <c r="H301"/>
  <c r="F301"/>
  <c r="V301"/>
  <c r="Z301"/>
  <c r="D296" i="58"/>
  <c r="T301" i="55"/>
  <c r="J301"/>
  <c r="K3365" i="27"/>
  <c r="K3366" s="1"/>
  <c r="K3332"/>
  <c r="K3333" s="1"/>
  <c r="L3333" s="1"/>
  <c r="L3154"/>
  <c r="K2196"/>
  <c r="K2940" i="11"/>
  <c r="K2944" s="1"/>
  <c r="K2945" s="1"/>
  <c r="I2960"/>
  <c r="I3058"/>
  <c r="AE2612" i="1"/>
  <c r="AG2612" s="1"/>
  <c r="AG2624" s="1"/>
  <c r="AG2626" s="1"/>
  <c r="C550" i="55" s="1"/>
  <c r="X2598" i="1"/>
  <c r="AE2646"/>
  <c r="AG2646" s="1"/>
  <c r="Z2596"/>
  <c r="Z2607" s="1"/>
  <c r="Z2608" s="1"/>
  <c r="N3398" i="27"/>
  <c r="F720" i="58"/>
  <c r="X598" i="55"/>
  <c r="F598"/>
  <c r="D663" i="58"/>
  <c r="K3041" i="27"/>
  <c r="K3043" s="1"/>
  <c r="K2962"/>
  <c r="K3536"/>
  <c r="K3538" s="1"/>
  <c r="K3539" s="1"/>
  <c r="K3498"/>
  <c r="K3500" s="1"/>
  <c r="K2936"/>
  <c r="I3054"/>
  <c r="P3320" i="1"/>
  <c r="R3320" s="1"/>
  <c r="R3218"/>
  <c r="P3432"/>
  <c r="R3432" s="1"/>
  <c r="P3433"/>
  <c r="R3433" s="1"/>
  <c r="R3219"/>
  <c r="P3321"/>
  <c r="R3321" s="1"/>
  <c r="R2895" i="27"/>
  <c r="P576" i="11"/>
  <c r="R576" s="1"/>
  <c r="P590"/>
  <c r="R590" s="1"/>
  <c r="P633"/>
  <c r="R633" s="1"/>
  <c r="I1235"/>
  <c r="K1235" s="1"/>
  <c r="K1242" s="1"/>
  <c r="K1244" s="1"/>
  <c r="I495"/>
  <c r="K495" s="1"/>
  <c r="K503" s="1"/>
  <c r="K505" s="1"/>
  <c r="I1575"/>
  <c r="K1575" s="1"/>
  <c r="K1582" s="1"/>
  <c r="K1584" s="1"/>
  <c r="I1309"/>
  <c r="K1309" s="1"/>
  <c r="I1287"/>
  <c r="K1287" s="1"/>
  <c r="Z36"/>
  <c r="AC36" s="1"/>
  <c r="I242" s="1"/>
  <c r="K242" s="1"/>
  <c r="Z13"/>
  <c r="AC12"/>
  <c r="C71" s="1"/>
  <c r="X366" i="55" l="1"/>
  <c r="Z767"/>
  <c r="T1059"/>
  <c r="D1074" i="58"/>
  <c r="J1059" i="55"/>
  <c r="H1059"/>
  <c r="D360" i="58"/>
  <c r="F1059" i="55"/>
  <c r="Z363"/>
  <c r="R363"/>
  <c r="Z779"/>
  <c r="R779"/>
  <c r="Z646"/>
  <c r="R646"/>
  <c r="Z652"/>
  <c r="R652"/>
  <c r="Z550"/>
  <c r="R550"/>
  <c r="Z549"/>
  <c r="R549"/>
  <c r="Z594"/>
  <c r="R594"/>
  <c r="Z775"/>
  <c r="R775"/>
  <c r="Z557"/>
  <c r="R557"/>
  <c r="Z776"/>
  <c r="R776"/>
  <c r="Z647"/>
  <c r="R647"/>
  <c r="Z619"/>
  <c r="R619"/>
  <c r="Z793"/>
  <c r="R793"/>
  <c r="Z547"/>
  <c r="R547"/>
  <c r="Z657"/>
  <c r="R657"/>
  <c r="Z602"/>
  <c r="R602"/>
  <c r="Z610"/>
  <c r="R610"/>
  <c r="Z598"/>
  <c r="R598"/>
  <c r="Z609"/>
  <c r="R609"/>
  <c r="Z441"/>
  <c r="R441"/>
  <c r="V594"/>
  <c r="T594"/>
  <c r="P594"/>
  <c r="N594"/>
  <c r="L594"/>
  <c r="J594"/>
  <c r="H594"/>
  <c r="V776"/>
  <c r="T776"/>
  <c r="P776"/>
  <c r="N776"/>
  <c r="L776"/>
  <c r="J776"/>
  <c r="H776"/>
  <c r="V647"/>
  <c r="P647"/>
  <c r="N647"/>
  <c r="L647"/>
  <c r="J647"/>
  <c r="H647"/>
  <c r="T647"/>
  <c r="V41"/>
  <c r="T41"/>
  <c r="P41"/>
  <c r="N41"/>
  <c r="J41"/>
  <c r="L41"/>
  <c r="H41"/>
  <c r="V817"/>
  <c r="T817"/>
  <c r="P817"/>
  <c r="N817"/>
  <c r="L817"/>
  <c r="J817"/>
  <c r="H817"/>
  <c r="Z818"/>
  <c r="V818"/>
  <c r="T818"/>
  <c r="P818"/>
  <c r="N818"/>
  <c r="H818"/>
  <c r="J818"/>
  <c r="L818"/>
  <c r="C92" i="75"/>
  <c r="F92" s="1"/>
  <c r="V441" i="55"/>
  <c r="N441"/>
  <c r="T441"/>
  <c r="P441"/>
  <c r="J441"/>
  <c r="H441"/>
  <c r="L441"/>
  <c r="V646"/>
  <c r="T646"/>
  <c r="P646"/>
  <c r="L646"/>
  <c r="N646"/>
  <c r="H646"/>
  <c r="J646"/>
  <c r="V619"/>
  <c r="T619"/>
  <c r="P619"/>
  <c r="N619"/>
  <c r="L619"/>
  <c r="J619"/>
  <c r="H619"/>
  <c r="V652"/>
  <c r="P652"/>
  <c r="N652"/>
  <c r="T652"/>
  <c r="L652"/>
  <c r="J652"/>
  <c r="H652"/>
  <c r="V42"/>
  <c r="N42"/>
  <c r="T42"/>
  <c r="P42"/>
  <c r="L42"/>
  <c r="J42"/>
  <c r="H42"/>
  <c r="V793"/>
  <c r="T793"/>
  <c r="P793"/>
  <c r="N793"/>
  <c r="H793"/>
  <c r="L793"/>
  <c r="J793"/>
  <c r="V769"/>
  <c r="T769"/>
  <c r="L769"/>
  <c r="H769"/>
  <c r="N769"/>
  <c r="P769"/>
  <c r="J769"/>
  <c r="V765"/>
  <c r="T765"/>
  <c r="P765"/>
  <c r="N765"/>
  <c r="H765"/>
  <c r="L765"/>
  <c r="J765"/>
  <c r="V547"/>
  <c r="T547"/>
  <c r="N547"/>
  <c r="L547"/>
  <c r="J547"/>
  <c r="H547"/>
  <c r="P547"/>
  <c r="V657"/>
  <c r="T657"/>
  <c r="P657"/>
  <c r="N657"/>
  <c r="L657"/>
  <c r="J657"/>
  <c r="H657"/>
  <c r="V602"/>
  <c r="T602"/>
  <c r="P602"/>
  <c r="L602"/>
  <c r="N602"/>
  <c r="J602"/>
  <c r="H602"/>
  <c r="V610"/>
  <c r="T610"/>
  <c r="P610"/>
  <c r="N610"/>
  <c r="L610"/>
  <c r="J610"/>
  <c r="H610"/>
  <c r="V598"/>
  <c r="T598"/>
  <c r="P598"/>
  <c r="L598"/>
  <c r="N598"/>
  <c r="J598"/>
  <c r="H598"/>
  <c r="V609"/>
  <c r="T609"/>
  <c r="P609"/>
  <c r="N609"/>
  <c r="L609"/>
  <c r="J609"/>
  <c r="H609"/>
  <c r="V779"/>
  <c r="T779"/>
  <c r="P779"/>
  <c r="N779"/>
  <c r="L779"/>
  <c r="J779"/>
  <c r="H779"/>
  <c r="C85" i="75"/>
  <c r="F85" s="1"/>
  <c r="V431" i="55"/>
  <c r="T431"/>
  <c r="P431"/>
  <c r="N431"/>
  <c r="L431"/>
  <c r="J431"/>
  <c r="H431"/>
  <c r="V550"/>
  <c r="T550"/>
  <c r="P550"/>
  <c r="N550"/>
  <c r="L550"/>
  <c r="J550"/>
  <c r="H550"/>
  <c r="V549"/>
  <c r="T549"/>
  <c r="P549"/>
  <c r="N549"/>
  <c r="L549"/>
  <c r="J549"/>
  <c r="H549"/>
  <c r="V557"/>
  <c r="T557"/>
  <c r="P557"/>
  <c r="N557"/>
  <c r="L557"/>
  <c r="J557"/>
  <c r="H557"/>
  <c r="C60" i="75"/>
  <c r="F60" s="1"/>
  <c r="V363" i="55"/>
  <c r="T363"/>
  <c r="P363"/>
  <c r="L363"/>
  <c r="N363"/>
  <c r="J363"/>
  <c r="H363"/>
  <c r="V775"/>
  <c r="T775"/>
  <c r="P775"/>
  <c r="N775"/>
  <c r="L775"/>
  <c r="J775"/>
  <c r="H775"/>
  <c r="V767"/>
  <c r="T767"/>
  <c r="P767"/>
  <c r="N767"/>
  <c r="L767"/>
  <c r="J767"/>
  <c r="H767"/>
  <c r="F818"/>
  <c r="X818"/>
  <c r="R3618" i="11"/>
  <c r="R3620" s="1"/>
  <c r="P3636" s="1"/>
  <c r="R3636" s="1"/>
  <c r="R3638" s="1"/>
  <c r="P3618"/>
  <c r="X793" i="55"/>
  <c r="F793"/>
  <c r="D857" i="58"/>
  <c r="C256" i="55"/>
  <c r="I588" i="1"/>
  <c r="K588" s="1"/>
  <c r="P1495"/>
  <c r="R1464"/>
  <c r="X3556"/>
  <c r="V3572"/>
  <c r="AC10"/>
  <c r="Z11"/>
  <c r="X705"/>
  <c r="Z705" s="1"/>
  <c r="V675"/>
  <c r="D44" i="32"/>
  <c r="I4005" i="11"/>
  <c r="K3972"/>
  <c r="AG3556" i="1"/>
  <c r="V3619"/>
  <c r="X3619" s="1"/>
  <c r="K3744" i="11"/>
  <c r="K3761"/>
  <c r="K3762" s="1"/>
  <c r="K244" i="1"/>
  <c r="K246" s="1"/>
  <c r="C54" i="55" s="1"/>
  <c r="AB1418" i="1"/>
  <c r="AD1418" s="1"/>
  <c r="AD1401"/>
  <c r="L3154" i="11"/>
  <c r="K2196"/>
  <c r="C1035" i="55"/>
  <c r="M3727" i="11"/>
  <c r="V639" i="1"/>
  <c r="C67"/>
  <c r="K2270"/>
  <c r="C1011" i="55"/>
  <c r="M3173" i="11"/>
  <c r="X1409" i="1"/>
  <c r="AB1407"/>
  <c r="C426" i="55"/>
  <c r="K3402" i="27"/>
  <c r="I3397" s="1"/>
  <c r="K3397" s="1"/>
  <c r="I3421"/>
  <c r="L3184" i="11"/>
  <c r="M3184"/>
  <c r="C1012" i="55"/>
  <c r="F765"/>
  <c r="Z765"/>
  <c r="X765"/>
  <c r="D830" i="58"/>
  <c r="F830" s="1"/>
  <c r="V3616" i="1"/>
  <c r="X3616" s="1"/>
  <c r="AG3553"/>
  <c r="P1071"/>
  <c r="K1075"/>
  <c r="K1076" s="1"/>
  <c r="K1078" s="1"/>
  <c r="I1090"/>
  <c r="R3401"/>
  <c r="P3445"/>
  <c r="AB1414"/>
  <c r="AD1414" s="1"/>
  <c r="AD1397"/>
  <c r="X769" i="55"/>
  <c r="D834" i="58"/>
  <c r="F834" s="1"/>
  <c r="Z769" i="55"/>
  <c r="F769"/>
  <c r="V1400" i="1"/>
  <c r="X1384"/>
  <c r="R1439"/>
  <c r="P1456"/>
  <c r="K85"/>
  <c r="R126"/>
  <c r="C48" i="55" s="1"/>
  <c r="X392" i="1"/>
  <c r="V424"/>
  <c r="X424" s="1"/>
  <c r="I2407"/>
  <c r="K2395"/>
  <c r="K2400" s="1"/>
  <c r="C395" i="55" s="1"/>
  <c r="R1858" i="1"/>
  <c r="P1889"/>
  <c r="R1889" s="1"/>
  <c r="R1214"/>
  <c r="T1214" s="1"/>
  <c r="P1256"/>
  <c r="C820" i="55"/>
  <c r="D122" i="25"/>
  <c r="F101"/>
  <c r="M93" i="1"/>
  <c r="M94" s="1"/>
  <c r="K93"/>
  <c r="K96" s="1"/>
  <c r="K98" s="1"/>
  <c r="R3531"/>
  <c r="P3547"/>
  <c r="R3547" s="1"/>
  <c r="V3543"/>
  <c r="AE3543"/>
  <c r="K3543"/>
  <c r="C540" i="55"/>
  <c r="C993"/>
  <c r="D717" i="58"/>
  <c r="F717" s="1"/>
  <c r="F652" i="55"/>
  <c r="X652"/>
  <c r="D553" i="25"/>
  <c r="X3160" i="1"/>
  <c r="V1450"/>
  <c r="R1489"/>
  <c r="Z1058" i="55"/>
  <c r="X1058"/>
  <c r="H1058"/>
  <c r="D1073" i="58"/>
  <c r="F1073" s="1"/>
  <c r="F1058" i="55"/>
  <c r="T1058"/>
  <c r="V1058"/>
  <c r="J1058"/>
  <c r="X41"/>
  <c r="F41"/>
  <c r="D41" i="58"/>
  <c r="F41" s="1"/>
  <c r="Z41" i="55"/>
  <c r="F539"/>
  <c r="J539"/>
  <c r="T539"/>
  <c r="V539"/>
  <c r="X539"/>
  <c r="D608" i="58"/>
  <c r="F608" s="1"/>
  <c r="Z539" i="55"/>
  <c r="H539"/>
  <c r="K3658" i="1"/>
  <c r="K3672" s="1"/>
  <c r="K3674" s="1"/>
  <c r="I3679"/>
  <c r="K3679" s="1"/>
  <c r="K3692" s="1"/>
  <c r="K3694" s="1"/>
  <c r="C16" i="55"/>
  <c r="L113" i="1"/>
  <c r="C17" i="55" s="1"/>
  <c r="K115" i="1"/>
  <c r="D1062" i="58"/>
  <c r="F1062" s="1"/>
  <c r="T995" i="55"/>
  <c r="V995"/>
  <c r="J995"/>
  <c r="Z995"/>
  <c r="X995"/>
  <c r="F995"/>
  <c r="H995"/>
  <c r="F99" i="25"/>
  <c r="D120"/>
  <c r="V3584" i="1"/>
  <c r="X3569"/>
  <c r="X42" i="55"/>
  <c r="Z42"/>
  <c r="F42"/>
  <c r="D42" i="58"/>
  <c r="F42" s="1"/>
  <c r="V3586" i="1"/>
  <c r="X3571"/>
  <c r="X3159"/>
  <c r="D552" i="25"/>
  <c r="Z994" i="55"/>
  <c r="F994"/>
  <c r="V994"/>
  <c r="D1061" i="58"/>
  <c r="F1061" s="1"/>
  <c r="X994" i="55"/>
  <c r="J994"/>
  <c r="T994"/>
  <c r="H994"/>
  <c r="C808"/>
  <c r="K2189" i="27"/>
  <c r="L2977"/>
  <c r="I3914"/>
  <c r="K3914" s="1"/>
  <c r="K2961"/>
  <c r="K1598" i="1"/>
  <c r="K1603" s="1"/>
  <c r="K1605" s="1"/>
  <c r="P1599"/>
  <c r="R1599" s="1"/>
  <c r="R1604" s="1"/>
  <c r="R1606" s="1"/>
  <c r="I1610"/>
  <c r="I1583"/>
  <c r="K1583" s="1"/>
  <c r="K1590" s="1"/>
  <c r="K1592" s="1"/>
  <c r="C367" i="55" s="1"/>
  <c r="K2208" i="27"/>
  <c r="M3712"/>
  <c r="V3615" i="1"/>
  <c r="X3615" s="1"/>
  <c r="X3600"/>
  <c r="R402"/>
  <c r="R404" s="1"/>
  <c r="P411" s="1"/>
  <c r="R411" s="1"/>
  <c r="R413" s="1"/>
  <c r="R415" s="1"/>
  <c r="I2468" i="27"/>
  <c r="K2468" s="1"/>
  <c r="I2311"/>
  <c r="K2311" s="1"/>
  <c r="Z15"/>
  <c r="AC15" s="1"/>
  <c r="AC14"/>
  <c r="AD1403" i="1"/>
  <c r="AB1420"/>
  <c r="AD1420" s="1"/>
  <c r="M3417" i="11"/>
  <c r="L3419"/>
  <c r="P1491" i="1"/>
  <c r="R1460"/>
  <c r="V1421"/>
  <c r="X1421" s="1"/>
  <c r="C778" i="55"/>
  <c r="S3638" i="11"/>
  <c r="AD1404" i="1"/>
  <c r="AB1421"/>
  <c r="AD1421" s="1"/>
  <c r="I3957"/>
  <c r="K3941"/>
  <c r="F431" i="55"/>
  <c r="Z431"/>
  <c r="D425" i="58"/>
  <c r="F425" s="1"/>
  <c r="X431" i="55"/>
  <c r="AD1399" i="1"/>
  <c r="AB1416"/>
  <c r="AD1416" s="1"/>
  <c r="R1480"/>
  <c r="V1441"/>
  <c r="F618" i="25"/>
  <c r="D654"/>
  <c r="I4033" i="1"/>
  <c r="K4033" s="1"/>
  <c r="K4022"/>
  <c r="I3636" i="11"/>
  <c r="K3636" s="1"/>
  <c r="K3638" s="1"/>
  <c r="C1030" i="55"/>
  <c r="L3619" i="11"/>
  <c r="K2953" i="27"/>
  <c r="I3906"/>
  <c r="K3906" s="1"/>
  <c r="V3606" i="1"/>
  <c r="X3606" s="1"/>
  <c r="X3589"/>
  <c r="D882" i="58"/>
  <c r="F882" s="1"/>
  <c r="F1016" i="55"/>
  <c r="X1016"/>
  <c r="T1016"/>
  <c r="J1016"/>
  <c r="V1016"/>
  <c r="Z1016"/>
  <c r="H1016"/>
  <c r="C455"/>
  <c r="L3420" i="11"/>
  <c r="AD1187" i="1"/>
  <c r="AI1187"/>
  <c r="AK1187" s="1"/>
  <c r="R1488"/>
  <c r="V1449"/>
  <c r="V1447"/>
  <c r="P1532"/>
  <c r="R1532" s="1"/>
  <c r="R1486"/>
  <c r="L3650" i="11"/>
  <c r="C1031" i="55"/>
  <c r="Z1013"/>
  <c r="V1013"/>
  <c r="H1013"/>
  <c r="J1013"/>
  <c r="X1013"/>
  <c r="T1013"/>
  <c r="F1013"/>
  <c r="K2198" i="11"/>
  <c r="C1015" i="55"/>
  <c r="K3234" i="11"/>
  <c r="K2272" i="1"/>
  <c r="C440" i="55" s="1"/>
  <c r="L3233" i="11"/>
  <c r="V1423" i="1"/>
  <c r="X1423" s="1"/>
  <c r="R1462"/>
  <c r="P1493"/>
  <c r="F647" i="55"/>
  <c r="X647"/>
  <c r="D712" i="58"/>
  <c r="F712" s="1"/>
  <c r="F588" i="25"/>
  <c r="D623"/>
  <c r="X1297" i="1"/>
  <c r="V1317"/>
  <c r="X1317" s="1"/>
  <c r="AG387"/>
  <c r="AE423"/>
  <c r="AE401"/>
  <c r="AG401" s="1"/>
  <c r="AQ387"/>
  <c r="AS387" s="1"/>
  <c r="F657" i="25"/>
  <c r="D693"/>
  <c r="F693" s="1"/>
  <c r="X1014" i="55"/>
  <c r="T1014"/>
  <c r="Z1014"/>
  <c r="V1014"/>
  <c r="H1014"/>
  <c r="J1014"/>
  <c r="F1014"/>
  <c r="M3398" i="11"/>
  <c r="L3400"/>
  <c r="V1433" i="1"/>
  <c r="P1479"/>
  <c r="R1472"/>
  <c r="K3539" i="11"/>
  <c r="L3540"/>
  <c r="D662" i="25"/>
  <c r="F626"/>
  <c r="AC43" i="1"/>
  <c r="Z44"/>
  <c r="AC44" s="1"/>
  <c r="AQ86"/>
  <c r="AS62"/>
  <c r="I3887" i="27"/>
  <c r="K3887" s="1"/>
  <c r="K3051"/>
  <c r="R3334" i="1"/>
  <c r="R3336" s="1"/>
  <c r="R1865"/>
  <c r="R1867" s="1"/>
  <c r="P1876" s="1"/>
  <c r="R1876" s="1"/>
  <c r="R1878" s="1"/>
  <c r="K3676" i="11"/>
  <c r="K585"/>
  <c r="I585"/>
  <c r="K2453" i="27"/>
  <c r="K2455"/>
  <c r="D435" i="58"/>
  <c r="F435" s="1"/>
  <c r="F441" i="55"/>
  <c r="X441"/>
  <c r="D711" i="58"/>
  <c r="F711" s="1"/>
  <c r="F646" i="55"/>
  <c r="X646"/>
  <c r="I586" i="27"/>
  <c r="K586"/>
  <c r="L3402" i="11"/>
  <c r="C454" i="55"/>
  <c r="C649"/>
  <c r="D684" i="58"/>
  <c r="F684" s="1"/>
  <c r="X619" i="55"/>
  <c r="F619"/>
  <c r="X1457" i="1"/>
  <c r="AB1455"/>
  <c r="AD1455" s="1"/>
  <c r="AB1432"/>
  <c r="AD1432" s="1"/>
  <c r="X1434"/>
  <c r="AC14"/>
  <c r="Z15"/>
  <c r="AC15" s="1"/>
  <c r="T1033" i="55"/>
  <c r="F1033"/>
  <c r="X1033"/>
  <c r="H1033"/>
  <c r="V1033"/>
  <c r="J1033"/>
  <c r="Z1033"/>
  <c r="AB1417" i="1"/>
  <c r="AD1417" s="1"/>
  <c r="AD1400"/>
  <c r="C1025" i="55"/>
  <c r="L3501" i="11"/>
  <c r="X1451" i="1"/>
  <c r="AB1449"/>
  <c r="AD1449" s="1"/>
  <c r="R3233"/>
  <c r="R3235" s="1"/>
  <c r="I3960"/>
  <c r="K3944"/>
  <c r="F389" i="55"/>
  <c r="D383" i="58"/>
  <c r="X389" i="55"/>
  <c r="J389"/>
  <c r="T389"/>
  <c r="Z389"/>
  <c r="V389"/>
  <c r="H389"/>
  <c r="P2080" i="1"/>
  <c r="R2080" s="1"/>
  <c r="R2082" s="1"/>
  <c r="R2084" s="1"/>
  <c r="C536" i="55" s="1"/>
  <c r="K3106" i="1"/>
  <c r="W487"/>
  <c r="AC487" s="1"/>
  <c r="AC488" s="1"/>
  <c r="AC489" s="1"/>
  <c r="AC490" s="1"/>
  <c r="AC491" s="1"/>
  <c r="AC492" s="1"/>
  <c r="AC493" s="1"/>
  <c r="AC494" s="1"/>
  <c r="J663"/>
  <c r="J664" s="1"/>
  <c r="J665" s="1"/>
  <c r="J666" s="1"/>
  <c r="J667" s="1"/>
  <c r="F775" i="55"/>
  <c r="X775"/>
  <c r="D840" i="58"/>
  <c r="V1238" i="1"/>
  <c r="R1258"/>
  <c r="P1235"/>
  <c r="R1235" s="1"/>
  <c r="P1449"/>
  <c r="R1433"/>
  <c r="R1435" s="1"/>
  <c r="C324" i="55" s="1"/>
  <c r="X610"/>
  <c r="D675" i="58"/>
  <c r="F610" i="55"/>
  <c r="H402"/>
  <c r="J402"/>
  <c r="D396" i="58"/>
  <c r="X402" i="55"/>
  <c r="V402"/>
  <c r="Z402"/>
  <c r="T402"/>
  <c r="F402"/>
  <c r="K1885" i="1"/>
  <c r="K1887" s="1"/>
  <c r="I1894"/>
  <c r="K1894" s="1"/>
  <c r="K1896" s="1"/>
  <c r="J539"/>
  <c r="W538"/>
  <c r="AC538" s="1"/>
  <c r="I686"/>
  <c r="K686" s="1"/>
  <c r="C276" i="55"/>
  <c r="F365" i="58"/>
  <c r="R3532" i="1"/>
  <c r="P3548"/>
  <c r="R3548" s="1"/>
  <c r="F317" i="55"/>
  <c r="D312" i="58"/>
  <c r="J317" i="55"/>
  <c r="X317"/>
  <c r="V317"/>
  <c r="Z317"/>
  <c r="H317"/>
  <c r="T317"/>
  <c r="R194" i="1"/>
  <c r="V194"/>
  <c r="X194" s="1"/>
  <c r="R1215"/>
  <c r="T1215" s="1"/>
  <c r="P1257"/>
  <c r="P1220"/>
  <c r="I3266"/>
  <c r="K3266" s="1"/>
  <c r="L3232" s="1"/>
  <c r="I3252"/>
  <c r="K3252" s="1"/>
  <c r="K3181"/>
  <c r="AJ1203"/>
  <c r="AC1204"/>
  <c r="AC1205" s="1"/>
  <c r="I3827"/>
  <c r="K3827" s="1"/>
  <c r="K3460"/>
  <c r="P3466"/>
  <c r="R3466" s="1"/>
  <c r="K2350"/>
  <c r="C743" i="55" s="1"/>
  <c r="L2315" i="1"/>
  <c r="D722" i="58"/>
  <c r="X657" i="55"/>
  <c r="F657"/>
  <c r="F381" i="58"/>
  <c r="X1299" i="1"/>
  <c r="V1319"/>
  <c r="X1319" s="1"/>
  <c r="AQ89"/>
  <c r="AS65"/>
  <c r="F857" i="58"/>
  <c r="Z794" i="55"/>
  <c r="T794"/>
  <c r="D858" i="58"/>
  <c r="F794" i="55"/>
  <c r="V794"/>
  <c r="J794"/>
  <c r="X794"/>
  <c r="H794"/>
  <c r="F876" i="58"/>
  <c r="X602" i="55"/>
  <c r="D667" i="58"/>
  <c r="F602" i="55"/>
  <c r="V2782" i="1"/>
  <c r="X2782" s="1"/>
  <c r="P2821"/>
  <c r="AE2786"/>
  <c r="AG2786" s="1"/>
  <c r="K2814"/>
  <c r="X677"/>
  <c r="V731"/>
  <c r="X731" s="1"/>
  <c r="D46" i="50"/>
  <c r="F709" i="58"/>
  <c r="K3179" i="1"/>
  <c r="I3194"/>
  <c r="D110" i="50"/>
  <c r="F110" s="1"/>
  <c r="F47"/>
  <c r="T256" i="55"/>
  <c r="D253" i="58"/>
  <c r="F256" i="55"/>
  <c r="Z256"/>
  <c r="V256"/>
  <c r="H256"/>
  <c r="J256"/>
  <c r="X256"/>
  <c r="P1264" i="1"/>
  <c r="R1222"/>
  <c r="T1222" s="1"/>
  <c r="F738" i="58"/>
  <c r="F318" i="55"/>
  <c r="T318"/>
  <c r="D313" i="58"/>
  <c r="V318" i="55"/>
  <c r="Z318"/>
  <c r="J318"/>
  <c r="X318"/>
  <c r="H318"/>
  <c r="D843" i="58"/>
  <c r="X779" i="55"/>
  <c r="F779"/>
  <c r="J819"/>
  <c r="D883" i="58"/>
  <c r="H819" i="55"/>
  <c r="F819"/>
  <c r="T819"/>
  <c r="V819"/>
  <c r="Z819"/>
  <c r="X819"/>
  <c r="V366"/>
  <c r="Z366"/>
  <c r="K3566" i="1"/>
  <c r="F783" i="55"/>
  <c r="X783"/>
  <c r="D847" i="58"/>
  <c r="T360" i="55"/>
  <c r="Z360"/>
  <c r="H360"/>
  <c r="X360"/>
  <c r="V360"/>
  <c r="F360"/>
  <c r="J360"/>
  <c r="D355" i="58"/>
  <c r="P1111" i="1"/>
  <c r="R1111" s="1"/>
  <c r="R1090"/>
  <c r="F100" i="25"/>
  <c r="F103" s="1"/>
  <c r="D121"/>
  <c r="I610" i="1"/>
  <c r="K610"/>
  <c r="C586" i="55"/>
  <c r="C262"/>
  <c r="F349" i="58"/>
  <c r="X1300" i="1"/>
  <c r="V1320"/>
  <c r="X1320" s="1"/>
  <c r="I2351"/>
  <c r="I2357"/>
  <c r="C520" i="55" s="1"/>
  <c r="I2355" i="1"/>
  <c r="C518" i="55"/>
  <c r="AQ389" i="1"/>
  <c r="AS389" s="1"/>
  <c r="AG389"/>
  <c r="AE425"/>
  <c r="AG425" s="1"/>
  <c r="H275" i="55"/>
  <c r="T275"/>
  <c r="F275"/>
  <c r="Z275"/>
  <c r="J275"/>
  <c r="D272" i="58"/>
  <c r="V275" i="55"/>
  <c r="X275"/>
  <c r="F358" i="58"/>
  <c r="D559"/>
  <c r="X400" i="55"/>
  <c r="J400"/>
  <c r="V400"/>
  <c r="Z400"/>
  <c r="H400"/>
  <c r="D394" i="58"/>
  <c r="T400" i="55"/>
  <c r="F400"/>
  <c r="D357" i="58"/>
  <c r="X363" i="55"/>
  <c r="F363"/>
  <c r="I3265" i="1"/>
  <c r="K3265" s="1"/>
  <c r="L3231" s="1"/>
  <c r="I3251"/>
  <c r="K3251" s="1"/>
  <c r="K3180"/>
  <c r="D560" i="58"/>
  <c r="AE388" i="1"/>
  <c r="X379"/>
  <c r="V410"/>
  <c r="X410" s="1"/>
  <c r="C283" i="55"/>
  <c r="I707" i="1"/>
  <c r="K707" s="1"/>
  <c r="C284" i="55" s="1"/>
  <c r="D93" i="25"/>
  <c r="F93" s="1"/>
  <c r="F65"/>
  <c r="F68" s="1"/>
  <c r="F69" s="1"/>
  <c r="R3189" i="1"/>
  <c r="R3198" s="1"/>
  <c r="R3200" s="1"/>
  <c r="P3258"/>
  <c r="F561" i="58"/>
  <c r="AE335" i="1"/>
  <c r="AG335" s="1"/>
  <c r="X335"/>
  <c r="D640" i="58"/>
  <c r="F665"/>
  <c r="P1236" i="1"/>
  <c r="R1236" s="1"/>
  <c r="V1239"/>
  <c r="R1259"/>
  <c r="F1047" i="55"/>
  <c r="Z1047"/>
  <c r="H1047"/>
  <c r="T1047"/>
  <c r="X1047"/>
  <c r="J1047"/>
  <c r="V1047"/>
  <c r="H403"/>
  <c r="Z403"/>
  <c r="J403"/>
  <c r="X403"/>
  <c r="V403"/>
  <c r="F403"/>
  <c r="D397" i="58"/>
  <c r="T403" i="55"/>
  <c r="X609"/>
  <c r="D674" i="58"/>
  <c r="F609" i="55"/>
  <c r="K3109" i="1"/>
  <c r="K3111" s="1"/>
  <c r="C537" i="55" s="1"/>
  <c r="H366"/>
  <c r="T366"/>
  <c r="H820"/>
  <c r="X820"/>
  <c r="F820"/>
  <c r="Z820"/>
  <c r="V820"/>
  <c r="T820"/>
  <c r="D884" i="58"/>
  <c r="J820" i="55"/>
  <c r="X589" i="1"/>
  <c r="F1074" i="58"/>
  <c r="X801" i="1"/>
  <c r="V816"/>
  <c r="X816" s="1"/>
  <c r="V1045" i="55"/>
  <c r="C1046"/>
  <c r="H1045"/>
  <c r="J1045"/>
  <c r="Z1045"/>
  <c r="T1045"/>
  <c r="F1045"/>
  <c r="X1045"/>
  <c r="J282"/>
  <c r="V282"/>
  <c r="Z282"/>
  <c r="X282"/>
  <c r="D279" i="58"/>
  <c r="H282" i="55"/>
  <c r="T282"/>
  <c r="F282"/>
  <c r="F380" i="58"/>
  <c r="F554"/>
  <c r="V399" i="55"/>
  <c r="T399"/>
  <c r="Z399"/>
  <c r="J399"/>
  <c r="F399"/>
  <c r="H399"/>
  <c r="D393" i="58"/>
  <c r="X399" i="55"/>
  <c r="D646" i="58"/>
  <c r="F619" i="25"/>
  <c r="D655"/>
  <c r="X595" i="55"/>
  <c r="V595"/>
  <c r="Z595"/>
  <c r="H595"/>
  <c r="T595"/>
  <c r="D661" i="58"/>
  <c r="F595" i="55"/>
  <c r="J595"/>
  <c r="AD1358" i="1"/>
  <c r="AD1360" s="1"/>
  <c r="C322" i="55" s="1"/>
  <c r="AB1375" i="1"/>
  <c r="I3993"/>
  <c r="F907" i="58"/>
  <c r="AE311" i="1"/>
  <c r="AG311" s="1"/>
  <c r="AQ63"/>
  <c r="X311"/>
  <c r="F278" i="58"/>
  <c r="V3544" i="1"/>
  <c r="V3560" s="1"/>
  <c r="V3576" s="1"/>
  <c r="AE3544"/>
  <c r="AE3560" s="1"/>
  <c r="F311" i="58"/>
  <c r="AI1188" i="1"/>
  <c r="AK1188" s="1"/>
  <c r="AD1188"/>
  <c r="F880" i="58"/>
  <c r="F382"/>
  <c r="AE364" i="1"/>
  <c r="AG364" s="1"/>
  <c r="X355"/>
  <c r="F662" i="58"/>
  <c r="Z359" i="55"/>
  <c r="J359"/>
  <c r="T359"/>
  <c r="F359"/>
  <c r="X359"/>
  <c r="H359"/>
  <c r="D354" i="58"/>
  <c r="V359" i="55"/>
  <c r="AS64" i="1"/>
  <c r="AQ88"/>
  <c r="X817" i="55"/>
  <c r="Z817"/>
  <c r="D881" i="58"/>
  <c r="F817" i="55"/>
  <c r="K3942" i="1"/>
  <c r="I3958"/>
  <c r="F445" i="58"/>
  <c r="D111" i="50"/>
  <c r="F111" s="1"/>
  <c r="F48"/>
  <c r="F46" i="32"/>
  <c r="H46" s="1"/>
  <c r="D109"/>
  <c r="F109" s="1"/>
  <c r="X776" i="55"/>
  <c r="F776"/>
  <c r="D841" i="58"/>
  <c r="F51" i="50"/>
  <c r="D114"/>
  <c r="F114" s="1"/>
  <c r="I589" i="1"/>
  <c r="K589" s="1"/>
  <c r="C257" i="55"/>
  <c r="P1263" i="1"/>
  <c r="R1221"/>
  <c r="T1221" s="1"/>
  <c r="X1377"/>
  <c r="X1379" s="1"/>
  <c r="C321" i="55" s="1"/>
  <c r="V1394" i="1"/>
  <c r="F908" i="58"/>
  <c r="X594" i="55"/>
  <c r="F594"/>
  <c r="D660" i="58"/>
  <c r="J366" i="55"/>
  <c r="R1896" i="1"/>
  <c r="R1898" s="1"/>
  <c r="P1907" s="1"/>
  <c r="R1907" s="1"/>
  <c r="R1909" s="1"/>
  <c r="C642" i="55" s="1"/>
  <c r="K3589" i="1"/>
  <c r="I3590" s="1"/>
  <c r="K3590" s="1"/>
  <c r="I3591" s="1"/>
  <c r="K3591" s="1"/>
  <c r="I3592" s="1"/>
  <c r="K3592" s="1"/>
  <c r="R3569"/>
  <c r="K3171"/>
  <c r="K3172" s="1"/>
  <c r="C1052" i="55" s="1"/>
  <c r="K1984" i="1"/>
  <c r="P1984"/>
  <c r="R1984" s="1"/>
  <c r="F43" i="58"/>
  <c r="R2863" i="27"/>
  <c r="T2864"/>
  <c r="D87" i="25"/>
  <c r="F86"/>
  <c r="H978" i="55"/>
  <c r="F978"/>
  <c r="J978"/>
  <c r="V978"/>
  <c r="T978"/>
  <c r="D1045" i="58"/>
  <c r="Z978" i="55"/>
  <c r="X978"/>
  <c r="K3689" i="27"/>
  <c r="K3692" s="1"/>
  <c r="K3695" s="1"/>
  <c r="L3690"/>
  <c r="K3229"/>
  <c r="K3233" s="1"/>
  <c r="K2198" s="1"/>
  <c r="K2199"/>
  <c r="L3221"/>
  <c r="K2259" i="1"/>
  <c r="C615" i="55" s="1"/>
  <c r="K2185" i="11"/>
  <c r="F808" i="55"/>
  <c r="D872" i="58"/>
  <c r="Z808" i="55"/>
  <c r="X808"/>
  <c r="K2883" i="27"/>
  <c r="K2890"/>
  <c r="K2898" s="1"/>
  <c r="K3058" i="11"/>
  <c r="K3062" s="1"/>
  <c r="I3074"/>
  <c r="H300" i="55"/>
  <c r="F300"/>
  <c r="V300"/>
  <c r="D295" i="58"/>
  <c r="X300" i="55"/>
  <c r="Z300"/>
  <c r="T300"/>
  <c r="J300"/>
  <c r="F360" i="58"/>
  <c r="K2260" i="1"/>
  <c r="K2186" i="11"/>
  <c r="F291" i="58"/>
  <c r="J563" i="55"/>
  <c r="V563"/>
  <c r="T563"/>
  <c r="Z563"/>
  <c r="D629" i="58"/>
  <c r="X563" i="55"/>
  <c r="F563"/>
  <c r="H563"/>
  <c r="C311"/>
  <c r="C562"/>
  <c r="R1088" i="1"/>
  <c r="P1110"/>
  <c r="R1110" s="1"/>
  <c r="R3369"/>
  <c r="R3371" s="1"/>
  <c r="C986" i="55" s="1"/>
  <c r="K3044" i="27"/>
  <c r="L3045"/>
  <c r="X547" i="55"/>
  <c r="F547"/>
  <c r="D616" i="58"/>
  <c r="K3931" i="27"/>
  <c r="I3950"/>
  <c r="K3950" s="1"/>
  <c r="K2954"/>
  <c r="I3907"/>
  <c r="K3907" s="1"/>
  <c r="K2187" i="11"/>
  <c r="K2261" i="1"/>
  <c r="L2926" i="27"/>
  <c r="K2921"/>
  <c r="I3891"/>
  <c r="K3891" s="1"/>
  <c r="K3054"/>
  <c r="L3502"/>
  <c r="K3501"/>
  <c r="F663" i="58"/>
  <c r="O3398" i="27"/>
  <c r="D619" i="58"/>
  <c r="X550" i="55"/>
  <c r="F550"/>
  <c r="J999"/>
  <c r="F999"/>
  <c r="T999"/>
  <c r="D1066" i="58"/>
  <c r="X999" i="55"/>
  <c r="H999"/>
  <c r="V999"/>
  <c r="Z999"/>
  <c r="I3748" i="27"/>
  <c r="K3748" s="1"/>
  <c r="K3749" s="1"/>
  <c r="K3750" s="1"/>
  <c r="K3743" s="1"/>
  <c r="K3732"/>
  <c r="K3733" s="1"/>
  <c r="K3726" s="1"/>
  <c r="K3727" s="1"/>
  <c r="M3727" s="1"/>
  <c r="K2940"/>
  <c r="K2944" s="1"/>
  <c r="I2960"/>
  <c r="I3058"/>
  <c r="X985" i="55"/>
  <c r="J985"/>
  <c r="T985"/>
  <c r="V985"/>
  <c r="D1052" i="58"/>
  <c r="H985" i="55"/>
  <c r="F985"/>
  <c r="Z985"/>
  <c r="J1006"/>
  <c r="V1006"/>
  <c r="T1006"/>
  <c r="H1006"/>
  <c r="F1006"/>
  <c r="X1006"/>
  <c r="Z1006"/>
  <c r="P1108" i="1"/>
  <c r="R1108" s="1"/>
  <c r="R1086"/>
  <c r="AB1245"/>
  <c r="X1240"/>
  <c r="K3840" i="27"/>
  <c r="K3841" s="1"/>
  <c r="K3848"/>
  <c r="K3856" s="1"/>
  <c r="K3857" s="1"/>
  <c r="K2184"/>
  <c r="C803" i="55"/>
  <c r="N3023" i="27"/>
  <c r="M3024"/>
  <c r="K3023"/>
  <c r="R3403" i="1"/>
  <c r="R3405" s="1"/>
  <c r="C987" i="55" s="1"/>
  <c r="K2960" i="11"/>
  <c r="K2964" s="1"/>
  <c r="I3922"/>
  <c r="K3922" s="1"/>
  <c r="K3926" s="1"/>
  <c r="K3927" s="1"/>
  <c r="Z302" i="55"/>
  <c r="T302"/>
  <c r="H302"/>
  <c r="D297" i="58"/>
  <c r="F302" i="55"/>
  <c r="V302"/>
  <c r="J302"/>
  <c r="X302"/>
  <c r="S2897" i="27"/>
  <c r="R2896"/>
  <c r="C989" i="55"/>
  <c r="C983"/>
  <c r="K2188" i="11"/>
  <c r="K2262" i="1"/>
  <c r="F296" i="58"/>
  <c r="H535" i="55"/>
  <c r="D604" i="58"/>
  <c r="Z535" i="55"/>
  <c r="J535"/>
  <c r="F535"/>
  <c r="V535"/>
  <c r="X535"/>
  <c r="T535"/>
  <c r="I3937" i="27"/>
  <c r="K3937" s="1"/>
  <c r="K3075"/>
  <c r="I3089"/>
  <c r="K3089" s="1"/>
  <c r="K3617"/>
  <c r="K3674"/>
  <c r="K3648"/>
  <c r="I3888"/>
  <c r="K3888" s="1"/>
  <c r="K3898" s="1"/>
  <c r="K3899" s="1"/>
  <c r="K3052"/>
  <c r="D623" i="58"/>
  <c r="X557" i="55"/>
  <c r="F557"/>
  <c r="X3111" i="1"/>
  <c r="X3121" s="1"/>
  <c r="X3123" s="1"/>
  <c r="V3128"/>
  <c r="I4061"/>
  <c r="K4061" s="1"/>
  <c r="K4071" s="1"/>
  <c r="K4073" s="1"/>
  <c r="K2944"/>
  <c r="I2953"/>
  <c r="K2953" s="1"/>
  <c r="F549" i="55"/>
  <c r="X549"/>
  <c r="D618" i="58"/>
  <c r="F874"/>
  <c r="R3300" i="1"/>
  <c r="R3302" s="1"/>
  <c r="C988" i="55" s="1"/>
  <c r="Z37" i="11"/>
  <c r="AC37" s="1"/>
  <c r="I241" s="1"/>
  <c r="K241" s="1"/>
  <c r="K246" s="1"/>
  <c r="K248" s="1"/>
  <c r="AC13"/>
  <c r="C72" s="1"/>
  <c r="Z14"/>
  <c r="I518"/>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Z537" i="55" l="1"/>
  <c r="R537"/>
  <c r="Z518"/>
  <c r="R518"/>
  <c r="Z649"/>
  <c r="R649"/>
  <c r="Z778"/>
  <c r="R778"/>
  <c r="Z438"/>
  <c r="R438"/>
  <c r="Z562"/>
  <c r="R562"/>
  <c r="X537"/>
  <c r="Z520"/>
  <c r="R520"/>
  <c r="Z604"/>
  <c r="R604"/>
  <c r="Z536"/>
  <c r="R536"/>
  <c r="Z783"/>
  <c r="R783"/>
  <c r="R48"/>
  <c r="V48"/>
  <c r="Z48"/>
  <c r="F48"/>
  <c r="N48"/>
  <c r="H48"/>
  <c r="P48"/>
  <c r="J48"/>
  <c r="T48"/>
  <c r="L48"/>
  <c r="Z614"/>
  <c r="R614"/>
  <c r="F537"/>
  <c r="Z615"/>
  <c r="R615"/>
  <c r="Z440"/>
  <c r="R440"/>
  <c r="Z648"/>
  <c r="R648"/>
  <c r="Z784"/>
  <c r="R784"/>
  <c r="D606" i="58"/>
  <c r="V537" i="55"/>
  <c r="T537"/>
  <c r="P537"/>
  <c r="L537"/>
  <c r="N537"/>
  <c r="J537"/>
  <c r="H537"/>
  <c r="V743"/>
  <c r="T743"/>
  <c r="P743"/>
  <c r="N743"/>
  <c r="L743"/>
  <c r="J743"/>
  <c r="H743"/>
  <c r="V614"/>
  <c r="P614"/>
  <c r="N614"/>
  <c r="L614"/>
  <c r="T614"/>
  <c r="J614"/>
  <c r="H614"/>
  <c r="V562"/>
  <c r="T562"/>
  <c r="P562"/>
  <c r="N562"/>
  <c r="L562"/>
  <c r="J562"/>
  <c r="H562"/>
  <c r="V778"/>
  <c r="T778"/>
  <c r="P778"/>
  <c r="N778"/>
  <c r="L778"/>
  <c r="J778"/>
  <c r="H778"/>
  <c r="V518"/>
  <c r="T518"/>
  <c r="P518"/>
  <c r="L518"/>
  <c r="J518"/>
  <c r="H518"/>
  <c r="N518"/>
  <c r="V536"/>
  <c r="T536"/>
  <c r="P536"/>
  <c r="L536"/>
  <c r="N536"/>
  <c r="J536"/>
  <c r="H536"/>
  <c r="V783"/>
  <c r="T783"/>
  <c r="P783"/>
  <c r="N783"/>
  <c r="L783"/>
  <c r="J783"/>
  <c r="H783"/>
  <c r="V520"/>
  <c r="T520"/>
  <c r="P520"/>
  <c r="N520"/>
  <c r="L520"/>
  <c r="J520"/>
  <c r="H520"/>
  <c r="V426"/>
  <c r="T426"/>
  <c r="P426"/>
  <c r="N426"/>
  <c r="L426"/>
  <c r="J426"/>
  <c r="H426"/>
  <c r="V803"/>
  <c r="T803"/>
  <c r="P803"/>
  <c r="N803"/>
  <c r="L803"/>
  <c r="J803"/>
  <c r="H803"/>
  <c r="V615"/>
  <c r="T615"/>
  <c r="P615"/>
  <c r="N615"/>
  <c r="J615"/>
  <c r="L615"/>
  <c r="H615"/>
  <c r="V642"/>
  <c r="T642"/>
  <c r="P642"/>
  <c r="N642"/>
  <c r="L642"/>
  <c r="H642"/>
  <c r="J642"/>
  <c r="V604"/>
  <c r="T604"/>
  <c r="P604"/>
  <c r="N604"/>
  <c r="L604"/>
  <c r="J604"/>
  <c r="H604"/>
  <c r="V649"/>
  <c r="T649"/>
  <c r="P649"/>
  <c r="N649"/>
  <c r="L649"/>
  <c r="J649"/>
  <c r="H649"/>
  <c r="V648"/>
  <c r="T648"/>
  <c r="P648"/>
  <c r="N648"/>
  <c r="L648"/>
  <c r="J648"/>
  <c r="H648"/>
  <c r="V808"/>
  <c r="T808"/>
  <c r="P808"/>
  <c r="N808"/>
  <c r="L808"/>
  <c r="J808"/>
  <c r="H808"/>
  <c r="V784"/>
  <c r="T784"/>
  <c r="P784"/>
  <c r="N784"/>
  <c r="L784"/>
  <c r="J784"/>
  <c r="H784"/>
  <c r="V438"/>
  <c r="T438"/>
  <c r="P438"/>
  <c r="N438"/>
  <c r="L438"/>
  <c r="J438"/>
  <c r="H438"/>
  <c r="Z1012"/>
  <c r="F1012"/>
  <c r="H1012"/>
  <c r="X1012"/>
  <c r="V1012"/>
  <c r="T1012"/>
  <c r="J1012"/>
  <c r="L3397" i="27"/>
  <c r="K3400"/>
  <c r="I1300" i="1"/>
  <c r="K1300" s="1"/>
  <c r="K1307" s="1"/>
  <c r="K1309" s="1"/>
  <c r="C342" i="55" s="1"/>
  <c r="I1641" i="1"/>
  <c r="K1641" s="1"/>
  <c r="K1648" s="1"/>
  <c r="K1650" s="1"/>
  <c r="C373" i="55" s="1"/>
  <c r="I500" i="1"/>
  <c r="Z54" i="55"/>
  <c r="V54"/>
  <c r="J54"/>
  <c r="D51" i="58"/>
  <c r="F51" s="1"/>
  <c r="T54" i="55"/>
  <c r="H54"/>
  <c r="F54"/>
  <c r="X54"/>
  <c r="D44" i="50"/>
  <c r="X675" i="1"/>
  <c r="V729"/>
  <c r="X729" s="1"/>
  <c r="V3587"/>
  <c r="X3572"/>
  <c r="I3443" i="27"/>
  <c r="K3421"/>
  <c r="I3416" s="1"/>
  <c r="K3416" s="1"/>
  <c r="AB1424" i="1"/>
  <c r="AD1424" s="1"/>
  <c r="AD1407"/>
  <c r="C90" i="75"/>
  <c r="F90" s="1"/>
  <c r="F438" i="55"/>
  <c r="X438"/>
  <c r="D432" i="58"/>
  <c r="F432" s="1"/>
  <c r="X1035" i="55"/>
  <c r="V1035"/>
  <c r="T1035"/>
  <c r="H1035"/>
  <c r="J1035"/>
  <c r="Z1035"/>
  <c r="F1035"/>
  <c r="D107" i="32"/>
  <c r="F107" s="1"/>
  <c r="F44"/>
  <c r="H44" s="1"/>
  <c r="V798" i="1"/>
  <c r="C68"/>
  <c r="P1139" s="1"/>
  <c r="V1456"/>
  <c r="R1495"/>
  <c r="C80" i="75"/>
  <c r="F80" s="1"/>
  <c r="Z426" i="55"/>
  <c r="F426"/>
  <c r="X426"/>
  <c r="D420" i="58"/>
  <c r="F420" s="1"/>
  <c r="H1011" i="55"/>
  <c r="T1011"/>
  <c r="Z1011"/>
  <c r="X1011"/>
  <c r="V1011"/>
  <c r="J1011"/>
  <c r="F1011"/>
  <c r="M3744" i="11"/>
  <c r="K2203"/>
  <c r="K2277" i="1"/>
  <c r="I4020" i="11"/>
  <c r="K4020" s="1"/>
  <c r="K4005"/>
  <c r="AC11" i="1"/>
  <c r="C69" s="1"/>
  <c r="Z12"/>
  <c r="D679" i="58"/>
  <c r="F679" s="1"/>
  <c r="F614" i="55"/>
  <c r="X614"/>
  <c r="AD639" i="1"/>
  <c r="AF639" s="1"/>
  <c r="X639"/>
  <c r="L3762" i="11"/>
  <c r="K2288" i="1"/>
  <c r="I3015" s="1"/>
  <c r="K3015" s="1"/>
  <c r="C629" i="55" s="1"/>
  <c r="C305"/>
  <c r="C530"/>
  <c r="R3445" i="1"/>
  <c r="R3447" s="1"/>
  <c r="R3449" s="1"/>
  <c r="C984" i="55" s="1"/>
  <c r="H984" s="1"/>
  <c r="I3525" i="1"/>
  <c r="K1090"/>
  <c r="K1092" s="1"/>
  <c r="K1094" s="1"/>
  <c r="I1105"/>
  <c r="K1105" s="1"/>
  <c r="K1107" s="1"/>
  <c r="K1109" s="1"/>
  <c r="R1071"/>
  <c r="R1072" s="1"/>
  <c r="R1074" s="1"/>
  <c r="C561" i="55" s="1"/>
  <c r="P1097" i="1"/>
  <c r="X1400"/>
  <c r="AB1398"/>
  <c r="V1417"/>
  <c r="X1417" s="1"/>
  <c r="R1456"/>
  <c r="P1487"/>
  <c r="K86"/>
  <c r="C8" i="55" s="1"/>
  <c r="C7"/>
  <c r="R7" s="1"/>
  <c r="K87" i="1"/>
  <c r="P592"/>
  <c r="R592" s="1"/>
  <c r="P605"/>
  <c r="R605" s="1"/>
  <c r="I2440"/>
  <c r="K2440" s="1"/>
  <c r="K2407"/>
  <c r="K2412" s="1"/>
  <c r="P1233"/>
  <c r="R1233" s="1"/>
  <c r="R1256"/>
  <c r="V1236"/>
  <c r="T395" i="55"/>
  <c r="J395"/>
  <c r="F395"/>
  <c r="X395"/>
  <c r="Z395"/>
  <c r="V395"/>
  <c r="H395"/>
  <c r="D389" i="58"/>
  <c r="F389" s="1"/>
  <c r="F552" i="25"/>
  <c r="D589"/>
  <c r="F120"/>
  <c r="D147"/>
  <c r="C19" i="55"/>
  <c r="K116" i="1"/>
  <c r="F16" i="55"/>
  <c r="X16"/>
  <c r="V16"/>
  <c r="T16"/>
  <c r="H16"/>
  <c r="Z16"/>
  <c r="D16" i="58"/>
  <c r="F16" s="1"/>
  <c r="J16" i="55"/>
  <c r="D609" i="58"/>
  <c r="F609" s="1"/>
  <c r="V540" i="55"/>
  <c r="T540"/>
  <c r="Z540"/>
  <c r="H540"/>
  <c r="J540"/>
  <c r="F540"/>
  <c r="X540"/>
  <c r="AE3559" i="1"/>
  <c r="AG3543"/>
  <c r="F122" i="25"/>
  <c r="D149"/>
  <c r="V3603" i="1"/>
  <c r="X3603" s="1"/>
  <c r="X3586"/>
  <c r="V3601"/>
  <c r="X3601" s="1"/>
  <c r="X3584"/>
  <c r="T17" i="55"/>
  <c r="F17"/>
  <c r="V17"/>
  <c r="X17"/>
  <c r="D17" i="58"/>
  <c r="F17" s="1"/>
  <c r="J17" i="55"/>
  <c r="H17"/>
  <c r="Z17"/>
  <c r="D848" i="58"/>
  <c r="F848" s="1"/>
  <c r="X784" i="55"/>
  <c r="F784"/>
  <c r="AB1448" i="1"/>
  <c r="AD1448" s="1"/>
  <c r="X1450"/>
  <c r="F553" i="25"/>
  <c r="D590"/>
  <c r="T993" i="55"/>
  <c r="D1060" i="58"/>
  <c r="F1060" s="1"/>
  <c r="F993" i="55"/>
  <c r="H993"/>
  <c r="Z993"/>
  <c r="J993"/>
  <c r="X993"/>
  <c r="V993"/>
  <c r="X3543" i="1"/>
  <c r="V3559"/>
  <c r="K99"/>
  <c r="C14" i="55" s="1"/>
  <c r="K101" i="1"/>
  <c r="C13" i="55"/>
  <c r="P1611" i="1"/>
  <c r="R1611" s="1"/>
  <c r="R1616" s="1"/>
  <c r="R1618" s="1"/>
  <c r="K1610"/>
  <c r="K1615" s="1"/>
  <c r="K1617" s="1"/>
  <c r="C370" i="55" s="1"/>
  <c r="X367"/>
  <c r="F367"/>
  <c r="J367"/>
  <c r="D361" i="58"/>
  <c r="F361" s="1"/>
  <c r="V367" i="55"/>
  <c r="H367"/>
  <c r="Z367"/>
  <c r="T367"/>
  <c r="I875" i="1"/>
  <c r="C369" i="55"/>
  <c r="P2091" i="1"/>
  <c r="R2091" s="1"/>
  <c r="I3918"/>
  <c r="C875"/>
  <c r="C811" i="55"/>
  <c r="C75" i="1"/>
  <c r="I34"/>
  <c r="I3501"/>
  <c r="K3501" s="1"/>
  <c r="I587" i="27"/>
  <c r="K587"/>
  <c r="C1032" i="55"/>
  <c r="M3675" i="11"/>
  <c r="M3676"/>
  <c r="AB1431" i="1"/>
  <c r="AD1431" s="1"/>
  <c r="X1433"/>
  <c r="V1454"/>
  <c r="R1493"/>
  <c r="D434" i="58"/>
  <c r="F434" s="1"/>
  <c r="F440" i="55"/>
  <c r="T440"/>
  <c r="J440"/>
  <c r="V440"/>
  <c r="H440"/>
  <c r="X440"/>
  <c r="AB1447" i="1"/>
  <c r="AD1447" s="1"/>
  <c r="X1449"/>
  <c r="D713" i="58"/>
  <c r="F713" s="1"/>
  <c r="F648" i="55"/>
  <c r="X648"/>
  <c r="V1465" i="1"/>
  <c r="X1465" s="1"/>
  <c r="X1441"/>
  <c r="N3417" i="11"/>
  <c r="N3419" s="1"/>
  <c r="M3419"/>
  <c r="I2692" i="27"/>
  <c r="K2692" s="1"/>
  <c r="K2696" s="1"/>
  <c r="I2681"/>
  <c r="K2681" s="1"/>
  <c r="K2685" s="1"/>
  <c r="K2687" s="1"/>
  <c r="C74"/>
  <c r="I194" s="1"/>
  <c r="K194" s="1"/>
  <c r="K201" s="1"/>
  <c r="K203" s="1"/>
  <c r="I1712" s="1"/>
  <c r="K1712" s="1"/>
  <c r="K1721" s="1"/>
  <c r="I166"/>
  <c r="K166" s="1"/>
  <c r="K170" s="1"/>
  <c r="I2615"/>
  <c r="K2615" s="1"/>
  <c r="K2620" s="1"/>
  <c r="I252" i="1"/>
  <c r="K252" s="1"/>
  <c r="K256" s="1"/>
  <c r="K258" s="1"/>
  <c r="C55" i="55" s="1"/>
  <c r="C76" i="1"/>
  <c r="K586" i="11"/>
  <c r="I586"/>
  <c r="AQ106" i="1"/>
  <c r="AS86"/>
  <c r="F662" i="25"/>
  <c r="D698"/>
  <c r="F698" s="1"/>
  <c r="V1440" i="1"/>
  <c r="R1479"/>
  <c r="L3638" i="11"/>
  <c r="K2212"/>
  <c r="K2286" i="1"/>
  <c r="C458" i="55" s="1"/>
  <c r="I3974" i="1"/>
  <c r="K3974" s="1"/>
  <c r="K3957"/>
  <c r="F778" i="55"/>
  <c r="X778"/>
  <c r="D842" i="58"/>
  <c r="F842" s="1"/>
  <c r="I2682" i="27"/>
  <c r="K2682" s="1"/>
  <c r="C73"/>
  <c r="I174"/>
  <c r="K174" s="1"/>
  <c r="K178" s="1"/>
  <c r="Z454" i="55"/>
  <c r="D448" i="58"/>
  <c r="F448" s="1"/>
  <c r="T454" i="55"/>
  <c r="H454"/>
  <c r="F454"/>
  <c r="V454"/>
  <c r="X454"/>
  <c r="J454"/>
  <c r="M3400" i="11"/>
  <c r="N3398"/>
  <c r="AE438" i="1"/>
  <c r="AG438" s="1"/>
  <c r="AG423"/>
  <c r="D659" i="25"/>
  <c r="F623"/>
  <c r="H1015" i="55"/>
  <c r="V1015"/>
  <c r="F1015"/>
  <c r="Z1015"/>
  <c r="X1015"/>
  <c r="J1015"/>
  <c r="T1015"/>
  <c r="J455"/>
  <c r="D449" i="58"/>
  <c r="F449" s="1"/>
  <c r="F455" i="55"/>
  <c r="H455"/>
  <c r="Z455"/>
  <c r="X455"/>
  <c r="V455"/>
  <c r="T455"/>
  <c r="Z1030"/>
  <c r="T1030"/>
  <c r="V1030"/>
  <c r="X1030"/>
  <c r="J1030"/>
  <c r="F1030"/>
  <c r="H1030"/>
  <c r="F654" i="25"/>
  <c r="D690"/>
  <c r="F690" s="1"/>
  <c r="P1534" i="1"/>
  <c r="R1534" s="1"/>
  <c r="R1540" s="1"/>
  <c r="R1542" s="1"/>
  <c r="V1452"/>
  <c r="R1491"/>
  <c r="H1025" i="55"/>
  <c r="X1025"/>
  <c r="T1025"/>
  <c r="Z1025"/>
  <c r="V1025"/>
  <c r="C654"/>
  <c r="F1025"/>
  <c r="J1025"/>
  <c r="D714" i="58"/>
  <c r="F714" s="1"/>
  <c r="F649" i="55"/>
  <c r="X649"/>
  <c r="C1026"/>
  <c r="C626"/>
  <c r="T1031"/>
  <c r="H1031"/>
  <c r="X1031"/>
  <c r="F1031"/>
  <c r="J1031"/>
  <c r="V1031"/>
  <c r="Z1031"/>
  <c r="AB1445" i="1"/>
  <c r="AD1445" s="1"/>
  <c r="X1447"/>
  <c r="D605" i="58"/>
  <c r="F605" s="1"/>
  <c r="X536" i="55"/>
  <c r="F536"/>
  <c r="Z322"/>
  <c r="X322"/>
  <c r="J322"/>
  <c r="T322"/>
  <c r="F322"/>
  <c r="D317" i="58"/>
  <c r="V322" i="55"/>
  <c r="H322"/>
  <c r="K611" i="1"/>
  <c r="I611"/>
  <c r="C263" i="55"/>
  <c r="C587"/>
  <c r="F253" i="58"/>
  <c r="K3194" i="1"/>
  <c r="K3197" s="1"/>
  <c r="K3199" s="1"/>
  <c r="C1053" i="55" s="1"/>
  <c r="I3239" i="1"/>
  <c r="I3208"/>
  <c r="F46" i="50"/>
  <c r="D109"/>
  <c r="F109" s="1"/>
  <c r="F667" i="58"/>
  <c r="F858"/>
  <c r="P1234" i="1"/>
  <c r="R1234" s="1"/>
  <c r="V1298"/>
  <c r="V1237"/>
  <c r="R1257"/>
  <c r="Z276" i="55"/>
  <c r="F276"/>
  <c r="X276"/>
  <c r="D273" i="58"/>
  <c r="T276" i="55"/>
  <c r="J276"/>
  <c r="V276"/>
  <c r="H276"/>
  <c r="K3960" i="1"/>
  <c r="I3977"/>
  <c r="K3977" s="1"/>
  <c r="F660" i="58"/>
  <c r="H321" i="55"/>
  <c r="T321"/>
  <c r="X321"/>
  <c r="V321"/>
  <c r="D316" i="58"/>
  <c r="J321" i="55"/>
  <c r="F321"/>
  <c r="Z321"/>
  <c r="D641" i="58"/>
  <c r="I3975" i="1"/>
  <c r="K3975" s="1"/>
  <c r="K3958"/>
  <c r="AB1392"/>
  <c r="AD1392" s="1"/>
  <c r="AD1394" s="1"/>
  <c r="C323" i="55" s="1"/>
  <c r="AD1375" i="1"/>
  <c r="AD1377" s="1"/>
  <c r="C320" i="55" s="1"/>
  <c r="F661" i="58"/>
  <c r="X590" i="1"/>
  <c r="X1239"/>
  <c r="AB1244"/>
  <c r="R3258"/>
  <c r="R3267" s="1"/>
  <c r="R3269" s="1"/>
  <c r="C981" i="55" s="1"/>
  <c r="I3318" i="1"/>
  <c r="K3318" s="1"/>
  <c r="K3326" s="1"/>
  <c r="K3328" s="1"/>
  <c r="C982" i="55" s="1"/>
  <c r="H284"/>
  <c r="Z284"/>
  <c r="V284"/>
  <c r="J284"/>
  <c r="F284"/>
  <c r="D281" i="58"/>
  <c r="T284" i="55"/>
  <c r="X284"/>
  <c r="AE424" i="1"/>
  <c r="AG424" s="1"/>
  <c r="AG388"/>
  <c r="I2935"/>
  <c r="K2935" s="1"/>
  <c r="I2926"/>
  <c r="C519" i="55"/>
  <c r="F586"/>
  <c r="J586"/>
  <c r="V586"/>
  <c r="T586"/>
  <c r="H586"/>
  <c r="Z586"/>
  <c r="X586"/>
  <c r="D652" i="58"/>
  <c r="F843"/>
  <c r="P1241" i="1"/>
  <c r="R1241" s="1"/>
  <c r="R1264"/>
  <c r="V1244"/>
  <c r="P1380"/>
  <c r="R1380" s="1"/>
  <c r="P1262"/>
  <c r="R1220"/>
  <c r="T1220" s="1"/>
  <c r="J540"/>
  <c r="W539"/>
  <c r="AC539" s="1"/>
  <c r="F396" i="58"/>
  <c r="P1466" i="1"/>
  <c r="R1449"/>
  <c r="R1451" s="1"/>
  <c r="R1452" s="1"/>
  <c r="C696" i="55" s="1"/>
  <c r="I590" i="1"/>
  <c r="K590" s="1"/>
  <c r="C576" i="55"/>
  <c r="C258"/>
  <c r="F354" i="58"/>
  <c r="D647"/>
  <c r="C555" i="55"/>
  <c r="C980"/>
  <c r="T1052"/>
  <c r="V1052"/>
  <c r="D1067" i="58"/>
  <c r="H1052" i="55"/>
  <c r="X1052"/>
  <c r="F1052"/>
  <c r="Z1052"/>
  <c r="J1052"/>
  <c r="X1394" i="1"/>
  <c r="X1396" s="1"/>
  <c r="C315" i="55" s="1"/>
  <c r="V1410" i="1"/>
  <c r="T257" i="55"/>
  <c r="X257"/>
  <c r="Z257"/>
  <c r="J257"/>
  <c r="D254" i="58"/>
  <c r="H257" i="55"/>
  <c r="F257"/>
  <c r="V257"/>
  <c r="F841" i="58"/>
  <c r="F881"/>
  <c r="AS63" i="1"/>
  <c r="AQ87"/>
  <c r="K3993"/>
  <c r="K3995" s="1"/>
  <c r="K3996" s="1"/>
  <c r="C697" i="55" s="1"/>
  <c r="I4009" i="1"/>
  <c r="F646" i="58"/>
  <c r="F393"/>
  <c r="F279"/>
  <c r="F884"/>
  <c r="F674"/>
  <c r="F397"/>
  <c r="F640"/>
  <c r="X518" i="55"/>
  <c r="D587" i="58"/>
  <c r="C523" i="55"/>
  <c r="C522"/>
  <c r="F518"/>
  <c r="V262"/>
  <c r="D259" i="58"/>
  <c r="H262" i="55"/>
  <c r="F262"/>
  <c r="Z262"/>
  <c r="X262"/>
  <c r="J262"/>
  <c r="T262"/>
  <c r="D148" i="25"/>
  <c r="F121"/>
  <c r="F125" s="1"/>
  <c r="D115" s="1"/>
  <c r="F115" s="1"/>
  <c r="F355" i="58"/>
  <c r="F847"/>
  <c r="D669"/>
  <c r="F604" i="55"/>
  <c r="X604"/>
  <c r="F883" i="58"/>
  <c r="AS89" i="1"/>
  <c r="AQ109"/>
  <c r="F722" i="58"/>
  <c r="X743" i="55"/>
  <c r="D808" i="58"/>
  <c r="Z743" i="55"/>
  <c r="F743"/>
  <c r="F312" i="58"/>
  <c r="F324" i="55"/>
  <c r="D319" i="58"/>
  <c r="T324" i="55"/>
  <c r="V324"/>
  <c r="Z324"/>
  <c r="X324"/>
  <c r="J324"/>
  <c r="H324"/>
  <c r="AB1243" i="1"/>
  <c r="X1238"/>
  <c r="H283" i="55"/>
  <c r="V283"/>
  <c r="X283"/>
  <c r="D280" i="58"/>
  <c r="T283" i="55"/>
  <c r="F283"/>
  <c r="J283"/>
  <c r="Z283"/>
  <c r="X520"/>
  <c r="D589" i="58"/>
  <c r="F520" i="55"/>
  <c r="F642"/>
  <c r="X642"/>
  <c r="D707" i="58"/>
  <c r="Z642" i="55"/>
  <c r="V1243" i="1"/>
  <c r="P1240"/>
  <c r="R1240" s="1"/>
  <c r="P1379"/>
  <c r="R1379" s="1"/>
  <c r="R1263"/>
  <c r="AQ108"/>
  <c r="AS88"/>
  <c r="F655" i="25"/>
  <c r="D691"/>
  <c r="F691" s="1"/>
  <c r="H1046" i="55"/>
  <c r="X1046"/>
  <c r="Z1046"/>
  <c r="J1046"/>
  <c r="T1046"/>
  <c r="F1046"/>
  <c r="V1046"/>
  <c r="F560" i="58"/>
  <c r="F357"/>
  <c r="F394"/>
  <c r="F559"/>
  <c r="F272"/>
  <c r="C517" i="55"/>
  <c r="I2383" i="1"/>
  <c r="K2383" s="1"/>
  <c r="F313" i="58"/>
  <c r="R2821" i="1"/>
  <c r="P2854"/>
  <c r="R2854" s="1"/>
  <c r="I687"/>
  <c r="K687" s="1"/>
  <c r="C278" i="55" s="1"/>
  <c r="C277"/>
  <c r="C815"/>
  <c r="F675" i="58"/>
  <c r="F840"/>
  <c r="F383"/>
  <c r="K3184" i="1"/>
  <c r="K3185" s="1"/>
  <c r="C1051" i="55" s="1"/>
  <c r="K3058" i="27"/>
  <c r="K3062" s="1"/>
  <c r="I3074"/>
  <c r="K2945"/>
  <c r="L2946"/>
  <c r="K2884"/>
  <c r="L2885"/>
  <c r="F989" i="55"/>
  <c r="X989"/>
  <c r="Z989"/>
  <c r="V989"/>
  <c r="H989"/>
  <c r="D1056" i="58"/>
  <c r="J989" i="55"/>
  <c r="T989"/>
  <c r="F297" i="58"/>
  <c r="L3063" i="11"/>
  <c r="K3063"/>
  <c r="C1007" i="55" s="1"/>
  <c r="AD1245" i="1"/>
  <c r="AB1217"/>
  <c r="AD1217" s="1"/>
  <c r="F1066" i="58"/>
  <c r="C806" i="55"/>
  <c r="K2187" i="27"/>
  <c r="C429" i="55"/>
  <c r="F616" i="58"/>
  <c r="F986" i="55"/>
  <c r="Z986"/>
  <c r="T986"/>
  <c r="D1053" i="58"/>
  <c r="X986" i="55"/>
  <c r="H986"/>
  <c r="J986"/>
  <c r="V986"/>
  <c r="C428"/>
  <c r="F606" i="58"/>
  <c r="I3945" i="11"/>
  <c r="K3945" s="1"/>
  <c r="K3948" s="1"/>
  <c r="K3950" s="1"/>
  <c r="I3100"/>
  <c r="K3074"/>
  <c r="K3077" s="1"/>
  <c r="D680" i="58"/>
  <c r="F615" i="55"/>
  <c r="X615"/>
  <c r="F1045" i="58"/>
  <c r="F604"/>
  <c r="K2965" i="11"/>
  <c r="L2965"/>
  <c r="D628" i="58"/>
  <c r="X562" i="55"/>
  <c r="F562"/>
  <c r="F295" i="58"/>
  <c r="F872"/>
  <c r="C839" i="55"/>
  <c r="L3927" i="11"/>
  <c r="C1042" i="55"/>
  <c r="F803"/>
  <c r="D867" i="58"/>
  <c r="X803" i="55"/>
  <c r="Z803"/>
  <c r="K3761" i="27"/>
  <c r="K3762" s="1"/>
  <c r="K3744"/>
  <c r="K2899"/>
  <c r="L2900"/>
  <c r="F618" i="58"/>
  <c r="C430" i="55"/>
  <c r="F983"/>
  <c r="X983"/>
  <c r="T983"/>
  <c r="H983"/>
  <c r="V983"/>
  <c r="J983"/>
  <c r="Z983"/>
  <c r="D1050" i="58"/>
  <c r="Z988" i="55"/>
  <c r="V988"/>
  <c r="F988"/>
  <c r="J988"/>
  <c r="X988"/>
  <c r="T988"/>
  <c r="H988"/>
  <c r="D1055" i="58"/>
  <c r="X3128" i="1"/>
  <c r="X3138" s="1"/>
  <c r="X3140" s="1"/>
  <c r="V3153"/>
  <c r="X3153" s="1"/>
  <c r="X3163" s="1"/>
  <c r="X3165" s="1"/>
  <c r="C801" i="55" s="1"/>
  <c r="F623" i="58"/>
  <c r="X987" i="55"/>
  <c r="D1054" i="58"/>
  <c r="V987" i="55"/>
  <c r="T987"/>
  <c r="Z987"/>
  <c r="F987"/>
  <c r="H987"/>
  <c r="J987"/>
  <c r="F1052" i="58"/>
  <c r="I3913" i="27"/>
  <c r="K3913" s="1"/>
  <c r="K3917" s="1"/>
  <c r="K2960"/>
  <c r="K2964" s="1"/>
  <c r="F619" i="58"/>
  <c r="J311" i="55"/>
  <c r="V311"/>
  <c r="Z311"/>
  <c r="T311"/>
  <c r="X311"/>
  <c r="F311"/>
  <c r="D306" i="58"/>
  <c r="H311" i="55"/>
  <c r="F629" i="58"/>
  <c r="D109" i="25"/>
  <c r="F87"/>
  <c r="F96" s="1"/>
  <c r="F97" s="1"/>
  <c r="Z15" i="11"/>
  <c r="AC15" s="1"/>
  <c r="AC14"/>
  <c r="Z464" i="55" l="1"/>
  <c r="R464"/>
  <c r="Z618"/>
  <c r="R618"/>
  <c r="Z517"/>
  <c r="R517"/>
  <c r="Z523"/>
  <c r="R523"/>
  <c r="Z626"/>
  <c r="R626"/>
  <c r="Z8"/>
  <c r="R8"/>
  <c r="Z342"/>
  <c r="R342"/>
  <c r="Z599"/>
  <c r="R599"/>
  <c r="Z522"/>
  <c r="R522"/>
  <c r="Z555"/>
  <c r="R555"/>
  <c r="Z654"/>
  <c r="R654"/>
  <c r="Z561"/>
  <c r="R561"/>
  <c r="Z616"/>
  <c r="R616"/>
  <c r="Z617"/>
  <c r="R617"/>
  <c r="Z385"/>
  <c r="R385"/>
  <c r="Z519"/>
  <c r="R519"/>
  <c r="Z19"/>
  <c r="R19"/>
  <c r="Z629"/>
  <c r="R629"/>
  <c r="V806"/>
  <c r="T806"/>
  <c r="P806"/>
  <c r="N806"/>
  <c r="L806"/>
  <c r="J806"/>
  <c r="H806"/>
  <c r="V523"/>
  <c r="T523"/>
  <c r="P523"/>
  <c r="L523"/>
  <c r="N523"/>
  <c r="J523"/>
  <c r="H523"/>
  <c r="C9" i="75"/>
  <c r="F9" s="1"/>
  <c r="V19" i="55"/>
  <c r="P19"/>
  <c r="T19"/>
  <c r="L19"/>
  <c r="J19"/>
  <c r="N19"/>
  <c r="H19"/>
  <c r="V629"/>
  <c r="T629"/>
  <c r="P629"/>
  <c r="N629"/>
  <c r="L629"/>
  <c r="J629"/>
  <c r="H629"/>
  <c r="V464"/>
  <c r="N464"/>
  <c r="T464"/>
  <c r="P464"/>
  <c r="L464"/>
  <c r="H464"/>
  <c r="J464"/>
  <c r="V342"/>
  <c r="T342"/>
  <c r="P342"/>
  <c r="N342"/>
  <c r="L342"/>
  <c r="J342"/>
  <c r="H342"/>
  <c r="V618"/>
  <c r="T618"/>
  <c r="P618"/>
  <c r="L618"/>
  <c r="N618"/>
  <c r="J618"/>
  <c r="H618"/>
  <c r="V428"/>
  <c r="T428"/>
  <c r="P428"/>
  <c r="N428"/>
  <c r="L428"/>
  <c r="J428"/>
  <c r="H428"/>
  <c r="V555"/>
  <c r="N555"/>
  <c r="P555"/>
  <c r="L555"/>
  <c r="H555"/>
  <c r="J555"/>
  <c r="T555"/>
  <c r="C83" i="75"/>
  <c r="F83" s="1"/>
  <c r="V429" i="55"/>
  <c r="T429"/>
  <c r="P429"/>
  <c r="N429"/>
  <c r="L429"/>
  <c r="J429"/>
  <c r="H429"/>
  <c r="C84" i="75"/>
  <c r="F84" s="1"/>
  <c r="V430" i="55"/>
  <c r="T430"/>
  <c r="P430"/>
  <c r="N430"/>
  <c r="L430"/>
  <c r="J430"/>
  <c r="H430"/>
  <c r="V616"/>
  <c r="T616"/>
  <c r="N616"/>
  <c r="L616"/>
  <c r="P616"/>
  <c r="J616"/>
  <c r="H616"/>
  <c r="V617"/>
  <c r="T617"/>
  <c r="P617"/>
  <c r="L617"/>
  <c r="N617"/>
  <c r="J617"/>
  <c r="H617"/>
  <c r="V385"/>
  <c r="T385"/>
  <c r="P385"/>
  <c r="L385"/>
  <c r="N385"/>
  <c r="J385"/>
  <c r="H385"/>
  <c r="V522"/>
  <c r="T522"/>
  <c r="P522"/>
  <c r="N522"/>
  <c r="L522"/>
  <c r="H522"/>
  <c r="J522"/>
  <c r="V576"/>
  <c r="P576"/>
  <c r="T576"/>
  <c r="N576"/>
  <c r="L576"/>
  <c r="J576"/>
  <c r="H576"/>
  <c r="V599"/>
  <c r="T599"/>
  <c r="P599"/>
  <c r="L599"/>
  <c r="N599"/>
  <c r="H599"/>
  <c r="J599"/>
  <c r="C7" i="75"/>
  <c r="F7" s="1"/>
  <c r="V8" i="55"/>
  <c r="T8"/>
  <c r="P8"/>
  <c r="N8"/>
  <c r="L8"/>
  <c r="J8"/>
  <c r="H8"/>
  <c r="V815"/>
  <c r="T815"/>
  <c r="P815"/>
  <c r="N815"/>
  <c r="L815"/>
  <c r="J815"/>
  <c r="H815"/>
  <c r="V517"/>
  <c r="T517"/>
  <c r="P517"/>
  <c r="N517"/>
  <c r="L517"/>
  <c r="J517"/>
  <c r="H517"/>
  <c r="V519"/>
  <c r="T519"/>
  <c r="P519"/>
  <c r="N519"/>
  <c r="L519"/>
  <c r="H519"/>
  <c r="J519"/>
  <c r="V626"/>
  <c r="T626"/>
  <c r="P626"/>
  <c r="N626"/>
  <c r="L626"/>
  <c r="J626"/>
  <c r="H626"/>
  <c r="V654"/>
  <c r="T654"/>
  <c r="L654"/>
  <c r="P654"/>
  <c r="J654"/>
  <c r="H654"/>
  <c r="N654"/>
  <c r="V811"/>
  <c r="T811"/>
  <c r="P811"/>
  <c r="N811"/>
  <c r="L811"/>
  <c r="J811"/>
  <c r="H811"/>
  <c r="C6" i="75"/>
  <c r="F6" s="1"/>
  <c r="V7" i="55"/>
  <c r="T7"/>
  <c r="P7"/>
  <c r="J7"/>
  <c r="H7"/>
  <c r="N7"/>
  <c r="L7"/>
  <c r="V561"/>
  <c r="T561"/>
  <c r="P561"/>
  <c r="L561"/>
  <c r="N561"/>
  <c r="J561"/>
  <c r="H561"/>
  <c r="F984"/>
  <c r="D1051" i="58"/>
  <c r="V984" i="55"/>
  <c r="X984"/>
  <c r="Z984"/>
  <c r="J984"/>
  <c r="T984"/>
  <c r="R1139" i="1"/>
  <c r="P1170"/>
  <c r="R1170" s="1"/>
  <c r="F44" i="50"/>
  <c r="D107"/>
  <c r="F107" s="1"/>
  <c r="I3483" i="27"/>
  <c r="K3443"/>
  <c r="I3437" s="1"/>
  <c r="K3437" s="1"/>
  <c r="K3441" s="1"/>
  <c r="K2210" s="1"/>
  <c r="C46" i="75"/>
  <c r="F46" s="1"/>
  <c r="D337" i="58"/>
  <c r="F337" s="1"/>
  <c r="F342" i="55"/>
  <c r="X342"/>
  <c r="V703" i="1"/>
  <c r="D694" i="58"/>
  <c r="F694" s="1"/>
  <c r="X629" i="55"/>
  <c r="F629"/>
  <c r="AC12" i="1"/>
  <c r="Z13"/>
  <c r="C101" i="75"/>
  <c r="F101" s="1"/>
  <c r="D458" i="58"/>
  <c r="F458" s="1"/>
  <c r="X464" i="55"/>
  <c r="F464"/>
  <c r="X1456" i="1"/>
  <c r="AB1454"/>
  <c r="AD1454" s="1"/>
  <c r="L3416" i="27"/>
  <c r="L3419" s="1"/>
  <c r="K3419"/>
  <c r="X373" i="55"/>
  <c r="Z373"/>
  <c r="T373"/>
  <c r="H373"/>
  <c r="D367" i="58"/>
  <c r="F367" s="1"/>
  <c r="V373" i="55"/>
  <c r="J373"/>
  <c r="F373"/>
  <c r="C396"/>
  <c r="Z396" s="1"/>
  <c r="C777"/>
  <c r="X798" i="1"/>
  <c r="V813"/>
  <c r="X813" s="1"/>
  <c r="X3587"/>
  <c r="V3604"/>
  <c r="X3604" s="1"/>
  <c r="I2894"/>
  <c r="K2894" s="1"/>
  <c r="K500"/>
  <c r="M3397" i="27"/>
  <c r="L3400"/>
  <c r="P1118" i="1"/>
  <c r="R1097"/>
  <c r="R1098" s="1"/>
  <c r="R1100" s="1"/>
  <c r="C308" i="55"/>
  <c r="C533"/>
  <c r="P3529" i="1"/>
  <c r="K3525"/>
  <c r="K3529" s="1"/>
  <c r="K3530" s="1"/>
  <c r="I3541"/>
  <c r="T305" i="55"/>
  <c r="D300" i="58"/>
  <c r="F300" s="1"/>
  <c r="Z305" i="55"/>
  <c r="H305"/>
  <c r="V305"/>
  <c r="X305"/>
  <c r="F305"/>
  <c r="J305"/>
  <c r="F561"/>
  <c r="D627" i="58"/>
  <c r="F627" s="1"/>
  <c r="X561" i="55"/>
  <c r="C532"/>
  <c r="C307"/>
  <c r="V530"/>
  <c r="H530"/>
  <c r="Z530"/>
  <c r="T530"/>
  <c r="J530"/>
  <c r="F530"/>
  <c r="D599" i="58"/>
  <c r="F599" s="1"/>
  <c r="X530" i="55"/>
  <c r="V1448" i="1"/>
  <c r="R1487"/>
  <c r="AD1398"/>
  <c r="AB1415"/>
  <c r="AD1415" s="1"/>
  <c r="X7" i="55"/>
  <c r="D7" i="58"/>
  <c r="F7" s="1"/>
  <c r="Z7" i="55"/>
  <c r="F7"/>
  <c r="P2341" i="1"/>
  <c r="R2341" s="1"/>
  <c r="K88"/>
  <c r="C11" i="55" s="1"/>
  <c r="C10"/>
  <c r="I1764" i="1"/>
  <c r="K1764" s="1"/>
  <c r="K1772" s="1"/>
  <c r="D8" i="58"/>
  <c r="F8" s="1"/>
  <c r="X8" i="55"/>
  <c r="F8"/>
  <c r="X1236" i="1"/>
  <c r="AB1241"/>
  <c r="V396" i="55"/>
  <c r="Z13"/>
  <c r="J13"/>
  <c r="V13"/>
  <c r="D13" i="58"/>
  <c r="F13" s="1"/>
  <c r="F13" i="55"/>
  <c r="H13"/>
  <c r="X13"/>
  <c r="T13"/>
  <c r="D14" i="58"/>
  <c r="F14" s="1"/>
  <c r="X14" i="55"/>
  <c r="T14"/>
  <c r="H14"/>
  <c r="Z14"/>
  <c r="V14"/>
  <c r="J14"/>
  <c r="F14"/>
  <c r="X3559" i="1"/>
  <c r="V3575"/>
  <c r="F590" i="25"/>
  <c r="D625"/>
  <c r="V3622" i="1"/>
  <c r="AG3559"/>
  <c r="F19" i="55"/>
  <c r="D19" i="58"/>
  <c r="F19" s="1"/>
  <c r="X19" i="55"/>
  <c r="F556" i="25"/>
  <c r="F558" s="1"/>
  <c r="C797" i="55" s="1"/>
  <c r="C27"/>
  <c r="K102" i="1"/>
  <c r="C28" i="55" s="1"/>
  <c r="F149" i="25"/>
  <c r="D171"/>
  <c r="F171" s="1"/>
  <c r="K117" i="1"/>
  <c r="C20" i="55"/>
  <c r="D169" i="25"/>
  <c r="F169" s="1"/>
  <c r="F147"/>
  <c r="D624"/>
  <c r="F589"/>
  <c r="F593" s="1"/>
  <c r="F595" s="1"/>
  <c r="C796" i="55" s="1"/>
  <c r="F811"/>
  <c r="Z811"/>
  <c r="X811"/>
  <c r="D875" i="58"/>
  <c r="F875" s="1"/>
  <c r="H369" i="55"/>
  <c r="T369"/>
  <c r="J369"/>
  <c r="F369"/>
  <c r="Z369"/>
  <c r="D363" i="58"/>
  <c r="F363" s="1"/>
  <c r="X369" i="55"/>
  <c r="V369"/>
  <c r="F370"/>
  <c r="V370"/>
  <c r="T370"/>
  <c r="X370"/>
  <c r="H370"/>
  <c r="J370"/>
  <c r="D364" i="58"/>
  <c r="F364" s="1"/>
  <c r="Z370" i="55"/>
  <c r="I3936" i="1"/>
  <c r="K3918"/>
  <c r="I857"/>
  <c r="I891"/>
  <c r="K891" s="1"/>
  <c r="V875"/>
  <c r="K875"/>
  <c r="X599" i="55"/>
  <c r="F599"/>
  <c r="D664" i="58"/>
  <c r="F664" s="1"/>
  <c r="C704" i="55"/>
  <c r="S1542" i="1"/>
  <c r="X626" i="55"/>
  <c r="D691" i="58"/>
  <c r="F691" s="1"/>
  <c r="F626" i="55"/>
  <c r="X654"/>
  <c r="F654"/>
  <c r="D719" i="58"/>
  <c r="F719" s="1"/>
  <c r="AB1450" i="1"/>
  <c r="AD1450" s="1"/>
  <c r="X1452"/>
  <c r="I149"/>
  <c r="K149" s="1"/>
  <c r="K158" s="1"/>
  <c r="C40" i="55" s="1"/>
  <c r="P624" i="1"/>
  <c r="R624" s="1"/>
  <c r="P20"/>
  <c r="I587" i="11"/>
  <c r="K587"/>
  <c r="AB1452" i="1"/>
  <c r="AD1452" s="1"/>
  <c r="X1454"/>
  <c r="I1750"/>
  <c r="K1750" s="1"/>
  <c r="K1757" s="1"/>
  <c r="K1759" s="1"/>
  <c r="C380" i="55" s="1"/>
  <c r="P8" i="1"/>
  <c r="R8" s="1"/>
  <c r="R12" s="1"/>
  <c r="I70"/>
  <c r="I502"/>
  <c r="I51"/>
  <c r="I2145"/>
  <c r="I806"/>
  <c r="I269"/>
  <c r="K269" s="1"/>
  <c r="I8"/>
  <c r="I61"/>
  <c r="I2125"/>
  <c r="K2125" s="1"/>
  <c r="K2133" s="1"/>
  <c r="K2135" s="1"/>
  <c r="C413" i="55" s="1"/>
  <c r="I26" i="1"/>
  <c r="P1140"/>
  <c r="O3398" i="11"/>
  <c r="O3400" s="1"/>
  <c r="N3400"/>
  <c r="H1032" i="55"/>
  <c r="V1032"/>
  <c r="Z1032"/>
  <c r="F1032"/>
  <c r="J1032"/>
  <c r="X1032"/>
  <c r="T1032"/>
  <c r="K34" i="1"/>
  <c r="I137"/>
  <c r="I42"/>
  <c r="I17"/>
  <c r="X1026" i="55"/>
  <c r="F1026"/>
  <c r="J1026"/>
  <c r="Z1026"/>
  <c r="V1026"/>
  <c r="H1026"/>
  <c r="T1026"/>
  <c r="F659" i="25"/>
  <c r="D695"/>
  <c r="F695" s="1"/>
  <c r="I209" i="27"/>
  <c r="K209" s="1"/>
  <c r="K216" s="1"/>
  <c r="K218" s="1"/>
  <c r="I771"/>
  <c r="K771" s="1"/>
  <c r="K779" s="1"/>
  <c r="K781" s="1"/>
  <c r="I1636"/>
  <c r="K1636" s="1"/>
  <c r="K1642" s="1"/>
  <c r="K1644" s="1"/>
  <c r="I269"/>
  <c r="K269" s="1"/>
  <c r="K277" s="1"/>
  <c r="K279" s="1"/>
  <c r="P65"/>
  <c r="R65" s="1"/>
  <c r="R72" s="1"/>
  <c r="R74" s="1"/>
  <c r="P631" s="1"/>
  <c r="R631" s="1"/>
  <c r="R642" s="1"/>
  <c r="P604"/>
  <c r="R604" s="1"/>
  <c r="J458" i="55"/>
  <c r="D452" i="58"/>
  <c r="F452" s="1"/>
  <c r="F458" i="55"/>
  <c r="T458"/>
  <c r="X458"/>
  <c r="Z458"/>
  <c r="V458"/>
  <c r="H458"/>
  <c r="V1464" i="1"/>
  <c r="X1464" s="1"/>
  <c r="X1440"/>
  <c r="AQ131"/>
  <c r="AS106"/>
  <c r="D52" i="58"/>
  <c r="F52" s="1"/>
  <c r="T55" i="55"/>
  <c r="X55"/>
  <c r="Z55"/>
  <c r="H55"/>
  <c r="J55"/>
  <c r="F55"/>
  <c r="V55"/>
  <c r="AQ133" i="1"/>
  <c r="AS108"/>
  <c r="F707" i="58"/>
  <c r="D591"/>
  <c r="X522" i="55"/>
  <c r="F522"/>
  <c r="F254" i="58"/>
  <c r="F1067"/>
  <c r="X555" i="55"/>
  <c r="F555"/>
  <c r="D621" i="58"/>
  <c r="D642"/>
  <c r="F576" i="55"/>
  <c r="Z576"/>
  <c r="X576"/>
  <c r="V1242" i="1"/>
  <c r="P1378"/>
  <c r="R1378" s="1"/>
  <c r="R1262"/>
  <c r="P1239"/>
  <c r="R1239" s="1"/>
  <c r="K2926"/>
  <c r="I2945"/>
  <c r="J982" i="55"/>
  <c r="D1049" i="58"/>
  <c r="Z982" i="55"/>
  <c r="X982"/>
  <c r="T982"/>
  <c r="F982"/>
  <c r="H982"/>
  <c r="V982"/>
  <c r="D648" i="58"/>
  <c r="Z320" i="55"/>
  <c r="V320"/>
  <c r="H320"/>
  <c r="X320"/>
  <c r="D315" i="58"/>
  <c r="J320" i="55"/>
  <c r="F320"/>
  <c r="T320"/>
  <c r="F273" i="58"/>
  <c r="D1068"/>
  <c r="H1053" i="55"/>
  <c r="Z1053"/>
  <c r="F1053"/>
  <c r="J1053"/>
  <c r="T1053"/>
  <c r="V1053"/>
  <c r="X1053"/>
  <c r="F263"/>
  <c r="H263"/>
  <c r="V263"/>
  <c r="J263"/>
  <c r="D260" i="58"/>
  <c r="Z263" i="55"/>
  <c r="T263"/>
  <c r="X263"/>
  <c r="T278"/>
  <c r="J278"/>
  <c r="V278"/>
  <c r="X278"/>
  <c r="F278"/>
  <c r="D275" i="58"/>
  <c r="Z278" i="55"/>
  <c r="H278"/>
  <c r="AS109" i="1"/>
  <c r="AQ134"/>
  <c r="F669" i="58"/>
  <c r="F587"/>
  <c r="AS87" i="1"/>
  <c r="AQ107"/>
  <c r="F980" i="55"/>
  <c r="J980"/>
  <c r="Z980"/>
  <c r="V980"/>
  <c r="T980"/>
  <c r="H980"/>
  <c r="D1047" i="58"/>
  <c r="X980" i="55"/>
  <c r="T258"/>
  <c r="V258"/>
  <c r="D255" i="58"/>
  <c r="Z258" i="55"/>
  <c r="J258"/>
  <c r="F258"/>
  <c r="H258"/>
  <c r="X258"/>
  <c r="F652" i="58"/>
  <c r="C521" i="55"/>
  <c r="X519"/>
  <c r="F519"/>
  <c r="D588" i="58"/>
  <c r="F316"/>
  <c r="K3239" i="1"/>
  <c r="I3264"/>
  <c r="K3264" s="1"/>
  <c r="H587" i="55"/>
  <c r="V587"/>
  <c r="X587"/>
  <c r="F587"/>
  <c r="Z587"/>
  <c r="D653" i="58"/>
  <c r="T587" i="55"/>
  <c r="J587"/>
  <c r="AB1248" i="1"/>
  <c r="X1243"/>
  <c r="T277" i="55"/>
  <c r="D274" i="58"/>
  <c r="X277" i="55"/>
  <c r="V277"/>
  <c r="J277"/>
  <c r="H277"/>
  <c r="Z277"/>
  <c r="F277"/>
  <c r="AD1243" i="1"/>
  <c r="AB1215"/>
  <c r="AD1215" s="1"/>
  <c r="D170" i="25"/>
  <c r="F170" s="1"/>
  <c r="F174" s="1"/>
  <c r="F176" s="1"/>
  <c r="F148"/>
  <c r="F152" s="1"/>
  <c r="D141" s="1"/>
  <c r="F523" i="55"/>
  <c r="X523"/>
  <c r="D592" i="58"/>
  <c r="J697" i="55"/>
  <c r="Z697"/>
  <c r="H697"/>
  <c r="D762" i="58"/>
  <c r="V697" i="55"/>
  <c r="F697"/>
  <c r="X697"/>
  <c r="T697"/>
  <c r="F315"/>
  <c r="X315"/>
  <c r="T315"/>
  <c r="Z315"/>
  <c r="V315"/>
  <c r="J315"/>
  <c r="D310" i="58"/>
  <c r="H315" i="55"/>
  <c r="F647" i="58"/>
  <c r="R1466" i="1"/>
  <c r="R1468" s="1"/>
  <c r="P1474"/>
  <c r="P1497"/>
  <c r="V1427"/>
  <c r="X1427" s="1"/>
  <c r="X1429" s="1"/>
  <c r="W540"/>
  <c r="AC540" s="1"/>
  <c r="J541"/>
  <c r="X1244"/>
  <c r="AB1249"/>
  <c r="F281" i="58"/>
  <c r="AD1244" i="1"/>
  <c r="AB1216"/>
  <c r="AD1216" s="1"/>
  <c r="F641" i="58"/>
  <c r="V1318" i="1"/>
  <c r="X1318" s="1"/>
  <c r="X1298"/>
  <c r="K3208"/>
  <c r="I3223"/>
  <c r="K3223" s="1"/>
  <c r="K612"/>
  <c r="C588" i="55"/>
  <c r="C264"/>
  <c r="I612" i="1"/>
  <c r="F1051" i="55"/>
  <c r="Z1051"/>
  <c r="X1051"/>
  <c r="V1051"/>
  <c r="H1051"/>
  <c r="T1051"/>
  <c r="J1051"/>
  <c r="D879" i="58"/>
  <c r="Z815" i="55"/>
  <c r="X815"/>
  <c r="F815"/>
  <c r="F808" i="58"/>
  <c r="X385" i="55"/>
  <c r="F385"/>
  <c r="D379" i="58"/>
  <c r="F517" i="55"/>
  <c r="D586" i="58"/>
  <c r="X517" i="55"/>
  <c r="F589" i="58"/>
  <c r="F280"/>
  <c r="F319"/>
  <c r="F259"/>
  <c r="I4024" i="1"/>
  <c r="K4009"/>
  <c r="K4011" s="1"/>
  <c r="K4012" s="1"/>
  <c r="C701" i="55" s="1"/>
  <c r="I42" i="25"/>
  <c r="X1410" i="1"/>
  <c r="X1412" s="1"/>
  <c r="AB1408"/>
  <c r="I591"/>
  <c r="K591" s="1"/>
  <c r="C259" i="55"/>
  <c r="C577"/>
  <c r="T696"/>
  <c r="V696"/>
  <c r="H696"/>
  <c r="J696"/>
  <c r="X696"/>
  <c r="F696"/>
  <c r="D761" i="58"/>
  <c r="Z696" i="55"/>
  <c r="V981"/>
  <c r="J981"/>
  <c r="X981"/>
  <c r="T981"/>
  <c r="F981"/>
  <c r="H981"/>
  <c r="D1048" i="58"/>
  <c r="Z981" i="55"/>
  <c r="X591" i="1"/>
  <c r="X592" s="1"/>
  <c r="Y587" s="1"/>
  <c r="Y588" s="1"/>
  <c r="Y589" s="1"/>
  <c r="Y590" s="1"/>
  <c r="Y591" s="1"/>
  <c r="C583" i="55"/>
  <c r="C584"/>
  <c r="H323"/>
  <c r="V323"/>
  <c r="X323"/>
  <c r="D318" i="58"/>
  <c r="F323" i="55"/>
  <c r="Z323"/>
  <c r="T323"/>
  <c r="J323"/>
  <c r="X1237" i="1"/>
  <c r="AB1242"/>
  <c r="F317" i="58"/>
  <c r="K3918" i="27"/>
  <c r="L3919"/>
  <c r="K3063"/>
  <c r="L3064"/>
  <c r="F306" i="58"/>
  <c r="D424"/>
  <c r="F430" i="55"/>
  <c r="X430"/>
  <c r="Z430"/>
  <c r="X1042"/>
  <c r="F1042"/>
  <c r="V1042"/>
  <c r="Z1042"/>
  <c r="J1042"/>
  <c r="H1042"/>
  <c r="T1042"/>
  <c r="K2264" i="1"/>
  <c r="K2190" i="11"/>
  <c r="D682" i="58"/>
  <c r="F617" i="55"/>
  <c r="X617"/>
  <c r="F428"/>
  <c r="Z428"/>
  <c r="D422" i="58"/>
  <c r="X428" i="55"/>
  <c r="D423" i="58"/>
  <c r="F429" i="55"/>
  <c r="X429"/>
  <c r="Z429"/>
  <c r="C804"/>
  <c r="K2185" i="27"/>
  <c r="V801" i="55"/>
  <c r="D865" i="58"/>
  <c r="F801" i="55"/>
  <c r="T801"/>
  <c r="X801"/>
  <c r="Z801"/>
  <c r="J801"/>
  <c r="H801"/>
  <c r="X616"/>
  <c r="D681" i="58"/>
  <c r="F616" i="55"/>
  <c r="F1051" i="58"/>
  <c r="Z806" i="55"/>
  <c r="D870" i="58"/>
  <c r="X806" i="55"/>
  <c r="F806"/>
  <c r="I3936" i="27"/>
  <c r="K3936" s="1"/>
  <c r="K3939" s="1"/>
  <c r="K3941" s="1"/>
  <c r="I3100"/>
  <c r="K3074"/>
  <c r="K3077" s="1"/>
  <c r="F109" i="25"/>
  <c r="F118" s="1"/>
  <c r="H118" s="1"/>
  <c r="D132"/>
  <c r="F1055" i="58"/>
  <c r="F1050"/>
  <c r="F680"/>
  <c r="P3073" i="11"/>
  <c r="R3073" s="1"/>
  <c r="R3077" s="1"/>
  <c r="K3100"/>
  <c r="K3104" s="1"/>
  <c r="I3114"/>
  <c r="I3815"/>
  <c r="K3815" s="1"/>
  <c r="K3823" s="1"/>
  <c r="F1054" i="58"/>
  <c r="F867"/>
  <c r="K3087" i="11"/>
  <c r="K3091" s="1"/>
  <c r="K3079"/>
  <c r="F1056" i="58"/>
  <c r="C807" i="55"/>
  <c r="K2188" i="27"/>
  <c r="K2965"/>
  <c r="L2966"/>
  <c r="M3744"/>
  <c r="K2203"/>
  <c r="V839" i="55"/>
  <c r="Z839"/>
  <c r="X839"/>
  <c r="T839"/>
  <c r="J839"/>
  <c r="H839"/>
  <c r="F839"/>
  <c r="D903" i="58"/>
  <c r="F628"/>
  <c r="F618" i="55"/>
  <c r="X618"/>
  <c r="D683" i="58"/>
  <c r="C805" i="55"/>
  <c r="K2186" i="27"/>
  <c r="L3928" i="11"/>
  <c r="M3927"/>
  <c r="M3950"/>
  <c r="K3951"/>
  <c r="C1043" i="55" s="1"/>
  <c r="L3952" i="11"/>
  <c r="K3957"/>
  <c r="F1053" i="58"/>
  <c r="Z1007" i="55"/>
  <c r="J1007"/>
  <c r="V1007"/>
  <c r="F1007"/>
  <c r="H1007"/>
  <c r="T1007"/>
  <c r="X1007"/>
  <c r="I174" i="11"/>
  <c r="K174" s="1"/>
  <c r="K178" s="1"/>
  <c r="C73"/>
  <c r="I2682"/>
  <c r="K2682" s="1"/>
  <c r="I2681"/>
  <c r="K2681" s="1"/>
  <c r="K2685" s="1"/>
  <c r="K2687" s="1"/>
  <c r="I2692"/>
  <c r="K2692" s="1"/>
  <c r="K2696" s="1"/>
  <c r="I2615"/>
  <c r="K2615" s="1"/>
  <c r="K2620" s="1"/>
  <c r="C74"/>
  <c r="I194" s="1"/>
  <c r="K194" s="1"/>
  <c r="K201" s="1"/>
  <c r="K203" s="1"/>
  <c r="I1712" s="1"/>
  <c r="K1712" s="1"/>
  <c r="K1721" s="1"/>
  <c r="I166"/>
  <c r="K166" s="1"/>
  <c r="K170" s="1"/>
  <c r="Z20" i="55" l="1"/>
  <c r="R20"/>
  <c r="Z381"/>
  <c r="R381"/>
  <c r="Z777"/>
  <c r="R777"/>
  <c r="Z380"/>
  <c r="R380"/>
  <c r="H396"/>
  <c r="V380"/>
  <c r="T380"/>
  <c r="P380"/>
  <c r="L380"/>
  <c r="J380"/>
  <c r="H380"/>
  <c r="N380"/>
  <c r="V777"/>
  <c r="T777"/>
  <c r="P777"/>
  <c r="N777"/>
  <c r="H777"/>
  <c r="L777"/>
  <c r="J777"/>
  <c r="V40"/>
  <c r="T40"/>
  <c r="P40"/>
  <c r="L40"/>
  <c r="J40"/>
  <c r="N40"/>
  <c r="H40"/>
  <c r="V381"/>
  <c r="T381"/>
  <c r="P381"/>
  <c r="N381"/>
  <c r="L381"/>
  <c r="J381"/>
  <c r="H381"/>
  <c r="V805"/>
  <c r="T805"/>
  <c r="P805"/>
  <c r="H805"/>
  <c r="L805"/>
  <c r="N805"/>
  <c r="J805"/>
  <c r="C10" i="75"/>
  <c r="F10" s="1"/>
  <c r="V20" i="55"/>
  <c r="T20"/>
  <c r="P20"/>
  <c r="N20"/>
  <c r="L20"/>
  <c r="H20"/>
  <c r="J20"/>
  <c r="V807"/>
  <c r="T807"/>
  <c r="P807"/>
  <c r="N807"/>
  <c r="L807"/>
  <c r="J807"/>
  <c r="H807"/>
  <c r="V804"/>
  <c r="T804"/>
  <c r="P804"/>
  <c r="N804"/>
  <c r="L804"/>
  <c r="J804"/>
  <c r="H804"/>
  <c r="F396"/>
  <c r="X396"/>
  <c r="D390" i="58"/>
  <c r="F390" s="1"/>
  <c r="J396" i="55"/>
  <c r="T396"/>
  <c r="F777"/>
  <c r="I172" i="1"/>
  <c r="K172" s="1"/>
  <c r="K176" s="1"/>
  <c r="C45" i="55" s="1"/>
  <c r="V797" i="1"/>
  <c r="V702"/>
  <c r="C70"/>
  <c r="I3628" i="27"/>
  <c r="K3483"/>
  <c r="I3477" s="1"/>
  <c r="K3477" s="1"/>
  <c r="K3481" s="1"/>
  <c r="L3481" s="1"/>
  <c r="AC13" i="1"/>
  <c r="I3499"/>
  <c r="K3499" s="1"/>
  <c r="I3497"/>
  <c r="K3497" s="1"/>
  <c r="K3511" s="1"/>
  <c r="K3512" s="1"/>
  <c r="C510" i="55" s="1"/>
  <c r="C737"/>
  <c r="V737" s="1"/>
  <c r="N3397" i="27"/>
  <c r="M3400"/>
  <c r="D42" i="32"/>
  <c r="X703" i="1"/>
  <c r="Z703" s="1"/>
  <c r="V673"/>
  <c r="H532" i="55"/>
  <c r="F532"/>
  <c r="Z532"/>
  <c r="T532"/>
  <c r="V532"/>
  <c r="J532"/>
  <c r="D601" i="58"/>
  <c r="F601" s="1"/>
  <c r="X532" i="55"/>
  <c r="AE3541" i="1"/>
  <c r="V3541"/>
  <c r="K3541"/>
  <c r="K3545" s="1"/>
  <c r="K3546" s="1"/>
  <c r="C739" i="55" s="1"/>
  <c r="R3529" i="1"/>
  <c r="R3533" s="1"/>
  <c r="R3534" s="1"/>
  <c r="P3545"/>
  <c r="R3545" s="1"/>
  <c r="R3549" s="1"/>
  <c r="R3550" s="1"/>
  <c r="J308" i="55"/>
  <c r="D303" i="58"/>
  <c r="F303" s="1"/>
  <c r="Z308" i="55"/>
  <c r="F308"/>
  <c r="X308"/>
  <c r="V308"/>
  <c r="T308"/>
  <c r="H308"/>
  <c r="R1118" i="1"/>
  <c r="R1119" s="1"/>
  <c r="R1121" s="1"/>
  <c r="C979" i="55" s="1"/>
  <c r="P2828" i="1"/>
  <c r="I2821"/>
  <c r="K2821" s="1"/>
  <c r="K2822" s="1"/>
  <c r="K2824" s="1"/>
  <c r="T307" i="55"/>
  <c r="Z307"/>
  <c r="H307"/>
  <c r="V307"/>
  <c r="F307"/>
  <c r="X307"/>
  <c r="J307"/>
  <c r="D302" i="58"/>
  <c r="F302" s="1"/>
  <c r="X737" i="55"/>
  <c r="D602" i="58"/>
  <c r="F602" s="1"/>
  <c r="Z533" i="55"/>
  <c r="T533"/>
  <c r="V533"/>
  <c r="X533"/>
  <c r="H533"/>
  <c r="J533"/>
  <c r="F533"/>
  <c r="X1448" i="1"/>
  <c r="AB1446"/>
  <c r="AD1446" s="1"/>
  <c r="K17"/>
  <c r="K8"/>
  <c r="K51"/>
  <c r="K70"/>
  <c r="K42"/>
  <c r="K37"/>
  <c r="K26"/>
  <c r="K61"/>
  <c r="F381" i="55"/>
  <c r="D375" i="58"/>
  <c r="F375" s="1"/>
  <c r="X381" i="55"/>
  <c r="T11"/>
  <c r="Z11"/>
  <c r="X11"/>
  <c r="D11" i="58"/>
  <c r="F11" s="1"/>
  <c r="F11" i="55"/>
  <c r="V11"/>
  <c r="H11"/>
  <c r="J11"/>
  <c r="H10"/>
  <c r="Z10"/>
  <c r="F10"/>
  <c r="X10"/>
  <c r="T10"/>
  <c r="D10" i="58"/>
  <c r="F10" s="1"/>
  <c r="J10" i="55"/>
  <c r="V10"/>
  <c r="AD1241" i="1"/>
  <c r="AB1213"/>
  <c r="AD1213" s="1"/>
  <c r="X796" i="55"/>
  <c r="T796"/>
  <c r="Z796"/>
  <c r="V796"/>
  <c r="F796"/>
  <c r="J796"/>
  <c r="H796"/>
  <c r="D860" i="58"/>
  <c r="F860" s="1"/>
  <c r="D20"/>
  <c r="F20" s="1"/>
  <c r="X20" i="55"/>
  <c r="F20"/>
  <c r="V28"/>
  <c r="X28"/>
  <c r="F28"/>
  <c r="T28"/>
  <c r="Z28"/>
  <c r="H28"/>
  <c r="D28" i="58"/>
  <c r="F28" s="1"/>
  <c r="J28" i="55"/>
  <c r="V797"/>
  <c r="X797"/>
  <c r="J797"/>
  <c r="D861" i="58"/>
  <c r="F861" s="1"/>
  <c r="T797" i="55"/>
  <c r="Z797"/>
  <c r="H797"/>
  <c r="F797"/>
  <c r="X3622" i="1"/>
  <c r="X3623"/>
  <c r="F624" i="25"/>
  <c r="D660"/>
  <c r="C21" i="55"/>
  <c r="K118" i="1"/>
  <c r="C22" i="55" s="1"/>
  <c r="D27" i="58"/>
  <c r="F27" s="1"/>
  <c r="T27" i="55"/>
  <c r="H27"/>
  <c r="Z27"/>
  <c r="F27"/>
  <c r="J27"/>
  <c r="X27"/>
  <c r="V27"/>
  <c r="F625" i="25"/>
  <c r="D661"/>
  <c r="X3575" i="1"/>
  <c r="V3590"/>
  <c r="X875"/>
  <c r="V891"/>
  <c r="X891" s="1"/>
  <c r="K3936"/>
  <c r="I3952"/>
  <c r="I3297"/>
  <c r="K3297" s="1"/>
  <c r="V857"/>
  <c r="X857" s="1"/>
  <c r="K857"/>
  <c r="P850"/>
  <c r="R850" s="1"/>
  <c r="AQ145"/>
  <c r="AS145" s="1"/>
  <c r="AQ162"/>
  <c r="AS131"/>
  <c r="P1171"/>
  <c r="R1171" s="1"/>
  <c r="R1140"/>
  <c r="N12"/>
  <c r="K12"/>
  <c r="D374" i="58"/>
  <c r="F374" s="1"/>
  <c r="X380" i="55"/>
  <c r="F380"/>
  <c r="R20" i="1"/>
  <c r="R26" s="1"/>
  <c r="R28" s="1"/>
  <c r="W587"/>
  <c r="H704" i="55"/>
  <c r="F704"/>
  <c r="T704"/>
  <c r="X704"/>
  <c r="V704"/>
  <c r="Z704"/>
  <c r="J704"/>
  <c r="D769" i="58"/>
  <c r="F769" s="1"/>
  <c r="AU106" i="1"/>
  <c r="AV106" s="1"/>
  <c r="K785" i="27"/>
  <c r="K788" s="1"/>
  <c r="K789" s="1"/>
  <c r="K790" s="1"/>
  <c r="K791" s="1"/>
  <c r="K792" s="1"/>
  <c r="I833"/>
  <c r="K833" s="1"/>
  <c r="K846" s="1"/>
  <c r="I815"/>
  <c r="K815" s="1"/>
  <c r="K827" s="1"/>
  <c r="I850"/>
  <c r="K850" s="1"/>
  <c r="K863" s="1"/>
  <c r="P2152" i="1"/>
  <c r="R2152" s="1"/>
  <c r="R2160" s="1"/>
  <c r="R2162" s="1"/>
  <c r="K2145"/>
  <c r="K2153" s="1"/>
  <c r="K2155" s="1"/>
  <c r="C414" i="55" s="1"/>
  <c r="I1651" i="27"/>
  <c r="K1651" s="1"/>
  <c r="K1656" s="1"/>
  <c r="K1658" s="1"/>
  <c r="I2306"/>
  <c r="K2306" s="1"/>
  <c r="K2313" s="1"/>
  <c r="K2316" s="1"/>
  <c r="I1662"/>
  <c r="K1662" s="1"/>
  <c r="K1665" s="1"/>
  <c r="K1667" s="1"/>
  <c r="I1672" s="1"/>
  <c r="K1672" s="1"/>
  <c r="K1675" s="1"/>
  <c r="K1677" s="1"/>
  <c r="I2465"/>
  <c r="K2465" s="1"/>
  <c r="K2472" s="1"/>
  <c r="K2474" s="1"/>
  <c r="I377" i="1"/>
  <c r="I442"/>
  <c r="K442" s="1"/>
  <c r="K449" s="1"/>
  <c r="K451" s="1"/>
  <c r="I456" s="1"/>
  <c r="K456" s="1"/>
  <c r="K460" s="1"/>
  <c r="K462" s="1"/>
  <c r="K464" s="1"/>
  <c r="P229"/>
  <c r="R229" s="1"/>
  <c r="P161"/>
  <c r="R161" s="1"/>
  <c r="I1197"/>
  <c r="K1197" s="1"/>
  <c r="K1208" s="1"/>
  <c r="K1210" s="1"/>
  <c r="P359"/>
  <c r="R359" s="1"/>
  <c r="R367" s="1"/>
  <c r="R369" s="1"/>
  <c r="I408"/>
  <c r="K408" s="1"/>
  <c r="K415" s="1"/>
  <c r="K417" s="1"/>
  <c r="AQ105"/>
  <c r="AS105" s="1"/>
  <c r="AU105" s="1"/>
  <c r="AV105" s="1"/>
  <c r="AQ130"/>
  <c r="I353"/>
  <c r="I484"/>
  <c r="K484" s="1"/>
  <c r="K492" s="1"/>
  <c r="K494" s="1"/>
  <c r="C67" i="55" s="1"/>
  <c r="I1402" i="1"/>
  <c r="K1402" s="1"/>
  <c r="K1409" s="1"/>
  <c r="K1411" s="1"/>
  <c r="X413" i="55"/>
  <c r="J413"/>
  <c r="V413"/>
  <c r="T413"/>
  <c r="Z413"/>
  <c r="H413"/>
  <c r="D407" i="58"/>
  <c r="F407" s="1"/>
  <c r="F413" i="55"/>
  <c r="V799" i="1"/>
  <c r="V641"/>
  <c r="K806"/>
  <c r="X40" i="55"/>
  <c r="Z40"/>
  <c r="F40"/>
  <c r="D40" i="58"/>
  <c r="F40" s="1"/>
  <c r="P634" i="27"/>
  <c r="R634" s="1"/>
  <c r="I608"/>
  <c r="K608" s="1"/>
  <c r="K612" s="1"/>
  <c r="K614" s="1"/>
  <c r="K284"/>
  <c r="K286" s="1"/>
  <c r="K287" s="1"/>
  <c r="K288" s="1"/>
  <c r="K289" s="1"/>
  <c r="K290" s="1"/>
  <c r="P2345" i="1"/>
  <c r="R2345" s="1"/>
  <c r="K137"/>
  <c r="K502"/>
  <c r="K508" s="1"/>
  <c r="K510" s="1"/>
  <c r="I2896"/>
  <c r="K2896" s="1"/>
  <c r="K2902" s="1"/>
  <c r="K2904" s="1"/>
  <c r="K2908" s="1"/>
  <c r="I592"/>
  <c r="K592" s="1"/>
  <c r="I593" s="1"/>
  <c r="K593" s="1"/>
  <c r="I594" s="1"/>
  <c r="K594" s="1"/>
  <c r="I595" s="1"/>
  <c r="K595" s="1"/>
  <c r="I596" s="1"/>
  <c r="K596" s="1"/>
  <c r="K599"/>
  <c r="C578" i="55"/>
  <c r="C260"/>
  <c r="F653" i="58"/>
  <c r="F621"/>
  <c r="F318"/>
  <c r="D650"/>
  <c r="T584" i="55"/>
  <c r="V584"/>
  <c r="H584"/>
  <c r="F584"/>
  <c r="Z584"/>
  <c r="X584"/>
  <c r="J584"/>
  <c r="F1048" i="58"/>
  <c r="F761"/>
  <c r="V259" i="55"/>
  <c r="H259"/>
  <c r="Z259"/>
  <c r="T259"/>
  <c r="X259"/>
  <c r="F259"/>
  <c r="D256" i="58"/>
  <c r="J259" i="55"/>
  <c r="F379" i="58"/>
  <c r="D654"/>
  <c r="H588" i="55"/>
  <c r="Z588"/>
  <c r="T588"/>
  <c r="V588"/>
  <c r="X588"/>
  <c r="F588"/>
  <c r="J588"/>
  <c r="AB1221" i="1"/>
  <c r="AD1221" s="1"/>
  <c r="AD1249"/>
  <c r="F592" i="58"/>
  <c r="F274"/>
  <c r="K3242" i="1"/>
  <c r="K3244" s="1"/>
  <c r="C1054" i="55" s="1"/>
  <c r="L3205" i="1"/>
  <c r="L3208" s="1"/>
  <c r="AS107"/>
  <c r="AQ132"/>
  <c r="AS134"/>
  <c r="AQ165"/>
  <c r="AS165" s="1"/>
  <c r="F1049" i="58"/>
  <c r="D766"/>
  <c r="X701" i="55"/>
  <c r="Z701"/>
  <c r="F701"/>
  <c r="V701"/>
  <c r="T701"/>
  <c r="H701"/>
  <c r="J701"/>
  <c r="K613" i="1"/>
  <c r="C589" i="55"/>
  <c r="I613" i="1"/>
  <c r="C265" i="55"/>
  <c r="F1047" i="58"/>
  <c r="AU109" i="1"/>
  <c r="AV109" s="1"/>
  <c r="F315" i="58"/>
  <c r="Z577" i="55"/>
  <c r="T577"/>
  <c r="D643" i="58"/>
  <c r="V577" i="55"/>
  <c r="H577"/>
  <c r="F577"/>
  <c r="X577"/>
  <c r="J577"/>
  <c r="F586" i="58"/>
  <c r="V264" i="55"/>
  <c r="J264"/>
  <c r="Z264"/>
  <c r="T264"/>
  <c r="D261" i="58"/>
  <c r="X264" i="55"/>
  <c r="F264"/>
  <c r="H264"/>
  <c r="K3211" i="1"/>
  <c r="K3213" s="1"/>
  <c r="C1055" i="55" s="1"/>
  <c r="L3174" i="1"/>
  <c r="L3177" s="1"/>
  <c r="L3179" s="1"/>
  <c r="F310" i="58"/>
  <c r="AD1248" i="1"/>
  <c r="AB1220"/>
  <c r="AD1220" s="1"/>
  <c r="K3270"/>
  <c r="K3272" s="1"/>
  <c r="C1057" i="55" s="1"/>
  <c r="L3230" i="1"/>
  <c r="L3236" s="1"/>
  <c r="L3238" s="1"/>
  <c r="F588" i="58"/>
  <c r="F521" i="55"/>
  <c r="V521"/>
  <c r="X521"/>
  <c r="H521"/>
  <c r="J521"/>
  <c r="T521"/>
  <c r="D590" i="58"/>
  <c r="Z521" i="55"/>
  <c r="F260" i="58"/>
  <c r="F1068"/>
  <c r="AB1247" i="1"/>
  <c r="X1242"/>
  <c r="F642" i="58"/>
  <c r="F591"/>
  <c r="AQ164" i="1"/>
  <c r="AS164" s="1"/>
  <c r="AS133"/>
  <c r="X583" i="55"/>
  <c r="J583"/>
  <c r="T583"/>
  <c r="D649" i="58"/>
  <c r="H583" i="55"/>
  <c r="F583"/>
  <c r="Z583"/>
  <c r="V583"/>
  <c r="R1497" i="1"/>
  <c r="R1499" s="1"/>
  <c r="V1458"/>
  <c r="F255" i="58"/>
  <c r="AB1214" i="1"/>
  <c r="AD1214" s="1"/>
  <c r="AD1242"/>
  <c r="AB1425"/>
  <c r="AD1425" s="1"/>
  <c r="AD1427" s="1"/>
  <c r="AD1408"/>
  <c r="AD1410" s="1"/>
  <c r="K4024"/>
  <c r="K4026" s="1"/>
  <c r="K4027" s="1"/>
  <c r="C702" i="55" s="1"/>
  <c r="I4036" i="1"/>
  <c r="K4036" s="1"/>
  <c r="K4038" s="1"/>
  <c r="K4039" s="1"/>
  <c r="C703" i="55" s="1"/>
  <c r="F879" i="58"/>
  <c r="L3189" i="1"/>
  <c r="L3192" s="1"/>
  <c r="L3194" s="1"/>
  <c r="K3226"/>
  <c r="K3228" s="1"/>
  <c r="C1056" i="55" s="1"/>
  <c r="J542" i="1"/>
  <c r="W541"/>
  <c r="AC541" s="1"/>
  <c r="R1474"/>
  <c r="R1475" s="1"/>
  <c r="R1476" s="1"/>
  <c r="P1481"/>
  <c r="V1435"/>
  <c r="F762" i="58"/>
  <c r="D164" i="25"/>
  <c r="F164" s="1"/>
  <c r="D307"/>
  <c r="F307" s="1"/>
  <c r="F141"/>
  <c r="F275" i="58"/>
  <c r="F648"/>
  <c r="K2945" i="1"/>
  <c r="I2954"/>
  <c r="K2954" s="1"/>
  <c r="AU108"/>
  <c r="AV108" s="1"/>
  <c r="L3106" i="11"/>
  <c r="K3105"/>
  <c r="D133" i="25"/>
  <c r="D298"/>
  <c r="F298" s="1"/>
  <c r="F132"/>
  <c r="H1043" i="55"/>
  <c r="F1043"/>
  <c r="J1043"/>
  <c r="V1043"/>
  <c r="T1043"/>
  <c r="Z1043"/>
  <c r="X1043"/>
  <c r="F903" i="58"/>
  <c r="P3114" i="11"/>
  <c r="K3114"/>
  <c r="K3118" s="1"/>
  <c r="K3079" i="27"/>
  <c r="K3087"/>
  <c r="K3091" s="1"/>
  <c r="F870" i="58"/>
  <c r="F865"/>
  <c r="C620" i="55"/>
  <c r="C432"/>
  <c r="F683" i="58"/>
  <c r="K3100" i="27"/>
  <c r="K3104" s="1"/>
  <c r="I3114"/>
  <c r="P3073"/>
  <c r="R3073" s="1"/>
  <c r="R3077" s="1"/>
  <c r="R3078" s="1"/>
  <c r="C809" i="55"/>
  <c r="K2190" i="27"/>
  <c r="X807" i="55"/>
  <c r="D871" i="58"/>
  <c r="Z807" i="55"/>
  <c r="F807"/>
  <c r="M3092" i="11"/>
  <c r="K3092"/>
  <c r="C1008" i="55" s="1"/>
  <c r="L3093" i="11"/>
  <c r="L3094" s="1"/>
  <c r="K3845"/>
  <c r="K3824"/>
  <c r="M3824"/>
  <c r="F681" i="58"/>
  <c r="F424"/>
  <c r="K3961" i="11"/>
  <c r="K3962" s="1"/>
  <c r="K3970"/>
  <c r="Z805" i="55"/>
  <c r="X805"/>
  <c r="D869" i="58"/>
  <c r="F805" i="55"/>
  <c r="K3080" i="11"/>
  <c r="L3081"/>
  <c r="T3078"/>
  <c r="R3078"/>
  <c r="S3081"/>
  <c r="S3079"/>
  <c r="K3942" i="27"/>
  <c r="K3948"/>
  <c r="K3952" s="1"/>
  <c r="K3953" s="1"/>
  <c r="Z804" i="55"/>
  <c r="D868" i="58"/>
  <c r="F804" i="55"/>
  <c r="X804"/>
  <c r="F423" i="58"/>
  <c r="F422"/>
  <c r="F682"/>
  <c r="P65" i="11"/>
  <c r="R65" s="1"/>
  <c r="R72" s="1"/>
  <c r="R74" s="1"/>
  <c r="P631" s="1"/>
  <c r="R631" s="1"/>
  <c r="R642" s="1"/>
  <c r="I209"/>
  <c r="K209" s="1"/>
  <c r="K216" s="1"/>
  <c r="K218" s="1"/>
  <c r="P604"/>
  <c r="R604" s="1"/>
  <c r="I771"/>
  <c r="K771" s="1"/>
  <c r="K779" s="1"/>
  <c r="K781" s="1"/>
  <c r="I1636"/>
  <c r="K1636" s="1"/>
  <c r="K1642" s="1"/>
  <c r="K1644" s="1"/>
  <c r="I269"/>
  <c r="K269" s="1"/>
  <c r="K277" s="1"/>
  <c r="K279" s="1"/>
  <c r="Z620" i="55" l="1"/>
  <c r="R620"/>
  <c r="Z510"/>
  <c r="R510"/>
  <c r="Z45"/>
  <c r="R45"/>
  <c r="Z552"/>
  <c r="R552"/>
  <c r="Z348"/>
  <c r="R348"/>
  <c r="Z543"/>
  <c r="R543"/>
  <c r="V809"/>
  <c r="T809"/>
  <c r="P809"/>
  <c r="N809"/>
  <c r="H809"/>
  <c r="L809"/>
  <c r="J809"/>
  <c r="C49" i="75"/>
  <c r="F49" s="1"/>
  <c r="V348" i="55"/>
  <c r="T348"/>
  <c r="L348"/>
  <c r="N348"/>
  <c r="J348"/>
  <c r="H348"/>
  <c r="P348"/>
  <c r="V739"/>
  <c r="T739"/>
  <c r="P739"/>
  <c r="N739"/>
  <c r="J739"/>
  <c r="H739"/>
  <c r="L739"/>
  <c r="F552"/>
  <c r="V552"/>
  <c r="T552"/>
  <c r="P552"/>
  <c r="L552"/>
  <c r="N552"/>
  <c r="J552"/>
  <c r="H552"/>
  <c r="V620"/>
  <c r="T620"/>
  <c r="P620"/>
  <c r="N620"/>
  <c r="L620"/>
  <c r="J620"/>
  <c r="H620"/>
  <c r="V543"/>
  <c r="N543"/>
  <c r="T543"/>
  <c r="P543"/>
  <c r="L543"/>
  <c r="H543"/>
  <c r="J543"/>
  <c r="C86" i="75"/>
  <c r="F86" s="1"/>
  <c r="V432" i="55"/>
  <c r="N432"/>
  <c r="P432"/>
  <c r="L432"/>
  <c r="J432"/>
  <c r="T432"/>
  <c r="H432"/>
  <c r="V510"/>
  <c r="T510"/>
  <c r="P510"/>
  <c r="N510"/>
  <c r="L510"/>
  <c r="J510"/>
  <c r="H510"/>
  <c r="V45"/>
  <c r="T45"/>
  <c r="P45"/>
  <c r="N45"/>
  <c r="L45"/>
  <c r="J45"/>
  <c r="H45"/>
  <c r="J737"/>
  <c r="T737"/>
  <c r="F737"/>
  <c r="H737"/>
  <c r="Z737"/>
  <c r="D802" i="58"/>
  <c r="F802" s="1"/>
  <c r="V727" i="1"/>
  <c r="X727" s="1"/>
  <c r="D42" i="50"/>
  <c r="X673" i="1"/>
  <c r="O3397" i="27"/>
  <c r="O3400" s="1"/>
  <c r="N3400"/>
  <c r="D551" i="58"/>
  <c r="F551" s="1"/>
  <c r="F510" i="55"/>
  <c r="X510"/>
  <c r="I3677" i="27"/>
  <c r="K3677" s="1"/>
  <c r="K3628"/>
  <c r="I3615" s="1"/>
  <c r="D45" i="58"/>
  <c r="F45" s="1"/>
  <c r="F45" i="55"/>
  <c r="X45"/>
  <c r="V812" i="1"/>
  <c r="X812" s="1"/>
  <c r="X797"/>
  <c r="F42" i="32"/>
  <c r="H42" s="1"/>
  <c r="D105"/>
  <c r="F105" s="1"/>
  <c r="P2343" i="1"/>
  <c r="I164"/>
  <c r="K164" s="1"/>
  <c r="K168" s="1"/>
  <c r="C44" i="55" s="1"/>
  <c r="P228" i="1"/>
  <c r="R228" s="1"/>
  <c r="R235" s="1"/>
  <c r="R237" s="1"/>
  <c r="C71"/>
  <c r="V672"/>
  <c r="D41" i="32"/>
  <c r="X702" i="1"/>
  <c r="Z702" s="1"/>
  <c r="P49"/>
  <c r="R49" s="1"/>
  <c r="P623"/>
  <c r="R623" s="1"/>
  <c r="I207"/>
  <c r="K207" s="1"/>
  <c r="I267"/>
  <c r="K267" s="1"/>
  <c r="K275" s="1"/>
  <c r="K277" s="1"/>
  <c r="P192"/>
  <c r="R192" s="1"/>
  <c r="I804"/>
  <c r="K804" s="1"/>
  <c r="K812" s="1"/>
  <c r="K814" s="1"/>
  <c r="P1138"/>
  <c r="I1702"/>
  <c r="K1702" s="1"/>
  <c r="V2789"/>
  <c r="I2640"/>
  <c r="R2828"/>
  <c r="R2829" s="1"/>
  <c r="R2831" s="1"/>
  <c r="P2861"/>
  <c r="Z739" i="55"/>
  <c r="F739"/>
  <c r="D804" i="58"/>
  <c r="F804" s="1"/>
  <c r="X739" i="55"/>
  <c r="AG3541" i="1"/>
  <c r="AG3545" s="1"/>
  <c r="AG3546" s="1"/>
  <c r="C741" i="55" s="1"/>
  <c r="AE3557" i="1"/>
  <c r="D612" i="58"/>
  <c r="F612" s="1"/>
  <c r="X543" i="55"/>
  <c r="F543"/>
  <c r="X979"/>
  <c r="D1046" i="58"/>
  <c r="F1046" s="1"/>
  <c r="T979" i="55"/>
  <c r="F979"/>
  <c r="H979"/>
  <c r="Z979"/>
  <c r="V979"/>
  <c r="J979"/>
  <c r="X3541" i="1"/>
  <c r="X3545" s="1"/>
  <c r="X3546" s="1"/>
  <c r="V3557"/>
  <c r="K65"/>
  <c r="K30"/>
  <c r="K46"/>
  <c r="K74"/>
  <c r="K55"/>
  <c r="K21"/>
  <c r="K141"/>
  <c r="J21" i="55"/>
  <c r="T21"/>
  <c r="V21"/>
  <c r="Z21"/>
  <c r="F21"/>
  <c r="X21"/>
  <c r="D21" i="58"/>
  <c r="F21" s="1"/>
  <c r="H21" i="55"/>
  <c r="F628" i="25"/>
  <c r="F630" s="1"/>
  <c r="C798" i="55" s="1"/>
  <c r="X3590" i="1"/>
  <c r="V3607"/>
  <c r="X3607" s="1"/>
  <c r="F661" i="25"/>
  <c r="D697"/>
  <c r="F697" s="1"/>
  <c r="X22" i="55"/>
  <c r="D22" i="58"/>
  <c r="F22" s="1"/>
  <c r="T22" i="55"/>
  <c r="Z22"/>
  <c r="V22"/>
  <c r="H22"/>
  <c r="F22"/>
  <c r="J22"/>
  <c r="F660" i="25"/>
  <c r="F664" s="1"/>
  <c r="F666" s="1"/>
  <c r="C799" i="55" s="1"/>
  <c r="F799" s="1"/>
  <c r="D696" i="25"/>
  <c r="F696" s="1"/>
  <c r="K3952" i="1"/>
  <c r="I3969"/>
  <c r="K3969" s="1"/>
  <c r="K2910"/>
  <c r="I2693" i="27"/>
  <c r="K2693" s="1"/>
  <c r="I620"/>
  <c r="K620" s="1"/>
  <c r="K626" s="1"/>
  <c r="K628" s="1"/>
  <c r="K630" s="1"/>
  <c r="P608"/>
  <c r="R608" s="1"/>
  <c r="P577"/>
  <c r="R577" s="1"/>
  <c r="P591"/>
  <c r="R591" s="1"/>
  <c r="F348" i="55"/>
  <c r="X348"/>
  <c r="D343" i="58"/>
  <c r="F343" s="1"/>
  <c r="T414" i="55"/>
  <c r="Z414"/>
  <c r="J414"/>
  <c r="H414"/>
  <c r="X414"/>
  <c r="D408" i="58"/>
  <c r="F408" s="1"/>
  <c r="F414" i="55"/>
  <c r="V414"/>
  <c r="AU145" i="1"/>
  <c r="AV145" s="1"/>
  <c r="X799"/>
  <c r="X808" s="1"/>
  <c r="V814"/>
  <c r="X814" s="1"/>
  <c r="X823" s="1"/>
  <c r="Z812" s="1"/>
  <c r="Z813" s="1"/>
  <c r="Z814" s="1"/>
  <c r="Z815" s="1"/>
  <c r="Z816" s="1"/>
  <c r="Z817" s="1"/>
  <c r="Z818" s="1"/>
  <c r="Z819" s="1"/>
  <c r="Z820" s="1"/>
  <c r="Z821" s="1"/>
  <c r="AS130"/>
  <c r="AU130" s="1"/>
  <c r="AV130" s="1"/>
  <c r="AQ161"/>
  <c r="AS161" s="1"/>
  <c r="AU161" s="1"/>
  <c r="AV161" s="1"/>
  <c r="I2438"/>
  <c r="K2438" s="1"/>
  <c r="K2443" s="1"/>
  <c r="K2445" s="1"/>
  <c r="V377"/>
  <c r="K377"/>
  <c r="K384" s="1"/>
  <c r="K386" s="1"/>
  <c r="I391" s="1"/>
  <c r="K391" s="1"/>
  <c r="K395" s="1"/>
  <c r="K397" s="1"/>
  <c r="AQ177"/>
  <c r="AS177" s="1"/>
  <c r="AS162"/>
  <c r="AD641"/>
  <c r="AF641" s="1"/>
  <c r="AF647" s="1"/>
  <c r="AF649" s="1"/>
  <c r="AF651" s="1"/>
  <c r="AF652" s="1"/>
  <c r="AF654" s="1"/>
  <c r="X641"/>
  <c r="X647" s="1"/>
  <c r="X649" s="1"/>
  <c r="X651" s="1"/>
  <c r="X652" s="1"/>
  <c r="X654" s="1"/>
  <c r="V704"/>
  <c r="V353"/>
  <c r="K353"/>
  <c r="K360" s="1"/>
  <c r="K362" s="1"/>
  <c r="K364" s="1"/>
  <c r="P654"/>
  <c r="R654" s="1"/>
  <c r="K465"/>
  <c r="AU131"/>
  <c r="AV131" s="1"/>
  <c r="I547"/>
  <c r="K547" s="1"/>
  <c r="K552" s="1"/>
  <c r="K554" s="1"/>
  <c r="I523"/>
  <c r="K523" s="1"/>
  <c r="K528" s="1"/>
  <c r="K530" s="1"/>
  <c r="I532" s="1"/>
  <c r="K532" s="1"/>
  <c r="K514"/>
  <c r="K516" s="1"/>
  <c r="X67" i="55"/>
  <c r="T67"/>
  <c r="Z67"/>
  <c r="H67"/>
  <c r="F67"/>
  <c r="V67"/>
  <c r="D64" i="58"/>
  <c r="F64" s="1"/>
  <c r="J67" i="55"/>
  <c r="I423" i="1"/>
  <c r="K423" s="1"/>
  <c r="K427" s="1"/>
  <c r="K429" s="1"/>
  <c r="K431" s="1"/>
  <c r="P264"/>
  <c r="R264" s="1"/>
  <c r="R268" s="1"/>
  <c r="R270" s="1"/>
  <c r="R272" s="1"/>
  <c r="R273" s="1"/>
  <c r="R274" s="1"/>
  <c r="R275" s="1"/>
  <c r="H265" i="55"/>
  <c r="V265"/>
  <c r="J265"/>
  <c r="T265"/>
  <c r="F265"/>
  <c r="D262" i="58"/>
  <c r="X265" i="55"/>
  <c r="Z265"/>
  <c r="C757"/>
  <c r="C325"/>
  <c r="C756"/>
  <c r="X702"/>
  <c r="V702"/>
  <c r="J702"/>
  <c r="F702"/>
  <c r="D767" i="58"/>
  <c r="H702" i="55"/>
  <c r="T702"/>
  <c r="Z702"/>
  <c r="AU164" i="1"/>
  <c r="AV164" s="1"/>
  <c r="F590" i="58"/>
  <c r="F643"/>
  <c r="C266" i="55"/>
  <c r="C590"/>
  <c r="F766" i="58"/>
  <c r="AU165" i="1"/>
  <c r="AV165" s="1"/>
  <c r="F260" i="55"/>
  <c r="Z260"/>
  <c r="X260"/>
  <c r="V260"/>
  <c r="D257" i="58"/>
  <c r="T260" i="55"/>
  <c r="J260"/>
  <c r="H260"/>
  <c r="V1054"/>
  <c r="H1054"/>
  <c r="J1054"/>
  <c r="F1054"/>
  <c r="D1069" i="58"/>
  <c r="T1054" i="55"/>
  <c r="Z1054"/>
  <c r="X1054"/>
  <c r="F654" i="58"/>
  <c r="F650"/>
  <c r="H578" i="55"/>
  <c r="Z578"/>
  <c r="J578"/>
  <c r="V578"/>
  <c r="X578"/>
  <c r="T578"/>
  <c r="D644" i="58"/>
  <c r="F578" i="55"/>
  <c r="V1442" i="1"/>
  <c r="R1481"/>
  <c r="R1482" s="1"/>
  <c r="D1071" i="58"/>
  <c r="V1056" i="55"/>
  <c r="J1056"/>
  <c r="T1056"/>
  <c r="Z1056"/>
  <c r="X1056"/>
  <c r="H1056"/>
  <c r="F1056"/>
  <c r="D768" i="58"/>
  <c r="H703" i="55"/>
  <c r="T703"/>
  <c r="F703"/>
  <c r="X703"/>
  <c r="V703"/>
  <c r="J703"/>
  <c r="Z703"/>
  <c r="X1458" i="1"/>
  <c r="X1460" s="1"/>
  <c r="C319" i="55" s="1"/>
  <c r="AB1456" i="1"/>
  <c r="AD1456" s="1"/>
  <c r="AD1458" s="1"/>
  <c r="AU133"/>
  <c r="AV133" s="1"/>
  <c r="J589" i="55"/>
  <c r="H589"/>
  <c r="T589"/>
  <c r="Z589"/>
  <c r="F589"/>
  <c r="X589"/>
  <c r="D655" i="58"/>
  <c r="V589" i="55"/>
  <c r="AU107" i="1"/>
  <c r="AV107" s="1"/>
  <c r="AS112"/>
  <c r="F256" i="58"/>
  <c r="F649"/>
  <c r="AU134" i="1"/>
  <c r="AV134" s="1"/>
  <c r="AB1433"/>
  <c r="AD1433" s="1"/>
  <c r="AD1434" s="1"/>
  <c r="AD1435" s="1"/>
  <c r="X1435"/>
  <c r="X1436" s="1"/>
  <c r="X1437" s="1"/>
  <c r="J543"/>
  <c r="W542"/>
  <c r="AC542" s="1"/>
  <c r="AB1219"/>
  <c r="AD1219" s="1"/>
  <c r="AD1247"/>
  <c r="D1072" i="58"/>
  <c r="F1057" i="55"/>
  <c r="X1057"/>
  <c r="J1057"/>
  <c r="T1057"/>
  <c r="Z1057"/>
  <c r="H1057"/>
  <c r="V1057"/>
  <c r="J1055"/>
  <c r="V1055"/>
  <c r="F1055"/>
  <c r="H1055"/>
  <c r="T1055"/>
  <c r="X1055"/>
  <c r="Z1055"/>
  <c r="D1070" i="58"/>
  <c r="F261"/>
  <c r="AS132" i="1"/>
  <c r="AQ163"/>
  <c r="AS163" s="1"/>
  <c r="K3849" i="11"/>
  <c r="K3857"/>
  <c r="C836" i="55"/>
  <c r="C1037"/>
  <c r="L3106" i="27"/>
  <c r="K3105"/>
  <c r="K2206" s="1"/>
  <c r="X432" i="55"/>
  <c r="F432"/>
  <c r="D426" i="58"/>
  <c r="Z432" i="55"/>
  <c r="K2280" i="1"/>
  <c r="C1009" i="55"/>
  <c r="K2206" i="11"/>
  <c r="K3982"/>
  <c r="K3974"/>
  <c r="K3975" s="1"/>
  <c r="F620" i="55"/>
  <c r="D685" i="58"/>
  <c r="X620" i="55"/>
  <c r="L3093" i="27"/>
  <c r="K3092"/>
  <c r="F869" i="58"/>
  <c r="F868"/>
  <c r="H1008" i="55"/>
  <c r="F1008"/>
  <c r="X1008"/>
  <c r="C625"/>
  <c r="V1008"/>
  <c r="J1008"/>
  <c r="T1008"/>
  <c r="Z1008"/>
  <c r="F871" i="58"/>
  <c r="K3114" i="27"/>
  <c r="K3118" s="1"/>
  <c r="P3114"/>
  <c r="P3128" i="11"/>
  <c r="R3128" s="1"/>
  <c r="R3132" s="1"/>
  <c r="R3114"/>
  <c r="R3118" s="1"/>
  <c r="D299" i="25"/>
  <c r="F299" s="1"/>
  <c r="D134"/>
  <c r="F133"/>
  <c r="K2279" i="1"/>
  <c r="K2205" i="11"/>
  <c r="L3962"/>
  <c r="C1044" i="55"/>
  <c r="X809"/>
  <c r="D873" i="58"/>
  <c r="F809" i="55"/>
  <c r="Z809"/>
  <c r="K3080" i="27"/>
  <c r="K2205" s="1"/>
  <c r="L3081"/>
  <c r="L3120" i="11"/>
  <c r="K3119"/>
  <c r="C1010" i="55" s="1"/>
  <c r="I1662" i="11"/>
  <c r="K1662" s="1"/>
  <c r="K1665" s="1"/>
  <c r="K1667" s="1"/>
  <c r="I1672" s="1"/>
  <c r="K1672" s="1"/>
  <c r="K1675" s="1"/>
  <c r="K1677" s="1"/>
  <c r="I2306"/>
  <c r="K2306" s="1"/>
  <c r="K2313" s="1"/>
  <c r="K2316" s="1"/>
  <c r="I1651"/>
  <c r="K1651" s="1"/>
  <c r="K1656" s="1"/>
  <c r="K1658" s="1"/>
  <c r="I2465"/>
  <c r="K2465" s="1"/>
  <c r="K2472" s="1"/>
  <c r="K2474" s="1"/>
  <c r="K284"/>
  <c r="K286" s="1"/>
  <c r="K287" s="1"/>
  <c r="K288" s="1"/>
  <c r="K289" s="1"/>
  <c r="K290" s="1"/>
  <c r="I608"/>
  <c r="K608" s="1"/>
  <c r="K612" s="1"/>
  <c r="K614" s="1"/>
  <c r="P634"/>
  <c r="R634" s="1"/>
  <c r="I815"/>
  <c r="K815" s="1"/>
  <c r="K827" s="1"/>
  <c r="K785"/>
  <c r="K788" s="1"/>
  <c r="K789" s="1"/>
  <c r="K790" s="1"/>
  <c r="K791" s="1"/>
  <c r="K792" s="1"/>
  <c r="I833"/>
  <c r="K833" s="1"/>
  <c r="K846" s="1"/>
  <c r="I850"/>
  <c r="K850" s="1"/>
  <c r="K863" s="1"/>
  <c r="I2989" i="1" l="1"/>
  <c r="K818"/>
  <c r="Z221" i="55"/>
  <c r="R221"/>
  <c r="C39"/>
  <c r="P39" s="1"/>
  <c r="D121" i="62"/>
  <c r="F121" s="1"/>
  <c r="F122" s="1"/>
  <c r="F123" s="1"/>
  <c r="C60" i="55" s="1"/>
  <c r="Z625"/>
  <c r="R625"/>
  <c r="Z336"/>
  <c r="R336"/>
  <c r="Z44"/>
  <c r="R44"/>
  <c r="F700" i="25"/>
  <c r="F702" s="1"/>
  <c r="C800" i="55" s="1"/>
  <c r="V757"/>
  <c r="T757"/>
  <c r="P757"/>
  <c r="N757"/>
  <c r="H757"/>
  <c r="L757"/>
  <c r="J757"/>
  <c r="C11" i="75"/>
  <c r="F11" s="1"/>
  <c r="T39" i="55"/>
  <c r="J39"/>
  <c r="L39"/>
  <c r="V44"/>
  <c r="T44"/>
  <c r="P44"/>
  <c r="L44"/>
  <c r="N44"/>
  <c r="J44"/>
  <c r="H44"/>
  <c r="V625"/>
  <c r="T625"/>
  <c r="P625"/>
  <c r="N625"/>
  <c r="L625"/>
  <c r="J625"/>
  <c r="H625"/>
  <c r="V756"/>
  <c r="T756"/>
  <c r="P756"/>
  <c r="N756"/>
  <c r="L756"/>
  <c r="J756"/>
  <c r="H756"/>
  <c r="C33" i="75"/>
  <c r="F33" s="1"/>
  <c r="V221" i="55"/>
  <c r="T221"/>
  <c r="P221"/>
  <c r="L221"/>
  <c r="N221"/>
  <c r="J221"/>
  <c r="H221"/>
  <c r="V741"/>
  <c r="T741"/>
  <c r="P741"/>
  <c r="L741"/>
  <c r="J741"/>
  <c r="H741"/>
  <c r="N741"/>
  <c r="C45" i="75"/>
  <c r="F45" s="1"/>
  <c r="V336" i="55"/>
  <c r="T336"/>
  <c r="L336"/>
  <c r="J336"/>
  <c r="N336"/>
  <c r="H336"/>
  <c r="P336"/>
  <c r="P653" i="1"/>
  <c r="R653" s="1"/>
  <c r="I634"/>
  <c r="K634" s="1"/>
  <c r="K638" s="1"/>
  <c r="K640" s="1"/>
  <c r="K282"/>
  <c r="C740" i="55"/>
  <c r="F740" s="1"/>
  <c r="V192" i="1"/>
  <c r="X192" s="1"/>
  <c r="I192"/>
  <c r="T799" i="55"/>
  <c r="V726" i="1"/>
  <c r="X726" s="1"/>
  <c r="X672"/>
  <c r="D41" i="50"/>
  <c r="P2352" i="1"/>
  <c r="R2352" s="1"/>
  <c r="R2354" s="1"/>
  <c r="C636" i="55" s="1"/>
  <c r="R2343" i="1"/>
  <c r="I3663" i="27"/>
  <c r="K3663" s="1"/>
  <c r="K3676" s="1"/>
  <c r="M3676" s="1"/>
  <c r="I3673"/>
  <c r="K3673" s="1"/>
  <c r="D105" i="50"/>
  <c r="F105" s="1"/>
  <c r="F42"/>
  <c r="D863" i="58"/>
  <c r="F863" s="1"/>
  <c r="X799" i="55"/>
  <c r="R1138" i="1"/>
  <c r="R1149" s="1"/>
  <c r="R1153" s="1"/>
  <c r="P1169"/>
  <c r="R1169" s="1"/>
  <c r="R1180" s="1"/>
  <c r="F41" i="32"/>
  <c r="H41" s="1"/>
  <c r="D104"/>
  <c r="F104" s="1"/>
  <c r="D44" i="58"/>
  <c r="F44" s="1"/>
  <c r="X44" i="55"/>
  <c r="F44"/>
  <c r="I3646" i="27"/>
  <c r="K3646" s="1"/>
  <c r="K3650" s="1"/>
  <c r="K3615"/>
  <c r="K3619" s="1"/>
  <c r="H799" i="55"/>
  <c r="D806" i="58"/>
  <c r="F806" s="1"/>
  <c r="Z741" i="55"/>
  <c r="X741"/>
  <c r="F741"/>
  <c r="C303"/>
  <c r="X2789" i="1"/>
  <c r="X2790" s="1"/>
  <c r="X2792" s="1"/>
  <c r="AE2793"/>
  <c r="AG2793" s="1"/>
  <c r="AG2794" s="1"/>
  <c r="AG2796" s="1"/>
  <c r="V3573"/>
  <c r="X3557"/>
  <c r="X3561" s="1"/>
  <c r="X3562" s="1"/>
  <c r="C736" i="55" s="1"/>
  <c r="AG3557" i="1"/>
  <c r="AG3561" s="1"/>
  <c r="AG3562" s="1"/>
  <c r="C742" i="55" s="1"/>
  <c r="V3620" i="1"/>
  <c r="X3620" s="1"/>
  <c r="X3624" s="1"/>
  <c r="X3625" s="1"/>
  <c r="C738" i="55" s="1"/>
  <c r="P3160" i="1"/>
  <c r="R3160" s="1"/>
  <c r="R3161" s="1"/>
  <c r="R3163" s="1"/>
  <c r="C560" i="55" s="1"/>
  <c r="R2861" i="1"/>
  <c r="R2862" s="1"/>
  <c r="R2864" s="1"/>
  <c r="C545" i="55" s="1"/>
  <c r="V2609" i="1"/>
  <c r="K2640"/>
  <c r="K2642" s="1"/>
  <c r="K2644" s="1"/>
  <c r="C556" i="55" s="1"/>
  <c r="F39"/>
  <c r="X39"/>
  <c r="D39" i="58"/>
  <c r="F39" s="1"/>
  <c r="I208" i="1"/>
  <c r="K208" s="1"/>
  <c r="K214" s="1"/>
  <c r="K216" s="1"/>
  <c r="C50" i="55" s="1"/>
  <c r="I1268" i="1"/>
  <c r="P50"/>
  <c r="R50" s="1"/>
  <c r="R56" s="1"/>
  <c r="R58" s="1"/>
  <c r="P650" s="1"/>
  <c r="R650" s="1"/>
  <c r="AB1329"/>
  <c r="AC1329" s="1"/>
  <c r="AC1333" s="1"/>
  <c r="AC1334" s="1"/>
  <c r="V1338" s="1"/>
  <c r="X1338" s="1"/>
  <c r="P316"/>
  <c r="R316" s="1"/>
  <c r="R322" s="1"/>
  <c r="R324" s="1"/>
  <c r="P304"/>
  <c r="R304" s="1"/>
  <c r="R310" s="1"/>
  <c r="R312" s="1"/>
  <c r="I3804"/>
  <c r="K3804" s="1"/>
  <c r="K3809" s="1"/>
  <c r="K3811" s="1"/>
  <c r="C846" i="55" s="1"/>
  <c r="AQ85" i="1"/>
  <c r="AS85" s="1"/>
  <c r="AS92" s="1"/>
  <c r="AS94" s="1"/>
  <c r="AS96" s="1"/>
  <c r="P177"/>
  <c r="R177" s="1"/>
  <c r="I333"/>
  <c r="I223"/>
  <c r="K223" s="1"/>
  <c r="K229" s="1"/>
  <c r="K231" s="1"/>
  <c r="C51" i="55" s="1"/>
  <c r="P36" i="1"/>
  <c r="R36" s="1"/>
  <c r="R41" s="1"/>
  <c r="R44" s="1"/>
  <c r="I1450"/>
  <c r="K1450" s="1"/>
  <c r="K1455" s="1"/>
  <c r="K1457" s="1"/>
  <c r="C351" i="55" s="1"/>
  <c r="I3249" i="1"/>
  <c r="K3249" s="1"/>
  <c r="K3255" s="1"/>
  <c r="K3257" s="1"/>
  <c r="I1462"/>
  <c r="K1462" s="1"/>
  <c r="K1467" s="1"/>
  <c r="K1469" s="1"/>
  <c r="C352" i="55" s="1"/>
  <c r="I309" i="1"/>
  <c r="K309" s="1"/>
  <c r="K316" s="1"/>
  <c r="K318" s="1"/>
  <c r="P333"/>
  <c r="R333" s="1"/>
  <c r="R339" s="1"/>
  <c r="R341" s="1"/>
  <c r="P64"/>
  <c r="R64" s="1"/>
  <c r="R71" s="1"/>
  <c r="R73" s="1"/>
  <c r="P651" s="1"/>
  <c r="R651" s="1"/>
  <c r="AQ61"/>
  <c r="AS61" s="1"/>
  <c r="AS68" s="1"/>
  <c r="AS70" s="1"/>
  <c r="AS72" s="1"/>
  <c r="AS73" s="1"/>
  <c r="AS74" s="1"/>
  <c r="AS75" s="1"/>
  <c r="AS76" s="1"/>
  <c r="I1475"/>
  <c r="K1475" s="1"/>
  <c r="K1480" s="1"/>
  <c r="K1482" s="1"/>
  <c r="C353" i="55" s="1"/>
  <c r="I294" i="1"/>
  <c r="K294" s="1"/>
  <c r="K301" s="1"/>
  <c r="K303" s="1"/>
  <c r="C58" i="55" s="1"/>
  <c r="V309" i="1"/>
  <c r="X309" s="1"/>
  <c r="X316" s="1"/>
  <c r="X318" s="1"/>
  <c r="I1389"/>
  <c r="K1389" s="1"/>
  <c r="K1395" s="1"/>
  <c r="K1397" s="1"/>
  <c r="I193"/>
  <c r="AE309"/>
  <c r="AG309" s="1"/>
  <c r="AG316" s="1"/>
  <c r="AG318" s="1"/>
  <c r="P1330"/>
  <c r="I1246"/>
  <c r="I617"/>
  <c r="K617" s="1"/>
  <c r="K622" s="1"/>
  <c r="K624" s="1"/>
  <c r="I625" s="1"/>
  <c r="K625" s="1"/>
  <c r="I3452"/>
  <c r="I1415"/>
  <c r="K1415" s="1"/>
  <c r="K1421" s="1"/>
  <c r="K1423" s="1"/>
  <c r="I1373"/>
  <c r="K1373" s="1"/>
  <c r="P193"/>
  <c r="I1430"/>
  <c r="K1430" s="1"/>
  <c r="I1333"/>
  <c r="K1333" s="1"/>
  <c r="K1339" s="1"/>
  <c r="K1341" s="1"/>
  <c r="P293"/>
  <c r="R293" s="1"/>
  <c r="R299" s="1"/>
  <c r="R301" s="1"/>
  <c r="I2421"/>
  <c r="P345"/>
  <c r="R345" s="1"/>
  <c r="R351" s="1"/>
  <c r="R353" s="1"/>
  <c r="I1351"/>
  <c r="K1351" s="1"/>
  <c r="I1703"/>
  <c r="K1703" s="1"/>
  <c r="K1708" s="1"/>
  <c r="K1710" s="1"/>
  <c r="I1217"/>
  <c r="J800" i="55"/>
  <c r="T800"/>
  <c r="F800"/>
  <c r="Z800"/>
  <c r="X800"/>
  <c r="V800"/>
  <c r="D864" i="58"/>
  <c r="F864" s="1"/>
  <c r="H800" i="55"/>
  <c r="V798"/>
  <c r="D862" i="58"/>
  <c r="F862" s="1"/>
  <c r="Z798" i="55"/>
  <c r="X798"/>
  <c r="F798"/>
  <c r="H798"/>
  <c r="T798"/>
  <c r="J798"/>
  <c r="Z799"/>
  <c r="V799"/>
  <c r="J799"/>
  <c r="J364" i="1"/>
  <c r="K365"/>
  <c r="AF656"/>
  <c r="AF657" s="1"/>
  <c r="AF658" s="1"/>
  <c r="AF659" s="1"/>
  <c r="AF660" s="1"/>
  <c r="AF661" s="1"/>
  <c r="AB525"/>
  <c r="AU162"/>
  <c r="AV162" s="1"/>
  <c r="F336" i="55"/>
  <c r="X336"/>
  <c r="D331" i="58"/>
  <c r="F331" s="1"/>
  <c r="I2924" i="1"/>
  <c r="K2924" s="1"/>
  <c r="K2927" s="1"/>
  <c r="K2928" s="1"/>
  <c r="K2911"/>
  <c r="K820"/>
  <c r="I3917"/>
  <c r="C57" i="55"/>
  <c r="I556" i="1"/>
  <c r="K556" s="1"/>
  <c r="C249" i="55"/>
  <c r="X656" i="1"/>
  <c r="X657" s="1"/>
  <c r="X658" s="1"/>
  <c r="X659" s="1"/>
  <c r="X660" s="1"/>
  <c r="X661" s="1"/>
  <c r="V525"/>
  <c r="AE386"/>
  <c r="X377"/>
  <c r="X384" s="1"/>
  <c r="X386" s="1"/>
  <c r="V391" s="1"/>
  <c r="X391" s="1"/>
  <c r="X395" s="1"/>
  <c r="X397" s="1"/>
  <c r="V408"/>
  <c r="X408" s="1"/>
  <c r="X415" s="1"/>
  <c r="X417" s="1"/>
  <c r="V423" s="1"/>
  <c r="X423" s="1"/>
  <c r="X427" s="1"/>
  <c r="X429" s="1"/>
  <c r="X431" s="1"/>
  <c r="D563" i="58"/>
  <c r="F563" s="1"/>
  <c r="I2786" i="1"/>
  <c r="K2786" s="1"/>
  <c r="K2793" s="1"/>
  <c r="K2795" s="1"/>
  <c r="C1003" i="55" s="1"/>
  <c r="K2989" i="1"/>
  <c r="K2996" s="1"/>
  <c r="K2998" s="1"/>
  <c r="C236" i="55"/>
  <c r="I533" i="1"/>
  <c r="K533" s="1"/>
  <c r="X221" i="55"/>
  <c r="D218" i="58"/>
  <c r="F218" s="1"/>
  <c r="F221" i="55"/>
  <c r="V674" i="1"/>
  <c r="X704"/>
  <c r="D43" i="32"/>
  <c r="K399" i="1"/>
  <c r="C171" i="55"/>
  <c r="K631" i="27"/>
  <c r="K632" s="1"/>
  <c r="K633" s="1"/>
  <c r="K634" s="1"/>
  <c r="I2616"/>
  <c r="K2616" s="1"/>
  <c r="K432" i="1"/>
  <c r="C209" i="55"/>
  <c r="L516" i="1"/>
  <c r="K517"/>
  <c r="K518" s="1"/>
  <c r="K519" s="1"/>
  <c r="K466"/>
  <c r="AE362"/>
  <c r="AG362" s="1"/>
  <c r="AG369" s="1"/>
  <c r="AG371" s="1"/>
  <c r="AG373" s="1"/>
  <c r="X353"/>
  <c r="X360" s="1"/>
  <c r="X362" s="1"/>
  <c r="AU177"/>
  <c r="AV177" s="1"/>
  <c r="C1002" i="55"/>
  <c r="C759"/>
  <c r="C326"/>
  <c r="F1072" i="58"/>
  <c r="J544" i="1"/>
  <c r="W544" s="1"/>
  <c r="AC544" s="1"/>
  <c r="W543"/>
  <c r="AC543" s="1"/>
  <c r="AU112"/>
  <c r="AV112" s="1"/>
  <c r="AS114"/>
  <c r="F655" i="58"/>
  <c r="V1466" i="1"/>
  <c r="X1466" s="1"/>
  <c r="X1467" s="1"/>
  <c r="X1468" s="1"/>
  <c r="X1442"/>
  <c r="X1443" s="1"/>
  <c r="X1444" s="1"/>
  <c r="C758" i="55" s="1"/>
  <c r="F1069" i="58"/>
  <c r="V266" i="55"/>
  <c r="D263" i="58"/>
  <c r="H266" i="55"/>
  <c r="T266"/>
  <c r="Z266"/>
  <c r="F266"/>
  <c r="J266"/>
  <c r="X266"/>
  <c r="V325"/>
  <c r="F325"/>
  <c r="D320" i="58"/>
  <c r="T325" i="55"/>
  <c r="H325"/>
  <c r="Z325"/>
  <c r="J325"/>
  <c r="X325"/>
  <c r="F262" i="58"/>
  <c r="F1070"/>
  <c r="R1483" i="1"/>
  <c r="C755" i="55" s="1"/>
  <c r="S1443" i="1"/>
  <c r="D656" i="58"/>
  <c r="V590" i="55"/>
  <c r="H590"/>
  <c r="F590"/>
  <c r="T590"/>
  <c r="X590"/>
  <c r="Z590"/>
  <c r="J590"/>
  <c r="X756"/>
  <c r="F756"/>
  <c r="Z756"/>
  <c r="D821" i="58"/>
  <c r="AU163" i="1"/>
  <c r="AV163" s="1"/>
  <c r="AS168"/>
  <c r="D822" i="58"/>
  <c r="X757" i="55"/>
  <c r="Z757"/>
  <c r="F757"/>
  <c r="AU132" i="1"/>
  <c r="AV132" s="1"/>
  <c r="AS137"/>
  <c r="J319" i="55"/>
  <c r="V319"/>
  <c r="X319"/>
  <c r="T319"/>
  <c r="D314" i="58"/>
  <c r="Z319" i="55"/>
  <c r="F319"/>
  <c r="H319"/>
  <c r="F768" i="58"/>
  <c r="F1071"/>
  <c r="F644"/>
  <c r="F257"/>
  <c r="F767"/>
  <c r="F873"/>
  <c r="F685"/>
  <c r="V1009" i="55"/>
  <c r="H1009"/>
  <c r="F1009"/>
  <c r="J1009"/>
  <c r="X1009"/>
  <c r="Z1009"/>
  <c r="T1009"/>
  <c r="F1037"/>
  <c r="J1037"/>
  <c r="Z1037"/>
  <c r="V1037"/>
  <c r="T1037"/>
  <c r="H1037"/>
  <c r="X1037"/>
  <c r="L3849" i="11"/>
  <c r="L3851"/>
  <c r="K3850"/>
  <c r="T836" i="55"/>
  <c r="Z836"/>
  <c r="F836"/>
  <c r="X836"/>
  <c r="J836"/>
  <c r="D900" i="58"/>
  <c r="V836" i="55"/>
  <c r="H836"/>
  <c r="C447"/>
  <c r="C624"/>
  <c r="S3134" i="11"/>
  <c r="R3133"/>
  <c r="C628" i="55" s="1"/>
  <c r="L3120" i="27"/>
  <c r="K3119"/>
  <c r="K3986" i="11"/>
  <c r="K4003"/>
  <c r="K3881"/>
  <c r="K3887" s="1"/>
  <c r="K3865"/>
  <c r="C623" i="55"/>
  <c r="C448"/>
  <c r="V1010"/>
  <c r="F1010"/>
  <c r="T1010"/>
  <c r="J1010"/>
  <c r="Z1010"/>
  <c r="X1010"/>
  <c r="H1010"/>
  <c r="H1044"/>
  <c r="X1044"/>
  <c r="Z1044"/>
  <c r="T1044"/>
  <c r="V1044"/>
  <c r="J1044"/>
  <c r="F1044"/>
  <c r="D300" i="25"/>
  <c r="F300" s="1"/>
  <c r="D135"/>
  <c r="F134"/>
  <c r="U3119" i="11"/>
  <c r="S3120"/>
  <c r="R3119"/>
  <c r="C627" i="55" s="1"/>
  <c r="P3128" i="27"/>
  <c r="R3128" s="1"/>
  <c r="R3132" s="1"/>
  <c r="R3133" s="1"/>
  <c r="R3114"/>
  <c r="R3118" s="1"/>
  <c r="D690" i="58"/>
  <c r="X625" i="55"/>
  <c r="F625"/>
  <c r="F426" i="58"/>
  <c r="I2693" i="11"/>
  <c r="K2693" s="1"/>
  <c r="P577"/>
  <c r="R577" s="1"/>
  <c r="P591"/>
  <c r="R591" s="1"/>
  <c r="I620"/>
  <c r="K620" s="1"/>
  <c r="K626" s="1"/>
  <c r="K628" s="1"/>
  <c r="K630" s="1"/>
  <c r="P608"/>
  <c r="R608" s="1"/>
  <c r="H39" i="55" l="1"/>
  <c r="Z624"/>
  <c r="R624"/>
  <c r="Z351"/>
  <c r="R351"/>
  <c r="Z50"/>
  <c r="R50"/>
  <c r="Z556"/>
  <c r="R556"/>
  <c r="Z553"/>
  <c r="R553"/>
  <c r="Z39"/>
  <c r="R39"/>
  <c r="Z349"/>
  <c r="R349"/>
  <c r="Z560"/>
  <c r="R560"/>
  <c r="Z546"/>
  <c r="R546"/>
  <c r="P60"/>
  <c r="H60"/>
  <c r="V60"/>
  <c r="L60"/>
  <c r="R60"/>
  <c r="J60"/>
  <c r="T60"/>
  <c r="Z60"/>
  <c r="N60"/>
  <c r="Z222"/>
  <c r="R222"/>
  <c r="Z352"/>
  <c r="R352"/>
  <c r="Z51"/>
  <c r="R51"/>
  <c r="Z545"/>
  <c r="R545"/>
  <c r="Z623"/>
  <c r="R623"/>
  <c r="Z627"/>
  <c r="R627"/>
  <c r="Z171"/>
  <c r="R171"/>
  <c r="Z353"/>
  <c r="R353"/>
  <c r="Z636"/>
  <c r="R636"/>
  <c r="N39"/>
  <c r="V39"/>
  <c r="D805" i="58"/>
  <c r="F805" s="1"/>
  <c r="C25" i="75"/>
  <c r="F25" s="1"/>
  <c r="V171" i="55"/>
  <c r="T171"/>
  <c r="N171"/>
  <c r="H171"/>
  <c r="L171"/>
  <c r="P171"/>
  <c r="J171"/>
  <c r="C50" i="75"/>
  <c r="F50" s="1"/>
  <c r="V349" i="55"/>
  <c r="T349"/>
  <c r="P349"/>
  <c r="L349"/>
  <c r="J349"/>
  <c r="N349"/>
  <c r="H349"/>
  <c r="V545"/>
  <c r="T545"/>
  <c r="P545"/>
  <c r="L545"/>
  <c r="N545"/>
  <c r="J545"/>
  <c r="H545"/>
  <c r="V623"/>
  <c r="T623"/>
  <c r="P623"/>
  <c r="N623"/>
  <c r="J623"/>
  <c r="H623"/>
  <c r="L623"/>
  <c r="V627"/>
  <c r="T627"/>
  <c r="P627"/>
  <c r="N627"/>
  <c r="L627"/>
  <c r="J627"/>
  <c r="H627"/>
  <c r="C55" i="75"/>
  <c r="F55" s="1"/>
  <c r="V352" i="55"/>
  <c r="T352"/>
  <c r="P352"/>
  <c r="L352"/>
  <c r="N352"/>
  <c r="J352"/>
  <c r="H352"/>
  <c r="V742"/>
  <c r="T742"/>
  <c r="P742"/>
  <c r="N742"/>
  <c r="L742"/>
  <c r="J742"/>
  <c r="H742"/>
  <c r="V624"/>
  <c r="T624"/>
  <c r="P624"/>
  <c r="L624"/>
  <c r="N624"/>
  <c r="H624"/>
  <c r="J624"/>
  <c r="V759"/>
  <c r="T759"/>
  <c r="P759"/>
  <c r="N759"/>
  <c r="L759"/>
  <c r="J759"/>
  <c r="H759"/>
  <c r="C56" i="75"/>
  <c r="F56" s="1"/>
  <c r="V353" i="55"/>
  <c r="T353"/>
  <c r="P353"/>
  <c r="L353"/>
  <c r="N353"/>
  <c r="J353"/>
  <c r="H353"/>
  <c r="V556"/>
  <c r="T556"/>
  <c r="P556"/>
  <c r="L556"/>
  <c r="J556"/>
  <c r="H556"/>
  <c r="N556"/>
  <c r="V636"/>
  <c r="T636"/>
  <c r="P636"/>
  <c r="N636"/>
  <c r="J636"/>
  <c r="L636"/>
  <c r="H636"/>
  <c r="Z740"/>
  <c r="V740"/>
  <c r="T740"/>
  <c r="P740"/>
  <c r="N740"/>
  <c r="L740"/>
  <c r="H740"/>
  <c r="J740"/>
  <c r="V755"/>
  <c r="T755"/>
  <c r="P755"/>
  <c r="N755"/>
  <c r="L755"/>
  <c r="J755"/>
  <c r="H755"/>
  <c r="V758"/>
  <c r="T758"/>
  <c r="P758"/>
  <c r="N758"/>
  <c r="L758"/>
  <c r="J758"/>
  <c r="H758"/>
  <c r="C34" i="75"/>
  <c r="F34" s="1"/>
  <c r="V222" i="55"/>
  <c r="T222"/>
  <c r="P222"/>
  <c r="L222"/>
  <c r="N222"/>
  <c r="J222"/>
  <c r="H222"/>
  <c r="C54" i="75"/>
  <c r="F54" s="1"/>
  <c r="V351" i="55"/>
  <c r="N351"/>
  <c r="T351"/>
  <c r="L351"/>
  <c r="J351"/>
  <c r="P351"/>
  <c r="H351"/>
  <c r="V50"/>
  <c r="T50"/>
  <c r="P50"/>
  <c r="N50"/>
  <c r="L50"/>
  <c r="J50"/>
  <c r="H50"/>
  <c r="V560"/>
  <c r="T560"/>
  <c r="P560"/>
  <c r="L560"/>
  <c r="N560"/>
  <c r="J560"/>
  <c r="H560"/>
  <c r="V546"/>
  <c r="T546"/>
  <c r="P546"/>
  <c r="N546"/>
  <c r="L546"/>
  <c r="J546"/>
  <c r="H546"/>
  <c r="V553"/>
  <c r="T553"/>
  <c r="P553"/>
  <c r="N553"/>
  <c r="L553"/>
  <c r="J553"/>
  <c r="H553"/>
  <c r="X932"/>
  <c r="F932"/>
  <c r="D932" i="58"/>
  <c r="F932" s="1"/>
  <c r="X740" i="55"/>
  <c r="R1181" i="1"/>
  <c r="C122" i="75"/>
  <c r="F122" s="1"/>
  <c r="F553" i="55"/>
  <c r="I646" i="1"/>
  <c r="K646" s="1"/>
  <c r="K652" s="1"/>
  <c r="K654" s="1"/>
  <c r="I656" s="1"/>
  <c r="K656" s="1"/>
  <c r="P627"/>
  <c r="R627" s="1"/>
  <c r="P596"/>
  <c r="R596" s="1"/>
  <c r="P610"/>
  <c r="R610" s="1"/>
  <c r="I3636" i="27"/>
  <c r="K3636" s="1"/>
  <c r="K3638" s="1"/>
  <c r="L3619"/>
  <c r="F41" i="50"/>
  <c r="D104"/>
  <c r="F104" s="1"/>
  <c r="K192" i="1"/>
  <c r="P160"/>
  <c r="R160" s="1"/>
  <c r="R167" s="1"/>
  <c r="R169" s="1"/>
  <c r="C56" i="55"/>
  <c r="K284" i="1"/>
  <c r="S1156"/>
  <c r="R1155"/>
  <c r="F636" i="55"/>
  <c r="D701" i="58"/>
  <c r="F701" s="1"/>
  <c r="X636" i="55"/>
  <c r="AE2657" i="1"/>
  <c r="AG2657" s="1"/>
  <c r="AG2658" s="1"/>
  <c r="AG2660" s="1"/>
  <c r="C551" i="55" s="1"/>
  <c r="X2609" i="1"/>
  <c r="X2610" s="1"/>
  <c r="X2612" s="1"/>
  <c r="D626" i="58"/>
  <c r="F626" s="1"/>
  <c r="F560" i="55"/>
  <c r="X560"/>
  <c r="Z742"/>
  <c r="X742"/>
  <c r="F742"/>
  <c r="D807" i="58"/>
  <c r="F807" s="1"/>
  <c r="X3573" i="1"/>
  <c r="X3577" s="1"/>
  <c r="X3578" s="1"/>
  <c r="C735" i="55" s="1"/>
  <c r="V3588" i="1"/>
  <c r="X546" i="55"/>
  <c r="D615" i="58"/>
  <c r="F615" s="1"/>
  <c r="F546" i="55"/>
  <c r="F556"/>
  <c r="D622" i="58"/>
  <c r="F622" s="1"/>
  <c r="X556" i="55"/>
  <c r="D614" i="58"/>
  <c r="F614" s="1"/>
  <c r="F545" i="55"/>
  <c r="X545"/>
  <c r="X738"/>
  <c r="T738"/>
  <c r="F738"/>
  <c r="V738"/>
  <c r="J738"/>
  <c r="Z738"/>
  <c r="D803" i="58"/>
  <c r="F803" s="1"/>
  <c r="H738" i="55"/>
  <c r="X736"/>
  <c r="T736"/>
  <c r="V736"/>
  <c r="D801" i="58"/>
  <c r="F801" s="1"/>
  <c r="F736" i="55"/>
  <c r="H736"/>
  <c r="J736"/>
  <c r="Z736"/>
  <c r="Z303"/>
  <c r="T303"/>
  <c r="F303"/>
  <c r="D298" i="58"/>
  <c r="F298" s="1"/>
  <c r="X303" i="55"/>
  <c r="J303"/>
  <c r="V303"/>
  <c r="H303"/>
  <c r="P1213" i="1"/>
  <c r="K1217"/>
  <c r="K1235" s="1"/>
  <c r="K1238" s="1"/>
  <c r="P2428"/>
  <c r="R2428" s="1"/>
  <c r="R2437" s="1"/>
  <c r="R2439" s="1"/>
  <c r="C974" i="55" s="1"/>
  <c r="K2421" i="1"/>
  <c r="K2430" s="1"/>
  <c r="K2432" s="1"/>
  <c r="I1374"/>
  <c r="K1374" s="1"/>
  <c r="V1330"/>
  <c r="X1330" s="1"/>
  <c r="I1352"/>
  <c r="K1352" s="1"/>
  <c r="R193"/>
  <c r="R199" s="1"/>
  <c r="R201" s="1"/>
  <c r="C514" i="55" s="1"/>
  <c r="V193" i="1"/>
  <c r="X193" s="1"/>
  <c r="X199" s="1"/>
  <c r="X201" s="1"/>
  <c r="C515" i="55" s="1"/>
  <c r="D344" i="58"/>
  <c r="F344" s="1"/>
  <c r="X349" i="55"/>
  <c r="F349"/>
  <c r="I626" i="1"/>
  <c r="K626" s="1"/>
  <c r="C568" i="55"/>
  <c r="R1330" i="1"/>
  <c r="R1335" s="1"/>
  <c r="R1337" s="1"/>
  <c r="R1338" s="1"/>
  <c r="R1339" s="1"/>
  <c r="R1340" s="1"/>
  <c r="R1341" s="1"/>
  <c r="R1342" s="1"/>
  <c r="Q1338" s="1"/>
  <c r="Q1339" s="1"/>
  <c r="V1329"/>
  <c r="X1329" s="1"/>
  <c r="V1296"/>
  <c r="P1370"/>
  <c r="R1370" s="1"/>
  <c r="R1383" s="1"/>
  <c r="R1385" s="1"/>
  <c r="AB1186"/>
  <c r="AG320"/>
  <c r="P594"/>
  <c r="P625"/>
  <c r="R625" s="1"/>
  <c r="V58" i="55"/>
  <c r="D55" i="58"/>
  <c r="F55" s="1"/>
  <c r="T58" i="55"/>
  <c r="H58"/>
  <c r="J58"/>
  <c r="X58"/>
  <c r="F58"/>
  <c r="Z58"/>
  <c r="X352"/>
  <c r="F352"/>
  <c r="D347" i="58"/>
  <c r="F347" s="1"/>
  <c r="F351" i="55"/>
  <c r="X351"/>
  <c r="D346" i="58"/>
  <c r="F346" s="1"/>
  <c r="P607" i="1"/>
  <c r="R607" s="1"/>
  <c r="I2102"/>
  <c r="K2102" s="1"/>
  <c r="K2108" s="1"/>
  <c r="I1988"/>
  <c r="P620"/>
  <c r="R620" s="1"/>
  <c r="I1968"/>
  <c r="P593"/>
  <c r="R593" s="1"/>
  <c r="K1268"/>
  <c r="K1273" s="1"/>
  <c r="K1275" s="1"/>
  <c r="AB1261"/>
  <c r="AD1261" s="1"/>
  <c r="AD1266" s="1"/>
  <c r="AD1268" s="1"/>
  <c r="I1282"/>
  <c r="K1282" s="1"/>
  <c r="K1287" s="1"/>
  <c r="K1289" s="1"/>
  <c r="C672" i="55" s="1"/>
  <c r="I2380" i="1"/>
  <c r="K2380" s="1"/>
  <c r="K2387" s="1"/>
  <c r="K2389" s="1"/>
  <c r="C601" i="55" s="1"/>
  <c r="I1728" i="1"/>
  <c r="K1728" s="1"/>
  <c r="K1731" s="1"/>
  <c r="K1733" s="1"/>
  <c r="I1738" s="1"/>
  <c r="K1738" s="1"/>
  <c r="K1741" s="1"/>
  <c r="K1743" s="1"/>
  <c r="C379" i="55" s="1"/>
  <c r="I1717" i="1"/>
  <c r="K1717" s="1"/>
  <c r="K1722" s="1"/>
  <c r="K1724" s="1"/>
  <c r="P595"/>
  <c r="R595" s="1"/>
  <c r="P652"/>
  <c r="R652" s="1"/>
  <c r="R669" s="1"/>
  <c r="P609"/>
  <c r="R609" s="1"/>
  <c r="L1409"/>
  <c r="K1437"/>
  <c r="K1439" s="1"/>
  <c r="C51" i="75" s="1"/>
  <c r="F51" s="1"/>
  <c r="I3819" i="1"/>
  <c r="K3819" s="1"/>
  <c r="K3832" s="1"/>
  <c r="K3834" s="1"/>
  <c r="C845" i="55" s="1"/>
  <c r="P3458" i="1"/>
  <c r="R3458" s="1"/>
  <c r="R3471" s="1"/>
  <c r="R3473" s="1"/>
  <c r="K3452"/>
  <c r="K3465" s="1"/>
  <c r="K3467" s="1"/>
  <c r="K1246"/>
  <c r="K1259" s="1"/>
  <c r="K1261" s="1"/>
  <c r="V1275"/>
  <c r="X1275" s="1"/>
  <c r="X1288" s="1"/>
  <c r="X1290" s="1"/>
  <c r="C671" i="55" s="1"/>
  <c r="K193" i="1"/>
  <c r="X320"/>
  <c r="C59" i="55"/>
  <c r="X353"/>
  <c r="F353"/>
  <c r="D348" i="58"/>
  <c r="F348" s="1"/>
  <c r="K320" i="1"/>
  <c r="P622"/>
  <c r="R622" s="1"/>
  <c r="P621"/>
  <c r="R621" s="1"/>
  <c r="C63" i="55"/>
  <c r="X51"/>
  <c r="J51"/>
  <c r="T51"/>
  <c r="V51"/>
  <c r="D48" i="58"/>
  <c r="F48" s="1"/>
  <c r="H51" i="55"/>
  <c r="F51"/>
  <c r="K333" i="1"/>
  <c r="K340" s="1"/>
  <c r="K342" s="1"/>
  <c r="K344" s="1"/>
  <c r="V333"/>
  <c r="AU96"/>
  <c r="AV96" s="1"/>
  <c r="AS97"/>
  <c r="J846" i="55"/>
  <c r="T846"/>
  <c r="D910" i="58"/>
  <c r="F910" s="1"/>
  <c r="F846" i="55"/>
  <c r="Z846"/>
  <c r="X846"/>
  <c r="V846"/>
  <c r="H846"/>
  <c r="X50"/>
  <c r="F50"/>
  <c r="D47" i="58"/>
  <c r="F47" s="1"/>
  <c r="K1382" i="1"/>
  <c r="K1384" s="1"/>
  <c r="D581" i="58"/>
  <c r="F581" s="1"/>
  <c r="C223" i="55"/>
  <c r="K467" i="1"/>
  <c r="J209" i="55"/>
  <c r="T209"/>
  <c r="F209"/>
  <c r="H209"/>
  <c r="D206" i="58"/>
  <c r="F206" s="1"/>
  <c r="Z209" i="55"/>
  <c r="V209"/>
  <c r="X209"/>
  <c r="X710" i="1"/>
  <c r="Z704"/>
  <c r="I534"/>
  <c r="K534" s="1"/>
  <c r="C237" i="55"/>
  <c r="X432" i="1"/>
  <c r="C250" i="55"/>
  <c r="I557" i="1"/>
  <c r="K557" s="1"/>
  <c r="D564" i="58"/>
  <c r="F564" s="1"/>
  <c r="K366" i="1"/>
  <c r="L365"/>
  <c r="J365"/>
  <c r="Z1002" i="55"/>
  <c r="F1002"/>
  <c r="J1002"/>
  <c r="H1002"/>
  <c r="X1002"/>
  <c r="V1002"/>
  <c r="T1002"/>
  <c r="AG374" i="1"/>
  <c r="D106" i="32"/>
  <c r="F106" s="1"/>
  <c r="F112" s="1"/>
  <c r="F113" s="1"/>
  <c r="F43"/>
  <c r="X1003" i="55"/>
  <c r="F1003"/>
  <c r="J1003"/>
  <c r="Z1003"/>
  <c r="T1003"/>
  <c r="H1003"/>
  <c r="V1003"/>
  <c r="J249"/>
  <c r="D246" i="58"/>
  <c r="F246" s="1"/>
  <c r="Z249" i="55"/>
  <c r="H249"/>
  <c r="X249"/>
  <c r="T249"/>
  <c r="V249"/>
  <c r="F249"/>
  <c r="C75"/>
  <c r="K821" i="1"/>
  <c r="D568" i="58"/>
  <c r="F568" s="1"/>
  <c r="X364" i="1"/>
  <c r="K400"/>
  <c r="J399"/>
  <c r="AE422"/>
  <c r="AG422" s="1"/>
  <c r="AG429" s="1"/>
  <c r="AG431" s="1"/>
  <c r="AE437" s="1"/>
  <c r="AG437" s="1"/>
  <c r="AG441" s="1"/>
  <c r="AG443" s="1"/>
  <c r="AG445" s="1"/>
  <c r="AQ386"/>
  <c r="AS386" s="1"/>
  <c r="AS393" s="1"/>
  <c r="AS395" s="1"/>
  <c r="AS397" s="1"/>
  <c r="AS398" s="1"/>
  <c r="AS399" s="1"/>
  <c r="AS400" s="1"/>
  <c r="AS401" s="1"/>
  <c r="AS402" s="1"/>
  <c r="AS403" s="1"/>
  <c r="AG386"/>
  <c r="AG393" s="1"/>
  <c r="AG395" s="1"/>
  <c r="AE400" s="1"/>
  <c r="AG400" s="1"/>
  <c r="AG404" s="1"/>
  <c r="AG406" s="1"/>
  <c r="I3935"/>
  <c r="K3917"/>
  <c r="K3929" s="1"/>
  <c r="C856" i="55" s="1"/>
  <c r="K2912" i="1"/>
  <c r="I2933"/>
  <c r="K2933" s="1"/>
  <c r="K2936" s="1"/>
  <c r="K2937" s="1"/>
  <c r="AD525"/>
  <c r="AD530" s="1"/>
  <c r="AD532" s="1"/>
  <c r="AB534" s="1"/>
  <c r="AD534" s="1"/>
  <c r="AB549"/>
  <c r="AD549" s="1"/>
  <c r="AD554" s="1"/>
  <c r="AD556" s="1"/>
  <c r="X222" i="55"/>
  <c r="F222"/>
  <c r="D219" i="58"/>
  <c r="F219" s="1"/>
  <c r="C210" i="55"/>
  <c r="K433" i="1"/>
  <c r="F171" i="55"/>
  <c r="X171"/>
  <c r="D168" i="58"/>
  <c r="F168" s="1"/>
  <c r="V728" i="1"/>
  <c r="X728" s="1"/>
  <c r="X734" s="1"/>
  <c r="X735" s="1"/>
  <c r="D43" i="50"/>
  <c r="X674" i="1"/>
  <c r="X680" s="1"/>
  <c r="X681" s="1"/>
  <c r="T236" i="55"/>
  <c r="Z236"/>
  <c r="X236"/>
  <c r="H236"/>
  <c r="F236"/>
  <c r="J236"/>
  <c r="D233" i="58"/>
  <c r="F233" s="1"/>
  <c r="V236" i="55"/>
  <c r="C134"/>
  <c r="X399" i="1"/>
  <c r="X525"/>
  <c r="X530" s="1"/>
  <c r="X532" s="1"/>
  <c r="V534" s="1"/>
  <c r="X534" s="1"/>
  <c r="V549"/>
  <c r="X549" s="1"/>
  <c r="X554" s="1"/>
  <c r="X556" s="1"/>
  <c r="H57" i="55"/>
  <c r="Z57"/>
  <c r="F57"/>
  <c r="J57"/>
  <c r="X57"/>
  <c r="T57"/>
  <c r="D54" i="58"/>
  <c r="F54" s="1"/>
  <c r="V57" i="55"/>
  <c r="F656" i="58"/>
  <c r="F320"/>
  <c r="AS139" i="1"/>
  <c r="AU137"/>
  <c r="AV137" s="1"/>
  <c r="Z326" i="55"/>
  <c r="X326"/>
  <c r="J326"/>
  <c r="F326"/>
  <c r="H326"/>
  <c r="T326"/>
  <c r="D321" i="58"/>
  <c r="V326" i="55"/>
  <c r="F314" i="58"/>
  <c r="AS170" i="1"/>
  <c r="AU170" s="1"/>
  <c r="AV170" s="1"/>
  <c r="AU168"/>
  <c r="AV168" s="1"/>
  <c r="F755" i="55"/>
  <c r="X755"/>
  <c r="D820" i="58"/>
  <c r="Z755" i="55"/>
  <c r="X759"/>
  <c r="D824" i="58"/>
  <c r="F759" i="55"/>
  <c r="Z759"/>
  <c r="F822" i="58"/>
  <c r="F821"/>
  <c r="F263"/>
  <c r="X758" i="55"/>
  <c r="D823" i="58"/>
  <c r="Z758" i="55"/>
  <c r="F758"/>
  <c r="AS116" i="1"/>
  <c r="AU114"/>
  <c r="AV114" s="1"/>
  <c r="T448" i="55"/>
  <c r="X448"/>
  <c r="Z448"/>
  <c r="H448"/>
  <c r="F448"/>
  <c r="V448"/>
  <c r="D442" i="58"/>
  <c r="J448" i="55"/>
  <c r="L3889" i="11"/>
  <c r="K3888"/>
  <c r="K3866"/>
  <c r="M3866"/>
  <c r="K4018"/>
  <c r="K4022" s="1"/>
  <c r="K4023" s="1"/>
  <c r="K4007"/>
  <c r="K4008" s="1"/>
  <c r="V628" i="55"/>
  <c r="D693" i="58"/>
  <c r="Z628" i="55"/>
  <c r="J628"/>
  <c r="T628"/>
  <c r="X628"/>
  <c r="H628"/>
  <c r="F628"/>
  <c r="F690" i="58"/>
  <c r="D158" i="25"/>
  <c r="F158" s="1"/>
  <c r="F166" s="1"/>
  <c r="F167" s="1"/>
  <c r="C700" i="55" s="1"/>
  <c r="D301" i="25"/>
  <c r="F301" s="1"/>
  <c r="F309" s="1"/>
  <c r="F310" s="1"/>
  <c r="C698" i="55" s="1"/>
  <c r="F135" i="25"/>
  <c r="F144" s="1"/>
  <c r="F145" s="1"/>
  <c r="C699" i="55" s="1"/>
  <c r="R3119" i="27"/>
  <c r="S3119"/>
  <c r="X627" i="55"/>
  <c r="F627"/>
  <c r="D692" i="58"/>
  <c r="J447" i="55"/>
  <c r="T447"/>
  <c r="H447"/>
  <c r="D441" i="58"/>
  <c r="X447" i="55"/>
  <c r="V447"/>
  <c r="F447"/>
  <c r="Z447"/>
  <c r="L3989" i="11"/>
  <c r="K3987"/>
  <c r="L3987" s="1"/>
  <c r="X623" i="55"/>
  <c r="F623"/>
  <c r="D688" i="58"/>
  <c r="D689"/>
  <c r="X624" i="55"/>
  <c r="F624"/>
  <c r="F900" i="58"/>
  <c r="C837" i="55"/>
  <c r="C1038"/>
  <c r="I2616" i="11"/>
  <c r="K2616" s="1"/>
  <c r="K631"/>
  <c r="K632" s="1"/>
  <c r="K633" s="1"/>
  <c r="K634" s="1"/>
  <c r="Z185" i="55" l="1"/>
  <c r="R185"/>
  <c r="Z379"/>
  <c r="R379"/>
  <c r="R514"/>
  <c r="V514"/>
  <c r="X514"/>
  <c r="N514"/>
  <c r="H514"/>
  <c r="F514"/>
  <c r="P514"/>
  <c r="J514"/>
  <c r="D583" i="58"/>
  <c r="F583" s="1"/>
  <c r="Z514" i="55"/>
  <c r="T514"/>
  <c r="L514"/>
  <c r="Z63"/>
  <c r="R63"/>
  <c r="Z551"/>
  <c r="R551"/>
  <c r="Z347"/>
  <c r="R347"/>
  <c r="Z172"/>
  <c r="R172"/>
  <c r="Z601"/>
  <c r="R601"/>
  <c r="Z932"/>
  <c r="R932"/>
  <c r="C30" i="75"/>
  <c r="F30" s="1"/>
  <c r="V185" i="55"/>
  <c r="T185"/>
  <c r="P185"/>
  <c r="N185"/>
  <c r="J185"/>
  <c r="H185"/>
  <c r="L185"/>
  <c r="C15" i="75"/>
  <c r="F15" s="1"/>
  <c r="V63" i="55"/>
  <c r="T63"/>
  <c r="P63"/>
  <c r="N63"/>
  <c r="J63"/>
  <c r="L63"/>
  <c r="H63"/>
  <c r="V672"/>
  <c r="T672"/>
  <c r="P672"/>
  <c r="N672"/>
  <c r="L672"/>
  <c r="J672"/>
  <c r="H672"/>
  <c r="V551"/>
  <c r="T551"/>
  <c r="P551"/>
  <c r="N551"/>
  <c r="L551"/>
  <c r="H551"/>
  <c r="J551"/>
  <c r="V671"/>
  <c r="T671"/>
  <c r="P671"/>
  <c r="L671"/>
  <c r="N671"/>
  <c r="J671"/>
  <c r="H671"/>
  <c r="V601"/>
  <c r="N601"/>
  <c r="T601"/>
  <c r="P601"/>
  <c r="J601"/>
  <c r="H601"/>
  <c r="L601"/>
  <c r="C26" i="75"/>
  <c r="F26" s="1"/>
  <c r="V172" i="55"/>
  <c r="T172"/>
  <c r="P172"/>
  <c r="L172"/>
  <c r="N172"/>
  <c r="J172"/>
  <c r="H172"/>
  <c r="V223"/>
  <c r="T223"/>
  <c r="P223"/>
  <c r="N223"/>
  <c r="L223"/>
  <c r="J223"/>
  <c r="H223"/>
  <c r="V379"/>
  <c r="P379"/>
  <c r="T379"/>
  <c r="L379"/>
  <c r="J379"/>
  <c r="H379"/>
  <c r="N379"/>
  <c r="C48" i="75"/>
  <c r="F48" s="1"/>
  <c r="V347" i="55"/>
  <c r="T347"/>
  <c r="N347"/>
  <c r="J347"/>
  <c r="H347"/>
  <c r="L347"/>
  <c r="P347"/>
  <c r="V134"/>
  <c r="T134"/>
  <c r="P134"/>
  <c r="N134"/>
  <c r="L134"/>
  <c r="H134"/>
  <c r="J134"/>
  <c r="V932"/>
  <c r="P932"/>
  <c r="N932"/>
  <c r="L932"/>
  <c r="J932"/>
  <c r="H932"/>
  <c r="T932"/>
  <c r="D517" i="58"/>
  <c r="F517" s="1"/>
  <c r="L3638" i="27"/>
  <c r="K2212"/>
  <c r="I657" i="1"/>
  <c r="K657" s="1"/>
  <c r="C268" i="55"/>
  <c r="R1182" i="1"/>
  <c r="D514" i="58"/>
  <c r="F514" s="1"/>
  <c r="R1156" i="1"/>
  <c r="Z56" i="55"/>
  <c r="H56"/>
  <c r="F56"/>
  <c r="T56"/>
  <c r="V56"/>
  <c r="D53" i="58"/>
  <c r="F53" s="1"/>
  <c r="X56" i="55"/>
  <c r="J56"/>
  <c r="K285" i="1"/>
  <c r="C69" i="55"/>
  <c r="D800" i="58"/>
  <c r="F800" s="1"/>
  <c r="X735" i="55"/>
  <c r="V735"/>
  <c r="Z735"/>
  <c r="T735"/>
  <c r="H735"/>
  <c r="F735"/>
  <c r="J735"/>
  <c r="F551"/>
  <c r="D620" i="58"/>
  <c r="F620" s="1"/>
  <c r="X551" i="55"/>
  <c r="X1342" i="1"/>
  <c r="X3588"/>
  <c r="X3592" s="1"/>
  <c r="X3593" s="1"/>
  <c r="C733" i="55" s="1"/>
  <c r="V3605" i="1"/>
  <c r="X3605" s="1"/>
  <c r="X3609" s="1"/>
  <c r="X3610" s="1"/>
  <c r="C734" i="55" s="1"/>
  <c r="K345" i="1"/>
  <c r="L344"/>
  <c r="K321"/>
  <c r="L320"/>
  <c r="Y320"/>
  <c r="X321"/>
  <c r="C593" i="55"/>
  <c r="C592"/>
  <c r="C339"/>
  <c r="I1986" i="1"/>
  <c r="C976" i="55"/>
  <c r="D373" i="58"/>
  <c r="F373" s="1"/>
  <c r="X379" i="55"/>
  <c r="F379"/>
  <c r="Z672"/>
  <c r="X672"/>
  <c r="D737" i="58"/>
  <c r="F737" s="1"/>
  <c r="F672" i="55"/>
  <c r="C591"/>
  <c r="C340"/>
  <c r="P1968" i="1"/>
  <c r="R1968" s="1"/>
  <c r="R1975" s="1"/>
  <c r="K1968"/>
  <c r="K1974" s="1"/>
  <c r="P1988"/>
  <c r="R1988" s="1"/>
  <c r="K1988"/>
  <c r="F347" i="55"/>
  <c r="D342" i="58"/>
  <c r="F342" s="1"/>
  <c r="X347" i="55"/>
  <c r="AG321" i="1"/>
  <c r="AH320"/>
  <c r="AD1186"/>
  <c r="AD1191" s="1"/>
  <c r="AD1193" s="1"/>
  <c r="AD1194" s="1"/>
  <c r="AI1186"/>
  <c r="AK1186" s="1"/>
  <c r="AK1191" s="1"/>
  <c r="AK1193" s="1"/>
  <c r="AK1194" s="1"/>
  <c r="X1296"/>
  <c r="X1303" s="1"/>
  <c r="X1305" s="1"/>
  <c r="X1306" s="1"/>
  <c r="X1307" s="1"/>
  <c r="X1308" s="1"/>
  <c r="X1309" s="1"/>
  <c r="X1310" s="1"/>
  <c r="W1306" s="1"/>
  <c r="W1307" s="1"/>
  <c r="V1316"/>
  <c r="X1316" s="1"/>
  <c r="X1323" s="1"/>
  <c r="X1325" s="1"/>
  <c r="I627"/>
  <c r="K627" s="1"/>
  <c r="C569" i="55"/>
  <c r="X515"/>
  <c r="D584" i="58"/>
  <c r="F584" s="1"/>
  <c r="J515" i="55"/>
  <c r="T515"/>
  <c r="F515"/>
  <c r="V515"/>
  <c r="Z515"/>
  <c r="H515"/>
  <c r="L1332" i="1"/>
  <c r="K1360"/>
  <c r="K1362" s="1"/>
  <c r="C345" i="55" s="1"/>
  <c r="L1334" i="1"/>
  <c r="Z974" i="55"/>
  <c r="X974"/>
  <c r="F974"/>
  <c r="V974"/>
  <c r="H974"/>
  <c r="J974"/>
  <c r="D1041" i="58"/>
  <c r="F1041" s="1"/>
  <c r="T974" i="55"/>
  <c r="P1255" i="1"/>
  <c r="R1213"/>
  <c r="AS98"/>
  <c r="AU97"/>
  <c r="AV97" s="1"/>
  <c r="AE333"/>
  <c r="AG333" s="1"/>
  <c r="AG340" s="1"/>
  <c r="AG342" s="1"/>
  <c r="AG344" s="1"/>
  <c r="X333"/>
  <c r="X340" s="1"/>
  <c r="X342" s="1"/>
  <c r="X344" s="1"/>
  <c r="D60" i="58"/>
  <c r="F60" s="1"/>
  <c r="F63" i="55"/>
  <c r="X63"/>
  <c r="H59"/>
  <c r="J59"/>
  <c r="X59"/>
  <c r="Z59"/>
  <c r="F59"/>
  <c r="T59"/>
  <c r="V59"/>
  <c r="D56" i="58"/>
  <c r="F56" s="1"/>
  <c r="K199" i="1"/>
  <c r="Z671" i="55"/>
  <c r="D736" i="58"/>
  <c r="F736" s="1"/>
  <c r="X671" i="55"/>
  <c r="F671"/>
  <c r="H845"/>
  <c r="Z845"/>
  <c r="J845"/>
  <c r="F845"/>
  <c r="T845"/>
  <c r="X845"/>
  <c r="D909" i="58"/>
  <c r="F909" s="1"/>
  <c r="V845" i="55"/>
  <c r="D666" i="58"/>
  <c r="F666" s="1"/>
  <c r="F601" i="55"/>
  <c r="X601"/>
  <c r="C406"/>
  <c r="C409"/>
  <c r="P608" i="1"/>
  <c r="R608" s="1"/>
  <c r="R614" s="1"/>
  <c r="R594"/>
  <c r="R600" s="1"/>
  <c r="F60" i="55"/>
  <c r="X60"/>
  <c r="D57" i="58"/>
  <c r="F57" s="1"/>
  <c r="H568" i="55"/>
  <c r="T568"/>
  <c r="F568"/>
  <c r="D634" i="58"/>
  <c r="F634" s="1"/>
  <c r="J568" i="55"/>
  <c r="V568"/>
  <c r="Z568"/>
  <c r="X568"/>
  <c r="D582" i="58"/>
  <c r="F582" s="1"/>
  <c r="C971" i="55"/>
  <c r="C661"/>
  <c r="C338"/>
  <c r="P281" i="1"/>
  <c r="R281" s="1"/>
  <c r="R286" s="1"/>
  <c r="R288" s="1"/>
  <c r="R631"/>
  <c r="C135" i="55"/>
  <c r="X400" i="1"/>
  <c r="X737"/>
  <c r="X738" s="1"/>
  <c r="X739" s="1"/>
  <c r="X741" s="1"/>
  <c r="X742" s="1"/>
  <c r="X743" s="1"/>
  <c r="X744" s="1"/>
  <c r="X745" s="1"/>
  <c r="X746" s="1"/>
  <c r="X747" s="1"/>
  <c r="X748" s="1"/>
  <c r="X749" s="1"/>
  <c r="X750" s="1"/>
  <c r="Y735"/>
  <c r="Y737" s="1"/>
  <c r="Y738" s="1"/>
  <c r="Y739" s="1"/>
  <c r="AB558"/>
  <c r="AD558" s="1"/>
  <c r="P2344"/>
  <c r="R2344" s="1"/>
  <c r="R2347" s="1"/>
  <c r="I2943"/>
  <c r="K2943" s="1"/>
  <c r="K2946" s="1"/>
  <c r="K2947" s="1"/>
  <c r="K2913"/>
  <c r="I2952" s="1"/>
  <c r="K2952" s="1"/>
  <c r="K2955" s="1"/>
  <c r="K2956" s="1"/>
  <c r="X172" i="55"/>
  <c r="F172"/>
  <c r="D169" i="58"/>
  <c r="F169" s="1"/>
  <c r="X365" i="1"/>
  <c r="X366" s="1"/>
  <c r="X367" s="1"/>
  <c r="X368" s="1"/>
  <c r="F49" i="32"/>
  <c r="H43"/>
  <c r="J369" i="1"/>
  <c r="K367"/>
  <c r="L366"/>
  <c r="J366"/>
  <c r="D182" i="58"/>
  <c r="F182" s="1"/>
  <c r="X185" i="55"/>
  <c r="F185"/>
  <c r="X711" i="1"/>
  <c r="Z710"/>
  <c r="R468" i="55"/>
  <c r="V535" i="1"/>
  <c r="X535" s="1"/>
  <c r="D106" i="50"/>
  <c r="F106" s="1"/>
  <c r="F112" s="1"/>
  <c r="F113" s="1"/>
  <c r="F43"/>
  <c r="F49" s="1"/>
  <c r="F50" s="1"/>
  <c r="Z210" i="55"/>
  <c r="D207" i="58"/>
  <c r="F207" s="1"/>
  <c r="X210" i="55"/>
  <c r="T210"/>
  <c r="H210"/>
  <c r="F210"/>
  <c r="J210"/>
  <c r="V210"/>
  <c r="D569" i="58"/>
  <c r="F569" s="1"/>
  <c r="AG408" i="1"/>
  <c r="C141" i="55"/>
  <c r="AG375" i="1"/>
  <c r="AH365"/>
  <c r="D555" i="58"/>
  <c r="F555" s="1"/>
  <c r="X433" i="1"/>
  <c r="Y364"/>
  <c r="Z364" s="1"/>
  <c r="C474" i="55"/>
  <c r="V558" i="1"/>
  <c r="X558" s="1"/>
  <c r="X683"/>
  <c r="Y681"/>
  <c r="Y683" s="1"/>
  <c r="Y684" s="1"/>
  <c r="Y685" s="1"/>
  <c r="C211" i="55"/>
  <c r="K434" i="1"/>
  <c r="D565" i="58"/>
  <c r="F565" s="1"/>
  <c r="I3951" i="1"/>
  <c r="K3935"/>
  <c r="K3947" s="1"/>
  <c r="J400"/>
  <c r="K401"/>
  <c r="J75" i="55"/>
  <c r="H75"/>
  <c r="T75"/>
  <c r="F75"/>
  <c r="X75"/>
  <c r="Z75"/>
  <c r="V75"/>
  <c r="D72" i="58"/>
  <c r="F72" s="1"/>
  <c r="T250" i="55"/>
  <c r="Z250"/>
  <c r="F250"/>
  <c r="J250"/>
  <c r="H250"/>
  <c r="V250"/>
  <c r="X250"/>
  <c r="D247" i="58"/>
  <c r="F247" s="1"/>
  <c r="I535" i="1"/>
  <c r="K535" s="1"/>
  <c r="C238" i="55"/>
  <c r="D220" i="58"/>
  <c r="F220" s="1"/>
  <c r="Z223" i="55"/>
  <c r="F223"/>
  <c r="X223"/>
  <c r="Z134"/>
  <c r="X134"/>
  <c r="D131" i="58"/>
  <c r="F131" s="1"/>
  <c r="F134" i="55"/>
  <c r="C481"/>
  <c r="AB535" i="1"/>
  <c r="AD535" s="1"/>
  <c r="Z856" i="55"/>
  <c r="T856"/>
  <c r="J856"/>
  <c r="F856"/>
  <c r="X856"/>
  <c r="V856"/>
  <c r="H856"/>
  <c r="D920" i="58"/>
  <c r="F920" s="1"/>
  <c r="C191" i="55"/>
  <c r="AG446" i="1"/>
  <c r="C76" i="55"/>
  <c r="K822" i="1"/>
  <c r="G113" i="32"/>
  <c r="G115" s="1"/>
  <c r="G116" s="1"/>
  <c r="G117" s="1"/>
  <c r="F115"/>
  <c r="F116" s="1"/>
  <c r="F117" s="1"/>
  <c r="C251" i="55"/>
  <c r="I558" i="1"/>
  <c r="K558" s="1"/>
  <c r="Z237" i="55"/>
  <c r="J237"/>
  <c r="X237"/>
  <c r="H237"/>
  <c r="D234" i="58"/>
  <c r="F234" s="1"/>
  <c r="T237" i="55"/>
  <c r="V237"/>
  <c r="F237"/>
  <c r="K468" i="1"/>
  <c r="L467"/>
  <c r="C224" i="55"/>
  <c r="F321" i="58"/>
  <c r="F823"/>
  <c r="AQ144" i="1"/>
  <c r="AU139"/>
  <c r="AV139" s="1"/>
  <c r="AU116"/>
  <c r="AV116" s="1"/>
  <c r="AT116"/>
  <c r="AS117"/>
  <c r="F824" i="58"/>
  <c r="F820"/>
  <c r="H699" i="55"/>
  <c r="D764" i="58"/>
  <c r="V699" i="55"/>
  <c r="X699"/>
  <c r="J699"/>
  <c r="T699"/>
  <c r="Z699"/>
  <c r="F699"/>
  <c r="F693" i="58"/>
  <c r="F442"/>
  <c r="T837" i="55"/>
  <c r="F837"/>
  <c r="J837"/>
  <c r="V837"/>
  <c r="D901" i="58"/>
  <c r="X837" i="55"/>
  <c r="Z837"/>
  <c r="H837"/>
  <c r="F689" i="58"/>
  <c r="F688"/>
  <c r="F1038" i="55"/>
  <c r="H1038"/>
  <c r="X1038"/>
  <c r="V1038"/>
  <c r="J1038"/>
  <c r="T1038"/>
  <c r="Z1038"/>
  <c r="F441" i="58"/>
  <c r="T700" i="55"/>
  <c r="X700"/>
  <c r="V700"/>
  <c r="D765" i="58"/>
  <c r="H700" i="55"/>
  <c r="J700"/>
  <c r="F700"/>
  <c r="Z700"/>
  <c r="F692" i="58"/>
  <c r="J698" i="55"/>
  <c r="Z698"/>
  <c r="D763" i="58"/>
  <c r="V698" i="55"/>
  <c r="T698"/>
  <c r="F698"/>
  <c r="X698"/>
  <c r="H698"/>
  <c r="C1039"/>
  <c r="C838"/>
  <c r="K3890" i="11"/>
  <c r="C841" i="55"/>
  <c r="C1040"/>
  <c r="Z186" l="1"/>
  <c r="R186"/>
  <c r="Z635"/>
  <c r="R635"/>
  <c r="Z512"/>
  <c r="R512"/>
  <c r="Z593"/>
  <c r="R593"/>
  <c r="Z591"/>
  <c r="R591"/>
  <c r="Z592"/>
  <c r="R592"/>
  <c r="Z173"/>
  <c r="R173"/>
  <c r="Z474"/>
  <c r="R474"/>
  <c r="Z661"/>
  <c r="R661"/>
  <c r="Z409"/>
  <c r="R409"/>
  <c r="Z791"/>
  <c r="R791"/>
  <c r="Z122"/>
  <c r="R122"/>
  <c r="F468"/>
  <c r="Z468"/>
  <c r="V191"/>
  <c r="T191"/>
  <c r="P191"/>
  <c r="L191"/>
  <c r="N191"/>
  <c r="J191"/>
  <c r="H191"/>
  <c r="V635"/>
  <c r="T635"/>
  <c r="P635"/>
  <c r="L635"/>
  <c r="N635"/>
  <c r="J635"/>
  <c r="H635"/>
  <c r="V791"/>
  <c r="T791"/>
  <c r="P791"/>
  <c r="N791"/>
  <c r="L791"/>
  <c r="J791"/>
  <c r="H791"/>
  <c r="V512"/>
  <c r="T512"/>
  <c r="P512"/>
  <c r="L512"/>
  <c r="N512"/>
  <c r="H512"/>
  <c r="J512"/>
  <c r="V593"/>
  <c r="T593"/>
  <c r="P593"/>
  <c r="N593"/>
  <c r="L593"/>
  <c r="J593"/>
  <c r="H593"/>
  <c r="C31" i="75"/>
  <c r="F31" s="1"/>
  <c r="V186" i="55"/>
  <c r="T186"/>
  <c r="P186"/>
  <c r="N186"/>
  <c r="L186"/>
  <c r="J186"/>
  <c r="H186"/>
  <c r="V591"/>
  <c r="T591"/>
  <c r="P591"/>
  <c r="L591"/>
  <c r="N591"/>
  <c r="J591"/>
  <c r="H591"/>
  <c r="C27" i="75"/>
  <c r="F27" s="1"/>
  <c r="V173" i="55"/>
  <c r="T173"/>
  <c r="P173"/>
  <c r="N173"/>
  <c r="L173"/>
  <c r="J173"/>
  <c r="H173"/>
  <c r="V141"/>
  <c r="T141"/>
  <c r="P141"/>
  <c r="N141"/>
  <c r="L141"/>
  <c r="J141"/>
  <c r="H141"/>
  <c r="V135"/>
  <c r="T135"/>
  <c r="P135"/>
  <c r="N135"/>
  <c r="J135"/>
  <c r="L135"/>
  <c r="H135"/>
  <c r="V661"/>
  <c r="T661"/>
  <c r="P661"/>
  <c r="N661"/>
  <c r="L661"/>
  <c r="J661"/>
  <c r="H661"/>
  <c r="V409"/>
  <c r="T409"/>
  <c r="P409"/>
  <c r="N409"/>
  <c r="L409"/>
  <c r="J409"/>
  <c r="H409"/>
  <c r="C21" i="75"/>
  <c r="F21" s="1"/>
  <c r="V122" i="55"/>
  <c r="T122"/>
  <c r="P122"/>
  <c r="N122"/>
  <c r="L122"/>
  <c r="J122"/>
  <c r="H122"/>
  <c r="D934" i="58"/>
  <c r="F934" s="1"/>
  <c r="F934" i="55"/>
  <c r="X934"/>
  <c r="K286" i="1"/>
  <c r="C70" i="55"/>
  <c r="Z69"/>
  <c r="H69"/>
  <c r="D66" i="58"/>
  <c r="F66" s="1"/>
  <c r="X69" i="55"/>
  <c r="V69"/>
  <c r="J69"/>
  <c r="T69"/>
  <c r="F69"/>
  <c r="D515" i="58"/>
  <c r="F515" s="1"/>
  <c r="R1157" i="1"/>
  <c r="C269" i="55"/>
  <c r="I658" i="1"/>
  <c r="K658" s="1"/>
  <c r="D518" i="58"/>
  <c r="F518" s="1"/>
  <c r="J268" i="55"/>
  <c r="H268"/>
  <c r="V268"/>
  <c r="T268"/>
  <c r="F268"/>
  <c r="D265" i="58"/>
  <c r="F265" s="1"/>
  <c r="X268" i="55"/>
  <c r="Z268"/>
  <c r="F734"/>
  <c r="V734"/>
  <c r="J734"/>
  <c r="H734"/>
  <c r="D799" i="58"/>
  <c r="F799" s="1"/>
  <c r="X734" i="55"/>
  <c r="T734"/>
  <c r="Z734"/>
  <c r="X1344" i="1"/>
  <c r="Y1343"/>
  <c r="J733" i="55"/>
  <c r="Z733"/>
  <c r="H733"/>
  <c r="D798" i="58"/>
  <c r="F798" s="1"/>
  <c r="X733" i="55"/>
  <c r="V733"/>
  <c r="F733"/>
  <c r="T733"/>
  <c r="H338"/>
  <c r="Z338"/>
  <c r="V338"/>
  <c r="D333" i="58"/>
  <c r="F333" s="1"/>
  <c r="T338" i="55"/>
  <c r="F338"/>
  <c r="X338"/>
  <c r="J338"/>
  <c r="H971"/>
  <c r="V971"/>
  <c r="F971"/>
  <c r="D1038" i="58"/>
  <c r="F1038" s="1"/>
  <c r="J971" i="55"/>
  <c r="Z971"/>
  <c r="T971"/>
  <c r="X971"/>
  <c r="T406"/>
  <c r="D400" i="58"/>
  <c r="F400" s="1"/>
  <c r="J406" i="55"/>
  <c r="V406"/>
  <c r="X406"/>
  <c r="H406"/>
  <c r="Z406"/>
  <c r="F406"/>
  <c r="C89"/>
  <c r="X345" i="1"/>
  <c r="R1225"/>
  <c r="R1227" s="1"/>
  <c r="T1213"/>
  <c r="T1225" s="1"/>
  <c r="T1227" s="1"/>
  <c r="I628"/>
  <c r="K628" s="1"/>
  <c r="C570" i="55"/>
  <c r="AD1195" i="1"/>
  <c r="C745" i="55"/>
  <c r="AG322" i="1"/>
  <c r="AG323" s="1"/>
  <c r="AG324" s="1"/>
  <c r="AH322"/>
  <c r="AH321"/>
  <c r="C397" i="55"/>
  <c r="C606"/>
  <c r="X340"/>
  <c r="F340"/>
  <c r="V340"/>
  <c r="Z340"/>
  <c r="T340"/>
  <c r="H340"/>
  <c r="D335" i="58"/>
  <c r="F335" s="1"/>
  <c r="J340" i="55"/>
  <c r="F976"/>
  <c r="X976"/>
  <c r="H976"/>
  <c r="J976"/>
  <c r="V976"/>
  <c r="T976"/>
  <c r="Z976"/>
  <c r="D1043" i="58"/>
  <c r="F1043" s="1"/>
  <c r="P1986" i="1"/>
  <c r="R1986" s="1"/>
  <c r="R1996" s="1"/>
  <c r="K1986"/>
  <c r="K1995" s="1"/>
  <c r="F592" i="55"/>
  <c r="X592"/>
  <c r="T592"/>
  <c r="J592"/>
  <c r="V592"/>
  <c r="H592"/>
  <c r="D658" i="58"/>
  <c r="F658" s="1"/>
  <c r="X322" i="1"/>
  <c r="X323" s="1"/>
  <c r="X324" s="1"/>
  <c r="Y321"/>
  <c r="D119" i="58"/>
  <c r="F119" s="1"/>
  <c r="X122" i="55"/>
  <c r="F122"/>
  <c r="K346" i="1"/>
  <c r="L345"/>
  <c r="X661" i="55"/>
  <c r="F661"/>
  <c r="D726" i="58"/>
  <c r="F726" s="1"/>
  <c r="F409" i="55"/>
  <c r="X409"/>
  <c r="D403" i="58"/>
  <c r="F403" s="1"/>
  <c r="K201" i="1"/>
  <c r="C95" i="55"/>
  <c r="AG345" i="1"/>
  <c r="AS99"/>
  <c r="AU98"/>
  <c r="AV98" s="1"/>
  <c r="R1255"/>
  <c r="R1267" s="1"/>
  <c r="R1269" s="1"/>
  <c r="V1235"/>
  <c r="P1232"/>
  <c r="R1232" s="1"/>
  <c r="R1244" s="1"/>
  <c r="R1246" s="1"/>
  <c r="F345" i="55"/>
  <c r="T345"/>
  <c r="D340" i="58"/>
  <c r="F340" s="1"/>
  <c r="H345" i="55"/>
  <c r="V345"/>
  <c r="Z345"/>
  <c r="J345"/>
  <c r="X345"/>
  <c r="T569"/>
  <c r="D635" i="58"/>
  <c r="F635" s="1"/>
  <c r="X569" i="55"/>
  <c r="V569"/>
  <c r="F569"/>
  <c r="Z569"/>
  <c r="H569"/>
  <c r="J569"/>
  <c r="C750"/>
  <c r="AK1195" i="1"/>
  <c r="F791" i="55"/>
  <c r="X791"/>
  <c r="D855" i="58"/>
  <c r="F855" s="1"/>
  <c r="X591" i="55"/>
  <c r="D657" i="58"/>
  <c r="F657" s="1"/>
  <c r="F591" i="55"/>
  <c r="X512"/>
  <c r="F512"/>
  <c r="D553" i="58"/>
  <c r="F553" s="1"/>
  <c r="F339" i="55"/>
  <c r="D334" i="58"/>
  <c r="F334" s="1"/>
  <c r="C341" i="55"/>
  <c r="V339"/>
  <c r="Z339"/>
  <c r="X339"/>
  <c r="J339"/>
  <c r="T339"/>
  <c r="H339"/>
  <c r="F593"/>
  <c r="D659" i="58"/>
  <c r="F659" s="1"/>
  <c r="X593" i="55"/>
  <c r="K322" i="1"/>
  <c r="L321"/>
  <c r="Y366"/>
  <c r="X369"/>
  <c r="Y365"/>
  <c r="C330" i="55" s="1"/>
  <c r="J330" s="1"/>
  <c r="AG447" i="1"/>
  <c r="C192" i="55"/>
  <c r="D208" i="58"/>
  <c r="F208" s="1"/>
  <c r="J211" i="55"/>
  <c r="T211"/>
  <c r="F211"/>
  <c r="X211"/>
  <c r="Z211"/>
  <c r="H211"/>
  <c r="V211"/>
  <c r="X684" i="1"/>
  <c r="X685" s="1"/>
  <c r="X434"/>
  <c r="C187" i="55"/>
  <c r="F141"/>
  <c r="X141"/>
  <c r="D138" i="58"/>
  <c r="F138" s="1"/>
  <c r="Z141" i="55"/>
  <c r="F52" i="50"/>
  <c r="F53" s="1"/>
  <c r="F54" s="1"/>
  <c r="F56" s="1"/>
  <c r="F58" s="1"/>
  <c r="F60" s="1"/>
  <c r="G50"/>
  <c r="G52" s="1"/>
  <c r="G53" s="1"/>
  <c r="G54" s="1"/>
  <c r="D481" i="58"/>
  <c r="F481" s="1"/>
  <c r="X135" i="55"/>
  <c r="Z135"/>
  <c r="D132" i="58"/>
  <c r="F132" s="1"/>
  <c r="F135" i="55"/>
  <c r="Z224"/>
  <c r="F224"/>
  <c r="T224"/>
  <c r="D221" i="58"/>
  <c r="F221" s="1"/>
  <c r="V224" i="55"/>
  <c r="X224"/>
  <c r="J224"/>
  <c r="H224"/>
  <c r="H251"/>
  <c r="T251"/>
  <c r="J251"/>
  <c r="X251"/>
  <c r="F251"/>
  <c r="Z251"/>
  <c r="V251"/>
  <c r="D248" i="58"/>
  <c r="F248" s="1"/>
  <c r="D73"/>
  <c r="F73" s="1"/>
  <c r="X76" i="55"/>
  <c r="F76"/>
  <c r="H76"/>
  <c r="Z76"/>
  <c r="V76"/>
  <c r="J76"/>
  <c r="T76"/>
  <c r="F481"/>
  <c r="Z481"/>
  <c r="D475" i="58"/>
  <c r="F475" s="1"/>
  <c r="V481" i="55"/>
  <c r="J481"/>
  <c r="T481"/>
  <c r="X481"/>
  <c r="H481"/>
  <c r="C239"/>
  <c r="I536" i="1"/>
  <c r="K536" s="1"/>
  <c r="K402"/>
  <c r="K435"/>
  <c r="C213" i="55" s="1"/>
  <c r="C212"/>
  <c r="C874" i="1"/>
  <c r="P2090"/>
  <c r="R2090" s="1"/>
  <c r="R2093" s="1"/>
  <c r="C637" i="55" s="1"/>
  <c r="E9" i="32"/>
  <c r="I2338" i="1"/>
  <c r="K2338" s="1"/>
  <c r="K2340" s="1"/>
  <c r="AB461"/>
  <c r="AD461" s="1"/>
  <c r="AD465" s="1"/>
  <c r="AD467" s="1"/>
  <c r="AB473" s="1"/>
  <c r="AD473" s="1"/>
  <c r="AD479" s="1"/>
  <c r="AD481" s="1"/>
  <c r="AB483" s="1"/>
  <c r="AD483" s="1"/>
  <c r="I874"/>
  <c r="J468" i="55"/>
  <c r="T468"/>
  <c r="V468"/>
  <c r="X468"/>
  <c r="D462" i="58"/>
  <c r="F462" s="1"/>
  <c r="H468" i="55"/>
  <c r="Z711" i="1"/>
  <c r="Z713" s="1"/>
  <c r="X713"/>
  <c r="X714" s="1"/>
  <c r="X715" s="1"/>
  <c r="K369"/>
  <c r="C334" i="55" s="1"/>
  <c r="K368" i="1"/>
  <c r="J367"/>
  <c r="D566" i="58"/>
  <c r="F566" s="1"/>
  <c r="C136" i="55"/>
  <c r="X401" i="1"/>
  <c r="I559"/>
  <c r="K559" s="1"/>
  <c r="C252" i="55"/>
  <c r="C77"/>
  <c r="K823" i="1"/>
  <c r="AB536"/>
  <c r="AD536" s="1"/>
  <c r="C482" i="55"/>
  <c r="D235" i="58"/>
  <c r="F235" s="1"/>
  <c r="J238" i="55"/>
  <c r="F238"/>
  <c r="X238"/>
  <c r="H238"/>
  <c r="V238"/>
  <c r="Z238"/>
  <c r="T238"/>
  <c r="D170" i="58"/>
  <c r="F170" s="1"/>
  <c r="X173" i="55"/>
  <c r="F173"/>
  <c r="I3968" i="1"/>
  <c r="K3968" s="1"/>
  <c r="K3980" s="1"/>
  <c r="C854" i="55" s="1"/>
  <c r="K3951" i="1"/>
  <c r="K3963" s="1"/>
  <c r="C855" i="55" s="1"/>
  <c r="V474"/>
  <c r="H474"/>
  <c r="J474"/>
  <c r="X474"/>
  <c r="F474"/>
  <c r="T474"/>
  <c r="D468" i="58"/>
  <c r="F468" s="1"/>
  <c r="AG376" i="1"/>
  <c r="AH366"/>
  <c r="V536"/>
  <c r="X536" s="1"/>
  <c r="F50" i="32"/>
  <c r="H49"/>
  <c r="D570" i="58"/>
  <c r="F570" s="1"/>
  <c r="C485" i="55"/>
  <c r="AB559" i="1"/>
  <c r="AD559" s="1"/>
  <c r="K469"/>
  <c r="C225" i="55"/>
  <c r="L468" i="1"/>
  <c r="X191" i="55"/>
  <c r="D188" i="58"/>
  <c r="F188" s="1"/>
  <c r="F191" i="55"/>
  <c r="Z191"/>
  <c r="C853"/>
  <c r="L3947" i="1"/>
  <c r="V559"/>
  <c r="X559" s="1"/>
  <c r="F186" i="55"/>
  <c r="X186"/>
  <c r="D183" i="58"/>
  <c r="F183" s="1"/>
  <c r="C142" i="55"/>
  <c r="AG409" i="1"/>
  <c r="F115" i="50"/>
  <c r="F116" s="1"/>
  <c r="F117" s="1"/>
  <c r="G113"/>
  <c r="G115" s="1"/>
  <c r="G116" s="1"/>
  <c r="G117" s="1"/>
  <c r="E133" s="1"/>
  <c r="F133" s="1"/>
  <c r="F137" s="1"/>
  <c r="F138" s="1"/>
  <c r="F141" s="1"/>
  <c r="C826" i="55" s="1"/>
  <c r="T826" s="1"/>
  <c r="D556" i="58"/>
  <c r="F556" s="1"/>
  <c r="D700"/>
  <c r="F700" s="1"/>
  <c r="X635" i="55"/>
  <c r="F635"/>
  <c r="AU117" i="1"/>
  <c r="AV117" s="1"/>
  <c r="AS118"/>
  <c r="AT117"/>
  <c r="AS144"/>
  <c r="AQ176"/>
  <c r="AS176" s="1"/>
  <c r="F763" i="58"/>
  <c r="T841" i="55"/>
  <c r="J841"/>
  <c r="D905" i="58"/>
  <c r="X841" i="55"/>
  <c r="Z841"/>
  <c r="H841"/>
  <c r="F841"/>
  <c r="V841"/>
  <c r="X1040"/>
  <c r="T1040"/>
  <c r="V1040"/>
  <c r="Z1040"/>
  <c r="F1040"/>
  <c r="J1040"/>
  <c r="H1040"/>
  <c r="V1039"/>
  <c r="H1039"/>
  <c r="J1039"/>
  <c r="X1039"/>
  <c r="T1039"/>
  <c r="F1039"/>
  <c r="Z1039"/>
  <c r="F838"/>
  <c r="X838"/>
  <c r="D902" i="58"/>
  <c r="H838" i="55"/>
  <c r="Z838"/>
  <c r="T838"/>
  <c r="V838"/>
  <c r="J838"/>
  <c r="F765" i="58"/>
  <c r="F901"/>
  <c r="F764"/>
  <c r="Z174" i="55" l="1"/>
  <c r="R174"/>
  <c r="Z475"/>
  <c r="R475"/>
  <c r="Z469"/>
  <c r="R469"/>
  <c r="Z637"/>
  <c r="R637"/>
  <c r="Z663"/>
  <c r="R663"/>
  <c r="Z123"/>
  <c r="R123"/>
  <c r="Z792"/>
  <c r="R792"/>
  <c r="Z330"/>
  <c r="T330"/>
  <c r="V637"/>
  <c r="T637"/>
  <c r="N637"/>
  <c r="P637"/>
  <c r="L637"/>
  <c r="J637"/>
  <c r="H637"/>
  <c r="V663"/>
  <c r="P663"/>
  <c r="L663"/>
  <c r="T663"/>
  <c r="N663"/>
  <c r="J663"/>
  <c r="H663"/>
  <c r="C22" i="75"/>
  <c r="F22" s="1"/>
  <c r="V123" i="55"/>
  <c r="T123"/>
  <c r="P123"/>
  <c r="J123"/>
  <c r="N123"/>
  <c r="H123"/>
  <c r="L123"/>
  <c r="V136"/>
  <c r="T136"/>
  <c r="P136"/>
  <c r="L136"/>
  <c r="J136"/>
  <c r="N136"/>
  <c r="H136"/>
  <c r="V187"/>
  <c r="T187"/>
  <c r="P187"/>
  <c r="L187"/>
  <c r="N187"/>
  <c r="J187"/>
  <c r="H187"/>
  <c r="V750"/>
  <c r="T750"/>
  <c r="P750"/>
  <c r="L750"/>
  <c r="J750"/>
  <c r="H750"/>
  <c r="N750"/>
  <c r="V142"/>
  <c r="T142"/>
  <c r="P142"/>
  <c r="N142"/>
  <c r="L142"/>
  <c r="J142"/>
  <c r="H142"/>
  <c r="V192"/>
  <c r="T192"/>
  <c r="P192"/>
  <c r="L192"/>
  <c r="J192"/>
  <c r="N192"/>
  <c r="H192"/>
  <c r="V95"/>
  <c r="T95"/>
  <c r="P95"/>
  <c r="N95"/>
  <c r="J95"/>
  <c r="L95"/>
  <c r="H95"/>
  <c r="V792"/>
  <c r="T792"/>
  <c r="P792"/>
  <c r="N792"/>
  <c r="L792"/>
  <c r="J792"/>
  <c r="H792"/>
  <c r="C28" i="75"/>
  <c r="F28" s="1"/>
  <c r="V174" i="55"/>
  <c r="P174"/>
  <c r="L174"/>
  <c r="T174"/>
  <c r="J174"/>
  <c r="N174"/>
  <c r="H174"/>
  <c r="V330"/>
  <c r="H330"/>
  <c r="F330"/>
  <c r="X330"/>
  <c r="D325" i="58"/>
  <c r="F325" s="1"/>
  <c r="D266"/>
  <c r="F266" s="1"/>
  <c r="H269" i="55"/>
  <c r="X269"/>
  <c r="J269"/>
  <c r="F269"/>
  <c r="V269"/>
  <c r="Z269"/>
  <c r="T269"/>
  <c r="C71"/>
  <c r="K287" i="1"/>
  <c r="C270" i="55"/>
  <c r="I659" i="1"/>
  <c r="K659" s="1"/>
  <c r="X70" i="55"/>
  <c r="Z70"/>
  <c r="F70"/>
  <c r="D67" i="58"/>
  <c r="F67" s="1"/>
  <c r="V70" i="55"/>
  <c r="T70"/>
  <c r="H70"/>
  <c r="J70"/>
  <c r="R1158" i="1"/>
  <c r="D890" i="58"/>
  <c r="F890" s="1"/>
  <c r="C174" i="75"/>
  <c r="F174" s="1"/>
  <c r="D519" i="58"/>
  <c r="F519" s="1"/>
  <c r="M322" i="1"/>
  <c r="K323"/>
  <c r="K324" s="1"/>
  <c r="F341" i="55"/>
  <c r="V341"/>
  <c r="D336" i="58"/>
  <c r="F336" s="1"/>
  <c r="J341" i="55"/>
  <c r="X341"/>
  <c r="Z341"/>
  <c r="H341"/>
  <c r="T341"/>
  <c r="X750"/>
  <c r="Z750"/>
  <c r="D815" i="58"/>
  <c r="F815" s="1"/>
  <c r="F750" i="55"/>
  <c r="AB1239" i="1"/>
  <c r="X1235"/>
  <c r="X1247" s="1"/>
  <c r="X1249" s="1"/>
  <c r="AG346"/>
  <c r="C96" i="55"/>
  <c r="C329"/>
  <c r="C49"/>
  <c r="I1778" i="1"/>
  <c r="K1778" s="1"/>
  <c r="K1787" s="1"/>
  <c r="C382" i="55" s="1"/>
  <c r="F123"/>
  <c r="X123"/>
  <c r="D120" i="58"/>
  <c r="F120" s="1"/>
  <c r="L346" i="1"/>
  <c r="K347"/>
  <c r="C398" i="55"/>
  <c r="C607"/>
  <c r="J606"/>
  <c r="T606"/>
  <c r="V606"/>
  <c r="F606"/>
  <c r="Z606"/>
  <c r="H606"/>
  <c r="D671" i="58"/>
  <c r="F671" s="1"/>
  <c r="X606" i="55"/>
  <c r="C746"/>
  <c r="AD1196" i="1"/>
  <c r="C571" i="55"/>
  <c r="I629" i="1"/>
  <c r="K629" s="1"/>
  <c r="C572" i="55" s="1"/>
  <c r="C664"/>
  <c r="C665"/>
  <c r="C972"/>
  <c r="S1227" i="1"/>
  <c r="H89" i="55"/>
  <c r="Z89"/>
  <c r="J89"/>
  <c r="F89"/>
  <c r="T89"/>
  <c r="X89"/>
  <c r="V89"/>
  <c r="D86" i="58"/>
  <c r="F86" s="1"/>
  <c r="AK1196" i="1"/>
  <c r="C751" i="55"/>
  <c r="X663"/>
  <c r="D728" i="58"/>
  <c r="F728" s="1"/>
  <c r="F663" i="55"/>
  <c r="C973"/>
  <c r="C662"/>
  <c r="AS100" i="1"/>
  <c r="AU100" s="1"/>
  <c r="AV100" s="1"/>
  <c r="AU99"/>
  <c r="AV99" s="1"/>
  <c r="F95" i="55"/>
  <c r="Z95"/>
  <c r="X95"/>
  <c r="D92" i="58"/>
  <c r="F92" s="1"/>
  <c r="F792" i="55"/>
  <c r="D856" i="58"/>
  <c r="F856" s="1"/>
  <c r="X792" i="55"/>
  <c r="H397"/>
  <c r="T397"/>
  <c r="D391" i="58"/>
  <c r="F391" s="1"/>
  <c r="J397" i="55"/>
  <c r="F397"/>
  <c r="X397"/>
  <c r="V397"/>
  <c r="Z397"/>
  <c r="J745"/>
  <c r="H745"/>
  <c r="T745"/>
  <c r="F745"/>
  <c r="D810" i="58"/>
  <c r="F810" s="1"/>
  <c r="V745" i="55"/>
  <c r="X745"/>
  <c r="Z745"/>
  <c r="X570"/>
  <c r="F570"/>
  <c r="J570"/>
  <c r="Z570"/>
  <c r="T570"/>
  <c r="D636" i="58"/>
  <c r="F636" s="1"/>
  <c r="V570" i="55"/>
  <c r="H570"/>
  <c r="C90"/>
  <c r="X346" i="1"/>
  <c r="V826" i="55"/>
  <c r="Z826"/>
  <c r="F826"/>
  <c r="X687" i="1"/>
  <c r="C143" i="55"/>
  <c r="AG410" i="1"/>
  <c r="J485" i="55"/>
  <c r="T485"/>
  <c r="H485"/>
  <c r="F485"/>
  <c r="D482" i="58"/>
  <c r="F482" s="1"/>
  <c r="X485" i="55"/>
  <c r="V485"/>
  <c r="Z485"/>
  <c r="C470"/>
  <c r="V537" i="1"/>
  <c r="X537" s="1"/>
  <c r="AG377"/>
  <c r="J854" i="55"/>
  <c r="V854"/>
  <c r="F854"/>
  <c r="Z854"/>
  <c r="T854"/>
  <c r="H854"/>
  <c r="X854"/>
  <c r="D918" i="58"/>
  <c r="F918" s="1"/>
  <c r="X77" i="55"/>
  <c r="V77"/>
  <c r="T77"/>
  <c r="Z77"/>
  <c r="J77"/>
  <c r="D74" i="58"/>
  <c r="F74" s="1"/>
  <c r="H77" i="55"/>
  <c r="F77"/>
  <c r="D133" i="58"/>
  <c r="F133" s="1"/>
  <c r="X136" i="55"/>
  <c r="Z136"/>
  <c r="F136"/>
  <c r="C504"/>
  <c r="X717" i="1"/>
  <c r="I856"/>
  <c r="K874"/>
  <c r="K886" s="1"/>
  <c r="I890"/>
  <c r="K890" s="1"/>
  <c r="K902" s="1"/>
  <c r="V874"/>
  <c r="X637" i="55"/>
  <c r="D702" i="58"/>
  <c r="F702" s="1"/>
  <c r="F637" i="55"/>
  <c r="K403" i="1"/>
  <c r="Z187" i="55"/>
  <c r="D184" i="58"/>
  <c r="F184" s="1"/>
  <c r="X187" i="55"/>
  <c r="F187"/>
  <c r="X826"/>
  <c r="J826"/>
  <c r="AG378" i="1"/>
  <c r="C331" i="55" s="1"/>
  <c r="V560" i="1"/>
  <c r="X560" s="1"/>
  <c r="C486" i="55"/>
  <c r="AB560" i="1"/>
  <c r="AD560" s="1"/>
  <c r="V469" i="55"/>
  <c r="F469"/>
  <c r="J469"/>
  <c r="H469"/>
  <c r="X469"/>
  <c r="T469"/>
  <c r="D463" i="58"/>
  <c r="F463" s="1"/>
  <c r="F855" i="55"/>
  <c r="X855"/>
  <c r="J855"/>
  <c r="Z855"/>
  <c r="V855"/>
  <c r="T855"/>
  <c r="H855"/>
  <c r="D919" i="58"/>
  <c r="F919" s="1"/>
  <c r="C78" i="55"/>
  <c r="K824" i="1"/>
  <c r="C137" i="55"/>
  <c r="X402" i="1"/>
  <c r="T334" i="55"/>
  <c r="D329" i="58"/>
  <c r="F329" s="1"/>
  <c r="Z334" i="55"/>
  <c r="J334"/>
  <c r="X334"/>
  <c r="V334"/>
  <c r="F334"/>
  <c r="H334"/>
  <c r="F9" i="32"/>
  <c r="F13" s="1"/>
  <c r="F14" s="1"/>
  <c r="F17" s="1"/>
  <c r="E73"/>
  <c r="H213" i="55"/>
  <c r="X213"/>
  <c r="T213"/>
  <c r="F213"/>
  <c r="V213"/>
  <c r="J213"/>
  <c r="D210" i="58"/>
  <c r="F210" s="1"/>
  <c r="Z213" i="55"/>
  <c r="T239"/>
  <c r="F239"/>
  <c r="J239"/>
  <c r="V239"/>
  <c r="D236" i="58"/>
  <c r="F236" s="1"/>
  <c r="H239" i="55"/>
  <c r="Z239"/>
  <c r="X239"/>
  <c r="AG448" i="1"/>
  <c r="C193" i="55"/>
  <c r="D469" i="58"/>
  <c r="F469" s="1"/>
  <c r="J475" i="55"/>
  <c r="T475"/>
  <c r="H475"/>
  <c r="X475"/>
  <c r="V475"/>
  <c r="F475"/>
  <c r="L469" i="1"/>
  <c r="K470"/>
  <c r="F52" i="32"/>
  <c r="F53" s="1"/>
  <c r="F54" s="1"/>
  <c r="F56" s="1"/>
  <c r="F58" s="1"/>
  <c r="F60" s="1"/>
  <c r="H50"/>
  <c r="H52" s="1"/>
  <c r="H53" s="1"/>
  <c r="H54" s="1"/>
  <c r="AB537" i="1"/>
  <c r="AD537" s="1"/>
  <c r="C483" i="55"/>
  <c r="C253"/>
  <c r="I560" i="1"/>
  <c r="K560" s="1"/>
  <c r="J368"/>
  <c r="J212" i="55"/>
  <c r="V212"/>
  <c r="D209" i="58"/>
  <c r="F209" s="1"/>
  <c r="F212" i="55"/>
  <c r="X212"/>
  <c r="H212"/>
  <c r="Z212"/>
  <c r="T212"/>
  <c r="I537" i="1"/>
  <c r="K537" s="1"/>
  <c r="C240" i="55"/>
  <c r="E73" i="50"/>
  <c r="F73" s="1"/>
  <c r="F77" s="1"/>
  <c r="F78" s="1"/>
  <c r="F81" s="1"/>
  <c r="C825" i="55" s="1"/>
  <c r="E9" i="50"/>
  <c r="F9" s="1"/>
  <c r="F13" s="1"/>
  <c r="F14" s="1"/>
  <c r="F17" s="1"/>
  <c r="C824" i="55" s="1"/>
  <c r="D189" i="58"/>
  <c r="F189" s="1"/>
  <c r="Z192" i="55"/>
  <c r="F192"/>
  <c r="X192"/>
  <c r="X142"/>
  <c r="F142"/>
  <c r="D139" i="58"/>
  <c r="F139" s="1"/>
  <c r="Z142" i="55"/>
  <c r="V853"/>
  <c r="X853"/>
  <c r="Z853"/>
  <c r="D917" i="58"/>
  <c r="F917" s="1"/>
  <c r="F853" i="55"/>
  <c r="H853"/>
  <c r="J853"/>
  <c r="T853"/>
  <c r="Z225"/>
  <c r="F225"/>
  <c r="H225"/>
  <c r="D222" i="58"/>
  <c r="F222" s="1"/>
  <c r="J225" i="55"/>
  <c r="V225"/>
  <c r="X225"/>
  <c r="T225"/>
  <c r="V482"/>
  <c r="J482"/>
  <c r="Z482"/>
  <c r="X482"/>
  <c r="D476" i="58"/>
  <c r="F476" s="1"/>
  <c r="T482" i="55"/>
  <c r="F482"/>
  <c r="H482"/>
  <c r="Z252"/>
  <c r="T252"/>
  <c r="F252"/>
  <c r="D249" i="58"/>
  <c r="F249" s="1"/>
  <c r="V252" i="55"/>
  <c r="X252"/>
  <c r="H252"/>
  <c r="J252"/>
  <c r="Z714" i="1"/>
  <c r="Z715" s="1"/>
  <c r="V461" s="1"/>
  <c r="X461" s="1"/>
  <c r="X465" s="1"/>
  <c r="X467" s="1"/>
  <c r="V473" s="1"/>
  <c r="X473" s="1"/>
  <c r="X479" s="1"/>
  <c r="X481" s="1"/>
  <c r="V483" s="1"/>
  <c r="X483" s="1"/>
  <c r="C37" i="75" s="1"/>
  <c r="F37" s="1"/>
  <c r="C491" i="55"/>
  <c r="AB484" i="1"/>
  <c r="AD484" s="1"/>
  <c r="D171" i="58"/>
  <c r="F171" s="1"/>
  <c r="F174" i="55"/>
  <c r="X174"/>
  <c r="C188"/>
  <c r="X435" i="1"/>
  <c r="C189" i="55" s="1"/>
  <c r="H826"/>
  <c r="AS119" i="1"/>
  <c r="AU118"/>
  <c r="AV118" s="1"/>
  <c r="AU176"/>
  <c r="AV176" s="1"/>
  <c r="AS180"/>
  <c r="AS148"/>
  <c r="AU144"/>
  <c r="AV144" s="1"/>
  <c r="F905" i="58"/>
  <c r="F902"/>
  <c r="Z504" i="55" l="1"/>
  <c r="R504"/>
  <c r="Z124"/>
  <c r="R124"/>
  <c r="Z382"/>
  <c r="R382"/>
  <c r="Z175"/>
  <c r="R175"/>
  <c r="Z470"/>
  <c r="R470"/>
  <c r="Z664"/>
  <c r="R664"/>
  <c r="Z780"/>
  <c r="R780"/>
  <c r="Z665"/>
  <c r="R665"/>
  <c r="Z329"/>
  <c r="R329"/>
  <c r="Z476"/>
  <c r="R476"/>
  <c r="Z662"/>
  <c r="R662"/>
  <c r="Z49"/>
  <c r="R49"/>
  <c r="V382"/>
  <c r="T382"/>
  <c r="P382"/>
  <c r="N382"/>
  <c r="L382"/>
  <c r="J382"/>
  <c r="H382"/>
  <c r="V504"/>
  <c r="T504"/>
  <c r="P504"/>
  <c r="L504"/>
  <c r="N504"/>
  <c r="J504"/>
  <c r="H504"/>
  <c r="V662"/>
  <c r="T662"/>
  <c r="N662"/>
  <c r="P662"/>
  <c r="L662"/>
  <c r="H662"/>
  <c r="J662"/>
  <c r="C23" i="75"/>
  <c r="F23" s="1"/>
  <c r="V124" i="55"/>
  <c r="T124"/>
  <c r="P124"/>
  <c r="N124"/>
  <c r="L124"/>
  <c r="J124"/>
  <c r="H124"/>
  <c r="V96"/>
  <c r="T96"/>
  <c r="P96"/>
  <c r="L96"/>
  <c r="J96"/>
  <c r="H96"/>
  <c r="N96"/>
  <c r="V188"/>
  <c r="T188"/>
  <c r="P188"/>
  <c r="N188"/>
  <c r="L188"/>
  <c r="J188"/>
  <c r="H188"/>
  <c r="V189"/>
  <c r="T189"/>
  <c r="P189"/>
  <c r="N189"/>
  <c r="L189"/>
  <c r="J189"/>
  <c r="H189"/>
  <c r="V137"/>
  <c r="T137"/>
  <c r="P137"/>
  <c r="N137"/>
  <c r="J137"/>
  <c r="H137"/>
  <c r="L137"/>
  <c r="V664"/>
  <c r="T664"/>
  <c r="P664"/>
  <c r="N664"/>
  <c r="L664"/>
  <c r="J664"/>
  <c r="H664"/>
  <c r="V746"/>
  <c r="T746"/>
  <c r="P746"/>
  <c r="L746"/>
  <c r="N746"/>
  <c r="J746"/>
  <c r="H746"/>
  <c r="C44" i="75"/>
  <c r="F44" s="1"/>
  <c r="V329" i="55"/>
  <c r="T329"/>
  <c r="P329"/>
  <c r="N329"/>
  <c r="L329"/>
  <c r="J329"/>
  <c r="H329"/>
  <c r="F780"/>
  <c r="V780"/>
  <c r="T780"/>
  <c r="P780"/>
  <c r="N780"/>
  <c r="J780"/>
  <c r="H780"/>
  <c r="L780"/>
  <c r="V491"/>
  <c r="T491"/>
  <c r="P491"/>
  <c r="N491"/>
  <c r="L491"/>
  <c r="J491"/>
  <c r="H491"/>
  <c r="V193"/>
  <c r="T193"/>
  <c r="P193"/>
  <c r="N193"/>
  <c r="J193"/>
  <c r="L193"/>
  <c r="H193"/>
  <c r="V175"/>
  <c r="T175"/>
  <c r="P175"/>
  <c r="N175"/>
  <c r="L175"/>
  <c r="J175"/>
  <c r="H175"/>
  <c r="V143"/>
  <c r="T143"/>
  <c r="P143"/>
  <c r="N143"/>
  <c r="L143"/>
  <c r="J143"/>
  <c r="H143"/>
  <c r="V751"/>
  <c r="T751"/>
  <c r="P751"/>
  <c r="N751"/>
  <c r="L751"/>
  <c r="J751"/>
  <c r="H751"/>
  <c r="V665"/>
  <c r="T665"/>
  <c r="P665"/>
  <c r="N665"/>
  <c r="J665"/>
  <c r="H665"/>
  <c r="L665"/>
  <c r="C13" i="75"/>
  <c r="F13" s="1"/>
  <c r="V49" i="55"/>
  <c r="T49"/>
  <c r="N49"/>
  <c r="J49"/>
  <c r="P49"/>
  <c r="L49"/>
  <c r="H49"/>
  <c r="X780"/>
  <c r="R1159" i="1"/>
  <c r="F71" i="55"/>
  <c r="H71"/>
  <c r="D68" i="58"/>
  <c r="F68" s="1"/>
  <c r="Z71" i="55"/>
  <c r="X71"/>
  <c r="V71"/>
  <c r="J71"/>
  <c r="T71"/>
  <c r="D520" i="58"/>
  <c r="F520" s="1"/>
  <c r="C72" i="55"/>
  <c r="K288" i="1"/>
  <c r="C73" i="55" s="1"/>
  <c r="D844" i="58"/>
  <c r="F844" s="1"/>
  <c r="D267"/>
  <c r="F267" s="1"/>
  <c r="H270" i="55"/>
  <c r="J270"/>
  <c r="V270"/>
  <c r="F270"/>
  <c r="T270"/>
  <c r="Z270"/>
  <c r="X270"/>
  <c r="C271"/>
  <c r="I660" i="1"/>
  <c r="K660" s="1"/>
  <c r="C91" i="55"/>
  <c r="X347" i="1"/>
  <c r="F662" i="55"/>
  <c r="X662"/>
  <c r="D727" i="58"/>
  <c r="F727" s="1"/>
  <c r="F751" i="55"/>
  <c r="Z751"/>
  <c r="X751"/>
  <c r="D816" i="58"/>
  <c r="F816" s="1"/>
  <c r="D730"/>
  <c r="F730" s="1"/>
  <c r="X665" i="55"/>
  <c r="F665"/>
  <c r="J572"/>
  <c r="X572"/>
  <c r="F572"/>
  <c r="T572"/>
  <c r="Z572"/>
  <c r="H572"/>
  <c r="V572"/>
  <c r="D638" i="58"/>
  <c r="F638" s="1"/>
  <c r="C747" i="55"/>
  <c r="AD1197" i="1"/>
  <c r="X607" i="55"/>
  <c r="Z607"/>
  <c r="T607"/>
  <c r="V607"/>
  <c r="D672" i="58"/>
  <c r="F672" s="1"/>
  <c r="J607" i="55"/>
  <c r="H607"/>
  <c r="F607"/>
  <c r="C125"/>
  <c r="K348" i="1"/>
  <c r="X124" i="55"/>
  <c r="F124"/>
  <c r="D121" i="58"/>
  <c r="F121" s="1"/>
  <c r="X49" i="55"/>
  <c r="D46" i="58"/>
  <c r="F46" s="1"/>
  <c r="F49" i="55"/>
  <c r="AG347" i="1"/>
  <c r="C97" i="55"/>
  <c r="AB1211" i="1"/>
  <c r="AD1211" s="1"/>
  <c r="AD1224" s="1"/>
  <c r="AD1226" s="1"/>
  <c r="C822" i="55" s="1"/>
  <c r="AD1239" i="1"/>
  <c r="AD1252" s="1"/>
  <c r="AD1254" s="1"/>
  <c r="C975" i="55" s="1"/>
  <c r="T90"/>
  <c r="D87" i="58"/>
  <c r="F87" s="1"/>
  <c r="V90" i="55"/>
  <c r="J90"/>
  <c r="Z90"/>
  <c r="F90"/>
  <c r="X90"/>
  <c r="H90"/>
  <c r="T973"/>
  <c r="F973"/>
  <c r="X973"/>
  <c r="Z973"/>
  <c r="H973"/>
  <c r="J973"/>
  <c r="D1040" i="58"/>
  <c r="F1040" s="1"/>
  <c r="V973" i="55"/>
  <c r="C752"/>
  <c r="AK1197" i="1"/>
  <c r="Z972" i="55"/>
  <c r="T972"/>
  <c r="X972"/>
  <c r="F972"/>
  <c r="J972"/>
  <c r="H972"/>
  <c r="V972"/>
  <c r="D1039" i="58"/>
  <c r="F1039" s="1"/>
  <c r="F664" i="55"/>
  <c r="D729" i="58"/>
  <c r="F729" s="1"/>
  <c r="X664" i="55"/>
  <c r="F571"/>
  <c r="Z571"/>
  <c r="H571"/>
  <c r="J571"/>
  <c r="T571"/>
  <c r="X571"/>
  <c r="D637" i="58"/>
  <c r="F637" s="1"/>
  <c r="V571" i="55"/>
  <c r="Z746"/>
  <c r="X746"/>
  <c r="D811" i="58"/>
  <c r="F811" s="1"/>
  <c r="F746" i="55"/>
  <c r="V398"/>
  <c r="T398"/>
  <c r="F398"/>
  <c r="Z398"/>
  <c r="D392" i="58"/>
  <c r="F392" s="1"/>
  <c r="J398" i="55"/>
  <c r="X398"/>
  <c r="H398"/>
  <c r="F382"/>
  <c r="D376" i="58"/>
  <c r="F376" s="1"/>
  <c r="X382" i="55"/>
  <c r="D324" i="58"/>
  <c r="F324" s="1"/>
  <c r="X329" i="55"/>
  <c r="F329"/>
  <c r="F96"/>
  <c r="D93" i="58"/>
  <c r="F93" s="1"/>
  <c r="X96" i="55"/>
  <c r="Z96"/>
  <c r="V484" i="1"/>
  <c r="X484" s="1"/>
  <c r="C38" i="75" s="1"/>
  <c r="F38" s="1"/>
  <c r="I538" i="1"/>
  <c r="K538" s="1"/>
  <c r="C241" i="55"/>
  <c r="T253"/>
  <c r="V253"/>
  <c r="X253"/>
  <c r="J253"/>
  <c r="Z253"/>
  <c r="D250" i="58"/>
  <c r="F250" s="1"/>
  <c r="F253" i="55"/>
  <c r="H253"/>
  <c r="AG449" i="1"/>
  <c r="C194" i="55"/>
  <c r="C138"/>
  <c r="X403" i="1"/>
  <c r="C139" i="55" s="1"/>
  <c r="AB561" i="1"/>
  <c r="AD561" s="1"/>
  <c r="C487" i="55"/>
  <c r="T476"/>
  <c r="V476"/>
  <c r="J476"/>
  <c r="X476"/>
  <c r="D470" i="58"/>
  <c r="F470" s="1"/>
  <c r="H476" i="55"/>
  <c r="F476"/>
  <c r="C291"/>
  <c r="C528"/>
  <c r="F504"/>
  <c r="X504"/>
  <c r="D501" i="58"/>
  <c r="F501" s="1"/>
  <c r="F470" i="55"/>
  <c r="V470"/>
  <c r="J470"/>
  <c r="D464" i="58"/>
  <c r="F464" s="1"/>
  <c r="H470" i="55"/>
  <c r="X470"/>
  <c r="T470"/>
  <c r="D508" i="58"/>
  <c r="F508" s="1"/>
  <c r="T240" i="55"/>
  <c r="J240"/>
  <c r="Z240"/>
  <c r="F240"/>
  <c r="V240"/>
  <c r="H240"/>
  <c r="X240"/>
  <c r="D237" i="58"/>
  <c r="F237" s="1"/>
  <c r="I561" i="1"/>
  <c r="K561" s="1"/>
  <c r="I562" s="1"/>
  <c r="K562" s="1"/>
  <c r="I563" s="1"/>
  <c r="K563" s="1"/>
  <c r="I564" s="1"/>
  <c r="K564" s="1"/>
  <c r="I565" s="1"/>
  <c r="K565" s="1"/>
  <c r="I566" s="1"/>
  <c r="K566" s="1"/>
  <c r="I567" s="1"/>
  <c r="K567" s="1"/>
  <c r="I568" s="1"/>
  <c r="K568" s="1"/>
  <c r="C254" i="55"/>
  <c r="D190" i="58"/>
  <c r="F190" s="1"/>
  <c r="F193" i="55"/>
  <c r="Z193"/>
  <c r="X193"/>
  <c r="F78"/>
  <c r="X78"/>
  <c r="Z78"/>
  <c r="T78"/>
  <c r="D75" i="58"/>
  <c r="F75" s="1"/>
  <c r="J78" i="55"/>
  <c r="H78"/>
  <c r="V78"/>
  <c r="X874" i="1"/>
  <c r="X886" s="1"/>
  <c r="V890"/>
  <c r="X890" s="1"/>
  <c r="X902" s="1"/>
  <c r="X718"/>
  <c r="C471" i="55"/>
  <c r="V538" i="1"/>
  <c r="X538" s="1"/>
  <c r="X688"/>
  <c r="Z188" i="55"/>
  <c r="F188"/>
  <c r="D185" i="58"/>
  <c r="F185" s="1"/>
  <c r="X188" i="55"/>
  <c r="Z491"/>
  <c r="D488" i="58"/>
  <c r="F488" s="1"/>
  <c r="X491" i="55"/>
  <c r="F491"/>
  <c r="H825"/>
  <c r="Z825"/>
  <c r="V825"/>
  <c r="J825"/>
  <c r="D889" i="58"/>
  <c r="F889" s="1"/>
  <c r="T825" i="55"/>
  <c r="F825"/>
  <c r="X825"/>
  <c r="D558" i="58"/>
  <c r="F558" s="1"/>
  <c r="C484" i="55"/>
  <c r="AB538" i="1"/>
  <c r="AD538" s="1"/>
  <c r="K825"/>
  <c r="C79" i="55"/>
  <c r="F331"/>
  <c r="Z331"/>
  <c r="H331"/>
  <c r="V331"/>
  <c r="X331"/>
  <c r="J331"/>
  <c r="T331"/>
  <c r="D326" i="58"/>
  <c r="F326" s="1"/>
  <c r="F175" i="55"/>
  <c r="D172" i="58"/>
  <c r="F172" s="1"/>
  <c r="X175" i="55"/>
  <c r="I3296" i="1"/>
  <c r="K3296" s="1"/>
  <c r="K3308" s="1"/>
  <c r="K856"/>
  <c r="K868" s="1"/>
  <c r="P849"/>
  <c r="R849" s="1"/>
  <c r="R861" s="1"/>
  <c r="C526" i="55" s="1"/>
  <c r="V856" i="1"/>
  <c r="X856" s="1"/>
  <c r="X868" s="1"/>
  <c r="D557" i="58"/>
  <c r="F557" s="1"/>
  <c r="D140"/>
  <c r="F140" s="1"/>
  <c r="Z143" i="55"/>
  <c r="F143"/>
  <c r="X143"/>
  <c r="X189"/>
  <c r="D186" i="58"/>
  <c r="F186" s="1"/>
  <c r="Z189" i="55"/>
  <c r="F189"/>
  <c r="C492"/>
  <c r="AB485" i="1"/>
  <c r="AD485" s="1"/>
  <c r="X824" i="55"/>
  <c r="F824"/>
  <c r="T824"/>
  <c r="D888" i="58"/>
  <c r="F888" s="1"/>
  <c r="V824" i="55"/>
  <c r="Z824"/>
  <c r="H824"/>
  <c r="J824"/>
  <c r="X483"/>
  <c r="T483"/>
  <c r="H483"/>
  <c r="V483"/>
  <c r="D477" i="58"/>
  <c r="F477" s="1"/>
  <c r="F483" i="55"/>
  <c r="Z483"/>
  <c r="J483"/>
  <c r="L470" i="1"/>
  <c r="K471"/>
  <c r="E133" i="32"/>
  <c r="F133" s="1"/>
  <c r="F137" s="1"/>
  <c r="F138" s="1"/>
  <c r="F141" s="1"/>
  <c r="F73"/>
  <c r="F77" s="1"/>
  <c r="F78" s="1"/>
  <c r="F81" s="1"/>
  <c r="Z137" i="55"/>
  <c r="X137"/>
  <c r="D134" i="58"/>
  <c r="F134" s="1"/>
  <c r="F137" i="55"/>
  <c r="Z486"/>
  <c r="D483" i="58"/>
  <c r="F483" s="1"/>
  <c r="F486" i="55"/>
  <c r="V486"/>
  <c r="H486"/>
  <c r="X486"/>
  <c r="J486"/>
  <c r="T486"/>
  <c r="V561" i="1"/>
  <c r="X561" s="1"/>
  <c r="C477" i="55"/>
  <c r="L403" i="1"/>
  <c r="L404" s="1"/>
  <c r="C176" i="55"/>
  <c r="L886" i="1"/>
  <c r="C290" i="55"/>
  <c r="C525"/>
  <c r="K888" i="1"/>
  <c r="AG411"/>
  <c r="C144" i="55"/>
  <c r="AS120" i="1"/>
  <c r="AU120" s="1"/>
  <c r="AV120" s="1"/>
  <c r="AU119"/>
  <c r="AV119" s="1"/>
  <c r="AS121"/>
  <c r="AU121" s="1"/>
  <c r="AV121" s="1"/>
  <c r="AS150"/>
  <c r="AU148"/>
  <c r="AV148" s="1"/>
  <c r="AS182"/>
  <c r="AU180"/>
  <c r="AV180" s="1"/>
  <c r="Z477" i="55" l="1"/>
  <c r="R477"/>
  <c r="Z505"/>
  <c r="R505"/>
  <c r="Z525"/>
  <c r="R525"/>
  <c r="Z471"/>
  <c r="R471"/>
  <c r="Z497"/>
  <c r="R497"/>
  <c r="Z176"/>
  <c r="R176"/>
  <c r="Z125"/>
  <c r="R125"/>
  <c r="F176" i="75"/>
  <c r="V144" i="55"/>
  <c r="T144"/>
  <c r="P144"/>
  <c r="N144"/>
  <c r="L144"/>
  <c r="J144"/>
  <c r="H144"/>
  <c r="V139"/>
  <c r="T139"/>
  <c r="P139"/>
  <c r="L139"/>
  <c r="N139"/>
  <c r="J139"/>
  <c r="H139"/>
  <c r="V97"/>
  <c r="T97"/>
  <c r="P97"/>
  <c r="N97"/>
  <c r="L97"/>
  <c r="J97"/>
  <c r="H97"/>
  <c r="V525"/>
  <c r="T525"/>
  <c r="P525"/>
  <c r="N525"/>
  <c r="L525"/>
  <c r="J525"/>
  <c r="H525"/>
  <c r="V492"/>
  <c r="T492"/>
  <c r="P492"/>
  <c r="L492"/>
  <c r="N492"/>
  <c r="J492"/>
  <c r="H492"/>
  <c r="V497"/>
  <c r="T497"/>
  <c r="P497"/>
  <c r="N497"/>
  <c r="L497"/>
  <c r="J497"/>
  <c r="H497"/>
  <c r="V125"/>
  <c r="T125"/>
  <c r="P125"/>
  <c r="N125"/>
  <c r="L125"/>
  <c r="J125"/>
  <c r="H125"/>
  <c r="V505"/>
  <c r="T505"/>
  <c r="P505"/>
  <c r="L505"/>
  <c r="N505"/>
  <c r="J505"/>
  <c r="H505"/>
  <c r="V176"/>
  <c r="T176"/>
  <c r="P176"/>
  <c r="N176"/>
  <c r="L176"/>
  <c r="J176"/>
  <c r="H176"/>
  <c r="V138"/>
  <c r="N138"/>
  <c r="T138"/>
  <c r="P138"/>
  <c r="L138"/>
  <c r="J138"/>
  <c r="H138"/>
  <c r="V752"/>
  <c r="T752"/>
  <c r="P752"/>
  <c r="N752"/>
  <c r="L752"/>
  <c r="J752"/>
  <c r="H752"/>
  <c r="V747"/>
  <c r="T747"/>
  <c r="P747"/>
  <c r="N747"/>
  <c r="L747"/>
  <c r="J747"/>
  <c r="H747"/>
  <c r="D521" i="58"/>
  <c r="F521" s="1"/>
  <c r="R1160" i="1"/>
  <c r="J271" i="55"/>
  <c r="H271"/>
  <c r="D268" i="58"/>
  <c r="F268" s="1"/>
  <c r="T271" i="55"/>
  <c r="F271"/>
  <c r="Z271"/>
  <c r="X271"/>
  <c r="V271"/>
  <c r="X72"/>
  <c r="Z72"/>
  <c r="J72"/>
  <c r="V72"/>
  <c r="D69" i="58"/>
  <c r="F69" s="1"/>
  <c r="H72" i="55"/>
  <c r="F72"/>
  <c r="T72"/>
  <c r="C272"/>
  <c r="I661" i="1"/>
  <c r="K661" s="1"/>
  <c r="I662" s="1"/>
  <c r="K662" s="1"/>
  <c r="I663" s="1"/>
  <c r="K663" s="1"/>
  <c r="I664" s="1"/>
  <c r="K664" s="1"/>
  <c r="I665" s="1"/>
  <c r="K665" s="1"/>
  <c r="I666" s="1"/>
  <c r="K666" s="1"/>
  <c r="I667" s="1"/>
  <c r="K667" s="1"/>
  <c r="T73" i="55"/>
  <c r="H73"/>
  <c r="V73"/>
  <c r="F73"/>
  <c r="Z73"/>
  <c r="D70" i="58"/>
  <c r="F70" s="1"/>
  <c r="X73" i="55"/>
  <c r="J73"/>
  <c r="D817" i="58"/>
  <c r="F817" s="1"/>
  <c r="F752" i="55"/>
  <c r="Z752"/>
  <c r="X752"/>
  <c r="D886" i="58"/>
  <c r="F886" s="1"/>
  <c r="T822" i="55"/>
  <c r="V822"/>
  <c r="X822"/>
  <c r="Z822"/>
  <c r="J822"/>
  <c r="F822"/>
  <c r="H822"/>
  <c r="C98"/>
  <c r="AG348" i="1"/>
  <c r="F125" i="55"/>
  <c r="D122" i="58"/>
  <c r="F122" s="1"/>
  <c r="X125" i="55"/>
  <c r="F747"/>
  <c r="X747"/>
  <c r="Z747"/>
  <c r="D812" i="58"/>
  <c r="F812" s="1"/>
  <c r="Z91" i="55"/>
  <c r="T91"/>
  <c r="H91"/>
  <c r="D88" i="58"/>
  <c r="F88" s="1"/>
  <c r="V91" i="55"/>
  <c r="F91"/>
  <c r="J91"/>
  <c r="X91"/>
  <c r="C753"/>
  <c r="AK1198" i="1"/>
  <c r="AK1199" s="1"/>
  <c r="AK1200" s="1"/>
  <c r="AK1201" s="1"/>
  <c r="AK1202" s="1"/>
  <c r="AK1203" s="1"/>
  <c r="J975" i="55"/>
  <c r="Z975"/>
  <c r="D1042" i="58"/>
  <c r="F1042" s="1"/>
  <c r="F975" i="55"/>
  <c r="H975"/>
  <c r="V975"/>
  <c r="C658"/>
  <c r="T975"/>
  <c r="X975"/>
  <c r="D94" i="58"/>
  <c r="F94" s="1"/>
  <c r="Z97" i="55"/>
  <c r="F97"/>
  <c r="X97"/>
  <c r="L348" i="1"/>
  <c r="L349" s="1"/>
  <c r="L350" s="1"/>
  <c r="C126" i="55"/>
  <c r="AD1198" i="1"/>
  <c r="AD1199" s="1"/>
  <c r="AD1200" s="1"/>
  <c r="AD1201" s="1"/>
  <c r="AD1202" s="1"/>
  <c r="AD1203" s="1"/>
  <c r="AD1204" s="1"/>
  <c r="AD1205" s="1"/>
  <c r="C748" i="55"/>
  <c r="C92"/>
  <c r="X348" i="1"/>
  <c r="C93" i="55" s="1"/>
  <c r="AG412" i="1"/>
  <c r="C145" i="55"/>
  <c r="V562" i="1"/>
  <c r="X562" s="1"/>
  <c r="C479" i="55" s="1"/>
  <c r="C478"/>
  <c r="V526"/>
  <c r="J526"/>
  <c r="F526"/>
  <c r="X526"/>
  <c r="Z526"/>
  <c r="H526"/>
  <c r="T526"/>
  <c r="D595" i="58"/>
  <c r="F595" s="1"/>
  <c r="C80" i="55"/>
  <c r="K826" i="1"/>
  <c r="T484" i="55"/>
  <c r="F484"/>
  <c r="H484"/>
  <c r="D478" i="58"/>
  <c r="F478" s="1"/>
  <c r="Z484" i="55"/>
  <c r="X484"/>
  <c r="V484"/>
  <c r="J484"/>
  <c r="J471"/>
  <c r="X471"/>
  <c r="D465" i="58"/>
  <c r="F465" s="1"/>
  <c r="V471" i="55"/>
  <c r="H471"/>
  <c r="T471"/>
  <c r="F471"/>
  <c r="AB562" i="1"/>
  <c r="AD562" s="1"/>
  <c r="C488" i="55"/>
  <c r="C195"/>
  <c r="AG450" i="1"/>
  <c r="F497" i="55"/>
  <c r="X497"/>
  <c r="D494" i="58"/>
  <c r="F494" s="1"/>
  <c r="D141"/>
  <c r="F141" s="1"/>
  <c r="Z144" i="55"/>
  <c r="X144"/>
  <c r="F144"/>
  <c r="F290"/>
  <c r="J290"/>
  <c r="V290"/>
  <c r="T290"/>
  <c r="H290"/>
  <c r="Z290"/>
  <c r="D287" i="58"/>
  <c r="F287" s="1"/>
  <c r="X290" i="55"/>
  <c r="V477"/>
  <c r="F477"/>
  <c r="H477"/>
  <c r="T477"/>
  <c r="D471" i="58"/>
  <c r="F471" s="1"/>
  <c r="X477" i="55"/>
  <c r="J477"/>
  <c r="L471" i="1"/>
  <c r="K472"/>
  <c r="D76" i="58"/>
  <c r="F76" s="1"/>
  <c r="X79" i="55"/>
  <c r="T79"/>
  <c r="F79"/>
  <c r="H79"/>
  <c r="Z79"/>
  <c r="J79"/>
  <c r="V79"/>
  <c r="AB539" i="1"/>
  <c r="AD539" s="1"/>
  <c r="AB540" s="1"/>
  <c r="AD540" s="1"/>
  <c r="AB541" s="1"/>
  <c r="AD541" s="1"/>
  <c r="AB542" s="1"/>
  <c r="AD542" s="1"/>
  <c r="AB543" s="1"/>
  <c r="AD543" s="1"/>
  <c r="AB544" s="1"/>
  <c r="AD544" s="1"/>
  <c r="AB545" s="1"/>
  <c r="AD545" s="1"/>
  <c r="AB546" s="1"/>
  <c r="AD546" s="1"/>
  <c r="V539"/>
  <c r="X539" s="1"/>
  <c r="V540" s="1"/>
  <c r="X540" s="1"/>
  <c r="V541" s="1"/>
  <c r="X541" s="1"/>
  <c r="V542" s="1"/>
  <c r="X542" s="1"/>
  <c r="V543" s="1"/>
  <c r="X543" s="1"/>
  <c r="V544" s="1"/>
  <c r="X544" s="1"/>
  <c r="V545" s="1"/>
  <c r="X545" s="1"/>
  <c r="V546" s="1"/>
  <c r="X546" s="1"/>
  <c r="C472" i="55"/>
  <c r="Z487"/>
  <c r="H487"/>
  <c r="J487"/>
  <c r="V487"/>
  <c r="T487"/>
  <c r="F487"/>
  <c r="X487"/>
  <c r="D484" i="58"/>
  <c r="F484" s="1"/>
  <c r="T194" i="55"/>
  <c r="D191" i="58"/>
  <c r="F191" s="1"/>
  <c r="H194" i="55"/>
  <c r="J194"/>
  <c r="V194"/>
  <c r="X194"/>
  <c r="F194"/>
  <c r="Z194"/>
  <c r="V485" i="1"/>
  <c r="X485" s="1"/>
  <c r="X525" i="55"/>
  <c r="F525"/>
  <c r="D594" i="58"/>
  <c r="F594" s="1"/>
  <c r="D574"/>
  <c r="F574" s="1"/>
  <c r="X492" i="55"/>
  <c r="D489" i="58"/>
  <c r="F489" s="1"/>
  <c r="F492" i="55"/>
  <c r="Z492"/>
  <c r="D572" i="58"/>
  <c r="F572" s="1"/>
  <c r="X689" i="1"/>
  <c r="X719"/>
  <c r="Z291" i="55"/>
  <c r="T291"/>
  <c r="X291"/>
  <c r="H291"/>
  <c r="V291"/>
  <c r="J291"/>
  <c r="F291"/>
  <c r="D288" i="58"/>
  <c r="F288" s="1"/>
  <c r="X138" i="55"/>
  <c r="D135" i="58"/>
  <c r="F135" s="1"/>
  <c r="F138" i="55"/>
  <c r="Z138"/>
  <c r="C242"/>
  <c r="I539" i="1"/>
  <c r="K539" s="1"/>
  <c r="F176" i="55"/>
  <c r="D173" i="58"/>
  <c r="F173" s="1"/>
  <c r="X176" i="55"/>
  <c r="D573" i="58"/>
  <c r="F573" s="1"/>
  <c r="C493" i="55"/>
  <c r="AB486" i="1"/>
  <c r="AD486" s="1"/>
  <c r="C292" i="55"/>
  <c r="C527"/>
  <c r="D576" i="58"/>
  <c r="F576" s="1"/>
  <c r="D509"/>
  <c r="F509" s="1"/>
  <c r="F505" i="55"/>
  <c r="X505"/>
  <c r="D502" i="58"/>
  <c r="F502" s="1"/>
  <c r="T254" i="55"/>
  <c r="X254"/>
  <c r="F254"/>
  <c r="Z254"/>
  <c r="J254"/>
  <c r="V254"/>
  <c r="D251" i="58"/>
  <c r="F251" s="1"/>
  <c r="H254" i="55"/>
  <c r="H528"/>
  <c r="Z528"/>
  <c r="J528"/>
  <c r="F528"/>
  <c r="V528"/>
  <c r="X528"/>
  <c r="T528"/>
  <c r="D597" i="58"/>
  <c r="F597" s="1"/>
  <c r="Z139" i="55"/>
  <c r="F139"/>
  <c r="X139"/>
  <c r="D136" i="58"/>
  <c r="F136" s="1"/>
  <c r="F241" i="55"/>
  <c r="V241"/>
  <c r="H241"/>
  <c r="Z241"/>
  <c r="T241"/>
  <c r="X241"/>
  <c r="D238" i="58"/>
  <c r="F238" s="1"/>
  <c r="J241" i="55"/>
  <c r="AS184" i="1"/>
  <c r="AU182"/>
  <c r="AV182" s="1"/>
  <c r="AU150"/>
  <c r="AV150" s="1"/>
  <c r="AS152"/>
  <c r="Z479" i="55" l="1"/>
  <c r="R479"/>
  <c r="Z527"/>
  <c r="R527"/>
  <c r="Z472"/>
  <c r="R472"/>
  <c r="Z478"/>
  <c r="R478"/>
  <c r="Z126"/>
  <c r="R126"/>
  <c r="Z658"/>
  <c r="R658"/>
  <c r="Z506"/>
  <c r="R506"/>
  <c r="Z498"/>
  <c r="R498"/>
  <c r="V506"/>
  <c r="T506"/>
  <c r="P506"/>
  <c r="N506"/>
  <c r="L506"/>
  <c r="J506"/>
  <c r="H506"/>
  <c r="V126"/>
  <c r="T126"/>
  <c r="P126"/>
  <c r="N126"/>
  <c r="L126"/>
  <c r="H126"/>
  <c r="J126"/>
  <c r="V658"/>
  <c r="T658"/>
  <c r="P658"/>
  <c r="N658"/>
  <c r="H658"/>
  <c r="J658"/>
  <c r="L658"/>
  <c r="V753"/>
  <c r="T753"/>
  <c r="P753"/>
  <c r="N753"/>
  <c r="H753"/>
  <c r="L753"/>
  <c r="J753"/>
  <c r="V493"/>
  <c r="T493"/>
  <c r="P493"/>
  <c r="L493"/>
  <c r="N493"/>
  <c r="J493"/>
  <c r="H493"/>
  <c r="V498"/>
  <c r="T498"/>
  <c r="P498"/>
  <c r="N498"/>
  <c r="L498"/>
  <c r="J498"/>
  <c r="H498"/>
  <c r="V145"/>
  <c r="T145"/>
  <c r="P145"/>
  <c r="N145"/>
  <c r="L145"/>
  <c r="J145"/>
  <c r="H145"/>
  <c r="V748"/>
  <c r="T748"/>
  <c r="P748"/>
  <c r="N748"/>
  <c r="J748"/>
  <c r="L748"/>
  <c r="H748"/>
  <c r="V98"/>
  <c r="T98"/>
  <c r="P98"/>
  <c r="N98"/>
  <c r="L98"/>
  <c r="J98"/>
  <c r="H98"/>
  <c r="V527"/>
  <c r="N527"/>
  <c r="P527"/>
  <c r="T527"/>
  <c r="L527"/>
  <c r="J527"/>
  <c r="H527"/>
  <c r="R1161" i="1"/>
  <c r="D522" i="58"/>
  <c r="F522" s="1"/>
  <c r="V272" i="55"/>
  <c r="F272"/>
  <c r="X272"/>
  <c r="T272"/>
  <c r="J272"/>
  <c r="D269" i="58"/>
  <c r="F269" s="1"/>
  <c r="Z272" i="55"/>
  <c r="H272"/>
  <c r="X93"/>
  <c r="H93"/>
  <c r="F93"/>
  <c r="J93"/>
  <c r="V93"/>
  <c r="Z93"/>
  <c r="D90" i="58"/>
  <c r="F90" s="1"/>
  <c r="T93" i="55"/>
  <c r="D813" i="58"/>
  <c r="F813" s="1"/>
  <c r="F748" i="55"/>
  <c r="Z748"/>
  <c r="X748"/>
  <c r="X126"/>
  <c r="D123" i="58"/>
  <c r="F123" s="1"/>
  <c r="F126" i="55"/>
  <c r="X658"/>
  <c r="F658"/>
  <c r="D723" i="58"/>
  <c r="F723" s="1"/>
  <c r="Z753" i="55"/>
  <c r="D818" i="58"/>
  <c r="F818" s="1"/>
  <c r="X753" i="55"/>
  <c r="F753"/>
  <c r="Z98"/>
  <c r="F98"/>
  <c r="X98"/>
  <c r="D95" i="58"/>
  <c r="F95" s="1"/>
  <c r="X92" i="55"/>
  <c r="J92"/>
  <c r="H92"/>
  <c r="F92"/>
  <c r="Z92"/>
  <c r="T92"/>
  <c r="D89" i="58"/>
  <c r="F89" s="1"/>
  <c r="V92" i="55"/>
  <c r="C99"/>
  <c r="AG349" i="1"/>
  <c r="AB487"/>
  <c r="AD487" s="1"/>
  <c r="C494" i="55"/>
  <c r="X720" i="1"/>
  <c r="X498" i="55"/>
  <c r="D495" i="58"/>
  <c r="F495" s="1"/>
  <c r="F498" i="55"/>
  <c r="D479" i="58"/>
  <c r="F479" s="1"/>
  <c r="AG451" i="1"/>
  <c r="AE450"/>
  <c r="F80" i="55"/>
  <c r="J80"/>
  <c r="D77" i="58"/>
  <c r="F77" s="1"/>
  <c r="Z80" i="55"/>
  <c r="T80"/>
  <c r="H80"/>
  <c r="V80"/>
  <c r="X80"/>
  <c r="C146"/>
  <c r="AG413" i="1"/>
  <c r="F292" i="55"/>
  <c r="H292"/>
  <c r="V292"/>
  <c r="J292"/>
  <c r="D289" i="58"/>
  <c r="F289" s="1"/>
  <c r="X292" i="55"/>
  <c r="T292"/>
  <c r="Z292"/>
  <c r="H242"/>
  <c r="V242"/>
  <c r="Z242"/>
  <c r="X242"/>
  <c r="J242"/>
  <c r="F242"/>
  <c r="T242"/>
  <c r="D239" i="58"/>
  <c r="F239" s="1"/>
  <c r="D510"/>
  <c r="F510" s="1"/>
  <c r="C489" i="55"/>
  <c r="AB563" i="1"/>
  <c r="AD563" s="1"/>
  <c r="K827"/>
  <c r="C81" i="55"/>
  <c r="X145"/>
  <c r="F145"/>
  <c r="D142" i="58"/>
  <c r="F142" s="1"/>
  <c r="Z145" i="55"/>
  <c r="F527"/>
  <c r="X527"/>
  <c r="D596" i="58"/>
  <c r="F596" s="1"/>
  <c r="C243" i="55"/>
  <c r="I540" i="1"/>
  <c r="K540" s="1"/>
  <c r="X690"/>
  <c r="F472" i="55"/>
  <c r="H472"/>
  <c r="V472"/>
  <c r="J472"/>
  <c r="D466" i="58"/>
  <c r="F466" s="1"/>
  <c r="T472" i="55"/>
  <c r="X472"/>
  <c r="K473" i="1"/>
  <c r="L472"/>
  <c r="V488" i="55"/>
  <c r="X488"/>
  <c r="D485" i="58"/>
  <c r="F485" s="1"/>
  <c r="F488" i="55"/>
  <c r="H488"/>
  <c r="J488"/>
  <c r="T488"/>
  <c r="Z488"/>
  <c r="V479"/>
  <c r="F479"/>
  <c r="X479"/>
  <c r="T479"/>
  <c r="J479"/>
  <c r="H479"/>
  <c r="D473" i="58"/>
  <c r="F473" s="1"/>
  <c r="X493" i="55"/>
  <c r="Z493"/>
  <c r="D490" i="58"/>
  <c r="F490" s="1"/>
  <c r="F493" i="55"/>
  <c r="X506"/>
  <c r="F506"/>
  <c r="D503" i="58"/>
  <c r="F503" s="1"/>
  <c r="C499" i="55"/>
  <c r="V486" i="1"/>
  <c r="X486" s="1"/>
  <c r="V195" i="55"/>
  <c r="T195"/>
  <c r="J195"/>
  <c r="F195"/>
  <c r="D192" i="58"/>
  <c r="F192" s="1"/>
  <c r="X195" i="55"/>
  <c r="H195"/>
  <c r="Z195"/>
  <c r="D472" i="58"/>
  <c r="F472" s="1"/>
  <c r="H478" i="55"/>
  <c r="V478"/>
  <c r="X478"/>
  <c r="J478"/>
  <c r="F478"/>
  <c r="T478"/>
  <c r="AR184" i="1"/>
  <c r="AU184"/>
  <c r="AV184" s="1"/>
  <c r="AS185"/>
  <c r="AT152"/>
  <c r="AR152"/>
  <c r="AU152"/>
  <c r="AV152" s="1"/>
  <c r="AS153"/>
  <c r="Z499" i="55" l="1"/>
  <c r="R499"/>
  <c r="Z507"/>
  <c r="R507"/>
  <c r="V494"/>
  <c r="T494"/>
  <c r="P494"/>
  <c r="N494"/>
  <c r="J494"/>
  <c r="L494"/>
  <c r="H494"/>
  <c r="V507"/>
  <c r="N507"/>
  <c r="T507"/>
  <c r="P507"/>
  <c r="L507"/>
  <c r="H507"/>
  <c r="J507"/>
  <c r="V99"/>
  <c r="T99"/>
  <c r="P99"/>
  <c r="N99"/>
  <c r="J99"/>
  <c r="L99"/>
  <c r="H99"/>
  <c r="V499"/>
  <c r="N499"/>
  <c r="P499"/>
  <c r="T499"/>
  <c r="H499"/>
  <c r="J499"/>
  <c r="L499"/>
  <c r="V146"/>
  <c r="T146"/>
  <c r="P146"/>
  <c r="N146"/>
  <c r="L146"/>
  <c r="J146"/>
  <c r="H146"/>
  <c r="D523" i="58"/>
  <c r="F523" s="1"/>
  <c r="R1162" i="1"/>
  <c r="AG350"/>
  <c r="C100" i="55"/>
  <c r="X99"/>
  <c r="Z99"/>
  <c r="F99"/>
  <c r="D96" i="58"/>
  <c r="F96" s="1"/>
  <c r="C244" i="55"/>
  <c r="I541" i="1"/>
  <c r="K541" s="1"/>
  <c r="AE451"/>
  <c r="AG452"/>
  <c r="C495" i="55"/>
  <c r="AD488" i="1"/>
  <c r="AD489" s="1"/>
  <c r="AD490" s="1"/>
  <c r="AD491" s="1"/>
  <c r="AD492" s="1"/>
  <c r="AD493" s="1"/>
  <c r="AD494" s="1"/>
  <c r="AD495" s="1"/>
  <c r="X499" i="55"/>
  <c r="D496" i="58"/>
  <c r="F496" s="1"/>
  <c r="F499" i="55"/>
  <c r="X691" i="1"/>
  <c r="X692" s="1"/>
  <c r="X693" s="1"/>
  <c r="X694" s="1"/>
  <c r="X695" s="1"/>
  <c r="X696" s="1"/>
  <c r="X697" s="1"/>
  <c r="X698" s="1"/>
  <c r="X699" s="1"/>
  <c r="C82" i="55"/>
  <c r="K828" i="1"/>
  <c r="D143" i="58"/>
  <c r="F143" s="1"/>
  <c r="F146" i="55"/>
  <c r="X146"/>
  <c r="Z146"/>
  <c r="D491" i="58"/>
  <c r="F491" s="1"/>
  <c r="Z494" i="55"/>
  <c r="X494"/>
  <c r="F494"/>
  <c r="C500"/>
  <c r="V487" i="1"/>
  <c r="X487" s="1"/>
  <c r="C501" i="55" s="1"/>
  <c r="D511" i="58"/>
  <c r="F511" s="1"/>
  <c r="F81" i="55"/>
  <c r="D78" i="58"/>
  <c r="F78" s="1"/>
  <c r="H81" i="55"/>
  <c r="T81"/>
  <c r="J81"/>
  <c r="V81"/>
  <c r="X81"/>
  <c r="Z81"/>
  <c r="C147"/>
  <c r="AG414" i="1"/>
  <c r="X507" i="55"/>
  <c r="D504" i="58"/>
  <c r="F504" s="1"/>
  <c r="F507" i="55"/>
  <c r="L473" i="1"/>
  <c r="K474"/>
  <c r="H243" i="55"/>
  <c r="D240" i="58"/>
  <c r="F240" s="1"/>
  <c r="Z243" i="55"/>
  <c r="J243"/>
  <c r="F243"/>
  <c r="V243"/>
  <c r="X243"/>
  <c r="T243"/>
  <c r="F489"/>
  <c r="J489"/>
  <c r="H489"/>
  <c r="X489"/>
  <c r="T489"/>
  <c r="V489"/>
  <c r="Z489"/>
  <c r="D486" i="58"/>
  <c r="F486" s="1"/>
  <c r="C508" i="55"/>
  <c r="X721" i="1"/>
  <c r="C509" i="55" s="1"/>
  <c r="AT153" i="1"/>
  <c r="AS154"/>
  <c r="AR153"/>
  <c r="AU153"/>
  <c r="AV153" s="1"/>
  <c r="AS186"/>
  <c r="AU185"/>
  <c r="AV185" s="1"/>
  <c r="AR185"/>
  <c r="Z500" i="55" l="1"/>
  <c r="R500"/>
  <c r="Z509"/>
  <c r="R509"/>
  <c r="Z501"/>
  <c r="R501"/>
  <c r="Z508"/>
  <c r="R508"/>
  <c r="V509"/>
  <c r="T509"/>
  <c r="P509"/>
  <c r="L509"/>
  <c r="N509"/>
  <c r="J509"/>
  <c r="H509"/>
  <c r="V501"/>
  <c r="T501"/>
  <c r="P501"/>
  <c r="N501"/>
  <c r="L501"/>
  <c r="J501"/>
  <c r="H501"/>
  <c r="V495"/>
  <c r="T495"/>
  <c r="P495"/>
  <c r="L495"/>
  <c r="N495"/>
  <c r="J495"/>
  <c r="H495"/>
  <c r="V500"/>
  <c r="T500"/>
  <c r="P500"/>
  <c r="L500"/>
  <c r="J500"/>
  <c r="H500"/>
  <c r="N500"/>
  <c r="V100"/>
  <c r="T100"/>
  <c r="P100"/>
  <c r="L100"/>
  <c r="N100"/>
  <c r="J100"/>
  <c r="H100"/>
  <c r="V147"/>
  <c r="T147"/>
  <c r="P147"/>
  <c r="L147"/>
  <c r="J147"/>
  <c r="N147"/>
  <c r="H147"/>
  <c r="V508"/>
  <c r="T508"/>
  <c r="P508"/>
  <c r="L508"/>
  <c r="N508"/>
  <c r="J508"/>
  <c r="H508"/>
  <c r="R1163" i="1"/>
  <c r="D524" i="58"/>
  <c r="F524" s="1"/>
  <c r="Z100" i="55"/>
  <c r="D97" i="58"/>
  <c r="F97" s="1"/>
  <c r="F100" i="55"/>
  <c r="X100"/>
  <c r="D533" i="58"/>
  <c r="F533" s="1"/>
  <c r="C101" i="55"/>
  <c r="AG351" i="1"/>
  <c r="D505" i="58"/>
  <c r="F505" s="1"/>
  <c r="X508" i="55"/>
  <c r="F508"/>
  <c r="AG415" i="1"/>
  <c r="C148" i="55"/>
  <c r="K829" i="1"/>
  <c r="C83" i="55"/>
  <c r="F244"/>
  <c r="X244"/>
  <c r="V244"/>
  <c r="J244"/>
  <c r="H244"/>
  <c r="T244"/>
  <c r="D241" i="58"/>
  <c r="F241" s="1"/>
  <c r="Z244" i="55"/>
  <c r="F509"/>
  <c r="X509"/>
  <c r="D506" i="58"/>
  <c r="F506" s="1"/>
  <c r="D540"/>
  <c r="F540" s="1"/>
  <c r="X500" i="55"/>
  <c r="F500"/>
  <c r="D497" i="58"/>
  <c r="F497" s="1"/>
  <c r="D512"/>
  <c r="F512" s="1"/>
  <c r="I542" i="1"/>
  <c r="K542" s="1"/>
  <c r="C245" i="55"/>
  <c r="D498" i="58"/>
  <c r="F498" s="1"/>
  <c r="F501" i="55"/>
  <c r="X501"/>
  <c r="AE452" i="1"/>
  <c r="AG453"/>
  <c r="L474"/>
  <c r="K475"/>
  <c r="Z147" i="55"/>
  <c r="X147"/>
  <c r="D144" i="58"/>
  <c r="F144" s="1"/>
  <c r="F147" i="55"/>
  <c r="X82"/>
  <c r="Z82"/>
  <c r="T82"/>
  <c r="D79" i="58"/>
  <c r="F79" s="1"/>
  <c r="H82" i="55"/>
  <c r="V82"/>
  <c r="J82"/>
  <c r="F82"/>
  <c r="X495"/>
  <c r="Z495"/>
  <c r="D492" i="58"/>
  <c r="F492" s="1"/>
  <c r="F495" i="55"/>
  <c r="AU186" i="1"/>
  <c r="AV186" s="1"/>
  <c r="AR186"/>
  <c r="AS187"/>
  <c r="AS155"/>
  <c r="AR154"/>
  <c r="AU154"/>
  <c r="AV154" s="1"/>
  <c r="R959" i="55" l="1"/>
  <c r="D13" i="76" s="1"/>
  <c r="F13" s="1"/>
  <c r="G13" s="1"/>
  <c r="V148" i="55"/>
  <c r="T148"/>
  <c r="P148"/>
  <c r="N148"/>
  <c r="L148"/>
  <c r="J148"/>
  <c r="H148"/>
  <c r="V101"/>
  <c r="T101"/>
  <c r="P101"/>
  <c r="N101"/>
  <c r="J101"/>
  <c r="L101"/>
  <c r="H101"/>
  <c r="D525" i="58"/>
  <c r="F525" s="1"/>
  <c r="R1164" i="1"/>
  <c r="AG352"/>
  <c r="C102" i="55"/>
  <c r="D98" i="58"/>
  <c r="F98" s="1"/>
  <c r="X101" i="55"/>
  <c r="Z101"/>
  <c r="F101"/>
  <c r="D534" i="58"/>
  <c r="F534" s="1"/>
  <c r="H83" i="55"/>
  <c r="V83"/>
  <c r="T83"/>
  <c r="X83"/>
  <c r="D80" i="58"/>
  <c r="F80" s="1"/>
  <c r="Z83" i="55"/>
  <c r="J83"/>
  <c r="F83"/>
  <c r="AG416" i="1"/>
  <c r="C149" i="55"/>
  <c r="AG454" i="1"/>
  <c r="AE453"/>
  <c r="I543"/>
  <c r="K543" s="1"/>
  <c r="C246" i="55"/>
  <c r="X148"/>
  <c r="F148"/>
  <c r="D145" i="58"/>
  <c r="F145" s="1"/>
  <c r="Z148" i="55"/>
  <c r="J245"/>
  <c r="H245"/>
  <c r="F245"/>
  <c r="T245"/>
  <c r="X245"/>
  <c r="V245"/>
  <c r="Z245"/>
  <c r="D242" i="58"/>
  <c r="F242" s="1"/>
  <c r="D541"/>
  <c r="F541" s="1"/>
  <c r="K476" i="1"/>
  <c r="L476" s="1"/>
  <c r="L475"/>
  <c r="D546" i="58"/>
  <c r="F546" s="1"/>
  <c r="K830" i="1"/>
  <c r="C84" i="55"/>
  <c r="AU187" i="1"/>
  <c r="AV187" s="1"/>
  <c r="AS188"/>
  <c r="AR187"/>
  <c r="AR155"/>
  <c r="AS156"/>
  <c r="AU155"/>
  <c r="AV155" s="1"/>
  <c r="V149" i="55" l="1"/>
  <c r="T149"/>
  <c r="P149"/>
  <c r="N149"/>
  <c r="L149"/>
  <c r="J149"/>
  <c r="H149"/>
  <c r="V102"/>
  <c r="T102"/>
  <c r="P102"/>
  <c r="N102"/>
  <c r="L102"/>
  <c r="J102"/>
  <c r="H102"/>
  <c r="R1165" i="1"/>
  <c r="D526" i="58"/>
  <c r="F526" s="1"/>
  <c r="F102" i="55"/>
  <c r="X102"/>
  <c r="Z102"/>
  <c r="D99" i="58"/>
  <c r="F99" s="1"/>
  <c r="C103" i="55"/>
  <c r="AG353" i="1"/>
  <c r="D535" i="58"/>
  <c r="F535" s="1"/>
  <c r="K831" i="1"/>
  <c r="C85" i="55"/>
  <c r="I544" i="1"/>
  <c r="K544" s="1"/>
  <c r="C247" i="55"/>
  <c r="C150"/>
  <c r="AG417" i="1"/>
  <c r="Z84" i="55"/>
  <c r="X84"/>
  <c r="D81" i="58"/>
  <c r="F81" s="1"/>
  <c r="H84" i="55"/>
  <c r="V84"/>
  <c r="F84"/>
  <c r="J84"/>
  <c r="T84"/>
  <c r="D243" i="58"/>
  <c r="F243" s="1"/>
  <c r="T246" i="55"/>
  <c r="H246"/>
  <c r="V246"/>
  <c r="X246"/>
  <c r="J246"/>
  <c r="F246"/>
  <c r="Z246"/>
  <c r="D547" i="58"/>
  <c r="F547" s="1"/>
  <c r="Z149" i="55"/>
  <c r="X149"/>
  <c r="F149"/>
  <c r="D146" i="58"/>
  <c r="F146" s="1"/>
  <c r="AE454" i="1"/>
  <c r="AG455"/>
  <c r="AR156"/>
  <c r="AU156"/>
  <c r="AV156" s="1"/>
  <c r="AR188"/>
  <c r="AU188"/>
  <c r="AV188" s="1"/>
  <c r="V150" i="55" l="1"/>
  <c r="N150"/>
  <c r="T150"/>
  <c r="P150"/>
  <c r="J150"/>
  <c r="L150"/>
  <c r="H150"/>
  <c r="V103"/>
  <c r="T103"/>
  <c r="P103"/>
  <c r="N103"/>
  <c r="J103"/>
  <c r="L103"/>
  <c r="H103"/>
  <c r="R1166" i="1"/>
  <c r="D527" i="58"/>
  <c r="F527" s="1"/>
  <c r="AG354" i="1"/>
  <c r="C104" i="55"/>
  <c r="D100" i="58"/>
  <c r="F100" s="1"/>
  <c r="F103" i="55"/>
  <c r="X103"/>
  <c r="Z103"/>
  <c r="D536" i="58"/>
  <c r="F536" s="1"/>
  <c r="D543"/>
  <c r="F543" s="1"/>
  <c r="K832" i="1"/>
  <c r="C87" i="55" s="1"/>
  <c r="C86"/>
  <c r="AE455" i="1"/>
  <c r="AG456"/>
  <c r="Z150" i="55"/>
  <c r="F150"/>
  <c r="D147" i="58"/>
  <c r="F147" s="1"/>
  <c r="X150" i="55"/>
  <c r="T85"/>
  <c r="F85"/>
  <c r="D82" i="58"/>
  <c r="F82" s="1"/>
  <c r="J85" i="55"/>
  <c r="V85"/>
  <c r="Z85"/>
  <c r="H85"/>
  <c r="X85"/>
  <c r="C151"/>
  <c r="AG418" i="1"/>
  <c r="D548" i="58"/>
  <c r="F548" s="1"/>
  <c r="X247" i="55"/>
  <c r="F247"/>
  <c r="Z247"/>
  <c r="D244" i="58"/>
  <c r="F244" s="1"/>
  <c r="T247" i="55"/>
  <c r="H247"/>
  <c r="V247"/>
  <c r="J247"/>
  <c r="V104" l="1"/>
  <c r="T104"/>
  <c r="P104"/>
  <c r="N104"/>
  <c r="L104"/>
  <c r="J104"/>
  <c r="H104"/>
  <c r="V151"/>
  <c r="T151"/>
  <c r="P151"/>
  <c r="L151"/>
  <c r="N151"/>
  <c r="J151"/>
  <c r="H151"/>
  <c r="R1167" i="1"/>
  <c r="D528" i="58"/>
  <c r="F528" s="1"/>
  <c r="Z104" i="55"/>
  <c r="X104"/>
  <c r="F104"/>
  <c r="D101" i="58"/>
  <c r="F101" s="1"/>
  <c r="C105" i="55"/>
  <c r="AG355" i="1"/>
  <c r="D537" i="58"/>
  <c r="F537" s="1"/>
  <c r="AE456" i="1"/>
  <c r="AG457"/>
  <c r="Z87" i="55"/>
  <c r="D84" i="58"/>
  <c r="F84" s="1"/>
  <c r="V87" i="55"/>
  <c r="F87"/>
  <c r="X87"/>
  <c r="T87"/>
  <c r="J87"/>
  <c r="H87"/>
  <c r="F151"/>
  <c r="X151"/>
  <c r="Z151"/>
  <c r="D148" i="58"/>
  <c r="F148" s="1"/>
  <c r="F86" i="55"/>
  <c r="D83" i="58"/>
  <c r="F83" s="1"/>
  <c r="X86" i="55"/>
  <c r="V86"/>
  <c r="Z86"/>
  <c r="J86"/>
  <c r="T86"/>
  <c r="H86"/>
  <c r="C152"/>
  <c r="AG419" i="1"/>
  <c r="D549" i="58"/>
  <c r="F549" s="1"/>
  <c r="D544"/>
  <c r="F544" s="1"/>
  <c r="V152" i="55" l="1"/>
  <c r="T152"/>
  <c r="P152"/>
  <c r="L152"/>
  <c r="J152"/>
  <c r="H152"/>
  <c r="N152"/>
  <c r="V105"/>
  <c r="T105"/>
  <c r="P105"/>
  <c r="N105"/>
  <c r="L105"/>
  <c r="J105"/>
  <c r="H105"/>
  <c r="D529" i="58"/>
  <c r="F529" s="1"/>
  <c r="R1168" i="1"/>
  <c r="AG356"/>
  <c r="C106" i="55"/>
  <c r="D538" i="58"/>
  <c r="F538" s="1"/>
  <c r="X105" i="55"/>
  <c r="D102" i="58"/>
  <c r="F102" s="1"/>
  <c r="F105" i="55"/>
  <c r="Z105"/>
  <c r="AE457" i="1"/>
  <c r="AG458"/>
  <c r="Z152" i="55"/>
  <c r="X152"/>
  <c r="F152"/>
  <c r="D149" i="58"/>
  <c r="F149" s="1"/>
  <c r="C153" i="55"/>
  <c r="AI419" i="1"/>
  <c r="D550" i="58"/>
  <c r="F550" s="1"/>
  <c r="V153" i="55" l="1"/>
  <c r="T153"/>
  <c r="P153"/>
  <c r="N153"/>
  <c r="L153"/>
  <c r="J153"/>
  <c r="H153"/>
  <c r="V106"/>
  <c r="T106"/>
  <c r="P106"/>
  <c r="N106"/>
  <c r="J106"/>
  <c r="L106"/>
  <c r="H106"/>
  <c r="D531" i="58"/>
  <c r="F531" s="1"/>
  <c r="D530"/>
  <c r="F530" s="1"/>
  <c r="C107" i="55"/>
  <c r="AG357" i="1"/>
  <c r="C108" i="55" s="1"/>
  <c r="F106"/>
  <c r="Z106"/>
  <c r="D103" i="58"/>
  <c r="F103" s="1"/>
  <c r="X106" i="55"/>
  <c r="AE458" i="1"/>
  <c r="AG459"/>
  <c r="Z153" i="55"/>
  <c r="F153"/>
  <c r="X153"/>
  <c r="D150" i="58"/>
  <c r="F150" s="1"/>
  <c r="AI420" i="1"/>
  <c r="C155" i="55" s="1"/>
  <c r="C154"/>
  <c r="V107" l="1"/>
  <c r="T107"/>
  <c r="P107"/>
  <c r="L107"/>
  <c r="J107"/>
  <c r="N107"/>
  <c r="H107"/>
  <c r="V108"/>
  <c r="T108"/>
  <c r="P108"/>
  <c r="N108"/>
  <c r="L108"/>
  <c r="J108"/>
  <c r="H108"/>
  <c r="V155"/>
  <c r="T155"/>
  <c r="P155"/>
  <c r="L155"/>
  <c r="N155"/>
  <c r="J155"/>
  <c r="H155"/>
  <c r="V154"/>
  <c r="N154"/>
  <c r="L154"/>
  <c r="P154"/>
  <c r="J154"/>
  <c r="H154"/>
  <c r="T154"/>
  <c r="F107"/>
  <c r="X107"/>
  <c r="Z107"/>
  <c r="D104" i="58"/>
  <c r="F104" s="1"/>
  <c r="D105"/>
  <c r="F105" s="1"/>
  <c r="Z108" i="55"/>
  <c r="X108"/>
  <c r="F108"/>
  <c r="AG460" i="1"/>
  <c r="AE460" s="1"/>
  <c r="AE459"/>
  <c r="F155" i="55"/>
  <c r="D152" i="58"/>
  <c r="F152" s="1"/>
  <c r="Z155" i="55"/>
  <c r="X155"/>
  <c r="D151" i="58"/>
  <c r="F151" s="1"/>
  <c r="F154" i="55"/>
  <c r="D5" i="57" s="1"/>
  <c r="F5" s="1"/>
  <c r="Z154" i="55"/>
  <c r="X154"/>
  <c r="J959" l="1"/>
  <c r="D9" i="57" s="1"/>
  <c r="F9" s="1"/>
  <c r="L959" i="55"/>
  <c r="D10" i="76" s="1"/>
  <c r="F10" s="1"/>
  <c r="G10" s="1"/>
  <c r="V959" i="55"/>
  <c r="D12" i="76" s="1"/>
  <c r="F12" s="1"/>
  <c r="G12" s="1"/>
  <c r="T959" i="55"/>
  <c r="N959"/>
  <c r="D15" i="76" s="1"/>
  <c r="F15" s="1"/>
  <c r="G15" s="1"/>
  <c r="Z959" i="55"/>
  <c r="P959"/>
  <c r="D11" i="76" s="1"/>
  <c r="F11" s="1"/>
  <c r="G11" s="1"/>
  <c r="F959" i="55"/>
  <c r="F1026" i="58"/>
  <c r="X959" i="55"/>
  <c r="H959"/>
  <c r="D9" i="76" s="1"/>
  <c r="F9" s="1"/>
  <c r="G9" s="1"/>
  <c r="D8" l="1"/>
  <c r="F8" s="1"/>
  <c r="G8" s="1"/>
  <c r="D6"/>
  <c r="F6" s="1"/>
  <c r="F7" s="1"/>
  <c r="G7" s="1"/>
  <c r="Z962" i="55"/>
  <c r="Z963" s="1"/>
  <c r="Z964" s="1"/>
  <c r="D11" i="57"/>
  <c r="F11" s="1"/>
  <c r="G12"/>
  <c r="D10"/>
  <c r="F10" s="1"/>
  <c r="D14" i="76"/>
  <c r="F14" s="1"/>
  <c r="G14" s="1"/>
  <c r="AA959" i="55"/>
  <c r="Z1070"/>
  <c r="Z1071" s="1"/>
  <c r="D6" i="57"/>
  <c r="F6" s="1"/>
  <c r="F7" s="1"/>
  <c r="G7"/>
  <c r="X1070" i="55"/>
  <c r="X1071" s="1"/>
  <c r="X962"/>
  <c r="X963" s="1"/>
  <c r="F16" i="76" l="1"/>
  <c r="H7" i="57"/>
  <c r="F12"/>
  <c r="F13" s="1"/>
  <c r="F14" s="1"/>
  <c r="F16" s="1"/>
  <c r="F18" s="1"/>
  <c r="F17" i="76" l="1"/>
  <c r="F18" s="1"/>
  <c r="F29" s="1"/>
  <c r="F32" s="1"/>
  <c r="G16"/>
  <c r="F17" i="57"/>
  <c r="F19" s="1"/>
  <c r="F24" s="1"/>
  <c r="H25" s="1"/>
  <c r="G14"/>
  <c r="H12"/>
  <c r="F30" i="76" l="1"/>
  <c r="F31"/>
  <c r="F25" i="57"/>
  <c r="F33" i="76" l="1"/>
  <c r="F38" s="1"/>
  <c r="E39" s="1"/>
  <c r="F42" s="1"/>
</calcChain>
</file>

<file path=xl/sharedStrings.xml><?xml version="1.0" encoding="utf-8"?>
<sst xmlns="http://schemas.openxmlformats.org/spreadsheetml/2006/main" count="44521" uniqueCount="6454">
  <si>
    <t>(1Cum)</t>
  </si>
  <si>
    <t>T.W. single leaf  Door shutters using    9 mm tk. phynol bonded BWR plywood</t>
  </si>
  <si>
    <t>joist 10cmx6.5cm spaced at75cm c/c complying</t>
  </si>
  <si>
    <t>C.W SCANTLING UPTO 4M LONG</t>
  </si>
  <si>
    <r>
      <t xml:space="preserve">PROVIDING  </t>
    </r>
    <r>
      <rPr>
        <b/>
        <sz val="12"/>
        <rFont val="Helv"/>
      </rPr>
      <t>WBM 125mm</t>
    </r>
    <r>
      <rPr>
        <sz val="12"/>
        <rFont val="Helv"/>
      </rPr>
      <t xml:space="preserve"> CONSOLIDATED</t>
    </r>
  </si>
  <si>
    <r>
      <t xml:space="preserve">SURFACE DRESSING OVER </t>
    </r>
    <r>
      <rPr>
        <b/>
        <sz val="12"/>
        <rFont val="Helv"/>
      </rPr>
      <t>WBM 25mm TK.</t>
    </r>
  </si>
  <si>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</si>
  <si>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</si>
  <si>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</si>
  <si>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</si>
  <si>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</si>
  <si>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</si>
  <si>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</si>
  <si>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</si>
  <si>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</si>
  <si>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</si>
  <si>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</si>
  <si>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</si>
  <si>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</si>
  <si>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</si>
  <si>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</si>
  <si>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</si>
  <si>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</si>
  <si>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</si>
  <si>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</si>
  <si>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</si>
  <si>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</si>
  <si>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</si>
  <si>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</si>
  <si>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</si>
  <si>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</si>
  <si>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</si>
  <si>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</si>
  <si>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</si>
  <si>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</si>
  <si>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</si>
  <si>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</si>
  <si>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</si>
  <si>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</si>
  <si>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</si>
  <si>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</si>
  <si>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</si>
  <si>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</si>
  <si>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</si>
  <si>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</si>
  <si>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</si>
  <si>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</si>
  <si>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</si>
  <si>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</si>
  <si>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</si>
  <si>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</si>
  <si>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</si>
  <si>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</si>
  <si>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</si>
  <si>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</si>
  <si>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</si>
  <si>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</si>
  <si>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</si>
  <si>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</si>
  <si>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</si>
  <si>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</si>
  <si>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</si>
  <si>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</si>
  <si>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</si>
  <si>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</si>
  <si>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</si>
  <si>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</si>
  <si>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</si>
  <si>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</si>
  <si>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</si>
  <si>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</si>
  <si>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</si>
  <si>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</si>
  <si>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</si>
  <si>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</si>
  <si>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</si>
  <si>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</si>
  <si>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</si>
  <si>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</si>
  <si>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</si>
  <si>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</si>
  <si>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</si>
  <si>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</si>
  <si>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</si>
  <si>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</si>
  <si>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</si>
  <si>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</si>
  <si>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</si>
  <si>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</si>
  <si>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</si>
  <si>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</si>
  <si>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</si>
  <si>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</si>
  <si>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</si>
  <si>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</si>
  <si>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</si>
  <si>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</si>
  <si>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</si>
  <si>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</si>
  <si>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</si>
  <si>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</si>
  <si>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</si>
  <si>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</si>
  <si>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</si>
  <si>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</si>
  <si>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</si>
  <si>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</si>
  <si>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</si>
  <si>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</si>
  <si>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</si>
  <si>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</si>
  <si>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</si>
  <si>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</si>
  <si>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</si>
  <si>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</si>
  <si>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</si>
  <si>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</si>
  <si>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</si>
  <si>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</si>
  <si>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</si>
  <si>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</si>
  <si>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</si>
  <si>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</si>
  <si>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</si>
  <si>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</si>
  <si>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</si>
  <si>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</si>
  <si>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</si>
  <si>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</si>
  <si>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</si>
  <si>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</si>
  <si>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</si>
  <si>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</si>
  <si>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</si>
  <si>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</si>
  <si>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</si>
  <si>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</si>
  <si>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</si>
  <si>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</si>
  <si>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</si>
  <si>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</si>
  <si>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</si>
  <si>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</si>
  <si>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</si>
  <si>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</si>
  <si>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</si>
  <si>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</si>
  <si>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</si>
  <si>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</si>
  <si>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</si>
  <si>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</si>
  <si>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</si>
  <si>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</si>
  <si>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</si>
  <si>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</si>
  <si>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</si>
  <si>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</si>
  <si>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</si>
  <si>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</si>
  <si>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</si>
  <si>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</si>
  <si>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</si>
  <si>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</si>
  <si>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</si>
  <si>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</si>
  <si>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</si>
  <si>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</si>
  <si>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</si>
  <si>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</si>
  <si>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</si>
  <si>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</si>
  <si>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</si>
  <si>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</si>
  <si>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</si>
  <si>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</si>
  <si>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</si>
  <si>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</si>
  <si>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</si>
  <si>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</si>
  <si>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</si>
  <si>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</si>
  <si>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</si>
  <si>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</si>
  <si>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</si>
  <si>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</si>
  <si>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</si>
  <si>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</si>
  <si>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</si>
  <si>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</si>
  <si>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</si>
  <si>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</si>
  <si>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</si>
  <si>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</si>
  <si>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</si>
  <si>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</si>
  <si>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</si>
  <si>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</si>
  <si>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</si>
  <si>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</si>
  <si>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</si>
  <si>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MASON-II Brick / Stone work</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</si>
  <si>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</si>
  <si>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</si>
  <si>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</si>
  <si>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</si>
  <si>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</si>
  <si>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</si>
  <si>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</si>
  <si>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</si>
  <si>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</si>
  <si>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</si>
  <si>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</si>
  <si>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</si>
  <si>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</si>
  <si>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</si>
  <si>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</si>
  <si>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</si>
  <si>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</si>
  <si>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</si>
  <si>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</si>
  <si>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</si>
  <si>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</si>
  <si>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</si>
  <si>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</si>
  <si>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</si>
  <si>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</si>
  <si>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</si>
  <si>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</si>
  <si>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</si>
  <si>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</si>
  <si>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</si>
  <si>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</si>
  <si>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</si>
  <si>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</si>
  <si>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</si>
  <si>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</si>
  <si>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</si>
  <si>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</si>
  <si>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</si>
  <si>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</si>
  <si>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</si>
  <si>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</si>
  <si>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</si>
  <si>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</si>
  <si>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</si>
  <si>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</si>
  <si>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</si>
  <si>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</si>
  <si>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</si>
  <si>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</si>
  <si>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</si>
  <si>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</si>
  <si>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</si>
  <si>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</si>
  <si>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</si>
  <si>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</si>
  <si>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</si>
  <si>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r>
      <t>SUPPLY AND FIXING OF E.W.C.   18" SIZE</t>
    </r>
    <r>
      <rPr>
        <b/>
        <sz val="12"/>
        <rFont val="Helv"/>
      </rPr>
      <t xml:space="preserve"> (WHITE)</t>
    </r>
  </si>
  <si>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</si>
  <si>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</si>
  <si>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</si>
  <si>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</si>
  <si>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</si>
  <si>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</si>
  <si>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</si>
  <si>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</si>
  <si>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</si>
  <si>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</si>
  <si>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</si>
  <si>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</si>
  <si>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</si>
  <si>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</si>
  <si>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</si>
  <si>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</si>
  <si>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</si>
  <si>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</si>
  <si>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</si>
  <si>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</si>
  <si>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</si>
  <si>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</si>
  <si>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</si>
  <si>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</si>
  <si>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</si>
  <si>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</si>
  <si>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</si>
  <si>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</si>
  <si>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</si>
  <si>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</si>
  <si>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</si>
  <si>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</si>
  <si>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</si>
  <si>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S &amp; F of A/C metal clad switch</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</si>
  <si>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</si>
  <si>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</si>
  <si>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</si>
  <si>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</si>
  <si>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</si>
  <si>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</si>
  <si>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</si>
  <si>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</si>
  <si>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</si>
  <si>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</si>
  <si>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</si>
  <si>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</si>
  <si>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</si>
  <si>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</si>
  <si>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</si>
  <si>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</si>
  <si>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</si>
  <si>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</si>
  <si>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</si>
  <si>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</si>
  <si>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</si>
  <si>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</si>
  <si>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</si>
  <si>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</si>
  <si>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</si>
  <si>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</si>
  <si>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</si>
  <si>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</si>
  <si>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</si>
  <si>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</si>
  <si>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</si>
  <si>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</si>
  <si>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</si>
  <si>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</si>
  <si>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</si>
  <si>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</si>
  <si>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</si>
  <si>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</si>
  <si>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</si>
  <si>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</si>
  <si>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</si>
  <si>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</si>
  <si>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</si>
  <si>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</si>
  <si>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</si>
  <si>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</si>
  <si>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</si>
  <si>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</si>
  <si>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</si>
  <si>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</si>
  <si>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</si>
  <si>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</si>
  <si>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</si>
  <si>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</si>
  <si>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</si>
  <si>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</si>
  <si>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</si>
  <si>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</si>
  <si>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</si>
  <si>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</si>
  <si>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</si>
  <si>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</si>
  <si>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</si>
  <si>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</si>
  <si>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</si>
  <si>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</si>
  <si>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</si>
  <si>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</si>
  <si>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</si>
  <si>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</si>
  <si>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</si>
  <si>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</si>
  <si>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</si>
  <si>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</si>
  <si>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</si>
  <si>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</si>
  <si>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</si>
  <si>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</si>
  <si>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</si>
  <si>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</si>
  <si>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</si>
  <si>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</si>
  <si>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</si>
  <si>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</si>
  <si>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</si>
  <si>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</si>
  <si>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</si>
  <si>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</si>
  <si>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</si>
  <si>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</si>
  <si>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</si>
  <si>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</si>
  <si>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</si>
  <si>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</si>
  <si>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</si>
  <si>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</si>
  <si>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</si>
  <si>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</si>
  <si>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</si>
  <si>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</si>
  <si>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</si>
  <si>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</si>
  <si>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</si>
  <si>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</si>
  <si>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</si>
  <si>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</si>
  <si>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</si>
  <si>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</si>
  <si>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</si>
  <si>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</si>
  <si>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</si>
  <si>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</si>
  <si>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</si>
  <si>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</si>
  <si>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</si>
  <si>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</si>
  <si>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</si>
  <si>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</si>
  <si>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</si>
  <si>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</si>
  <si>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</si>
  <si>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</si>
  <si>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</si>
  <si>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</si>
  <si>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</si>
  <si>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</si>
  <si>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</si>
  <si>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</si>
  <si>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</si>
  <si>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</si>
  <si>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</si>
  <si>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</si>
  <si>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</si>
  <si>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</si>
  <si>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</si>
  <si>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</si>
  <si>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</si>
  <si>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</si>
  <si>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</si>
  <si>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</si>
  <si>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</si>
  <si>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</si>
  <si>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</si>
  <si>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</si>
  <si>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</si>
  <si>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</si>
  <si>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r>
      <t xml:space="preserve">EARTH WORK EXCAVATION  for </t>
    </r>
    <r>
      <rPr>
        <b/>
        <sz val="12"/>
        <rFont val="Helv"/>
      </rPr>
      <t>open foundation</t>
    </r>
    <r>
      <rPr>
        <sz val="12"/>
        <rFont val="Helv"/>
      </rPr>
      <t>EXCLUDING REFILLING</t>
    </r>
  </si>
  <si>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</si>
  <si>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</si>
  <si>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</si>
  <si>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</si>
  <si>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</si>
  <si>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</si>
  <si>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</si>
  <si>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</si>
  <si>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</si>
  <si>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</si>
  <si>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</si>
  <si>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</si>
  <si>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</si>
  <si>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</si>
  <si>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</si>
  <si>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</si>
  <si>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</si>
  <si>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</si>
  <si>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</si>
  <si>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</si>
  <si>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</si>
  <si>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</si>
  <si>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</si>
  <si>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</si>
  <si>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</si>
  <si>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</si>
  <si>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</si>
  <si>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</si>
  <si>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</si>
  <si>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</si>
  <si>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</si>
  <si>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</si>
  <si>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</si>
  <si>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</si>
  <si>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</si>
  <si>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</si>
  <si>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</si>
  <si>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</si>
  <si>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</si>
  <si>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</si>
  <si>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</si>
  <si>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</si>
  <si>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</si>
  <si>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</si>
  <si>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</si>
  <si>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</si>
  <si>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</si>
  <si>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</si>
  <si>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</si>
  <si>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</si>
  <si>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</si>
  <si>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</si>
  <si>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</si>
  <si>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</si>
  <si>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</si>
  <si>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</si>
  <si>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</si>
  <si>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</si>
  <si>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</si>
  <si>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</si>
  <si>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</si>
  <si>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</si>
  <si>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</si>
  <si>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</si>
  <si>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</si>
  <si>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</si>
  <si>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</si>
  <si>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</si>
  <si>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</si>
  <si>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</si>
  <si>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</si>
  <si>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</si>
  <si>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r>
      <t xml:space="preserve">EARTH WORK EXCAVATION  for </t>
    </r>
    <r>
      <rPr>
        <b/>
        <sz val="12"/>
        <rFont val="Helv"/>
      </rPr>
      <t>SDR</t>
    </r>
  </si>
  <si>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</si>
  <si>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</si>
  <si>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</si>
  <si>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</si>
  <si>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</si>
  <si>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</si>
  <si>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</si>
  <si>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</si>
  <si>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</si>
  <si>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</si>
  <si>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</si>
  <si>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</si>
  <si>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</si>
  <si>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</si>
  <si>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</si>
  <si>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</si>
  <si>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</si>
  <si>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</si>
  <si>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</si>
  <si>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</si>
  <si>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</si>
  <si>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</si>
  <si>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</si>
  <si>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</si>
  <si>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</si>
  <si>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</si>
  <si>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</si>
  <si>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</si>
  <si>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</si>
  <si>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</si>
  <si>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</si>
  <si>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</si>
  <si>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r>
      <t xml:space="preserve">SUPPLING AND FIXING </t>
    </r>
    <r>
      <rPr>
        <b/>
        <sz val="12"/>
        <rFont val="Helv"/>
      </rPr>
      <t>COAT STAND</t>
    </r>
  </si>
  <si>
    <r>
      <t xml:space="preserve">SUPPLING AND FIXING OF </t>
    </r>
    <r>
      <rPr>
        <b/>
        <sz val="12"/>
        <rFont val="Helv"/>
      </rPr>
      <t>PICTURE HOOKS</t>
    </r>
  </si>
  <si>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</si>
  <si>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</si>
  <si>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</si>
  <si>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</si>
  <si>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</si>
  <si>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</si>
  <si>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</si>
  <si>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</si>
  <si>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</si>
  <si>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</si>
  <si>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</si>
  <si>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</si>
  <si>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</si>
  <si>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</si>
  <si>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</si>
  <si>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</si>
  <si>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</si>
  <si>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</si>
  <si>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</si>
  <si>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</si>
  <si>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</si>
  <si>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</si>
  <si>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</si>
  <si>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</si>
  <si>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</si>
  <si>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</si>
  <si>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</si>
  <si>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</si>
  <si>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</si>
  <si>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</si>
  <si>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</si>
  <si>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</si>
  <si>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</si>
  <si>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</si>
  <si>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</si>
  <si>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</si>
  <si>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</si>
  <si>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</si>
  <si>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</si>
  <si>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</si>
  <si>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</si>
  <si>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</si>
  <si>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</si>
  <si>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</si>
  <si>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</si>
  <si>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</si>
  <si>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</si>
  <si>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</si>
  <si>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</si>
  <si>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</si>
  <si>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</si>
  <si>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</si>
  <si>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</si>
  <si>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</si>
  <si>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</si>
  <si>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</si>
  <si>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</si>
  <si>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</si>
  <si>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</si>
  <si>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</si>
  <si>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r>
      <t xml:space="preserve">Slabs of 50mm thick </t>
    </r>
    <r>
      <rPr>
        <b/>
        <sz val="12"/>
        <rFont val="Helv"/>
      </rPr>
      <t>(precast slab 50mm Thick)</t>
    </r>
  </si>
  <si>
    <r>
      <t>KERB STONE</t>
    </r>
    <r>
      <rPr>
        <sz val="12"/>
        <rFont val="Helv"/>
      </rPr>
      <t xml:space="preserve"> 450x300x150mm</t>
    </r>
  </si>
  <si>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</si>
  <si>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</si>
  <si>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</si>
  <si>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</si>
  <si>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</si>
  <si>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</si>
  <si>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</si>
  <si>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</si>
  <si>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</si>
  <si>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</si>
  <si>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</si>
  <si>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</si>
  <si>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</si>
  <si>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</si>
  <si>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</si>
  <si>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</si>
  <si>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</si>
  <si>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</si>
  <si>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</si>
  <si>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</si>
  <si>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</si>
  <si>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</si>
  <si>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</si>
  <si>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</si>
  <si>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</si>
  <si>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</si>
  <si>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</si>
  <si>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</si>
  <si>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</si>
  <si>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</si>
  <si>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</si>
  <si>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</si>
  <si>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</si>
  <si>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</si>
  <si>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</si>
  <si>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</si>
  <si>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</si>
  <si>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</si>
  <si>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</si>
  <si>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</si>
  <si>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</si>
  <si>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</si>
  <si>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</si>
  <si>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</si>
  <si>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</si>
  <si>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</si>
  <si>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</si>
  <si>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</si>
  <si>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</si>
  <si>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</si>
  <si>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</si>
  <si>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</si>
  <si>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</si>
  <si>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</si>
  <si>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</si>
  <si>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</si>
  <si>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</si>
  <si>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</si>
  <si>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</si>
  <si>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</si>
  <si>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</si>
  <si>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</si>
  <si>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</si>
  <si>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</si>
  <si>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</si>
  <si>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</si>
  <si>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</si>
  <si>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</si>
  <si>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</si>
  <si>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</si>
  <si>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</si>
  <si>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</si>
  <si>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</si>
  <si>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</si>
  <si>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</si>
  <si>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</si>
  <si>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</si>
  <si>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</si>
  <si>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</si>
  <si>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</si>
  <si>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</si>
  <si>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</si>
  <si>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</si>
  <si>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</si>
  <si>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</si>
  <si>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</si>
  <si>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</si>
  <si>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</si>
  <si>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</si>
  <si>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</si>
  <si>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</si>
  <si>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</si>
  <si>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</si>
  <si>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</si>
  <si>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</si>
  <si>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</si>
  <si>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</si>
  <si>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</si>
  <si>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</si>
  <si>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</si>
  <si>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</si>
  <si>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</si>
  <si>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</si>
  <si>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</si>
  <si>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</si>
  <si>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</si>
  <si>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</si>
  <si>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</si>
  <si>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</si>
  <si>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</si>
  <si>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</si>
  <si>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</si>
  <si>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</si>
  <si>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</si>
  <si>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</si>
  <si>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</si>
  <si>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</si>
  <si>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</si>
  <si>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</si>
  <si>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r>
      <t xml:space="preserve">OF 10mm&amp;BELOW </t>
    </r>
    <r>
      <rPr>
        <b/>
        <sz val="12"/>
        <rFont val="Helv"/>
      </rPr>
      <t>(ELLISPATTERN)</t>
    </r>
  </si>
  <si>
    <r>
      <t>WEATHERING COURSE</t>
    </r>
    <r>
      <rPr>
        <sz val="12"/>
        <rFont val="Helv"/>
      </rPr>
      <t xml:space="preserve"> WITH BRICK</t>
    </r>
  </si>
  <si>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</si>
  <si>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</si>
  <si>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</si>
  <si>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</si>
  <si>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</si>
  <si>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</si>
  <si>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</si>
  <si>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</si>
  <si>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</si>
  <si>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</si>
  <si>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</si>
  <si>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</si>
  <si>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</si>
  <si>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</si>
  <si>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</si>
  <si>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</si>
  <si>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</si>
  <si>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</si>
  <si>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</si>
  <si>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</si>
  <si>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</si>
  <si>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</si>
  <si>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</si>
  <si>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</si>
  <si>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</si>
  <si>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</si>
  <si>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</si>
  <si>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</si>
  <si>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</si>
  <si>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</si>
  <si>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</si>
  <si>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</si>
  <si>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</si>
  <si>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</si>
  <si>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</si>
  <si>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r>
      <t xml:space="preserve">SUPPLY AND FIXING ALUMINUM </t>
    </r>
    <r>
      <rPr>
        <b/>
        <sz val="12"/>
        <rFont val="Helv"/>
      </rPr>
      <t xml:space="preserve">TOWEL RAIL </t>
    </r>
    <r>
      <rPr>
        <sz val="12"/>
        <rFont val="Helv"/>
      </rPr>
      <t>OF</t>
    </r>
  </si>
  <si>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</si>
  <si>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</si>
  <si>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</si>
  <si>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</si>
  <si>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</si>
  <si>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</si>
  <si>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</si>
  <si>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</si>
  <si>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</si>
  <si>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</si>
  <si>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</si>
  <si>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</si>
  <si>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</si>
  <si>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</si>
  <si>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</si>
  <si>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</si>
  <si>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</si>
  <si>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</si>
  <si>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</si>
  <si>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</si>
  <si>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</si>
  <si>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</si>
  <si>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</si>
  <si>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</si>
  <si>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</si>
  <si>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</si>
  <si>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</si>
  <si>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</si>
  <si>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</si>
  <si>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</si>
  <si>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</si>
  <si>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</si>
  <si>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</si>
  <si>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</si>
  <si>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</si>
  <si>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</si>
  <si>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</si>
  <si>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</si>
  <si>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</si>
  <si>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</si>
  <si>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</si>
  <si>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</si>
  <si>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</si>
  <si>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</si>
  <si>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</si>
  <si>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</si>
  <si>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</si>
  <si>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</si>
  <si>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</si>
  <si>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</si>
  <si>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</si>
  <si>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</si>
  <si>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</si>
  <si>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</si>
  <si>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</si>
  <si>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</si>
  <si>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</si>
  <si>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</si>
  <si>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</si>
  <si>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</si>
  <si>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</si>
  <si>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</si>
  <si>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</si>
  <si>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</si>
  <si>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</si>
  <si>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</si>
  <si>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</si>
  <si>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</si>
  <si>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</si>
  <si>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</si>
  <si>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</si>
  <si>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</si>
  <si>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</si>
  <si>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</si>
  <si>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</si>
  <si>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</si>
  <si>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</si>
  <si>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</si>
  <si>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</si>
  <si>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</si>
  <si>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</si>
  <si>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</si>
  <si>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</si>
  <si>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</si>
  <si>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</si>
  <si>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</si>
  <si>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</si>
  <si>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</si>
  <si>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</si>
  <si>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</si>
  <si>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</si>
  <si>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</si>
  <si>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</si>
  <si>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</si>
  <si>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</si>
  <si>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</si>
  <si>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</si>
  <si>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</si>
  <si>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</si>
  <si>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</si>
  <si>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</si>
  <si>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</si>
  <si>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</si>
  <si>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</si>
  <si>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</si>
  <si>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</si>
  <si>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</si>
  <si>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</si>
  <si>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</si>
  <si>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</si>
  <si>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</si>
  <si>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</si>
  <si>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</si>
  <si>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</si>
  <si>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</si>
  <si>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</si>
  <si>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</si>
  <si>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</si>
  <si>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</si>
  <si>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</si>
  <si>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</si>
  <si>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</si>
  <si>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</si>
  <si>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</si>
  <si>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</si>
  <si>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</si>
  <si>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</si>
  <si>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</si>
  <si>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</si>
  <si>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</si>
  <si>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</si>
  <si>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</si>
  <si>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</si>
  <si>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</si>
  <si>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</si>
  <si>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</si>
  <si>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</si>
  <si>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</si>
  <si>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</si>
  <si>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</si>
  <si>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</si>
  <si>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</si>
  <si>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</si>
  <si>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</si>
  <si>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</si>
  <si>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</si>
  <si>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</si>
  <si>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</si>
  <si>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</si>
  <si>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</si>
  <si>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</si>
  <si>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</si>
  <si>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</si>
  <si>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</si>
  <si>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</si>
  <si>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</si>
  <si>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</si>
  <si>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</si>
  <si>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</si>
  <si>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</si>
  <si>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</si>
  <si>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</si>
  <si>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</si>
  <si>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</si>
  <si>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</si>
  <si>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</si>
  <si>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10%</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</si>
  <si>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</si>
  <si>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</si>
  <si>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</si>
  <si>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</si>
  <si>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</si>
  <si>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</si>
  <si>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</si>
  <si>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</si>
  <si>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</si>
  <si>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</si>
  <si>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</si>
  <si>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</si>
  <si>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</si>
  <si>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</si>
  <si>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</si>
  <si>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</si>
  <si>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</si>
  <si>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</si>
  <si>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</si>
  <si>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</si>
  <si>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 xml:space="preserve">Vetrified Tiles flooring </t>
  </si>
  <si>
    <t>Providing Single under reamed Pile of 4.50m depth,375mm dia</t>
  </si>
  <si>
    <t xml:space="preserve"> "   OF SIZE 90X47.5cm</t>
  </si>
  <si>
    <t xml:space="preserve">             -1X1X0675X0.2825X0.01875=</t>
  </si>
  <si>
    <t>WIDE&amp;12TO25mm T.K</t>
  </si>
  <si>
    <r>
      <t xml:space="preserve">Providing </t>
    </r>
    <r>
      <rPr>
        <b/>
        <sz val="12"/>
        <rFont val="Helv"/>
      </rPr>
      <t>GRAVEL SOLING</t>
    </r>
    <r>
      <rPr>
        <sz val="12"/>
        <rFont val="Helv"/>
      </rPr>
      <t xml:space="preserve"> of 150mm thick</t>
    </r>
  </si>
  <si>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</si>
  <si>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</si>
  <si>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</si>
  <si>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</si>
  <si>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</si>
  <si>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</si>
  <si>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</si>
  <si>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</si>
  <si>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</si>
  <si>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</si>
  <si>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</si>
  <si>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</si>
  <si>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</si>
  <si>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</si>
  <si>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</si>
  <si>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</si>
  <si>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</si>
  <si>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</si>
  <si>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</si>
  <si>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</si>
  <si>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</si>
  <si>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</si>
  <si>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</si>
  <si>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</si>
  <si>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</si>
  <si>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</si>
  <si>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</si>
  <si>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</si>
  <si>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</si>
  <si>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</si>
  <si>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</si>
  <si>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</si>
  <si>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</si>
  <si>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</si>
  <si>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</si>
  <si>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</si>
  <si>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</si>
  <si>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</si>
  <si>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</si>
  <si>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</si>
  <si>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</si>
  <si>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</si>
  <si>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</si>
  <si>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r>
      <t>CEMENT CONCRETE</t>
    </r>
    <r>
      <rPr>
        <b/>
        <sz val="12"/>
        <rFont val="Helv"/>
      </rPr>
      <t xml:space="preserve"> PCC (1:2:4)</t>
    </r>
    <r>
      <rPr>
        <sz val="12"/>
        <rFont val="Helv"/>
      </rPr>
      <t xml:space="preserve"> USING</t>
    </r>
  </si>
  <si>
    <r>
      <t>CEMENT CONCRETE</t>
    </r>
    <r>
      <rPr>
        <b/>
        <sz val="12"/>
        <rFont val="Helv"/>
      </rPr>
      <t>(1:8:16)</t>
    </r>
    <r>
      <rPr>
        <sz val="12"/>
        <rFont val="Helv"/>
      </rPr>
      <t xml:space="preserve"> USING</t>
    </r>
  </si>
  <si>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</si>
  <si>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</si>
  <si>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</si>
  <si>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</si>
  <si>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</si>
  <si>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</si>
  <si>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</si>
  <si>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</si>
  <si>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</si>
  <si>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</si>
  <si>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</si>
  <si>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</si>
  <si>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</si>
  <si>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</si>
  <si>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</si>
  <si>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</si>
  <si>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</si>
  <si>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</si>
  <si>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</si>
  <si>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</si>
  <si>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</si>
  <si>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</si>
  <si>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</si>
  <si>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</si>
  <si>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</si>
  <si>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</si>
  <si>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</si>
  <si>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</si>
  <si>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</si>
  <si>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</si>
  <si>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</si>
  <si>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</si>
  <si>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</si>
  <si>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</si>
  <si>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</si>
  <si>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</si>
  <si>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</si>
  <si>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</si>
  <si>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r>
      <t xml:space="preserve">BASEMENT  WITH  </t>
    </r>
    <r>
      <rPr>
        <b/>
        <sz val="12"/>
        <rFont val="Helv"/>
      </rPr>
      <t>FILLING SAND</t>
    </r>
  </si>
  <si>
    <r>
      <t xml:space="preserve">PROVIDING </t>
    </r>
    <r>
      <rPr>
        <b/>
        <sz val="12"/>
        <rFont val="Helv"/>
      </rPr>
      <t>SAND  GRAVEL MIX</t>
    </r>
  </si>
  <si>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</si>
  <si>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</si>
  <si>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</si>
  <si>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</si>
  <si>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</si>
  <si>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</si>
  <si>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</si>
  <si>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</si>
  <si>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</si>
  <si>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</si>
  <si>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</si>
  <si>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Sl.No.</t>
  </si>
  <si>
    <t>Qty</t>
  </si>
  <si>
    <t>BUILDING WORKS</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</si>
  <si>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</si>
  <si>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</si>
  <si>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</si>
  <si>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</si>
  <si>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</si>
  <si>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</si>
  <si>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</si>
  <si>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</si>
  <si>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</si>
  <si>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</si>
  <si>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</si>
  <si>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</si>
  <si>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</si>
  <si>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</si>
  <si>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</si>
  <si>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</si>
  <si>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</si>
  <si>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</si>
  <si>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</si>
  <si>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</si>
  <si>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</si>
  <si>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</si>
  <si>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</si>
  <si>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</si>
  <si>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</si>
  <si>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</si>
  <si>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</si>
  <si>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</si>
  <si>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</si>
  <si>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</si>
  <si>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</si>
  <si>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</si>
  <si>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</si>
  <si>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</si>
  <si>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</si>
  <si>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</si>
  <si>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</si>
  <si>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</si>
  <si>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</si>
  <si>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</si>
  <si>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</si>
  <si>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</si>
  <si>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</si>
  <si>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</si>
  <si>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</si>
  <si>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</si>
  <si>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</si>
  <si>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</si>
  <si>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</si>
  <si>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</si>
  <si>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</si>
  <si>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</si>
  <si>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</si>
  <si>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</si>
  <si>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</si>
  <si>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</si>
  <si>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</si>
  <si>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</si>
  <si>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</si>
  <si>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</si>
  <si>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</si>
  <si>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</si>
  <si>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</si>
  <si>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</si>
  <si>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</si>
  <si>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</si>
  <si>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</si>
  <si>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</si>
  <si>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</si>
  <si>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</si>
  <si>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</si>
  <si>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</si>
  <si>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</si>
  <si>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</si>
  <si>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</si>
  <si>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</si>
  <si>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</si>
  <si>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</si>
  <si>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</si>
  <si>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</si>
  <si>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</si>
  <si>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</si>
  <si>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</si>
  <si>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</si>
  <si>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</si>
  <si>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</si>
  <si>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</si>
  <si>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</si>
  <si>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</si>
  <si>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</si>
  <si>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</si>
  <si>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</si>
  <si>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</si>
  <si>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</si>
  <si>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</si>
  <si>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</si>
  <si>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</si>
  <si>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</si>
  <si>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</si>
  <si>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</si>
  <si>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</si>
  <si>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</si>
  <si>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</si>
  <si>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</si>
  <si>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</si>
  <si>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</si>
  <si>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</si>
  <si>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</si>
  <si>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</si>
  <si>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</si>
  <si>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</si>
  <si>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</si>
  <si>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</si>
  <si>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</si>
  <si>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</si>
  <si>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</si>
  <si>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</si>
  <si>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</si>
  <si>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</si>
  <si>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</si>
  <si>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</si>
  <si>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</si>
  <si>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</si>
  <si>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</si>
  <si>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</si>
  <si>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</si>
  <si>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</si>
  <si>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</si>
  <si>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</si>
  <si>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</si>
  <si>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</si>
  <si>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</si>
  <si>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</si>
  <si>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</si>
  <si>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</si>
  <si>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</si>
  <si>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</si>
  <si>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</si>
  <si>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</si>
  <si>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</si>
  <si>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</si>
  <si>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</si>
  <si>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</si>
  <si>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</si>
  <si>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</si>
  <si>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</si>
  <si>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</si>
  <si>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</si>
  <si>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</si>
  <si>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</si>
  <si>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</si>
  <si>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</si>
  <si>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</si>
  <si>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</si>
  <si>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</si>
  <si>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</si>
  <si>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</si>
  <si>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</si>
  <si>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</si>
  <si>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</si>
  <si>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</si>
  <si>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</si>
  <si>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</si>
  <si>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</si>
  <si>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</si>
  <si>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</si>
  <si>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</si>
  <si>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</si>
  <si>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</si>
  <si>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</si>
  <si>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</si>
  <si>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</si>
  <si>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</si>
  <si>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</si>
  <si>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</si>
  <si>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</si>
  <si>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</si>
  <si>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</si>
  <si>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</si>
  <si>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</si>
  <si>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</si>
  <si>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</si>
  <si>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</si>
  <si>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</si>
  <si>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</si>
  <si>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</si>
  <si>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</si>
  <si>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</si>
  <si>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</si>
  <si>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</si>
  <si>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</si>
  <si>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</si>
  <si>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</si>
  <si>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</si>
  <si>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</si>
  <si>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</si>
  <si>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</si>
  <si>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</si>
  <si>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</si>
  <si>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</si>
  <si>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</si>
  <si>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</si>
  <si>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</si>
  <si>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</si>
  <si>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</si>
  <si>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</si>
  <si>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</si>
  <si>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</si>
  <si>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</si>
  <si>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</si>
  <si>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</si>
  <si>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</si>
  <si>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</si>
  <si>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</si>
  <si>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</si>
  <si>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</si>
  <si>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</si>
  <si>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</si>
  <si>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</si>
  <si>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</si>
  <si>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</si>
  <si>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</si>
  <si>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</si>
  <si>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</si>
  <si>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</si>
  <si>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</si>
  <si>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</si>
  <si>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</si>
  <si>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</si>
  <si>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</si>
  <si>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</si>
  <si>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</si>
  <si>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</si>
  <si>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</si>
  <si>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</si>
  <si>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</si>
  <si>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</si>
  <si>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</si>
  <si>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</si>
  <si>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</si>
  <si>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</si>
  <si>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</si>
  <si>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Glazed tiles using Grout (Tile Joint Filler)</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</si>
  <si>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</si>
  <si>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</si>
  <si>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</si>
  <si>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</si>
  <si>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</si>
  <si>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</si>
  <si>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</si>
  <si>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</si>
  <si>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</si>
  <si>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</si>
  <si>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</si>
  <si>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</si>
  <si>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</si>
  <si>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</si>
  <si>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</si>
  <si>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</si>
  <si>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</si>
  <si>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</si>
  <si>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</si>
  <si>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</si>
  <si>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</si>
  <si>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</si>
  <si>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</si>
  <si>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S &amp; F of Tube light fitting  (patty  type ) with Electronic ballast and 36 W slim tube light</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</si>
  <si>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</si>
  <si>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</si>
  <si>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</si>
  <si>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</si>
  <si>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</si>
  <si>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</si>
  <si>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</si>
  <si>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</si>
  <si>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</si>
  <si>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</si>
  <si>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</si>
  <si>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</si>
  <si>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</si>
  <si>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</si>
  <si>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</si>
  <si>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</si>
  <si>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</si>
  <si>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</si>
  <si>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</si>
  <si>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</si>
  <si>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</si>
  <si>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</si>
  <si>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</si>
  <si>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</si>
  <si>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</si>
  <si>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</si>
  <si>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</si>
  <si>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</si>
  <si>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</si>
  <si>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</si>
  <si>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</si>
  <si>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</si>
  <si>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</si>
  <si>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</si>
  <si>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</si>
  <si>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</si>
  <si>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</si>
  <si>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</si>
  <si>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</si>
  <si>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</si>
  <si>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</si>
  <si>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</si>
  <si>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</si>
  <si>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</si>
  <si>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</si>
  <si>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</si>
  <si>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</si>
  <si>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</si>
  <si>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</si>
  <si>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</si>
  <si>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</si>
  <si>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</si>
  <si>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</si>
  <si>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</si>
  <si>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</si>
  <si>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</si>
  <si>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</si>
  <si>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</si>
  <si>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</si>
  <si>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</si>
  <si>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</si>
  <si>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</si>
  <si>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</si>
  <si>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</si>
  <si>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</si>
  <si>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</si>
  <si>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</si>
  <si>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</si>
  <si>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</si>
  <si>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</si>
  <si>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</si>
  <si>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</si>
  <si>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</si>
  <si>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</si>
  <si>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</si>
  <si>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</si>
  <si>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</si>
  <si>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</si>
  <si>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</si>
  <si>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</si>
  <si>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</si>
  <si>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</si>
  <si>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</si>
  <si>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</si>
  <si>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</si>
  <si>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</si>
  <si>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</si>
  <si>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</si>
  <si>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</si>
  <si>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</si>
  <si>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</si>
  <si>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</si>
  <si>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</si>
  <si>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</si>
  <si>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</si>
  <si>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</si>
  <si>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</si>
  <si>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</si>
  <si>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</si>
  <si>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</si>
  <si>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</si>
  <si>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</si>
  <si>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</si>
  <si>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</si>
  <si>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</si>
  <si>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</si>
  <si>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</si>
  <si>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</si>
  <si>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</si>
  <si>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</si>
  <si>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</si>
  <si>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</si>
  <si>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</si>
  <si>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</si>
  <si>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</si>
  <si>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</si>
  <si>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</si>
  <si>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</si>
  <si>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</si>
  <si>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</si>
  <si>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</si>
  <si>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</si>
  <si>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</si>
  <si>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</si>
  <si>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</si>
  <si>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</si>
  <si>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</si>
  <si>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</si>
  <si>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</si>
  <si>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MASON-I Brick / Stone work</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</si>
  <si>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</si>
  <si>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</si>
  <si>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</si>
  <si>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</si>
  <si>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</si>
  <si>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</si>
  <si>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</si>
  <si>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</si>
  <si>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</si>
  <si>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</si>
  <si>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</si>
  <si>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</si>
  <si>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</si>
  <si>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</si>
  <si>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</si>
  <si>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</si>
  <si>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r>
      <t>WASHBASIN</t>
    </r>
    <r>
      <rPr>
        <sz val="12"/>
        <rFont val="Helv"/>
      </rPr>
      <t xml:space="preserve"> 22"X16" INCLUDING</t>
    </r>
  </si>
  <si>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</si>
  <si>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</si>
  <si>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</si>
  <si>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</si>
  <si>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</si>
  <si>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</si>
  <si>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</si>
  <si>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</si>
  <si>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</si>
  <si>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</si>
  <si>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</si>
  <si>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</si>
  <si>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</si>
  <si>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</si>
  <si>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</si>
  <si>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</si>
  <si>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</si>
  <si>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</si>
  <si>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</si>
  <si>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</si>
  <si>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</si>
  <si>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</si>
  <si>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</si>
  <si>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</si>
  <si>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</si>
  <si>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</si>
  <si>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</si>
  <si>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</si>
  <si>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</si>
  <si>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</si>
  <si>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</si>
  <si>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</si>
  <si>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</si>
  <si>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</si>
  <si>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</si>
  <si>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</si>
  <si>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</si>
  <si>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</si>
  <si>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</si>
  <si>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</si>
  <si>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</si>
  <si>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</si>
  <si>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</si>
  <si>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</si>
  <si>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</si>
  <si>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</si>
  <si>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</si>
  <si>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</si>
  <si>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</si>
  <si>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</si>
  <si>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</si>
  <si>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</si>
  <si>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</si>
  <si>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</si>
  <si>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</si>
  <si>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</si>
  <si>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</si>
  <si>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</si>
  <si>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</si>
  <si>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</si>
  <si>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</si>
  <si>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</si>
  <si>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</si>
  <si>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</si>
  <si>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</si>
  <si>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</si>
  <si>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</si>
  <si>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</si>
  <si>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</si>
  <si>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</si>
  <si>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</si>
  <si>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</si>
  <si>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</si>
  <si>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</si>
  <si>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</si>
  <si>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</si>
  <si>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</si>
  <si>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</si>
  <si>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</si>
  <si>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</si>
  <si>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</si>
  <si>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</si>
  <si>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</si>
  <si>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</si>
  <si>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</si>
  <si>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</si>
  <si>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</si>
  <si>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</si>
  <si>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</si>
  <si>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</si>
  <si>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</si>
  <si>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</si>
  <si>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</si>
  <si>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</si>
  <si>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</si>
  <si>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</si>
  <si>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</si>
  <si>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</si>
  <si>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</si>
  <si>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</si>
  <si>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</si>
  <si>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</si>
  <si>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</si>
  <si>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</si>
  <si>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</si>
  <si>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</si>
  <si>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</si>
  <si>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</si>
  <si>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</si>
  <si>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</si>
  <si>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r>
      <t xml:space="preserve">SUPPLY AND FIXING OF E.W.C.   18" SIZE </t>
    </r>
    <r>
      <rPr>
        <b/>
        <sz val="12"/>
        <rFont val="Helv"/>
      </rPr>
      <t>(COLOUR)</t>
    </r>
  </si>
  <si>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</si>
  <si>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</si>
  <si>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</si>
  <si>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</si>
  <si>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</si>
  <si>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</si>
  <si>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</si>
  <si>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</si>
  <si>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</si>
  <si>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</si>
  <si>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</si>
  <si>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</si>
  <si>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</si>
  <si>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</si>
  <si>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</si>
  <si>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</si>
  <si>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</si>
  <si>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</si>
  <si>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</si>
  <si>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</si>
  <si>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</si>
  <si>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</si>
  <si>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</si>
  <si>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</si>
  <si>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</si>
  <si>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</si>
  <si>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</si>
  <si>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</si>
  <si>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</si>
  <si>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</si>
  <si>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</si>
  <si>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</si>
  <si>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</si>
  <si>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</si>
  <si>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</si>
  <si>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</si>
  <si>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</si>
  <si>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</si>
  <si>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</si>
  <si>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</si>
  <si>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</si>
  <si>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</si>
  <si>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</si>
  <si>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</si>
  <si>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</si>
  <si>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</si>
  <si>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</si>
  <si>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</si>
  <si>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r>
      <t xml:space="preserve">PROVIDING </t>
    </r>
    <r>
      <rPr>
        <b/>
        <sz val="12"/>
        <rFont val="Helv"/>
      </rPr>
      <t>BITUMEN PAD</t>
    </r>
    <r>
      <rPr>
        <sz val="12"/>
        <rFont val="Helv"/>
      </rPr>
      <t xml:space="preserve"> FOR EXPANISION </t>
    </r>
  </si>
  <si>
    <r>
      <t xml:space="preserve"> 20mm Thick slab:- For </t>
    </r>
    <r>
      <rPr>
        <b/>
        <sz val="12"/>
        <rFont val="Helv"/>
      </rPr>
      <t>kitchen arrangements only</t>
    </r>
  </si>
  <si>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</si>
  <si>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</si>
  <si>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</si>
  <si>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</si>
  <si>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</si>
  <si>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</si>
  <si>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</si>
  <si>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</si>
  <si>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</si>
  <si>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</si>
  <si>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</si>
  <si>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</si>
  <si>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</si>
  <si>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</si>
  <si>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</si>
  <si>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</si>
  <si>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</si>
  <si>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</si>
  <si>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</si>
  <si>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</si>
  <si>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</si>
  <si>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</si>
  <si>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</si>
  <si>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</si>
  <si>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</si>
  <si>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</si>
  <si>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</si>
  <si>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</si>
  <si>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</si>
  <si>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</si>
  <si>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</si>
  <si>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</si>
  <si>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</si>
  <si>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</si>
  <si>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</si>
  <si>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</si>
  <si>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</si>
  <si>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</si>
  <si>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</si>
  <si>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</si>
  <si>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</si>
  <si>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</si>
  <si>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</si>
  <si>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</si>
  <si>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</si>
  <si>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</si>
  <si>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</si>
  <si>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</si>
  <si>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</si>
  <si>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</si>
  <si>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</si>
  <si>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</si>
  <si>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</si>
  <si>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</si>
  <si>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</si>
  <si>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</si>
  <si>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</si>
  <si>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</si>
  <si>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</si>
  <si>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</si>
  <si>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</si>
  <si>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</si>
  <si>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</si>
  <si>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</si>
  <si>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</si>
  <si>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</si>
  <si>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</si>
  <si>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</si>
  <si>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</si>
  <si>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</si>
  <si>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</si>
  <si>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</si>
  <si>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</si>
  <si>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</si>
  <si>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</si>
  <si>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</si>
  <si>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</si>
  <si>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</si>
  <si>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</si>
  <si>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</si>
  <si>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</si>
  <si>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</si>
  <si>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</si>
  <si>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</si>
  <si>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</si>
  <si>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22.3.2</t>
  </si>
  <si>
    <t>4mm thick pin headed Glass panels with Aluminium beedings</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</si>
  <si>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</si>
  <si>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</si>
  <si>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</si>
  <si>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</si>
  <si>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</si>
  <si>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</si>
  <si>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</si>
  <si>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</si>
  <si>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</si>
  <si>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</si>
  <si>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</si>
  <si>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</si>
  <si>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</si>
  <si>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</si>
  <si>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</si>
  <si>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</si>
  <si>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</si>
  <si>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</si>
  <si>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</si>
  <si>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</si>
  <si>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</si>
  <si>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</si>
  <si>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</si>
  <si>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</si>
  <si>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</si>
  <si>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</si>
  <si>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</si>
  <si>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</si>
  <si>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</si>
  <si>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</si>
  <si>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</si>
  <si>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</si>
  <si>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</si>
  <si>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</si>
  <si>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</si>
  <si>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</si>
  <si>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</si>
  <si>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</si>
  <si>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</si>
  <si>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</si>
  <si>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</si>
  <si>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</si>
  <si>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</si>
  <si>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</si>
  <si>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</si>
  <si>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</si>
  <si>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</si>
  <si>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</si>
  <si>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</si>
  <si>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</si>
  <si>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</si>
  <si>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</si>
  <si>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</si>
  <si>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</si>
  <si>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</si>
  <si>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</si>
  <si>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</si>
  <si>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</si>
  <si>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</si>
  <si>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</si>
  <si>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</si>
  <si>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</si>
  <si>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</si>
  <si>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</si>
  <si>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</si>
  <si>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</si>
  <si>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</si>
  <si>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</si>
  <si>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</si>
  <si>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</si>
  <si>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</si>
  <si>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</si>
  <si>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</si>
  <si>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</si>
  <si>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</si>
  <si>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</si>
  <si>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</si>
  <si>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</si>
  <si>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</si>
  <si>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</si>
  <si>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</si>
  <si>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</si>
  <si>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</si>
  <si>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</si>
  <si>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</si>
  <si>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</si>
  <si>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</si>
  <si>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</si>
  <si>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</si>
  <si>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</si>
  <si>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</si>
  <si>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</si>
  <si>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</si>
  <si>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</si>
  <si>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</si>
  <si>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</si>
  <si>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</si>
  <si>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</si>
  <si>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</si>
  <si>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</si>
  <si>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</si>
  <si>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</si>
  <si>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</si>
  <si>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</si>
  <si>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</si>
  <si>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</si>
  <si>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</si>
  <si>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</si>
  <si>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</si>
  <si>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</si>
  <si>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</si>
  <si>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</si>
  <si>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</si>
  <si>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</si>
  <si>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</si>
  <si>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</si>
  <si>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</si>
  <si>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</si>
  <si>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</si>
  <si>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</si>
  <si>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</si>
  <si>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</si>
  <si>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</si>
  <si>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</si>
  <si>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</si>
  <si>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</si>
  <si>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</si>
  <si>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</si>
  <si>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</si>
  <si>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</si>
  <si>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</si>
  <si>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</si>
  <si>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</si>
  <si>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</si>
  <si>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</si>
  <si>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</si>
  <si>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</si>
  <si>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</si>
  <si>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</si>
  <si>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</si>
  <si>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</si>
  <si>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</si>
  <si>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</si>
  <si>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</si>
  <si>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</si>
  <si>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</si>
  <si>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</si>
  <si>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</si>
  <si>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</si>
  <si>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</si>
  <si>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</si>
  <si>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</si>
  <si>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</si>
  <si>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</si>
  <si>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</si>
  <si>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</si>
  <si>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</si>
  <si>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</si>
  <si>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</si>
  <si>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</si>
  <si>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</si>
  <si>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</si>
  <si>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</si>
  <si>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</si>
  <si>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</si>
  <si>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</si>
  <si>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</si>
  <si>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</si>
  <si>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</si>
  <si>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</si>
  <si>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</si>
  <si>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</si>
  <si>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</si>
  <si>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</si>
  <si>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</si>
  <si>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</si>
  <si>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</si>
  <si>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</si>
  <si>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</si>
  <si>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</si>
  <si>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</si>
  <si>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</si>
  <si>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</si>
  <si>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</si>
  <si>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</si>
  <si>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</si>
  <si>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</si>
  <si>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</si>
  <si>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</si>
  <si>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</si>
  <si>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</si>
  <si>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</si>
  <si>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</si>
  <si>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</si>
  <si>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</si>
  <si>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</si>
  <si>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</si>
  <si>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</si>
  <si>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</si>
  <si>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</si>
  <si>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</si>
  <si>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</si>
  <si>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</si>
  <si>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</si>
  <si>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</si>
  <si>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</si>
  <si>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</si>
  <si>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</si>
  <si>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</si>
  <si>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</si>
  <si>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</si>
  <si>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</si>
  <si>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</si>
  <si>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</si>
  <si>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</si>
  <si>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</si>
  <si>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</si>
  <si>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</si>
  <si>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</si>
  <si>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</si>
  <si>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</si>
  <si>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</si>
  <si>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</si>
  <si>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</si>
  <si>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</si>
  <si>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</si>
  <si>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</si>
  <si>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</si>
  <si>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</si>
  <si>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</si>
  <si>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</si>
  <si>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</si>
  <si>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</si>
  <si>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</si>
  <si>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</si>
  <si>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</si>
  <si>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</si>
  <si>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</si>
  <si>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</si>
  <si>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</si>
  <si>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</si>
  <si>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</si>
  <si>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</si>
  <si>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</si>
  <si>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</si>
  <si>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</si>
  <si>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</si>
  <si>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</si>
  <si>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</si>
  <si>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</si>
  <si>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</si>
  <si>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</si>
  <si>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</si>
  <si>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</si>
  <si>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</si>
  <si>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</si>
  <si>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</si>
  <si>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</si>
  <si>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</si>
  <si>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</si>
  <si>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</si>
  <si>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</si>
  <si>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</si>
  <si>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</si>
  <si>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</si>
  <si>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</si>
  <si>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</si>
  <si>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</si>
  <si>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</si>
  <si>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</si>
  <si>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</si>
  <si>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</si>
  <si>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</si>
  <si>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</si>
  <si>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</si>
  <si>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</si>
  <si>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</si>
  <si>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</si>
  <si>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</si>
  <si>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</si>
  <si>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</si>
  <si>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</si>
  <si>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</si>
  <si>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</si>
  <si>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</si>
  <si>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</si>
  <si>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</si>
  <si>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</si>
  <si>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</si>
  <si>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</si>
  <si>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</si>
  <si>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</si>
  <si>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</si>
  <si>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</si>
  <si>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</si>
  <si>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</si>
  <si>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</si>
  <si>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</si>
  <si>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</si>
  <si>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</si>
  <si>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</si>
  <si>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</si>
  <si>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</si>
  <si>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</si>
  <si>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</si>
  <si>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</si>
  <si>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</si>
  <si>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</si>
  <si>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</si>
  <si>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</si>
  <si>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</si>
  <si>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</si>
  <si>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</si>
  <si>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</si>
  <si>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</si>
  <si>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</si>
  <si>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</si>
  <si>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</si>
  <si>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</si>
  <si>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</si>
  <si>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</si>
  <si>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</si>
  <si>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</si>
  <si>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</si>
  <si>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</si>
  <si>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</si>
  <si>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</si>
  <si>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</si>
  <si>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</si>
  <si>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</si>
  <si>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</si>
  <si>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</si>
  <si>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</si>
  <si>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</si>
  <si>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</si>
  <si>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</si>
  <si>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</si>
  <si>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</si>
  <si>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</si>
  <si>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</si>
  <si>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</si>
  <si>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</si>
  <si>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</si>
  <si>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</si>
  <si>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</si>
  <si>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</si>
  <si>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</si>
  <si>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</si>
  <si>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</si>
  <si>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</si>
  <si>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</si>
  <si>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</si>
  <si>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</si>
  <si>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</si>
  <si>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</si>
  <si>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</si>
  <si>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</si>
  <si>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</si>
  <si>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</si>
  <si>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</si>
  <si>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</si>
  <si>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</si>
  <si>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</si>
  <si>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</si>
  <si>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</si>
  <si>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</si>
  <si>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</si>
  <si>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</si>
  <si>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</si>
  <si>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</si>
  <si>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</si>
  <si>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</si>
  <si>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</si>
  <si>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</si>
  <si>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</si>
  <si>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r>
      <t xml:space="preserve">EARTH WORK EXCAVATION  for open foundation
</t>
    </r>
    <r>
      <rPr>
        <sz val="12"/>
        <rFont val="Helv"/>
      </rPr>
      <t>IN SDR (EXCLUDING REFILLING)</t>
    </r>
  </si>
  <si>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</si>
  <si>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</si>
  <si>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</si>
  <si>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</si>
  <si>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</si>
  <si>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</si>
  <si>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</si>
  <si>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</si>
  <si>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</si>
  <si>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</si>
  <si>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</si>
  <si>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</si>
  <si>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</si>
  <si>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</si>
  <si>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</si>
  <si>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</si>
  <si>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</si>
  <si>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</si>
  <si>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</si>
  <si>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</si>
  <si>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</si>
  <si>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</si>
  <si>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</si>
  <si>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</si>
  <si>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</si>
  <si>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</si>
  <si>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 xml:space="preserve"> 4mm glass frosted </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</si>
  <si>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</si>
  <si>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</si>
  <si>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</si>
  <si>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</si>
  <si>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</si>
  <si>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</si>
  <si>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</si>
  <si>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</si>
  <si>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</si>
  <si>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</si>
  <si>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</si>
  <si>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</si>
  <si>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</si>
  <si>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</si>
  <si>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</si>
  <si>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</si>
  <si>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</si>
  <si>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</si>
  <si>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</si>
  <si>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</si>
  <si>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</si>
  <si>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</si>
  <si>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</si>
  <si>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</si>
  <si>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</si>
  <si>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</si>
  <si>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</si>
  <si>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</si>
  <si>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</si>
  <si>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</si>
  <si>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</si>
  <si>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</si>
  <si>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</si>
  <si>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b. Ground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</si>
  <si>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</si>
  <si>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</si>
  <si>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</si>
  <si>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</si>
  <si>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</si>
  <si>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</si>
  <si>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</si>
  <si>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</si>
  <si>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</si>
  <si>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</si>
  <si>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</si>
  <si>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</si>
  <si>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</si>
  <si>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</si>
  <si>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</si>
  <si>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</si>
  <si>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r>
      <t xml:space="preserve">RATE PER CUM EXCLUDING REFILLING
</t>
    </r>
    <r>
      <rPr>
        <b/>
        <sz val="12"/>
        <rFont val="Helv"/>
      </rPr>
      <t>IN SDR (OPEN FOUNDATION)</t>
    </r>
  </si>
  <si>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</si>
  <si>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</si>
  <si>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</si>
  <si>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</si>
  <si>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</si>
  <si>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</si>
  <si>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</si>
  <si>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</si>
  <si>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</si>
  <si>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</si>
  <si>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</si>
  <si>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</si>
  <si>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</si>
  <si>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</si>
  <si>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</si>
  <si>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</si>
  <si>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</si>
  <si>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</si>
  <si>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</si>
  <si>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</si>
  <si>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</si>
  <si>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</si>
  <si>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</si>
  <si>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</si>
  <si>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</si>
  <si>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</si>
  <si>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</si>
  <si>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</si>
  <si>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</si>
  <si>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</si>
  <si>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</si>
  <si>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</si>
  <si>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</si>
  <si>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</si>
  <si>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</si>
  <si>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</si>
  <si>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</si>
  <si>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</si>
  <si>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</si>
  <si>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</si>
  <si>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</si>
  <si>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</si>
  <si>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</si>
  <si>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</si>
  <si>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</si>
  <si>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</si>
  <si>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</si>
  <si>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</si>
  <si>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</si>
  <si>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</si>
  <si>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</si>
  <si>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</si>
  <si>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</si>
  <si>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</si>
  <si>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</si>
  <si>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</si>
  <si>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</si>
  <si>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</si>
  <si>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</si>
  <si>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</si>
  <si>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</si>
  <si>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</si>
  <si>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</si>
  <si>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</si>
  <si>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</si>
  <si>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</si>
  <si>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</si>
  <si>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</si>
  <si>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</si>
  <si>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</si>
  <si>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</si>
  <si>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</si>
  <si>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</si>
  <si>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</si>
  <si>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</si>
  <si>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</si>
  <si>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</si>
  <si>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</si>
  <si>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</si>
  <si>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</si>
  <si>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</si>
  <si>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</si>
  <si>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</si>
  <si>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</si>
  <si>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</si>
  <si>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</si>
  <si>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</si>
  <si>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</si>
  <si>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</si>
  <si>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</si>
  <si>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</si>
  <si>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</si>
  <si>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</si>
  <si>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</si>
  <si>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</si>
  <si>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</si>
  <si>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</si>
  <si>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</si>
  <si>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</si>
  <si>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</si>
  <si>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</si>
  <si>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</si>
  <si>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</si>
  <si>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</si>
  <si>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</si>
  <si>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</si>
  <si>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</si>
  <si>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</si>
  <si>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</si>
  <si>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</si>
  <si>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</si>
  <si>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</si>
  <si>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</si>
  <si>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</si>
  <si>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</si>
  <si>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</si>
  <si>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</si>
  <si>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</si>
  <si>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</si>
  <si>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</si>
  <si>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</si>
  <si>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</si>
  <si>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</si>
  <si>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</si>
  <si>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</si>
  <si>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</si>
  <si>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</si>
  <si>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</si>
  <si>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</si>
  <si>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</si>
  <si>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</si>
  <si>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</si>
  <si>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</si>
  <si>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</si>
  <si>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</si>
  <si>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</si>
  <si>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</si>
  <si>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</si>
  <si>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</si>
  <si>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</si>
  <si>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</si>
  <si>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</si>
  <si>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</si>
  <si>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</si>
  <si>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</si>
  <si>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</si>
  <si>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</si>
  <si>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</si>
  <si>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</si>
  <si>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</si>
  <si>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</si>
  <si>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</si>
  <si>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</si>
  <si>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</si>
  <si>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</si>
  <si>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</si>
  <si>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</si>
  <si>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</si>
  <si>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</si>
  <si>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</si>
  <si>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</si>
  <si>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</si>
  <si>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</si>
  <si>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</si>
  <si>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</si>
  <si>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</si>
  <si>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</si>
  <si>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</si>
  <si>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</si>
  <si>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</si>
  <si>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</si>
  <si>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</si>
  <si>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</si>
  <si>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</si>
  <si>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</si>
  <si>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</si>
  <si>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</si>
  <si>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</si>
  <si>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</si>
  <si>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</si>
  <si>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</si>
  <si>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</si>
  <si>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</si>
  <si>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</si>
  <si>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</si>
  <si>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</si>
  <si>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</si>
  <si>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</si>
  <si>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</si>
  <si>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</si>
  <si>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</si>
  <si>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</si>
  <si>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</si>
  <si>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</si>
  <si>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</si>
  <si>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</si>
  <si>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</si>
  <si>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</si>
  <si>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</si>
  <si>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</si>
  <si>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</si>
  <si>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</si>
  <si>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</si>
  <si>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</si>
  <si>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</si>
  <si>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</si>
  <si>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</si>
  <si>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</si>
  <si>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</si>
  <si>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</si>
  <si>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</si>
  <si>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</si>
  <si>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</si>
  <si>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</si>
  <si>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</si>
  <si>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</si>
  <si>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</si>
  <si>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</si>
  <si>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</si>
  <si>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</si>
  <si>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</si>
  <si>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</si>
  <si>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</si>
  <si>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</si>
  <si>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</si>
  <si>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</si>
  <si>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</si>
  <si>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</si>
  <si>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</si>
  <si>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</si>
  <si>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</si>
  <si>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</si>
  <si>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</si>
  <si>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</si>
  <si>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</si>
  <si>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</si>
  <si>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</si>
  <si>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</si>
  <si>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</si>
  <si>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</si>
  <si>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</si>
  <si>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</si>
  <si>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</si>
  <si>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</si>
  <si>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</si>
  <si>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</si>
  <si>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</si>
  <si>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</si>
  <si>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</si>
  <si>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</si>
  <si>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</si>
  <si>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</si>
  <si>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</si>
  <si>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</si>
  <si>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</si>
  <si>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</si>
  <si>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</si>
  <si>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</si>
  <si>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</si>
  <si>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</si>
  <si>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</si>
  <si>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</si>
  <si>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</si>
  <si>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</si>
  <si>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</si>
  <si>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</si>
  <si>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</si>
  <si>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</si>
  <si>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</si>
  <si>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</si>
  <si>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</si>
  <si>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</si>
  <si>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</si>
  <si>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</si>
  <si>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</si>
  <si>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</si>
  <si>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</si>
  <si>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r>
      <t>(Both sides polished)</t>
    </r>
    <r>
      <rPr>
        <b/>
        <sz val="12"/>
        <rFont val="Helv"/>
      </rPr>
      <t>FOR COASTAL AREAS</t>
    </r>
  </si>
  <si>
    <r>
      <t>Grid beam and slabs</t>
    </r>
    <r>
      <rPr>
        <sz val="14"/>
        <rFont val="Arial"/>
        <family val="2"/>
      </rPr>
      <t xml:space="preserve"> </t>
    </r>
  </si>
  <si>
    <r>
      <t>Grid floor  Area 7.75 mm x8 mm =68  m</t>
    </r>
    <r>
      <rPr>
        <vertAlign val="superscript"/>
        <sz val="14"/>
        <rFont val="Arial"/>
        <family val="2"/>
      </rPr>
      <t>2</t>
    </r>
  </si>
  <si>
    <r>
      <t>Grid clear size 0.98 x1.01=0.99 m</t>
    </r>
    <r>
      <rPr>
        <vertAlign val="superscript"/>
        <sz val="14"/>
        <rFont val="Arial"/>
        <family val="2"/>
      </rPr>
      <t xml:space="preserve">2 </t>
    </r>
  </si>
  <si>
    <r>
      <t>Centering for floor slab Area
7.75 mm x8 mm =68  m</t>
    </r>
    <r>
      <rPr>
        <vertAlign val="superscript"/>
        <sz val="14"/>
        <rFont val="Arial"/>
        <family val="2"/>
      </rPr>
      <t>2</t>
    </r>
  </si>
  <si>
    <r>
      <t>Total Centering area                              73.14+48.50 = 121.64 m</t>
    </r>
    <r>
      <rPr>
        <vertAlign val="superscript"/>
        <sz val="14"/>
        <rFont val="Arial"/>
        <family val="2"/>
      </rPr>
      <t xml:space="preserve">2 </t>
    </r>
  </si>
  <si>
    <r>
      <t>m</t>
    </r>
    <r>
      <rPr>
        <vertAlign val="superscript"/>
        <sz val="14"/>
        <rFont val="Arial"/>
        <family val="2"/>
      </rPr>
      <t xml:space="preserve">2 </t>
    </r>
  </si>
  <si>
    <r>
      <t>m</t>
    </r>
    <r>
      <rPr>
        <vertAlign val="superscript"/>
        <sz val="14"/>
        <rFont val="Arial"/>
        <family val="2"/>
      </rPr>
      <t>2</t>
    </r>
  </si>
  <si>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</si>
  <si>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</si>
  <si>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</si>
  <si>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</si>
  <si>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</si>
  <si>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</si>
  <si>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</si>
  <si>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</si>
  <si>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</si>
  <si>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</si>
  <si>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</si>
  <si>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</si>
  <si>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</si>
  <si>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</si>
  <si>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</si>
  <si>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</si>
  <si>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</si>
  <si>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</si>
  <si>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</si>
  <si>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</si>
  <si>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</si>
  <si>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</si>
  <si>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</si>
  <si>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</si>
  <si>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</si>
  <si>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</si>
  <si>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</si>
  <si>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</si>
  <si>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</si>
  <si>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</si>
  <si>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</si>
  <si>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</si>
  <si>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</si>
  <si>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</si>
  <si>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Glass 5.5mm thick</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</si>
  <si>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</si>
  <si>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</si>
  <si>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</si>
  <si>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</si>
  <si>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</si>
  <si>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</si>
  <si>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</si>
  <si>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</si>
  <si>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</si>
  <si>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</si>
  <si>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</si>
  <si>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</si>
  <si>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</si>
  <si>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</si>
  <si>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</si>
  <si>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</si>
  <si>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</si>
  <si>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</si>
  <si>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</si>
  <si>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</si>
  <si>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</si>
  <si>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</si>
  <si>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</si>
  <si>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</si>
  <si>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</si>
  <si>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</si>
  <si>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</si>
  <si>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</si>
  <si>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</si>
  <si>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</si>
  <si>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</si>
  <si>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</si>
  <si>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</si>
  <si>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</si>
  <si>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</si>
  <si>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</si>
  <si>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</si>
  <si>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</si>
  <si>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</si>
  <si>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</si>
  <si>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</si>
  <si>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</si>
  <si>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</si>
  <si>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</si>
  <si>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</si>
  <si>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</si>
  <si>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</si>
  <si>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</si>
  <si>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</si>
  <si>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</si>
  <si>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</si>
  <si>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</si>
  <si>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</si>
  <si>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</si>
  <si>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</si>
  <si>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</si>
  <si>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</si>
  <si>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</si>
  <si>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</si>
  <si>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</si>
  <si>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</si>
  <si>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</si>
  <si>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</si>
  <si>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</si>
  <si>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</si>
  <si>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</si>
  <si>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</si>
  <si>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</si>
  <si>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</si>
  <si>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</si>
  <si>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</si>
  <si>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</si>
  <si>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</si>
  <si>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</si>
  <si>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</si>
  <si>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</si>
  <si>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</si>
  <si>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</si>
  <si>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</si>
  <si>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</si>
  <si>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</si>
  <si>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</si>
  <si>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</si>
  <si>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</si>
  <si>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</si>
  <si>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</si>
  <si>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</si>
  <si>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</si>
  <si>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</si>
  <si>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</si>
  <si>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</si>
  <si>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</si>
  <si>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</si>
  <si>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</si>
  <si>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</si>
  <si>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</si>
  <si>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</si>
  <si>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</si>
  <si>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</si>
  <si>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</si>
  <si>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</si>
  <si>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</si>
  <si>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</si>
  <si>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</si>
  <si>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</si>
  <si>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</si>
  <si>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</si>
  <si>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</si>
  <si>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</si>
  <si>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</si>
  <si>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</si>
  <si>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</si>
  <si>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</si>
  <si>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</si>
  <si>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</si>
  <si>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</si>
  <si>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</si>
  <si>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</si>
  <si>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</si>
  <si>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</si>
  <si>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</si>
  <si>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</si>
  <si>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</si>
  <si>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</si>
  <si>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</si>
  <si>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</si>
  <si>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</si>
  <si>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</si>
  <si>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</si>
  <si>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</si>
  <si>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</si>
  <si>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</si>
  <si>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</si>
  <si>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</si>
  <si>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</si>
  <si>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</si>
  <si>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</si>
  <si>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</si>
  <si>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</si>
  <si>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</si>
  <si>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</si>
  <si>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</si>
  <si>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</si>
  <si>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</si>
  <si>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</si>
  <si>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</si>
  <si>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</si>
  <si>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</si>
  <si>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</si>
  <si>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</si>
  <si>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</si>
  <si>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</si>
  <si>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</si>
  <si>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</si>
  <si>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</si>
  <si>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</si>
  <si>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</si>
  <si>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</si>
  <si>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</si>
  <si>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</si>
  <si>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</si>
  <si>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</si>
  <si>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</si>
  <si>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</si>
  <si>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</si>
  <si>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</si>
  <si>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</si>
  <si>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</si>
  <si>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</si>
  <si>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</si>
  <si>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</si>
  <si>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</si>
  <si>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</si>
  <si>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</si>
  <si>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</si>
  <si>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</si>
  <si>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</si>
  <si>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</si>
  <si>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</si>
  <si>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</si>
  <si>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</si>
  <si>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</si>
  <si>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</si>
  <si>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</si>
  <si>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</si>
  <si>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</si>
  <si>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</si>
  <si>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</si>
  <si>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</si>
  <si>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</si>
  <si>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</si>
  <si>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</si>
  <si>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</si>
  <si>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</si>
  <si>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</si>
  <si>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</si>
  <si>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</si>
  <si>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</si>
  <si>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</si>
  <si>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</si>
  <si>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</si>
  <si>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</si>
  <si>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</si>
  <si>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</si>
  <si>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</si>
  <si>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</si>
  <si>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</si>
  <si>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</si>
  <si>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</si>
  <si>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</si>
  <si>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</si>
  <si>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</si>
  <si>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</si>
  <si>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</si>
  <si>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</si>
  <si>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</si>
  <si>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</si>
  <si>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</si>
  <si>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</si>
  <si>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</si>
  <si>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</si>
  <si>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</si>
  <si>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</si>
  <si>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</si>
  <si>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</si>
  <si>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</si>
  <si>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</si>
  <si>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</si>
  <si>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</si>
  <si>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</si>
  <si>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</si>
  <si>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</si>
  <si>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</si>
  <si>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</si>
  <si>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</si>
  <si>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</si>
  <si>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</si>
  <si>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</si>
  <si>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</si>
  <si>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</si>
  <si>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</si>
  <si>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</si>
  <si>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</si>
  <si>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</si>
  <si>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</si>
  <si>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</si>
  <si>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</si>
  <si>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</si>
  <si>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</si>
  <si>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</si>
  <si>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</si>
  <si>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</si>
  <si>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</si>
  <si>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</si>
  <si>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</si>
  <si>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</si>
  <si>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</si>
  <si>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</si>
  <si>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</si>
  <si>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</si>
  <si>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</si>
  <si>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</si>
  <si>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</si>
  <si>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</si>
  <si>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</si>
  <si>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</si>
  <si>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</si>
  <si>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</si>
  <si>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</si>
  <si>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</si>
  <si>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r>
      <t>Total for 62m</t>
    </r>
    <r>
      <rPr>
        <vertAlign val="superscript"/>
        <sz val="14"/>
        <rFont val="Arial"/>
        <family val="2"/>
      </rPr>
      <t>2</t>
    </r>
  </si>
  <si>
    <r>
      <t>Rate for 1m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</si>
  <si>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</si>
  <si>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 xml:space="preserve">st </t>
    </r>
    <r>
      <rPr>
        <sz val="14"/>
        <rFont val="Arial"/>
        <family val="2"/>
      </rPr>
      <t>class</t>
    </r>
  </si>
  <si>
    <r>
      <t xml:space="preserve">Fitter II </t>
    </r>
    <r>
      <rPr>
        <vertAlign val="superscript"/>
        <sz val="14"/>
        <rFont val="Arial"/>
        <family val="2"/>
      </rPr>
      <t>nd</t>
    </r>
    <r>
      <rPr>
        <sz val="14"/>
        <rFont val="Arial"/>
        <family val="2"/>
      </rPr>
      <t xml:space="preserve"> class</t>
    </r>
  </si>
  <si>
    <r>
      <t>Rate per 1 m</t>
    </r>
    <r>
      <rPr>
        <vertAlign val="superscript"/>
        <sz val="14"/>
        <rFont val="Arial"/>
        <family val="2"/>
      </rPr>
      <t>2</t>
    </r>
  </si>
  <si>
    <r>
      <t>Carpenter I</t>
    </r>
    <r>
      <rPr>
        <vertAlign val="superscript"/>
        <sz val="14"/>
        <rFont val="Arial"/>
        <family val="2"/>
      </rPr>
      <t>st</t>
    </r>
    <r>
      <rPr>
        <sz val="14"/>
        <rFont val="Arial"/>
        <family val="2"/>
      </rPr>
      <t xml:space="preserve"> Class</t>
    </r>
  </si>
  <si>
    <r>
      <t xml:space="preserve">Mazdoor I </t>
    </r>
    <r>
      <rPr>
        <vertAlign val="superscript"/>
        <sz val="14"/>
        <rFont val="Arial"/>
        <family val="2"/>
      </rPr>
      <t>st</t>
    </r>
    <r>
      <rPr>
        <sz val="14"/>
        <rFont val="Arial"/>
        <family val="2"/>
      </rPr>
      <t xml:space="preserve"> Class</t>
    </r>
  </si>
  <si>
    <r>
      <t>Rate for 10 m</t>
    </r>
    <r>
      <rPr>
        <vertAlign val="superscript"/>
        <sz val="14"/>
        <rFont val="Arial"/>
        <family val="2"/>
      </rPr>
      <t>2</t>
    </r>
  </si>
  <si>
    <r>
      <t xml:space="preserve">Rate for 1m </t>
    </r>
    <r>
      <rPr>
        <vertAlign val="superscript"/>
        <sz val="14"/>
        <rFont val="Arial"/>
        <family val="2"/>
      </rPr>
      <t>2</t>
    </r>
  </si>
  <si>
    <r>
      <t xml:space="preserve">Slabs of 50mm thick </t>
    </r>
    <r>
      <rPr>
        <b/>
        <sz val="12"/>
        <rFont val="Helv"/>
      </rPr>
      <t xml:space="preserve">(precast slab 50mm Thick) Precast Pavement Fibre mixed concrete slab </t>
    </r>
  </si>
  <si>
    <r>
      <t>PCC Slab = 500 x 0.28 x 0.28   =  39.20 m</t>
    </r>
    <r>
      <rPr>
        <vertAlign val="superscript"/>
        <sz val="12"/>
        <rFont val="Helv"/>
      </rPr>
      <t>2</t>
    </r>
  </si>
  <si>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</si>
  <si>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</si>
  <si>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</si>
  <si>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</si>
  <si>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</si>
  <si>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</si>
  <si>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</si>
  <si>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</si>
  <si>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</si>
  <si>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</si>
  <si>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</si>
  <si>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</si>
  <si>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</si>
  <si>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</si>
  <si>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</si>
  <si>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</si>
  <si>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</si>
  <si>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</si>
  <si>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</si>
  <si>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</si>
  <si>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</si>
  <si>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</si>
  <si>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</si>
  <si>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</si>
  <si>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</si>
  <si>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</si>
  <si>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</si>
  <si>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</si>
  <si>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</si>
  <si>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</si>
  <si>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</si>
  <si>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</si>
  <si>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</si>
  <si>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</si>
  <si>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</si>
  <si>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</si>
  <si>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</si>
  <si>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</si>
  <si>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</si>
  <si>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</si>
  <si>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</si>
  <si>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</si>
  <si>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</si>
  <si>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</si>
  <si>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</si>
  <si>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</si>
  <si>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</si>
  <si>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</si>
  <si>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</si>
  <si>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</si>
  <si>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</si>
  <si>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</si>
  <si>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</si>
  <si>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</si>
  <si>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</si>
  <si>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</si>
  <si>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</si>
  <si>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</si>
  <si>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</si>
  <si>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</si>
  <si>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</si>
  <si>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</si>
  <si>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</si>
  <si>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</si>
  <si>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</si>
  <si>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</si>
  <si>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</si>
  <si>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</si>
  <si>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</si>
  <si>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</si>
  <si>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</si>
  <si>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</si>
  <si>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</si>
  <si>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</si>
  <si>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</si>
  <si>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</si>
  <si>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</si>
  <si>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</si>
  <si>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</si>
  <si>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</si>
  <si>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</si>
  <si>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</si>
  <si>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</si>
  <si>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</si>
  <si>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</si>
  <si>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</si>
  <si>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</si>
  <si>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</si>
  <si>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</si>
  <si>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</si>
  <si>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</si>
  <si>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</si>
  <si>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</si>
  <si>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</si>
  <si>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</si>
  <si>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</si>
  <si>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</si>
  <si>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</si>
  <si>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</si>
  <si>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</si>
  <si>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FOR ADMINISTRATIVE BLOCKS AND COMMUNITY CENTRE controlled by 5 amps flush type switch including citcuit mains, cost of all materials, specials, etc., all complete,</t>
    </r>
    <r>
      <rPr>
        <b/>
        <sz val="12"/>
        <rFont val="Helv"/>
      </rPr>
      <t>(Open wiring)</t>
    </r>
  </si>
  <si>
    <r>
      <t>Mason II</t>
    </r>
    <r>
      <rPr>
        <vertAlign val="superscript"/>
        <sz val="12"/>
        <rFont val="Helv"/>
      </rPr>
      <t>nd</t>
    </r>
    <r>
      <rPr>
        <sz val="12"/>
        <rFont val="Helv"/>
      </rPr>
      <t xml:space="preserve"> class</t>
    </r>
  </si>
  <si>
    <r>
      <t xml:space="preserve">LIGHT POINT WITH CEILING ROSE FOR ADMINISTRATIVE BLOCKS AND COMMUNITY CENTRE </t>
    </r>
    <r>
      <rPr>
        <b/>
        <sz val="14"/>
        <rFont val="Helv"/>
      </rPr>
      <t>Open wiring</t>
    </r>
  </si>
  <si>
    <r>
      <t>A 300x200x75 mm=0.135m</t>
    </r>
    <r>
      <rPr>
        <vertAlign val="superscript"/>
        <sz val="12"/>
        <rFont val="Helv"/>
      </rPr>
      <t>2</t>
    </r>
  </si>
  <si>
    <r>
      <t xml:space="preserve">Supplying and fixing of </t>
    </r>
    <r>
      <rPr>
        <b/>
        <sz val="12"/>
        <rFont val="Helv"/>
      </rPr>
      <t>15 Amps 3 pin flush type plug</t>
    </r>
    <r>
      <rPr>
        <sz val="12"/>
        <rFont val="Helv"/>
      </rPr>
      <t xml:space="preserve"> socket on suitable MS box of 16g thick concealed and covered with 3 mm thick laminated hylem sheet inclusive of all materials, etc., all complete.</t>
    </r>
  </si>
  <si>
    <r>
      <t xml:space="preserve">Supplying and fixing of 32 amps triple pole main switch with fuse and neutral link </t>
    </r>
    <r>
      <rPr>
        <sz val="12"/>
        <rFont val="Helv"/>
      </rPr>
      <t>o</t>
    </r>
    <r>
      <rPr>
        <sz val="12"/>
        <rFont val="Helv"/>
      </rPr>
      <t>n a suitable well varnished teak wood board including necessary interconnection and earth connection cost of all materials, etc., all complete.</t>
    </r>
  </si>
  <si>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</si>
  <si>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</si>
  <si>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</si>
  <si>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</si>
  <si>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</si>
  <si>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</si>
  <si>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</si>
  <si>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</si>
  <si>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</si>
  <si>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</si>
  <si>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</si>
  <si>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</si>
  <si>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</si>
  <si>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</si>
  <si>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</si>
  <si>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</si>
  <si>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</si>
  <si>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</si>
  <si>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</si>
  <si>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</si>
  <si>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</si>
  <si>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</si>
  <si>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</si>
  <si>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</si>
  <si>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</si>
  <si>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</si>
  <si>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</si>
  <si>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</si>
  <si>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</si>
  <si>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</si>
  <si>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</si>
  <si>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</si>
  <si>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</si>
  <si>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</si>
  <si>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</si>
  <si>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</si>
  <si>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</si>
  <si>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</si>
  <si>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</si>
  <si>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</si>
  <si>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</si>
  <si>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</si>
  <si>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</si>
  <si>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</si>
  <si>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</si>
  <si>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</si>
  <si>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</si>
  <si>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</si>
  <si>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</si>
  <si>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</si>
  <si>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</si>
  <si>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</si>
  <si>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</si>
  <si>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whitewashing two coat for old wall</t>
  </si>
  <si>
    <t>painting one coat for old iron work</t>
  </si>
  <si>
    <t>painting one coat for old wood work</t>
  </si>
  <si>
    <t>painting two coat for old iron work</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</si>
  <si>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</si>
  <si>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</si>
  <si>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</si>
  <si>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</si>
  <si>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</si>
  <si>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</si>
  <si>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</si>
  <si>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</si>
  <si>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</si>
  <si>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</si>
  <si>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</si>
  <si>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</si>
  <si>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</si>
  <si>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</si>
  <si>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</si>
  <si>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</si>
  <si>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</si>
  <si>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</si>
  <si>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</si>
  <si>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</si>
  <si>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</si>
  <si>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</si>
  <si>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</si>
  <si>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</si>
  <si>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</si>
  <si>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</si>
  <si>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</si>
  <si>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</si>
  <si>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</si>
  <si>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</si>
  <si>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</si>
  <si>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</si>
  <si>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</si>
  <si>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</si>
  <si>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</si>
  <si>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</si>
  <si>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</si>
  <si>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</si>
  <si>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</si>
  <si>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</si>
  <si>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</si>
  <si>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</si>
  <si>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</si>
  <si>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</si>
  <si>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</si>
  <si>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</si>
  <si>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</si>
  <si>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</si>
  <si>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</si>
  <si>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</si>
  <si>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</si>
  <si>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</si>
  <si>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</si>
  <si>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</si>
  <si>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</si>
  <si>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</si>
  <si>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</si>
  <si>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</si>
  <si>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</si>
  <si>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</si>
  <si>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</si>
  <si>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</si>
  <si>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</si>
  <si>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</si>
  <si>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</si>
  <si>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</si>
  <si>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</si>
  <si>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</si>
  <si>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</si>
  <si>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</si>
  <si>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</si>
  <si>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</si>
  <si>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</si>
  <si>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</si>
  <si>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</si>
  <si>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</si>
  <si>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</si>
  <si>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</si>
  <si>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</si>
  <si>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</si>
  <si>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</si>
  <si>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</si>
  <si>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</si>
  <si>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</si>
  <si>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</si>
  <si>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</si>
  <si>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</si>
  <si>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</si>
  <si>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</si>
  <si>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</si>
  <si>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</si>
  <si>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</si>
  <si>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</si>
  <si>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</si>
  <si>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</si>
  <si>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</si>
  <si>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</si>
  <si>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</si>
  <si>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</si>
  <si>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</si>
  <si>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</si>
  <si>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</si>
  <si>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</si>
  <si>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</si>
  <si>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</si>
  <si>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</si>
  <si>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</si>
  <si>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</si>
  <si>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</si>
  <si>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</si>
  <si>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</si>
  <si>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</si>
  <si>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</si>
  <si>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</si>
  <si>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</si>
  <si>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</si>
  <si>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</si>
  <si>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</si>
  <si>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</si>
  <si>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</si>
  <si>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</si>
  <si>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</si>
  <si>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</si>
  <si>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</si>
  <si>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</si>
  <si>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</si>
  <si>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</si>
  <si>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</si>
  <si>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</si>
  <si>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</si>
  <si>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</si>
  <si>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</si>
  <si>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</si>
  <si>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</si>
  <si>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</si>
  <si>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</si>
  <si>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</si>
  <si>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</si>
  <si>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</si>
  <si>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</si>
  <si>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</si>
  <si>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</si>
  <si>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</si>
  <si>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</si>
  <si>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</si>
  <si>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</si>
  <si>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</si>
  <si>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</si>
  <si>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</si>
  <si>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</si>
  <si>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</si>
  <si>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</si>
  <si>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</si>
  <si>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</si>
  <si>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</si>
  <si>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</si>
  <si>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</si>
  <si>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</si>
  <si>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</si>
  <si>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</si>
  <si>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</si>
  <si>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</si>
  <si>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</si>
  <si>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</si>
  <si>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</si>
  <si>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r>
      <t>39.20 x 0.05                                      =1.96m</t>
    </r>
    <r>
      <rPr>
        <vertAlign val="superscript"/>
        <sz val="12"/>
        <rFont val="Helv"/>
      </rPr>
      <t>2</t>
    </r>
  </si>
  <si>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</si>
  <si>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</si>
  <si>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</si>
  <si>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</si>
  <si>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</si>
  <si>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</si>
  <si>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</si>
  <si>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</si>
  <si>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</si>
  <si>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</si>
  <si>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</si>
  <si>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</si>
  <si>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</si>
  <si>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</si>
  <si>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</si>
  <si>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</si>
  <si>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</si>
  <si>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</si>
  <si>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</si>
  <si>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</si>
  <si>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</si>
  <si>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</si>
  <si>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</si>
  <si>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</si>
  <si>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</si>
  <si>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</si>
  <si>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</si>
  <si>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</si>
  <si>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</si>
  <si>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</si>
  <si>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</si>
  <si>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</si>
  <si>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</si>
  <si>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</si>
  <si>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</si>
  <si>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</si>
  <si>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</si>
  <si>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</si>
  <si>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</si>
  <si>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</si>
  <si>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</si>
  <si>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</si>
  <si>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</si>
  <si>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</si>
  <si>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</si>
  <si>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</si>
  <si>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</si>
  <si>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</si>
  <si>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</si>
  <si>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</si>
  <si>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</si>
  <si>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</si>
  <si>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</si>
  <si>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</si>
  <si>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</si>
  <si>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</si>
  <si>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</si>
  <si>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</si>
  <si>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</si>
  <si>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</si>
  <si>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</si>
  <si>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</si>
  <si>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</si>
  <si>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</si>
  <si>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</si>
  <si>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</si>
  <si>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</si>
  <si>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</si>
  <si>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</si>
  <si>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</si>
  <si>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</si>
  <si>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</si>
  <si>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</si>
  <si>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</si>
  <si>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</si>
  <si>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</si>
  <si>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</si>
  <si>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</si>
  <si>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</si>
  <si>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</si>
  <si>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</si>
  <si>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</si>
  <si>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</si>
  <si>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</si>
  <si>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</si>
  <si>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</si>
  <si>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</si>
  <si>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</si>
  <si>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</si>
  <si>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</si>
  <si>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</si>
  <si>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</si>
  <si>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</si>
  <si>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</si>
  <si>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</si>
  <si>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</si>
  <si>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</si>
  <si>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</si>
  <si>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</si>
  <si>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</si>
  <si>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</si>
  <si>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</si>
  <si>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</si>
  <si>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</si>
  <si>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</si>
  <si>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</si>
  <si>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</si>
  <si>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</si>
  <si>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</si>
  <si>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</si>
  <si>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</si>
  <si>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</si>
  <si>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</si>
  <si>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</si>
  <si>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</si>
  <si>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</si>
  <si>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</si>
  <si>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</si>
  <si>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</si>
  <si>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</si>
  <si>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</si>
  <si>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</si>
  <si>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</si>
  <si>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</si>
  <si>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</si>
  <si>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</si>
  <si>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</si>
  <si>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</si>
  <si>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</si>
  <si>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</si>
  <si>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</si>
  <si>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</si>
  <si>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</si>
  <si>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</si>
  <si>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</si>
  <si>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</si>
  <si>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</si>
  <si>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</si>
  <si>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</si>
  <si>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</si>
  <si>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</si>
  <si>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</si>
  <si>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</si>
  <si>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</si>
  <si>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</si>
  <si>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</si>
  <si>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</si>
  <si>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</si>
  <si>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</si>
  <si>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</si>
  <si>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</si>
  <si>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</si>
  <si>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</si>
  <si>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</si>
  <si>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</si>
  <si>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</si>
  <si>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</si>
  <si>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</si>
  <si>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</si>
  <si>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</si>
  <si>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</si>
  <si>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</si>
  <si>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</si>
  <si>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</si>
  <si>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</si>
  <si>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</si>
  <si>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</si>
  <si>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</si>
  <si>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</si>
  <si>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</si>
  <si>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</si>
  <si>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</si>
  <si>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</si>
  <si>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</si>
  <si>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</si>
  <si>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</si>
  <si>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</si>
  <si>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</si>
  <si>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</si>
  <si>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</si>
  <si>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</si>
  <si>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</si>
  <si>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</si>
  <si>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</si>
  <si>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</si>
  <si>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</si>
  <si>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</si>
  <si>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</si>
  <si>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</si>
  <si>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</si>
  <si>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</si>
  <si>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</si>
  <si>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</si>
  <si>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</si>
  <si>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</si>
  <si>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</si>
  <si>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</si>
  <si>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</si>
  <si>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</si>
  <si>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</si>
  <si>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</si>
  <si>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</si>
  <si>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</si>
  <si>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</si>
  <si>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</si>
  <si>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</si>
  <si>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</si>
  <si>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</si>
  <si>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</si>
  <si>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</si>
  <si>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</si>
  <si>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</si>
  <si>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</si>
  <si>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</si>
  <si>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</si>
  <si>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</si>
  <si>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</si>
  <si>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</si>
  <si>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</si>
  <si>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</si>
  <si>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</si>
  <si>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</si>
  <si>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</si>
  <si>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</si>
  <si>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</si>
  <si>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</si>
  <si>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</si>
  <si>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</si>
  <si>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</si>
  <si>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</si>
  <si>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</si>
  <si>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</si>
  <si>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</si>
  <si>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</si>
  <si>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</si>
  <si>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</si>
  <si>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</si>
  <si>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</si>
  <si>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</si>
  <si>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</si>
  <si>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</si>
  <si>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</si>
  <si>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</si>
  <si>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</si>
  <si>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</si>
  <si>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</si>
  <si>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</si>
  <si>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</si>
  <si>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</si>
  <si>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</si>
  <si>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</si>
  <si>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</si>
  <si>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</si>
  <si>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</si>
  <si>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</si>
  <si>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</si>
  <si>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</si>
  <si>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</si>
  <si>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</si>
  <si>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</si>
  <si>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</si>
  <si>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</si>
  <si>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</si>
  <si>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</si>
  <si>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</si>
  <si>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</si>
  <si>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</si>
  <si>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</si>
  <si>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</si>
  <si>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</si>
  <si>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</si>
  <si>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</si>
  <si>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</si>
  <si>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</si>
  <si>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</si>
  <si>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</si>
  <si>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</si>
  <si>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</si>
  <si>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</si>
  <si>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</si>
  <si>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</si>
  <si>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</si>
  <si>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</si>
  <si>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</si>
  <si>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</si>
  <si>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</si>
  <si>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</si>
  <si>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</si>
  <si>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</si>
  <si>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</si>
  <si>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</si>
  <si>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</si>
  <si>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</si>
  <si>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</si>
  <si>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</si>
  <si>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</si>
  <si>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</si>
  <si>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</si>
  <si>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</si>
  <si>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</si>
  <si>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</si>
  <si>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</si>
  <si>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</si>
  <si>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</si>
  <si>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</si>
  <si>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</si>
  <si>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</si>
  <si>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</si>
  <si>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</si>
  <si>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</si>
  <si>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</si>
  <si>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</si>
  <si>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</si>
  <si>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</si>
  <si>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</si>
  <si>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</si>
  <si>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</si>
  <si>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</si>
  <si>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</si>
  <si>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</si>
  <si>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</si>
  <si>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</si>
  <si>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</si>
  <si>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</si>
  <si>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</si>
  <si>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</si>
  <si>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</si>
  <si>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</si>
  <si>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</si>
  <si>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</si>
  <si>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</si>
  <si>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</si>
  <si>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r>
      <t xml:space="preserve">Supplying and fixing </t>
    </r>
    <r>
      <rPr>
        <b/>
        <sz val="12"/>
        <rFont val="Helv"/>
      </rPr>
      <t xml:space="preserve">1 No of 450 x 375 x 20 m   thick TW plank </t>
    </r>
    <r>
      <rPr>
        <sz val="12"/>
        <rFont val="Helv"/>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</si>
  <si>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Helv"/>
      </rPr>
      <t>1/2</t>
    </r>
    <r>
      <rPr>
        <sz val="12"/>
        <rFont val="Helv"/>
      </rPr>
      <t>/4 core</t>
    </r>
  </si>
  <si>
    <r>
      <t xml:space="preserve">Supplying and concealing </t>
    </r>
    <r>
      <rPr>
        <b/>
        <sz val="12"/>
        <rFont val="Helv"/>
      </rPr>
      <t>TV/Telephone socket</t>
    </r>
    <r>
      <rPr>
        <sz val="12"/>
        <rFont val="Helv"/>
      </rPr>
      <t xml:space="preserve"> with top pin with suitable TW box fully concealed and covered with 3 mm thick Hylem sheet etc., all complete.</t>
    </r>
  </si>
  <si>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</si>
  <si>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</si>
  <si>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</si>
  <si>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</si>
  <si>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</si>
  <si>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</si>
  <si>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</si>
  <si>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</si>
  <si>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</si>
  <si>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</si>
  <si>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</si>
  <si>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</si>
  <si>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</si>
  <si>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</si>
  <si>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</si>
  <si>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</si>
  <si>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</si>
  <si>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</si>
  <si>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</si>
  <si>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</si>
  <si>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</si>
  <si>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</si>
  <si>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</si>
  <si>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</si>
  <si>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</si>
  <si>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</si>
  <si>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</si>
  <si>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</si>
  <si>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</si>
  <si>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</si>
  <si>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</si>
  <si>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</si>
  <si>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</si>
  <si>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</si>
  <si>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</si>
  <si>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</si>
  <si>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</si>
  <si>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</si>
  <si>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</si>
  <si>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</si>
  <si>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</si>
  <si>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</si>
  <si>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</si>
  <si>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</si>
  <si>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</si>
  <si>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</si>
  <si>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</si>
  <si>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</si>
  <si>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</si>
  <si>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</si>
  <si>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</si>
  <si>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</si>
  <si>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</si>
  <si>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</si>
  <si>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</si>
  <si>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</si>
  <si>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</si>
  <si>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</si>
  <si>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</si>
  <si>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</si>
  <si>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</si>
  <si>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</si>
  <si>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</si>
  <si>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</si>
  <si>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</si>
  <si>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</si>
  <si>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</si>
  <si>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</si>
  <si>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</si>
  <si>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</si>
  <si>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</si>
  <si>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</si>
  <si>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</si>
  <si>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</si>
  <si>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</si>
  <si>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</si>
  <si>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</si>
  <si>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</si>
  <si>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</si>
  <si>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</si>
  <si>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</si>
  <si>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</si>
  <si>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</si>
  <si>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</si>
  <si>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</si>
  <si>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</si>
  <si>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</si>
  <si>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</si>
  <si>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</si>
  <si>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</si>
  <si>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</si>
  <si>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</si>
  <si>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</si>
  <si>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</si>
  <si>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</si>
  <si>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</si>
  <si>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</si>
  <si>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</si>
  <si>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</si>
  <si>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</si>
  <si>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</si>
  <si>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</si>
  <si>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</si>
  <si>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</si>
  <si>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</si>
  <si>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</si>
  <si>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</si>
  <si>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</si>
  <si>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</si>
  <si>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</si>
  <si>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</si>
  <si>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</si>
  <si>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</si>
  <si>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</si>
  <si>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</si>
  <si>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</si>
  <si>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</si>
  <si>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</si>
  <si>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</si>
  <si>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</si>
  <si>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</si>
  <si>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</si>
  <si>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</si>
  <si>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</si>
  <si>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</si>
  <si>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</si>
  <si>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</si>
  <si>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</si>
  <si>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</si>
  <si>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</si>
  <si>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</si>
  <si>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</si>
  <si>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</si>
  <si>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</si>
  <si>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</si>
  <si>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</si>
  <si>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</si>
  <si>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</si>
  <si>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</si>
  <si>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</si>
  <si>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</si>
  <si>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</si>
  <si>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</si>
  <si>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</si>
  <si>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</si>
  <si>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</si>
  <si>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</si>
  <si>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</si>
  <si>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</si>
  <si>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</si>
  <si>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</si>
  <si>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</si>
  <si>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</si>
  <si>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</si>
  <si>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</si>
  <si>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</si>
  <si>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</si>
  <si>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</si>
  <si>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</si>
  <si>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</si>
  <si>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</si>
  <si>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</si>
  <si>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</si>
  <si>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</si>
  <si>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</si>
  <si>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</si>
  <si>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</si>
  <si>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</si>
  <si>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</si>
  <si>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</si>
  <si>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</si>
  <si>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</si>
  <si>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</si>
  <si>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</si>
  <si>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</si>
  <si>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</si>
  <si>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</si>
  <si>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</si>
  <si>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</si>
  <si>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</si>
  <si>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</si>
  <si>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</si>
  <si>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</si>
  <si>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</si>
  <si>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</si>
  <si>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</si>
  <si>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</si>
  <si>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</si>
  <si>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</si>
  <si>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</si>
  <si>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</si>
  <si>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</si>
  <si>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</si>
  <si>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</si>
  <si>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</si>
  <si>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</si>
  <si>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</si>
  <si>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</si>
  <si>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</si>
  <si>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</si>
  <si>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</si>
  <si>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</si>
  <si>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</si>
  <si>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</si>
  <si>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</si>
  <si>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</si>
  <si>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</si>
  <si>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</si>
  <si>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</si>
  <si>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</si>
  <si>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</si>
  <si>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</si>
  <si>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</si>
  <si>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</si>
  <si>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</si>
  <si>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</si>
  <si>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</si>
  <si>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</si>
  <si>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</si>
  <si>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</si>
  <si>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</si>
  <si>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</si>
  <si>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</si>
  <si>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</si>
  <si>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</si>
  <si>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</si>
  <si>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</si>
  <si>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</si>
  <si>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</si>
  <si>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</si>
  <si>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</si>
  <si>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</si>
  <si>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</si>
  <si>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Supply and fixing of colour wash basin oval shape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</si>
  <si>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</si>
  <si>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</si>
  <si>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</si>
  <si>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</si>
  <si>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</si>
  <si>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</si>
  <si>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</si>
  <si>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</si>
  <si>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</si>
  <si>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</si>
  <si>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</si>
  <si>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</si>
  <si>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</si>
  <si>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</si>
  <si>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</si>
  <si>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</si>
  <si>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</si>
  <si>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</si>
  <si>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</si>
  <si>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</si>
  <si>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</si>
  <si>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</si>
  <si>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</si>
  <si>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</si>
  <si>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</si>
  <si>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</si>
  <si>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</si>
  <si>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</si>
  <si>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</si>
  <si>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</si>
  <si>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</si>
  <si>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</si>
  <si>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</si>
  <si>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</si>
  <si>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</si>
  <si>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</si>
  <si>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</si>
  <si>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 xml:space="preserve">brass DOOR HANDLE 150mm long </t>
  </si>
  <si>
    <t>5" Brass BUTT HINGS</t>
  </si>
  <si>
    <t xml:space="preserve"> 6"x1/2" Brass TOWER BOLT </t>
  </si>
  <si>
    <t>10"x5/8" Brass ALDROP</t>
  </si>
  <si>
    <t>Sundries for brass scruew</t>
  </si>
  <si>
    <t>For New Wood</t>
  </si>
  <si>
    <t>Contain a size 1.2x2.1 m</t>
  </si>
  <si>
    <t>Area of Polishing 1x1x2.25x1.2x2.1+5.67m2</t>
  </si>
  <si>
    <t>Wooden filter</t>
  </si>
  <si>
    <t>liter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</si>
  <si>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</si>
  <si>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</si>
  <si>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</si>
  <si>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</si>
  <si>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</si>
  <si>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</si>
  <si>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</si>
  <si>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</si>
  <si>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</si>
  <si>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</si>
  <si>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</si>
  <si>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</si>
  <si>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</si>
  <si>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</si>
  <si>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</si>
  <si>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</si>
  <si>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</si>
  <si>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</si>
  <si>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</si>
  <si>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Granite Tiles flooring in cm1:3,20mm thk sathali steel/ grey</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</si>
  <si>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</si>
  <si>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</si>
  <si>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</si>
  <si>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</si>
  <si>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</si>
  <si>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</si>
  <si>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</si>
  <si>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</si>
  <si>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</si>
  <si>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</si>
  <si>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</si>
  <si>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</si>
  <si>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</si>
  <si>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</si>
  <si>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</si>
  <si>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</si>
  <si>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</si>
  <si>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</si>
  <si>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</si>
  <si>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</si>
  <si>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</si>
  <si>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</si>
  <si>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</si>
  <si>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</si>
  <si>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</si>
  <si>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</si>
  <si>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</si>
  <si>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</si>
  <si>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</si>
  <si>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</si>
  <si>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</si>
  <si>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</si>
  <si>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</si>
  <si>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</si>
  <si>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</si>
  <si>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</si>
  <si>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</si>
  <si>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</si>
  <si>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</si>
  <si>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</si>
  <si>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</si>
  <si>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</si>
  <si>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</si>
  <si>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</si>
  <si>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</si>
  <si>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</si>
  <si>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</si>
  <si>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</si>
  <si>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</si>
  <si>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</si>
  <si>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 xml:space="preserve">Granite Tiles flooring in cm1:3,20mm thk </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</si>
  <si>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</si>
  <si>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</si>
  <si>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</si>
  <si>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</si>
  <si>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</si>
  <si>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</si>
  <si>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</si>
  <si>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</si>
  <si>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</si>
  <si>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</si>
  <si>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</si>
  <si>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</si>
  <si>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</si>
  <si>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</si>
  <si>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</si>
  <si>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</si>
  <si>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</si>
  <si>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</si>
  <si>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</si>
  <si>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</si>
  <si>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</si>
  <si>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</si>
  <si>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</si>
  <si>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</si>
  <si>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</si>
  <si>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</si>
  <si>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</si>
  <si>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</si>
  <si>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</si>
  <si>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</si>
  <si>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</si>
  <si>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</si>
  <si>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</si>
  <si>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</si>
  <si>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</si>
  <si>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</si>
  <si>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</si>
  <si>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</si>
  <si>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</si>
  <si>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n. In thirteen floor</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</si>
  <si>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</si>
  <si>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</si>
  <si>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</si>
  <si>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</si>
  <si>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</si>
  <si>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</si>
  <si>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</si>
  <si>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</si>
  <si>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</si>
  <si>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</si>
  <si>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</si>
  <si>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</si>
  <si>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</si>
  <si>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painting two coat for old wood work</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</si>
  <si>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</si>
  <si>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</si>
  <si>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</si>
  <si>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</si>
  <si>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</si>
  <si>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</si>
  <si>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</si>
  <si>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</si>
  <si>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</si>
  <si>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</si>
  <si>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</si>
  <si>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</si>
  <si>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</si>
  <si>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</si>
  <si>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</si>
  <si>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</si>
  <si>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</si>
  <si>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</si>
  <si>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TW Beeding 15 x12 mm</t>
  </si>
  <si>
    <t xml:space="preserve"> 200 mm long x12mm  ALU. TOWERBOLT (8")</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</si>
  <si>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</si>
  <si>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</si>
  <si>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</si>
  <si>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</si>
  <si>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</si>
  <si>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</si>
  <si>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</si>
  <si>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</si>
  <si>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</si>
  <si>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</si>
  <si>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</si>
  <si>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</si>
  <si>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</si>
  <si>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</si>
  <si>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</si>
  <si>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</si>
  <si>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</si>
  <si>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</si>
  <si>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</si>
  <si>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</si>
  <si>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</si>
  <si>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</si>
  <si>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</si>
  <si>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</si>
  <si>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</si>
  <si>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S &amp; F of Granite slab of size 4'x2', 18 to 20mm Thick For kitchen arrangements (jet black)</t>
  </si>
  <si>
    <t xml:space="preserve">Supply &amp; Fixing of MS ventilator of size 
( lockup)
</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</si>
  <si>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</si>
  <si>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</si>
  <si>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</si>
  <si>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</si>
  <si>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</si>
  <si>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</si>
  <si>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</si>
  <si>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</si>
  <si>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</si>
  <si>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</si>
  <si>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</si>
  <si>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</si>
  <si>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</si>
  <si>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r>
      <t xml:space="preserve">Charges for fixing single phase RCCB/ELCB ( to be supplied by the department at free of cost ) on fully concealed suitable </t>
    </r>
    <r>
      <rPr>
        <b/>
        <sz val="12"/>
        <rFont val="Helv"/>
      </rPr>
      <t>12" PVC Electrical Box (300mm)</t>
    </r>
    <r>
      <rPr>
        <sz val="12"/>
        <rFont val="Helv"/>
      </rPr>
      <t xml:space="preserve"> with a necessary inter connection and earth connections using copper cable including cost of all materials, re- doing the disturbed portion etc., all complete.</t>
    </r>
  </si>
  <si>
    <t>GI reducer 40x25mm</t>
  </si>
  <si>
    <t>6" PVC Electrical Box (150mm)</t>
  </si>
  <si>
    <t>Cuddappa slab 40 mm tk.for Sunshade.</t>
  </si>
  <si>
    <t>TW styles &amp; rails with 9mm thick BWR single leaf shutters  with brass screws size of 1000 x 2100 mm</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</si>
  <si>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</si>
  <si>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</si>
  <si>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</si>
  <si>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</si>
  <si>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</si>
  <si>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</si>
  <si>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</si>
  <si>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</si>
  <si>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</si>
  <si>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</si>
  <si>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</si>
  <si>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</si>
  <si>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</si>
  <si>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</si>
  <si>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</si>
  <si>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</si>
  <si>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</si>
  <si>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</si>
  <si>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</si>
  <si>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</si>
  <si>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</si>
  <si>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</si>
  <si>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</si>
  <si>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</si>
  <si>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</si>
  <si>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</si>
  <si>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</si>
  <si>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</si>
  <si>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</si>
  <si>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</si>
  <si>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</si>
  <si>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</si>
  <si>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</si>
  <si>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</si>
  <si>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</si>
  <si>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</si>
  <si>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</si>
  <si>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</si>
  <si>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</si>
  <si>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</si>
  <si>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</si>
  <si>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</si>
  <si>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</si>
  <si>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</si>
  <si>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</si>
  <si>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</si>
  <si>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</si>
  <si>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</si>
  <si>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COST OF Vertified TILES (p51, it-156)</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</si>
  <si>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</si>
  <si>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</si>
  <si>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</si>
  <si>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</si>
  <si>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</si>
  <si>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</si>
  <si>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</si>
  <si>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Supply and fixing in posistion of 6 rows of 10 guage GI barbed wire 20 guage</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</si>
  <si>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</si>
  <si>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</si>
  <si>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</si>
  <si>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</si>
  <si>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</si>
  <si>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</si>
  <si>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</si>
  <si>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</si>
  <si>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</si>
  <si>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</si>
  <si>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</si>
  <si>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</si>
  <si>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</si>
  <si>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</si>
  <si>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</si>
  <si>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</si>
  <si>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</si>
  <si>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</si>
  <si>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</si>
  <si>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</si>
  <si>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</si>
  <si>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</si>
  <si>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</si>
  <si>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</si>
  <si>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</si>
  <si>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</si>
  <si>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</si>
  <si>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</si>
  <si>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</si>
  <si>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</si>
  <si>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</si>
  <si>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</si>
  <si>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</si>
  <si>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</si>
  <si>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</si>
  <si>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</si>
  <si>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</si>
  <si>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</si>
  <si>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</si>
  <si>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</si>
  <si>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</si>
  <si>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</si>
  <si>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</si>
  <si>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</si>
  <si>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</si>
  <si>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</si>
  <si>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</si>
  <si>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</si>
  <si>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</si>
  <si>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</si>
  <si>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</si>
  <si>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</si>
  <si>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</si>
  <si>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</si>
  <si>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</si>
  <si>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</si>
  <si>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</si>
  <si>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</si>
  <si>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</si>
  <si>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</si>
  <si>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</si>
  <si>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</si>
  <si>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</si>
  <si>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</si>
  <si>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</si>
  <si>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</si>
  <si>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</si>
  <si>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</si>
  <si>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</si>
  <si>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</si>
  <si>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</si>
  <si>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Volume of Concrete = 3.14 /x *0.5 x 0.5  x 8  = 4.02 /4=  1.57 m3</t>
  </si>
  <si>
    <t>Setting of Bored cast-in-situ pile equipments with all accessories and tools at each of locations based on the 500 mm dia pile</t>
  </si>
  <si>
    <t>DATA</t>
  </si>
  <si>
    <t>TRICHY DIVISION</t>
  </si>
  <si>
    <t>TAMILNADU POLICE HOUSING CORPORATION LIMITED</t>
  </si>
  <si>
    <t>b. 160 mm UPVC Non Pressure  pipe</t>
  </si>
  <si>
    <t>Wiring with 1.5 sqmm PVC insulated single core multi strand fire retardant flexible copper cable with ISI mark confirming IS: 694:1990.( Ordinary)</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</si>
  <si>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</si>
  <si>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</si>
  <si>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</si>
  <si>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r>
      <t xml:space="preserve">R.C.C. 1:2:4 </t>
    </r>
    <r>
      <rPr>
        <sz val="18"/>
        <rFont val="Arial"/>
        <family val="2"/>
      </rPr>
      <t>Foundation and Basement</t>
    </r>
  </si>
  <si>
    <r>
      <t xml:space="preserve">R.C.C. 1: 11/2: 3 </t>
    </r>
    <r>
      <rPr>
        <sz val="18"/>
        <rFont val="Arial"/>
        <family val="2"/>
      </rPr>
      <t>Foundation and Basement</t>
    </r>
  </si>
  <si>
    <r>
      <t xml:space="preserve">Earth work excavation in all soils </t>
    </r>
    <r>
      <rPr>
        <b/>
        <sz val="18"/>
        <rFont val="Arial"/>
        <family val="2"/>
      </rPr>
      <t>(excluding refilling)</t>
    </r>
  </si>
  <si>
    <r>
      <t xml:space="preserve">Earth work excavation for Open foundation </t>
    </r>
    <r>
      <rPr>
        <b/>
        <sz val="18"/>
        <rFont val="Arial"/>
        <family val="2"/>
      </rPr>
      <t>(including refilling)</t>
    </r>
  </si>
  <si>
    <r>
      <t xml:space="preserve">Earth work excavation in </t>
    </r>
    <r>
      <rPr>
        <b/>
        <sz val="18"/>
        <rFont val="Arial"/>
        <family val="2"/>
      </rPr>
      <t>Soft disintegrated rock 
(Excluding refilling)</t>
    </r>
  </si>
  <si>
    <r>
      <t xml:space="preserve">Earth work excavation in </t>
    </r>
    <r>
      <rPr>
        <b/>
        <sz val="18"/>
        <rFont val="Arial"/>
        <family val="2"/>
      </rPr>
      <t>SDR for</t>
    </r>
    <r>
      <rPr>
        <sz val="18"/>
        <rFont val="Arial"/>
        <family val="2"/>
      </rPr>
      <t xml:space="preserve"> </t>
    </r>
    <r>
      <rPr>
        <b/>
        <sz val="18"/>
        <rFont val="Arial"/>
        <family val="2"/>
      </rPr>
      <t xml:space="preserve">Open foundation </t>
    </r>
    <r>
      <rPr>
        <sz val="18"/>
        <rFont val="Arial"/>
        <family val="2"/>
      </rPr>
      <t xml:space="preserve"> (excluding refilling)</t>
    </r>
  </si>
  <si>
    <r>
      <t>Brick work in C.M. 1:5 (F&amp; B)</t>
    </r>
    <r>
      <rPr>
        <sz val="18"/>
        <rFont val="Arial"/>
        <family val="2"/>
      </rPr>
      <t xml:space="preserve"> using Chamber Burnt brick of size 23 x 11.2 x 7 cm (9" x 4 3/8" x 2 3/4")</t>
    </r>
  </si>
  <si>
    <r>
      <t xml:space="preserve">Damp Proof Course </t>
    </r>
    <r>
      <rPr>
        <sz val="18"/>
        <rFont val="Arial"/>
        <family val="2"/>
      </rPr>
      <t>in C.M. 1:4, 12 MM thick mixed with Water proofing compound</t>
    </r>
  </si>
  <si>
    <r>
      <t xml:space="preserve">Brick work in C.M. 1:4 </t>
    </r>
    <r>
      <rPr>
        <sz val="18"/>
        <rFont val="Arial"/>
        <family val="2"/>
      </rPr>
      <t xml:space="preserve">Chamber Burnt brick: 
of size 23 x 11 x 7 cm (9" x 4 1/4" x 2 3/4") </t>
    </r>
    <r>
      <rPr>
        <b/>
        <sz val="18"/>
        <rFont val="Arial"/>
        <family val="2"/>
      </rPr>
      <t>70 mm tk (B.P.)</t>
    </r>
  </si>
  <si>
    <r>
      <t xml:space="preserve">Brick work in C.M. 1:4 </t>
    </r>
    <r>
      <rPr>
        <sz val="18"/>
        <rFont val="Arial"/>
        <family val="2"/>
      </rPr>
      <t xml:space="preserve">Chamber Burnt brick of size 22 x 11 x 7 cm (8 3/4" x 4 1/4" x 2 3/4") </t>
    </r>
    <r>
      <rPr>
        <b/>
        <sz val="18"/>
        <rFont val="Arial"/>
        <family val="2"/>
      </rPr>
      <t>70 mm tk (B.P.)</t>
    </r>
  </si>
  <si>
    <r>
      <t xml:space="preserve">Brick work in C.M. 1:4 </t>
    </r>
    <r>
      <rPr>
        <sz val="18"/>
        <rFont val="Arial"/>
        <family val="2"/>
      </rPr>
      <t xml:space="preserve">Kiln Burnt Country bricks of size 22 x 11 x 5.7 cm (8 3/4" x 4 1/4" x 2 1/4") </t>
    </r>
    <r>
      <rPr>
        <b/>
        <sz val="18"/>
        <rFont val="Arial"/>
        <family val="2"/>
      </rPr>
      <t>57 mm tk (B.P.)</t>
    </r>
  </si>
  <si>
    <r>
      <t xml:space="preserve">Precast </t>
    </r>
    <r>
      <rPr>
        <b/>
        <sz val="18"/>
        <rFont val="Arial"/>
        <family val="2"/>
      </rPr>
      <t>Jally ventilator 50mm tk.</t>
    </r>
  </si>
  <si>
    <r>
      <t xml:space="preserve">Form work- </t>
    </r>
    <r>
      <rPr>
        <b/>
        <sz val="18"/>
        <rFont val="Arial"/>
        <family val="2"/>
      </rPr>
      <t xml:space="preserve">Lintel </t>
    </r>
    <r>
      <rPr>
        <sz val="18"/>
        <rFont val="Arial"/>
        <family val="2"/>
      </rPr>
      <t>(C.W. planks)</t>
    </r>
  </si>
  <si>
    <r>
      <t xml:space="preserve">Form work - </t>
    </r>
    <r>
      <rPr>
        <b/>
        <sz val="18"/>
        <rFont val="Arial"/>
        <family val="2"/>
      </rPr>
      <t>M.S. Sheet</t>
    </r>
    <r>
      <rPr>
        <sz val="18"/>
        <rFont val="Arial"/>
        <family val="2"/>
      </rPr>
      <t xml:space="preserve"> (slab)</t>
    </r>
  </si>
  <si>
    <r>
      <t xml:space="preserve">Form work - </t>
    </r>
    <r>
      <rPr>
        <b/>
        <sz val="18"/>
        <rFont val="Arial"/>
        <family val="2"/>
      </rPr>
      <t>Small quantities</t>
    </r>
    <r>
      <rPr>
        <sz val="18"/>
        <rFont val="Arial"/>
        <family val="2"/>
      </rPr>
      <t xml:space="preserve">  (M.S. Sheet)</t>
    </r>
  </si>
  <si>
    <r>
      <t xml:space="preserve">Mosaic tiles </t>
    </r>
    <r>
      <rPr>
        <sz val="18"/>
        <rFont val="Arial"/>
        <family val="2"/>
      </rPr>
      <t>20 cm x 20 cm x 2 cm.</t>
    </r>
  </si>
  <si>
    <r>
      <t xml:space="preserve">Mosaic tiles </t>
    </r>
    <r>
      <rPr>
        <sz val="18"/>
        <rFont val="Arial"/>
        <family val="2"/>
      </rPr>
      <t>25 cm x 25 cm x 2 cm.</t>
    </r>
  </si>
  <si>
    <r>
      <t>Colour washing</t>
    </r>
    <r>
      <rPr>
        <b/>
        <sz val="18"/>
        <rFont val="Arial"/>
        <family val="2"/>
      </rPr>
      <t xml:space="preserve">  ( slaked)</t>
    </r>
  </si>
  <si>
    <r>
      <t xml:space="preserve">Fabrication of </t>
    </r>
    <r>
      <rPr>
        <b/>
        <sz val="18"/>
        <rFont val="Arial"/>
        <family val="2"/>
      </rPr>
      <t xml:space="preserve">Mild steel / RTS grills
</t>
    </r>
    <r>
      <rPr>
        <sz val="18"/>
        <rFont val="Arial"/>
        <family val="2"/>
      </rPr>
      <t>(with cement slurry wash)</t>
    </r>
  </si>
  <si>
    <r>
      <t xml:space="preserve">Fabrication of </t>
    </r>
    <r>
      <rPr>
        <b/>
        <sz val="18"/>
        <rFont val="Arial"/>
        <family val="2"/>
      </rPr>
      <t xml:space="preserve">Mild steel / RTS grills </t>
    </r>
    <r>
      <rPr>
        <sz val="18"/>
        <rFont val="Arial"/>
        <family val="2"/>
      </rPr>
      <t xml:space="preserve">
</t>
    </r>
  </si>
  <si>
    <r>
      <t xml:space="preserve">PVC SWR 110 mm dia </t>
    </r>
    <r>
      <rPr>
        <b/>
        <sz val="18"/>
        <rFont val="Arial"/>
        <family val="2"/>
      </rPr>
      <t>Rain water pipe</t>
    </r>
  </si>
  <si>
    <r>
      <t xml:space="preserve">Supplying and fixing of Brass </t>
    </r>
    <r>
      <rPr>
        <b/>
        <sz val="18"/>
        <rFont val="Arial"/>
        <family val="2"/>
      </rPr>
      <t>Chromium plated screw down tap</t>
    </r>
    <r>
      <rPr>
        <sz val="18"/>
        <rFont val="Arial"/>
        <family val="2"/>
      </rPr>
      <t xml:space="preserve"> 15mm dia (heavy type not less than 430 grms weight)  with ISI mark.
</t>
    </r>
  </si>
  <si>
    <r>
      <t xml:space="preserve">Supplying and fixing of  </t>
    </r>
    <r>
      <rPr>
        <b/>
        <sz val="18"/>
        <rFont val="Arial"/>
        <family val="2"/>
      </rPr>
      <t>SS Soap Tray</t>
    </r>
    <r>
      <rPr>
        <sz val="18"/>
        <rFont val="Arial"/>
        <family val="2"/>
      </rPr>
      <t xml:space="preserve">  including cost of all materials and all labour charges etc complete </t>
    </r>
  </si>
  <si>
    <t>d.Vertical wall</t>
  </si>
  <si>
    <t>SUB - TOTAL - II Rs.</t>
  </si>
  <si>
    <t>Precast Cupboard slab 20 mm tk.using standardised concrete mix M20 (annexure)</t>
  </si>
  <si>
    <t>Precast cupboard slab 40 mm tkusing standardised concrete mix M20 (annexure)</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</si>
  <si>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</si>
  <si>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</si>
  <si>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</si>
  <si>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</si>
  <si>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</si>
  <si>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</si>
  <si>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</si>
  <si>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</si>
  <si>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</si>
  <si>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</si>
  <si>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</si>
  <si>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</si>
  <si>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</si>
  <si>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</si>
  <si>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</si>
  <si>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</si>
  <si>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</si>
  <si>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</si>
  <si>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</si>
  <si>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</si>
  <si>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</si>
  <si>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</si>
  <si>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</si>
  <si>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Precasted slab Standardised Cement comncrete M 20 grade</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</si>
  <si>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</si>
  <si>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</si>
  <si>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</si>
  <si>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</si>
  <si>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</si>
  <si>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</si>
  <si>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</si>
  <si>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FLOOR POLISHER (MOSAIC)  * p-11 it-17</t>
  </si>
  <si>
    <t>LABOUR CHARGE FOR WROUGHT &amp; PUTUP /V-SHUTTER *p-30 it-143</t>
  </si>
  <si>
    <t>LABOUR CHARGE FOR DOOR/WINDOW SHUTTER  *p-30 it-144</t>
  </si>
  <si>
    <t>LABOUR FOR THREADING 15mm DIA  * it-126</t>
  </si>
  <si>
    <t xml:space="preserve"> 65mm DIA pWD</t>
  </si>
  <si>
    <t>HARD BROKEN STONE JELLY 3mm To 10mm p-18</t>
  </si>
  <si>
    <t>GI WIRE 8 GAUGE p79/pat E3(b)</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</si>
  <si>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</si>
  <si>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</si>
  <si>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</si>
  <si>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</si>
  <si>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</si>
  <si>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</si>
  <si>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</si>
  <si>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r>
      <t xml:space="preserve">Clamp fixing by cheche screws bolts and nuts including connections ( </t>
    </r>
    <r>
      <rPr>
        <b/>
        <sz val="12"/>
        <rFont val="Helv"/>
      </rPr>
      <t>as per SD-114, Elec Data 2017-18)</t>
    </r>
  </si>
  <si>
    <t>2 X 4 Sq mm in fully concealed PVC conduit (open wiring)</t>
  </si>
  <si>
    <t>4 X 10 Sq mm in fully concealed PVC conduit (open wiring)</t>
  </si>
  <si>
    <t>SALT  SD 233 (119.2/20.32 = 5.87)</t>
  </si>
  <si>
    <t>hinges it-77 a p-40</t>
  </si>
  <si>
    <t>Aluminium partition wall ( 1/3 Glass 5.5mm &amp; 2/3 novapan sheet 12mm thick</t>
  </si>
  <si>
    <t>Glass 5.5mm plain  it-107</t>
  </si>
  <si>
    <t>Novapan Sheet 12mm Thick</t>
  </si>
  <si>
    <t>Rubber beeding (An-VI -it-63</t>
  </si>
  <si>
    <t xml:space="preserve"> Plug (An-VI -it-166</t>
  </si>
  <si>
    <t>Power Grapping</t>
  </si>
  <si>
    <t>TOTAL FOR 6.615 SQM</t>
  </si>
  <si>
    <t>SUPPLY AND FIXING OF GALVANIUM SHEET 0.47MM THICK</t>
  </si>
  <si>
    <t>GALVANIUM SHEET 0.47MM THICK ( qtn)</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</si>
  <si>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</si>
  <si>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</si>
  <si>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</si>
  <si>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</si>
  <si>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</si>
  <si>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</si>
  <si>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</si>
  <si>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</si>
  <si>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</si>
  <si>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</si>
  <si>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</si>
  <si>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</si>
  <si>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</si>
  <si>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</si>
  <si>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</si>
  <si>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</si>
  <si>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</si>
  <si>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</si>
  <si>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</si>
  <si>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</si>
  <si>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</si>
  <si>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</si>
  <si>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</si>
  <si>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</si>
  <si>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</si>
  <si>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</si>
  <si>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</si>
  <si>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</si>
  <si>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</si>
  <si>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</si>
  <si>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</si>
  <si>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</si>
  <si>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</si>
  <si>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</si>
  <si>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</si>
  <si>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</si>
  <si>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</si>
  <si>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</si>
  <si>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</si>
  <si>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Frosted glass  4mmthick it-106 p-44</t>
  </si>
  <si>
    <t>Frosted glass 4mmthick</t>
  </si>
  <si>
    <t>Flush door shutter size 1800x2400 (Double leaf)</t>
  </si>
  <si>
    <t>shutter size 1800x2400 (Double leaf)=1.7 x 2.325 =</t>
  </si>
  <si>
    <t>Rate for 3.95 Sqm</t>
  </si>
  <si>
    <t>Flush door shutter size 1800x2100 (Double leaf)</t>
  </si>
  <si>
    <t>shutter size 1800x2100 (Double leaf)=1.7 x 2.025 =</t>
  </si>
  <si>
    <t>Rate for 3.44 Sqm</t>
  </si>
  <si>
    <r>
      <t>False ceiling with plain gybsum board</t>
    </r>
    <r>
      <rPr>
        <b/>
        <sz val="13"/>
        <rFont val="Arial"/>
        <family val="2"/>
      </rPr>
      <t xml:space="preserve"> (as per PWD SR. rate 2017-18, Anx- VI -It- 154 -a)</t>
    </r>
  </si>
  <si>
    <t>Wiring with 1.5 sqmm PVC insulated single core multi strand fire retardant flexible copper cable with ISI mark confirming IS: 694:1990. (Open wiring)</t>
  </si>
  <si>
    <r>
      <t xml:space="preserve">Wiring with 1.5 sqmm PVC insulated single core multi strand fire retardant flexible copper cable with ISI mark confirming IS: 694:1990 for </t>
    </r>
    <r>
      <rPr>
        <b/>
        <sz val="17"/>
        <rFont val="Arial"/>
        <family val="2"/>
      </rPr>
      <t>5 amps 5 pin  plug socket point @ Convenient Places</t>
    </r>
    <r>
      <rPr>
        <sz val="17"/>
        <rFont val="Arial"/>
        <family val="2"/>
      </rPr>
      <t>.(Open wiring)</t>
    </r>
  </si>
  <si>
    <r>
      <t xml:space="preserve">Wiring with 1.5 sqmm PVC insulated single core multi strand fire retardant flexible copper cable with ISI mark confirming IS: 694:1990 for </t>
    </r>
    <r>
      <rPr>
        <b/>
        <sz val="17"/>
        <rFont val="Arial"/>
        <family val="2"/>
      </rPr>
      <t>5 amps 5 pin  plug socket point @ Switch Board Itself</t>
    </r>
    <r>
      <rPr>
        <sz val="17"/>
        <rFont val="Arial"/>
        <family val="2"/>
      </rPr>
      <t>.(Open wiring)</t>
    </r>
  </si>
  <si>
    <r>
      <t>Wiring with 1.5 sqmm PVC insulated single core multi strand fire retardant flexible copper cable with ISI mark confirming IS: 694:1990 for Fan</t>
    </r>
    <r>
      <rPr>
        <b/>
        <sz val="17"/>
        <rFont val="Arial"/>
        <family val="2"/>
      </rPr>
      <t xml:space="preserve"> point </t>
    </r>
    <r>
      <rPr>
        <sz val="17"/>
        <rFont val="Arial"/>
        <family val="2"/>
      </rPr>
      <t>.(Open wiring)</t>
    </r>
  </si>
  <si>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</si>
  <si>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</si>
  <si>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</si>
  <si>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</si>
  <si>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</si>
  <si>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</si>
  <si>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</si>
  <si>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</si>
  <si>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</si>
  <si>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</si>
  <si>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</si>
  <si>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</si>
  <si>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</si>
  <si>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</si>
  <si>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</si>
  <si>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</si>
  <si>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</si>
  <si>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</si>
  <si>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</si>
  <si>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</si>
  <si>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</si>
  <si>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</si>
  <si>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</si>
  <si>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</si>
  <si>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</si>
  <si>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</si>
  <si>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</si>
  <si>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</si>
  <si>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</si>
  <si>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</si>
  <si>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</si>
  <si>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</si>
  <si>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</si>
  <si>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</si>
  <si>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</si>
  <si>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</si>
  <si>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</si>
  <si>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</si>
  <si>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</si>
  <si>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</si>
  <si>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</si>
  <si>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</si>
  <si>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</si>
  <si>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</si>
  <si>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 xml:space="preserve">Standardised concrete mix M30 </t>
  </si>
  <si>
    <t>Standardised concrete mix M30  using 20mmHB JELLY ( witt out vibrating charges)</t>
  </si>
  <si>
    <t>Standardised concrete mix M30</t>
  </si>
  <si>
    <t>JOINTING MATERIALS. (TWAD SR 17-18 11-b)</t>
  </si>
  <si>
    <t>Supplying nd laying of 1000 x 1000 x 300mm size ms 16 swg powder coated cable terminal box with two compartment with necessary bus bar connected with TNEB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</si>
  <si>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</si>
  <si>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</si>
  <si>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</si>
  <si>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</si>
  <si>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</si>
  <si>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</si>
  <si>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</si>
  <si>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</si>
  <si>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</si>
  <si>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</si>
  <si>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</si>
  <si>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</si>
  <si>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</si>
  <si>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</si>
  <si>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</si>
  <si>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</si>
  <si>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</si>
  <si>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</si>
  <si>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</si>
  <si>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</si>
  <si>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</si>
  <si>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</si>
  <si>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</si>
  <si>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r>
      <t xml:space="preserve">in kgm      45.738 x 1.17                  =  53.513 </t>
    </r>
    <r>
      <rPr>
        <b/>
        <sz val="10"/>
        <rFont val="Arial"/>
        <family val="2"/>
      </rPr>
      <t>kgm</t>
    </r>
  </si>
  <si>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</si>
  <si>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</si>
  <si>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</si>
  <si>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</si>
  <si>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</si>
  <si>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</si>
  <si>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</si>
  <si>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</si>
  <si>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</si>
  <si>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</si>
  <si>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</si>
  <si>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</si>
  <si>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</si>
  <si>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</si>
  <si>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</si>
  <si>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</si>
  <si>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</si>
  <si>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</si>
  <si>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</si>
  <si>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</si>
  <si>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</si>
  <si>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</si>
  <si>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</si>
  <si>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</si>
  <si>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</si>
  <si>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</si>
  <si>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</si>
  <si>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</si>
  <si>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</si>
  <si>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</si>
  <si>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</si>
  <si>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</si>
  <si>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r>
      <t>m</t>
    </r>
    <r>
      <rPr>
        <vertAlign val="superscript"/>
        <sz val="10"/>
        <rFont val="Arial"/>
        <family val="2"/>
      </rPr>
      <t>2</t>
    </r>
  </si>
  <si>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</si>
  <si>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</si>
  <si>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</si>
  <si>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</si>
  <si>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</si>
  <si>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</si>
  <si>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</si>
  <si>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</si>
  <si>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</si>
  <si>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</si>
  <si>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r>
      <t xml:space="preserve">Add: </t>
    </r>
    <r>
      <rPr>
        <sz val="10"/>
        <rFont val="Arial"/>
        <family val="2"/>
      </rPr>
      <t>VAT @ 14.5%</t>
    </r>
  </si>
  <si>
    <t>Transport charges</t>
  </si>
  <si>
    <t>Erection charges</t>
  </si>
  <si>
    <t>(OR)</t>
  </si>
  <si>
    <t>Aluminium window openable 1.20x1.05m (Two leaves)</t>
  </si>
  <si>
    <t>Aluminium section H</t>
  </si>
  <si>
    <t>Aluminium section  Z</t>
  </si>
  <si>
    <t>Aluminium section intermediate</t>
  </si>
  <si>
    <t>Clip Beeding</t>
  </si>
  <si>
    <t>Max hinges 10"/ 1</t>
  </si>
  <si>
    <t>Sets</t>
  </si>
  <si>
    <t>Finshing the top of Terrace floor with one course of solar reflective Ceramic tiles without base concrete</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</si>
  <si>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</si>
  <si>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</si>
  <si>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</si>
  <si>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</si>
  <si>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</si>
  <si>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</si>
  <si>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</si>
  <si>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</si>
  <si>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</si>
  <si>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</si>
  <si>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</si>
  <si>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</si>
  <si>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</si>
  <si>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</si>
  <si>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</si>
  <si>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</si>
  <si>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</si>
  <si>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</si>
  <si>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</si>
  <si>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</si>
  <si>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</si>
  <si>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</si>
  <si>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</si>
  <si>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</si>
  <si>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</si>
  <si>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</si>
  <si>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</si>
  <si>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</si>
  <si>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</si>
  <si>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SUB - TOTAL - III Rs.</t>
  </si>
  <si>
    <t>Cement Paint two coat for old wall</t>
  </si>
  <si>
    <t>Cement Paint one coat for old wall</t>
  </si>
  <si>
    <t>Plastic Emulsion PAINT two coat for old wall</t>
  </si>
  <si>
    <t>Plastic Emulsion PAINT one coat for old wall</t>
  </si>
  <si>
    <t>Painter I</t>
  </si>
  <si>
    <t>c. In Third floor</t>
  </si>
  <si>
    <t>s</t>
  </si>
  <si>
    <t>1 unit</t>
  </si>
  <si>
    <t>SUB - TOTAL - I Rs.</t>
  </si>
  <si>
    <r>
      <t xml:space="preserve">Earth work excavation in </t>
    </r>
    <r>
      <rPr>
        <b/>
        <sz val="20"/>
        <rFont val="Arial"/>
        <family val="2"/>
      </rPr>
      <t>Soft disintegrated rock  (including refilling)</t>
    </r>
  </si>
  <si>
    <r>
      <t>Stucco</t>
    </r>
    <r>
      <rPr>
        <sz val="20"/>
        <rFont val="Arial"/>
        <family val="2"/>
      </rPr>
      <t xml:space="preserve"> plastering 12 mm tk.</t>
    </r>
  </si>
  <si>
    <t>Plastic Emulsion PAINT including primer for outer walls</t>
  </si>
  <si>
    <t xml:space="preserve">Providing PVC Tee with end cap </t>
  </si>
  <si>
    <t>Structural Design / Consultancy charges</t>
  </si>
  <si>
    <t xml:space="preserve">Provision for EB Deposits </t>
  </si>
  <si>
    <t xml:space="preserve">Advertisement charges </t>
  </si>
  <si>
    <t>SUB - TOTAL - V Rs.</t>
  </si>
  <si>
    <t>Labour Welfare fund @ 1.0%</t>
  </si>
  <si>
    <t>GST at  12.0% ( GST at 6% + CGST 6% )</t>
  </si>
  <si>
    <t>GENERAL ABSTRACT</t>
  </si>
  <si>
    <t>ABSTRACT</t>
  </si>
  <si>
    <t>R.C.C.Door frames of size 100 x 75mm with one edge grooves size 't' x 20 mm using M20 grade ( with out vibrating charges)</t>
  </si>
  <si>
    <t>SAND FOR MORTAR sl.100  p19</t>
  </si>
  <si>
    <t>NYLON BUSH FOR Door ( qtn)</t>
  </si>
  <si>
    <t xml:space="preserve"> 15mmDIAX20mmDIA  (v)</t>
  </si>
  <si>
    <t xml:space="preserve"> 25mmDIAX20mmDIA (iv)</t>
  </si>
  <si>
    <t xml:space="preserve"> 15mmDIA OF WALL THICK 2.8mm A.S.T.M (Qtn)</t>
  </si>
  <si>
    <t>P.V.C. LOW LEVEL CISTERN 10 LITCAPACITY p-68 220a</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</si>
  <si>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</si>
  <si>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</si>
  <si>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</si>
  <si>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</si>
  <si>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</si>
  <si>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</si>
  <si>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</si>
  <si>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</si>
  <si>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</si>
  <si>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CUTTING CHARGES p -31 Itm 131</t>
  </si>
  <si>
    <t>THREADING CHARGES p -31 Itm 132</t>
  </si>
  <si>
    <t xml:space="preserve">MELAMEN matt Qtn </t>
  </si>
  <si>
    <t>Fly proof  Mesh p-22 it- 167/130</t>
  </si>
  <si>
    <t>LOCKS &amp;KEY ( qtn)</t>
  </si>
  <si>
    <t>Labour for Wrought &amp; Putup (SR P.32,it-156a)</t>
  </si>
  <si>
    <t xml:space="preserve"> Cost of Colour Marble chips ( 84.4/0.0354)=2384.18 (P-36 it-11 )</t>
  </si>
  <si>
    <t>Power Grapping it-173</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</si>
  <si>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</si>
  <si>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</si>
  <si>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</si>
  <si>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</si>
  <si>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</si>
  <si>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</si>
  <si>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</si>
  <si>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</si>
  <si>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</si>
  <si>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</si>
  <si>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</si>
  <si>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r>
      <t xml:space="preserve">32 Amps rating </t>
    </r>
    <r>
      <rPr>
        <b/>
        <sz val="12"/>
        <rFont val="Helv"/>
      </rPr>
      <t xml:space="preserve">Three phase </t>
    </r>
    <r>
      <rPr>
        <sz val="12"/>
        <rFont val="Helv"/>
      </rPr>
      <t>ELCB with 20 to 30 MA sensitivity (P-94  10-a)</t>
    </r>
  </si>
  <si>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</si>
  <si>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</si>
  <si>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</si>
  <si>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</si>
  <si>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</si>
  <si>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</si>
  <si>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</si>
  <si>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</si>
  <si>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</si>
  <si>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</si>
  <si>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</si>
  <si>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</si>
  <si>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</si>
  <si>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</si>
  <si>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</si>
  <si>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</si>
  <si>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</si>
  <si>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</si>
  <si>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</si>
  <si>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Cost of MS sheet Part -G P-87 SR -2018-19</t>
  </si>
  <si>
    <t>25 mm dia GI 'B' class pipe p-46 it-118 -v</t>
  </si>
  <si>
    <t>1152*6</t>
  </si>
  <si>
    <t>212.5*90</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</si>
  <si>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</si>
  <si>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</si>
  <si>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</si>
  <si>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</si>
  <si>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</si>
  <si>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</si>
  <si>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</si>
  <si>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</si>
  <si>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</si>
  <si>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</si>
  <si>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</si>
  <si>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</si>
  <si>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</si>
  <si>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</si>
  <si>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</si>
  <si>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</si>
  <si>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</si>
  <si>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</si>
  <si>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</si>
  <si>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</si>
  <si>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</si>
  <si>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</si>
  <si>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</si>
  <si>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</si>
  <si>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</si>
  <si>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</si>
  <si>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</si>
  <si>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</si>
  <si>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</si>
  <si>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</si>
  <si>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</si>
  <si>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</si>
  <si>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</si>
  <si>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</si>
  <si>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</si>
  <si>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</si>
  <si>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</si>
  <si>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</si>
  <si>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</si>
  <si>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</si>
  <si>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</si>
  <si>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Salt (SD 233, 18-19)</t>
  </si>
  <si>
    <t>Charcoal 17-18 SD 233 (97.15/20.32 = 4.78)</t>
  </si>
  <si>
    <t>Charcoal SD 233-2018-19 (97.15/20.32 = 5.87)</t>
  </si>
  <si>
    <t>Supply and Laying Rubber Moulded Hyraulic Pressed Paver Block 83 mm thick including labour charges for laying etc ( as per DB/1469/2018)</t>
  </si>
  <si>
    <r>
      <t xml:space="preserve">Brick work in C.M. 1:4 </t>
    </r>
    <r>
      <rPr>
        <sz val="18"/>
        <rFont val="Arial"/>
        <family val="2"/>
      </rPr>
      <t xml:space="preserve">Kiln Burnt Country bricks of size 22 x 11 x 7 cm (8 3/4" x 4 1/4" x 2 3/4") </t>
    </r>
    <r>
      <rPr>
        <b/>
        <sz val="18"/>
        <rFont val="Arial"/>
        <family val="2"/>
      </rPr>
      <t>70 mm tk (B.P.)</t>
    </r>
  </si>
  <si>
    <t>Supervision Charges @ 7.5%</t>
  </si>
  <si>
    <t>Brick partition in C.M. 1:4 using country bricks of size 22 x11x5cm 50 mm thick</t>
  </si>
  <si>
    <t>GRAND  TOTAL Rs.</t>
  </si>
  <si>
    <t>Supply and Fixing Soild UPVC door Shutter with frame</t>
  </si>
  <si>
    <t>Flush door shutter size 900x2100 ( Single leaf)</t>
  </si>
  <si>
    <t>Rate for 1.62 Sqm</t>
  </si>
  <si>
    <t>Wallputty ( one coat)</t>
  </si>
  <si>
    <t>Solid core flush door shutter with TW plain</t>
  </si>
  <si>
    <t>Provision for planning permission &amp; payment to other department</t>
  </si>
  <si>
    <t>Supply and fixing of Prepainting G.I. Window/ Ventilator  with Grill( PWDSR-18-19)P-56 it-190</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</si>
  <si>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</si>
  <si>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</si>
  <si>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</si>
  <si>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</si>
  <si>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</si>
  <si>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</si>
  <si>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</si>
  <si>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</si>
  <si>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</si>
  <si>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</si>
  <si>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</si>
  <si>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</si>
  <si>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</si>
  <si>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</si>
  <si>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</si>
  <si>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</si>
  <si>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</si>
  <si>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</si>
  <si>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</si>
  <si>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</si>
  <si>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</si>
  <si>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</si>
  <si>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</si>
  <si>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</si>
  <si>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</si>
  <si>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</si>
  <si>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</si>
  <si>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</si>
  <si>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</si>
  <si>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 xml:space="preserve">TW styles &amp; rails with 9mm thick BWR single and Double  leaf shutters  with brass screws </t>
  </si>
  <si>
    <t>TW styles &amp; rails with 9mm thick BWR single leaf shutters  with brass screws size of 900 x 2100 mm</t>
  </si>
  <si>
    <t>TW styles &amp; rails with 9mm thick BWR single leaf shutters  with brass screws size of 750 x 2100 mm</t>
  </si>
  <si>
    <t>TW styles &amp; rails with 9mm thick BWR Double leaves shutters  with brass screws size of 1500 x  2100 mm</t>
  </si>
  <si>
    <t>TW styles &amp; rails with 9mm thick BWR single leaf shutters  with brass screws size of 1200 x 2100 mm</t>
  </si>
  <si>
    <t>BWR   single leaf</t>
  </si>
  <si>
    <t>TOTAL FOR 1.845SQM</t>
  </si>
  <si>
    <t>Supplying and filling stone dust</t>
  </si>
  <si>
    <t xml:space="preserve">RCC door </t>
  </si>
  <si>
    <t>S&amp;F of stainless steel sink 550 x 450 x 200mm ( 1750/112 x100=1562.50 Each)</t>
  </si>
  <si>
    <t>S&amp;F OF UPVC  Windows ( Non  Schedule item )</t>
  </si>
  <si>
    <t>Supplying and fixing of 200 Amps metal clad switch with rewirable fuse units, (Revised PWD SR 18-19Pg.no.80 it-J Part c)</t>
  </si>
  <si>
    <t>a) door size 1.80 m x 2.40 (Double leaf)</t>
  </si>
  <si>
    <t>b) door size 1.80 m x 2.10 (Double leaf)</t>
  </si>
  <si>
    <t>c) door size 1.50 m x 2.40 (Double leaf)</t>
  </si>
  <si>
    <t>d).  door size 1.50 m x 2.100 (Double leaf)</t>
  </si>
  <si>
    <t>e). door size 1.200 m x 2.400 (double Leaf)</t>
  </si>
  <si>
    <t>f). door size 1.200m x 2.100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</si>
  <si>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</si>
  <si>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</si>
  <si>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</si>
  <si>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</si>
  <si>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</si>
  <si>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</si>
  <si>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</si>
  <si>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</si>
  <si>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</si>
  <si>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</si>
  <si>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</si>
  <si>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</si>
  <si>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</si>
  <si>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</si>
  <si>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</si>
  <si>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</si>
  <si>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</si>
  <si>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</si>
  <si>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</si>
  <si>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</si>
  <si>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</si>
  <si>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</si>
  <si>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</si>
  <si>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</si>
  <si>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</si>
  <si>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</si>
  <si>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</si>
  <si>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</si>
  <si>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</si>
  <si>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</si>
  <si>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</si>
  <si>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</si>
  <si>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</si>
  <si>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</si>
  <si>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</si>
  <si>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</si>
  <si>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</si>
  <si>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</si>
  <si>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</si>
  <si>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</si>
  <si>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</si>
  <si>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</si>
  <si>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</si>
  <si>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</si>
  <si>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</si>
  <si>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</si>
  <si>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</si>
  <si>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</si>
  <si>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</si>
  <si>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</si>
  <si>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</si>
  <si>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</si>
  <si>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</si>
  <si>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</si>
  <si>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</si>
  <si>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</si>
  <si>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</si>
  <si>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</si>
  <si>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</si>
  <si>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</si>
  <si>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</si>
  <si>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</si>
  <si>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</si>
  <si>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</si>
  <si>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</si>
  <si>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</si>
  <si>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</si>
  <si>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</si>
  <si>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</si>
  <si>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</si>
  <si>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</si>
  <si>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</si>
  <si>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</si>
  <si>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</si>
  <si>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</si>
  <si>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</si>
  <si>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</si>
  <si>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</si>
  <si>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</si>
  <si>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</si>
  <si>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</si>
  <si>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</si>
  <si>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</si>
  <si>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</si>
  <si>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</si>
  <si>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</si>
  <si>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</si>
  <si>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</si>
  <si>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</si>
  <si>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</si>
  <si>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</si>
  <si>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</si>
  <si>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</si>
  <si>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</si>
  <si>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</si>
  <si>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</si>
  <si>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</si>
  <si>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M30 Grade) as per nagapattinam data For Coastal area</t>
  </si>
  <si>
    <t xml:space="preserve">  DATA 2018-2019</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</si>
  <si>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</si>
  <si>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</si>
  <si>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</si>
  <si>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</si>
  <si>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</si>
  <si>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</si>
  <si>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</si>
  <si>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</si>
  <si>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</si>
  <si>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</si>
  <si>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</si>
  <si>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</si>
  <si>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</si>
  <si>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</si>
  <si>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</si>
  <si>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</si>
  <si>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</si>
  <si>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</si>
  <si>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</si>
  <si>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</si>
  <si>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</si>
  <si>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</si>
  <si>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</si>
  <si>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</si>
  <si>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</si>
  <si>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</si>
  <si>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</si>
  <si>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</si>
  <si>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</si>
  <si>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</si>
  <si>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</si>
  <si>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</si>
  <si>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</si>
  <si>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</si>
  <si>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</si>
  <si>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</si>
  <si>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</si>
  <si>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</si>
  <si>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</si>
  <si>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</si>
  <si>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</si>
  <si>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</si>
  <si>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</si>
  <si>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</si>
  <si>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</si>
  <si>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</si>
  <si>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</si>
  <si>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</si>
  <si>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</si>
  <si>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</si>
  <si>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</si>
  <si>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</si>
  <si>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</si>
  <si>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</si>
  <si>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</si>
  <si>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</si>
  <si>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</si>
  <si>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</si>
  <si>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</si>
  <si>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</si>
  <si>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r>
      <t>S &amp; F of E.W.C.</t>
    </r>
    <r>
      <rPr>
        <b/>
        <sz val="18"/>
        <rFont val="Arial"/>
        <family val="2"/>
      </rPr>
      <t xml:space="preserve">( Colour) </t>
    </r>
    <r>
      <rPr>
        <sz val="18"/>
        <rFont val="Arial"/>
        <family val="2"/>
      </rPr>
      <t xml:space="preserve">500 mm </t>
    </r>
    <r>
      <rPr>
        <b/>
        <sz val="18"/>
        <rFont val="Arial"/>
        <family val="2"/>
      </rPr>
      <t xml:space="preserve">with PVC SWR grade "P" or "S" TRAP </t>
    </r>
  </si>
  <si>
    <t>Vitrified Tiles flooring ( colour)</t>
  </si>
  <si>
    <t>Vitrified Tiles flooring (Ivory)</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</si>
  <si>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</si>
  <si>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</si>
  <si>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</si>
  <si>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</si>
  <si>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</si>
  <si>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</si>
  <si>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</si>
  <si>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</si>
  <si>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</si>
  <si>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</si>
  <si>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ROUGH STONE sl.38  p18</t>
  </si>
  <si>
    <t>BOND STONE sl.57 p18</t>
  </si>
  <si>
    <t>Kiln Burnt Country Bricks  SIZE 22x11x7Cm p-16 it-5a</t>
  </si>
  <si>
    <t>BRICK JELLY 40mmGAUGE p-17 it-17 a</t>
  </si>
  <si>
    <t>MACHINE PRESSED TILES 23x 23x 2 Cm p-17 It-20</t>
  </si>
  <si>
    <t>SLACKED SHELL LIME sl.106 p20</t>
  </si>
  <si>
    <t>SLACKED &amp;SREENED LIME STONE sl107/67</t>
  </si>
  <si>
    <t>C.W SCANTLING UPTO 4M LONG p-21 it-127</t>
  </si>
  <si>
    <t>T.W SCANTLING 2M TO 3M LONG 112/73 p-21</t>
  </si>
  <si>
    <t>T.W.SCANTLING BELOW 2M LONG 113/74 p-21</t>
  </si>
  <si>
    <t>T.W.PLANKS 15TO30cm WIDTH &amp; 12to25mm Thick it-119 p-21</t>
  </si>
  <si>
    <t>Country BricksKiln Burnt of SIZE 22x11x5Cm (7c)p-16</t>
  </si>
  <si>
    <t>MOSAIC TILES GRAY 25X25X2cm.it-30 p-17</t>
  </si>
  <si>
    <t xml:space="preserve"> Gravel p20  92/57</t>
  </si>
  <si>
    <t>Chamber Burnt Bricks of size 23x11.2x7Cm p16/4b</t>
  </si>
  <si>
    <t>Chamber Burnt Bricks  of size 23x11.4x7.5Cmp16 /3a</t>
  </si>
  <si>
    <t>Stone dust p20 96-58a</t>
  </si>
  <si>
    <t>6mmto 10mm HBG metal p-19 it-83+84/2</t>
  </si>
  <si>
    <t>Fly Ash Bricks  it-3A/8a p-16</t>
  </si>
  <si>
    <t>LIFT CHARGES FOR B.W IN G.F  * it-94 p-29</t>
  </si>
  <si>
    <t>LIFT CHARGES FOR CONCRETE IN G.F  *it-92 p-29</t>
  </si>
  <si>
    <t>M.S. SHEET/ANGLE PER M.T p23 I-159/112</t>
  </si>
  <si>
    <t>LABOUR CHARGES FOR SPREADING  bull dozer p27 / Item68/78a</t>
  </si>
  <si>
    <t>NAHANI TRAP 63mm/75mmPVC TYP,4 way/3way p-56 it-188</t>
  </si>
  <si>
    <t>G.I. ELBOWp-51 S.No.119/ it-b</t>
  </si>
  <si>
    <t>G.I. UNIONp-51 it-A</t>
  </si>
  <si>
    <t>G.I. TEE p-51 it-D</t>
  </si>
  <si>
    <t>G.I.HEX NIPPLEp-53 it-I</t>
  </si>
  <si>
    <t>SCRAPING THE OLD PLASTER SURFACE * p30/108/338</t>
  </si>
  <si>
    <t>WASHING PLASTERED AREA WITH SOAP&amp;SODA WATER *p30/109/339</t>
  </si>
  <si>
    <t>G.M.GATE VALUE (Heavy Duty)p-53it-144</t>
  </si>
  <si>
    <t>G.M.WHEELVALUE  (Heavy Duty)p-53it-145</t>
  </si>
  <si>
    <t>G.I.REDUCER p-52 it-143F</t>
  </si>
  <si>
    <t>G.I.REDUCER  TEEp-52 it-143H</t>
  </si>
  <si>
    <t>G.I.REDUCER  ELBOW p52 it-G</t>
  </si>
  <si>
    <t>EVERITE CLAMP IRON CLAMP P-59 (Sl.No.212) (Special clamp)</t>
  </si>
  <si>
    <t>150mm AL.HANDLE WITH CP SCREWS/DOOR STOPPER (PWD LR) p-46 it-97b/82</t>
  </si>
  <si>
    <t>BRASS HEX NIPPLE15mm DIA</t>
  </si>
  <si>
    <t>BRASS HEX NIPPLE 20mm DIA</t>
  </si>
  <si>
    <t>P.V.C. SOIL SHOE 110mm DIA p-104 it -N</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</si>
  <si>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</si>
  <si>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</si>
  <si>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</si>
  <si>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</si>
  <si>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</si>
  <si>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</si>
  <si>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</si>
  <si>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</si>
  <si>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</si>
  <si>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</si>
  <si>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CUDDAPAH SLAB SINK 60X60cm,20mmT.K p -55 it-172</t>
  </si>
  <si>
    <t>WIRE MAN GR-I p-11 it-13</t>
  </si>
  <si>
    <t>Electrical HELPERp-15 it-100</t>
  </si>
  <si>
    <t>CUTTING CHARGE OF PVC pipe32mm p-32 it-129</t>
  </si>
  <si>
    <t>PVC RIGID CONDUIT PIPE 19M/20MM HEAVY DUTY WITH ISI P -127/ part  I 1b</t>
  </si>
  <si>
    <t>Thorouh scrapping (p-31 slno.112)</t>
  </si>
  <si>
    <t>T.W PLANKS (12-25 CM) (30 TO 45CM THICK) it-116 iii p-21</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</si>
  <si>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</si>
  <si>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</si>
  <si>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</si>
  <si>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CUTTING CHARGES ( P-32/141)</t>
  </si>
  <si>
    <t>rubber beeding P-45/81</t>
  </si>
  <si>
    <t>hinges 75mm x 30 mm P-45/94 b</t>
  </si>
  <si>
    <t xml:space="preserve">GALVANISIED IRON WIRE 2" x 2" using 10 gauge (of all sizes) p49/143 </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</si>
  <si>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</si>
  <si>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</si>
  <si>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</si>
  <si>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</si>
  <si>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</si>
  <si>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</si>
  <si>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</si>
  <si>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 xml:space="preserve"> Electrical Maistry ( p-13 it 59/106)</t>
  </si>
  <si>
    <t>4 sqmm copper PVC insulated unsheathed single core cable,P-123 it-2-d</t>
  </si>
  <si>
    <t>Less 4 way TPDB 32 A/way p-119, 8d</t>
  </si>
  <si>
    <t xml:space="preserve">8 SWG GI wire  (Part- E, 3 -c P-124 ) </t>
  </si>
  <si>
    <t xml:space="preserve"> 'U' nails (SD-74 ,18-19)</t>
  </si>
  <si>
    <t>GI pipe 20 mm P-50 ,118-vi</t>
  </si>
  <si>
    <t>15 mm GI pipeP-50 ,118-VII</t>
  </si>
  <si>
    <t>GI reducer 32x25mmP- 52,119 F-iii</t>
  </si>
  <si>
    <t>GI bend 15 mm diaP-51 ,119-c vi</t>
  </si>
  <si>
    <t>15 mm GI coupling P- 51,119-E vi</t>
  </si>
  <si>
    <t>Bricks p16/ 5a</t>
  </si>
  <si>
    <t>20 mm dia 'B' class GI pipe p- 50 it-142 iv</t>
  </si>
  <si>
    <r>
      <t xml:space="preserve">Clamp fixing by cheche screws bolts and nuts including connections ( </t>
    </r>
    <r>
      <rPr>
        <b/>
        <sz val="12"/>
        <rFont val="Helv"/>
      </rPr>
      <t>as per SD-114, Elec Data 2018-19)</t>
    </r>
  </si>
  <si>
    <t>4' tube light fitting with \electronic ballast p-111 it-20 c</t>
  </si>
  <si>
    <t>Brass screws 40mm p 130 L 1c</t>
  </si>
  <si>
    <t>6 sqmm copper PVC insulated unsheathed single core cable p 123 , 2  part -E</t>
  </si>
  <si>
    <t>deduct rate for 15mm dia GM wheel valve p -53 /145(v)</t>
  </si>
  <si>
    <t>11th</t>
  </si>
  <si>
    <t>i8</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</si>
  <si>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</si>
  <si>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</si>
  <si>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</si>
  <si>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</si>
  <si>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</si>
  <si>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</si>
  <si>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</si>
  <si>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</si>
  <si>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</si>
  <si>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</si>
  <si>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</si>
  <si>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</si>
  <si>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</si>
  <si>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i.  door size 0.900 m x 2.400 (Single Leaf)</t>
  </si>
  <si>
    <t>Flush door shutter size 1200x2100 ( Double leaves)</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</si>
  <si>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</si>
  <si>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</si>
  <si>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</si>
  <si>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</si>
  <si>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</si>
  <si>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</si>
  <si>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32 Amps double pole main switch with fuse and neutral link [SD 143]</t>
  </si>
  <si>
    <t>T.W board of size 31 x 20x 6 cm with well varnished [SD 141]</t>
  </si>
  <si>
    <t>16 Amps triple pole main switch with fuse and neutral link [SD 161]</t>
  </si>
  <si>
    <t>TW board of size 46 x31 x 6 cm with brass hinges hooks screws  well varnished [SD 149]</t>
  </si>
  <si>
    <t>32 Amps triple pole main switch with fuse and neutral link [SD 163]</t>
  </si>
  <si>
    <t>SD 74  -  Rs.21.00 / Rmt</t>
  </si>
  <si>
    <t>7/20 GI stay wire [SD 64]</t>
  </si>
  <si>
    <t>PVC reel insulater [SD 64] [6.30/12]</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</si>
  <si>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</si>
  <si>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</si>
  <si>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</si>
  <si>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</si>
  <si>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</si>
  <si>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</si>
  <si>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calling bell</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</si>
  <si>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Helv"/>
      </rPr>
      <t>FAN POINT</t>
    </r>
    <r>
      <rPr>
        <sz val="12"/>
        <rFont val="Helv"/>
      </rPr>
      <t xml:space="preserve"> controlled by 5 amps flush type switch including citcuit mains, cost of all materials, specials, etc., all complete,</t>
    </r>
    <r>
      <rPr>
        <b/>
        <sz val="12"/>
        <rFont val="Helv"/>
      </rPr>
      <t>(Open wiring)</t>
    </r>
  </si>
  <si>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</si>
  <si>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</si>
  <si>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</si>
  <si>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</si>
  <si>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</si>
  <si>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</si>
  <si>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</si>
  <si>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</si>
  <si>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</si>
  <si>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25 W LED Street light Fittings p-114  17A/ lower end</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</si>
  <si>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</si>
  <si>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</si>
  <si>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</si>
  <si>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</si>
  <si>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</si>
  <si>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</si>
  <si>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r>
      <t>Add cost of Bakelite battern type holders 6 nos @</t>
    </r>
    <r>
      <rPr>
        <sz val="12"/>
        <color indexed="10"/>
        <rFont val="Helv"/>
      </rPr>
      <t xml:space="preserve"> 16.35/E</t>
    </r>
    <r>
      <rPr>
        <sz val="12"/>
        <rFont val="Helv"/>
      </rPr>
      <t>ach9 (New item 22-p-77)</t>
    </r>
  </si>
  <si>
    <t>Earth work excavation brick work in CM and plastering [SD 234]</t>
  </si>
  <si>
    <t xml:space="preserve">a. 1200X2100mm.(Single leaf)  </t>
  </si>
  <si>
    <t>Providing Shahabad stone flooring</t>
  </si>
  <si>
    <t xml:space="preserve">Total Qty.
(Dev)
</t>
  </si>
  <si>
    <t>Supply and fixing of 20 Amps DP plug and socket in sheet enclosure with 32 A DP MCB  in Flush with wall with earth connection ( For AC Plug ) Legrand ( MDS) / Hager( L&amp; T) Equivalent/ Superior variety  
Ele SD -140 /2020-2021</t>
  </si>
  <si>
    <t xml:space="preserve"> AS PER PWD SR 2020-2021</t>
  </si>
  <si>
    <t>As pr PWD Norms</t>
  </si>
  <si>
    <t>b. 1000X2100mm  without Brass fittings ( Single leaf)</t>
  </si>
  <si>
    <t>Wash Hand  Basin of size 550 x 400 mm
(White with Pedestal)</t>
  </si>
  <si>
    <t>S &amp; F of Granite tile of size 2'x 1', 10mm Thick For  (jet black)</t>
  </si>
  <si>
    <r>
      <t xml:space="preserve">Supplying and fixing of </t>
    </r>
    <r>
      <rPr>
        <b/>
        <sz val="18"/>
        <rFont val="Arial"/>
        <family val="2"/>
      </rPr>
      <t>end termination</t>
    </r>
    <r>
      <rPr>
        <sz val="18"/>
        <rFont val="Arial"/>
        <family val="2"/>
      </rPr>
      <t xml:space="preserve"> suitable for 3.5 core 70 Sqmm PVC armoured LTUG cable </t>
    </r>
  </si>
  <si>
    <t>Prviding Augering  30 cm dia for compound wall</t>
  </si>
  <si>
    <t xml:space="preserve">Concrete Designer Tiles flooring </t>
  </si>
  <si>
    <t>Supply and fixing of  Bulk Head fitting suitable for  12W LED Bulb</t>
  </si>
  <si>
    <t>TAMIL NADU POLICE HOUSING CORPORATION LTD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</si>
  <si>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</si>
  <si>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</si>
  <si>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</si>
  <si>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</si>
  <si>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</si>
  <si>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</si>
  <si>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</si>
  <si>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</si>
  <si>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</si>
  <si>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</si>
  <si>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</si>
  <si>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</si>
  <si>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</si>
  <si>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</si>
  <si>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</si>
  <si>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</si>
  <si>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</si>
  <si>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</si>
  <si>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</si>
  <si>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</si>
  <si>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</si>
  <si>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</si>
  <si>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a. 110 mm dia PVC bend (TWAD SR 19-20  P-19 S.No-4 )</t>
  </si>
  <si>
    <t>a. 110 mm dia PVC Equal tee(TWAD SR 19-20 P-19 S.No-9 )</t>
  </si>
  <si>
    <t>b. 160 mm dia PVC Equal tee(TWAD SR 19-20 P-19 S.No-9 )</t>
  </si>
  <si>
    <t>b. 160 mm dia PVC bend (TWAD SR 19-20 P-19 it-1.5, S.No-4 )</t>
  </si>
  <si>
    <t>External electrical arrangements</t>
  </si>
  <si>
    <t>Supply, fiing of 25W LED street light etc.,</t>
  </si>
  <si>
    <t>Development works</t>
  </si>
  <si>
    <t>RCC circualar sump</t>
  </si>
  <si>
    <t xml:space="preserve">Supplying and Fixing of Rolling shutters of all sizes (under 8m2) PWD SR </t>
  </si>
  <si>
    <t>Providing Ornamental work engaging skilled Mason I Class / Shape design works/ stapahy works</t>
  </si>
  <si>
    <t>Providing ornamental border design for bottom shape works (9"x9") 25mm tk projection / stapay works</t>
  </si>
  <si>
    <t>Providing Elevation grooves of size 25x6mm</t>
  </si>
  <si>
    <t>Providing Rain water Harvesting well ring of Circular shape of 90mm dia, 60cm depth using Standardised Mix design M20</t>
  </si>
  <si>
    <t xml:space="preserve">S&amp;F 3.5 X 35mm LTUG CABLE </t>
  </si>
  <si>
    <t>a). Providing pit (M30)</t>
  </si>
  <si>
    <t>Supply and erection of 125 Amps capacity floor mounting panel board (Cubical type)</t>
  </si>
  <si>
    <t>Borewell &amp; External water supply</t>
  </si>
  <si>
    <t>Supplying and laying of 3.5 core 50 sq.mm PVC armoured LTUG cable (below GL) SD-206</t>
  </si>
  <si>
    <t>Supplying and fixing of 250 Watts Metal halide Flood light etc., CER.No.28/2020-2021</t>
  </si>
  <si>
    <t>Supplying of 4x16 sqmm PVC armoured LTUG cable (SD 203) (below ground level)</t>
  </si>
  <si>
    <t>Providing T.W double leaf shutter with 18mm thick BWR Plywood for Cupboard / ward robes shutters (Rest room) 4000x2100mm</t>
  </si>
  <si>
    <t>Supplying and laying of 3.5 core 50 sq.mm PVC armoured LTUG cable (above GL) SD-224</t>
  </si>
  <si>
    <t>Cement Concrete Road</t>
  </si>
  <si>
    <t>Borewell &amp; External water supply arrangements</t>
  </si>
  <si>
    <t>Provision for Soil investigation</t>
  </si>
  <si>
    <t>TW panelled  single door shutter with brass fittings.</t>
  </si>
  <si>
    <t>Vibrat-charges(P.C.C) sl.71/1 p25</t>
  </si>
  <si>
    <t>Earth filling charges sl.46/85 p23</t>
  </si>
  <si>
    <t>E.W.  40/62 p-22</t>
  </si>
  <si>
    <t>E.W (SDR) 41/67 p-23</t>
  </si>
  <si>
    <t>LIFT CHARGES FOR CONCRETE IN G.F  *it-60/1 p-24</t>
  </si>
  <si>
    <t>SCRAPING THE OLD PLASTER SURFACE * p26/76/338</t>
  </si>
  <si>
    <t>2021-2022</t>
  </si>
  <si>
    <t>POLISHING STONE (average of rough, medium, fine) it-56 p-37</t>
  </si>
  <si>
    <t>Earth work lift for addl 1M p-23 it-45/77</t>
  </si>
  <si>
    <t>Labour for petty iron worksp-29 it-127/1</t>
  </si>
  <si>
    <t>LABOUR FOR CUTTING 15mm DIA   * p-26 it-85 pwd</t>
  </si>
  <si>
    <t>HIRE CHARGES FOR   POWER POLISHER -it238/p55</t>
  </si>
  <si>
    <t>ELC. CONSUMPTION CHARGES -it239/p56</t>
  </si>
  <si>
    <t>LABOUR FOR FIXING WINDOW BARS p-29 it-129</t>
  </si>
  <si>
    <t>MIXER OPERATER * p-13 S.No.80/79</t>
  </si>
  <si>
    <t>GRINDING MORTAR * 124/2 p-28</t>
  </si>
  <si>
    <t>G.I. SHEET SR156 / 114 1.6mmT.K,30cmWIDE P-19 it-132/114</t>
  </si>
  <si>
    <t>BINDING WIRE p-19 it-130/113</t>
  </si>
  <si>
    <t>RED OXIDE P-37/ it-45</t>
  </si>
  <si>
    <t>BEST GOPALVARNISH REDY MIX (PWD LR) p37 It.52</t>
  </si>
  <si>
    <t>READY MIX PAINT II ND/ IST for wood p-45 sl.145</t>
  </si>
  <si>
    <t>READY MIX PRIMER PAINT sl.144/ p50 wood primer)</t>
  </si>
  <si>
    <t>CHICKEN MESH 10X10X10G it-136/129 P-20</t>
  </si>
  <si>
    <t>WELD MESH  75X25X10G / Fly proof mesh Sl.no.133 p-20</t>
  </si>
  <si>
    <t>WELD MESH 100X100X10G S.no.135 p-20</t>
  </si>
  <si>
    <t>IWC ORIYA PAN p49/176 ( white)</t>
  </si>
  <si>
    <t>S.W.TEE 100/150mm DIA WITH ISI MARK it-208/a p-53</t>
  </si>
  <si>
    <t>S.W.PIPE 100mm DIAWITH ISI MARKit-207/a p-53</t>
  </si>
  <si>
    <t>S.W.BEND 100/150mm DIAWITH ISI MARK it-208/b p-53</t>
  </si>
  <si>
    <t>READY MIX PAINT II ND/ IST for iron it-147 p-45</t>
  </si>
  <si>
    <t>S.W.TEE 150mm DIA WITH ISI MARK it-208/a p-53</t>
  </si>
  <si>
    <t>S.W.BEND 150mm DIA p-53 it-208 b</t>
  </si>
  <si>
    <t>S.W.GULLY TRAP 150X100mm it-202 p-51</t>
  </si>
  <si>
    <t>CENTERING C.W BOARDING 40mmT.K ( Silver oakplank 40mm thick) 107/78 b p-18</t>
  </si>
  <si>
    <t>CENTERING C.W. JOIST ( Silver oak scantling)  it-101/77d p-18</t>
  </si>
  <si>
    <t>CASURINA POST 10cm TO 13cm DIA *p-19 /116b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</si>
  <si>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</si>
  <si>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</si>
  <si>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</si>
  <si>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</si>
  <si>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</si>
  <si>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</si>
  <si>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</si>
  <si>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</si>
  <si>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</si>
  <si>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</si>
  <si>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</si>
  <si>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</si>
  <si>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</si>
  <si>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</si>
  <si>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</si>
  <si>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 xml:space="preserve"> 15mmDIA p-45 it-154 </t>
  </si>
  <si>
    <t>G.I. BEND p-46  S.No-155 it-c</t>
  </si>
  <si>
    <t xml:space="preserve"> 65mm DIA TWAD 2020-2021 p43</t>
  </si>
  <si>
    <t>G.I.COUPLERp-47 it-e</t>
  </si>
  <si>
    <t xml:space="preserve"> 65mm DIA TWAD p 43</t>
  </si>
  <si>
    <t>E.W.EXCAVATION SS 20B AS PER SR ITEM 61,62 * P-22</t>
  </si>
  <si>
    <t>LIFT CHARGES FOR B.W IN G.F  * it-62/1 p-25</t>
  </si>
  <si>
    <t>HBSJ 11.2mm IRC metal (High W ay SR 21-22)</t>
  </si>
  <si>
    <t>JOINT it-252 b p-58</t>
  </si>
  <si>
    <t>C.I.STEEPS(5Kg)p57</t>
  </si>
  <si>
    <t>BRASS TAP 15mm / 12 mm dia (HEAVY) p - 48 it-158</t>
  </si>
  <si>
    <t>CERAMIC-FLOOR TILES WHITE/PLAINCOLOUR-6MM tk (PWD LR) p34 it 5i (33.8/0.093025)</t>
  </si>
  <si>
    <t>TARRED HEMP YARN p- 53 /210</t>
  </si>
  <si>
    <t>WHITE / Colour CEMENT (PWD LR) average p-35 it24+25/2</t>
  </si>
  <si>
    <t>WHITE CEMENT (PWD LR) p-35 /24</t>
  </si>
  <si>
    <t>COLOUR CEMENT (PWD LR)p-35/25</t>
  </si>
  <si>
    <t>E.W.C. WITH S  TRAP it-177( 1)p-49</t>
  </si>
  <si>
    <t>WASH BASIN 480x400mm without pedastal it-184 p-50</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</si>
  <si>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</si>
  <si>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</si>
  <si>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</si>
  <si>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</si>
  <si>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</si>
  <si>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M.S.WINDOW GRILLS / Special extruded sections for Steel Windows *p20/131</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</si>
  <si>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</si>
  <si>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</si>
  <si>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</si>
  <si>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</si>
  <si>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</si>
  <si>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SINTEX WATER TANK OF 750 LIT it-180 p-50</t>
  </si>
  <si>
    <t>POISHED CUDDAPAH SLAB 20mm/40 mm THICK WELL POISHED  p-17 it-74/75</t>
  </si>
  <si>
    <t>CUDDAPAH SLAB SINK 60X45cm,20mmT.K p -50 it-186</t>
  </si>
  <si>
    <t>GRANITE SLAB 20mm THICK OF BEST QUALITY Synthetic Grey, p-36</t>
  </si>
  <si>
    <t>Flat back urinal WITH ALL ACCESSORIES (white)p-50 it-189</t>
  </si>
  <si>
    <t>FOR DOORS OF ALL SIZE (Qtn. For syntex.) Hollow p43 128a</t>
  </si>
  <si>
    <t>Brass screw p-55 it-228</t>
  </si>
  <si>
    <t xml:space="preserve"> ORNAMENTAL; HANDLE WITH SCREWS(100mm)p41 it-108c </t>
  </si>
  <si>
    <t>BEST VARNISH p37/52</t>
  </si>
  <si>
    <t>RATE AS PER  PWD LR For Window  p 38/ it 82</t>
  </si>
  <si>
    <t>Steel grill for Verandah Enclousure PWD SR p20/ Item 138/131</t>
  </si>
  <si>
    <t>Casurina props 5 to 8cm dia p19 / It- 118 d</t>
  </si>
  <si>
    <t>CW reepers 50x25 cm it-109 p-18</t>
  </si>
  <si>
    <t>PVC WATER TANK OF 700 LITRE CAPACITY p50 /180</t>
  </si>
  <si>
    <t>CI MANHOLE COVER 60CMX60CMX50KG p-55/234</t>
  </si>
  <si>
    <t>Brass Tap with ISI Mark p48/158</t>
  </si>
  <si>
    <t>1.5 sqmm copper PVC insulated unsheathed single core cable (P-125 it-2/b)</t>
  </si>
  <si>
    <t>PVC rigid conduit pipe 19 mm / 20mm heavy duty with ISI mark p-128 part -I IX-1 b</t>
  </si>
  <si>
    <t>19 mm PVC rigid bends - p-128 part -I IX-2b</t>
  </si>
  <si>
    <t>19 mm PVC rigid tees (p-129 4b, 15.30/12=1.14)</t>
  </si>
  <si>
    <t>MS joint box 150 x 100 x 75 mm p-126 vi-b part -f</t>
  </si>
  <si>
    <t>Hylem sheet 3 mm thick with lamination p-130 it-7a part-I</t>
  </si>
  <si>
    <t>5 amps flush type switch p-118, Part-C,1 a ( 192.6/12=16.05)</t>
  </si>
  <si>
    <t>Ceiling rose p-116 it-27</t>
  </si>
  <si>
    <t>19 mm PVC junction box  ( p-129,6-b( 41.20/12=3.43)</t>
  </si>
  <si>
    <t>Wiremen Grade  - I ( p-10 it-100)</t>
  </si>
  <si>
    <t>Add cost of Bakelite battern type holders 10 Nos @ Rs 16.50 / Each p-116,  it-25</t>
  </si>
  <si>
    <t>Add the cost of 10 Nos Buzer/Bell @ 41.30/Each it-31a p-116</t>
  </si>
  <si>
    <t>Add the cost of 10 nos  15 x 10 x 7.5 cm TW box @ Rs 16.50/Each p-130,  X-c part -j</t>
  </si>
  <si>
    <t>MS box  200 x 150 x 75 mm  part-  F 1c p-126</t>
  </si>
  <si>
    <t>5 A flush type two way switches ( Staircase switch )part c-b p-118</t>
  </si>
  <si>
    <t>5 A 5 pin non - inter locking switch and plug ( flush type ) part - c (I a) + part - d (I a)( Rs. 192.60/12 + 23.90) p-118 +123 part d a</t>
  </si>
  <si>
    <t>15 Amps 3 pin flush type plug socket Part-D1 b p-123</t>
  </si>
  <si>
    <r>
      <t>Add cost of Bakelite battern type holders 6 nos @</t>
    </r>
    <r>
      <rPr>
        <sz val="12"/>
        <color indexed="10"/>
        <rFont val="Helv"/>
      </rPr>
      <t xml:space="preserve"> 16.50/E</t>
    </r>
    <r>
      <rPr>
        <sz val="12"/>
        <rFont val="Helv"/>
      </rPr>
      <t>ach9 (New item 24-p-114)</t>
    </r>
  </si>
  <si>
    <t>Add 180 mt 2.5 Sqmm copper PVC insulated unsheathed S.C. cable p-125, it- 2 c</t>
  </si>
  <si>
    <t>4 sqmm copper PVC insulated unsheathed single core cable,P-125 it-2-d</t>
  </si>
  <si>
    <t>25mm dia rigid PVC pipe heavy duty with ISI heavy duty with ISI mark part -I 1c P-128, Part -I</t>
  </si>
  <si>
    <t>( 1.5  x 10421) - ( (1608+2224 ) / 2)</t>
  </si>
  <si>
    <t>Bulk head fittings P-116 it-26</t>
  </si>
  <si>
    <t>4 way 16 amps, way 250 volts single phase and neutral link metalic distribution board p-120 7a</t>
  </si>
  <si>
    <t>Three phase distribution board with 4 way/phase and 32 A / Way with fuse and neutral link. P120  8d</t>
  </si>
  <si>
    <t>TW plank of size 750 x 450 x 12 mm thick(91300+11800) p-20+P-31 it-143 labour charge</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</si>
  <si>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</si>
  <si>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</si>
  <si>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</si>
  <si>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</si>
  <si>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</si>
  <si>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</si>
  <si>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</si>
  <si>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r>
      <t xml:space="preserve">32 Amps rating </t>
    </r>
    <r>
      <rPr>
        <b/>
        <sz val="12"/>
        <rFont val="Helv"/>
      </rPr>
      <t xml:space="preserve">Three phase </t>
    </r>
    <r>
      <rPr>
        <sz val="12"/>
        <rFont val="Helv"/>
      </rPr>
      <t>ELCB with 20 to 30 MA sensitivity (P-133  11-a) part -L</t>
    </r>
  </si>
  <si>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</si>
  <si>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</si>
  <si>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</si>
  <si>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</si>
  <si>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</si>
  <si>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</si>
  <si>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</si>
  <si>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</si>
  <si>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</si>
  <si>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</si>
  <si>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</si>
  <si>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</si>
  <si>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</si>
  <si>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</si>
  <si>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</si>
  <si>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</si>
  <si>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</si>
  <si>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</si>
  <si>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</si>
  <si>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</si>
  <si>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</si>
  <si>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</si>
  <si>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</si>
  <si>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</si>
  <si>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</si>
  <si>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</si>
  <si>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</si>
  <si>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</si>
  <si>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</si>
  <si>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</si>
  <si>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</si>
  <si>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</si>
  <si>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</si>
  <si>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</si>
  <si>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Hylem sheet 0.60 Sq m@ 630/Sq m p-130  ,7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</si>
  <si>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</si>
  <si>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</si>
  <si>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</si>
  <si>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</si>
  <si>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</si>
  <si>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</si>
  <si>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</si>
  <si>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</si>
  <si>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r>
      <t>6 Sq.mm. single core PVC copper cables for connection between fuse units and meter and between meter and 32A TPN MCB</t>
    </r>
    <r>
      <rPr>
        <b/>
        <sz val="10"/>
        <rFont val="Arial"/>
        <family val="2"/>
      </rPr>
      <t xml:space="preserve"> (P-125  it-2e)</t>
    </r>
  </si>
  <si>
    <t>19 mm PVC saddles / p 129 ,  5  b</t>
  </si>
  <si>
    <t>6 sqmm copper PVC insulated unsheathed single core cable p 125 , 2  part -E</t>
  </si>
  <si>
    <t>4 sqmm copper PVC insulated unsheathed single core cable for continuous earth connectionp  P-125 2 d</t>
  </si>
  <si>
    <t xml:space="preserve"> 4"X5/8"ALU.TOWER BOLT p -40/i 95f </t>
  </si>
  <si>
    <t>4 sqmm copper PVC insulated unsheathed single core cable for continuous earth connectionp-</t>
  </si>
  <si>
    <t>10 sqmm copper PVC insulated unsheathed single core cable (P-125  it-2-f part-F)</t>
  </si>
  <si>
    <t>6 sqmm copper PVC insulated unsheathed single core cable for continuous earth connectionp</t>
  </si>
  <si>
    <t>4 way 7 segment 3 tier compartmental type MCB DB [SR P.138]</t>
  </si>
  <si>
    <t>63A TPN 10 KA MCB [SR P.133]</t>
  </si>
  <si>
    <t>40A DP 30MA ELCB [SR P.133]</t>
  </si>
  <si>
    <t>PVC RIGID CONDUIT PIPE 19M/20MM HEAVY DUTY WITH ISI P -128/ part  I 1b</t>
  </si>
  <si>
    <t>Barbed wire 10 gauge 2 ply and four pronged ( Galvanised) it-133 p-44</t>
  </si>
  <si>
    <t>Casurina Props 10 to 13 m dia @ 75m c/c cost for 1 
operation 25.20/5=5.040 p-19 it-116/b</t>
  </si>
  <si>
    <t>A.C. sheet 6mm thick p -38 /78</t>
  </si>
  <si>
    <t>Adjustable ridges p-38 it-80</t>
  </si>
  <si>
    <t>U' bolts and nuts p-38 it-81</t>
  </si>
  <si>
    <t>Squat urinal including all accesseries (LSR new Item -4)p -55/i225</t>
  </si>
  <si>
    <t>COST OF Shahabad stone grey colour (Polished Shahabad stone 20mm thick with machine cut edges of size 2' x 2' below) p -36/ 34</t>
  </si>
  <si>
    <t>T.W PLANKS (30-45 CM) (12 TO 25CM THICK) p-17 it-86</t>
  </si>
  <si>
    <t>RUBBER BUSH (p-41/111)</t>
  </si>
  <si>
    <t>DOOR STOPPER (p41/110)</t>
  </si>
  <si>
    <t xml:space="preserve">L.C Wrought and put up in Flush shutter </t>
  </si>
  <si>
    <t>Double leaves</t>
  </si>
  <si>
    <t>Single leave</t>
  </si>
  <si>
    <t xml:space="preserve">LABOUR FOR WROUGHT&amp;PUTUP p 28/116 a single </t>
  </si>
  <si>
    <t xml:space="preserve"> it-110 p-41</t>
  </si>
  <si>
    <t>LABOUR CHARGE FOR SHUTTER (Double leaf) p/28 /116 b</t>
  </si>
  <si>
    <t>50 mm dia PVC (SWR) pipe ( qtn) (p-99)</t>
  </si>
  <si>
    <t>with 32mm GI waste pipe and 32mm CP waste coupling it-187 p-50</t>
  </si>
  <si>
    <t>Supply and fixing of Mirror of size 600x450mm size (p-51-it-200)</t>
  </si>
  <si>
    <t>Supply and fixing of Mirror of size500x400mm size (p-51 it-200 -ii)</t>
  </si>
  <si>
    <t>10 lit. capacity. P- 49 / 179a</t>
  </si>
  <si>
    <t>Thorough scrapping -iron</t>
  </si>
  <si>
    <t>Thorough scrapping -wood</t>
  </si>
  <si>
    <t>Thorouh scrapping (p-26 slno.357 d)</t>
  </si>
  <si>
    <t>Clean removal of cement plaster from walls and racking out joints 20mm deep</t>
  </si>
  <si>
    <t>Removal of old cement mortor racking out joints 20mm deep p-26/75/321</t>
  </si>
  <si>
    <t>OBD p-45 sl.140</t>
  </si>
  <si>
    <t>Plastic Emulsion PAINT  (LMR item 113) p-45 143( First qty</t>
  </si>
  <si>
    <t>Primer     (LMR item 142) p45</t>
  </si>
  <si>
    <t>Solid core flush door shutter with TW palin -it-121 p-42</t>
  </si>
  <si>
    <t>L.C Wrought and put up T.W Window</t>
  </si>
  <si>
    <t xml:space="preserve"> Cost of Colour Marble chips ( 90.20/0.0354)=2548.02 (P-35 it-26 )</t>
  </si>
  <si>
    <t>Cost of UPVC SN8 Pipe (TWAD SR 2020-21 P-20 1.2 1)</t>
  </si>
  <si>
    <t>Cost of UPVC SN8 Pipe (TWAD SR 20-21 P-20 1.2 a /3)</t>
  </si>
  <si>
    <t>Country wood reeper (50 x 25 mm p-18 s.no.109)</t>
  </si>
  <si>
    <t>Melamin Polish  (P-45/148)</t>
  </si>
  <si>
    <t>PATTY  (p-45/151)</t>
  </si>
  <si>
    <t>White wall putty powder</t>
  </si>
  <si>
    <t>Aluminium section 'it- 84 a/p38</t>
  </si>
  <si>
    <t xml:space="preserve"> BRASS SCREWS ( 30x6mm)(An-VI -it-228 p-55</t>
  </si>
  <si>
    <t xml:space="preserve"> BRASS SCREWS (75x 10mm)(An-VI -it-229</t>
  </si>
  <si>
    <t>COST OF   nano polish Vitified TILES (LSR New It-1) p-35 it-14</t>
  </si>
  <si>
    <t>15cm dia casurina poles p -19 /115a.</t>
  </si>
  <si>
    <t>Country wood planks p -18 /107</t>
  </si>
  <si>
    <t>Aluminium section (p-38/84a)</t>
  </si>
  <si>
    <t xml:space="preserve"> 40MM DIA UPVC PIPE ABOVE G.L:-</t>
  </si>
  <si>
    <t xml:space="preserve">LAYING JOINTING INCLUDING </t>
  </si>
  <si>
    <t>ALIGNING (Twad-2020-21/255)</t>
  </si>
  <si>
    <t>CUTTING CHARGES p -26 Itm 93</t>
  </si>
  <si>
    <t>THREADING CHARGES p- 26 Itm 93</t>
  </si>
  <si>
    <t>Providing rajasthan kota stone slabs of of 20mm thick with machine cut edges of size below in C.M 1:3 p-36 sl.36</t>
  </si>
  <si>
    <t>10"X1/2"TOWER BOLT p40 103c</t>
  </si>
  <si>
    <t>12"X5/8"ALDROP p -41 105a</t>
  </si>
  <si>
    <t>RUBBERBUSH 40 DIA &amp; 60 MM LONG  p -41 sl.111</t>
  </si>
  <si>
    <t>Alu. DOOR STOPPER p41 110</t>
  </si>
  <si>
    <t>5.5 MM THICK PLAIN GLASS p44 sl.137</t>
  </si>
  <si>
    <t>T.W. beeding 15mm x 12 mm p42 113a</t>
  </si>
  <si>
    <t>1mm thick laminated sheet [SR P.55]</t>
  </si>
  <si>
    <t>Fevicol [SR P.39]</t>
  </si>
  <si>
    <t>Nails [SR P.42]</t>
  </si>
  <si>
    <t>Plasticizer / Super Plasticizer P-67/270</t>
  </si>
  <si>
    <t>COST OF CERAMIC FLOOR TILES p-34 it-7 a</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</si>
  <si>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</si>
  <si>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</si>
  <si>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</si>
  <si>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</si>
  <si>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</si>
  <si>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</si>
  <si>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</si>
  <si>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</si>
  <si>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Granite slab ( Jet Black) p-36 it-29a</t>
  </si>
  <si>
    <t>COST OF granite FLOOR TILES, (p-36/29c)
gray</t>
  </si>
  <si>
    <t>COST OF granite FLOOR TILES, 
Ruby Red  p-36 28b</t>
  </si>
  <si>
    <t>Shellac p-49/168</t>
  </si>
  <si>
    <t>Thread ball p-49/173</t>
  </si>
  <si>
    <t>Granite slab ( Jet Black) p-35 it-28 a</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</si>
  <si>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</si>
  <si>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</si>
  <si>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</si>
  <si>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</si>
  <si>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</si>
  <si>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</si>
  <si>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</si>
  <si>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</si>
  <si>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</si>
  <si>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</si>
  <si>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</si>
  <si>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</si>
  <si>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</si>
  <si>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</si>
  <si>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</si>
  <si>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</si>
  <si>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</si>
  <si>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</si>
  <si>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</si>
  <si>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</si>
  <si>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 ORNAMENTAL; HANDLE WITH SCREWS(100mm)p46 it-98c </t>
  </si>
  <si>
    <t xml:space="preserve">LOCKS &amp;KEY </t>
  </si>
  <si>
    <t>Two coat of enamel paint</t>
  </si>
  <si>
    <t>Providing Rain Water Harvesting well ring circular shape of 90cm dia, 60cm depth,50mm thick using m30 grade concrete including steel fabrication.</t>
  </si>
  <si>
    <t>M30 grade concrete</t>
  </si>
  <si>
    <t>Steel fabrication</t>
  </si>
  <si>
    <t>Providing nosing to the edges of Granite slab
Double Nosing PWD SRP-36</t>
  </si>
  <si>
    <t>Supplying and fixing in position of UPVC Ventilator louvered ventilator  type for all sizes 
 SR 2021-2022 p-66</t>
  </si>
  <si>
    <t>Supplying and fixing in position of UPVC window of casement type( open) for all sizes SR 2021-2022 p-65</t>
  </si>
  <si>
    <t>Supply and fixing of 9 watts  LED bulb  
PWD SR P-115</t>
  </si>
  <si>
    <t>Supply and fixing of 4' 18 watts  LED  Tube Light
PWD SR P-114</t>
  </si>
  <si>
    <t>Amount
2021-2022</t>
  </si>
  <si>
    <t>Add the cost of 10 nos 5A type push switch @ Rs16.5/ Each</t>
  </si>
  <si>
    <r>
      <t xml:space="preserve">Tamil Nadu Police Housing Corparation Ltd. </t>
    </r>
    <r>
      <rPr>
        <b/>
        <sz val="12"/>
        <rFont val="Cambria"/>
        <family val="1"/>
        <scheme val="major"/>
      </rPr>
      <t xml:space="preserve"> DATA</t>
    </r>
  </si>
  <si>
    <r>
      <t xml:space="preserve">Mortar mix charges manual  </t>
    </r>
    <r>
      <rPr>
        <sz val="10"/>
        <rFont val="Cambria"/>
        <family val="1"/>
        <scheme val="major"/>
      </rPr>
      <t>sl.125(Ann3 N-29)</t>
    </r>
  </si>
  <si>
    <r>
      <t xml:space="preserve">Vibrat-charges(R.C.C) </t>
    </r>
    <r>
      <rPr>
        <sz val="10"/>
        <rFont val="Cambria"/>
        <family val="1"/>
        <scheme val="major"/>
      </rPr>
      <t>sl.71/2 p25</t>
    </r>
  </si>
  <si>
    <r>
      <t xml:space="preserve">L.C.T.W.Door- </t>
    </r>
    <r>
      <rPr>
        <sz val="10"/>
        <rFont val="Cambria"/>
        <family val="1"/>
        <scheme val="major"/>
      </rPr>
      <t>104/2 p-27</t>
    </r>
  </si>
  <si>
    <r>
      <t>L.C.marine doors-</t>
    </r>
    <r>
      <rPr>
        <sz val="10"/>
        <rFont val="Cambria"/>
        <family val="1"/>
        <scheme val="major"/>
      </rPr>
      <t>105/3 p-27</t>
    </r>
  </si>
  <si>
    <r>
      <t xml:space="preserve">TW glazed window </t>
    </r>
    <r>
      <rPr>
        <sz val="10"/>
        <rFont val="Cambria"/>
        <family val="1"/>
        <scheme val="major"/>
      </rPr>
      <t>109/8 p-27</t>
    </r>
  </si>
  <si>
    <r>
      <t>Wrought&amp;putup</t>
    </r>
    <r>
      <rPr>
        <sz val="10"/>
        <rFont val="Cambria"/>
        <family val="1"/>
        <scheme val="major"/>
      </rPr>
      <t xml:space="preserve"> 103/1 p-27</t>
    </r>
  </si>
  <si>
    <r>
      <t xml:space="preserve">Ventilator </t>
    </r>
    <r>
      <rPr>
        <sz val="10"/>
        <rFont val="Cambria"/>
        <family val="1"/>
        <scheme val="major"/>
      </rPr>
      <t>113/14 p-28</t>
    </r>
  </si>
  <si>
    <r>
      <t xml:space="preserve">Meter- </t>
    </r>
    <r>
      <rPr>
        <sz val="10"/>
        <rFont val="Cambria"/>
        <family val="1"/>
        <scheme val="major"/>
      </rPr>
      <t>Cupboard Weldmesh 118/23 p-28</t>
    </r>
  </si>
  <si>
    <r>
      <t>FITTER-II (</t>
    </r>
    <r>
      <rPr>
        <sz val="10"/>
        <rFont val="Cambria"/>
        <family val="1"/>
        <scheme val="major"/>
      </rPr>
      <t>Pipe &amp; Bar Bend) 16/20a p-10</t>
    </r>
  </si>
  <si>
    <r>
      <t xml:space="preserve">FITTER-I </t>
    </r>
    <r>
      <rPr>
        <sz val="10"/>
        <rFont val="Cambria"/>
        <family val="1"/>
        <scheme val="major"/>
      </rPr>
      <t>(Pipe &amp; Bar Bend) 57/20A p-12</t>
    </r>
  </si>
  <si>
    <r>
      <t xml:space="preserve">TW glazed door </t>
    </r>
    <r>
      <rPr>
        <sz val="10"/>
        <rFont val="Cambria"/>
        <family val="1"/>
        <scheme val="major"/>
      </rPr>
      <t>106/4 p-27</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</si>
  <si>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</si>
  <si>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</si>
  <si>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</si>
  <si>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</si>
  <si>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</si>
  <si>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GRAVEL</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</si>
  <si>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</si>
  <si>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</si>
  <si>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</si>
  <si>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</si>
  <si>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</si>
  <si>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</si>
  <si>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</si>
  <si>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</si>
  <si>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</si>
  <si>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</si>
  <si>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OF40mm THICK </t>
    </r>
    <r>
      <rPr>
        <b/>
        <sz val="12"/>
        <rFont val="Cambria"/>
        <family val="1"/>
        <scheme val="major"/>
      </rPr>
      <t>using standardised concrete mix of M20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</si>
  <si>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</si>
  <si>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</si>
  <si>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</si>
  <si>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</si>
  <si>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</si>
  <si>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</si>
  <si>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</si>
  <si>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</si>
  <si>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</si>
  <si>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</si>
  <si>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</si>
  <si>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</si>
  <si>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</si>
  <si>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</si>
  <si>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</si>
  <si>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</si>
  <si>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</si>
  <si>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</si>
  <si>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</si>
  <si>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</si>
  <si>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</si>
  <si>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</si>
  <si>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</si>
  <si>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</si>
  <si>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</si>
  <si>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</si>
  <si>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</si>
  <si>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</si>
  <si>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</si>
  <si>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</si>
  <si>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</si>
  <si>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</si>
  <si>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</si>
  <si>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</si>
  <si>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</si>
  <si>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</si>
  <si>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</si>
  <si>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</si>
  <si>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</si>
  <si>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</si>
  <si>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</si>
  <si>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</si>
  <si>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</si>
  <si>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</si>
  <si>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</si>
  <si>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</si>
  <si>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</si>
  <si>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</si>
  <si>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</si>
  <si>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</si>
  <si>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</si>
  <si>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</si>
  <si>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</si>
  <si>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</si>
  <si>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</si>
  <si>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</si>
  <si>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</si>
  <si>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</si>
  <si>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</si>
  <si>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</si>
  <si>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t>`</t>
  </si>
  <si>
    <r>
      <t xml:space="preserve">Earth work excavation in all soils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</si>
  <si>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</si>
  <si>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</si>
  <si>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</si>
  <si>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</si>
  <si>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</si>
  <si>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</si>
  <si>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</si>
  <si>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</si>
  <si>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</si>
  <si>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</si>
  <si>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</si>
  <si>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</si>
  <si>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</si>
  <si>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</si>
  <si>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</si>
  <si>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</si>
  <si>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</si>
  <si>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Floor plastering</t>
    </r>
    <r>
      <rPr>
        <sz val="18"/>
        <rFont val="Cambria"/>
        <family val="1"/>
        <scheme val="major"/>
      </rPr>
      <t xml:space="preserve"> in C.M. 1:4, 20 mm tk.</t>
    </r>
  </si>
  <si>
    <r>
      <t>White washing 3 coats</t>
    </r>
    <r>
      <rPr>
        <b/>
        <sz val="18"/>
        <rFont val="Cambria"/>
        <family val="1"/>
        <scheme val="major"/>
      </rPr>
      <t xml:space="preserve">  (slaked)</t>
    </r>
  </si>
  <si>
    <r>
      <t xml:space="preserve">Anticorrosive treatment for </t>
    </r>
    <r>
      <rPr>
        <b/>
        <sz val="18"/>
        <rFont val="Cambria"/>
        <family val="1"/>
        <scheme val="major"/>
      </rPr>
      <t>steel grills</t>
    </r>
  </si>
  <si>
    <r>
      <t xml:space="preserve">Precast </t>
    </r>
    <r>
      <rPr>
        <b/>
        <sz val="16"/>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</si>
  <si>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</si>
  <si>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TW double leaves shutter of size  2000X2400mm.(Double leaves) </t>
    </r>
    <r>
      <rPr>
        <b/>
        <sz val="18"/>
        <rFont val="Cambria"/>
        <family val="1"/>
        <scheme val="major"/>
      </rPr>
      <t>with Brass fittings</t>
    </r>
  </si>
  <si>
    <r>
      <t xml:space="preserve">TW panelled door </t>
    </r>
    <r>
      <rPr>
        <b/>
        <sz val="17"/>
        <rFont val="Cambria"/>
        <family val="1"/>
        <scheme val="major"/>
      </rPr>
      <t>double leaves</t>
    </r>
    <r>
      <rPr>
        <sz val="17"/>
        <rFont val="Cambria"/>
        <family val="1"/>
        <scheme val="major"/>
      </rPr>
      <t xml:space="preserve"> shutter with </t>
    </r>
    <r>
      <rPr>
        <b/>
        <sz val="17"/>
        <rFont val="Cambria"/>
        <family val="1"/>
        <scheme val="major"/>
      </rPr>
      <t>brass fittings</t>
    </r>
    <r>
      <rPr>
        <sz val="17"/>
        <rFont val="Cambria"/>
        <family val="1"/>
        <scheme val="major"/>
      </rPr>
      <t xml:space="preserve"> of size . 2000X2100mm. Thiruvarur AR  Garage</t>
    </r>
  </si>
  <si>
    <r>
      <t xml:space="preserve">TW double leaves shutter of size  </t>
    </r>
    <r>
      <rPr>
        <b/>
        <sz val="18"/>
        <rFont val="Cambria"/>
        <family val="1"/>
        <scheme val="major"/>
      </rPr>
      <t xml:space="preserve">with brass fittings </t>
    </r>
    <r>
      <rPr>
        <sz val="18"/>
        <rFont val="Cambria"/>
        <family val="1"/>
        <scheme val="major"/>
      </rPr>
      <t xml:space="preserve">a.1800 x 2100mm </t>
    </r>
    <r>
      <rPr>
        <b/>
        <sz val="18"/>
        <rFont val="Cambria"/>
        <family val="1"/>
        <scheme val="major"/>
      </rPr>
      <t>For PS</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</si>
  <si>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</si>
  <si>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</si>
  <si>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7"/>
        <rFont val="Cambria"/>
        <family val="1"/>
        <scheme val="major"/>
      </rPr>
      <t>double leaves</t>
    </r>
    <r>
      <rPr>
        <sz val="17"/>
        <rFont val="Cambria"/>
        <family val="1"/>
        <scheme val="major"/>
      </rPr>
      <t xml:space="preserve"> shutter with </t>
    </r>
    <r>
      <rPr>
        <b/>
        <sz val="17"/>
        <rFont val="Cambria"/>
        <family val="1"/>
        <scheme val="major"/>
      </rPr>
      <t>brass fittings</t>
    </r>
    <r>
      <rPr>
        <sz val="17"/>
        <rFont val="Cambria"/>
        <family val="1"/>
        <scheme val="major"/>
      </rPr>
      <t xml:space="preserve"> of size . 1200X2100mm.( Crime &amp; Traffic)</t>
    </r>
  </si>
  <si>
    <r>
      <t xml:space="preserve">TW paneled door shutter  size  2400 x 2400mm  with french window  (two end fixed 5.5mm thick glass and doble leaf shutter , </t>
    </r>
    <r>
      <rPr>
        <b/>
        <sz val="16"/>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</si>
  <si>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</si>
  <si>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</si>
  <si>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</si>
  <si>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</si>
  <si>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</si>
  <si>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</si>
  <si>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</si>
  <si>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</si>
  <si>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</si>
  <si>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</si>
  <si>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Tiles flooring (</t>
    </r>
    <r>
      <rPr>
        <b/>
        <sz val="18"/>
        <rFont val="Cambria"/>
        <family val="1"/>
        <scheme val="major"/>
      </rPr>
      <t xml:space="preserve">Ruby red) </t>
    </r>
    <r>
      <rPr>
        <sz val="18"/>
        <rFont val="Cambria"/>
        <family val="1"/>
        <scheme val="major"/>
      </rPr>
      <t>using 2'x1', 10mm tk</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</si>
  <si>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</si>
  <si>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</si>
  <si>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</si>
  <si>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</si>
  <si>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</si>
  <si>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</si>
  <si>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</si>
  <si>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</si>
  <si>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50 Sqmm PVC armoured LTUG cable  SD 188</t>
    </r>
  </si>
  <si>
    <r>
      <t xml:space="preserve">Supplying and fixing of CP </t>
    </r>
    <r>
      <rPr>
        <b/>
        <sz val="18"/>
        <rFont val="Cambria"/>
        <family val="1"/>
        <scheme val="major"/>
      </rPr>
      <t>Angle cock</t>
    </r>
    <r>
      <rPr>
        <sz val="18"/>
        <rFont val="Cambria"/>
        <family val="1"/>
        <scheme val="major"/>
      </rPr>
      <t xml:space="preserve">  including cost of all materials and all labour charges etc complete (SR P-49 2021-2022)</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</si>
  <si>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</si>
  <si>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</si>
  <si>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</si>
  <si>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</si>
  <si>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</si>
  <si>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</si>
  <si>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</si>
  <si>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</si>
  <si>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</si>
  <si>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</si>
  <si>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</si>
  <si>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</si>
  <si>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Supply and fixing of 12 watts  LED bulb  (</t>
    </r>
    <r>
      <rPr>
        <b/>
        <sz val="18"/>
        <rFont val="Cambria"/>
        <family val="1"/>
        <scheme val="major"/>
      </rPr>
      <t>qtn)</t>
    </r>
  </si>
  <si>
    <t>M Sand</t>
  </si>
  <si>
    <t>M Sand FOR MORTAR sl.100  p20</t>
  </si>
  <si>
    <t>LIME M Sand MIX 1:1 RATIO</t>
  </si>
  <si>
    <t>M Sand FOR FILLING</t>
  </si>
  <si>
    <t>M Sand,LIME,LABOUR FOR MIXING</t>
  </si>
  <si>
    <t>COST OF M Sand</t>
  </si>
  <si>
    <t>M Sand FILLING  * it-75/85</t>
  </si>
  <si>
    <t>M Sand filling charges sl.46/84p23</t>
  </si>
  <si>
    <t>Crushed Stone M Sand FOR MORTAR sl.98/58C p20</t>
  </si>
  <si>
    <t>Crushed Stone M Sand FOR FILLING</t>
  </si>
  <si>
    <t>M Sand FOR MARTER</t>
  </si>
  <si>
    <t>T.W M SandLING OVER2M,BLOW3M</t>
  </si>
  <si>
    <t>BASEMENT  WITH  FILLING M Sand</t>
  </si>
  <si>
    <t>COST OF FILLINGM Sand</t>
  </si>
  <si>
    <t>PROVIDING M Sand  GRAVEL MIX</t>
  </si>
  <si>
    <t>COST OF M Sand,GRAVEL,STACKING,LABOUR FOR</t>
  </si>
  <si>
    <t>Filling M Sand</t>
  </si>
  <si>
    <t>M Sand    (7670 Kg)</t>
  </si>
  <si>
    <t xml:space="preserve"> (NO M Sand)USING GRANITECHIPS</t>
  </si>
  <si>
    <t>River M Sand</t>
  </si>
  <si>
    <t xml:space="preserve">M Sand paper No 50 (Qtn) </t>
  </si>
  <si>
    <t>M Sand paper No 80</t>
  </si>
  <si>
    <t>M Sand paper No 100</t>
  </si>
  <si>
    <t>M Sand seal thinner</t>
  </si>
  <si>
    <t>Supply of river M Sand for filling the voids at 20%</t>
  </si>
  <si>
    <t xml:space="preserve">Labour charges for placing metal and M Sand </t>
  </si>
  <si>
    <t>20mm HBG Machine crushed stone jelly    (7730 Kg)</t>
  </si>
  <si>
    <t>10-12mm HBG Machine crushed stone jelly    (5156 Kg)</t>
  </si>
  <si>
    <t>Karuthamalai</t>
  </si>
  <si>
    <t>Tamil Nadu Police Housing Corporation Ltd.</t>
  </si>
  <si>
    <t>D</t>
  </si>
  <si>
    <t>4 Metre Length Single Bracket Pole with Base Plate</t>
  </si>
  <si>
    <t>(250 x 250 x 6mm)</t>
  </si>
  <si>
    <t>76.10mm OD x 3.65mm Thick x 4000mm Length</t>
  </si>
  <si>
    <t>SOR 2021-22 Pg.148</t>
  </si>
  <si>
    <t>S &amp; F of 25 watts LED street light fittings</t>
  </si>
  <si>
    <t xml:space="preserve"> 2 wires of 4 Sqmm</t>
  </si>
  <si>
    <t>NCM  M-Sand unit,Shanmugasundarapuram village,Aundipatty taluk.</t>
  </si>
  <si>
    <t>Kunnur</t>
  </si>
  <si>
    <t>Kadamalaikundu</t>
  </si>
  <si>
    <t xml:space="preserve">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t>
  </si>
  <si>
    <t>Name of work : Construction of Fire and Rescue service station building with development works at Kadamalaikundu in Theni District.</t>
  </si>
  <si>
    <t>Fire Service  Station Detailed Estimate</t>
  </si>
  <si>
    <t>Description of works</t>
  </si>
  <si>
    <t>Measurements</t>
  </si>
  <si>
    <t>L</t>
  </si>
  <si>
    <t xml:space="preserve">Earth work excavation for foundation in all soils and sub soils including refilling </t>
  </si>
  <si>
    <t>a) 0m to 2m depth</t>
  </si>
  <si>
    <t>Footing</t>
  </si>
  <si>
    <t>C1F1 C6F6</t>
  </si>
  <si>
    <t>x</t>
  </si>
  <si>
    <t>C2F2</t>
  </si>
  <si>
    <t>C3F3,C4F4,C5F5</t>
  </si>
  <si>
    <t>Grade beam</t>
  </si>
  <si>
    <t>Inspection chamber</t>
  </si>
  <si>
    <t>ded:</t>
  </si>
  <si>
    <t xml:space="preserve">C1F1 </t>
  </si>
  <si>
    <t>C3F3</t>
  </si>
  <si>
    <t>C5F5</t>
  </si>
  <si>
    <t xml:space="preserve">Supplying and filling in foundation and basement with filling sand </t>
  </si>
  <si>
    <t>lobby and staircase</t>
  </si>
  <si>
    <t>store/office</t>
  </si>
  <si>
    <t>waiting room</t>
  </si>
  <si>
    <t>corridor-1</t>
  </si>
  <si>
    <t>watcher room</t>
  </si>
  <si>
    <t>sfo room</t>
  </si>
  <si>
    <t>2.1.1</t>
  </si>
  <si>
    <t>Supplying and filling in foundation and basement with Gravel</t>
  </si>
  <si>
    <t>Deduction for Service pit</t>
  </si>
  <si>
    <t>say</t>
  </si>
  <si>
    <t>P C C 1:5:10 for foundation</t>
  </si>
  <si>
    <t xml:space="preserve">Grade beam </t>
  </si>
  <si>
    <t xml:space="preserve">d/F coloumn </t>
  </si>
  <si>
    <t>Standard Design Mix  M20 grade Concrete for RCC Works</t>
  </si>
  <si>
    <t>a) In foundation and basement</t>
  </si>
  <si>
    <t>C1 ,C6</t>
  </si>
  <si>
    <t>C2</t>
  </si>
  <si>
    <t>C3,C5</t>
  </si>
  <si>
    <t>C4</t>
  </si>
  <si>
    <t>Footing   to Grade beam  bottom</t>
  </si>
  <si>
    <t>C1 ,</t>
  </si>
  <si>
    <t>C3,</t>
  </si>
  <si>
    <t>C5</t>
  </si>
  <si>
    <t>C6</t>
  </si>
  <si>
    <t>ded: columns</t>
  </si>
  <si>
    <t>Column to upto G.B to plinth beam bottom</t>
  </si>
  <si>
    <t xml:space="preserve">Plinth beam </t>
  </si>
  <si>
    <t>carage floor matt</t>
  </si>
  <si>
    <t>Service pit bott matt</t>
  </si>
  <si>
    <t>Service pit alround</t>
  </si>
  <si>
    <t>Brick work in cm 1:5 using burnt country bricks and size 22x11x7 CM</t>
  </si>
  <si>
    <t>(1.33+0.12 = 1.45                                         Brick on edge)</t>
  </si>
  <si>
    <t>Wall allround</t>
  </si>
  <si>
    <t>C1</t>
  </si>
  <si>
    <t>C3</t>
  </si>
  <si>
    <t>a) In Ground Floor</t>
  </si>
  <si>
    <t>Column upto Roof Beam Bottom</t>
  </si>
  <si>
    <t>LintelBeam</t>
  </si>
  <si>
    <t>ladies toilet</t>
  </si>
  <si>
    <t>Roof Slab</t>
  </si>
  <si>
    <t>office area</t>
  </si>
  <si>
    <t>add projection front</t>
  </si>
  <si>
    <t>Roof Beam</t>
  </si>
  <si>
    <t>Loft</t>
  </si>
  <si>
    <t>watch room</t>
  </si>
  <si>
    <t>store long</t>
  </si>
  <si>
    <t>Sill slab window w1</t>
  </si>
  <si>
    <t>w2</t>
  </si>
  <si>
    <t>w3</t>
  </si>
  <si>
    <t>fw1</t>
  </si>
  <si>
    <t>ws</t>
  </si>
  <si>
    <t>sw</t>
  </si>
  <si>
    <t>sw1</t>
  </si>
  <si>
    <t>fw/rw</t>
  </si>
  <si>
    <t>SunShade Slab</t>
  </si>
  <si>
    <t>w1</t>
  </si>
  <si>
    <t>Window2</t>
  </si>
  <si>
    <t xml:space="preserve">s/c first flight </t>
  </si>
  <si>
    <t>mid landing</t>
  </si>
  <si>
    <t>2nd flight</t>
  </si>
  <si>
    <t>steps</t>
  </si>
  <si>
    <t>toe beam and mid beam</t>
  </si>
  <si>
    <t>b) In First Floor</t>
  </si>
  <si>
    <t>garage</t>
  </si>
  <si>
    <t>LOFT  sot room</t>
  </si>
  <si>
    <t>restroom</t>
  </si>
  <si>
    <t>restroom2</t>
  </si>
  <si>
    <r>
      <rPr>
        <b/>
        <sz val="13"/>
        <rFont val="Times New Roman"/>
        <family val="1"/>
      </rPr>
      <t>Sill slab window</t>
    </r>
    <r>
      <rPr>
        <sz val="13"/>
        <rFont val="Times New Roman"/>
        <family val="1"/>
      </rPr>
      <t xml:space="preserve"> w</t>
    </r>
  </si>
  <si>
    <t>w4</t>
  </si>
  <si>
    <t>fw/rb</t>
  </si>
  <si>
    <t>sunshade  w</t>
  </si>
  <si>
    <t>parapet column c1</t>
  </si>
  <si>
    <t>c2</t>
  </si>
  <si>
    <t>c3</t>
  </si>
  <si>
    <t>c4</t>
  </si>
  <si>
    <t>c5</t>
  </si>
  <si>
    <t>c6</t>
  </si>
  <si>
    <t xml:space="preserve">s/c 3rd  flight </t>
  </si>
  <si>
    <t>4th flight</t>
  </si>
  <si>
    <t>mid beam</t>
  </si>
  <si>
    <t>c)second floor s/c  col c2</t>
  </si>
  <si>
    <t>beam alround</t>
  </si>
  <si>
    <t>slab</t>
  </si>
  <si>
    <t>sunshade</t>
  </si>
  <si>
    <t>Brick work in cm 1:6 using burnt country bricks and size 22x11x7 CM</t>
  </si>
  <si>
    <t>a)Ground floor</t>
  </si>
  <si>
    <t>d/f m.door</t>
  </si>
  <si>
    <t>fw</t>
  </si>
  <si>
    <t>rv</t>
  </si>
  <si>
    <t>d1</t>
  </si>
  <si>
    <t>d1a</t>
  </si>
  <si>
    <t>d2</t>
  </si>
  <si>
    <t>do</t>
  </si>
  <si>
    <t>td1</t>
  </si>
  <si>
    <t>d/f lintel</t>
  </si>
  <si>
    <t xml:space="preserve">b)first floor </t>
  </si>
  <si>
    <t>staircase &amp; SOT vertical wall near corridor</t>
  </si>
  <si>
    <t>rest room vertical wall</t>
  </si>
  <si>
    <t>rest room horiz wall</t>
  </si>
  <si>
    <t>toilet, stair &amp; SOT horiz wall</t>
  </si>
  <si>
    <t>office area parapet</t>
  </si>
  <si>
    <t>ded: head room wall</t>
  </si>
  <si>
    <t>garage parapet 3 side</t>
  </si>
  <si>
    <t>d/f d1</t>
  </si>
  <si>
    <t>w</t>
  </si>
  <si>
    <t>d/f coloumn c1</t>
  </si>
  <si>
    <t>Garage side wall</t>
  </si>
  <si>
    <t>c)second floor  headroom alround</t>
  </si>
  <si>
    <t>parapet</t>
  </si>
  <si>
    <t>d/f s/c  col c2</t>
  </si>
  <si>
    <t>door open</t>
  </si>
  <si>
    <t>Brick work in cm 1:4 using burnt country bricks and size 22x11x7 CM 110 mm thick</t>
  </si>
  <si>
    <t>b)ground floor</t>
  </si>
  <si>
    <t>ladies toilet hori</t>
  </si>
  <si>
    <t>in b/w bath &amp; wc</t>
  </si>
  <si>
    <t>vert.cross wall</t>
  </si>
  <si>
    <t>gents toilet hori wall for bath</t>
  </si>
  <si>
    <t>hori cross wall for wc</t>
  </si>
  <si>
    <t>in b/w ladies and gents toil wash basin</t>
  </si>
  <si>
    <t>vert.cross wall b/w gents toilt bath</t>
  </si>
  <si>
    <t>vert.cross wall b/w behind wash basin</t>
  </si>
  <si>
    <t>d/f td</t>
  </si>
  <si>
    <t>c)first floor</t>
  </si>
  <si>
    <t>B.W Partition wall 70mm tk</t>
  </si>
  <si>
    <t>a) Ground floor</t>
  </si>
  <si>
    <t>sfo</t>
  </si>
  <si>
    <t>Store</t>
  </si>
  <si>
    <t>b)first floor</t>
  </si>
  <si>
    <t>sot</t>
  </si>
  <si>
    <t>rest room 1,2,3</t>
  </si>
  <si>
    <t>B.W Partition wall 50mm tk</t>
  </si>
  <si>
    <t xml:space="preserve">a) Ground floor  </t>
  </si>
  <si>
    <t xml:space="preserve">  s/c hand rails</t>
  </si>
  <si>
    <t>Column footing</t>
  </si>
  <si>
    <t>Column up to grade beam</t>
  </si>
  <si>
    <t xml:space="preserve">Precast Slab 20mm Tk </t>
  </si>
  <si>
    <t>Rest Room ( 2.00 x 3.00 x 4.00)</t>
  </si>
  <si>
    <t>Office</t>
  </si>
  <si>
    <t>rest room 1</t>
  </si>
  <si>
    <t>sot room</t>
  </si>
  <si>
    <t>rest room 2</t>
  </si>
  <si>
    <t xml:space="preserve">Precast Slab 40mm Tk </t>
  </si>
  <si>
    <t>a)</t>
  </si>
  <si>
    <t>In foundation &amp; basement</t>
  </si>
  <si>
    <t>IC</t>
  </si>
  <si>
    <t>b)</t>
  </si>
  <si>
    <t>In ground floor shelf top slab</t>
  </si>
  <si>
    <t>Precast jally ventilator 50mm thick</t>
  </si>
  <si>
    <t>Ground floor</t>
  </si>
  <si>
    <t>ventilator rv</t>
  </si>
  <si>
    <t>vo</t>
  </si>
  <si>
    <t>ventilator v</t>
  </si>
  <si>
    <t>First floor</t>
  </si>
  <si>
    <t>Teak Wood Wrought &amp; Put Up</t>
  </si>
  <si>
    <t>A) Tea Wood Over 2M &amp; Below 3M</t>
  </si>
  <si>
    <t>For Entrance Door Frame</t>
  </si>
  <si>
    <t>sfo,sot</t>
  </si>
  <si>
    <t xml:space="preserve">B) Teak Wood Below 2M Length </t>
  </si>
  <si>
    <t xml:space="preserve">sot,sfo </t>
  </si>
  <si>
    <t>S &amp; F Magnetic Door Catches</t>
  </si>
  <si>
    <t>Entrance Door &amp; Store,sot,sfo,watcroom</t>
  </si>
  <si>
    <t xml:space="preserve">MS Hold Fast GF </t>
  </si>
  <si>
    <t>P.C.C 1:5:10 Ground floor</t>
  </si>
  <si>
    <t>store</t>
  </si>
  <si>
    <t>bath area</t>
  </si>
  <si>
    <t>Floor Plastering In Cm 1:4, 20Mm Thick</t>
  </si>
  <si>
    <t>Carage</t>
  </si>
  <si>
    <t>Ramp</t>
  </si>
  <si>
    <t>For chamber</t>
  </si>
  <si>
    <t>midlanding</t>
  </si>
  <si>
    <t>LOBBY</t>
  </si>
  <si>
    <t xml:space="preserve">Plastering 1 : 5 12 Mm Tk </t>
  </si>
  <si>
    <t>Outer plastering</t>
  </si>
  <si>
    <t>basement outer wall inner plastering</t>
  </si>
  <si>
    <t>office area parapet allround</t>
  </si>
  <si>
    <t>parapet top</t>
  </si>
  <si>
    <t>parapet inner</t>
  </si>
  <si>
    <t>garage parapet outer wall</t>
  </si>
  <si>
    <t xml:space="preserve">head room outer </t>
  </si>
  <si>
    <t>Deductions</t>
  </si>
  <si>
    <t>D1A</t>
  </si>
  <si>
    <t>FW</t>
  </si>
  <si>
    <t>RV</t>
  </si>
  <si>
    <t>W</t>
  </si>
  <si>
    <t>W1</t>
  </si>
  <si>
    <t>W3</t>
  </si>
  <si>
    <t>W4</t>
  </si>
  <si>
    <t>V</t>
  </si>
  <si>
    <t>VO</t>
  </si>
  <si>
    <t>Head room door</t>
  </si>
  <si>
    <t>A/F jams</t>
  </si>
  <si>
    <t>Garage  outer wall</t>
  </si>
  <si>
    <t>Inner plastering</t>
  </si>
  <si>
    <t>ded: open</t>
  </si>
  <si>
    <t>portico</t>
  </si>
  <si>
    <t>entrance</t>
  </si>
  <si>
    <t>corrider 1</t>
  </si>
  <si>
    <t>corrider 2</t>
  </si>
  <si>
    <t>store 1</t>
  </si>
  <si>
    <t>gents toilet center area</t>
  </si>
  <si>
    <t xml:space="preserve">ladies toilet </t>
  </si>
  <si>
    <t>wash bashin side wall</t>
  </si>
  <si>
    <t>driver mechanic</t>
  </si>
  <si>
    <t>garage side wall</t>
  </si>
  <si>
    <t>Cupboard walls</t>
  </si>
  <si>
    <t>M.D</t>
  </si>
  <si>
    <t>FW1</t>
  </si>
  <si>
    <t>D1</t>
  </si>
  <si>
    <t>D2</t>
  </si>
  <si>
    <t>DO</t>
  </si>
  <si>
    <t>TD1</t>
  </si>
  <si>
    <t>TD</t>
  </si>
  <si>
    <t>W2</t>
  </si>
  <si>
    <t>WS</t>
  </si>
  <si>
    <t>SW</t>
  </si>
  <si>
    <t>SW1</t>
  </si>
  <si>
    <t>V.VO,RV</t>
  </si>
  <si>
    <t>Add Jams</t>
  </si>
  <si>
    <t>outer plastering</t>
  </si>
  <si>
    <t>Plastering  in CM 1 : 4 12 mm</t>
  </si>
  <si>
    <t>For Service station</t>
  </si>
  <si>
    <t>Special Ceiling Plastering in cm 1:3,10mm tk.</t>
  </si>
  <si>
    <t xml:space="preserve">Watch Room </t>
  </si>
  <si>
    <t>Waiting room</t>
  </si>
  <si>
    <t>Entrance / verandha</t>
  </si>
  <si>
    <t>Sfo room</t>
  </si>
  <si>
    <t>rear verandha</t>
  </si>
  <si>
    <t>Store 1</t>
  </si>
  <si>
    <t>Gents /Ladies Toilet</t>
  </si>
  <si>
    <t xml:space="preserve">S/C 1st flight </t>
  </si>
  <si>
    <t xml:space="preserve">S/C 2nd flight </t>
  </si>
  <si>
    <t>s/c lobby</t>
  </si>
  <si>
    <t>Watch Room loft</t>
  </si>
  <si>
    <t>Sfo room loft</t>
  </si>
  <si>
    <t>store loft</t>
  </si>
  <si>
    <t>G.f.garage side shelf</t>
  </si>
  <si>
    <t>SOT balcony</t>
  </si>
  <si>
    <t>sitout</t>
  </si>
  <si>
    <t>sot laft</t>
  </si>
  <si>
    <t>rest room laft 1</t>
  </si>
  <si>
    <t>rest room laft 2</t>
  </si>
  <si>
    <t>s/c 3rd flight</t>
  </si>
  <si>
    <t>s/c 4th flight</t>
  </si>
  <si>
    <t>rear sitout</t>
  </si>
  <si>
    <t xml:space="preserve">garage ceiling </t>
  </si>
  <si>
    <t xml:space="preserve">head room ceiling </t>
  </si>
  <si>
    <t>sunshade w</t>
  </si>
  <si>
    <t xml:space="preserve">Plastering in CM 1 : 5 12mm Borders </t>
  </si>
  <si>
    <t xml:space="preserve">a) 150mm Wide </t>
  </si>
  <si>
    <t>For fire station +office area</t>
  </si>
  <si>
    <t>For L/S building area only</t>
  </si>
  <si>
    <t>b) 75 mm Wide</t>
  </si>
  <si>
    <t>For L/S</t>
  </si>
  <si>
    <t xml:space="preserve">c) 50mm Wide </t>
  </si>
  <si>
    <t>For fire station</t>
  </si>
  <si>
    <t xml:space="preserve">White Washing 3 Coats </t>
  </si>
  <si>
    <t xml:space="preserve">Qty as per Ceiling Plastering </t>
  </si>
  <si>
    <t>Item No: 35</t>
  </si>
  <si>
    <t>Supplying and fixing  of Ms Grills for varandah encloser</t>
  </si>
  <si>
    <t>Ladder 1</t>
  </si>
  <si>
    <t>Ladder 2</t>
  </si>
  <si>
    <t>head room door</t>
  </si>
  <si>
    <t>pump room door</t>
  </si>
  <si>
    <t>flag post</t>
  </si>
  <si>
    <t>35Kg/ sq.m</t>
  </si>
  <si>
    <t>S &amp; F of steel windows</t>
  </si>
  <si>
    <t xml:space="preserve">window </t>
  </si>
  <si>
    <t>Painting New Wood work</t>
  </si>
  <si>
    <t>flush door</t>
  </si>
  <si>
    <t>Co-Efficient=2.6</t>
  </si>
  <si>
    <t xml:space="preserve">Painting New Iron Work </t>
  </si>
  <si>
    <t>Astm Pipe 32Mm Dia</t>
  </si>
  <si>
    <t>Astm Pipe 25Mm Dia</t>
  </si>
  <si>
    <t xml:space="preserve">S &amp; F 20mm Aluminium Hanger rod </t>
  </si>
  <si>
    <t>Aluminium Towel Rail</t>
  </si>
  <si>
    <t>5 pin Coat Stand</t>
  </si>
  <si>
    <t xml:space="preserve">S &amp; F of Chromium Plated 8 Guage Picture Hooks </t>
  </si>
  <si>
    <t xml:space="preserve">In Ground Floor &amp; first floor </t>
  </si>
  <si>
    <t>Supply and Planting avenue Trees</t>
  </si>
  <si>
    <t>Providing Tree Guard</t>
  </si>
  <si>
    <t>50.5.1</t>
  </si>
  <si>
    <t>PVC water supply ASTM Pipe</t>
  </si>
  <si>
    <t>a)32mm Dia</t>
  </si>
  <si>
    <t>Sump to Over Head Tank</t>
  </si>
  <si>
    <t>b)25mm Dia</t>
  </si>
  <si>
    <t>Over Head Tank To Buildings</t>
  </si>
  <si>
    <t>c) 20 mm dia</t>
  </si>
  <si>
    <t xml:space="preserve">Ground Floor Toilet+ First floor </t>
  </si>
  <si>
    <t>20mm dia Hot water GI pipe</t>
  </si>
  <si>
    <t>S &amp; F EWC White  ground floor  sfo room</t>
  </si>
  <si>
    <t>PVC Nahani Trap(4way/2way)</t>
  </si>
  <si>
    <t>Ground Floor</t>
  </si>
  <si>
    <t>61.1.1</t>
  </si>
  <si>
    <t>SN 8 pipe</t>
  </si>
  <si>
    <t xml:space="preserve">a) 110 mm Dia </t>
  </si>
  <si>
    <t xml:space="preserve">For chamber line </t>
  </si>
  <si>
    <t xml:space="preserve">b) 160 mm </t>
  </si>
  <si>
    <t>For chamber line and building to septic tank</t>
  </si>
  <si>
    <t>62.1.1</t>
  </si>
  <si>
    <t>PVC Bend</t>
  </si>
  <si>
    <t>a) 110 mm dia</t>
  </si>
  <si>
    <t>b) 160 mm dia</t>
  </si>
  <si>
    <t>62.2.1</t>
  </si>
  <si>
    <t>PVC  Tee</t>
  </si>
  <si>
    <t>a. 110 mm dia</t>
  </si>
  <si>
    <t>a. 160 mm dia</t>
  </si>
  <si>
    <t>Electrical Arrangements</t>
  </si>
  <si>
    <t xml:space="preserve">15 Amps 3 pin Plug </t>
  </si>
  <si>
    <t>ladies and gents toilets</t>
  </si>
  <si>
    <t>Rest room</t>
  </si>
  <si>
    <t xml:space="preserve">carage </t>
  </si>
  <si>
    <t xml:space="preserve">sot </t>
  </si>
  <si>
    <t xml:space="preserve">S &amp; F Fibre Box with Fan Hook </t>
  </si>
  <si>
    <t>watch room G.F.</t>
  </si>
  <si>
    <t>lobby</t>
  </si>
  <si>
    <t>sot room F.F</t>
  </si>
  <si>
    <t>rest room</t>
  </si>
  <si>
    <t xml:space="preserve">Charges for Fixing Fan </t>
  </si>
  <si>
    <t>S &amp; Laying 8 SWG GI wire</t>
  </si>
  <si>
    <t>S&amp;F of TV/Telephone line socket</t>
  </si>
  <si>
    <t>sfo &amp; sot</t>
  </si>
  <si>
    <t>S &amp; Laying 20mmDia PVC pipe for TV/ Telephone line</t>
  </si>
  <si>
    <t>In Ground Floor</t>
  </si>
  <si>
    <t>first floor</t>
  </si>
  <si>
    <t xml:space="preserve">Earthing Station </t>
  </si>
  <si>
    <t>S &amp; F Country Wood Metre C/B</t>
  </si>
  <si>
    <t>Antitermite Treatment</t>
  </si>
  <si>
    <t>Plinth Area</t>
  </si>
  <si>
    <t xml:space="preserve">S &amp; F Three Phase  ELCB </t>
  </si>
  <si>
    <t>a) For Column footings,plinth beam,Grade beam,Raftbeam,Raft slab etc.,</t>
  </si>
  <si>
    <t>C1F1,C6f6</t>
  </si>
  <si>
    <t>C3F3,C5F5</t>
  </si>
  <si>
    <t>C4F4</t>
  </si>
  <si>
    <t>carage</t>
  </si>
  <si>
    <t>Watcher room</t>
  </si>
  <si>
    <t>SFO</t>
  </si>
  <si>
    <t>Plinth beam</t>
  </si>
  <si>
    <t>b) Plain surfaces such as Roof slab,floorslab,Beams,lintels,lofts,sill slab,staircase,portico slab and other similar works</t>
  </si>
  <si>
    <t>shelf for boots and dresses</t>
  </si>
  <si>
    <t>G.F. Roof Beam</t>
  </si>
  <si>
    <t>d/f duct</t>
  </si>
  <si>
    <t>add projection rear side</t>
  </si>
  <si>
    <t>c) For Square and rectangular columns and small quantities</t>
  </si>
  <si>
    <t>Column to upto  grade  bott</t>
  </si>
  <si>
    <t>C1F1</t>
  </si>
  <si>
    <t>Column to upto  Plinth bott</t>
  </si>
  <si>
    <t>Column upto G.F.Roof Beam Bottom</t>
  </si>
  <si>
    <t>Column upto F.F.Roof Beam Bottom</t>
  </si>
  <si>
    <t>S/C HEAD ROOM COL</t>
  </si>
  <si>
    <t xml:space="preserve"> c2</t>
  </si>
  <si>
    <t>Sunshades</t>
  </si>
  <si>
    <t>Window W bottom</t>
  </si>
  <si>
    <t>SIDES FOR WINDOWS</t>
  </si>
  <si>
    <t>g) DOUBLE Stage centering</t>
  </si>
  <si>
    <t>Garage bottom upto 3.6 m height</t>
  </si>
  <si>
    <t>Garage bottom upto 6.75 m height</t>
  </si>
  <si>
    <t>22.3.3</t>
  </si>
  <si>
    <t xml:space="preserve">T.W Double Leaf Door shutters for c/b  GF </t>
  </si>
  <si>
    <t xml:space="preserve">sfo </t>
  </si>
  <si>
    <t>For store</t>
  </si>
  <si>
    <t xml:space="preserve">Supplying  and  Fixing  of  Solid  Core  Flush  Door </t>
  </si>
  <si>
    <t xml:space="preserve">a) T.W Flush door </t>
  </si>
  <si>
    <t>Door</t>
  </si>
  <si>
    <t xml:space="preserve">b) Door 2 </t>
  </si>
  <si>
    <t>TW panelled door shutter with brass fittings.</t>
  </si>
  <si>
    <t>a. 1200X2400mm.(Single leaf) D</t>
  </si>
  <si>
    <t>b)1800X2400MM</t>
  </si>
  <si>
    <t>S &amp; F solid uPVC door shutter with frame</t>
  </si>
  <si>
    <t>4mm thick pin headed glass panels with Alu.beedings</t>
  </si>
  <si>
    <t xml:space="preserve">Supplying and Fixing of vitrified tiles </t>
  </si>
  <si>
    <t>skirting</t>
  </si>
  <si>
    <t>waiting</t>
  </si>
  <si>
    <t>corridor</t>
  </si>
  <si>
    <t>driver mech.room</t>
  </si>
  <si>
    <t>Store room</t>
  </si>
  <si>
    <t>29.8.1</t>
  </si>
  <si>
    <t xml:space="preserve">Supplying and fixing of glazed tiles </t>
  </si>
  <si>
    <t>bath</t>
  </si>
  <si>
    <t>29.9.1</t>
  </si>
  <si>
    <t>Floor Ceramics Anti skid</t>
  </si>
  <si>
    <t>Qty as per item No: 33 (Inner only)</t>
  </si>
  <si>
    <t>Emulsion paint</t>
  </si>
  <si>
    <t>As per outer plastering area</t>
  </si>
  <si>
    <t>43.1.1</t>
  </si>
  <si>
    <t>Fabrication of Mild steel / RTS grills
(with cement slurry wash) for all sizes of rods.</t>
  </si>
  <si>
    <t>As per  Item 4.2.1</t>
  </si>
  <si>
    <t>As per  Item 8.2.1 (a)</t>
  </si>
  <si>
    <t>As per  Item 8.2.1 (b)</t>
  </si>
  <si>
    <t>Precast slab</t>
  </si>
  <si>
    <t>44.6.1</t>
  </si>
  <si>
    <t>PVC Rain water Pipe type A</t>
  </si>
  <si>
    <t>Garage top to Ground Floor Top</t>
  </si>
  <si>
    <t>G.F to G.L</t>
  </si>
  <si>
    <t>Wash hand basin of size 550mmx 400mm</t>
  </si>
  <si>
    <t>GF</t>
  </si>
  <si>
    <t>FF</t>
  </si>
  <si>
    <t>PVC SWR Pipe type 'B'</t>
  </si>
  <si>
    <t xml:space="preserve">a) 110 mm pipe </t>
  </si>
  <si>
    <t>b) 75mm pipe</t>
  </si>
  <si>
    <t>Bath outlet</t>
  </si>
  <si>
    <t>passage wash basin</t>
  </si>
  <si>
    <t>Supplying , Laying &amp; Concealing the 50 mm dia PVC (SWR) pipe with ISI maek type - 'B' with relevant.</t>
  </si>
  <si>
    <t>For waste water line</t>
  </si>
  <si>
    <t>64.1.1</t>
  </si>
  <si>
    <t>Wiring with 1.5 sqmm PVC insulated single core multi strand fire retardant flexible copper cable with ISI mark confirming IS: 694:1990.</t>
  </si>
  <si>
    <t>a) Light point with ceiling rose</t>
  </si>
  <si>
    <t>Spot light</t>
  </si>
  <si>
    <t>staircase</t>
  </si>
  <si>
    <t>Name board focus light</t>
  </si>
  <si>
    <t>gents and ladies toilet gf +ff</t>
  </si>
  <si>
    <t xml:space="preserve">head room </t>
  </si>
  <si>
    <t>b) Light point without ceiling rose</t>
  </si>
  <si>
    <t>c) Calling bell Point</t>
  </si>
  <si>
    <t>65.1.1</t>
  </si>
  <si>
    <t>Wiring with 1.5 sqmm PVC insulated single core multi strand fire retardant flexible copper cable with ISI mark confirming IS: 694:1990 for Fan point.</t>
  </si>
  <si>
    <t>67.1.2</t>
  </si>
  <si>
    <t>Wiring with 1.5 sqmm PVC insulated single core multi strand fire retardant flexible copper cable with ISI mark confirming IS: 694:1990 for 5 amps 5 pin plug socket point @ Switch Board Itself.</t>
  </si>
  <si>
    <t>68.2.1</t>
  </si>
  <si>
    <t>Wiring with 1.5 sqmm PVC insulated single core multi strand fire retardant flexible copper cable with ISI mark confirming IS: 694:1990 for 5 amps 5 pin plug socket point @ Convenient Places.</t>
  </si>
  <si>
    <t>S &amp; F tube light fitting</t>
  </si>
  <si>
    <t>Garage</t>
  </si>
  <si>
    <t>watcher</t>
  </si>
  <si>
    <t>entrance &amp; stair area</t>
  </si>
  <si>
    <t>SFO room</t>
  </si>
  <si>
    <t>FF-driver</t>
  </si>
  <si>
    <t>cooridor</t>
  </si>
  <si>
    <t>in toilet blocks</t>
  </si>
  <si>
    <t>75.1.2</t>
  </si>
  <si>
    <t>Supply and delivery of Fan with ISI mark with Eletronic Dimmer</t>
  </si>
  <si>
    <t>44.2.1</t>
  </si>
  <si>
    <t>Rain water harvestying using defunt bore well and providing slab</t>
  </si>
  <si>
    <t>a. providind pit</t>
  </si>
  <si>
    <t>b. Augaring 30 cm Dia</t>
  </si>
  <si>
    <t>Painting two coats over new plasterd surface with OBD</t>
  </si>
  <si>
    <t>follw as agt item no 33(Building inner plastering)</t>
  </si>
  <si>
    <t>Melamen polish for main door</t>
  </si>
  <si>
    <t xml:space="preserve">Entrance door, SFO,SOT </t>
  </si>
  <si>
    <t>54.1.2</t>
  </si>
  <si>
    <t>Supplying  and  Fixing  of  CP long body tap</t>
  </si>
  <si>
    <t>Attach &amp; Common toilet</t>
  </si>
  <si>
    <t>54.2.2</t>
  </si>
  <si>
    <t>Supplying  and  Fixing  of CP Short body tap</t>
  </si>
  <si>
    <t>Flat back urinal</t>
  </si>
  <si>
    <t>32.1.3</t>
  </si>
  <si>
    <t>Supplying and laying of Cooling tiles</t>
  </si>
  <si>
    <t>staircase head room slab</t>
  </si>
  <si>
    <t>56.3.2</t>
  </si>
  <si>
    <t>Toilet</t>
  </si>
  <si>
    <t>b)other than G.F</t>
  </si>
  <si>
    <t>S &amp; F of Exhaust Fan 225mm dia</t>
  </si>
  <si>
    <t>G.F. LADIES AND GENTS TOILET</t>
  </si>
  <si>
    <t>F.F. LADIES AND GENTS TOILET</t>
  </si>
  <si>
    <t>NO'S</t>
  </si>
  <si>
    <t>s&amp;F of rcc precast exhaust fan collor</t>
  </si>
  <si>
    <t>Weathering Course</t>
  </si>
  <si>
    <t>bath depression - IWC</t>
  </si>
  <si>
    <t>Endura/Eurocon tiles for staircase</t>
  </si>
  <si>
    <t>front area</t>
  </si>
  <si>
    <t>GF-FF sstair</t>
  </si>
  <si>
    <t>FF-SF stair</t>
  </si>
  <si>
    <t>headroom landing</t>
  </si>
  <si>
    <t>12watts LED bulb</t>
  </si>
  <si>
    <t>for toilets</t>
  </si>
  <si>
    <t>station wall allround</t>
  </si>
  <si>
    <t>vertical beams on corridor</t>
  </si>
  <si>
    <t>beam btwn waiting &amp; watcher</t>
  </si>
  <si>
    <t>stair area horizontal beams</t>
  </si>
  <si>
    <t>store, SFO horizontal walls</t>
  </si>
  <si>
    <t>horiz wall waiting, watcher</t>
  </si>
  <si>
    <t>Garage vertical</t>
  </si>
  <si>
    <t>Garage horiz beam</t>
  </si>
  <si>
    <t>entrance verandah</t>
  </si>
  <si>
    <t>toilet block</t>
  </si>
  <si>
    <t>corridor 2</t>
  </si>
  <si>
    <t>rear verandah</t>
  </si>
  <si>
    <t>rear side corridor vertical</t>
  </si>
  <si>
    <t>for partition walls</t>
  </si>
  <si>
    <t>portico beam front</t>
  </si>
  <si>
    <t xml:space="preserve">Store </t>
  </si>
  <si>
    <t>self for boots and dresses</t>
  </si>
  <si>
    <t>rest room horiz walls</t>
  </si>
  <si>
    <t>horiz wall driver/mechanic</t>
  </si>
  <si>
    <t>Roof beam</t>
  </si>
  <si>
    <t>sot balcony beam</t>
  </si>
  <si>
    <t>ded: garage beam</t>
  </si>
  <si>
    <t>garage vertical beams</t>
  </si>
  <si>
    <t>garage horiz beams</t>
  </si>
  <si>
    <t>driver</t>
  </si>
  <si>
    <t>wash basin wall</t>
  </si>
  <si>
    <t>gents toilet hori wall for wc</t>
  </si>
  <si>
    <t>vertical wall gents toi</t>
  </si>
  <si>
    <t>urinal wall</t>
  </si>
  <si>
    <t>office area all round + basement outer</t>
  </si>
  <si>
    <t>entrance 3 side wall</t>
  </si>
  <si>
    <t>SFO toilet inner</t>
  </si>
  <si>
    <t>corrider 1 side wall</t>
  </si>
  <si>
    <t>rear side corridor 3 side wall</t>
  </si>
  <si>
    <t>stair room inner area</t>
  </si>
  <si>
    <t>ladies toilet inner area</t>
  </si>
  <si>
    <t>wc</t>
  </si>
  <si>
    <t>gents toilet inner area</t>
  </si>
  <si>
    <t>WC</t>
  </si>
  <si>
    <t>SOT balcony wall</t>
  </si>
  <si>
    <t xml:space="preserve">rest room </t>
  </si>
  <si>
    <t>gents toilet bath</t>
  </si>
  <si>
    <t>gents WC</t>
  </si>
  <si>
    <t>ground floor</t>
  </si>
  <si>
    <t xml:space="preserve">stair slab </t>
  </si>
  <si>
    <t>corrider</t>
  </si>
  <si>
    <t>SFO Room Attached Toilet</t>
  </si>
  <si>
    <t>station outer alround</t>
  </si>
  <si>
    <t>toilet inner</t>
  </si>
  <si>
    <t>stair area</t>
  </si>
  <si>
    <t>stair front area</t>
  </si>
  <si>
    <t>entrace and portico</t>
  </si>
  <si>
    <t>cooridor 1</t>
  </si>
  <si>
    <t>garage outer beam outer</t>
  </si>
  <si>
    <t>garage inner area</t>
  </si>
  <si>
    <t xml:space="preserve">First floor roof beam </t>
  </si>
  <si>
    <t>Roof Slab and beam bottom GF + FF</t>
  </si>
  <si>
    <t>GF office area</t>
  </si>
  <si>
    <t>FF area</t>
  </si>
  <si>
    <t>portico projection</t>
  </si>
  <si>
    <t>balcony projection</t>
  </si>
  <si>
    <t>Head room roof</t>
  </si>
  <si>
    <t>SF roof beam outer</t>
  </si>
  <si>
    <t>beam inner</t>
  </si>
  <si>
    <r>
      <rPr>
        <b/>
        <sz val="13"/>
        <rFont val="Times New Roman"/>
        <family val="1"/>
      </rPr>
      <t xml:space="preserve"> Ground floor</t>
    </r>
    <r>
      <rPr>
        <sz val="13"/>
        <rFont val="Times New Roman"/>
        <family val="1"/>
      </rPr>
      <t xml:space="preserve"> </t>
    </r>
  </si>
  <si>
    <t>door openings</t>
  </si>
  <si>
    <t>First Floor</t>
  </si>
  <si>
    <t>cross beam bottom</t>
  </si>
  <si>
    <t>cross beam side outer</t>
  </si>
  <si>
    <t>Base  slab alround sides</t>
  </si>
  <si>
    <t>OHT</t>
  </si>
  <si>
    <t>support wall</t>
  </si>
  <si>
    <t>Supplying and Fixing of C.I manhole Cover slab etc all complete</t>
  </si>
  <si>
    <t>ABSTRACT ESTIMATE (FIRE STATION)</t>
  </si>
  <si>
    <t>Filling gravel</t>
  </si>
  <si>
    <t>Standardised concrete mix M20 grade in F &amp; B</t>
  </si>
  <si>
    <t>Standardised concrete mix M20 grade</t>
  </si>
  <si>
    <t>a) In GF</t>
  </si>
  <si>
    <t>b) In FF</t>
  </si>
  <si>
    <t>c) In SF</t>
  </si>
  <si>
    <t xml:space="preserve"> P.C.C,R.C.C SLAB OF20mm THICK using standardised concrete mix M20</t>
  </si>
  <si>
    <t>a. In F &amp; B</t>
  </si>
  <si>
    <t>b. In GF</t>
  </si>
  <si>
    <t>c.In ff</t>
  </si>
  <si>
    <t>a. Flush door shutter size 1200x2400 (Double leaf)</t>
  </si>
  <si>
    <t>b.Flush door shutter size 1800x2400 (Double leaf)</t>
  </si>
  <si>
    <t>Glass panels with Alu.beedings</t>
  </si>
  <si>
    <t>Vitrified tiles flooring</t>
  </si>
  <si>
    <t>Exterior emulsion</t>
  </si>
  <si>
    <t>Eurocon tiles</t>
  </si>
  <si>
    <t>CP long body</t>
  </si>
  <si>
    <t>CP short body</t>
  </si>
  <si>
    <t>d.in second floor</t>
  </si>
  <si>
    <t>Precast Jally ventilator 50mm tk.using standardised concrete mix M20 (annexure) without vibrating charges</t>
  </si>
  <si>
    <t>In GF</t>
  </si>
  <si>
    <t>In FF</t>
  </si>
  <si>
    <t>c.20mm dia</t>
  </si>
  <si>
    <t>Fibre box MS fan hook</t>
  </si>
  <si>
    <t>Supplying and fixing of 32 AMPS double pole main switch</t>
  </si>
  <si>
    <t>S &amp; F OF 4 way DB</t>
  </si>
  <si>
    <t>S &amp; F of tripe pole main switch</t>
  </si>
  <si>
    <t>TAMIL NADU POLICE HOUSING CORPARATION LTD.</t>
  </si>
  <si>
    <t xml:space="preserve"> AS PER PWD SR 2021-22</t>
  </si>
  <si>
    <t>Fire station building</t>
  </si>
  <si>
    <t>Sump</t>
  </si>
  <si>
    <t>Septic tank</t>
  </si>
  <si>
    <t xml:space="preserve">Plinth Projection </t>
  </si>
  <si>
    <t>Sullage Drain</t>
  </si>
  <si>
    <t>External Water supply</t>
  </si>
  <si>
    <t>UG Cable</t>
  </si>
  <si>
    <t>Paver block road</t>
  </si>
  <si>
    <t>Provision for drilling , grouting and lock set arrangements for rock outcrops</t>
  </si>
  <si>
    <t>Provision for drinking water connection</t>
  </si>
  <si>
    <t>Provision for drying yard</t>
  </si>
  <si>
    <t>Provision for hose dry rack arrangements</t>
  </si>
  <si>
    <t>Provision for steel ladder arrangements</t>
  </si>
  <si>
    <t>Provision for service pit</t>
  </si>
  <si>
    <t xml:space="preserve">Provision for Soil Investigation </t>
  </si>
  <si>
    <t>Provision for shifting of EB POLE</t>
  </si>
  <si>
    <t>Filling low lying area</t>
  </si>
  <si>
    <t>SUB - TOTAL - IV Rs.</t>
  </si>
  <si>
    <t>Unforseen item @ 2.5%</t>
  </si>
  <si>
    <t>Says</t>
  </si>
  <si>
    <t>Lakhs</t>
  </si>
  <si>
    <t>Fire station</t>
  </si>
  <si>
    <t>Steel windows</t>
  </si>
  <si>
    <t>LED tube light 18watts</t>
  </si>
  <si>
    <t>S &amp; F of 15mm dia CP long body</t>
  </si>
  <si>
    <t>S &amp; F of 15mm dia CP short body</t>
  </si>
  <si>
    <t>MADURAI DIVISION</t>
  </si>
  <si>
    <t xml:space="preserve"> Septic tank (detail for 1 No)</t>
  </si>
  <si>
    <t>SI.
No</t>
  </si>
  <si>
    <t>Description of work</t>
  </si>
  <si>
    <t>Length</t>
  </si>
  <si>
    <t>Breath</t>
  </si>
  <si>
    <t>Depth</t>
  </si>
  <si>
    <t>Earth work excavation for open foundation (excluding refilling)</t>
  </si>
  <si>
    <t>a)0 to 2m depth</t>
  </si>
  <si>
    <t xml:space="preserve">For Fire station </t>
  </si>
  <si>
    <t xml:space="preserve">For Septic tank </t>
  </si>
  <si>
    <t>Inlet and Outlet</t>
  </si>
  <si>
    <t>For Dispersion Trench</t>
  </si>
  <si>
    <t>b)2 to 3m depth</t>
  </si>
  <si>
    <t>For Fire station</t>
  </si>
  <si>
    <t>Supplying and filling sand</t>
  </si>
  <si>
    <t>For Trench</t>
  </si>
  <si>
    <t>For Fire station and sfo qtres</t>
  </si>
  <si>
    <t>P.C.C.1:5:10 for Foundation &amp; Basement</t>
  </si>
  <si>
    <t>P.C.C 1:2:4 using 20mm jelly</t>
  </si>
  <si>
    <t xml:space="preserve">Brick Work in CM 1:5, using kiln burnt country bricks of size 22x11x7cm in Foundation and Basement </t>
  </si>
  <si>
    <t>For Septic tank</t>
  </si>
  <si>
    <t xml:space="preserve">I st Footing </t>
  </si>
  <si>
    <t xml:space="preserve">II nd Footing </t>
  </si>
  <si>
    <t xml:space="preserve">III rd Footing </t>
  </si>
  <si>
    <t>Baffle wall -2 Nos</t>
  </si>
  <si>
    <t>For Spetic tank cover slab</t>
  </si>
  <si>
    <t>D/F Manhole Cover</t>
  </si>
  <si>
    <t>Burfied wall Beam</t>
  </si>
  <si>
    <t>Form work and centering for RCC Works</t>
  </si>
  <si>
    <t>For Spetic tank cover slab bottom</t>
  </si>
  <si>
    <t>Septic tank sides</t>
  </si>
  <si>
    <t>Manhole sides</t>
  </si>
  <si>
    <t>Baffle wall beam 3 sides</t>
  </si>
  <si>
    <t>Precast Concrete cover slab  40mm tk
a) In foundation and basement</t>
  </si>
  <si>
    <t>For Inlet and Outlet</t>
  </si>
  <si>
    <t xml:space="preserve">Plastering in CM1:4, 20 mm tk </t>
  </si>
  <si>
    <t>Inlet and Outlet &amp; IC</t>
  </si>
  <si>
    <t>Septic tank top</t>
  </si>
  <si>
    <t>D/F Manhole Cover slab</t>
  </si>
  <si>
    <t xml:space="preserve">Plastering in CM1:5, 12mm tk </t>
  </si>
  <si>
    <t>For Septic tank Outlet</t>
  </si>
  <si>
    <t>I st Footing offset</t>
  </si>
  <si>
    <t>II nd Footing offset</t>
  </si>
  <si>
    <t xml:space="preserve">Plastering in CM1:4, 12mm tk </t>
  </si>
  <si>
    <t>For SepticTank Inner</t>
  </si>
  <si>
    <t xml:space="preserve">Baffle wall </t>
  </si>
  <si>
    <t>Top</t>
  </si>
  <si>
    <t>Septic tank bottom</t>
  </si>
  <si>
    <t>Inlet and outlet bottom</t>
  </si>
  <si>
    <t>Supplying and fixing of PVC 110 mm dia ventilator shaft with cowl</t>
  </si>
  <si>
    <t>Fabrication of Mild steel / RTS grills
(with cement slurry wash)</t>
  </si>
  <si>
    <t>RCC Qty</t>
  </si>
  <si>
    <t>Precast Slab 40mm tk Qty</t>
  </si>
  <si>
    <r>
      <t>Kg/m</t>
    </r>
    <r>
      <rPr>
        <vertAlign val="superscript"/>
        <sz val="12"/>
        <rFont val="Times New Roman"/>
        <family val="1"/>
      </rPr>
      <t>3</t>
    </r>
  </si>
  <si>
    <t>Supplying and fixing of SN8 Pipe</t>
  </si>
  <si>
    <t>a)100mm dia</t>
  </si>
  <si>
    <t>Inspection Chamber</t>
  </si>
  <si>
    <t xml:space="preserve">b) 160 mm dia </t>
  </si>
  <si>
    <t>From collection chamber to Inlet chamber</t>
  </si>
  <si>
    <t>For dispersion trench</t>
  </si>
  <si>
    <t>Name of work: Providing Sump for Fire and rescue service station building at Kadamalaikundu in Theni district.</t>
  </si>
  <si>
    <t>Sump Detailed Estimate</t>
  </si>
  <si>
    <t>Sl. No</t>
  </si>
  <si>
    <t>Earth excavation for foundation in all soil excluding refilling</t>
  </si>
  <si>
    <t>a) 0 to 2 m depth</t>
  </si>
  <si>
    <t>Sump excavation</t>
  </si>
  <si>
    <t>π/4</t>
  </si>
  <si>
    <t>5.86*5.86</t>
  </si>
  <si>
    <r>
      <t>m</t>
    </r>
    <r>
      <rPr>
        <b/>
        <vertAlign val="superscript"/>
        <sz val="12"/>
        <color theme="1"/>
        <rFont val="Tahoma"/>
        <family val="2"/>
      </rPr>
      <t>3</t>
    </r>
  </si>
  <si>
    <t>b) 2 to 3m depth</t>
  </si>
  <si>
    <t>P.C.C 1:5:10 for foundation using 40mm in foundation basement</t>
  </si>
  <si>
    <t>For Sump</t>
  </si>
  <si>
    <t>Standardised concrete Mix M20 Grade Concrete IN foundation basement</t>
  </si>
  <si>
    <t>For base slab</t>
  </si>
  <si>
    <t>Vertical wall</t>
  </si>
  <si>
    <t>π</t>
  </si>
  <si>
    <t>(0.25x0.9)</t>
  </si>
  <si>
    <t>(0.15x1.8)</t>
  </si>
  <si>
    <t xml:space="preserve">Sump cover slab </t>
  </si>
  <si>
    <t>4.96*4.96</t>
  </si>
  <si>
    <t>D/d Manhole cover</t>
  </si>
  <si>
    <t>Brickwork for partition wall 110mm thick for foundation basement</t>
  </si>
  <si>
    <t>Sump inside I step</t>
  </si>
  <si>
    <t>Sump inside II step</t>
  </si>
  <si>
    <t>Sump outer wall all.rnd</t>
  </si>
  <si>
    <r>
      <t>m</t>
    </r>
    <r>
      <rPr>
        <b/>
        <vertAlign val="superscript"/>
        <sz val="12"/>
        <color theme="1"/>
        <rFont val="Tahoma"/>
        <family val="2"/>
      </rPr>
      <t>2</t>
    </r>
  </si>
  <si>
    <t>Plastering in cm 1:5 12mm thick curing etc complete</t>
  </si>
  <si>
    <t>Plastering with cm 1:3, 12mm mixed with WPC</t>
  </si>
  <si>
    <t>Providing form work for small qty</t>
  </si>
  <si>
    <t>b.plain surfaces</t>
  </si>
  <si>
    <t>Sump cover slab</t>
  </si>
  <si>
    <t>π/4 x 4.96*4.96</t>
  </si>
  <si>
    <t>D/d m.h open</t>
  </si>
  <si>
    <t>Add.M.H open inside</t>
  </si>
  <si>
    <t>c. small quantities</t>
  </si>
  <si>
    <t>Circular surface cover slab</t>
  </si>
  <si>
    <t>π/ x 4.96</t>
  </si>
  <si>
    <t>S &amp; F of Man hole cover</t>
  </si>
  <si>
    <t>S &amp; F of C.I steps of stand size</t>
  </si>
  <si>
    <t>Sump inside</t>
  </si>
  <si>
    <t xml:space="preserve">Suppling fabrication and placing in position of ms RTS grills </t>
  </si>
  <si>
    <t>base slab mat</t>
  </si>
  <si>
    <t>horiz &amp; vertical rod 8mm</t>
  </si>
  <si>
    <t>chair rod 8mm</t>
  </si>
  <si>
    <t>Haunch rod 10mm dia vert</t>
  </si>
  <si>
    <t>Main rod vertical 10mm</t>
  </si>
  <si>
    <t>circular stirrups 8mm inner</t>
  </si>
  <si>
    <t>outer circular stirrups 8mm</t>
  </si>
  <si>
    <t>cover slab</t>
  </si>
  <si>
    <t>slab rod on both sides 8mm</t>
  </si>
  <si>
    <t>multiply by</t>
  </si>
  <si>
    <t>in Kg</t>
  </si>
  <si>
    <t>RCC 4.2</t>
  </si>
  <si>
    <t xml:space="preserve"> MT</t>
  </si>
  <si>
    <t>Earth work excavation in all soils for foundation (Including refilling)</t>
  </si>
  <si>
    <t>For Fire service Station</t>
  </si>
  <si>
    <t>Allround Plinth protection wall</t>
  </si>
  <si>
    <t>Deduct corrioder</t>
  </si>
  <si>
    <t>Supplying and filling of sand</t>
  </si>
  <si>
    <t>C.C.1:5:10 for Foundation &amp; Basement using 40 mm HBG metal</t>
  </si>
  <si>
    <t>Brick work in C.M. 1:5 (F&amp; B) using Kiln Burnt Country bricks of size 22 x 11 x 7 cm (8 3/4" x 4 1/4" x 2 3/4")</t>
  </si>
  <si>
    <t>Brick partition work in C.M. 1:4 Kiln Burnt Country bricks of size 22 x 11 x 7 cm (8 3/4" x 4 1/4" x 2 3/4") 110 mm tk (B.P.)</t>
  </si>
  <si>
    <t>Name of work : CONSTRUCTION OF SECURITY PERIMETER WALL FOR FIRE STATION BUILDING AT KADAMALAIKUNDU IN THENI DISTRICT</t>
  </si>
  <si>
    <t>COMPOUND WALL - DETAILED ESTIMATE</t>
  </si>
  <si>
    <t>DESCRIPTION OF WORK</t>
  </si>
  <si>
    <t>CONTENT</t>
  </si>
  <si>
    <t>Earth work excavation in all classes of soil for foundation.</t>
  </si>
  <si>
    <t>a) 0 to 2m depth</t>
  </si>
  <si>
    <t>front wall</t>
  </si>
  <si>
    <t>adjacent wall (north)</t>
  </si>
  <si>
    <t>rear wall (east)</t>
  </si>
  <si>
    <t>adjacent wall (south)</t>
  </si>
  <si>
    <t>expansion joint column</t>
  </si>
  <si>
    <t>for grade beam allround</t>
  </si>
  <si>
    <r>
      <t>M</t>
    </r>
    <r>
      <rPr>
        <b/>
        <vertAlign val="superscript"/>
        <sz val="11"/>
        <color theme="1"/>
        <rFont val="Times New Roman"/>
        <family val="1"/>
      </rPr>
      <t>3</t>
    </r>
  </si>
  <si>
    <t>PCC 1:5:10 using 40mm HBSj for F &amp; B</t>
  </si>
  <si>
    <t>In foundation &amp; basement:</t>
  </si>
  <si>
    <t>for footings</t>
  </si>
  <si>
    <t>column upto ground level</t>
  </si>
  <si>
    <t>Gate column upto GL</t>
  </si>
  <si>
    <t>Grade beam all round</t>
  </si>
  <si>
    <t>Brick work in CM 1:5 using F &amp; B etc.,</t>
  </si>
  <si>
    <t>Standadized M20 grade concrete</t>
  </si>
  <si>
    <t>a) In G.Floor</t>
  </si>
  <si>
    <t>Gate column</t>
  </si>
  <si>
    <t>compound wall top side tie up members rear wall</t>
  </si>
  <si>
    <t xml:space="preserve">brick work in cm 1:6 using  </t>
  </si>
  <si>
    <t>Front elevation pillar</t>
  </si>
  <si>
    <t>D/f offset portion</t>
  </si>
  <si>
    <t>.785x0.34x0.34/ 4x2</t>
  </si>
  <si>
    <t>Do</t>
  </si>
  <si>
    <t>other 3 side wall brick pillars</t>
  </si>
  <si>
    <t>Brick partion wall in cm 1:6 110mm thick</t>
  </si>
  <si>
    <t>b) In Ground floor</t>
  </si>
  <si>
    <t>deduct pillar</t>
  </si>
  <si>
    <t>deduct front pillar</t>
  </si>
  <si>
    <t>deduct gate</t>
  </si>
  <si>
    <r>
      <t>M</t>
    </r>
    <r>
      <rPr>
        <b/>
        <vertAlign val="superscript"/>
        <sz val="11"/>
        <color theme="1"/>
        <rFont val="Times New Roman"/>
        <family val="1"/>
      </rPr>
      <t>2</t>
    </r>
  </si>
  <si>
    <t>Plastering in cm 1:5 12mm thick</t>
  </si>
  <si>
    <t xml:space="preserve">Allround wall </t>
  </si>
  <si>
    <t>top elevation wall</t>
  </si>
  <si>
    <t>Add for elevation pillar offset</t>
  </si>
  <si>
    <t>Add for elevation pillar top all.rnd</t>
  </si>
  <si>
    <t>Add for elevation pillar center offset</t>
  </si>
  <si>
    <t>d/d for gate open  &amp; pillar</t>
  </si>
  <si>
    <t>add for gate pillar alround</t>
  </si>
  <si>
    <t>add for gate pillar top</t>
  </si>
  <si>
    <t>pillar offset</t>
  </si>
  <si>
    <t>Pillar offset top</t>
  </si>
  <si>
    <t>Border finish</t>
  </si>
  <si>
    <t>a) 150 mm border</t>
  </si>
  <si>
    <t>Wall allround (199.8-6.0m gate)</t>
  </si>
  <si>
    <t>b) 75mm border</t>
  </si>
  <si>
    <t>Painting the new walls with two coats of ready mix plastic emulsion paint including primer coat</t>
  </si>
  <si>
    <t>As per item no.33</t>
  </si>
  <si>
    <t>Grill work</t>
  </si>
  <si>
    <t>gate</t>
  </si>
  <si>
    <t>45kg/m2x9.0</t>
  </si>
  <si>
    <t>Grill painting</t>
  </si>
  <si>
    <t>form work</t>
  </si>
  <si>
    <t>footings</t>
  </si>
  <si>
    <t>grade beam allround wall</t>
  </si>
  <si>
    <t>c) Small quantity</t>
  </si>
  <si>
    <t>gate column</t>
  </si>
  <si>
    <t>steel fabrication</t>
  </si>
  <si>
    <t>8mm</t>
  </si>
  <si>
    <t>10mm</t>
  </si>
  <si>
    <t>12mm</t>
  </si>
  <si>
    <t>column mat 10 mm dia</t>
  </si>
  <si>
    <t>column main rod 12 dia</t>
  </si>
  <si>
    <t>gate column main rod 12 dia</t>
  </si>
  <si>
    <t>stirrups 8 dia upto ground level</t>
  </si>
  <si>
    <t>stirrups for gate columns 8 dia</t>
  </si>
  <si>
    <t>grade beam bottom 12 dia</t>
  </si>
  <si>
    <t>grade beam top 12 dia</t>
  </si>
  <si>
    <t>grade beam stirrups 8 dia</t>
  </si>
  <si>
    <t>Detailed estimate for sullage drain</t>
  </si>
  <si>
    <t>Sl .no</t>
  </si>
  <si>
    <t xml:space="preserve">l </t>
  </si>
  <si>
    <t xml:space="preserve"> d</t>
  </si>
  <si>
    <t xml:space="preserve">Qty </t>
  </si>
  <si>
    <t>Earthwork excavation for foundation</t>
  </si>
  <si>
    <t xml:space="preserve">sullage drain from building rear , adj side of the building </t>
  </si>
  <si>
    <t>from building to site boundary</t>
  </si>
  <si>
    <t>drain from site boundary to road</t>
  </si>
  <si>
    <t>PCC 1:5:10 for foundation using 40mm jully</t>
  </si>
  <si>
    <t>Brick partion wall Cm 1:4 110mm Tk</t>
  </si>
  <si>
    <t>Plastering with CM 1:5 12mm Tk</t>
  </si>
  <si>
    <t>Outside &amp; top</t>
  </si>
  <si>
    <t>Plastering inside with Cm 1:4 120mm Tk</t>
  </si>
  <si>
    <t>Drain inner wall</t>
  </si>
  <si>
    <t>Floor plastering with Cm 1:4 20mm Tk</t>
  </si>
  <si>
    <t>DETAILED ESTIMATE</t>
  </si>
  <si>
    <t>FORMATION OF PAVER BLOCK ROAD</t>
  </si>
  <si>
    <t>Detailed estimate for Paver block road</t>
  </si>
  <si>
    <t>from main road to fire station site 63.60Mx 7.0M</t>
  </si>
  <si>
    <t>fire station front 16.5x10.0M</t>
  </si>
  <si>
    <t>from main road to fire station</t>
  </si>
  <si>
    <t>fire station front</t>
  </si>
  <si>
    <t>Supplying and filling with 3 to 10mm HBG Metal</t>
  </si>
  <si>
    <t>Supplying and filling with stone dust</t>
  </si>
  <si>
    <t xml:space="preserve">Supplying and Laying of inter locking paver block stone 83 mm  tk over base layer sand filling including cost of materials laying and hammering charges etc. </t>
  </si>
  <si>
    <t xml:space="preserve">Providing kerb stone </t>
  </si>
  <si>
    <t>Painting the new wall with 2 coat of synthetic paint etc…</t>
  </si>
  <si>
    <t>For kerb stone</t>
  </si>
  <si>
    <t xml:space="preserve">TAMILNADU POLICE HOUSING CORPORATION LIMITED, MADURAI DIVISION </t>
  </si>
  <si>
    <t>DETAILED ESTIMATE - BORE WELL &amp; EXTERNAL WATER SUPPLY</t>
  </si>
  <si>
    <t>Sl.no</t>
  </si>
  <si>
    <t>Drilling of bore well to a size of 150 mm dia to the required depth as directed including cost Rig,fuel etc.complete.</t>
  </si>
  <si>
    <t>bore well point -1</t>
  </si>
  <si>
    <t>Supplyng and  laying   of 150 mm dia casing  pvc pipe of 6kg/cm2 as approved including labour charges for errection etc.,</t>
  </si>
  <si>
    <t xml:space="preserve">bore well point </t>
  </si>
  <si>
    <t>Supplying and fixing of 150 mm dia G.I cover are completed.</t>
  </si>
  <si>
    <t xml:space="preserve">bore point </t>
  </si>
  <si>
    <t>Supply and delivery of 2HP monoblock pumpset single phase circuit unit of approved brand including accessoring.</t>
  </si>
  <si>
    <t>At pumproom</t>
  </si>
  <si>
    <t xml:space="preserve">Building </t>
  </si>
  <si>
    <t>Stand by</t>
  </si>
  <si>
    <t>Supplying and fixing of Dol starter confirming to I.S specification.</t>
  </si>
  <si>
    <t>For 2HP monoblock pumpsets</t>
  </si>
  <si>
    <t xml:space="preserve">Lobour charges for errection of 2HP monoblock pumpsets including bed block fixing in position etc,.complete.  </t>
  </si>
  <si>
    <t>as per above item (2)</t>
  </si>
  <si>
    <t>Supply and delivery of 5HP submersible  pumpset 50 stages at bore well  (three phase).</t>
  </si>
  <si>
    <t xml:space="preserve">Lobour charges for errection of 5HP submersible pumpsets at bore well etc,.complete.  </t>
  </si>
  <si>
    <t>Supplying and fixing of 5HP panel board for submersible pumpsets.</t>
  </si>
  <si>
    <t>Supply and delivery of 4 sqmm. 3core flat cable for submersible pumpset.</t>
  </si>
  <si>
    <t>Bore well (1) pumpset</t>
  </si>
  <si>
    <t>Bore well to Pumproom</t>
  </si>
  <si>
    <t>Supplying and delivery of UPVC pipe 32 mm dia of approved brand.</t>
  </si>
  <si>
    <t>Bore well 1</t>
  </si>
  <si>
    <t>Supply and delivery of the following dia G.I pipe.' B' class of approved brand.</t>
  </si>
  <si>
    <t>a) 25 mm dia G.I pipe.</t>
  </si>
  <si>
    <t>Bore well (1) cable line casing</t>
  </si>
  <si>
    <t>b) 40 mm dia G.I pipe.</t>
  </si>
  <si>
    <t>Bore well to sump delivery encasing.</t>
  </si>
  <si>
    <t>c) 50 mm dia G.I pipe.</t>
  </si>
  <si>
    <t xml:space="preserve">Pumpset suction pipe </t>
  </si>
  <si>
    <t>Mono block inter connection</t>
  </si>
  <si>
    <t>Delivery pipe</t>
  </si>
  <si>
    <t>Delivery line chamber</t>
  </si>
  <si>
    <t>Supplying and delivery of PVC pipe 10 kg /cm2</t>
  </si>
  <si>
    <t>a) 50 mm dia (inner) PVC pipe.</t>
  </si>
  <si>
    <t>Rear side building</t>
  </si>
  <si>
    <t xml:space="preserve">     m</t>
  </si>
  <si>
    <t>b) 32 mm dia ASTM .D. Pipe</t>
  </si>
  <si>
    <t>Bore well 1 to sump.</t>
  </si>
  <si>
    <t>Supply and delivery of following dia G.I specials.</t>
  </si>
  <si>
    <t>50mmX32mm G.I, Tee</t>
  </si>
  <si>
    <t>50 mm dia coupling.</t>
  </si>
  <si>
    <t>c)</t>
  </si>
  <si>
    <t>50 mm dia G.I gate valve.</t>
  </si>
  <si>
    <t>d)</t>
  </si>
  <si>
    <t>50 mm dia non return valve.</t>
  </si>
  <si>
    <t>e)</t>
  </si>
  <si>
    <t>50 mm dia G.I union.</t>
  </si>
  <si>
    <t>f)</t>
  </si>
  <si>
    <t>50 mm dia G.I nipple.</t>
  </si>
  <si>
    <t>g)</t>
  </si>
  <si>
    <t>50 mm dia foot valve.</t>
  </si>
  <si>
    <t>h)</t>
  </si>
  <si>
    <t xml:space="preserve">50 mm dia G.I Tee </t>
  </si>
  <si>
    <t>i)</t>
  </si>
  <si>
    <t xml:space="preserve">32 mm G.I Union </t>
  </si>
  <si>
    <t>j)</t>
  </si>
  <si>
    <t>32 mm dia G.I elbow</t>
  </si>
  <si>
    <t>k)</t>
  </si>
  <si>
    <t>32 mm dia G.I nipple.</t>
  </si>
  <si>
    <t>l)</t>
  </si>
  <si>
    <t>25 mm dia G.I coupling</t>
  </si>
  <si>
    <t>Labour charge for laying of G.I pipe and PVC pipe below ground level</t>
  </si>
  <si>
    <t>For Pumpset ( 50mm &amp; 40mm PVC Pipe )</t>
  </si>
  <si>
    <t>Numbering And lettering</t>
  </si>
  <si>
    <t>Supplying and fixing of aluminium Diecast TNPHC Logo Emblem as directed etc.,</t>
  </si>
  <si>
    <t>Supplying and fixing of aluminium diecast letters fixing in position  etc.,</t>
  </si>
  <si>
    <t>a)9''' height letters.</t>
  </si>
  <si>
    <t>jkpo;ehL jPPPaizg;G kw;Wk; kPl;Gg;gzpfs; epiyak;</t>
  </si>
  <si>
    <t>flkiyf;Fz;L</t>
  </si>
  <si>
    <t>Njdp khtl;lk;</t>
  </si>
  <si>
    <t>b) 6" letters.</t>
  </si>
  <si>
    <t>fhj;jpUg;Nghh; miw</t>
  </si>
  <si>
    <t>fz;fhzpg;G miw</t>
  </si>
  <si>
    <t xml:space="preserve">epiya mYtyh; </t>
  </si>
  <si>
    <t>mYtyfk; itg;giw</t>
  </si>
  <si>
    <t xml:space="preserve">fopg;giw Mz; </t>
  </si>
  <si>
    <t xml:space="preserve">fopg;giw ngz; </t>
  </si>
  <si>
    <t>epiya mYtyh; Nghf;Ftuj;J</t>
  </si>
  <si>
    <t>Xl;Leh; miw</t>
  </si>
  <si>
    <t>Xa;tiw 1</t>
  </si>
  <si>
    <t>Xa;tiw 2</t>
  </si>
  <si>
    <t>DETAILED ESTIMATE- UG CABLE</t>
  </si>
  <si>
    <t>Sl no</t>
  </si>
  <si>
    <t xml:space="preserve">Description </t>
  </si>
  <si>
    <t>Main building</t>
  </si>
  <si>
    <t>Supplying and Laying of specified aluminium LT UG Cable on Below Ground Level and above level to be at a depth of 0.75 m put in 0.15 m layer of sand and covering the cable completely with bricks and sand refilling the earth to good including cost of all materials and labour charges etc.,</t>
  </si>
  <si>
    <t xml:space="preserve">B) 3.5 core 35mm sqmm from EB pole to meeter pannel </t>
  </si>
  <si>
    <t>EB Pole vertical &amp; Pump</t>
  </si>
  <si>
    <t>EB pole to fire station</t>
  </si>
  <si>
    <t>EB pole to pump room</t>
  </si>
  <si>
    <t>Supply and fixing of brass cable gland suitable for 3.5 core 35 Sq.mm with earth strips around the cable termination with crimping of terminals with lugs etc (for Incoming Cable)</t>
  </si>
  <si>
    <t>pump room &amp; Pump room</t>
  </si>
  <si>
    <t xml:space="preserve">Supplying and fixing of 1 no os 450 X 350 X 20mm thick TW plank well with 3 nos of 100 AMP 500 volts Bus bar type ariel fuse on the top of EB pole with suitable size bolts and All complete and as directed by the dept officers (the quality and brand of electrical fittings should be GOT approved from the executive engineer before use)nuts for EB service connection including cost of all things etc. </t>
  </si>
  <si>
    <t xml:space="preserve"> pump room</t>
  </si>
  <si>
    <t>Supply and laying of 4 Run 6 Sq.mm and  1 Run 1.5 Sq.mm for Earth Copper in Sutiable PVC  conduit suitable Pipes etc (from Meter Panel to house DB)</t>
  </si>
  <si>
    <t xml:space="preserve">Labour charges for laying of 3.5 core 50 sq.mm / 3.5 core 35 sq.mm UG cable below Ground level. </t>
  </si>
  <si>
    <t>EB pole to Main block</t>
  </si>
  <si>
    <t>Labour charges for laying of UG cable above Ground level.</t>
  </si>
  <si>
    <t>EB pole to vertical Main block, Pump room</t>
  </si>
  <si>
    <t>Supplying &amp; Fixing of 50 mm dia GI pipe of approved brand.</t>
  </si>
  <si>
    <t>Main block</t>
  </si>
  <si>
    <t>Pump room  vertical</t>
  </si>
  <si>
    <t>Pump room horizontal</t>
  </si>
  <si>
    <t>Supplying and delivery of the following specials.</t>
  </si>
  <si>
    <t>a) 50 mm dia G.I Bend</t>
  </si>
  <si>
    <t xml:space="preserve">b) 50 mm dia G.I coupling </t>
  </si>
  <si>
    <t>Supplying and fixing of three phase DB box hylin sheet steel encloser with detabased gland plates for flush/surface mounting with bus bar neutral lines and earth bus bar ( without Mcb's ) etc.,</t>
  </si>
  <si>
    <t>Supplying and Fixing of Power shell double door TPN sheet enclosers</t>
  </si>
  <si>
    <t>Supplying and fixing of  4 pole 40 amps 30ml ELCB etc.,</t>
  </si>
  <si>
    <t>Supplying and fixing of single pole to 32 A 10 KA MCB's etc.,</t>
  </si>
  <si>
    <t>Pump room</t>
  </si>
  <si>
    <t>Supplying and fixing of MS clampset in etc..,</t>
  </si>
  <si>
    <t>For  main block</t>
  </si>
  <si>
    <t>Pumproom</t>
  </si>
  <si>
    <t>Septic Tank</t>
  </si>
  <si>
    <t>Plinth Protection</t>
  </si>
  <si>
    <t>Paver Block</t>
  </si>
  <si>
    <t>DEVELOPMENT WORK</t>
  </si>
  <si>
    <t>Supply and delivery of 2HP monoblock pumpset three phase circuit unit of approved brand including accessoring.(Duty 450X20)</t>
  </si>
  <si>
    <t>Supply and delivery of 5HP submersible  pumpset 50 stages at bore well (three phase).(Duty 50X175)</t>
  </si>
  <si>
    <t>Nos/sor 21-22</t>
  </si>
  <si>
    <t>b)32 mm dia PVC Pipe</t>
  </si>
  <si>
    <t>a) 50mmX40 mm G.I, Tee</t>
  </si>
  <si>
    <t>b) 50 mm dia coupling.</t>
  </si>
  <si>
    <t>c) 50 mm dia G.I gate valve.</t>
  </si>
  <si>
    <t>d) 50 mm dia non return valve.</t>
  </si>
  <si>
    <t>e) 50 mm dia G.I union.</t>
  </si>
  <si>
    <t>f) 50 mm dia G.I hex nipple.</t>
  </si>
  <si>
    <t>g) 50 mm dia G.I foot valve with stainer.</t>
  </si>
  <si>
    <t xml:space="preserve">h) 50 mm dia G.I Tee </t>
  </si>
  <si>
    <t xml:space="preserve">i) 32 mm G.I Union </t>
  </si>
  <si>
    <t>j) 32 mm dia G.I elbow</t>
  </si>
  <si>
    <t>k) 32 mm dia G.I hex nipple.</t>
  </si>
  <si>
    <t>Numbering And Lettering</t>
  </si>
  <si>
    <t>Moulding and fixing of aluminium Diecast TNPHC Logo Emblem as directed</t>
  </si>
  <si>
    <t>Supplying and fixing of aluminium diecast letters of size etc.,</t>
  </si>
  <si>
    <t>a) 9" feet letters.</t>
  </si>
  <si>
    <t xml:space="preserve">METERING PANEL FOR 3 SERVICES (2 FLATS + 1 COMMON &amp; SPARE) Suitable for 2 in 1 (1 Block of 2 in 1, G+1)           Supply and erection of 125 Amps capacity floor mounting metering panel board (Cubical type) of size 5.5'X6.5'X1' with bus bar chamber made up of 16 SWG MS sheet for 3 phase 4 wire system with 25mm x 3mm tin coated copper flats for phases and neutral; individual metering chamber and with 2 Nos. 25 x 3mm GI flat for the earth bus on the rear side of the panel board; </t>
  </si>
  <si>
    <t>PWD SR 2021-22 P.No:124</t>
  </si>
  <si>
    <t>B) 3.5 core 35mm sqmm LT UG cable</t>
  </si>
  <si>
    <t>PWD SR 2021-22 P.No:125</t>
  </si>
  <si>
    <t>PWD SR 2020-21 P.No: 51</t>
  </si>
  <si>
    <t>Supplying and fixing of 50mm dia G.I pipe of approved brand with ISI mark</t>
  </si>
  <si>
    <t>Supplying and delivery of GI specials of approved brand confirming to IS specification</t>
  </si>
  <si>
    <t>TWAD 20-21</t>
  </si>
  <si>
    <t xml:space="preserve">e. 50mm dia Bend </t>
  </si>
  <si>
    <t>f. 50mm dia Coupling</t>
  </si>
  <si>
    <t>Each/ SOR 21-22 P.119</t>
  </si>
  <si>
    <t>Supplying and fixing of rotary switch  etc.,</t>
  </si>
  <si>
    <t>Each/ SOR 21-22 P.134</t>
  </si>
  <si>
    <t>FILLING IN FOUNDATION AND BASEMENT  WITH  STONE DUST</t>
  </si>
  <si>
    <t>Supplying and Laying of inter locking paver block stone 83 mm  tk over base layer sand filling including cost of materials laying and hammering charges etc.</t>
  </si>
  <si>
    <t xml:space="preserve">METERING PANEL FOR 3 SERVICES (2 FLATS + 1 COMMON &amp; SPARE) Suitable for 2 in 1 (1 Block of 2 in 1, G+1)           Supply and erection of 125 Amps capacity floor mounting metering panel board (Cubical type) of size 5.5'X6.5'X1' with bus bar chamber made up of 16 SWG MS sheet for 3 phase 4 wire system with 25mm x 3mm tin coated copper flats for phases and neutral; individual metering chamber and with 2 Nos. 25 x 3mm GI flat for the earth bus on the rear side of the panel board;   </t>
  </si>
  <si>
    <t>Labour charge for laying of  3.5 core 35 sq.mm approved quality excluding fixing vertical wall above ground level</t>
  </si>
  <si>
    <t>Labour charge for laying of  3.5 core 35 sq.mm approved quality excluding civil works such as providing trench below G.L</t>
  </si>
  <si>
    <t>d) 50 mm dia G.I pipe.</t>
  </si>
  <si>
    <t>Supply and filling of 3 to 10 mm HBSJ</t>
  </si>
  <si>
    <t>Stone cutter I class</t>
  </si>
  <si>
    <t>Sand filling for pointing</t>
  </si>
  <si>
    <t>Rate for 1 SQM</t>
  </si>
  <si>
    <t>Inter locking paver block stone 83mm thick (pwd -p 41/19</t>
  </si>
  <si>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</si>
  <si>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</si>
  <si>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</si>
  <si>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</si>
  <si>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</si>
  <si>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</si>
  <si>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</si>
  <si>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</si>
  <si>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</si>
  <si>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</si>
  <si>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</si>
  <si>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</si>
  <si>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</si>
  <si>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</si>
  <si>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</si>
  <si>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</si>
  <si>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</si>
  <si>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Inspection chamber building side</t>
  </si>
  <si>
    <t>Inspection chamber to septic tank line</t>
  </si>
  <si>
    <t xml:space="preserve">3.1 PCC </t>
  </si>
  <si>
    <t xml:space="preserve">4.1.1RCC </t>
  </si>
  <si>
    <t>Provision for photographic charges ( Decorative colour based display board)</t>
  </si>
  <si>
    <t>CULVERT FORNT</t>
  </si>
  <si>
    <t>Earth Work Excavation for open foundation( Excluding Refilling)</t>
  </si>
  <si>
    <t>Culvert Wall</t>
  </si>
  <si>
    <t>P.C.C  1:5:10 for foundation</t>
  </si>
  <si>
    <t>R.C.C 1:2:4 for foundation and basement</t>
  </si>
  <si>
    <t>Slab</t>
  </si>
  <si>
    <t>I st Footing</t>
  </si>
  <si>
    <t>II nd Footing</t>
  </si>
  <si>
    <t>III rd Footing</t>
  </si>
  <si>
    <t>Brick Work in C.M 1:5 in foundation and basement</t>
  </si>
  <si>
    <t>Parapet</t>
  </si>
  <si>
    <t>Providing FormWork for all RCC works,</t>
  </si>
  <si>
    <t>(a) Column Footing,plinth beam,grade beam,raft beam,raft slab etc.,</t>
  </si>
  <si>
    <t>Deck Slab Side</t>
  </si>
  <si>
    <t>(b) Plain Surface such as roof slab ,floor slab,beam lintels,loft,sill slab,staircase waist,portico slaband other similar works.,</t>
  </si>
  <si>
    <t>Plastering in CM 1:5, 12mm tk</t>
  </si>
  <si>
    <t>Supplying , Fabrication and placing in position of Mild Steel Grills/Ribbed tor Steels</t>
  </si>
  <si>
    <t>R.C.C Qty</t>
  </si>
  <si>
    <t>Ellis pattern flooring</t>
  </si>
  <si>
    <t>Deck cover slab</t>
  </si>
  <si>
    <t>PCC 1:3:6</t>
  </si>
  <si>
    <t>Vertical sides</t>
  </si>
  <si>
    <t>Top side &amp; edges</t>
  </si>
  <si>
    <t>m3</t>
  </si>
  <si>
    <t>Kandamanur</t>
  </si>
  <si>
    <t xml:space="preserve">P.C.C. 1:3:6 using 20 mm hard broken stone jelly </t>
  </si>
  <si>
    <t>Culvert</t>
  </si>
  <si>
    <t>Filling well gravel</t>
  </si>
  <si>
    <t>KADAMALAIKUNDU</t>
  </si>
  <si>
    <t>Abstract Estimate</t>
  </si>
  <si>
    <t>For Base slab Bottom</t>
  </si>
  <si>
    <t>Wall putty for inner walls</t>
  </si>
  <si>
    <t>One coat of wall putty</t>
  </si>
  <si>
    <t>water tank base slab</t>
  </si>
  <si>
    <t>water tank base slab top</t>
  </si>
  <si>
    <t>SF : water tank base slab ceiling</t>
  </si>
</sst>
</file>

<file path=xl/styles.xml><?xml version="1.0" encoding="utf-8"?>
<styleSheet xmlns="http://schemas.openxmlformats.org/spreadsheetml/2006/main">
  <numFmts count="15">
    <numFmt numFmtId="42" formatCode="_(&quot;$&quot;* #,##0_);_(&quot;$&quot;* \(#,##0\);_(&quot;$&quot;* &quot;-&quot;_);_(@_)"/>
    <numFmt numFmtId="43" formatCode="_(* #,##0.00_);_(* \(#,##0.00\);_(* &quot;-&quot;??_);_(@_)"/>
    <numFmt numFmtId="164" formatCode="&quot;Rs.&quot;\ #,##0;&quot;Rs.&quot;\ \-#,##0"/>
    <numFmt numFmtId="165" formatCode="0.00_)"/>
    <numFmt numFmtId="166" formatCode="0_)"/>
    <numFmt numFmtId="167" formatCode="0.000_)"/>
    <numFmt numFmtId="168" formatCode="0.0_)"/>
    <numFmt numFmtId="169" formatCode="0.00000_)"/>
    <numFmt numFmtId="170" formatCode="0.0000_)"/>
    <numFmt numFmtId="171" formatCode="0.000000_)"/>
    <numFmt numFmtId="172" formatCode="0.0"/>
    <numFmt numFmtId="173" formatCode="0.000"/>
    <numFmt numFmtId="174" formatCode="0.0000"/>
    <numFmt numFmtId="175" formatCode="0.00000000_)"/>
    <numFmt numFmtId="176" formatCode="0.000000"/>
  </numFmts>
  <fonts count="247">
    <font>
      <sz val="12"/>
      <name val="Helv"/>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6"/>
      <name val="Helv"/>
      <family val="2"/>
    </font>
    <font>
      <sz val="11"/>
      <name val="Helv"/>
      <family val="2"/>
    </font>
    <font>
      <b/>
      <sz val="12"/>
      <name val="Helv"/>
      <family val="2"/>
    </font>
    <font>
      <b/>
      <sz val="14"/>
      <name val="Arial"/>
      <family val="2"/>
    </font>
    <font>
      <b/>
      <sz val="12"/>
      <name val="Arial"/>
      <family val="2"/>
    </font>
    <font>
      <b/>
      <sz val="11"/>
      <name val="Arial"/>
      <family val="2"/>
    </font>
    <font>
      <b/>
      <sz val="12"/>
      <name val="Helv"/>
    </font>
    <font>
      <sz val="12"/>
      <name val="Helv"/>
    </font>
    <font>
      <b/>
      <sz val="10"/>
      <name val="Arial"/>
      <family val="2"/>
    </font>
    <font>
      <sz val="8"/>
      <name val="Arial"/>
      <family val="2"/>
    </font>
    <font>
      <sz val="12"/>
      <color indexed="10"/>
      <name val="Helv"/>
    </font>
    <font>
      <b/>
      <sz val="9"/>
      <name val="Arial"/>
      <family val="2"/>
    </font>
    <font>
      <sz val="13"/>
      <name val="Arial"/>
      <family val="2"/>
    </font>
    <font>
      <b/>
      <sz val="13"/>
      <name val="Arial"/>
      <family val="2"/>
    </font>
    <font>
      <b/>
      <u/>
      <sz val="14"/>
      <name val="Arial"/>
      <family val="2"/>
    </font>
    <font>
      <sz val="14"/>
      <name val="Helv"/>
    </font>
    <font>
      <b/>
      <sz val="16"/>
      <name val="Arial"/>
      <family val="2"/>
    </font>
    <font>
      <sz val="12"/>
      <name val="Arial"/>
      <family val="2"/>
    </font>
    <font>
      <sz val="14"/>
      <name val="Arial"/>
      <family val="2"/>
    </font>
    <font>
      <sz val="13"/>
      <name val="Helv"/>
    </font>
    <font>
      <sz val="12"/>
      <color indexed="14"/>
      <name val="Helv"/>
    </font>
    <font>
      <sz val="12"/>
      <color indexed="12"/>
      <name val="Helv"/>
    </font>
    <font>
      <sz val="12"/>
      <color indexed="12"/>
      <name val="Arial"/>
      <family val="2"/>
    </font>
    <font>
      <b/>
      <sz val="14"/>
      <name val="Helv"/>
    </font>
    <font>
      <sz val="12"/>
      <color indexed="8"/>
      <name val="Helv"/>
    </font>
    <font>
      <sz val="10"/>
      <color indexed="10"/>
      <name val="Arial"/>
      <family val="2"/>
    </font>
    <font>
      <sz val="12"/>
      <color indexed="10"/>
      <name val="Arial"/>
      <family val="2"/>
    </font>
    <font>
      <b/>
      <sz val="15"/>
      <name val="Arial"/>
      <family val="2"/>
    </font>
    <font>
      <sz val="15"/>
      <name val="Arial"/>
      <family val="2"/>
    </font>
    <font>
      <sz val="12"/>
      <color indexed="16"/>
      <name val="Helv"/>
    </font>
    <font>
      <b/>
      <u/>
      <sz val="12"/>
      <name val="Helv"/>
      <family val="2"/>
    </font>
    <font>
      <sz val="12"/>
      <name val="Algerian"/>
      <family val="5"/>
    </font>
    <font>
      <b/>
      <sz val="16"/>
      <name val="Algerian"/>
      <family val="5"/>
    </font>
    <font>
      <b/>
      <sz val="12"/>
      <name val="Algerian"/>
      <family val="5"/>
    </font>
    <font>
      <b/>
      <sz val="14"/>
      <name val="Algerian"/>
      <family val="5"/>
    </font>
    <font>
      <vertAlign val="superscript"/>
      <sz val="14"/>
      <name val="Arial"/>
      <family val="2"/>
    </font>
    <font>
      <u/>
      <sz val="14"/>
      <name val="Arial"/>
      <family val="2"/>
    </font>
    <font>
      <b/>
      <sz val="18"/>
      <name val="Helv"/>
    </font>
    <font>
      <sz val="16"/>
      <name val="Helv"/>
    </font>
    <font>
      <vertAlign val="superscript"/>
      <sz val="12"/>
      <name val="Helv"/>
    </font>
    <font>
      <b/>
      <u/>
      <sz val="12"/>
      <name val="Helv"/>
    </font>
    <font>
      <b/>
      <sz val="12"/>
      <color indexed="8"/>
      <name val="Helv"/>
    </font>
    <font>
      <u/>
      <sz val="12"/>
      <name val="Helv"/>
    </font>
    <font>
      <b/>
      <sz val="12"/>
      <color indexed="10"/>
      <name val="Helv"/>
    </font>
    <font>
      <sz val="10"/>
      <name val="Arial"/>
      <family val="2"/>
    </font>
    <font>
      <sz val="18"/>
      <name val="Arial"/>
      <family val="2"/>
    </font>
    <font>
      <sz val="20"/>
      <name val="Arial"/>
      <family val="2"/>
    </font>
    <font>
      <b/>
      <sz val="20"/>
      <name val="Arial"/>
      <family val="2"/>
    </font>
    <font>
      <i/>
      <sz val="20"/>
      <name val="Arial"/>
      <family val="2"/>
    </font>
    <font>
      <b/>
      <sz val="17"/>
      <name val="Arial"/>
      <family val="2"/>
    </font>
    <font>
      <sz val="17"/>
      <name val="Arial"/>
      <family val="2"/>
    </font>
    <font>
      <i/>
      <sz val="17"/>
      <name val="Arial"/>
      <family val="2"/>
    </font>
    <font>
      <sz val="16"/>
      <name val="Arial"/>
      <family val="2"/>
    </font>
    <font>
      <b/>
      <u/>
      <sz val="14"/>
      <name val="Helv"/>
    </font>
    <font>
      <sz val="11.9"/>
      <name val="Helv"/>
    </font>
    <font>
      <u/>
      <sz val="12"/>
      <name val="Arial"/>
      <family val="2"/>
    </font>
    <font>
      <b/>
      <u/>
      <sz val="12"/>
      <name val="Arial"/>
      <family val="2"/>
    </font>
    <font>
      <b/>
      <sz val="18"/>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sz val="20"/>
      <name val="Times New Roman"/>
      <family val="1"/>
    </font>
    <font>
      <b/>
      <sz val="20"/>
      <name val="Helv"/>
    </font>
    <font>
      <sz val="19"/>
      <name val="Arial"/>
      <family val="2"/>
    </font>
    <font>
      <sz val="17"/>
      <name val="Book Antiqua"/>
      <family val="1"/>
    </font>
    <font>
      <b/>
      <sz val="12"/>
      <color indexed="10"/>
      <name val="Arial"/>
      <family val="2"/>
    </font>
    <font>
      <vertAlign val="superscript"/>
      <sz val="10"/>
      <name val="Arial"/>
      <family val="2"/>
    </font>
    <font>
      <sz val="12"/>
      <name val="Arial Narrow"/>
      <family val="2"/>
    </font>
    <font>
      <b/>
      <sz val="12"/>
      <name val="Arial Narrow"/>
      <family val="2"/>
    </font>
    <font>
      <b/>
      <u/>
      <sz val="16"/>
      <name val="Arial"/>
      <family val="2"/>
    </font>
    <font>
      <u/>
      <sz val="12"/>
      <name val="Arial Narrow"/>
      <family val="2"/>
    </font>
    <font>
      <sz val="10"/>
      <name val="Helv"/>
    </font>
    <font>
      <vertAlign val="superscript"/>
      <sz val="11"/>
      <color indexed="8"/>
      <name val="Calibri"/>
      <family val="2"/>
    </font>
    <font>
      <b/>
      <vertAlign val="superscript"/>
      <sz val="11"/>
      <color indexed="8"/>
      <name val="Calibri"/>
      <family val="2"/>
    </font>
    <font>
      <i/>
      <sz val="18"/>
      <name val="Arial"/>
      <family val="2"/>
    </font>
    <font>
      <sz val="14"/>
      <name val="Times New Roman"/>
      <family val="1"/>
    </font>
    <font>
      <b/>
      <sz val="14"/>
      <name val="Times New Roman"/>
      <family val="1"/>
    </font>
    <font>
      <sz val="11"/>
      <color theme="1"/>
      <name val="Calibri"/>
      <family val="2"/>
      <scheme val="minor"/>
    </font>
    <font>
      <b/>
      <sz val="11"/>
      <color theme="1"/>
      <name val="Calibri"/>
      <family val="2"/>
      <scheme val="minor"/>
    </font>
    <font>
      <sz val="12"/>
      <color rgb="FFFF0000"/>
      <name val="Helv"/>
    </font>
    <font>
      <sz val="10"/>
      <color rgb="FFFF0000"/>
      <name val="Arial"/>
      <family val="2"/>
    </font>
    <font>
      <sz val="12"/>
      <color rgb="FFFFC000"/>
      <name val="Helv"/>
    </font>
    <font>
      <sz val="12"/>
      <color rgb="FFFF0000"/>
      <name val="Arial"/>
      <family val="2"/>
    </font>
    <font>
      <sz val="12"/>
      <color theme="1" tint="4.9989318521683403E-2"/>
      <name val="Helv"/>
    </font>
    <font>
      <sz val="12"/>
      <color theme="1"/>
      <name val="Arial"/>
      <family val="2"/>
    </font>
    <font>
      <sz val="12"/>
      <color theme="0"/>
      <name val="Helv"/>
    </font>
    <font>
      <b/>
      <sz val="12"/>
      <color theme="0"/>
      <name val="Arial"/>
      <family val="2"/>
    </font>
    <font>
      <sz val="12"/>
      <color theme="0"/>
      <name val="Arial"/>
      <family val="2"/>
    </font>
    <font>
      <sz val="12"/>
      <color rgb="FFFFFF00"/>
      <name val="Helv"/>
    </font>
    <font>
      <sz val="12"/>
      <color rgb="FF00B0F0"/>
      <name val="Helv"/>
    </font>
    <font>
      <b/>
      <sz val="12"/>
      <color rgb="FFFFFF00"/>
      <name val="Helv"/>
    </font>
    <font>
      <sz val="12"/>
      <color rgb="FFFFFF00"/>
      <name val="Arial"/>
      <family val="2"/>
    </font>
    <font>
      <sz val="12"/>
      <color theme="8" tint="-0.249977111117893"/>
      <name val="Helv"/>
    </font>
    <font>
      <sz val="12"/>
      <color theme="1"/>
      <name val="Helv"/>
    </font>
    <font>
      <b/>
      <sz val="12"/>
      <color theme="1" tint="4.9989318521683403E-2"/>
      <name val="Helv"/>
    </font>
    <font>
      <b/>
      <sz val="13"/>
      <color theme="1"/>
      <name val="Arial Narrow"/>
      <family val="2"/>
    </font>
    <font>
      <b/>
      <u/>
      <sz val="13"/>
      <color theme="1"/>
      <name val="Arial Narrow"/>
      <family val="2"/>
    </font>
    <font>
      <b/>
      <sz val="12"/>
      <color theme="1"/>
      <name val="Arial"/>
      <family val="2"/>
    </font>
    <font>
      <sz val="20"/>
      <color theme="0"/>
      <name val="Arial"/>
      <family val="2"/>
    </font>
    <font>
      <sz val="20"/>
      <color rgb="FFFF0000"/>
      <name val="Arial"/>
      <family val="2"/>
    </font>
    <font>
      <sz val="18"/>
      <color theme="1"/>
      <name val="Arial"/>
      <family val="2"/>
    </font>
    <font>
      <sz val="18"/>
      <color rgb="FFFF0000"/>
      <name val="Arial"/>
      <family val="2"/>
    </font>
    <font>
      <sz val="20"/>
      <color theme="1"/>
      <name val="Arial"/>
      <family val="2"/>
    </font>
    <font>
      <b/>
      <sz val="18"/>
      <color theme="1"/>
      <name val="Arial"/>
      <family val="2"/>
    </font>
    <font>
      <sz val="17"/>
      <color theme="1"/>
      <name val="Arial"/>
      <family val="2"/>
    </font>
    <font>
      <b/>
      <u/>
      <sz val="16"/>
      <color theme="1"/>
      <name val="Arial Narrow"/>
      <family val="2"/>
    </font>
    <font>
      <sz val="12"/>
      <color theme="1"/>
      <name val="Arial Narrow"/>
      <family val="2"/>
    </font>
    <font>
      <sz val="18"/>
      <color theme="0"/>
      <name val="Arial"/>
      <family val="2"/>
    </font>
    <font>
      <i/>
      <sz val="20"/>
      <color theme="1"/>
      <name val="Arial"/>
      <family val="2"/>
    </font>
    <font>
      <i/>
      <sz val="17"/>
      <color theme="1"/>
      <name val="Arial"/>
      <family val="2"/>
    </font>
    <font>
      <b/>
      <i/>
      <sz val="17"/>
      <color theme="1"/>
      <name val="Arial"/>
      <family val="2"/>
    </font>
    <font>
      <sz val="10"/>
      <color rgb="FFFFFF00"/>
      <name val="Arial"/>
      <family val="2"/>
    </font>
    <font>
      <sz val="12"/>
      <color rgb="FF00B050"/>
      <name val="Helv"/>
    </font>
    <font>
      <b/>
      <u/>
      <sz val="12"/>
      <color theme="0"/>
      <name val="Arial"/>
      <family val="2"/>
    </font>
    <font>
      <sz val="12"/>
      <name val="Cambria"/>
      <family val="1"/>
      <scheme val="major"/>
    </font>
    <font>
      <b/>
      <sz val="12"/>
      <name val="Cambria"/>
      <family val="1"/>
      <scheme val="major"/>
    </font>
    <font>
      <b/>
      <sz val="16"/>
      <name val="Cambria"/>
      <family val="1"/>
      <scheme val="major"/>
    </font>
    <font>
      <b/>
      <sz val="11"/>
      <name val="Cambria"/>
      <family val="1"/>
      <scheme val="major"/>
    </font>
    <font>
      <sz val="12"/>
      <color theme="0"/>
      <name val="Cambria"/>
      <family val="1"/>
      <scheme val="major"/>
    </font>
    <font>
      <sz val="10"/>
      <name val="Cambria"/>
      <family val="1"/>
      <scheme val="major"/>
    </font>
    <font>
      <sz val="12"/>
      <color rgb="FFFF0000"/>
      <name val="Cambria"/>
      <family val="1"/>
      <scheme val="major"/>
    </font>
    <font>
      <sz val="12"/>
      <color indexed="8"/>
      <name val="Cambria"/>
      <family val="1"/>
      <scheme val="major"/>
    </font>
    <font>
      <b/>
      <sz val="12"/>
      <color rgb="FFFF0000"/>
      <name val="Cambria"/>
      <family val="1"/>
      <scheme val="major"/>
    </font>
    <font>
      <sz val="12"/>
      <color indexed="10"/>
      <name val="Cambria"/>
      <family val="1"/>
      <scheme val="major"/>
    </font>
    <font>
      <sz val="11"/>
      <name val="Cambria"/>
      <family val="1"/>
      <scheme val="major"/>
    </font>
    <font>
      <b/>
      <sz val="12"/>
      <color indexed="10"/>
      <name val="Cambria"/>
      <family val="1"/>
      <scheme val="major"/>
    </font>
    <font>
      <sz val="12"/>
      <color indexed="14"/>
      <name val="Cambria"/>
      <family val="1"/>
      <scheme val="major"/>
    </font>
    <font>
      <sz val="12"/>
      <color rgb="FFFFFF00"/>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20"/>
      <name val="Cambria"/>
      <family val="1"/>
      <scheme val="major"/>
    </font>
    <font>
      <b/>
      <sz val="20"/>
      <name val="Cambria"/>
      <family val="1"/>
      <scheme val="major"/>
    </font>
    <font>
      <b/>
      <sz val="12"/>
      <color theme="0"/>
      <name val="Cambria"/>
      <family val="1"/>
      <scheme val="major"/>
    </font>
    <font>
      <b/>
      <sz val="12"/>
      <color indexed="13"/>
      <name val="Cambria"/>
      <family val="1"/>
      <scheme val="major"/>
    </font>
    <font>
      <sz val="12"/>
      <color indexed="12"/>
      <name val="Cambria"/>
      <family val="1"/>
      <scheme val="major"/>
    </font>
    <font>
      <sz val="12"/>
      <color rgb="FF00B0F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b/>
      <sz val="10"/>
      <name val="Cambria"/>
      <family val="1"/>
      <scheme val="major"/>
    </font>
    <font>
      <sz val="12"/>
      <color rgb="FFC00000"/>
      <name val="Cambria"/>
      <family val="1"/>
      <scheme val="major"/>
    </font>
    <font>
      <b/>
      <sz val="12"/>
      <color indexed="12"/>
      <name val="Cambria"/>
      <family val="1"/>
      <scheme val="major"/>
    </font>
    <font>
      <b/>
      <sz val="14"/>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sz val="13"/>
      <name val="Cambria"/>
      <family val="1"/>
      <scheme val="major"/>
    </font>
    <font>
      <b/>
      <sz val="13"/>
      <name val="Cambria"/>
      <family val="1"/>
      <scheme val="major"/>
    </font>
    <font>
      <sz val="12"/>
      <color indexed="9"/>
      <name val="Cambria"/>
      <family val="1"/>
      <scheme val="major"/>
    </font>
    <font>
      <sz val="12"/>
      <color theme="1"/>
      <name val="Cambria"/>
      <family val="1"/>
      <scheme val="major"/>
    </font>
    <font>
      <sz val="14"/>
      <name val="Cambria"/>
      <family val="1"/>
      <scheme val="major"/>
    </font>
    <font>
      <sz val="12"/>
      <color theme="8" tint="-0.249977111117893"/>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vertAlign val="superscript"/>
      <sz val="12"/>
      <name val="Cambria"/>
      <family val="1"/>
      <scheme val="major"/>
    </font>
    <font>
      <sz val="14"/>
      <color rgb="FFFF0000"/>
      <name val="Cambria"/>
      <family val="1"/>
      <scheme val="major"/>
    </font>
    <font>
      <sz val="12"/>
      <color indexed="17"/>
      <name val="Cambria"/>
      <family val="1"/>
      <scheme val="major"/>
    </font>
    <font>
      <b/>
      <u/>
      <sz val="12"/>
      <name val="Cambria"/>
      <family val="1"/>
      <scheme val="major"/>
    </font>
    <font>
      <sz val="13"/>
      <color rgb="FFFFFF00"/>
      <name val="Cambria"/>
      <family val="1"/>
      <scheme val="major"/>
    </font>
    <font>
      <sz val="13"/>
      <color rgb="FFFF0000"/>
      <name val="Cambria"/>
      <family val="1"/>
      <scheme val="major"/>
    </font>
    <font>
      <sz val="14"/>
      <color rgb="FFFFFF00"/>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8"/>
      <name val="Cambria"/>
      <family val="1"/>
      <scheme val="major"/>
    </font>
    <font>
      <sz val="18"/>
      <color theme="1"/>
      <name val="Cambria"/>
      <family val="1"/>
      <scheme val="major"/>
    </font>
    <font>
      <b/>
      <sz val="17"/>
      <name val="Cambria"/>
      <family val="1"/>
      <scheme val="major"/>
    </font>
    <font>
      <sz val="19"/>
      <name val="Cambria"/>
      <family val="1"/>
      <scheme val="major"/>
    </font>
    <font>
      <sz val="17"/>
      <name val="Cambria"/>
      <family val="1"/>
      <scheme val="major"/>
    </font>
    <font>
      <b/>
      <sz val="19"/>
      <name val="Cambria"/>
      <family val="1"/>
      <scheme val="major"/>
    </font>
    <font>
      <sz val="18"/>
      <color rgb="FFFF0000"/>
      <name val="Cambria"/>
      <family val="1"/>
      <scheme val="major"/>
    </font>
    <font>
      <sz val="16.5"/>
      <name val="Cambria"/>
      <family val="1"/>
      <scheme val="major"/>
    </font>
    <font>
      <b/>
      <sz val="18"/>
      <color theme="1"/>
      <name val="Cambria"/>
      <family val="1"/>
      <scheme val="major"/>
    </font>
    <font>
      <u/>
      <sz val="12"/>
      <name val="Cambria"/>
      <family val="1"/>
      <scheme val="major"/>
    </font>
    <font>
      <sz val="12"/>
      <name val="Times New Roman"/>
      <family val="1"/>
    </font>
    <font>
      <b/>
      <sz val="13"/>
      <name val="Times New Roman"/>
      <family val="1"/>
    </font>
    <font>
      <sz val="13"/>
      <name val="Times New Roman"/>
      <family val="1"/>
    </font>
    <font>
      <b/>
      <sz val="12"/>
      <name val="Times New Roman"/>
      <family val="1"/>
    </font>
    <font>
      <b/>
      <u val="double"/>
      <sz val="16"/>
      <name val="Times New Roman"/>
      <family val="1"/>
    </font>
    <font>
      <b/>
      <sz val="16"/>
      <name val="Times New Roman"/>
      <family val="1"/>
    </font>
    <font>
      <sz val="10"/>
      <name val="Arial"/>
    </font>
    <font>
      <sz val="14"/>
      <color theme="1"/>
      <name val="Times New Roman"/>
      <family val="1"/>
    </font>
    <font>
      <b/>
      <sz val="14"/>
      <color theme="1"/>
      <name val="Times New Roman"/>
      <family val="1"/>
    </font>
    <font>
      <sz val="16"/>
      <name val="Times New Roman"/>
      <family val="1"/>
    </font>
    <font>
      <sz val="10"/>
      <name val="Times New Roman"/>
      <family val="1"/>
    </font>
    <font>
      <b/>
      <sz val="10"/>
      <name val="Times New Roman"/>
      <family val="1"/>
    </font>
    <font>
      <u/>
      <sz val="10"/>
      <color indexed="12"/>
      <name val="Arial"/>
      <family val="2"/>
    </font>
    <font>
      <sz val="11"/>
      <name val="Times New Roman"/>
      <family val="1"/>
    </font>
    <font>
      <sz val="11"/>
      <color rgb="FF000000"/>
      <name val="Calibri"/>
      <family val="2"/>
    </font>
    <font>
      <b/>
      <sz val="18"/>
      <name val="Times New Roman"/>
      <family val="1"/>
    </font>
    <font>
      <sz val="14"/>
      <color theme="1"/>
      <name val="Cambria"/>
      <family val="1"/>
      <scheme val="major"/>
    </font>
    <font>
      <b/>
      <u/>
      <sz val="16"/>
      <name val="Cambria"/>
      <family val="1"/>
      <scheme val="major"/>
    </font>
    <font>
      <sz val="15"/>
      <name val="Cambria"/>
      <family val="1"/>
      <scheme val="major"/>
    </font>
    <font>
      <sz val="18"/>
      <name val="Times New Roman"/>
      <family val="1"/>
    </font>
    <font>
      <b/>
      <u/>
      <sz val="12"/>
      <name val="Times New Roman"/>
      <family val="1"/>
    </font>
    <font>
      <vertAlign val="superscript"/>
      <sz val="12"/>
      <name val="Times New Roman"/>
      <family val="1"/>
    </font>
    <font>
      <b/>
      <sz val="12"/>
      <color theme="1"/>
      <name val="Tahoma"/>
      <family val="2"/>
    </font>
    <font>
      <sz val="12"/>
      <color theme="1"/>
      <name val="Tahoma"/>
      <family val="2"/>
    </font>
    <font>
      <b/>
      <vertAlign val="superscript"/>
      <sz val="12"/>
      <color theme="1"/>
      <name val="Tahoma"/>
      <family val="2"/>
    </font>
    <font>
      <sz val="12"/>
      <color indexed="10"/>
      <name val="Times New Roman"/>
      <family val="1"/>
    </font>
    <font>
      <b/>
      <sz val="11"/>
      <color theme="1"/>
      <name val="Times New Roman"/>
      <family val="1"/>
    </font>
    <font>
      <b/>
      <vertAlign val="superscript"/>
      <sz val="11"/>
      <color theme="1"/>
      <name val="Times New Roman"/>
      <family val="1"/>
    </font>
    <font>
      <b/>
      <sz val="12"/>
      <color theme="1"/>
      <name val="Times New Roman"/>
      <family val="1"/>
    </font>
    <font>
      <b/>
      <sz val="14"/>
      <color theme="1"/>
      <name val="Calibri"/>
      <family val="2"/>
      <scheme val="minor"/>
    </font>
    <font>
      <sz val="11"/>
      <color theme="1"/>
      <name val="Times New Roman"/>
      <family val="1"/>
    </font>
    <font>
      <u/>
      <sz val="11"/>
      <color theme="1"/>
      <name val="Cambria"/>
      <family val="1"/>
      <scheme val="major"/>
    </font>
    <font>
      <sz val="12"/>
      <color theme="1"/>
      <name val="Bamini"/>
      <family val="2"/>
    </font>
    <font>
      <sz val="12"/>
      <name val="Bamini"/>
      <family val="2"/>
    </font>
    <font>
      <u/>
      <sz val="18"/>
      <color theme="1"/>
      <name val="Cambria"/>
      <family val="1"/>
      <scheme val="major"/>
    </font>
    <font>
      <sz val="16"/>
      <color theme="1"/>
      <name val="Cambria"/>
      <family val="1"/>
      <scheme val="major"/>
    </font>
    <font>
      <b/>
      <sz val="18"/>
      <color rgb="FFFF0000"/>
      <name val="Cambria"/>
      <family val="1"/>
      <scheme val="major"/>
    </font>
    <font>
      <sz val="18"/>
      <color theme="0"/>
      <name val="Cambria"/>
      <family val="1"/>
      <scheme val="major"/>
    </font>
    <font>
      <sz val="17"/>
      <color rgb="FFFF0000"/>
      <name val="Cambria"/>
      <family val="1"/>
      <scheme val="major"/>
    </font>
    <font>
      <sz val="20"/>
      <color theme="1"/>
      <name val="Cambria"/>
      <family val="1"/>
      <scheme val="major"/>
    </font>
    <font>
      <sz val="17"/>
      <color theme="1"/>
      <name val="Cambria"/>
      <family val="1"/>
      <scheme val="major"/>
    </font>
    <font>
      <sz val="20"/>
      <color rgb="FFFF0000"/>
      <name val="Cambria"/>
      <family val="1"/>
      <scheme val="major"/>
    </font>
    <font>
      <i/>
      <sz val="20"/>
      <name val="Cambria"/>
      <family val="1"/>
      <scheme val="major"/>
    </font>
    <font>
      <sz val="13"/>
      <color rgb="FFFF0000"/>
      <name val="Times New Roman"/>
      <family val="1"/>
    </font>
  </fonts>
  <fills count="15">
    <fill>
      <patternFill patternType="none"/>
    </fill>
    <fill>
      <patternFill patternType="gray125"/>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92D050"/>
        <bgColor indexed="64"/>
      </patternFill>
    </fill>
    <fill>
      <patternFill patternType="solid">
        <fgColor rgb="FFFFC000"/>
        <bgColor indexed="64"/>
      </patternFill>
    </fill>
    <fill>
      <patternFill patternType="solid">
        <fgColor rgb="FF00B050"/>
        <bgColor indexed="64"/>
      </patternFill>
    </fill>
  </fills>
  <borders count="26">
    <border>
      <left/>
      <right/>
      <top/>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hair">
        <color indexed="64"/>
      </left>
      <right style="hair">
        <color indexed="64"/>
      </right>
      <top style="hair">
        <color indexed="64"/>
      </top>
      <bottom/>
      <diagonal/>
    </border>
    <border>
      <left/>
      <right/>
      <top style="double">
        <color indexed="64"/>
      </top>
      <bottom/>
      <diagonal/>
    </border>
    <border>
      <left/>
      <right/>
      <top/>
      <bottom style="double">
        <color indexed="64"/>
      </bottom>
      <diagonal/>
    </border>
    <border>
      <left style="hair">
        <color indexed="64"/>
      </left>
      <right style="hair">
        <color indexed="64"/>
      </right>
      <top/>
      <bottom/>
      <diagonal/>
    </border>
    <border>
      <left style="dotted">
        <color indexed="64"/>
      </left>
      <right style="dotted">
        <color indexed="64"/>
      </right>
      <top style="dotted">
        <color indexed="64"/>
      </top>
      <bottom style="dotted">
        <color indexed="64"/>
      </bottom>
      <diagonal/>
    </border>
    <border>
      <left style="hair">
        <color indexed="64"/>
      </left>
      <right style="hair">
        <color indexed="64"/>
      </right>
      <top/>
      <bottom style="hair">
        <color indexed="64"/>
      </bottom>
      <diagonal/>
    </border>
    <border>
      <left style="thin">
        <color indexed="64"/>
      </left>
      <right style="thin">
        <color indexed="64"/>
      </right>
      <top style="thin">
        <color indexed="64"/>
      </top>
      <bottom style="thin">
        <color indexed="64"/>
      </bottom>
      <diagonal/>
    </border>
    <border>
      <left style="dotted">
        <color indexed="64"/>
      </left>
      <right style="dotted">
        <color indexed="64"/>
      </right>
      <top/>
      <bottom style="dotted">
        <color indexed="64"/>
      </bottom>
      <diagonal/>
    </border>
    <border>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s>
  <cellStyleXfs count="48">
    <xf numFmtId="165" fontId="0" fillId="0" borderId="0"/>
    <xf numFmtId="42" fontId="12" fillId="0" borderId="0"/>
    <xf numFmtId="164" fontId="12" fillId="0" borderId="0"/>
    <xf numFmtId="0" fontId="84" fillId="0" borderId="0"/>
    <xf numFmtId="0" fontId="49" fillId="0" borderId="0"/>
    <xf numFmtId="0" fontId="49" fillId="0" borderId="0"/>
    <xf numFmtId="0" fontId="49" fillId="0" borderId="0"/>
    <xf numFmtId="0" fontId="84" fillId="0" borderId="0"/>
    <xf numFmtId="0" fontId="49" fillId="0" borderId="0"/>
    <xf numFmtId="0" fontId="49" fillId="0" borderId="0"/>
    <xf numFmtId="165" fontId="12" fillId="0" borderId="0"/>
    <xf numFmtId="0" fontId="84" fillId="0" borderId="0"/>
    <xf numFmtId="0" fontId="49" fillId="0" borderId="0"/>
    <xf numFmtId="0" fontId="49" fillId="0" borderId="0"/>
    <xf numFmtId="0" fontId="49" fillId="0" borderId="0"/>
    <xf numFmtId="0" fontId="4" fillId="0" borderId="0"/>
    <xf numFmtId="0" fontId="49" fillId="0" borderId="0"/>
    <xf numFmtId="0" fontId="49" fillId="0" borderId="0"/>
    <xf numFmtId="0" fontId="4" fillId="0" borderId="0"/>
    <xf numFmtId="9" fontId="4" fillId="0" borderId="0" applyFont="0" applyFill="0" applyBorder="0" applyAlignment="0" applyProtection="0"/>
    <xf numFmtId="0" fontId="4" fillId="0" borderId="0"/>
    <xf numFmtId="0" fontId="4" fillId="0" borderId="0"/>
    <xf numFmtId="0" fontId="209" fillId="0" borderId="0"/>
    <xf numFmtId="43" fontId="4" fillId="0" borderId="0" applyFont="0" applyFill="0" applyBorder="0" applyAlignment="0" applyProtection="0"/>
    <xf numFmtId="0" fontId="215" fillId="0" borderId="0" applyNumberFormat="0" applyFill="0" applyBorder="0" applyAlignment="0" applyProtection="0">
      <alignment vertical="top"/>
      <protection locked="0"/>
    </xf>
    <xf numFmtId="165" fontId="12" fillId="0" borderId="0"/>
    <xf numFmtId="0" fontId="12" fillId="0" borderId="0"/>
    <xf numFmtId="0" fontId="12" fillId="0" borderId="0"/>
    <xf numFmtId="168" fontId="12" fillId="0" borderId="0"/>
    <xf numFmtId="0" fontId="4" fillId="0" borderId="0"/>
    <xf numFmtId="0" fontId="3" fillId="0" borderId="0"/>
    <xf numFmtId="0" fontId="4" fillId="0" borderId="0"/>
    <xf numFmtId="0" fontId="4" fillId="0" borderId="0"/>
    <xf numFmtId="0" fontId="3" fillId="0" borderId="0"/>
    <xf numFmtId="0" fontId="4" fillId="0" borderId="0"/>
    <xf numFmtId="0" fontId="4" fillId="0" borderId="0"/>
    <xf numFmtId="0" fontId="4" fillId="0" borderId="0"/>
    <xf numFmtId="169" fontId="12" fillId="0" borderId="0"/>
    <xf numFmtId="169" fontId="12" fillId="0" borderId="0"/>
    <xf numFmtId="0" fontId="209" fillId="0" borderId="0"/>
    <xf numFmtId="173" fontId="12" fillId="0" borderId="0"/>
    <xf numFmtId="0" fontId="216" fillId="0" borderId="0"/>
    <xf numFmtId="0" fontId="3" fillId="0" borderId="0"/>
    <xf numFmtId="0" fontId="217" fillId="0" borderId="0"/>
    <xf numFmtId="9" fontId="209" fillId="0" borderId="0" applyFont="0" applyFill="0" applyBorder="0" applyAlignment="0" applyProtection="0"/>
    <xf numFmtId="0" fontId="4" fillId="0" borderId="0"/>
    <xf numFmtId="164" fontId="12" fillId="0" borderId="0"/>
    <xf numFmtId="0" fontId="1" fillId="0" borderId="0"/>
  </cellStyleXfs>
  <cellXfs count="1984">
    <xf numFmtId="165" fontId="0" fillId="0" borderId="0" xfId="0"/>
    <xf numFmtId="165" fontId="0" fillId="0" borderId="0" xfId="0" applyNumberFormat="1" applyAlignment="1" applyProtection="1">
      <alignment horizontal="left"/>
    </xf>
    <xf numFmtId="165" fontId="0" fillId="0" borderId="0" xfId="0" applyNumberFormat="1" applyAlignment="1" applyProtection="1">
      <alignment horizontal="center"/>
    </xf>
    <xf numFmtId="165" fontId="0" fillId="0" borderId="0" xfId="0" applyAlignment="1"/>
    <xf numFmtId="165" fontId="0" fillId="0" borderId="0" xfId="0" applyAlignment="1">
      <alignment horizontal="center"/>
    </xf>
    <xf numFmtId="165" fontId="0" fillId="0" borderId="0" xfId="0" applyNumberFormat="1" applyAlignment="1" applyProtection="1">
      <alignment horizontal="fill"/>
    </xf>
    <xf numFmtId="165" fontId="0" fillId="0" borderId="0" xfId="0" applyNumberFormat="1" applyAlignment="1" applyProtection="1">
      <alignment horizontal="right"/>
    </xf>
    <xf numFmtId="165" fontId="0" fillId="0" borderId="0" xfId="0" applyNumberFormat="1" applyAlignment="1" applyProtection="1"/>
    <xf numFmtId="165" fontId="0" fillId="0" borderId="0" xfId="0" applyNumberFormat="1" applyProtection="1"/>
    <xf numFmtId="165" fontId="0" fillId="0" borderId="0" xfId="0" applyAlignment="1">
      <alignment horizontal="left"/>
    </xf>
    <xf numFmtId="166" fontId="0" fillId="0" borderId="0" xfId="0" applyNumberFormat="1" applyAlignment="1" applyProtection="1">
      <alignment horizontal="center"/>
    </xf>
    <xf numFmtId="167" fontId="0" fillId="0" borderId="0" xfId="0" applyNumberFormat="1" applyProtection="1"/>
    <xf numFmtId="169" fontId="0" fillId="0" borderId="0" xfId="0" applyNumberFormat="1" applyProtection="1"/>
    <xf numFmtId="170" fontId="0" fillId="0" borderId="0" xfId="0" applyNumberFormat="1" applyProtection="1"/>
    <xf numFmtId="169" fontId="0" fillId="0" borderId="0" xfId="0" applyNumberFormat="1" applyAlignment="1" applyProtection="1">
      <alignment horizontal="fill"/>
    </xf>
    <xf numFmtId="169" fontId="0" fillId="0" borderId="0" xfId="0" applyNumberFormat="1" applyAlignment="1" applyProtection="1">
      <alignment horizontal="left"/>
    </xf>
    <xf numFmtId="171" fontId="0" fillId="0" borderId="0" xfId="0" applyNumberFormat="1" applyProtection="1"/>
    <xf numFmtId="167" fontId="0" fillId="0" borderId="0" xfId="0" applyNumberFormat="1" applyAlignment="1" applyProtection="1">
      <alignment horizontal="center"/>
    </xf>
    <xf numFmtId="165" fontId="0" fillId="0" borderId="0" xfId="0" applyNumberFormat="1" applyAlignment="1" applyProtection="1">
      <alignment vertical="center"/>
    </xf>
    <xf numFmtId="165" fontId="0" fillId="0" borderId="0" xfId="0" applyNumberFormat="1" applyAlignment="1" applyProtection="1">
      <alignment horizontal="left" wrapText="1"/>
    </xf>
    <xf numFmtId="168" fontId="0" fillId="0" borderId="0" xfId="0" applyNumberFormat="1" applyAlignment="1" applyProtection="1">
      <alignment horizontal="center"/>
    </xf>
    <xf numFmtId="165" fontId="0" fillId="0" borderId="0" xfId="0" applyAlignment="1">
      <alignment wrapText="1"/>
    </xf>
    <xf numFmtId="168" fontId="0" fillId="0" borderId="0" xfId="0" applyNumberFormat="1"/>
    <xf numFmtId="165" fontId="0" fillId="0" borderId="0" xfId="0" applyAlignment="1">
      <alignment horizontal="right"/>
    </xf>
    <xf numFmtId="165" fontId="11" fillId="0" borderId="0" xfId="0" applyNumberFormat="1" applyFont="1" applyAlignment="1" applyProtection="1">
      <alignment horizontal="left"/>
    </xf>
    <xf numFmtId="165" fontId="11" fillId="0" borderId="0" xfId="0" applyFont="1"/>
    <xf numFmtId="165" fontId="11" fillId="0" borderId="0" xfId="0" applyNumberFormat="1" applyFont="1" applyProtection="1"/>
    <xf numFmtId="165" fontId="11" fillId="0" borderId="0" xfId="0" applyFont="1" applyAlignment="1">
      <alignment horizontal="center"/>
    </xf>
    <xf numFmtId="165" fontId="11" fillId="0" borderId="0" xfId="0" applyNumberFormat="1" applyFont="1" applyAlignment="1" applyProtection="1">
      <alignment horizontal="fill"/>
    </xf>
    <xf numFmtId="165" fontId="11" fillId="0" borderId="0" xfId="0" applyNumberFormat="1" applyFont="1" applyAlignment="1" applyProtection="1">
      <alignment horizontal="right"/>
    </xf>
    <xf numFmtId="0" fontId="4" fillId="0" borderId="0" xfId="18"/>
    <xf numFmtId="0" fontId="4" fillId="0" borderId="0" xfId="18" applyAlignment="1">
      <alignment wrapText="1"/>
    </xf>
    <xf numFmtId="2" fontId="4" fillId="0" borderId="0" xfId="18" applyNumberFormat="1"/>
    <xf numFmtId="0" fontId="14" fillId="0" borderId="0" xfId="18" applyFont="1" applyAlignment="1">
      <alignment wrapText="1"/>
    </xf>
    <xf numFmtId="0" fontId="14" fillId="0" borderId="0" xfId="18" applyFont="1"/>
    <xf numFmtId="167" fontId="0" fillId="0" borderId="0" xfId="0" applyNumberFormat="1"/>
    <xf numFmtId="165" fontId="15" fillId="0" borderId="0" xfId="0" applyNumberFormat="1" applyFont="1" applyProtection="1"/>
    <xf numFmtId="165" fontId="12" fillId="0" borderId="0" xfId="0" applyFont="1" applyAlignment="1"/>
    <xf numFmtId="165" fontId="12" fillId="0" borderId="0" xfId="0" applyFont="1"/>
    <xf numFmtId="165" fontId="0" fillId="0" borderId="0" xfId="0" quotePrefix="1"/>
    <xf numFmtId="165" fontId="12" fillId="0" borderId="0" xfId="0" quotePrefix="1" applyFont="1"/>
    <xf numFmtId="165" fontId="11" fillId="0" borderId="0" xfId="0" applyNumberFormat="1" applyFont="1" applyAlignment="1" applyProtection="1">
      <alignment horizontal="center"/>
    </xf>
    <xf numFmtId="165" fontId="12" fillId="0" borderId="0" xfId="0" applyNumberFormat="1" applyFont="1" applyProtection="1"/>
    <xf numFmtId="165" fontId="0" fillId="0" borderId="0" xfId="0" quotePrefix="1" applyNumberFormat="1" applyAlignment="1" applyProtection="1">
      <alignment horizontal="fill"/>
    </xf>
    <xf numFmtId="165" fontId="12" fillId="0" borderId="0" xfId="0" applyFont="1" applyAlignment="1">
      <alignment horizontal="left"/>
    </xf>
    <xf numFmtId="165" fontId="11" fillId="0" borderId="0" xfId="0" applyFont="1" applyAlignment="1"/>
    <xf numFmtId="167" fontId="12" fillId="0" borderId="0" xfId="0" applyNumberFormat="1" applyFont="1"/>
    <xf numFmtId="170" fontId="12" fillId="0" borderId="0" xfId="0" applyNumberFormat="1" applyFont="1"/>
    <xf numFmtId="169" fontId="12" fillId="0" borderId="0" xfId="0" applyNumberFormat="1" applyFont="1"/>
    <xf numFmtId="2" fontId="0" fillId="0" borderId="0" xfId="0" applyNumberFormat="1"/>
    <xf numFmtId="2" fontId="11" fillId="0" borderId="0" xfId="0" applyNumberFormat="1" applyFont="1"/>
    <xf numFmtId="165" fontId="11" fillId="0" borderId="0" xfId="0" applyFont="1" applyAlignment="1">
      <alignment horizontal="left"/>
    </xf>
    <xf numFmtId="0" fontId="13" fillId="0" borderId="0" xfId="18" applyFont="1"/>
    <xf numFmtId="0" fontId="13" fillId="0" borderId="0" xfId="18" applyFont="1" applyAlignment="1">
      <alignment horizontal="center"/>
    </xf>
    <xf numFmtId="0" fontId="16" fillId="0" borderId="0" xfId="18" applyFont="1" applyAlignment="1">
      <alignment horizontal="center"/>
    </xf>
    <xf numFmtId="165" fontId="15" fillId="0" borderId="0" xfId="0" applyFont="1"/>
    <xf numFmtId="0" fontId="13" fillId="0" borderId="0" xfId="18" applyFont="1" applyAlignment="1">
      <alignment vertical="center" wrapText="1"/>
    </xf>
    <xf numFmtId="165" fontId="9" fillId="0" borderId="0" xfId="0" applyNumberFormat="1" applyFont="1" applyAlignment="1" applyProtection="1">
      <alignment horizontal="left"/>
    </xf>
    <xf numFmtId="165" fontId="9" fillId="0" borderId="0" xfId="0" applyNumberFormat="1" applyFont="1" applyProtection="1"/>
    <xf numFmtId="165" fontId="22" fillId="0" borderId="0" xfId="0" applyFont="1"/>
    <xf numFmtId="165" fontId="22" fillId="0" borderId="0" xfId="0" applyFont="1" applyAlignment="1"/>
    <xf numFmtId="165" fontId="22" fillId="0" borderId="0" xfId="0" applyFont="1" applyAlignment="1">
      <alignment horizontal="center"/>
    </xf>
    <xf numFmtId="165" fontId="22" fillId="0" borderId="0" xfId="0" applyFont="1" applyAlignment="1">
      <alignment horizontal="right"/>
    </xf>
    <xf numFmtId="165" fontId="9" fillId="0" borderId="0" xfId="0" applyFont="1" applyAlignment="1">
      <alignment horizontal="right"/>
    </xf>
    <xf numFmtId="165" fontId="22" fillId="0" borderId="0" xfId="0" applyNumberFormat="1" applyFont="1" applyAlignment="1" applyProtection="1">
      <alignment horizontal="center"/>
    </xf>
    <xf numFmtId="165" fontId="22" fillId="0" borderId="0" xfId="0" applyNumberFormat="1" applyFont="1" applyAlignment="1" applyProtection="1"/>
    <xf numFmtId="165" fontId="22" fillId="0" borderId="0" xfId="0" applyNumberFormat="1" applyFont="1" applyAlignment="1" applyProtection="1">
      <alignment horizontal="left"/>
    </xf>
    <xf numFmtId="165" fontId="22" fillId="0" borderId="0" xfId="0" applyNumberFormat="1" applyFont="1" applyAlignment="1" applyProtection="1">
      <alignment horizontal="fill"/>
    </xf>
    <xf numFmtId="165" fontId="22" fillId="0" borderId="0" xfId="0" applyNumberFormat="1" applyFont="1" applyProtection="1"/>
    <xf numFmtId="165" fontId="22" fillId="0" borderId="0" xfId="0" applyNumberFormat="1" applyFont="1" applyAlignment="1" applyProtection="1">
      <alignment horizontal="right"/>
    </xf>
    <xf numFmtId="165" fontId="22" fillId="0" borderId="0" xfId="0" applyNumberFormat="1" applyFont="1" applyAlignment="1" applyProtection="1">
      <alignment horizontal="left" wrapText="1"/>
    </xf>
    <xf numFmtId="169" fontId="22" fillId="0" borderId="0" xfId="0" applyNumberFormat="1" applyFont="1" applyProtection="1"/>
    <xf numFmtId="170" fontId="22" fillId="0" borderId="0" xfId="0" applyNumberFormat="1" applyFont="1" applyProtection="1"/>
    <xf numFmtId="169" fontId="22" fillId="0" borderId="0" xfId="0" applyNumberFormat="1" applyFont="1" applyAlignment="1" applyProtection="1">
      <alignment horizontal="left"/>
    </xf>
    <xf numFmtId="170" fontId="22" fillId="0" borderId="0" xfId="0" applyNumberFormat="1" applyFont="1"/>
    <xf numFmtId="165" fontId="9" fillId="0" borderId="0" xfId="0" applyNumberFormat="1" applyFont="1" applyAlignment="1" applyProtection="1">
      <alignment horizontal="center"/>
    </xf>
    <xf numFmtId="165" fontId="22" fillId="0" borderId="0" xfId="0" applyFont="1" applyBorder="1"/>
    <xf numFmtId="165" fontId="22" fillId="0" borderId="0" xfId="0" applyFont="1" applyBorder="1" applyAlignment="1"/>
    <xf numFmtId="165" fontId="22" fillId="0" borderId="0" xfId="0" applyFont="1" applyBorder="1" applyAlignment="1">
      <alignment horizontal="center"/>
    </xf>
    <xf numFmtId="165" fontId="0" fillId="0" borderId="0" xfId="0" applyFill="1" applyBorder="1"/>
    <xf numFmtId="165" fontId="0" fillId="0" borderId="0" xfId="0" applyBorder="1" applyAlignment="1">
      <alignment horizontal="center"/>
    </xf>
    <xf numFmtId="170" fontId="11" fillId="0" borderId="0" xfId="0" applyNumberFormat="1" applyFont="1" applyAlignment="1">
      <alignment horizontal="right"/>
    </xf>
    <xf numFmtId="165" fontId="26" fillId="0" borderId="0" xfId="0" applyFont="1"/>
    <xf numFmtId="165" fontId="25" fillId="0" borderId="0" xfId="0" applyFont="1"/>
    <xf numFmtId="169" fontId="0" fillId="0" borderId="0" xfId="0" applyNumberFormat="1"/>
    <xf numFmtId="165" fontId="0" fillId="0" borderId="0" xfId="0" applyBorder="1" applyAlignment="1"/>
    <xf numFmtId="165" fontId="0" fillId="0" borderId="0" xfId="0" applyNumberFormat="1" applyBorder="1" applyAlignment="1" applyProtection="1">
      <alignment horizontal="left"/>
    </xf>
    <xf numFmtId="165" fontId="0" fillId="0" borderId="0" xfId="0" applyBorder="1"/>
    <xf numFmtId="165" fontId="0" fillId="0" borderId="0" xfId="0" applyBorder="1" applyAlignment="1">
      <alignment horizontal="left"/>
    </xf>
    <xf numFmtId="165" fontId="0" fillId="0" borderId="0" xfId="0" applyNumberFormat="1" applyBorder="1" applyAlignment="1" applyProtection="1">
      <alignment horizontal="fill"/>
    </xf>
    <xf numFmtId="165" fontId="0" fillId="0" borderId="0" xfId="0" applyNumberFormat="1" applyBorder="1" applyAlignment="1" applyProtection="1"/>
    <xf numFmtId="165" fontId="0" fillId="0" borderId="0" xfId="0" applyNumberFormat="1" applyBorder="1" applyProtection="1"/>
    <xf numFmtId="165" fontId="0" fillId="0" borderId="0" xfId="0" applyNumberFormat="1" applyBorder="1" applyAlignment="1" applyProtection="1">
      <alignment horizontal="right"/>
    </xf>
    <xf numFmtId="165" fontId="11" fillId="0" borderId="0" xfId="0" applyFont="1" applyBorder="1"/>
    <xf numFmtId="165" fontId="11" fillId="0" borderId="0" xfId="0" applyFont="1" applyBorder="1" applyAlignment="1">
      <alignment horizontal="left"/>
    </xf>
    <xf numFmtId="165" fontId="0" fillId="0" borderId="2" xfId="0" applyBorder="1"/>
    <xf numFmtId="165" fontId="28" fillId="0" borderId="0" xfId="0" applyFont="1"/>
    <xf numFmtId="165" fontId="29" fillId="0" borderId="0" xfId="0" applyFont="1"/>
    <xf numFmtId="0" fontId="30" fillId="0" borderId="0" xfId="18" applyFont="1"/>
    <xf numFmtId="2" fontId="30" fillId="0" borderId="0" xfId="18" applyNumberFormat="1" applyFont="1"/>
    <xf numFmtId="165" fontId="0" fillId="0" borderId="0" xfId="0" applyAlignment="1">
      <alignment vertical="top"/>
    </xf>
    <xf numFmtId="165" fontId="34" fillId="2" borderId="0" xfId="0" applyFont="1" applyFill="1"/>
    <xf numFmtId="165" fontId="0" fillId="0" borderId="0" xfId="0" applyNumberFormat="1" applyBorder="1" applyAlignment="1" applyProtection="1">
      <alignment horizontal="center"/>
    </xf>
    <xf numFmtId="165" fontId="5" fillId="0" borderId="0" xfId="0" applyNumberFormat="1" applyFont="1" applyBorder="1" applyAlignment="1" applyProtection="1">
      <alignment horizontal="center"/>
    </xf>
    <xf numFmtId="165" fontId="6" fillId="0" borderId="0" xfId="0" applyNumberFormat="1" applyFont="1" applyBorder="1" applyAlignment="1" applyProtection="1">
      <alignment horizontal="left"/>
    </xf>
    <xf numFmtId="165" fontId="7" fillId="0" borderId="0" xfId="0" applyNumberFormat="1" applyFont="1" applyBorder="1" applyProtection="1"/>
    <xf numFmtId="166" fontId="0" fillId="0" borderId="0" xfId="0" applyNumberFormat="1" applyBorder="1" applyProtection="1"/>
    <xf numFmtId="165" fontId="0" fillId="0" borderId="0" xfId="0" applyBorder="1" applyAlignment="1" applyProtection="1">
      <alignment horizontal="left"/>
    </xf>
    <xf numFmtId="166" fontId="0" fillId="0" borderId="0" xfId="0" applyNumberFormat="1" applyBorder="1" applyAlignment="1" applyProtection="1">
      <alignment horizontal="center"/>
    </xf>
    <xf numFmtId="165" fontId="12" fillId="0" borderId="0" xfId="0" applyNumberFormat="1" applyFont="1" applyAlignment="1" applyProtection="1">
      <alignment horizontal="right"/>
    </xf>
    <xf numFmtId="165" fontId="35" fillId="0" borderId="0" xfId="0" applyNumberFormat="1" applyFont="1" applyBorder="1" applyAlignment="1" applyProtection="1">
      <alignment horizontal="left" wrapText="1"/>
    </xf>
    <xf numFmtId="167" fontId="0" fillId="0" borderId="0" xfId="0" applyNumberFormat="1" applyBorder="1" applyProtection="1"/>
    <xf numFmtId="168" fontId="0" fillId="0" borderId="0" xfId="0" applyNumberFormat="1" applyBorder="1" applyAlignment="1" applyProtection="1">
      <alignment horizontal="center"/>
    </xf>
    <xf numFmtId="168" fontId="0" fillId="0" borderId="0" xfId="0" applyNumberFormat="1" applyBorder="1" applyAlignment="1" applyProtection="1">
      <alignment horizontal="left"/>
    </xf>
    <xf numFmtId="165" fontId="11" fillId="0" borderId="0" xfId="0" applyNumberFormat="1" applyFont="1" applyBorder="1" applyAlignment="1" applyProtection="1">
      <alignment horizontal="left"/>
    </xf>
    <xf numFmtId="165" fontId="11" fillId="0" borderId="0" xfId="0" applyNumberFormat="1" applyFont="1" applyBorder="1" applyAlignment="1" applyProtection="1">
      <alignment horizontal="left" wrapText="1"/>
    </xf>
    <xf numFmtId="165" fontId="0" fillId="0" borderId="0" xfId="0" applyNumberFormat="1" applyBorder="1" applyAlignment="1" applyProtection="1">
      <alignment horizontal="left" wrapText="1"/>
    </xf>
    <xf numFmtId="168" fontId="0" fillId="0" borderId="0" xfId="0" applyNumberFormat="1" applyBorder="1" applyAlignment="1">
      <alignment horizontal="center" vertical="top"/>
    </xf>
    <xf numFmtId="168" fontId="12" fillId="0" borderId="0" xfId="0" applyNumberFormat="1" applyFont="1" applyBorder="1" applyAlignment="1">
      <alignment horizontal="center"/>
    </xf>
    <xf numFmtId="165" fontId="0" fillId="0" borderId="0" xfId="0" applyNumberFormat="1" applyBorder="1" applyAlignment="1" applyProtection="1">
      <alignment horizontal="left" vertical="top" wrapText="1"/>
    </xf>
    <xf numFmtId="168" fontId="0" fillId="0" borderId="0" xfId="0" applyNumberFormat="1" applyBorder="1"/>
    <xf numFmtId="169" fontId="0" fillId="0" borderId="0" xfId="0" applyNumberFormat="1" applyBorder="1" applyProtection="1"/>
    <xf numFmtId="170" fontId="0" fillId="0" borderId="0" xfId="0" applyNumberFormat="1" applyBorder="1" applyProtection="1"/>
    <xf numFmtId="168" fontId="0" fillId="0" borderId="0" xfId="0" applyNumberFormat="1" applyBorder="1" applyAlignment="1">
      <alignment horizontal="center"/>
    </xf>
    <xf numFmtId="166" fontId="0" fillId="0" borderId="0" xfId="0" applyNumberFormat="1" applyBorder="1" applyAlignment="1" applyProtection="1">
      <alignment horizontal="left"/>
    </xf>
    <xf numFmtId="166" fontId="0" fillId="0" borderId="0" xfId="0" applyNumberFormat="1" applyBorder="1" applyAlignment="1" applyProtection="1">
      <alignment horizontal="center" vertical="top"/>
    </xf>
    <xf numFmtId="165" fontId="11" fillId="0" borderId="0" xfId="0" applyFont="1" applyFill="1" applyBorder="1" applyAlignment="1">
      <alignment wrapText="1"/>
    </xf>
    <xf numFmtId="166" fontId="0" fillId="0" borderId="0" xfId="0" applyNumberFormat="1" applyBorder="1" applyAlignment="1">
      <alignment horizontal="center" vertical="top"/>
    </xf>
    <xf numFmtId="165" fontId="11" fillId="0" borderId="0" xfId="0" applyFont="1" applyFill="1" applyBorder="1"/>
    <xf numFmtId="165" fontId="15" fillId="0" borderId="0" xfId="0" applyFont="1" applyAlignment="1">
      <alignment horizontal="right"/>
    </xf>
    <xf numFmtId="165" fontId="12" fillId="0" borderId="0" xfId="0" applyFont="1" applyFill="1" applyBorder="1" applyAlignment="1">
      <alignment wrapText="1"/>
    </xf>
    <xf numFmtId="165" fontId="0" fillId="0" borderId="0" xfId="0" applyFill="1" applyBorder="1" applyAlignment="1">
      <alignment wrapText="1"/>
    </xf>
    <xf numFmtId="165" fontId="0" fillId="0" borderId="0" xfId="0" applyFill="1" applyBorder="1" applyAlignment="1">
      <alignment horizontal="left" vertical="top" wrapText="1"/>
    </xf>
    <xf numFmtId="165" fontId="11" fillId="0" borderId="0" xfId="0" applyFont="1" applyFill="1" applyBorder="1" applyAlignment="1">
      <alignment horizontal="left" vertical="top" wrapText="1"/>
    </xf>
    <xf numFmtId="165" fontId="0" fillId="0" borderId="0" xfId="0" applyBorder="1" applyAlignment="1">
      <alignment horizontal="center" vertical="top"/>
    </xf>
    <xf numFmtId="168" fontId="0" fillId="0" borderId="0" xfId="0" applyNumberFormat="1" applyBorder="1" applyAlignment="1" applyProtection="1">
      <alignment horizontal="center" vertical="top" wrapText="1"/>
    </xf>
    <xf numFmtId="165" fontId="0" fillId="0" borderId="0" xfId="0" applyNumberFormat="1" applyBorder="1" applyAlignment="1" applyProtection="1">
      <alignment horizontal="justify" vertical="top" wrapText="1"/>
    </xf>
    <xf numFmtId="169" fontId="0" fillId="0" borderId="0" xfId="0" applyNumberFormat="1" applyAlignment="1" applyProtection="1">
      <alignment horizontal="center"/>
    </xf>
    <xf numFmtId="171" fontId="0" fillId="0" borderId="0" xfId="0" applyNumberFormat="1" applyBorder="1" applyProtection="1"/>
    <xf numFmtId="165" fontId="7" fillId="0" borderId="0" xfId="0" applyFont="1" applyBorder="1"/>
    <xf numFmtId="167" fontId="0" fillId="0" borderId="0" xfId="0" applyNumberFormat="1" applyBorder="1" applyAlignment="1" applyProtection="1">
      <alignment horizontal="center"/>
    </xf>
    <xf numFmtId="166" fontId="0" fillId="0" borderId="0" xfId="0" applyNumberFormat="1" applyBorder="1" applyAlignment="1">
      <alignment horizontal="center"/>
    </xf>
    <xf numFmtId="165" fontId="0" fillId="0" borderId="0" xfId="0" applyBorder="1" applyAlignment="1">
      <alignment wrapText="1"/>
    </xf>
    <xf numFmtId="165" fontId="0" fillId="0" borderId="0" xfId="0" applyNumberFormat="1" applyBorder="1" applyAlignment="1" applyProtection="1">
      <alignment vertical="center"/>
    </xf>
    <xf numFmtId="165" fontId="0" fillId="0" borderId="0" xfId="0" applyNumberFormat="1" applyAlignment="1" applyProtection="1">
      <alignment horizontal="center" vertical="center"/>
    </xf>
    <xf numFmtId="165" fontId="7" fillId="0" borderId="0" xfId="0" applyNumberFormat="1" applyFont="1" applyBorder="1" applyAlignment="1" applyProtection="1">
      <alignment horizontal="left"/>
    </xf>
    <xf numFmtId="168" fontId="0" fillId="0" borderId="0" xfId="0" applyNumberFormat="1" applyBorder="1" applyAlignment="1" applyProtection="1">
      <alignment horizontal="center" vertical="top"/>
    </xf>
    <xf numFmtId="165" fontId="0" fillId="0" borderId="0" xfId="0" applyNumberFormat="1" applyAlignment="1" applyProtection="1">
      <alignment horizontal="right" vertical="top"/>
    </xf>
    <xf numFmtId="168" fontId="0" fillId="0" borderId="0" xfId="0" applyNumberFormat="1" applyBorder="1" applyAlignment="1">
      <alignment horizontal="center" vertical="top" wrapText="1"/>
    </xf>
    <xf numFmtId="165" fontId="36" fillId="0" borderId="0" xfId="0" applyFont="1" applyBorder="1"/>
    <xf numFmtId="165" fontId="36" fillId="0" borderId="0" xfId="0" applyFont="1" applyBorder="1" applyAlignment="1"/>
    <xf numFmtId="165" fontId="37" fillId="0" borderId="0" xfId="0" applyFont="1" applyBorder="1"/>
    <xf numFmtId="165" fontId="36" fillId="0" borderId="0" xfId="0" applyFont="1" applyBorder="1" applyAlignment="1">
      <alignment horizontal="center"/>
    </xf>
    <xf numFmtId="165" fontId="36" fillId="0" borderId="0" xfId="0" applyNumberFormat="1" applyFont="1" applyBorder="1" applyProtection="1"/>
    <xf numFmtId="165" fontId="36" fillId="0" borderId="0" xfId="0" applyFont="1" applyBorder="1" applyAlignment="1">
      <alignment horizontal="right"/>
    </xf>
    <xf numFmtId="165" fontId="38" fillId="0" borderId="0" xfId="0" applyFont="1" applyBorder="1" applyAlignment="1">
      <alignment wrapText="1"/>
    </xf>
    <xf numFmtId="165" fontId="36" fillId="0" borderId="0" xfId="0" applyFont="1" applyBorder="1" applyAlignment="1">
      <alignment wrapText="1"/>
    </xf>
    <xf numFmtId="171" fontId="36" fillId="0" borderId="0" xfId="0" applyNumberFormat="1" applyFont="1" applyBorder="1" applyAlignment="1"/>
    <xf numFmtId="165" fontId="36" fillId="0" borderId="0" xfId="0" applyNumberFormat="1" applyFont="1" applyBorder="1" applyAlignment="1"/>
    <xf numFmtId="165" fontId="36" fillId="0" borderId="0" xfId="0" applyNumberFormat="1" applyFont="1" applyBorder="1" applyAlignment="1" applyProtection="1">
      <alignment horizontal="fill"/>
    </xf>
    <xf numFmtId="165" fontId="38" fillId="0" borderId="0" xfId="0" applyFont="1" applyBorder="1"/>
    <xf numFmtId="165" fontId="36" fillId="0" borderId="0" xfId="0" applyFont="1" applyBorder="1" applyAlignment="1">
      <alignment horizontal="left"/>
    </xf>
    <xf numFmtId="165" fontId="39" fillId="0" borderId="0" xfId="0" applyFont="1" applyBorder="1" applyAlignment="1">
      <alignment horizontal="center" wrapText="1"/>
    </xf>
    <xf numFmtId="165" fontId="8" fillId="0" borderId="0" xfId="0" applyFont="1" applyBorder="1" applyAlignment="1">
      <alignment horizontal="center" wrapText="1"/>
    </xf>
    <xf numFmtId="2" fontId="8" fillId="0" borderId="0" xfId="0" applyNumberFormat="1" applyFont="1" applyBorder="1" applyAlignment="1">
      <alignment horizontal="center" vertical="center" wrapText="1"/>
    </xf>
    <xf numFmtId="165" fontId="23" fillId="0" borderId="0" xfId="0" applyFont="1" applyBorder="1" applyAlignment="1">
      <alignment horizontal="left" vertical="justify" wrapText="1"/>
    </xf>
    <xf numFmtId="165" fontId="23" fillId="0" borderId="0" xfId="0" applyFont="1" applyBorder="1"/>
    <xf numFmtId="165" fontId="8" fillId="0" borderId="0" xfId="0" applyFont="1" applyBorder="1" applyAlignment="1">
      <alignment horizontal="center" vertical="center" wrapText="1"/>
    </xf>
    <xf numFmtId="2" fontId="23" fillId="0" borderId="0" xfId="0" applyNumberFormat="1" applyFont="1" applyBorder="1"/>
    <xf numFmtId="172" fontId="8" fillId="0" borderId="0" xfId="0" applyNumberFormat="1" applyFont="1" applyBorder="1" applyAlignment="1">
      <alignment horizontal="center" vertical="center"/>
    </xf>
    <xf numFmtId="2" fontId="8" fillId="0" borderId="0" xfId="0" applyNumberFormat="1" applyFont="1" applyBorder="1" applyAlignment="1">
      <alignment horizontal="center" vertical="center"/>
    </xf>
    <xf numFmtId="165" fontId="8" fillId="0" borderId="0" xfId="0" applyFont="1" applyBorder="1" applyAlignment="1">
      <alignment horizontal="left" vertical="justify" wrapText="1"/>
    </xf>
    <xf numFmtId="165" fontId="23" fillId="0" borderId="0" xfId="0" applyFont="1" applyBorder="1" applyAlignment="1">
      <alignment horizontal="justify" vertical="justify" wrapText="1"/>
    </xf>
    <xf numFmtId="2" fontId="23" fillId="0" borderId="0" xfId="0" applyNumberFormat="1" applyFont="1" applyBorder="1" applyAlignment="1">
      <alignment horizontal="center" vertical="center"/>
    </xf>
    <xf numFmtId="165" fontId="23" fillId="0" borderId="0" xfId="0" applyFont="1" applyBorder="1" applyAlignment="1">
      <alignment horizontal="center" vertical="center"/>
    </xf>
    <xf numFmtId="165" fontId="23" fillId="0" borderId="0" xfId="0" applyFont="1" applyBorder="1" applyAlignment="1">
      <alignment horizontal="left" vertical="center"/>
    </xf>
    <xf numFmtId="2" fontId="19" fillId="0" borderId="0" xfId="0" applyNumberFormat="1" applyFont="1" applyBorder="1"/>
    <xf numFmtId="2" fontId="8" fillId="0" borderId="0" xfId="0" applyNumberFormat="1" applyFont="1" applyBorder="1"/>
    <xf numFmtId="165" fontId="8" fillId="0" borderId="0" xfId="0" applyFont="1" applyBorder="1" applyAlignment="1">
      <alignment horizontal="center" vertical="center"/>
    </xf>
    <xf numFmtId="165" fontId="8" fillId="0" borderId="0" xfId="0" applyFont="1" applyBorder="1" applyAlignment="1">
      <alignment horizontal="justify" vertical="justify" wrapText="1"/>
    </xf>
    <xf numFmtId="2" fontId="41" fillId="0" borderId="0" xfId="0" applyNumberFormat="1" applyFont="1" applyBorder="1"/>
    <xf numFmtId="165" fontId="23" fillId="0" borderId="0" xfId="0" applyFont="1" applyBorder="1" applyAlignment="1">
      <alignment horizontal="right"/>
    </xf>
    <xf numFmtId="2" fontId="23" fillId="0" borderId="0" xfId="0" quotePrefix="1" applyNumberFormat="1" applyFont="1" applyBorder="1"/>
    <xf numFmtId="2" fontId="23" fillId="0" borderId="0" xfId="0" applyNumberFormat="1" applyFont="1" applyBorder="1" applyAlignment="1">
      <alignment horizontal="right" vertical="center"/>
    </xf>
    <xf numFmtId="165" fontId="8" fillId="0" borderId="0" xfId="0" applyFont="1" applyBorder="1"/>
    <xf numFmtId="165" fontId="8" fillId="0" borderId="0" xfId="0" applyFont="1" applyBorder="1" applyAlignment="1">
      <alignment wrapText="1"/>
    </xf>
    <xf numFmtId="165" fontId="23" fillId="0" borderId="0" xfId="0" applyFont="1" applyBorder="1" applyAlignment="1">
      <alignment wrapText="1"/>
    </xf>
    <xf numFmtId="165" fontId="23" fillId="0" borderId="0" xfId="0" applyFont="1" applyBorder="1" applyAlignment="1">
      <alignment horizontal="right" wrapText="1"/>
    </xf>
    <xf numFmtId="165" fontId="8" fillId="0" borderId="0" xfId="0" applyFont="1" applyBorder="1" applyAlignment="1">
      <alignment horizontal="left" vertical="center" wrapText="1"/>
    </xf>
    <xf numFmtId="165" fontId="8" fillId="0" borderId="0" xfId="0" applyFont="1" applyBorder="1" applyAlignment="1">
      <alignment horizontal="left" wrapText="1"/>
    </xf>
    <xf numFmtId="165" fontId="42" fillId="0" borderId="0" xfId="0" applyNumberFormat="1" applyFont="1" applyAlignment="1" applyProtection="1">
      <alignment horizontal="center" vertical="center"/>
    </xf>
    <xf numFmtId="168" fontId="24" fillId="0" borderId="0" xfId="0" applyNumberFormat="1" applyFont="1" applyAlignment="1" applyProtection="1">
      <alignment horizontal="center"/>
    </xf>
    <xf numFmtId="165" fontId="43" fillId="0" borderId="0" xfId="0" applyFont="1" applyAlignment="1">
      <alignment horizontal="right" vertical="top"/>
    </xf>
    <xf numFmtId="165" fontId="10" fillId="0" borderId="0" xfId="0" applyFont="1" applyBorder="1" applyAlignment="1">
      <alignment horizontal="justify" vertical="top" wrapText="1"/>
    </xf>
    <xf numFmtId="165" fontId="45" fillId="0" borderId="0" xfId="0" applyFont="1"/>
    <xf numFmtId="166" fontId="20" fillId="0" borderId="0" xfId="0" applyNumberFormat="1" applyFont="1" applyAlignment="1">
      <alignment vertical="top"/>
    </xf>
    <xf numFmtId="165" fontId="0" fillId="0" borderId="0" xfId="0" applyAlignment="1">
      <alignment vertical="top" wrapText="1"/>
    </xf>
    <xf numFmtId="165" fontId="0" fillId="0" borderId="0" xfId="0" applyAlignment="1">
      <alignment horizontal="fill"/>
    </xf>
    <xf numFmtId="168" fontId="20" fillId="0" borderId="0" xfId="0" applyNumberFormat="1" applyFont="1"/>
    <xf numFmtId="170" fontId="0" fillId="0" borderId="0" xfId="0" applyNumberFormat="1" applyAlignment="1">
      <alignment horizontal="center"/>
    </xf>
    <xf numFmtId="165" fontId="0" fillId="0" borderId="0" xfId="0" applyAlignment="1">
      <alignment horizontal="fill" vertical="top"/>
    </xf>
    <xf numFmtId="165" fontId="0" fillId="0" borderId="0" xfId="0" applyAlignment="1">
      <alignment horizontal="fill" vertical="top" wrapText="1"/>
    </xf>
    <xf numFmtId="165" fontId="0" fillId="0" borderId="0" xfId="0" applyNumberFormat="1" applyAlignment="1">
      <alignment vertical="top" wrapText="1"/>
    </xf>
    <xf numFmtId="168" fontId="46" fillId="0" borderId="0" xfId="0" applyNumberFormat="1" applyFont="1" applyAlignment="1">
      <alignment vertical="top"/>
    </xf>
    <xf numFmtId="165" fontId="29" fillId="0" borderId="0" xfId="0" applyFont="1" applyAlignment="1"/>
    <xf numFmtId="165" fontId="29" fillId="0" borderId="0" xfId="0" applyFont="1" applyAlignment="1">
      <alignment wrapText="1"/>
    </xf>
    <xf numFmtId="165" fontId="29" fillId="0" borderId="0" xfId="0" applyFont="1" applyAlignment="1">
      <alignment horizontal="center"/>
    </xf>
    <xf numFmtId="165" fontId="29" fillId="0" borderId="0" xfId="0" quotePrefix="1" applyFont="1" applyAlignment="1">
      <alignment vertical="top"/>
    </xf>
    <xf numFmtId="165" fontId="29" fillId="0" borderId="0" xfId="0" quotePrefix="1" applyFont="1"/>
    <xf numFmtId="168" fontId="11" fillId="0" borderId="0" xfId="0" applyNumberFormat="1" applyFont="1" applyAlignment="1">
      <alignment vertical="top"/>
    </xf>
    <xf numFmtId="165" fontId="12" fillId="0" borderId="0" xfId="0" applyFont="1" applyAlignment="1">
      <alignment horizontal="left" vertical="top" wrapText="1"/>
    </xf>
    <xf numFmtId="165" fontId="12" fillId="0" borderId="0" xfId="0" applyFont="1" applyAlignment="1">
      <alignment horizontal="center"/>
    </xf>
    <xf numFmtId="165" fontId="12" fillId="0" borderId="0" xfId="0" applyFont="1" applyAlignment="1">
      <alignment vertical="top"/>
    </xf>
    <xf numFmtId="166" fontId="11" fillId="0" borderId="0" xfId="0" applyNumberFormat="1" applyFont="1"/>
    <xf numFmtId="166" fontId="0" fillId="0" borderId="0" xfId="0" applyNumberFormat="1" applyAlignment="1">
      <alignment vertical="top"/>
    </xf>
    <xf numFmtId="168" fontId="0" fillId="0" borderId="0" xfId="0" applyNumberFormat="1" applyAlignment="1">
      <alignment vertical="top"/>
    </xf>
    <xf numFmtId="166" fontId="20" fillId="0" borderId="0" xfId="0" applyNumberFormat="1" applyFont="1"/>
    <xf numFmtId="165" fontId="20" fillId="0" borderId="0" xfId="0" applyFont="1"/>
    <xf numFmtId="165" fontId="11" fillId="0" borderId="0" xfId="0" applyFont="1" applyBorder="1" applyAlignment="1">
      <alignment horizontal="center"/>
    </xf>
    <xf numFmtId="165" fontId="11" fillId="0" borderId="0" xfId="0" applyFont="1" applyBorder="1" applyAlignment="1">
      <alignment horizontal="left" vertical="top" wrapText="1"/>
    </xf>
    <xf numFmtId="165" fontId="0" fillId="0" borderId="0" xfId="0" applyBorder="1" applyAlignment="1">
      <alignment horizontal="left" vertical="top" wrapText="1"/>
    </xf>
    <xf numFmtId="165" fontId="0" fillId="0" borderId="0" xfId="0" applyBorder="1" applyAlignment="1">
      <alignment horizontal="left" vertical="top"/>
    </xf>
    <xf numFmtId="165" fontId="15" fillId="0" borderId="0" xfId="0" applyFont="1" applyBorder="1" applyAlignment="1">
      <alignment horizontal="left" vertical="top"/>
    </xf>
    <xf numFmtId="165" fontId="26" fillId="0" borderId="0" xfId="0" applyFont="1" applyBorder="1" applyAlignment="1">
      <alignment horizontal="left" vertical="top"/>
    </xf>
    <xf numFmtId="167" fontId="0" fillId="0" borderId="0" xfId="0" applyNumberFormat="1" applyBorder="1" applyAlignment="1">
      <alignment horizontal="left" vertical="top"/>
    </xf>
    <xf numFmtId="12" fontId="0" fillId="0" borderId="0" xfId="0" applyNumberFormat="1" applyBorder="1" applyAlignment="1">
      <alignment horizontal="left" vertical="top"/>
    </xf>
    <xf numFmtId="165" fontId="0" fillId="0" borderId="0" xfId="0" applyBorder="1" applyAlignment="1">
      <alignment horizontal="right" vertical="top"/>
    </xf>
    <xf numFmtId="165" fontId="47" fillId="0" borderId="0" xfId="0" applyFont="1" applyBorder="1" applyAlignment="1">
      <alignment horizontal="left" vertical="top"/>
    </xf>
    <xf numFmtId="165" fontId="11" fillId="0" borderId="0" xfId="0" applyFont="1" applyBorder="1" applyAlignment="1">
      <alignment horizontal="right" vertical="top"/>
    </xf>
    <xf numFmtId="165" fontId="11" fillId="0" borderId="0" xfId="0" applyFont="1" applyBorder="1" applyAlignment="1">
      <alignment horizontal="left" vertical="top"/>
    </xf>
    <xf numFmtId="165" fontId="12" fillId="0" borderId="0" xfId="0" applyFont="1" applyBorder="1" applyAlignment="1">
      <alignment horizontal="left" vertical="top"/>
    </xf>
    <xf numFmtId="165" fontId="11" fillId="0" borderId="0" xfId="0" applyFont="1" applyBorder="1" applyAlignment="1">
      <alignment horizontal="left" wrapText="1"/>
    </xf>
    <xf numFmtId="165" fontId="11" fillId="0" borderId="0" xfId="0" applyFont="1" applyFill="1" applyBorder="1" applyAlignment="1">
      <alignment horizontal="left" vertical="top"/>
    </xf>
    <xf numFmtId="165" fontId="0" fillId="0" borderId="0" xfId="0" applyFill="1" applyBorder="1" applyAlignment="1">
      <alignment horizontal="left" vertical="top"/>
    </xf>
    <xf numFmtId="165" fontId="12" fillId="0" borderId="0" xfId="0" applyFont="1" applyBorder="1" applyAlignment="1">
      <alignment horizontal="right" vertical="top"/>
    </xf>
    <xf numFmtId="170" fontId="0" fillId="0" borderId="0" xfId="0" applyNumberFormat="1" applyBorder="1" applyAlignment="1">
      <alignment horizontal="left" vertical="top"/>
    </xf>
    <xf numFmtId="165" fontId="45" fillId="0" borderId="0" xfId="0" applyFont="1" applyBorder="1" applyAlignment="1">
      <alignment horizontal="left" vertical="top"/>
    </xf>
    <xf numFmtId="165" fontId="45" fillId="0" borderId="0" xfId="0" applyFont="1" applyBorder="1" applyAlignment="1">
      <alignment horizontal="center" vertical="top"/>
    </xf>
    <xf numFmtId="169" fontId="0" fillId="0" borderId="0" xfId="0" applyNumberFormat="1" applyBorder="1" applyAlignment="1">
      <alignment horizontal="left" vertical="top"/>
    </xf>
    <xf numFmtId="165" fontId="11" fillId="0" borderId="0" xfId="0" applyFont="1" applyBorder="1" applyAlignment="1">
      <alignment horizontal="center" vertical="top"/>
    </xf>
    <xf numFmtId="165" fontId="48" fillId="0" borderId="0" xfId="0" applyFont="1" applyBorder="1" applyAlignment="1">
      <alignment horizontal="left" vertical="top"/>
    </xf>
    <xf numFmtId="171" fontId="0" fillId="0" borderId="0" xfId="0" applyNumberFormat="1" applyBorder="1" applyAlignment="1">
      <alignment horizontal="left" vertical="top"/>
    </xf>
    <xf numFmtId="165" fontId="12" fillId="0" borderId="0" xfId="0" applyFont="1" applyBorder="1" applyAlignment="1">
      <alignment horizontal="left" vertical="top" wrapText="1"/>
    </xf>
    <xf numFmtId="165" fontId="25" fillId="0" borderId="0" xfId="0" applyFont="1" applyBorder="1" applyAlignment="1">
      <alignment horizontal="left" vertical="top"/>
    </xf>
    <xf numFmtId="170" fontId="0" fillId="0" borderId="0" xfId="0" applyNumberFormat="1" applyBorder="1"/>
    <xf numFmtId="165" fontId="11" fillId="0" borderId="0" xfId="0" applyNumberFormat="1" applyFont="1" applyBorder="1" applyAlignment="1">
      <alignment horizontal="left" vertical="top"/>
    </xf>
    <xf numFmtId="170" fontId="0" fillId="0" borderId="0" xfId="0" applyNumberFormat="1"/>
    <xf numFmtId="165" fontId="8" fillId="0" borderId="0" xfId="0" applyNumberFormat="1" applyFont="1" applyAlignment="1" applyProtection="1">
      <alignment horizontal="left"/>
    </xf>
    <xf numFmtId="167" fontId="9" fillId="0" borderId="0" xfId="0" applyNumberFormat="1" applyFont="1" applyAlignment="1">
      <alignment horizontal="right"/>
    </xf>
    <xf numFmtId="170" fontId="9" fillId="0" borderId="0" xfId="0" applyNumberFormat="1" applyFont="1" applyAlignment="1">
      <alignment horizontal="right"/>
    </xf>
    <xf numFmtId="169" fontId="22" fillId="0" borderId="0" xfId="0" applyNumberFormat="1" applyFont="1" applyAlignment="1">
      <alignment horizontal="right"/>
    </xf>
    <xf numFmtId="170" fontId="9" fillId="0" borderId="0" xfId="0" applyNumberFormat="1" applyFont="1" applyAlignment="1" applyProtection="1">
      <alignment horizontal="right"/>
    </xf>
    <xf numFmtId="167" fontId="22" fillId="0" borderId="0" xfId="0" applyNumberFormat="1" applyFont="1" applyAlignment="1" applyProtection="1">
      <alignment horizontal="right"/>
    </xf>
    <xf numFmtId="165" fontId="0" fillId="0" borderId="0" xfId="0" quotePrefix="1" applyBorder="1" applyAlignment="1">
      <alignment horizontal="left" vertical="top"/>
    </xf>
    <xf numFmtId="165" fontId="11" fillId="0" borderId="0" xfId="0" applyNumberFormat="1" applyFont="1" applyAlignment="1" applyProtection="1"/>
    <xf numFmtId="165" fontId="11" fillId="0" borderId="0" xfId="0" applyFont="1" applyAlignment="1">
      <alignment wrapText="1"/>
    </xf>
    <xf numFmtId="167" fontId="11" fillId="0" borderId="0" xfId="0" applyNumberFormat="1" applyFont="1"/>
    <xf numFmtId="167" fontId="0" fillId="0" borderId="0" xfId="0" applyNumberFormat="1" applyAlignment="1">
      <alignment horizontal="right"/>
    </xf>
    <xf numFmtId="165" fontId="86" fillId="0" borderId="0" xfId="0" applyNumberFormat="1" applyFont="1" applyProtection="1"/>
    <xf numFmtId="2" fontId="87" fillId="6" borderId="0" xfId="18" applyNumberFormat="1" applyFont="1" applyFill="1"/>
    <xf numFmtId="165" fontId="86" fillId="0" borderId="0" xfId="0" applyFont="1" applyBorder="1" applyAlignment="1">
      <alignment horizontal="left" vertical="top"/>
    </xf>
    <xf numFmtId="165" fontId="0" fillId="7" borderId="0" xfId="0" applyFill="1" applyBorder="1" applyAlignment="1">
      <alignment wrapText="1"/>
    </xf>
    <xf numFmtId="165" fontId="0" fillId="7" borderId="0" xfId="0" applyFill="1" applyBorder="1" applyAlignment="1">
      <alignment horizontal="left" vertical="top"/>
    </xf>
    <xf numFmtId="165" fontId="0" fillId="7" borderId="0" xfId="0" applyFill="1" applyBorder="1"/>
    <xf numFmtId="165" fontId="0" fillId="6" borderId="0" xfId="0" applyFill="1" applyBorder="1" applyAlignment="1">
      <alignment horizontal="left" vertical="top"/>
    </xf>
    <xf numFmtId="165" fontId="11" fillId="6" borderId="0" xfId="0" applyFont="1" applyFill="1" applyBorder="1" applyAlignment="1">
      <alignment horizontal="left" vertical="top"/>
    </xf>
    <xf numFmtId="165" fontId="0" fillId="6" borderId="0" xfId="0" applyFill="1" applyBorder="1"/>
    <xf numFmtId="165" fontId="0" fillId="7" borderId="0" xfId="0" applyFill="1" applyBorder="1" applyAlignment="1">
      <alignment horizontal="left" vertical="top" wrapText="1"/>
    </xf>
    <xf numFmtId="165" fontId="86" fillId="7" borderId="0" xfId="0" applyFont="1" applyFill="1" applyBorder="1" applyAlignment="1">
      <alignment horizontal="left" vertical="top"/>
    </xf>
    <xf numFmtId="165" fontId="15" fillId="7" borderId="0" xfId="0" applyFont="1" applyFill="1" applyBorder="1" applyAlignment="1">
      <alignment horizontal="left" vertical="top"/>
    </xf>
    <xf numFmtId="165" fontId="86" fillId="0" borderId="0" xfId="0" applyFont="1"/>
    <xf numFmtId="0" fontId="49" fillId="0" borderId="0" xfId="18" applyFont="1"/>
    <xf numFmtId="165" fontId="0" fillId="0" borderId="0" xfId="0" applyFont="1"/>
    <xf numFmtId="165" fontId="0" fillId="0" borderId="0" xfId="0" applyNumberFormat="1" applyFont="1" applyProtection="1"/>
    <xf numFmtId="165" fontId="88" fillId="0" borderId="0" xfId="0" applyFont="1" applyBorder="1" applyAlignment="1">
      <alignment horizontal="left" vertical="top"/>
    </xf>
    <xf numFmtId="165" fontId="90" fillId="0" borderId="0" xfId="0" applyFont="1"/>
    <xf numFmtId="165" fontId="0" fillId="0" borderId="0" xfId="0" applyFont="1" applyBorder="1" applyAlignment="1">
      <alignment horizontal="left" vertical="top"/>
    </xf>
    <xf numFmtId="170" fontId="0" fillId="0" borderId="0" xfId="0" applyNumberFormat="1" applyFont="1" applyBorder="1" applyAlignment="1">
      <alignment horizontal="left" vertical="top"/>
    </xf>
    <xf numFmtId="165" fontId="0" fillId="0" borderId="0" xfId="0" applyBorder="1" applyAlignment="1">
      <alignment vertical="top" wrapText="1"/>
    </xf>
    <xf numFmtId="165" fontId="11" fillId="0" borderId="0" xfId="0" applyFont="1" applyBorder="1" applyAlignment="1">
      <alignment vertical="top"/>
    </xf>
    <xf numFmtId="165" fontId="0" fillId="0" borderId="0" xfId="0" applyBorder="1" applyAlignment="1">
      <alignment vertical="top"/>
    </xf>
    <xf numFmtId="165" fontId="11" fillId="0" borderId="0" xfId="0" applyFont="1" applyBorder="1" applyAlignment="1">
      <alignment horizontal="center" vertical="center"/>
    </xf>
    <xf numFmtId="165" fontId="58" fillId="0" borderId="0" xfId="0" applyFont="1" applyBorder="1" applyAlignment="1">
      <alignment horizontal="center" vertical="center"/>
    </xf>
    <xf numFmtId="165" fontId="92" fillId="0" borderId="0" xfId="0" applyFont="1" applyBorder="1" applyAlignment="1">
      <alignment horizontal="left" vertical="top"/>
    </xf>
    <xf numFmtId="165" fontId="59" fillId="0" borderId="0" xfId="0" applyFont="1" applyBorder="1" applyAlignment="1">
      <alignment horizontal="left" vertical="top" wrapText="1"/>
    </xf>
    <xf numFmtId="165" fontId="22" fillId="0" borderId="0" xfId="0" applyFont="1" applyBorder="1" applyAlignment="1">
      <alignment horizontal="left" vertical="top"/>
    </xf>
    <xf numFmtId="165" fontId="9" fillId="0" borderId="0" xfId="0" applyFont="1" applyBorder="1" applyAlignment="1">
      <alignment horizontal="left" vertical="top"/>
    </xf>
    <xf numFmtId="165" fontId="22" fillId="0" borderId="0" xfId="0" applyFont="1" applyBorder="1" applyAlignment="1">
      <alignment horizontal="right" vertical="top"/>
    </xf>
    <xf numFmtId="165" fontId="31" fillId="0" borderId="0" xfId="0" applyFont="1" applyBorder="1" applyAlignment="1">
      <alignment horizontal="right" vertical="top"/>
    </xf>
    <xf numFmtId="165" fontId="22" fillId="0" borderId="0" xfId="0" applyFont="1" applyBorder="1" applyAlignment="1">
      <alignment horizontal="left" vertical="top" wrapText="1"/>
    </xf>
    <xf numFmtId="165" fontId="9" fillId="0" borderId="0" xfId="0" applyFont="1" applyBorder="1" applyAlignment="1">
      <alignment horizontal="right" vertical="top"/>
    </xf>
    <xf numFmtId="165" fontId="60" fillId="0" borderId="0" xfId="0" applyFont="1" applyBorder="1" applyAlignment="1">
      <alignment horizontal="left" vertical="top"/>
    </xf>
    <xf numFmtId="165" fontId="93" fillId="0" borderId="0" xfId="0" applyFont="1" applyBorder="1" applyAlignment="1">
      <alignment horizontal="left" vertical="top"/>
    </xf>
    <xf numFmtId="165" fontId="94" fillId="0" borderId="0" xfId="0" applyFont="1" applyBorder="1" applyAlignment="1">
      <alignment horizontal="left" vertical="top"/>
    </xf>
    <xf numFmtId="170" fontId="94" fillId="0" borderId="0" xfId="0" applyNumberFormat="1" applyFont="1" applyBorder="1" applyAlignment="1">
      <alignment horizontal="left" vertical="top"/>
    </xf>
    <xf numFmtId="165" fontId="27" fillId="0" borderId="0" xfId="0" applyFont="1" applyBorder="1" applyAlignment="1">
      <alignment horizontal="right" vertical="top"/>
    </xf>
    <xf numFmtId="165" fontId="0" fillId="7" borderId="0" xfId="0" applyFill="1" applyBorder="1" applyAlignment="1">
      <alignment vertical="top" wrapText="1"/>
    </xf>
    <xf numFmtId="165" fontId="0" fillId="0" borderId="0" xfId="0" applyFont="1" applyBorder="1" applyAlignment="1">
      <alignment horizontal="left" vertical="top" wrapText="1"/>
    </xf>
    <xf numFmtId="165" fontId="11" fillId="0" borderId="0" xfId="0" applyFont="1" applyBorder="1" applyAlignment="1">
      <alignment horizontal="left" vertical="center"/>
    </xf>
    <xf numFmtId="2" fontId="55" fillId="6" borderId="1" xfId="15" applyNumberFormat="1" applyFont="1" applyFill="1" applyBorder="1" applyAlignment="1">
      <alignment vertical="top" wrapText="1"/>
    </xf>
    <xf numFmtId="165" fontId="56" fillId="6" borderId="0" xfId="0" applyFont="1" applyFill="1" applyAlignment="1">
      <alignment vertical="top"/>
    </xf>
    <xf numFmtId="165" fontId="55" fillId="6" borderId="0" xfId="0" applyFont="1" applyFill="1" applyAlignment="1">
      <alignment vertical="top"/>
    </xf>
    <xf numFmtId="165" fontId="99" fillId="0" borderId="0" xfId="0" applyFont="1"/>
    <xf numFmtId="165" fontId="95" fillId="0" borderId="0" xfId="0" applyFont="1" applyBorder="1" applyAlignment="1">
      <alignment horizontal="left" vertical="top"/>
    </xf>
    <xf numFmtId="165" fontId="0" fillId="0" borderId="0" xfId="0" applyNumberFormat="1" applyFont="1" applyAlignment="1" applyProtection="1">
      <alignment horizontal="left"/>
    </xf>
    <xf numFmtId="2" fontId="51" fillId="6" borderId="1" xfId="16" applyNumberFormat="1" applyFont="1" applyFill="1" applyBorder="1" applyAlignment="1">
      <alignment horizontal="center" vertical="top" wrapText="1"/>
    </xf>
    <xf numFmtId="165" fontId="0" fillId="7" borderId="0" xfId="0" applyFont="1" applyFill="1" applyBorder="1" applyAlignment="1">
      <alignment horizontal="left" vertical="top"/>
    </xf>
    <xf numFmtId="165" fontId="51" fillId="6" borderId="1" xfId="0" applyFont="1" applyFill="1" applyBorder="1" applyAlignment="1">
      <alignment vertical="top" wrapText="1"/>
    </xf>
    <xf numFmtId="165" fontId="51" fillId="6" borderId="1" xfId="0" applyFont="1" applyFill="1" applyBorder="1" applyAlignment="1">
      <alignment horizontal="right" vertical="top" wrapText="1"/>
    </xf>
    <xf numFmtId="165" fontId="51" fillId="6" borderId="1" xfId="0" applyFont="1" applyFill="1" applyBorder="1" applyAlignment="1">
      <alignment vertical="top"/>
    </xf>
    <xf numFmtId="165" fontId="51" fillId="6" borderId="1" xfId="0" applyFont="1" applyFill="1" applyBorder="1" applyAlignment="1">
      <alignment horizontal="center" vertical="top" wrapText="1"/>
    </xf>
    <xf numFmtId="2" fontId="51" fillId="6" borderId="1" xfId="15" applyNumberFormat="1" applyFont="1" applyFill="1" applyBorder="1" applyAlignment="1">
      <alignment vertical="top" wrapText="1"/>
    </xf>
    <xf numFmtId="2" fontId="51" fillId="6" borderId="1" xfId="16" applyNumberFormat="1" applyFont="1" applyFill="1" applyBorder="1" applyAlignment="1">
      <alignment vertical="top" wrapText="1"/>
    </xf>
    <xf numFmtId="2" fontId="51" fillId="6" borderId="10" xfId="19" applyNumberFormat="1" applyFont="1" applyFill="1" applyBorder="1" applyAlignment="1">
      <alignment horizontal="right" vertical="top" wrapText="1"/>
    </xf>
    <xf numFmtId="2" fontId="55" fillId="6" borderId="1" xfId="16" applyNumberFormat="1" applyFont="1" applyFill="1" applyBorder="1" applyAlignment="1">
      <alignment vertical="top" wrapText="1"/>
    </xf>
    <xf numFmtId="165" fontId="55" fillId="6" borderId="1" xfId="0" applyFont="1" applyFill="1" applyBorder="1" applyAlignment="1">
      <alignment vertical="top"/>
    </xf>
    <xf numFmtId="2" fontId="54" fillId="6" borderId="1" xfId="15" applyNumberFormat="1" applyFont="1" applyFill="1" applyBorder="1" applyAlignment="1">
      <alignment vertical="top" wrapText="1"/>
    </xf>
    <xf numFmtId="2" fontId="51" fillId="6" borderId="1" xfId="0" applyNumberFormat="1" applyFont="1" applyFill="1" applyBorder="1" applyAlignment="1">
      <alignment horizontal="center" vertical="top" wrapText="1"/>
    </xf>
    <xf numFmtId="1" fontId="51" fillId="6" borderId="1" xfId="15" applyNumberFormat="1" applyFont="1" applyFill="1" applyBorder="1" applyAlignment="1">
      <alignment horizontal="center" vertical="top" wrapText="1"/>
    </xf>
    <xf numFmtId="2" fontId="50" fillId="6" borderId="1" xfId="16" applyNumberFormat="1" applyFont="1" applyFill="1" applyBorder="1" applyAlignment="1">
      <alignment vertical="top" wrapText="1"/>
    </xf>
    <xf numFmtId="2" fontId="50" fillId="6" borderId="1" xfId="15" applyNumberFormat="1" applyFont="1" applyFill="1" applyBorder="1" applyAlignment="1">
      <alignment vertical="top" wrapText="1"/>
    </xf>
    <xf numFmtId="165" fontId="53" fillId="6" borderId="0" xfId="0" applyFont="1" applyFill="1" applyAlignment="1">
      <alignment vertical="top"/>
    </xf>
    <xf numFmtId="165" fontId="51" fillId="6" borderId="0" xfId="0" applyFont="1" applyFill="1" applyAlignment="1">
      <alignment vertical="top"/>
    </xf>
    <xf numFmtId="165" fontId="51" fillId="6" borderId="10" xfId="0" applyFont="1" applyFill="1" applyBorder="1" applyAlignment="1">
      <alignment horizontal="center" vertical="top" wrapText="1"/>
    </xf>
    <xf numFmtId="165" fontId="101" fillId="0" borderId="0" xfId="0" applyFont="1"/>
    <xf numFmtId="165" fontId="101" fillId="0" borderId="0" xfId="0" applyFont="1" applyAlignment="1">
      <alignment horizontal="center"/>
    </xf>
    <xf numFmtId="165" fontId="86" fillId="6" borderId="0" xfId="0" applyFont="1" applyFill="1" applyBorder="1" applyAlignment="1">
      <alignment horizontal="left" vertical="top"/>
    </xf>
    <xf numFmtId="165" fontId="97" fillId="10" borderId="0" xfId="0" applyFont="1" applyFill="1" applyBorder="1" applyAlignment="1">
      <alignment horizontal="left" vertical="top"/>
    </xf>
    <xf numFmtId="165" fontId="18" fillId="0" borderId="0" xfId="0" applyNumberFormat="1" applyFont="1" applyAlignment="1">
      <alignment horizontal="center"/>
    </xf>
    <xf numFmtId="165" fontId="17" fillId="0" borderId="0" xfId="0" applyNumberFormat="1" applyFont="1"/>
    <xf numFmtId="165" fontId="17" fillId="0" borderId="0" xfId="0" applyNumberFormat="1" applyFont="1" applyAlignment="1">
      <alignment horizontal="center"/>
    </xf>
    <xf numFmtId="165" fontId="17" fillId="0" borderId="0" xfId="0" applyNumberFormat="1" applyFont="1" applyProtection="1"/>
    <xf numFmtId="167" fontId="17" fillId="0" borderId="0" xfId="0" applyNumberFormat="1" applyFont="1"/>
    <xf numFmtId="170" fontId="17" fillId="0" borderId="0" xfId="0" applyNumberFormat="1" applyFont="1" applyProtection="1"/>
    <xf numFmtId="165" fontId="17" fillId="0" borderId="0" xfId="0" applyNumberFormat="1" applyFont="1" applyAlignment="1" applyProtection="1"/>
    <xf numFmtId="165" fontId="17" fillId="0" borderId="0" xfId="0" applyNumberFormat="1" applyFont="1" applyAlignment="1" applyProtection="1">
      <alignment horizontal="left"/>
    </xf>
    <xf numFmtId="165" fontId="17" fillId="0" borderId="0" xfId="0" applyNumberFormat="1" applyFont="1" applyAlignment="1"/>
    <xf numFmtId="165" fontId="18" fillId="0" borderId="0" xfId="0" applyNumberFormat="1" applyFont="1" applyAlignment="1" applyProtection="1">
      <alignment horizontal="right"/>
    </xf>
    <xf numFmtId="165" fontId="18" fillId="0" borderId="0" xfId="0" applyNumberFormat="1" applyFont="1" applyProtection="1"/>
    <xf numFmtId="165" fontId="18" fillId="0" borderId="0" xfId="0" applyNumberFormat="1" applyFont="1"/>
    <xf numFmtId="165" fontId="18" fillId="0" borderId="0" xfId="0" applyNumberFormat="1" applyFont="1" applyAlignment="1" applyProtection="1">
      <alignment horizontal="left"/>
    </xf>
    <xf numFmtId="165" fontId="18" fillId="0" borderId="0" xfId="0" applyNumberFormat="1" applyFont="1" applyAlignment="1" applyProtection="1">
      <alignment horizontal="center"/>
    </xf>
    <xf numFmtId="165" fontId="17" fillId="0" borderId="0" xfId="0" applyNumberFormat="1" applyFont="1" applyAlignment="1" applyProtection="1">
      <alignment horizontal="right"/>
    </xf>
    <xf numFmtId="165" fontId="17" fillId="0" borderId="0" xfId="0" applyNumberFormat="1" applyFont="1" applyAlignment="1">
      <alignment horizontal="left"/>
    </xf>
    <xf numFmtId="165" fontId="17" fillId="0" borderId="0" xfId="0" applyNumberFormat="1" applyFont="1" applyAlignment="1" applyProtection="1">
      <alignment horizontal="fill"/>
    </xf>
    <xf numFmtId="165" fontId="28" fillId="0" borderId="0" xfId="0" applyNumberFormat="1" applyFont="1" applyAlignment="1">
      <alignment horizontal="center"/>
    </xf>
    <xf numFmtId="165" fontId="0" fillId="0" borderId="0" xfId="0" applyNumberFormat="1"/>
    <xf numFmtId="165" fontId="0" fillId="0" borderId="0" xfId="0" applyNumberFormat="1" applyAlignment="1">
      <alignment horizontal="center"/>
    </xf>
    <xf numFmtId="165" fontId="63" fillId="0" borderId="0" xfId="0" applyNumberFormat="1" applyFont="1" applyFill="1" applyAlignment="1">
      <alignment vertical="center"/>
    </xf>
    <xf numFmtId="165" fontId="64" fillId="0" borderId="0" xfId="0" applyNumberFormat="1" applyFont="1" applyFill="1" applyAlignment="1">
      <alignment vertical="center"/>
    </xf>
    <xf numFmtId="165" fontId="64" fillId="0" borderId="0" xfId="0" applyNumberFormat="1" applyFont="1" applyAlignment="1">
      <alignment horizontal="center" vertical="center"/>
    </xf>
    <xf numFmtId="165" fontId="63" fillId="0" borderId="0" xfId="0" applyNumberFormat="1" applyFont="1" applyAlignment="1">
      <alignment horizontal="center" vertical="center"/>
    </xf>
    <xf numFmtId="165" fontId="63" fillId="0" borderId="0" xfId="0" applyNumberFormat="1" applyFont="1" applyAlignment="1">
      <alignment horizontal="left" vertical="center"/>
    </xf>
    <xf numFmtId="0" fontId="63" fillId="0" borderId="0" xfId="0" applyNumberFormat="1" applyFont="1" applyFill="1" applyAlignment="1">
      <alignment vertical="center" wrapText="1"/>
    </xf>
    <xf numFmtId="165" fontId="63" fillId="0" borderId="0" xfId="0" applyNumberFormat="1" applyFont="1" applyAlignment="1">
      <alignment horizontal="left" vertical="center" wrapText="1"/>
    </xf>
    <xf numFmtId="165" fontId="64" fillId="0" borderId="0" xfId="0" applyNumberFormat="1" applyFont="1" applyFill="1" applyAlignment="1">
      <alignment vertical="center" wrapText="1"/>
    </xf>
    <xf numFmtId="2" fontId="102" fillId="0" borderId="0" xfId="0" applyNumberFormat="1" applyFont="1" applyFill="1"/>
    <xf numFmtId="0" fontId="63" fillId="0" borderId="0" xfId="0" applyNumberFormat="1" applyFont="1" applyFill="1"/>
    <xf numFmtId="2" fontId="63" fillId="0" borderId="0" xfId="0" applyNumberFormat="1" applyFont="1" applyFill="1"/>
    <xf numFmtId="173" fontId="63" fillId="0" borderId="0" xfId="0" applyNumberFormat="1" applyFont="1" applyFill="1"/>
    <xf numFmtId="0" fontId="64" fillId="0" borderId="0" xfId="0" applyNumberFormat="1" applyFont="1" applyFill="1"/>
    <xf numFmtId="0" fontId="63" fillId="0" borderId="0" xfId="0" applyNumberFormat="1" applyFont="1" applyFill="1" applyAlignment="1">
      <alignment horizontal="center" vertical="top" wrapText="1"/>
    </xf>
    <xf numFmtId="0" fontId="64" fillId="0" borderId="0" xfId="0" applyNumberFormat="1" applyFont="1" applyFill="1" applyAlignment="1">
      <alignment vertical="top" wrapText="1"/>
    </xf>
    <xf numFmtId="174" fontId="63" fillId="0" borderId="0" xfId="0" applyNumberFormat="1" applyFont="1" applyFill="1"/>
    <xf numFmtId="0" fontId="103" fillId="0" borderId="0" xfId="0" applyNumberFormat="1" applyFont="1" applyFill="1"/>
    <xf numFmtId="0" fontId="63" fillId="0" borderId="0" xfId="0" applyNumberFormat="1" applyFont="1" applyFill="1" applyAlignment="1">
      <alignment horizontal="left" vertical="top" wrapText="1"/>
    </xf>
    <xf numFmtId="0" fontId="66" fillId="0" borderId="0" xfId="0" applyNumberFormat="1" applyFont="1" applyFill="1" applyAlignment="1">
      <alignment vertical="top" wrapText="1"/>
    </xf>
    <xf numFmtId="2" fontId="51" fillId="6" borderId="1" xfId="15" applyNumberFormat="1" applyFont="1" applyFill="1" applyBorder="1" applyAlignment="1">
      <alignment vertical="center" wrapText="1"/>
    </xf>
    <xf numFmtId="172" fontId="50" fillId="6" borderId="1" xfId="15" applyNumberFormat="1" applyFont="1" applyFill="1" applyBorder="1" applyAlignment="1">
      <alignment vertical="top" wrapText="1"/>
    </xf>
    <xf numFmtId="2" fontId="62" fillId="6" borderId="1" xfId="15" applyNumberFormat="1" applyFont="1" applyFill="1" applyBorder="1" applyAlignment="1">
      <alignment vertical="top" wrapText="1"/>
    </xf>
    <xf numFmtId="165" fontId="50" fillId="6" borderId="1" xfId="0" applyFont="1" applyFill="1" applyBorder="1" applyAlignment="1">
      <alignment vertical="top"/>
    </xf>
    <xf numFmtId="2" fontId="62" fillId="6" borderId="1" xfId="15" applyNumberFormat="1" applyFont="1" applyFill="1" applyBorder="1" applyAlignment="1">
      <alignment vertical="center" wrapText="1"/>
    </xf>
    <xf numFmtId="165" fontId="51" fillId="6" borderId="1" xfId="0" applyFont="1" applyFill="1" applyBorder="1" applyAlignment="1">
      <alignment horizontal="right" wrapText="1"/>
    </xf>
    <xf numFmtId="2" fontId="50" fillId="6" borderId="1" xfId="15" applyNumberFormat="1" applyFont="1" applyFill="1" applyBorder="1" applyAlignment="1">
      <alignment horizontal="right" vertical="top" wrapText="1"/>
    </xf>
    <xf numFmtId="1" fontId="50" fillId="6" borderId="1" xfId="15" applyNumberFormat="1" applyFont="1" applyFill="1" applyBorder="1" applyAlignment="1">
      <alignment vertical="top" wrapText="1"/>
    </xf>
    <xf numFmtId="172" fontId="50" fillId="6" borderId="1" xfId="15" applyNumberFormat="1" applyFont="1" applyFill="1" applyBorder="1" applyAlignment="1">
      <alignment horizontal="right" vertical="top" wrapText="1"/>
    </xf>
    <xf numFmtId="165" fontId="51" fillId="6" borderId="1" xfId="0" applyFont="1" applyFill="1" applyBorder="1" applyAlignment="1">
      <alignment horizontal="center" wrapText="1"/>
    </xf>
    <xf numFmtId="165" fontId="50" fillId="6" borderId="1" xfId="0" applyFont="1" applyFill="1" applyBorder="1" applyAlignment="1">
      <alignment vertical="top" wrapText="1"/>
    </xf>
    <xf numFmtId="2" fontId="52" fillId="6" borderId="1" xfId="15" applyNumberFormat="1" applyFont="1" applyFill="1" applyBorder="1" applyAlignment="1">
      <alignment horizontal="center" vertical="top" wrapText="1"/>
    </xf>
    <xf numFmtId="2" fontId="55" fillId="6" borderId="1" xfId="15" applyNumberFormat="1" applyFont="1" applyFill="1" applyBorder="1" applyAlignment="1">
      <alignment horizontal="right" vertical="top" wrapText="1"/>
    </xf>
    <xf numFmtId="165" fontId="95" fillId="7" borderId="0" xfId="0" applyFont="1" applyFill="1" applyBorder="1" applyAlignment="1">
      <alignment horizontal="left" vertical="top"/>
    </xf>
    <xf numFmtId="2" fontId="49" fillId="0" borderId="0" xfId="18" applyNumberFormat="1" applyFont="1"/>
    <xf numFmtId="0" fontId="0" fillId="0" borderId="0" xfId="0" applyNumberFormat="1"/>
    <xf numFmtId="170" fontId="17" fillId="0" borderId="0" xfId="0" applyNumberFormat="1" applyFont="1" applyAlignment="1" applyProtection="1">
      <alignment horizontal="right"/>
    </xf>
    <xf numFmtId="165" fontId="23" fillId="0" borderId="0" xfId="0" applyNumberFormat="1" applyFont="1"/>
    <xf numFmtId="165" fontId="23" fillId="0" borderId="0" xfId="0" applyNumberFormat="1" applyFont="1" applyAlignment="1"/>
    <xf numFmtId="165" fontId="23" fillId="0" borderId="0" xfId="0" applyNumberFormat="1" applyFont="1" applyProtection="1"/>
    <xf numFmtId="165" fontId="23" fillId="0" borderId="0" xfId="0" applyNumberFormat="1" applyFont="1" applyAlignment="1">
      <alignment horizontal="left"/>
    </xf>
    <xf numFmtId="0" fontId="85" fillId="0" borderId="0" xfId="0" applyNumberFormat="1" applyFont="1"/>
    <xf numFmtId="2" fontId="85" fillId="0" borderId="0" xfId="0" applyNumberFormat="1" applyFont="1"/>
    <xf numFmtId="165" fontId="85" fillId="0" borderId="0" xfId="0" applyNumberFormat="1" applyFont="1"/>
    <xf numFmtId="165" fontId="0" fillId="0" borderId="0" xfId="0" applyNumberFormat="1" applyAlignment="1"/>
    <xf numFmtId="165" fontId="0" fillId="0" borderId="0" xfId="0" applyNumberFormat="1" applyAlignment="1">
      <alignment horizontal="left"/>
    </xf>
    <xf numFmtId="165" fontId="11" fillId="0" borderId="0" xfId="0" applyNumberFormat="1" applyFont="1"/>
    <xf numFmtId="165" fontId="17" fillId="0" borderId="0" xfId="0" applyNumberFormat="1" applyFont="1" applyAlignment="1" applyProtection="1">
      <alignment horizontal="left" wrapText="1"/>
    </xf>
    <xf numFmtId="165" fontId="11" fillId="0" borderId="0" xfId="0" applyNumberFormat="1" applyFont="1" applyAlignment="1"/>
    <xf numFmtId="165" fontId="11" fillId="0" borderId="0" xfId="0" applyNumberFormat="1" applyFont="1" applyAlignment="1">
      <alignment horizontal="left"/>
    </xf>
    <xf numFmtId="165" fontId="55" fillId="6" borderId="1" xfId="4" applyNumberFormat="1" applyFont="1" applyFill="1" applyBorder="1" applyAlignment="1">
      <alignment horizontal="center" vertical="top" wrapText="1"/>
    </xf>
    <xf numFmtId="165" fontId="70" fillId="6" borderId="13" xfId="0" applyFont="1" applyFill="1" applyBorder="1" applyAlignment="1">
      <alignment horizontal="right" vertical="top" wrapText="1"/>
    </xf>
    <xf numFmtId="2" fontId="70" fillId="6" borderId="13" xfId="15" applyNumberFormat="1" applyFont="1" applyFill="1" applyBorder="1" applyAlignment="1">
      <alignment horizontal="center" vertical="top" wrapText="1"/>
    </xf>
    <xf numFmtId="0" fontId="11" fillId="0" borderId="0" xfId="0" applyNumberFormat="1" applyFont="1" applyProtection="1"/>
    <xf numFmtId="165" fontId="22" fillId="0" borderId="0" xfId="0" applyFont="1" applyBorder="1" applyAlignment="1">
      <alignment vertical="top" wrapText="1"/>
    </xf>
    <xf numFmtId="165" fontId="72" fillId="0" borderId="0" xfId="0" applyFont="1" applyBorder="1" applyAlignment="1">
      <alignment horizontal="right" vertical="top"/>
    </xf>
    <xf numFmtId="2" fontId="49" fillId="0" borderId="0" xfId="0" applyNumberFormat="1" applyFont="1" applyFill="1" applyBorder="1" applyAlignment="1">
      <alignment horizontal="right" vertical="top" wrapText="1"/>
    </xf>
    <xf numFmtId="49" fontId="49" fillId="0" borderId="0" xfId="0" applyNumberFormat="1" applyFont="1" applyFill="1" applyBorder="1" applyAlignment="1">
      <alignment horizontal="left" vertical="top" wrapText="1"/>
    </xf>
    <xf numFmtId="0" fontId="13" fillId="0" borderId="0" xfId="0" applyNumberFormat="1" applyFont="1" applyFill="1" applyBorder="1" applyAlignment="1">
      <alignment horizontal="center" vertical="top" wrapText="1"/>
    </xf>
    <xf numFmtId="2" fontId="49" fillId="0" borderId="0" xfId="0" applyNumberFormat="1" applyFont="1" applyFill="1" applyBorder="1" applyAlignment="1">
      <alignment horizontal="center" vertical="top" wrapText="1"/>
    </xf>
    <xf numFmtId="2" fontId="13" fillId="0" borderId="0" xfId="0" applyNumberFormat="1" applyFont="1" applyFill="1" applyBorder="1" applyAlignment="1">
      <alignment horizontal="right" vertical="top" wrapText="1"/>
    </xf>
    <xf numFmtId="0" fontId="49" fillId="0" borderId="0" xfId="0" applyNumberFormat="1" applyFont="1" applyFill="1" applyBorder="1" applyAlignment="1">
      <alignment horizontal="left" vertical="top" wrapText="1"/>
    </xf>
    <xf numFmtId="0" fontId="13" fillId="0" borderId="0" xfId="0" applyNumberFormat="1" applyFont="1" applyFill="1" applyBorder="1" applyAlignment="1">
      <alignment horizontal="left" vertical="top" wrapText="1"/>
    </xf>
    <xf numFmtId="172" fontId="49" fillId="0" borderId="0" xfId="0" applyNumberFormat="1" applyFont="1" applyFill="1" applyBorder="1" applyAlignment="1">
      <alignment horizontal="right" vertical="top" wrapText="1"/>
    </xf>
    <xf numFmtId="173" fontId="49" fillId="0" borderId="0" xfId="0" applyNumberFormat="1" applyFont="1" applyFill="1" applyBorder="1" applyAlignment="1">
      <alignment horizontal="right" vertical="top" wrapText="1"/>
    </xf>
    <xf numFmtId="1" fontId="49" fillId="0" borderId="0" xfId="0" applyNumberFormat="1" applyFont="1" applyFill="1" applyBorder="1" applyAlignment="1">
      <alignment horizontal="right" vertical="top" wrapText="1"/>
    </xf>
    <xf numFmtId="2" fontId="49" fillId="0" borderId="0" xfId="0" applyNumberFormat="1" applyFont="1" applyFill="1" applyBorder="1" applyAlignment="1">
      <alignment horizontal="right" vertical="center" wrapText="1"/>
    </xf>
    <xf numFmtId="49" fontId="49" fillId="0" borderId="0" xfId="0" applyNumberFormat="1" applyFont="1" applyFill="1" applyBorder="1" applyAlignment="1">
      <alignment horizontal="center" vertical="top" wrapText="1"/>
    </xf>
    <xf numFmtId="173" fontId="49" fillId="7" borderId="0" xfId="0" applyNumberFormat="1" applyFont="1" applyFill="1" applyBorder="1" applyAlignment="1">
      <alignment horizontal="right" vertical="top" wrapText="1"/>
    </xf>
    <xf numFmtId="49" fontId="49" fillId="7" borderId="0" xfId="0" applyNumberFormat="1" applyFont="1" applyFill="1" applyBorder="1" applyAlignment="1">
      <alignment horizontal="left" vertical="top" wrapText="1"/>
    </xf>
    <xf numFmtId="2" fontId="49" fillId="7" borderId="0" xfId="0" applyNumberFormat="1" applyFont="1" applyFill="1" applyBorder="1" applyAlignment="1">
      <alignment horizontal="right" vertical="top" wrapText="1"/>
    </xf>
    <xf numFmtId="49" fontId="49" fillId="7" borderId="0" xfId="0" applyNumberFormat="1" applyFont="1" applyFill="1" applyBorder="1" applyAlignment="1">
      <alignment horizontal="center" vertical="top" wrapText="1"/>
    </xf>
    <xf numFmtId="0" fontId="49" fillId="0" borderId="0" xfId="0" applyNumberFormat="1" applyFont="1" applyFill="1" applyBorder="1" applyAlignment="1">
      <alignment horizontal="justify" vertical="top" wrapText="1"/>
    </xf>
    <xf numFmtId="0" fontId="49" fillId="0" borderId="0" xfId="0" applyNumberFormat="1" applyFont="1" applyFill="1" applyBorder="1" applyAlignment="1">
      <alignment horizontal="center" vertical="top" wrapText="1"/>
    </xf>
    <xf numFmtId="2" fontId="13" fillId="7" borderId="0" xfId="0" applyNumberFormat="1" applyFont="1" applyFill="1" applyBorder="1" applyAlignment="1">
      <alignment horizontal="right" vertical="top" wrapText="1"/>
    </xf>
    <xf numFmtId="167" fontId="33" fillId="0" borderId="0" xfId="0" applyNumberFormat="1" applyFont="1"/>
    <xf numFmtId="165" fontId="33" fillId="0" borderId="0" xfId="0" applyFont="1" applyAlignment="1"/>
    <xf numFmtId="165" fontId="32" fillId="0" borderId="0" xfId="0" applyFont="1"/>
    <xf numFmtId="165" fontId="33" fillId="0" borderId="0" xfId="0" applyFont="1"/>
    <xf numFmtId="165" fontId="33" fillId="0" borderId="0" xfId="0" applyFont="1" applyAlignment="1">
      <alignment horizontal="left"/>
    </xf>
    <xf numFmtId="0" fontId="33" fillId="0" borderId="0" xfId="0" applyNumberFormat="1" applyFont="1"/>
    <xf numFmtId="167" fontId="33" fillId="0" borderId="0" xfId="0" applyNumberFormat="1" applyFont="1" applyProtection="1"/>
    <xf numFmtId="165" fontId="33" fillId="0" borderId="0" xfId="0" applyNumberFormat="1" applyFont="1" applyAlignment="1" applyProtection="1"/>
    <xf numFmtId="165" fontId="33" fillId="0" borderId="0" xfId="0" applyNumberFormat="1" applyFont="1" applyAlignment="1" applyProtection="1">
      <alignment horizontal="left"/>
    </xf>
    <xf numFmtId="165" fontId="33" fillId="0" borderId="0" xfId="0" applyNumberFormat="1" applyFont="1" applyProtection="1"/>
    <xf numFmtId="165" fontId="33" fillId="0" borderId="0" xfId="0" applyFont="1" applyAlignment="1">
      <alignment horizontal="center"/>
    </xf>
    <xf numFmtId="165" fontId="32" fillId="0" borderId="0" xfId="0" applyNumberFormat="1" applyFont="1" applyAlignment="1" applyProtection="1">
      <alignment horizontal="right"/>
    </xf>
    <xf numFmtId="165" fontId="32" fillId="0" borderId="0" xfId="0" applyNumberFormat="1" applyFont="1" applyProtection="1"/>
    <xf numFmtId="165" fontId="97" fillId="0" borderId="0" xfId="0" applyFont="1"/>
    <xf numFmtId="165" fontId="55" fillId="6" borderId="15" xfId="4" applyNumberFormat="1" applyFont="1" applyFill="1" applyBorder="1" applyAlignment="1">
      <alignment horizontal="center" vertical="top" wrapText="1"/>
    </xf>
    <xf numFmtId="2" fontId="55" fillId="6" borderId="1" xfId="15" applyNumberFormat="1" applyFont="1" applyFill="1" applyBorder="1" applyAlignment="1">
      <alignment horizontal="center" vertical="top" wrapText="1"/>
    </xf>
    <xf numFmtId="165" fontId="51" fillId="6" borderId="1" xfId="4" applyNumberFormat="1" applyFont="1" applyFill="1" applyBorder="1" applyAlignment="1">
      <alignment horizontal="center" vertical="top" wrapText="1"/>
    </xf>
    <xf numFmtId="0" fontId="51" fillId="6" borderId="1" xfId="4" applyNumberFormat="1" applyFont="1" applyFill="1" applyBorder="1" applyAlignment="1">
      <alignment horizontal="center" vertical="top" wrapText="1"/>
    </xf>
    <xf numFmtId="165" fontId="51" fillId="6" borderId="1" xfId="0" applyFont="1" applyFill="1" applyBorder="1" applyAlignment="1">
      <alignment horizontal="center" vertical="top"/>
    </xf>
    <xf numFmtId="172" fontId="50" fillId="6" borderId="1" xfId="0" applyNumberFormat="1" applyFont="1" applyFill="1" applyBorder="1" applyAlignment="1">
      <alignment vertical="top" wrapText="1"/>
    </xf>
    <xf numFmtId="172" fontId="50" fillId="6" borderId="1" xfId="0" applyNumberFormat="1" applyFont="1" applyFill="1" applyBorder="1" applyAlignment="1">
      <alignment vertical="top"/>
    </xf>
    <xf numFmtId="2" fontId="51" fillId="6" borderId="15" xfId="15" applyNumberFormat="1" applyFont="1" applyFill="1" applyBorder="1" applyAlignment="1">
      <alignment horizontal="center" vertical="top" wrapText="1"/>
    </xf>
    <xf numFmtId="168" fontId="50" fillId="6" borderId="1" xfId="15" applyNumberFormat="1" applyFont="1" applyFill="1" applyBorder="1" applyAlignment="1">
      <alignment vertical="top" wrapText="1"/>
    </xf>
    <xf numFmtId="168" fontId="50" fillId="6" borderId="1" xfId="0" applyNumberFormat="1" applyFont="1" applyFill="1" applyBorder="1" applyAlignment="1">
      <alignment vertical="top"/>
    </xf>
    <xf numFmtId="2" fontId="51" fillId="6" borderId="10" xfId="15" applyNumberFormat="1" applyFont="1" applyFill="1" applyBorder="1" applyAlignment="1">
      <alignment horizontal="center" vertical="top" wrapText="1"/>
    </xf>
    <xf numFmtId="2" fontId="55" fillId="6" borderId="15" xfId="15" applyNumberFormat="1" applyFont="1" applyFill="1" applyBorder="1" applyAlignment="1">
      <alignment vertical="top" wrapText="1"/>
    </xf>
    <xf numFmtId="165" fontId="51" fillId="6" borderId="10" xfId="0" applyFont="1" applyFill="1" applyBorder="1" applyAlignment="1">
      <alignment horizontal="right" vertical="top" wrapText="1"/>
    </xf>
    <xf numFmtId="2" fontId="70" fillId="6" borderId="1" xfId="15" applyNumberFormat="1" applyFont="1" applyFill="1" applyBorder="1" applyAlignment="1">
      <alignment horizontal="center" vertical="top" wrapText="1"/>
    </xf>
    <xf numFmtId="165" fontId="56" fillId="6" borderId="0" xfId="0" applyFont="1" applyFill="1" applyBorder="1" applyAlignment="1">
      <alignment vertical="top"/>
    </xf>
    <xf numFmtId="165" fontId="55" fillId="6" borderId="0" xfId="0" applyFont="1" applyFill="1" applyBorder="1" applyAlignment="1">
      <alignment vertical="top"/>
    </xf>
    <xf numFmtId="165" fontId="51" fillId="6" borderId="15" xfId="0" applyFont="1" applyFill="1" applyBorder="1" applyAlignment="1">
      <alignment horizontal="right" vertical="top" wrapText="1"/>
    </xf>
    <xf numFmtId="0" fontId="50" fillId="6" borderId="1" xfId="0" applyNumberFormat="1" applyFont="1" applyFill="1" applyBorder="1" applyAlignment="1">
      <alignment horizontal="left" vertical="center" wrapText="1"/>
    </xf>
    <xf numFmtId="2" fontId="50" fillId="6" borderId="1" xfId="15" applyNumberFormat="1" applyFont="1" applyFill="1" applyBorder="1" applyAlignment="1">
      <alignment horizontal="left" vertical="center" wrapText="1"/>
    </xf>
    <xf numFmtId="2" fontId="55" fillId="6" borderId="1" xfId="16" applyNumberFormat="1" applyFont="1" applyFill="1" applyBorder="1" applyAlignment="1">
      <alignment horizontal="center" vertical="top" wrapText="1"/>
    </xf>
    <xf numFmtId="2" fontId="55" fillId="6" borderId="1" xfId="19" applyNumberFormat="1" applyFont="1" applyFill="1" applyBorder="1" applyAlignment="1">
      <alignment horizontal="right" vertical="top" wrapText="1"/>
    </xf>
    <xf numFmtId="2" fontId="55" fillId="6" borderId="13" xfId="15" applyNumberFormat="1" applyFont="1" applyFill="1" applyBorder="1" applyAlignment="1">
      <alignment vertical="top" wrapText="1"/>
    </xf>
    <xf numFmtId="2" fontId="55" fillId="6" borderId="15" xfId="19" applyNumberFormat="1" applyFont="1" applyFill="1" applyBorder="1" applyAlignment="1">
      <alignment horizontal="right" vertical="top" wrapText="1"/>
    </xf>
    <xf numFmtId="2" fontId="23" fillId="6" borderId="1" xfId="15" applyNumberFormat="1" applyFont="1" applyFill="1" applyBorder="1" applyAlignment="1">
      <alignment horizontal="center" vertical="top" wrapText="1"/>
    </xf>
    <xf numFmtId="165" fontId="71" fillId="6" borderId="14" xfId="0" applyFont="1" applyFill="1" applyBorder="1" applyAlignment="1">
      <alignment horizontal="right" vertical="center" wrapText="1"/>
    </xf>
    <xf numFmtId="2" fontId="71" fillId="6" borderId="14" xfId="15" applyNumberFormat="1" applyFont="1" applyFill="1" applyBorder="1" applyAlignment="1">
      <alignment horizontal="center" vertical="center" wrapText="1"/>
    </xf>
    <xf numFmtId="165" fontId="64" fillId="0" borderId="16" xfId="0" applyFont="1" applyBorder="1" applyAlignment="1">
      <alignment horizontal="center" vertical="center"/>
    </xf>
    <xf numFmtId="165" fontId="0" fillId="7" borderId="0" xfId="0" applyFill="1"/>
    <xf numFmtId="172" fontId="50" fillId="0" borderId="1" xfId="15" applyNumberFormat="1" applyFont="1" applyFill="1" applyBorder="1" applyAlignment="1">
      <alignment vertical="top" wrapText="1"/>
    </xf>
    <xf numFmtId="2" fontId="50" fillId="0" borderId="1" xfId="15" applyNumberFormat="1" applyFont="1" applyFill="1" applyBorder="1" applyAlignment="1">
      <alignment vertical="top" wrapText="1"/>
    </xf>
    <xf numFmtId="165" fontId="51" fillId="0" borderId="1" xfId="0" applyFont="1" applyFill="1" applyBorder="1" applyAlignment="1">
      <alignment horizontal="right" vertical="top" wrapText="1"/>
    </xf>
    <xf numFmtId="2" fontId="51" fillId="0" borderId="1" xfId="15" applyNumberFormat="1" applyFont="1" applyFill="1" applyBorder="1" applyAlignment="1">
      <alignment horizontal="center" vertical="top" wrapText="1"/>
    </xf>
    <xf numFmtId="165" fontId="51" fillId="0" borderId="1" xfId="0" applyFont="1" applyFill="1" applyBorder="1" applyAlignment="1">
      <alignment vertical="top" wrapText="1"/>
    </xf>
    <xf numFmtId="2" fontId="62" fillId="0" borderId="1" xfId="15" applyNumberFormat="1" applyFont="1" applyFill="1" applyBorder="1" applyAlignment="1">
      <alignment vertical="top" wrapText="1"/>
    </xf>
    <xf numFmtId="165" fontId="50" fillId="0" borderId="1" xfId="0" applyFont="1" applyFill="1" applyBorder="1" applyAlignment="1">
      <alignment vertical="top" wrapText="1"/>
    </xf>
    <xf numFmtId="165" fontId="51" fillId="0" borderId="1" xfId="0" applyFont="1" applyFill="1" applyBorder="1" applyAlignment="1">
      <alignment horizontal="center" vertical="top" wrapText="1"/>
    </xf>
    <xf numFmtId="2" fontId="50" fillId="0" borderId="1" xfId="16" applyNumberFormat="1" applyFont="1" applyFill="1" applyBorder="1" applyAlignment="1">
      <alignment vertical="top" wrapText="1"/>
    </xf>
    <xf numFmtId="1" fontId="50" fillId="0" borderId="1" xfId="15" applyNumberFormat="1" applyFont="1" applyFill="1" applyBorder="1" applyAlignment="1">
      <alignment horizontal="center" vertical="top" wrapText="1"/>
    </xf>
    <xf numFmtId="165" fontId="105" fillId="0" borderId="1" xfId="0" applyFont="1" applyFill="1" applyBorder="1" applyAlignment="1">
      <alignment vertical="top" wrapText="1"/>
    </xf>
    <xf numFmtId="165" fontId="51" fillId="0" borderId="0" xfId="0" applyFont="1" applyFill="1" applyAlignment="1">
      <alignment vertical="top"/>
    </xf>
    <xf numFmtId="172" fontId="51" fillId="0" borderId="1" xfId="15" applyNumberFormat="1" applyFont="1" applyFill="1" applyBorder="1" applyAlignment="1">
      <alignment vertical="top" wrapText="1"/>
    </xf>
    <xf numFmtId="2" fontId="52" fillId="0" borderId="1" xfId="15" applyNumberFormat="1" applyFont="1" applyFill="1" applyBorder="1" applyAlignment="1">
      <alignment vertical="top" wrapText="1"/>
    </xf>
    <xf numFmtId="2" fontId="51" fillId="0" borderId="1" xfId="15" applyNumberFormat="1" applyFont="1" applyFill="1" applyBorder="1" applyAlignment="1">
      <alignment horizontal="right" vertical="top" wrapText="1"/>
    </xf>
    <xf numFmtId="2" fontId="51" fillId="0" borderId="1" xfId="15" applyNumberFormat="1" applyFont="1" applyFill="1" applyBorder="1" applyAlignment="1">
      <alignment vertical="top" wrapText="1"/>
    </xf>
    <xf numFmtId="165" fontId="51" fillId="0" borderId="1" xfId="0" applyFont="1" applyFill="1" applyBorder="1" applyAlignment="1">
      <alignment vertical="top"/>
    </xf>
    <xf numFmtId="165" fontId="53" fillId="0" borderId="1" xfId="0" applyFont="1" applyFill="1" applyBorder="1" applyAlignment="1">
      <alignment vertical="top"/>
    </xf>
    <xf numFmtId="1" fontId="51" fillId="0" borderId="1" xfId="15" applyNumberFormat="1" applyFont="1" applyFill="1" applyBorder="1" applyAlignment="1">
      <alignment vertical="top" wrapText="1"/>
    </xf>
    <xf numFmtId="2" fontId="51" fillId="0" borderId="1" xfId="15" applyNumberFormat="1" applyFont="1" applyFill="1" applyBorder="1" applyAlignment="1">
      <alignment horizontal="left" vertical="top" wrapText="1"/>
    </xf>
    <xf numFmtId="165" fontId="0" fillId="0" borderId="0" xfId="0" applyAlignment="1">
      <alignment vertical="center"/>
    </xf>
    <xf numFmtId="2" fontId="51" fillId="6" borderId="1" xfId="19" applyNumberFormat="1" applyFont="1" applyFill="1" applyBorder="1" applyAlignment="1">
      <alignment horizontal="right" vertical="top" wrapText="1"/>
    </xf>
    <xf numFmtId="2" fontId="51" fillId="6" borderId="1" xfId="15" applyNumberFormat="1" applyFont="1" applyFill="1" applyBorder="1" applyAlignment="1">
      <alignment horizontal="center" vertical="top" wrapText="1"/>
    </xf>
    <xf numFmtId="172" fontId="23" fillId="0" borderId="16" xfId="16" applyNumberFormat="1" applyFont="1" applyBorder="1" applyAlignment="1">
      <alignment horizontal="center" vertical="center" wrapText="1"/>
    </xf>
    <xf numFmtId="2" fontId="33" fillId="0" borderId="16" xfId="16" applyNumberFormat="1" applyFont="1" applyBorder="1" applyAlignment="1">
      <alignment vertical="center" wrapText="1"/>
    </xf>
    <xf numFmtId="2" fontId="21" fillId="0" borderId="16" xfId="16" applyNumberFormat="1" applyFont="1" applyBorder="1" applyAlignment="1">
      <alignment vertical="center" wrapText="1"/>
    </xf>
    <xf numFmtId="2" fontId="32" fillId="0" borderId="16" xfId="16" applyNumberFormat="1" applyFont="1" applyBorder="1" applyAlignment="1">
      <alignment vertical="center" wrapText="1"/>
    </xf>
    <xf numFmtId="0" fontId="8" fillId="0" borderId="16" xfId="16" applyFont="1" applyBorder="1" applyAlignment="1">
      <alignment horizontal="left" vertical="center" wrapText="1"/>
    </xf>
    <xf numFmtId="2" fontId="57" fillId="0" borderId="16" xfId="16" applyNumberFormat="1" applyFont="1" applyBorder="1" applyAlignment="1">
      <alignment vertical="center" wrapText="1"/>
    </xf>
    <xf numFmtId="165" fontId="12" fillId="0" borderId="16" xfId="0" applyFont="1" applyBorder="1" applyAlignment="1">
      <alignment vertical="center"/>
    </xf>
    <xf numFmtId="165" fontId="74" fillId="0" borderId="0" xfId="0" applyFont="1" applyFill="1" applyBorder="1" applyAlignment="1">
      <alignment horizontal="center"/>
    </xf>
    <xf numFmtId="165" fontId="74" fillId="0" borderId="0" xfId="0" applyFont="1" applyFill="1" applyBorder="1" applyAlignment="1">
      <alignment horizontal="right"/>
    </xf>
    <xf numFmtId="165" fontId="63" fillId="0" borderId="0" xfId="0" applyFont="1" applyFill="1" applyBorder="1" applyAlignment="1">
      <alignment horizontal="center"/>
    </xf>
    <xf numFmtId="165" fontId="74" fillId="0" borderId="0" xfId="0" applyFont="1" applyFill="1" applyBorder="1" applyAlignment="1">
      <alignment horizontal="center" vertical="center"/>
    </xf>
    <xf numFmtId="165" fontId="75" fillId="0" borderId="0" xfId="0" applyFont="1" applyFill="1" applyBorder="1" applyAlignment="1">
      <alignment horizontal="center"/>
    </xf>
    <xf numFmtId="165" fontId="75" fillId="0" borderId="0" xfId="0" applyFont="1" applyFill="1" applyBorder="1" applyAlignment="1">
      <alignment horizontal="center" vertical="center" wrapText="1"/>
    </xf>
    <xf numFmtId="165" fontId="77" fillId="0" borderId="0" xfId="0" applyFont="1" applyFill="1" applyBorder="1" applyAlignment="1">
      <alignment horizontal="center" vertical="center"/>
    </xf>
    <xf numFmtId="165" fontId="0" fillId="7" borderId="0" xfId="0" applyNumberFormat="1" applyFill="1" applyAlignment="1" applyProtection="1">
      <alignment horizontal="left"/>
    </xf>
    <xf numFmtId="165" fontId="96" fillId="7" borderId="0" xfId="0" applyFont="1" applyFill="1" applyBorder="1" applyAlignment="1">
      <alignment horizontal="left" vertical="top"/>
    </xf>
    <xf numFmtId="165" fontId="96" fillId="0" borderId="0" xfId="0" applyFont="1" applyBorder="1" applyAlignment="1">
      <alignment horizontal="left" vertical="top"/>
    </xf>
    <xf numFmtId="2" fontId="52" fillId="6" borderId="1" xfId="19" applyNumberFormat="1" applyFont="1" applyFill="1" applyBorder="1" applyAlignment="1">
      <alignment horizontal="right" vertical="top" wrapText="1"/>
    </xf>
    <xf numFmtId="2" fontId="54" fillId="6" borderId="13" xfId="15" applyNumberFormat="1" applyFont="1" applyFill="1" applyBorder="1" applyAlignment="1">
      <alignment vertical="top" wrapText="1"/>
    </xf>
    <xf numFmtId="165" fontId="0" fillId="0" borderId="0" xfId="0" applyNumberFormat="1" applyFont="1" applyAlignment="1" applyProtection="1">
      <alignment horizontal="fill"/>
    </xf>
    <xf numFmtId="166" fontId="11" fillId="0" borderId="0" xfId="0" applyNumberFormat="1" applyFont="1" applyAlignment="1" applyProtection="1">
      <alignment horizontal="center"/>
    </xf>
    <xf numFmtId="165" fontId="106" fillId="6" borderId="1" xfId="0" applyFont="1" applyFill="1" applyBorder="1" applyAlignment="1">
      <alignment horizontal="right" vertical="top" wrapText="1"/>
    </xf>
    <xf numFmtId="2" fontId="50" fillId="0" borderId="15" xfId="15" applyNumberFormat="1" applyFont="1" applyFill="1" applyBorder="1" applyAlignment="1">
      <alignment vertical="top" wrapText="1"/>
    </xf>
    <xf numFmtId="2" fontId="50" fillId="0" borderId="1" xfId="15" applyNumberFormat="1" applyFont="1" applyFill="1" applyBorder="1" applyAlignment="1">
      <alignment horizontal="center" vertical="top" wrapText="1"/>
    </xf>
    <xf numFmtId="165" fontId="50" fillId="0" borderId="1" xfId="0" applyFont="1" applyFill="1" applyBorder="1" applyAlignment="1">
      <alignment horizontal="right" vertical="top" wrapText="1"/>
    </xf>
    <xf numFmtId="165" fontId="107" fillId="0" borderId="1" xfId="0" applyFont="1" applyFill="1" applyBorder="1" applyAlignment="1">
      <alignment horizontal="right" vertical="top" wrapText="1"/>
    </xf>
    <xf numFmtId="165" fontId="50" fillId="6" borderId="1" xfId="0" applyFont="1" applyFill="1" applyBorder="1" applyAlignment="1">
      <alignment horizontal="right" vertical="top" wrapText="1"/>
    </xf>
    <xf numFmtId="2" fontId="50" fillId="6" borderId="1" xfId="15" applyNumberFormat="1" applyFont="1" applyFill="1" applyBorder="1" applyAlignment="1">
      <alignment horizontal="center" vertical="top" wrapText="1"/>
    </xf>
    <xf numFmtId="168" fontId="50" fillId="0" borderId="1" xfId="15" applyNumberFormat="1" applyFont="1" applyFill="1" applyBorder="1" applyAlignment="1">
      <alignment vertical="top" wrapText="1"/>
    </xf>
    <xf numFmtId="2" fontId="108" fillId="0" borderId="1" xfId="15" applyNumberFormat="1" applyFont="1" applyFill="1" applyBorder="1" applyAlignment="1">
      <alignment vertical="top" wrapText="1"/>
    </xf>
    <xf numFmtId="165" fontId="107" fillId="6" borderId="1" xfId="0" applyFont="1" applyFill="1" applyBorder="1" applyAlignment="1">
      <alignment vertical="top" wrapText="1"/>
    </xf>
    <xf numFmtId="2" fontId="50" fillId="0" borderId="15" xfId="15" applyNumberFormat="1" applyFont="1" applyFill="1" applyBorder="1" applyAlignment="1">
      <alignment horizontal="center" vertical="top" wrapText="1"/>
    </xf>
    <xf numFmtId="165" fontId="50" fillId="6" borderId="10" xfId="0" applyFont="1" applyFill="1" applyBorder="1" applyAlignment="1">
      <alignment vertical="top"/>
    </xf>
    <xf numFmtId="2" fontId="50" fillId="6" borderId="10" xfId="15" applyNumberFormat="1" applyFont="1" applyFill="1" applyBorder="1" applyAlignment="1">
      <alignment vertical="top" wrapText="1"/>
    </xf>
    <xf numFmtId="165" fontId="50" fillId="0" borderId="15" xfId="0" applyFont="1" applyFill="1" applyBorder="1" applyAlignment="1">
      <alignment horizontal="right" vertical="top" wrapText="1"/>
    </xf>
    <xf numFmtId="1" fontId="50" fillId="0" borderId="1" xfId="15" applyNumberFormat="1" applyFont="1" applyFill="1" applyBorder="1" applyAlignment="1">
      <alignment vertical="top" wrapText="1"/>
    </xf>
    <xf numFmtId="1" fontId="50" fillId="0" borderId="1" xfId="15" applyNumberFormat="1" applyFont="1" applyFill="1" applyBorder="1" applyAlignment="1">
      <alignment horizontal="right" vertical="top" wrapText="1"/>
    </xf>
    <xf numFmtId="165" fontId="50" fillId="0" borderId="1" xfId="0" applyFont="1" applyFill="1" applyBorder="1" applyAlignment="1">
      <alignment horizontal="center" vertical="top" wrapText="1"/>
    </xf>
    <xf numFmtId="2" fontId="50" fillId="0" borderId="1" xfId="19" applyNumberFormat="1" applyFont="1" applyFill="1" applyBorder="1" applyAlignment="1">
      <alignment horizontal="right" vertical="top" wrapText="1"/>
    </xf>
    <xf numFmtId="165" fontId="107" fillId="0" borderId="1" xfId="0" applyFont="1" applyFill="1" applyBorder="1" applyAlignment="1">
      <alignment vertical="top" wrapText="1"/>
    </xf>
    <xf numFmtId="167" fontId="107" fillId="0" borderId="1" xfId="0" applyNumberFormat="1" applyFont="1" applyFill="1" applyBorder="1" applyAlignment="1">
      <alignment vertical="top" wrapText="1"/>
    </xf>
    <xf numFmtId="165" fontId="109" fillId="6" borderId="1" xfId="0" applyFont="1" applyFill="1" applyBorder="1" applyAlignment="1">
      <alignment horizontal="right" vertical="top" wrapText="1"/>
    </xf>
    <xf numFmtId="2" fontId="107" fillId="6" borderId="1" xfId="15" applyNumberFormat="1" applyFont="1" applyFill="1" applyBorder="1" applyAlignment="1">
      <alignment vertical="top" wrapText="1"/>
    </xf>
    <xf numFmtId="2" fontId="109" fillId="6" borderId="1" xfId="15" applyNumberFormat="1" applyFont="1" applyFill="1" applyBorder="1" applyAlignment="1">
      <alignment horizontal="center" vertical="top" wrapText="1"/>
    </xf>
    <xf numFmtId="2" fontId="107" fillId="6" borderId="1" xfId="15" applyNumberFormat="1" applyFont="1" applyFill="1" applyBorder="1" applyAlignment="1">
      <alignment horizontal="right" vertical="top" wrapText="1"/>
    </xf>
    <xf numFmtId="2" fontId="110" fillId="6" borderId="1" xfId="15" applyNumberFormat="1" applyFont="1" applyFill="1" applyBorder="1" applyAlignment="1">
      <alignment vertical="top" wrapText="1"/>
    </xf>
    <xf numFmtId="2" fontId="109" fillId="0" borderId="1" xfId="15" applyNumberFormat="1" applyFont="1" applyFill="1" applyBorder="1" applyAlignment="1">
      <alignment horizontal="center" vertical="top" wrapText="1"/>
    </xf>
    <xf numFmtId="165" fontId="111" fillId="6" borderId="0" xfId="0" applyFont="1" applyFill="1" applyAlignment="1">
      <alignment vertical="top"/>
    </xf>
    <xf numFmtId="165" fontId="50" fillId="0" borderId="15" xfId="0" applyFont="1" applyFill="1" applyBorder="1" applyAlignment="1">
      <alignment vertical="top" wrapText="1"/>
    </xf>
    <xf numFmtId="172" fontId="50" fillId="6" borderId="15" xfId="15" applyNumberFormat="1" applyFont="1" applyFill="1" applyBorder="1" applyAlignment="1">
      <alignment vertical="top" wrapText="1"/>
    </xf>
    <xf numFmtId="2" fontId="50" fillId="6" borderId="15" xfId="15" applyNumberFormat="1" applyFont="1" applyFill="1" applyBorder="1" applyAlignment="1">
      <alignment vertical="top" wrapText="1"/>
    </xf>
    <xf numFmtId="165" fontId="51" fillId="6" borderId="15" xfId="0" applyFont="1" applyFill="1" applyBorder="1" applyAlignment="1">
      <alignment vertical="top" wrapText="1"/>
    </xf>
    <xf numFmtId="2" fontId="62" fillId="6" borderId="15" xfId="15" applyNumberFormat="1" applyFont="1" applyFill="1" applyBorder="1" applyAlignment="1">
      <alignment vertical="top" wrapText="1"/>
    </xf>
    <xf numFmtId="172" fontId="50" fillId="0" borderId="15" xfId="15" applyNumberFormat="1" applyFont="1" applyFill="1" applyBorder="1" applyAlignment="1">
      <alignment vertical="top" wrapText="1"/>
    </xf>
    <xf numFmtId="168" fontId="50" fillId="0" borderId="15" xfId="15" applyNumberFormat="1" applyFont="1" applyFill="1" applyBorder="1" applyAlignment="1">
      <alignment vertical="top" wrapText="1"/>
    </xf>
    <xf numFmtId="172" fontId="107" fillId="6" borderId="15" xfId="15" applyNumberFormat="1" applyFont="1" applyFill="1" applyBorder="1" applyAlignment="1">
      <alignment vertical="top" wrapText="1"/>
    </xf>
    <xf numFmtId="2" fontId="107" fillId="6" borderId="15" xfId="15" applyNumberFormat="1" applyFont="1" applyFill="1" applyBorder="1" applyAlignment="1">
      <alignment vertical="top" wrapText="1"/>
    </xf>
    <xf numFmtId="165" fontId="109" fillId="6" borderId="15" xfId="0" applyFont="1" applyFill="1" applyBorder="1" applyAlignment="1">
      <alignment vertical="top" wrapText="1"/>
    </xf>
    <xf numFmtId="2" fontId="109" fillId="6" borderId="15" xfId="15" applyNumberFormat="1" applyFont="1" applyFill="1" applyBorder="1" applyAlignment="1">
      <alignment horizontal="center" vertical="top" wrapText="1"/>
    </xf>
    <xf numFmtId="165" fontId="50" fillId="6" borderId="15" xfId="0" applyFont="1" applyFill="1" applyBorder="1" applyAlignment="1">
      <alignment vertical="top"/>
    </xf>
    <xf numFmtId="1" fontId="50" fillId="6" borderId="15" xfId="15" applyNumberFormat="1" applyFont="1" applyFill="1" applyBorder="1" applyAlignment="1">
      <alignment vertical="top" wrapText="1"/>
    </xf>
    <xf numFmtId="172" fontId="50" fillId="6" borderId="15" xfId="15" applyNumberFormat="1" applyFont="1" applyFill="1" applyBorder="1" applyAlignment="1">
      <alignment horizontal="right" vertical="top" wrapText="1"/>
    </xf>
    <xf numFmtId="165" fontId="51" fillId="6" borderId="15" xfId="0" applyFont="1" applyFill="1" applyBorder="1" applyAlignment="1">
      <alignment horizontal="right" wrapText="1"/>
    </xf>
    <xf numFmtId="165" fontId="51" fillId="6" borderId="15" xfId="0" applyFont="1" applyFill="1" applyBorder="1" applyAlignment="1">
      <alignment horizontal="center" wrapText="1"/>
    </xf>
    <xf numFmtId="165" fontId="51" fillId="6" borderId="15" xfId="0" applyFont="1" applyFill="1" applyBorder="1" applyAlignment="1">
      <alignment horizontal="center" vertical="top" wrapText="1"/>
    </xf>
    <xf numFmtId="1" fontId="50" fillId="0" borderId="15" xfId="15" applyNumberFormat="1" applyFont="1" applyFill="1" applyBorder="1" applyAlignment="1">
      <alignment vertical="top" wrapText="1"/>
    </xf>
    <xf numFmtId="2" fontId="51" fillId="6" borderId="15" xfId="19" applyNumberFormat="1" applyFont="1" applyFill="1" applyBorder="1" applyAlignment="1">
      <alignment horizontal="right" vertical="top" wrapText="1"/>
    </xf>
    <xf numFmtId="2" fontId="51" fillId="6" borderId="15" xfId="16" applyNumberFormat="1" applyFont="1" applyFill="1" applyBorder="1" applyAlignment="1">
      <alignment horizontal="center" vertical="top" wrapText="1"/>
    </xf>
    <xf numFmtId="165" fontId="51" fillId="6" borderId="15" xfId="0" applyFont="1" applyFill="1" applyBorder="1" applyAlignment="1">
      <alignment horizontal="center" vertical="top"/>
    </xf>
    <xf numFmtId="165" fontId="71" fillId="6" borderId="17" xfId="0" applyFont="1" applyFill="1" applyBorder="1" applyAlignment="1">
      <alignment horizontal="right" vertical="center" wrapText="1"/>
    </xf>
    <xf numFmtId="2" fontId="71" fillId="6" borderId="17" xfId="15" applyNumberFormat="1" applyFont="1" applyFill="1" applyBorder="1" applyAlignment="1">
      <alignment horizontal="center" vertical="center" wrapText="1"/>
    </xf>
    <xf numFmtId="165" fontId="22" fillId="0" borderId="0" xfId="0" applyNumberFormat="1" applyFont="1"/>
    <xf numFmtId="165" fontId="22" fillId="0" borderId="0" xfId="0" applyNumberFormat="1" applyFont="1" applyAlignment="1"/>
    <xf numFmtId="165" fontId="22" fillId="0" borderId="0" xfId="0" applyNumberFormat="1" applyFont="1" applyAlignment="1">
      <alignment horizontal="center"/>
    </xf>
    <xf numFmtId="165" fontId="22" fillId="0" borderId="0" xfId="0" applyNumberFormat="1" applyFont="1" applyAlignment="1">
      <alignment horizontal="right"/>
    </xf>
    <xf numFmtId="170" fontId="85" fillId="0" borderId="0" xfId="0" applyNumberFormat="1" applyFont="1" applyAlignment="1">
      <alignment vertical="top"/>
    </xf>
    <xf numFmtId="170" fontId="93" fillId="0" borderId="0" xfId="0" applyNumberFormat="1" applyFont="1" applyAlignment="1">
      <alignment horizontal="right"/>
    </xf>
    <xf numFmtId="170" fontId="22" fillId="0" borderId="0" xfId="0" applyNumberFormat="1" applyFont="1" applyAlignment="1">
      <alignment horizontal="center"/>
    </xf>
    <xf numFmtId="165" fontId="9" fillId="0" borderId="0" xfId="0" applyNumberFormat="1" applyFont="1" applyAlignment="1">
      <alignment vertical="top"/>
    </xf>
    <xf numFmtId="172" fontId="62" fillId="6" borderId="1" xfId="15" applyNumberFormat="1" applyFont="1" applyFill="1" applyBorder="1" applyAlignment="1">
      <alignment vertical="top" wrapText="1"/>
    </xf>
    <xf numFmtId="2" fontId="52" fillId="6" borderId="1" xfId="16" applyNumberFormat="1" applyFont="1" applyFill="1" applyBorder="1" applyAlignment="1">
      <alignment horizontal="center" vertical="top" wrapText="1"/>
    </xf>
    <xf numFmtId="165" fontId="54" fillId="6" borderId="0" xfId="0" applyFont="1" applyFill="1" applyAlignment="1">
      <alignment vertical="top"/>
    </xf>
    <xf numFmtId="0" fontId="0" fillId="0" borderId="0" xfId="0" applyNumberFormat="1" applyAlignment="1">
      <alignment horizontal="center" vertical="center"/>
    </xf>
    <xf numFmtId="165" fontId="85" fillId="0" borderId="0" xfId="0" applyNumberFormat="1" applyFont="1" applyAlignment="1" applyProtection="1">
      <alignment horizontal="right"/>
    </xf>
    <xf numFmtId="165" fontId="0" fillId="7" borderId="0" xfId="0" applyNumberFormat="1" applyFill="1"/>
    <xf numFmtId="165" fontId="0" fillId="7" borderId="0" xfId="0" applyNumberFormat="1" applyFill="1" applyAlignment="1"/>
    <xf numFmtId="165" fontId="0" fillId="7" borderId="0" xfId="0" applyNumberFormat="1" applyFill="1" applyAlignment="1">
      <alignment horizontal="left"/>
    </xf>
    <xf numFmtId="165" fontId="0" fillId="7" borderId="0" xfId="0" applyNumberFormat="1" applyFill="1" applyProtection="1"/>
    <xf numFmtId="0" fontId="0" fillId="7" borderId="0" xfId="0" applyNumberFormat="1" applyFill="1"/>
    <xf numFmtId="173" fontId="0" fillId="0" borderId="0" xfId="0" applyNumberFormat="1"/>
    <xf numFmtId="173" fontId="85" fillId="0" borderId="0" xfId="0" applyNumberFormat="1" applyFont="1"/>
    <xf numFmtId="0" fontId="103" fillId="7" borderId="0" xfId="0" applyNumberFormat="1" applyFont="1" applyFill="1"/>
    <xf numFmtId="0" fontId="112" fillId="7" borderId="0" xfId="0" applyNumberFormat="1" applyFont="1" applyFill="1"/>
    <xf numFmtId="165" fontId="22" fillId="0" borderId="0" xfId="0" applyNumberFormat="1" applyFont="1" applyAlignment="1">
      <alignment vertical="top"/>
    </xf>
    <xf numFmtId="165" fontId="22" fillId="7" borderId="0" xfId="0" applyNumberFormat="1" applyFont="1" applyFill="1"/>
    <xf numFmtId="165" fontId="22" fillId="7" borderId="0" xfId="0" applyNumberFormat="1" applyFont="1" applyFill="1" applyAlignment="1" applyProtection="1">
      <alignment horizontal="center"/>
    </xf>
    <xf numFmtId="2" fontId="62" fillId="7" borderId="1" xfId="16" applyNumberFormat="1" applyFont="1" applyFill="1" applyBorder="1" applyAlignment="1">
      <alignment vertical="top" wrapText="1"/>
    </xf>
    <xf numFmtId="2" fontId="62" fillId="7" borderId="15" xfId="15" applyNumberFormat="1" applyFont="1" applyFill="1" applyBorder="1" applyAlignment="1">
      <alignment vertical="top" wrapText="1"/>
    </xf>
    <xf numFmtId="2" fontId="55" fillId="7" borderId="15" xfId="15" applyNumberFormat="1" applyFont="1" applyFill="1" applyBorder="1" applyAlignment="1">
      <alignment vertical="top" wrapText="1"/>
    </xf>
    <xf numFmtId="165" fontId="52" fillId="7" borderId="1" xfId="0" applyFont="1" applyFill="1" applyBorder="1" applyAlignment="1">
      <alignment vertical="top"/>
    </xf>
    <xf numFmtId="2" fontId="52" fillId="7" borderId="1" xfId="15" applyNumberFormat="1" applyFont="1" applyFill="1" applyBorder="1" applyAlignment="1">
      <alignment vertical="top" wrapText="1"/>
    </xf>
    <xf numFmtId="165" fontId="61" fillId="0" borderId="0" xfId="0" applyNumberFormat="1" applyFont="1" applyAlignment="1" applyProtection="1">
      <alignment horizontal="left"/>
    </xf>
    <xf numFmtId="165" fontId="22" fillId="0" borderId="0" xfId="0" applyFont="1" applyAlignment="1">
      <alignment wrapText="1"/>
    </xf>
    <xf numFmtId="165" fontId="61" fillId="0" borderId="0" xfId="0" applyNumberFormat="1" applyFont="1" applyAlignment="1" applyProtection="1">
      <alignment horizontal="left" wrapText="1"/>
    </xf>
    <xf numFmtId="165" fontId="22" fillId="7" borderId="0" xfId="0" applyNumberFormat="1" applyFont="1" applyFill="1" applyProtection="1"/>
    <xf numFmtId="170" fontId="9" fillId="0" borderId="0" xfId="0" applyNumberFormat="1" applyFont="1"/>
    <xf numFmtId="165" fontId="86" fillId="11" borderId="0" xfId="0" applyFont="1" applyFill="1" applyBorder="1" applyAlignment="1">
      <alignment horizontal="left" vertical="top"/>
    </xf>
    <xf numFmtId="165" fontId="100" fillId="0" borderId="0" xfId="0" applyFont="1" applyBorder="1" applyAlignment="1">
      <alignment horizontal="left" vertical="top"/>
    </xf>
    <xf numFmtId="165" fontId="0" fillId="7" borderId="0" xfId="0" applyNumberFormat="1" applyFill="1" applyAlignment="1" applyProtection="1"/>
    <xf numFmtId="2" fontId="106" fillId="6" borderId="1" xfId="19" applyNumberFormat="1" applyFont="1" applyFill="1" applyBorder="1" applyAlignment="1">
      <alignment horizontal="right" vertical="top" wrapText="1"/>
    </xf>
    <xf numFmtId="2" fontId="108" fillId="6" borderId="15" xfId="15" applyNumberFormat="1" applyFont="1" applyFill="1" applyBorder="1" applyAlignment="1">
      <alignment horizontal="left" vertical="center" wrapText="1"/>
    </xf>
    <xf numFmtId="2" fontId="106" fillId="6" borderId="15" xfId="19" applyNumberFormat="1" applyFont="1" applyFill="1" applyBorder="1" applyAlignment="1">
      <alignment horizontal="right" vertical="top" wrapText="1"/>
    </xf>
    <xf numFmtId="2" fontId="108" fillId="6" borderId="1" xfId="15" applyNumberFormat="1" applyFont="1" applyFill="1" applyBorder="1" applyAlignment="1">
      <alignment horizontal="left" vertical="center" wrapText="1"/>
    </xf>
    <xf numFmtId="165" fontId="69" fillId="0" borderId="0" xfId="0" applyFont="1" applyBorder="1" applyAlignment="1">
      <alignment horizontal="left" vertical="top"/>
    </xf>
    <xf numFmtId="165" fontId="28" fillId="0" borderId="0" xfId="0" applyFont="1" applyBorder="1" applyAlignment="1">
      <alignment horizontal="left" vertical="top"/>
    </xf>
    <xf numFmtId="0" fontId="8" fillId="0" borderId="16" xfId="16" applyFont="1" applyBorder="1" applyAlignment="1">
      <alignment horizontal="center" vertical="center" wrapText="1"/>
    </xf>
    <xf numFmtId="0" fontId="23" fillId="0" borderId="16" xfId="16" applyFont="1" applyBorder="1" applyAlignment="1">
      <alignment horizontal="center" vertical="center" wrapText="1"/>
    </xf>
    <xf numFmtId="165" fontId="63" fillId="0" borderId="16" xfId="0" applyFont="1" applyBorder="1" applyAlignment="1">
      <alignment horizontal="center" vertical="center"/>
    </xf>
    <xf numFmtId="0" fontId="8" fillId="0" borderId="0" xfId="16" applyFont="1" applyBorder="1" applyAlignment="1">
      <alignment horizontal="center" vertical="center" wrapText="1"/>
    </xf>
    <xf numFmtId="172" fontId="33" fillId="0" borderId="16" xfId="16" applyNumberFormat="1" applyFont="1" applyBorder="1" applyAlignment="1">
      <alignment vertical="center" wrapText="1"/>
    </xf>
    <xf numFmtId="165" fontId="0" fillId="0" borderId="16" xfId="0" applyBorder="1" applyAlignment="1">
      <alignment vertical="center"/>
    </xf>
    <xf numFmtId="165" fontId="9" fillId="0" borderId="16" xfId="0" applyFont="1" applyFill="1" applyBorder="1" applyAlignment="1">
      <alignment horizontal="center" vertical="center" wrapText="1"/>
    </xf>
    <xf numFmtId="173" fontId="104" fillId="0" borderId="16" xfId="0" applyNumberFormat="1" applyFont="1" applyFill="1" applyBorder="1" applyAlignment="1">
      <alignment horizontal="center" vertical="center"/>
    </xf>
    <xf numFmtId="165" fontId="9" fillId="0" borderId="16" xfId="0" applyFont="1" applyFill="1" applyBorder="1" applyAlignment="1">
      <alignment horizontal="center" vertical="center"/>
    </xf>
    <xf numFmtId="173" fontId="104" fillId="0" borderId="16" xfId="0" applyNumberFormat="1" applyFont="1" applyFill="1" applyBorder="1" applyAlignment="1">
      <alignment horizontal="center" vertical="top"/>
    </xf>
    <xf numFmtId="165" fontId="91" fillId="0" borderId="16" xfId="0" applyFont="1" applyFill="1" applyBorder="1" applyAlignment="1">
      <alignment horizontal="justify" vertical="center"/>
    </xf>
    <xf numFmtId="165" fontId="9" fillId="0" borderId="16" xfId="0" applyFont="1" applyFill="1" applyBorder="1" applyAlignment="1">
      <alignment horizontal="right" vertical="center"/>
    </xf>
    <xf numFmtId="172" fontId="22" fillId="0" borderId="16" xfId="16" applyNumberFormat="1" applyFont="1" applyFill="1" applyBorder="1" applyAlignment="1">
      <alignment horizontal="center" vertical="top" wrapText="1"/>
    </xf>
    <xf numFmtId="173" fontId="94" fillId="0" borderId="16" xfId="16" applyNumberFormat="1" applyFont="1" applyFill="1" applyBorder="1" applyAlignment="1">
      <alignment horizontal="center" vertical="top" wrapText="1"/>
    </xf>
    <xf numFmtId="2" fontId="104" fillId="0" borderId="16" xfId="16" applyNumberFormat="1" applyFont="1" applyFill="1" applyBorder="1" applyAlignment="1">
      <alignment horizontal="justify" vertical="top" wrapText="1"/>
    </xf>
    <xf numFmtId="2" fontId="22" fillId="0" borderId="16" xfId="16" applyNumberFormat="1" applyFont="1" applyFill="1" applyBorder="1" applyAlignment="1">
      <alignment horizontal="right" vertical="top" wrapText="1"/>
    </xf>
    <xf numFmtId="2" fontId="22" fillId="0" borderId="16" xfId="16" applyNumberFormat="1" applyFont="1" applyFill="1" applyBorder="1" applyAlignment="1">
      <alignment horizontal="center" vertical="top" wrapText="1"/>
    </xf>
    <xf numFmtId="2" fontId="94" fillId="0" borderId="16" xfId="16" applyNumberFormat="1" applyFont="1" applyFill="1" applyBorder="1" applyAlignment="1">
      <alignment horizontal="right" vertical="top" wrapText="1"/>
    </xf>
    <xf numFmtId="173" fontId="91" fillId="0" borderId="16" xfId="16" applyNumberFormat="1" applyFont="1" applyFill="1" applyBorder="1" applyAlignment="1">
      <alignment horizontal="center" vertical="top" wrapText="1"/>
    </xf>
    <xf numFmtId="2" fontId="91" fillId="0" borderId="16" xfId="16" applyNumberFormat="1" applyFont="1" applyFill="1" applyBorder="1" applyAlignment="1">
      <alignment horizontal="justify" vertical="top" wrapText="1"/>
    </xf>
    <xf numFmtId="2" fontId="9" fillId="0" borderId="16" xfId="16" applyNumberFormat="1" applyFont="1" applyFill="1" applyBorder="1" applyAlignment="1">
      <alignment horizontal="right" vertical="top" wrapText="1"/>
    </xf>
    <xf numFmtId="173" fontId="113" fillId="0" borderId="0" xfId="0" applyNumberFormat="1" applyFont="1" applyFill="1" applyBorder="1" applyAlignment="1">
      <alignment horizontal="center" vertical="top"/>
    </xf>
    <xf numFmtId="165" fontId="113" fillId="0" borderId="0" xfId="0" applyFont="1" applyFill="1" applyBorder="1" applyAlignment="1">
      <alignment horizontal="justify"/>
    </xf>
    <xf numFmtId="165" fontId="114" fillId="6" borderId="1" xfId="0" applyFont="1" applyFill="1" applyBorder="1" applyAlignment="1">
      <alignment vertical="top" wrapText="1"/>
    </xf>
    <xf numFmtId="167" fontId="50" fillId="6" borderId="1" xfId="0" applyNumberFormat="1" applyFont="1" applyFill="1" applyBorder="1" applyAlignment="1">
      <alignment vertical="top" wrapText="1"/>
    </xf>
    <xf numFmtId="165" fontId="105" fillId="6" borderId="1" xfId="0" applyFont="1" applyFill="1" applyBorder="1" applyAlignment="1">
      <alignment vertical="top" wrapText="1"/>
    </xf>
    <xf numFmtId="165" fontId="50" fillId="6" borderId="15" xfId="0" applyFont="1" applyFill="1" applyBorder="1" applyAlignment="1">
      <alignment horizontal="right" vertical="top" wrapText="1"/>
    </xf>
    <xf numFmtId="2" fontId="50" fillId="6" borderId="15" xfId="15" applyNumberFormat="1" applyFont="1" applyFill="1" applyBorder="1" applyAlignment="1">
      <alignment horizontal="center" vertical="top" wrapText="1"/>
    </xf>
    <xf numFmtId="2" fontId="107" fillId="6" borderId="1" xfId="15" applyNumberFormat="1" applyFont="1" applyFill="1" applyBorder="1" applyAlignment="1">
      <alignment horizontal="center" vertical="top" wrapText="1"/>
    </xf>
    <xf numFmtId="165" fontId="106" fillId="6" borderId="1" xfId="0" applyFont="1" applyFill="1" applyBorder="1" applyAlignment="1">
      <alignment vertical="top"/>
    </xf>
    <xf numFmtId="167" fontId="107" fillId="6" borderId="1" xfId="0" applyNumberFormat="1" applyFont="1" applyFill="1" applyBorder="1" applyAlignment="1">
      <alignment vertical="top" wrapText="1"/>
    </xf>
    <xf numFmtId="165" fontId="106" fillId="6" borderId="0" xfId="0" applyFont="1" applyFill="1" applyAlignment="1">
      <alignment vertical="top"/>
    </xf>
    <xf numFmtId="165" fontId="50" fillId="6" borderId="1" xfId="0" applyFont="1" applyFill="1" applyBorder="1" applyAlignment="1">
      <alignment horizontal="center" vertical="top" wrapText="1"/>
    </xf>
    <xf numFmtId="2" fontId="50" fillId="6" borderId="1" xfId="19" applyNumberFormat="1" applyFont="1" applyFill="1" applyBorder="1" applyAlignment="1">
      <alignment horizontal="right" vertical="top" wrapText="1"/>
    </xf>
    <xf numFmtId="2" fontId="50" fillId="6" borderId="1" xfId="16" applyNumberFormat="1" applyFont="1" applyFill="1" applyBorder="1" applyAlignment="1">
      <alignment horizontal="center" vertical="top" wrapText="1"/>
    </xf>
    <xf numFmtId="167" fontId="50" fillId="6" borderId="1" xfId="15" applyNumberFormat="1" applyFont="1" applyFill="1" applyBorder="1" applyAlignment="1">
      <alignment horizontal="center" vertical="top" wrapText="1"/>
    </xf>
    <xf numFmtId="172" fontId="50" fillId="13" borderId="1" xfId="15" applyNumberFormat="1" applyFont="1" applyFill="1" applyBorder="1" applyAlignment="1">
      <alignment vertical="top" wrapText="1"/>
    </xf>
    <xf numFmtId="2" fontId="50" fillId="13" borderId="1" xfId="15" applyNumberFormat="1" applyFont="1" applyFill="1" applyBorder="1" applyAlignment="1">
      <alignment vertical="top" wrapText="1"/>
    </xf>
    <xf numFmtId="165" fontId="51" fillId="13" borderId="1" xfId="0" applyFont="1" applyFill="1" applyBorder="1" applyAlignment="1">
      <alignment vertical="top" wrapText="1"/>
    </xf>
    <xf numFmtId="2" fontId="51" fillId="13" borderId="1" xfId="15" applyNumberFormat="1" applyFont="1" applyFill="1" applyBorder="1" applyAlignment="1">
      <alignment horizontal="center" vertical="top" wrapText="1"/>
    </xf>
    <xf numFmtId="165" fontId="107" fillId="13" borderId="1" xfId="0" applyFont="1" applyFill="1" applyBorder="1" applyAlignment="1">
      <alignment vertical="top" wrapText="1"/>
    </xf>
    <xf numFmtId="165" fontId="55" fillId="13" borderId="0" xfId="0" applyFont="1" applyFill="1" applyAlignment="1">
      <alignment vertical="top"/>
    </xf>
    <xf numFmtId="172" fontId="50" fillId="13" borderId="1" xfId="15" applyNumberFormat="1" applyFont="1" applyFill="1" applyBorder="1" applyAlignment="1">
      <alignment horizontal="right" vertical="top" wrapText="1"/>
    </xf>
    <xf numFmtId="165" fontId="22" fillId="0" borderId="0" xfId="0" applyFont="1" applyBorder="1" applyAlignment="1">
      <alignment horizontal="right" vertical="center"/>
    </xf>
    <xf numFmtId="165" fontId="22" fillId="0" borderId="0" xfId="0" applyFont="1" applyBorder="1" applyAlignment="1">
      <alignment horizontal="left" vertical="center"/>
    </xf>
    <xf numFmtId="165" fontId="22" fillId="0" borderId="0" xfId="0" applyFont="1" applyFill="1" applyBorder="1" applyAlignment="1">
      <alignment horizontal="left" vertical="top" wrapText="1"/>
    </xf>
    <xf numFmtId="165" fontId="0" fillId="0" borderId="0" xfId="0" applyNumberFormat="1" applyAlignment="1" applyProtection="1">
      <alignment wrapText="1"/>
    </xf>
    <xf numFmtId="172" fontId="50" fillId="6" borderId="10" xfId="15" applyNumberFormat="1" applyFont="1" applyFill="1" applyBorder="1" applyAlignment="1">
      <alignment vertical="top" wrapText="1"/>
    </xf>
    <xf numFmtId="165" fontId="51" fillId="6" borderId="10" xfId="0" applyFont="1" applyFill="1" applyBorder="1" applyAlignment="1">
      <alignment vertical="top" wrapText="1"/>
    </xf>
    <xf numFmtId="165" fontId="107" fillId="0" borderId="10" xfId="0" applyFont="1" applyFill="1" applyBorder="1" applyAlignment="1">
      <alignment vertical="top" wrapText="1"/>
    </xf>
    <xf numFmtId="172" fontId="50" fillId="6" borderId="10" xfId="0" applyNumberFormat="1" applyFont="1" applyFill="1" applyBorder="1" applyAlignment="1">
      <alignment vertical="top"/>
    </xf>
    <xf numFmtId="168" fontId="50" fillId="6" borderId="10" xfId="0" applyNumberFormat="1" applyFont="1" applyFill="1" applyBorder="1" applyAlignment="1">
      <alignment vertical="top"/>
    </xf>
    <xf numFmtId="165" fontId="107" fillId="6" borderId="10" xfId="0" applyFont="1" applyFill="1" applyBorder="1" applyAlignment="1">
      <alignment vertical="top" wrapText="1"/>
    </xf>
    <xf numFmtId="2" fontId="68" fillId="6" borderId="10" xfId="16" applyNumberFormat="1" applyFont="1" applyFill="1" applyBorder="1" applyAlignment="1">
      <alignment vertical="top" wrapText="1"/>
    </xf>
    <xf numFmtId="2" fontId="55" fillId="6" borderId="10" xfId="16" applyNumberFormat="1" applyFont="1" applyFill="1" applyBorder="1" applyAlignment="1">
      <alignment vertical="top" wrapText="1"/>
    </xf>
    <xf numFmtId="2" fontId="50" fillId="6" borderId="10" xfId="16" applyNumberFormat="1" applyFont="1" applyFill="1" applyBorder="1" applyAlignment="1">
      <alignment vertical="top" wrapText="1"/>
    </xf>
    <xf numFmtId="2" fontId="51" fillId="6" borderId="10" xfId="16" applyNumberFormat="1" applyFont="1" applyFill="1" applyBorder="1" applyAlignment="1">
      <alignment horizontal="center" vertical="top" wrapText="1"/>
    </xf>
    <xf numFmtId="165" fontId="50" fillId="13" borderId="10" xfId="0" applyFont="1" applyFill="1" applyBorder="1" applyAlignment="1">
      <alignment vertical="top"/>
    </xf>
    <xf numFmtId="2" fontId="50" fillId="13" borderId="10" xfId="15" applyNumberFormat="1" applyFont="1" applyFill="1" applyBorder="1" applyAlignment="1">
      <alignment vertical="top" wrapText="1"/>
    </xf>
    <xf numFmtId="165" fontId="51" fillId="13" borderId="10" xfId="0" applyFont="1" applyFill="1" applyBorder="1" applyAlignment="1">
      <alignment vertical="top" wrapText="1"/>
    </xf>
    <xf numFmtId="2" fontId="51" fillId="13" borderId="10" xfId="15" applyNumberFormat="1" applyFont="1" applyFill="1" applyBorder="1" applyAlignment="1">
      <alignment horizontal="center" vertical="top" wrapText="1"/>
    </xf>
    <xf numFmtId="165" fontId="107" fillId="13" borderId="10" xfId="0" applyFont="1" applyFill="1" applyBorder="1" applyAlignment="1">
      <alignment vertical="top" wrapText="1"/>
    </xf>
    <xf numFmtId="165" fontId="51" fillId="6" borderId="10" xfId="0" applyFont="1" applyFill="1" applyBorder="1" applyAlignment="1">
      <alignment horizontal="right" wrapText="1"/>
    </xf>
    <xf numFmtId="165" fontId="51" fillId="6" borderId="10" xfId="0" applyFont="1" applyFill="1" applyBorder="1" applyAlignment="1">
      <alignment horizontal="center" wrapText="1"/>
    </xf>
    <xf numFmtId="1" fontId="50" fillId="6" borderId="10" xfId="15" applyNumberFormat="1" applyFont="1" applyFill="1" applyBorder="1" applyAlignment="1">
      <alignment vertical="top" wrapText="1"/>
    </xf>
    <xf numFmtId="2" fontId="62" fillId="6" borderId="10" xfId="15" applyNumberFormat="1" applyFont="1" applyFill="1" applyBorder="1" applyAlignment="1">
      <alignment vertical="top" wrapText="1"/>
    </xf>
    <xf numFmtId="165" fontId="107" fillId="0" borderId="15" xfId="0" applyFont="1" applyFill="1" applyBorder="1" applyAlignment="1">
      <alignment vertical="top" wrapText="1"/>
    </xf>
    <xf numFmtId="165" fontId="50" fillId="6" borderId="1" xfId="0" applyFont="1" applyFill="1" applyBorder="1" applyAlignment="1">
      <alignment horizontal="center" vertical="top"/>
    </xf>
    <xf numFmtId="172" fontId="62" fillId="0" borderId="1" xfId="17" applyNumberFormat="1" applyFont="1" applyBorder="1" applyAlignment="1">
      <alignment horizontal="left" vertical="center" wrapText="1"/>
    </xf>
    <xf numFmtId="165" fontId="50" fillId="6" borderId="0" xfId="0" applyFont="1" applyFill="1" applyAlignment="1">
      <alignment horizontal="center" vertical="top"/>
    </xf>
    <xf numFmtId="165" fontId="81" fillId="6" borderId="0" xfId="0" applyFont="1" applyFill="1" applyAlignment="1">
      <alignment horizontal="center" vertical="top"/>
    </xf>
    <xf numFmtId="165" fontId="115" fillId="6" borderId="0" xfId="0" applyFont="1" applyFill="1" applyAlignment="1">
      <alignment vertical="top"/>
    </xf>
    <xf numFmtId="165" fontId="115" fillId="0" borderId="0" xfId="0" applyFont="1" applyFill="1" applyAlignment="1">
      <alignment vertical="top"/>
    </xf>
    <xf numFmtId="165" fontId="116" fillId="6" borderId="0" xfId="0" applyFont="1" applyFill="1" applyAlignment="1">
      <alignment vertical="top"/>
    </xf>
    <xf numFmtId="165" fontId="116" fillId="6" borderId="18" xfId="0" applyFont="1" applyFill="1" applyBorder="1" applyAlignment="1">
      <alignment vertical="top"/>
    </xf>
    <xf numFmtId="165" fontId="116" fillId="6" borderId="0" xfId="0" applyFont="1" applyFill="1" applyBorder="1" applyAlignment="1">
      <alignment vertical="top"/>
    </xf>
    <xf numFmtId="165" fontId="116" fillId="13" borderId="0" xfId="0" applyFont="1" applyFill="1" applyAlignment="1">
      <alignment vertical="top"/>
    </xf>
    <xf numFmtId="165" fontId="115" fillId="13" borderId="0" xfId="0" applyFont="1" applyFill="1" applyAlignment="1">
      <alignment vertical="top"/>
    </xf>
    <xf numFmtId="165" fontId="117" fillId="6" borderId="0" xfId="0" applyFont="1" applyFill="1" applyAlignment="1">
      <alignment vertical="top"/>
    </xf>
    <xf numFmtId="165" fontId="109" fillId="6" borderId="0" xfId="0" applyFont="1" applyFill="1" applyAlignment="1">
      <alignment vertical="top"/>
    </xf>
    <xf numFmtId="165" fontId="107" fillId="6" borderId="15" xfId="0" applyFont="1" applyFill="1" applyBorder="1" applyAlignment="1">
      <alignment vertical="top" wrapText="1"/>
    </xf>
    <xf numFmtId="173" fontId="91" fillId="0" borderId="16" xfId="0" applyNumberFormat="1" applyFont="1" applyFill="1" applyBorder="1" applyAlignment="1">
      <alignment horizontal="center" vertical="center"/>
    </xf>
    <xf numFmtId="17" fontId="49" fillId="0" borderId="0" xfId="18" quotePrefix="1" applyNumberFormat="1" applyFont="1"/>
    <xf numFmtId="0" fontId="49" fillId="0" borderId="0" xfId="18" applyFont="1" applyAlignment="1">
      <alignment wrapText="1"/>
    </xf>
    <xf numFmtId="2" fontId="87" fillId="0" borderId="0" xfId="0" applyNumberFormat="1" applyFont="1" applyFill="1" applyBorder="1" applyAlignment="1">
      <alignment horizontal="right" vertical="top" wrapText="1"/>
    </xf>
    <xf numFmtId="2" fontId="118" fillId="0" borderId="0" xfId="0" applyNumberFormat="1" applyFont="1" applyFill="1" applyBorder="1" applyAlignment="1">
      <alignment horizontal="right" vertical="top" wrapText="1"/>
    </xf>
    <xf numFmtId="165" fontId="98" fillId="0" borderId="0" xfId="0" applyFont="1" applyBorder="1" applyAlignment="1">
      <alignment vertical="top" wrapText="1"/>
    </xf>
    <xf numFmtId="165" fontId="98" fillId="0" borderId="0" xfId="0" applyFont="1" applyBorder="1" applyAlignment="1">
      <alignment horizontal="right" vertical="top"/>
    </xf>
    <xf numFmtId="165" fontId="89" fillId="0" borderId="0" xfId="0" applyFont="1" applyBorder="1" applyAlignment="1">
      <alignment horizontal="right" vertical="top"/>
    </xf>
    <xf numFmtId="165" fontId="89" fillId="0" borderId="0" xfId="0" applyFont="1" applyBorder="1" applyAlignment="1">
      <alignment horizontal="right" vertical="center"/>
    </xf>
    <xf numFmtId="165" fontId="119" fillId="0" borderId="0" xfId="0" applyFont="1" applyBorder="1" applyAlignment="1">
      <alignment horizontal="left" vertical="top"/>
    </xf>
    <xf numFmtId="165" fontId="0" fillId="0" borderId="0" xfId="0" applyFont="1" applyFill="1" applyBorder="1" applyAlignment="1">
      <alignment horizontal="left" vertical="top" wrapText="1"/>
    </xf>
    <xf numFmtId="165" fontId="86" fillId="0" borderId="0" xfId="0" applyFont="1" applyFill="1" applyBorder="1" applyAlignment="1">
      <alignment horizontal="left" vertical="top"/>
    </xf>
    <xf numFmtId="165" fontId="0" fillId="0" borderId="0" xfId="0" applyFont="1" applyFill="1" applyBorder="1" applyAlignment="1">
      <alignment horizontal="left" vertical="top"/>
    </xf>
    <xf numFmtId="165" fontId="0" fillId="0" borderId="0" xfId="0" applyFont="1" applyFill="1" applyBorder="1"/>
    <xf numFmtId="165" fontId="121" fillId="0" borderId="0" xfId="0" applyNumberFormat="1" applyFont="1" applyAlignment="1" applyProtection="1">
      <alignment horizontal="left"/>
    </xf>
    <xf numFmtId="165" fontId="121" fillId="0" borderId="0" xfId="0" applyNumberFormat="1" applyFont="1" applyAlignment="1" applyProtection="1">
      <alignment horizontal="center"/>
    </xf>
    <xf numFmtId="165" fontId="121" fillId="0" borderId="0" xfId="0" applyFont="1"/>
    <xf numFmtId="165" fontId="121" fillId="0" borderId="0" xfId="0" applyFont="1" applyAlignment="1"/>
    <xf numFmtId="165" fontId="122" fillId="0" borderId="0" xfId="0" applyNumberFormat="1" applyFont="1" applyAlignment="1" applyProtection="1">
      <alignment horizontal="left"/>
    </xf>
    <xf numFmtId="165" fontId="121" fillId="0" borderId="0" xfId="0" applyFont="1" applyAlignment="1">
      <alignment horizontal="left"/>
    </xf>
    <xf numFmtId="167" fontId="121" fillId="0" borderId="0" xfId="0" applyNumberFormat="1" applyFont="1"/>
    <xf numFmtId="165" fontId="121" fillId="0" borderId="0" xfId="0" applyFont="1" applyAlignment="1">
      <alignment horizontal="center"/>
    </xf>
    <xf numFmtId="165" fontId="121" fillId="0" borderId="0" xfId="0" applyNumberFormat="1" applyFont="1" applyAlignment="1" applyProtection="1">
      <alignment horizontal="fill"/>
    </xf>
    <xf numFmtId="165" fontId="124" fillId="0" borderId="0" xfId="0" applyNumberFormat="1" applyFont="1" applyAlignment="1" applyProtection="1">
      <alignment horizontal="left"/>
    </xf>
    <xf numFmtId="165" fontId="122" fillId="0" borderId="0" xfId="0" applyNumberFormat="1" applyFont="1" applyAlignment="1" applyProtection="1">
      <alignment horizontal="right"/>
    </xf>
    <xf numFmtId="165" fontId="121" fillId="0" borderId="0" xfId="0" applyNumberFormat="1" applyFont="1" applyAlignment="1" applyProtection="1"/>
    <xf numFmtId="165" fontId="122" fillId="0" borderId="0" xfId="0" applyNumberFormat="1" applyFont="1" applyProtection="1"/>
    <xf numFmtId="165" fontId="121" fillId="0" borderId="0" xfId="0" applyNumberFormat="1" applyFont="1" applyProtection="1"/>
    <xf numFmtId="165" fontId="122" fillId="0" borderId="0" xfId="0" applyNumberFormat="1" applyFont="1" applyAlignment="1" applyProtection="1">
      <alignment horizontal="center"/>
    </xf>
    <xf numFmtId="165" fontId="125" fillId="0" borderId="0" xfId="0" applyNumberFormat="1" applyFont="1" applyAlignment="1" applyProtection="1">
      <alignment horizontal="left"/>
    </xf>
    <xf numFmtId="165" fontId="122" fillId="0" borderId="0" xfId="0" quotePrefix="1" applyNumberFormat="1" applyFont="1" applyAlignment="1" applyProtection="1">
      <alignment horizontal="right"/>
    </xf>
    <xf numFmtId="165" fontId="125" fillId="0" borderId="0" xfId="0" applyNumberFormat="1" applyFont="1" applyAlignment="1" applyProtection="1">
      <alignment horizontal="fill"/>
    </xf>
    <xf numFmtId="165" fontId="122" fillId="0" borderId="0" xfId="0" quotePrefix="1" applyNumberFormat="1" applyFont="1" applyAlignment="1" applyProtection="1">
      <alignment horizontal="center"/>
    </xf>
    <xf numFmtId="165" fontId="122" fillId="0" borderId="0" xfId="0" quotePrefix="1" applyFont="1" applyAlignment="1">
      <alignment horizontal="center"/>
    </xf>
    <xf numFmtId="165" fontId="126" fillId="0" borderId="0" xfId="0" applyNumberFormat="1" applyFont="1" applyAlignment="1" applyProtection="1">
      <alignment horizontal="left"/>
    </xf>
    <xf numFmtId="165" fontId="127" fillId="0" borderId="0" xfId="0" applyNumberFormat="1" applyFont="1" applyProtection="1"/>
    <xf numFmtId="165" fontId="121" fillId="0" borderId="0" xfId="0" applyNumberFormat="1" applyFont="1" applyAlignment="1" applyProtection="1">
      <alignment horizontal="right" indent="2"/>
    </xf>
    <xf numFmtId="166" fontId="128" fillId="0" borderId="0" xfId="0" applyNumberFormat="1" applyFont="1" applyProtection="1"/>
    <xf numFmtId="165" fontId="128" fillId="0" borderId="0" xfId="0" applyNumberFormat="1" applyFont="1" applyProtection="1"/>
    <xf numFmtId="165" fontId="128" fillId="0" borderId="0" xfId="0" applyNumberFormat="1" applyFont="1" applyAlignment="1" applyProtection="1">
      <alignment horizontal="left"/>
    </xf>
    <xf numFmtId="165" fontId="129" fillId="0" borderId="0" xfId="0" applyNumberFormat="1" applyFont="1" applyProtection="1"/>
    <xf numFmtId="165" fontId="130" fillId="0" borderId="0" xfId="0" applyNumberFormat="1" applyFont="1" applyProtection="1"/>
    <xf numFmtId="165" fontId="126" fillId="0" borderId="0" xfId="0" applyNumberFormat="1" applyFont="1" applyProtection="1"/>
    <xf numFmtId="165" fontId="121" fillId="0" borderId="0" xfId="0" applyNumberFormat="1" applyFont="1" applyFill="1" applyAlignment="1" applyProtection="1">
      <alignment horizontal="right" indent="2"/>
    </xf>
    <xf numFmtId="165" fontId="126" fillId="0" borderId="0" xfId="0" applyFont="1" applyAlignment="1" applyProtection="1">
      <alignment horizontal="left"/>
    </xf>
    <xf numFmtId="165" fontId="121" fillId="0" borderId="0" xfId="0" applyFont="1" applyAlignment="1">
      <alignment horizontal="right" indent="2"/>
    </xf>
    <xf numFmtId="165" fontId="131" fillId="0" borderId="0" xfId="0" applyNumberFormat="1" applyFont="1" applyAlignment="1" applyProtection="1">
      <alignment horizontal="left"/>
    </xf>
    <xf numFmtId="165" fontId="132" fillId="0" borderId="0" xfId="0" applyNumberFormat="1" applyFont="1" applyProtection="1"/>
    <xf numFmtId="165" fontId="121" fillId="7" borderId="0" xfId="0" applyNumberFormat="1" applyFont="1" applyFill="1" applyProtection="1"/>
    <xf numFmtId="165" fontId="133" fillId="0" borderId="0" xfId="0" applyNumberFormat="1" applyFont="1" applyProtection="1"/>
    <xf numFmtId="166" fontId="121" fillId="0" borderId="0" xfId="0" applyNumberFormat="1" applyFont="1" applyAlignment="1" applyProtection="1">
      <alignment horizontal="center"/>
    </xf>
    <xf numFmtId="165" fontId="128" fillId="0" borderId="0" xfId="0" applyFont="1"/>
    <xf numFmtId="165" fontId="130" fillId="0" borderId="0" xfId="0" applyFont="1"/>
    <xf numFmtId="165" fontId="127" fillId="0" borderId="0" xfId="0" applyNumberFormat="1" applyFont="1" applyAlignment="1" applyProtection="1">
      <alignment horizontal="right"/>
    </xf>
    <xf numFmtId="165" fontId="134" fillId="0" borderId="0" xfId="0" applyNumberFormat="1" applyFont="1" applyProtection="1"/>
    <xf numFmtId="165" fontId="126" fillId="0" borderId="0" xfId="0" applyNumberFormat="1" applyFont="1" applyAlignment="1" applyProtection="1">
      <alignment horizontal="left" vertical="top" wrapText="1"/>
    </xf>
    <xf numFmtId="165" fontId="130" fillId="0" borderId="0" xfId="0" applyNumberFormat="1" applyFont="1" applyAlignment="1" applyProtection="1">
      <alignment horizontal="left"/>
    </xf>
    <xf numFmtId="167" fontId="121" fillId="0" borderId="0" xfId="0" applyNumberFormat="1" applyFont="1" applyProtection="1"/>
    <xf numFmtId="165" fontId="126" fillId="0" borderId="0" xfId="0" applyNumberFormat="1" applyFont="1" applyAlignment="1" applyProtection="1">
      <alignment horizontal="left" vertical="top"/>
    </xf>
    <xf numFmtId="165" fontId="126" fillId="0" borderId="0" xfId="0" applyNumberFormat="1" applyFont="1" applyAlignment="1" applyProtection="1">
      <alignment horizontal="fill"/>
    </xf>
    <xf numFmtId="165" fontId="121" fillId="7" borderId="0" xfId="0" applyNumberFormat="1" applyFont="1" applyFill="1" applyAlignment="1" applyProtection="1">
      <alignment horizontal="left"/>
    </xf>
    <xf numFmtId="165" fontId="127" fillId="0" borderId="0" xfId="0" applyFont="1"/>
    <xf numFmtId="165" fontId="135" fillId="0" borderId="0" xfId="0" applyNumberFormat="1" applyFont="1" applyProtection="1"/>
    <xf numFmtId="165" fontId="134" fillId="0" borderId="0" xfId="0" applyNumberFormat="1" applyFont="1" applyAlignment="1" applyProtection="1">
      <alignment horizontal="left"/>
    </xf>
    <xf numFmtId="165" fontId="121" fillId="0" borderId="0" xfId="0" quotePrefix="1" applyFont="1"/>
    <xf numFmtId="166" fontId="128" fillId="7" borderId="0" xfId="0" applyNumberFormat="1" applyFont="1" applyFill="1" applyProtection="1"/>
    <xf numFmtId="165" fontId="127" fillId="7" borderId="0" xfId="0" applyNumberFormat="1" applyFont="1" applyFill="1" applyProtection="1"/>
    <xf numFmtId="165" fontId="121" fillId="7" borderId="0" xfId="0" applyFont="1" applyFill="1"/>
    <xf numFmtId="165" fontId="121" fillId="7" borderId="0" xfId="0" applyNumberFormat="1" applyFont="1" applyFill="1" applyAlignment="1" applyProtection="1"/>
    <xf numFmtId="167" fontId="121" fillId="7" borderId="0" xfId="0" applyNumberFormat="1" applyFont="1" applyFill="1"/>
    <xf numFmtId="168" fontId="121" fillId="0" borderId="0" xfId="0" applyNumberFormat="1" applyFont="1" applyAlignment="1" applyProtection="1">
      <alignment horizontal="center"/>
    </xf>
    <xf numFmtId="167" fontId="121" fillId="0" borderId="0" xfId="0" applyNumberFormat="1" applyFont="1" applyAlignment="1" applyProtection="1">
      <alignment horizontal="center"/>
    </xf>
    <xf numFmtId="168" fontId="121" fillId="0" borderId="0" xfId="0" applyNumberFormat="1" applyFont="1" applyAlignment="1" applyProtection="1">
      <alignment horizontal="left"/>
    </xf>
    <xf numFmtId="167" fontId="121" fillId="0" borderId="0" xfId="0" applyNumberFormat="1" applyFont="1" applyAlignment="1" applyProtection="1">
      <alignment horizontal="left"/>
    </xf>
    <xf numFmtId="165" fontId="135" fillId="0" borderId="0" xfId="0" applyFont="1"/>
    <xf numFmtId="165" fontId="122" fillId="0" borderId="0" xfId="0" applyFont="1"/>
    <xf numFmtId="165" fontId="122" fillId="0" borderId="0" xfId="0" applyFont="1" applyAlignment="1">
      <alignment horizontal="left"/>
    </xf>
    <xf numFmtId="165" fontId="122" fillId="0" borderId="0" xfId="0" applyNumberFormat="1" applyFont="1" applyAlignment="1" applyProtection="1">
      <alignment horizontal="left" wrapText="1"/>
    </xf>
    <xf numFmtId="165" fontId="122" fillId="0" borderId="0" xfId="0" applyNumberFormat="1" applyFont="1" applyAlignment="1" applyProtection="1">
      <alignment horizontal="fill"/>
    </xf>
    <xf numFmtId="165" fontId="121" fillId="0" borderId="0" xfId="0" applyNumberFormat="1" applyFont="1" applyAlignment="1" applyProtection="1">
      <alignment horizontal="left" wrapText="1"/>
    </xf>
    <xf numFmtId="168" fontId="121" fillId="0" borderId="0" xfId="0" applyNumberFormat="1" applyFont="1" applyAlignment="1">
      <alignment horizontal="center" vertical="top"/>
    </xf>
    <xf numFmtId="167" fontId="121" fillId="0" borderId="0" xfId="0" applyNumberFormat="1" applyFont="1" applyAlignment="1">
      <alignment horizontal="center" vertical="top"/>
    </xf>
    <xf numFmtId="168" fontId="121" fillId="0" borderId="0" xfId="0" applyNumberFormat="1" applyFont="1" applyAlignment="1">
      <alignment horizontal="center"/>
    </xf>
    <xf numFmtId="165" fontId="121" fillId="0" borderId="0" xfId="0" applyNumberFormat="1" applyFont="1" applyAlignment="1" applyProtection="1">
      <alignment horizontal="left" vertical="top" wrapText="1"/>
    </xf>
    <xf numFmtId="167" fontId="121" fillId="0" borderId="0" xfId="0" applyNumberFormat="1" applyFont="1" applyAlignment="1">
      <alignment horizontal="center"/>
    </xf>
    <xf numFmtId="165" fontId="136" fillId="0" borderId="0" xfId="0" applyNumberFormat="1" applyFont="1" applyProtection="1"/>
    <xf numFmtId="165" fontId="121" fillId="9" borderId="0" xfId="0" applyNumberFormat="1" applyFont="1" applyFill="1" applyAlignment="1" applyProtection="1">
      <alignment horizontal="left"/>
    </xf>
    <xf numFmtId="165" fontId="137" fillId="6" borderId="0" xfId="0" applyNumberFormat="1" applyFont="1" applyFill="1" applyProtection="1"/>
    <xf numFmtId="165" fontId="127" fillId="6" borderId="0" xfId="0" applyNumberFormat="1" applyFont="1" applyFill="1" applyProtection="1"/>
    <xf numFmtId="168" fontId="128" fillId="0" borderId="0" xfId="0" applyNumberFormat="1" applyFont="1"/>
    <xf numFmtId="165" fontId="138" fillId="0" borderId="0" xfId="0" applyFont="1"/>
    <xf numFmtId="165" fontId="137" fillId="8" borderId="0" xfId="0" applyNumberFormat="1" applyFont="1" applyFill="1" applyProtection="1"/>
    <xf numFmtId="169" fontId="121" fillId="0" borderId="0" xfId="0" applyNumberFormat="1" applyFont="1" applyProtection="1"/>
    <xf numFmtId="170" fontId="121" fillId="0" borderId="0" xfId="0" applyNumberFormat="1" applyFont="1" applyProtection="1"/>
    <xf numFmtId="165" fontId="121" fillId="0" borderId="0" xfId="0" applyNumberFormat="1" applyFont="1" applyFill="1" applyAlignment="1" applyProtection="1">
      <alignment horizontal="left"/>
    </xf>
    <xf numFmtId="165" fontId="134" fillId="7" borderId="0" xfId="0" applyNumberFormat="1" applyFont="1" applyFill="1" applyAlignment="1" applyProtection="1">
      <alignment horizontal="left"/>
    </xf>
    <xf numFmtId="165" fontId="139" fillId="0" borderId="0" xfId="0" applyNumberFormat="1" applyFont="1" applyProtection="1"/>
    <xf numFmtId="165" fontId="134" fillId="0" borderId="0" xfId="0" applyFont="1"/>
    <xf numFmtId="165" fontId="140" fillId="0" borderId="0" xfId="0" applyNumberFormat="1" applyFont="1" applyAlignment="1" applyProtection="1">
      <alignment horizontal="left"/>
    </xf>
    <xf numFmtId="165" fontId="140" fillId="0" borderId="0" xfId="0" applyFont="1"/>
    <xf numFmtId="165" fontId="134" fillId="6" borderId="0" xfId="0" applyNumberFormat="1" applyFont="1" applyFill="1" applyProtection="1"/>
    <xf numFmtId="165" fontId="121" fillId="6" borderId="0" xfId="0" applyNumberFormat="1" applyFont="1" applyFill="1" applyAlignment="1" applyProtection="1">
      <alignment horizontal="left"/>
    </xf>
    <xf numFmtId="165" fontId="121" fillId="0" borderId="0" xfId="0" applyFont="1" applyAlignment="1">
      <alignment horizontal="right"/>
    </xf>
    <xf numFmtId="165" fontId="134" fillId="6" borderId="0" xfId="0" applyFont="1" applyFill="1"/>
    <xf numFmtId="165" fontId="121" fillId="6" borderId="0" xfId="0" applyFont="1" applyFill="1"/>
    <xf numFmtId="165" fontId="129" fillId="8" borderId="0" xfId="0" applyNumberFormat="1" applyFont="1" applyFill="1" applyAlignment="1" applyProtection="1">
      <alignment horizontal="left"/>
    </xf>
    <xf numFmtId="165" fontId="141" fillId="7" borderId="0" xfId="0" applyNumberFormat="1" applyFont="1" applyFill="1" applyAlignment="1" applyProtection="1">
      <alignment horizontal="left"/>
    </xf>
    <xf numFmtId="165" fontId="141" fillId="0" borderId="0" xfId="0" applyNumberFormat="1" applyFont="1" applyProtection="1"/>
    <xf numFmtId="165" fontId="141" fillId="0" borderId="0" xfId="0" applyNumberFormat="1" applyFont="1" applyAlignment="1" applyProtection="1">
      <alignment horizontal="left"/>
    </xf>
    <xf numFmtId="165" fontId="142" fillId="0" borderId="0" xfId="0" applyNumberFormat="1" applyFont="1" applyAlignment="1" applyProtection="1">
      <alignment horizontal="left"/>
    </xf>
    <xf numFmtId="165" fontId="143" fillId="0" borderId="0" xfId="0" applyFont="1"/>
    <xf numFmtId="165" fontId="135" fillId="7" borderId="0" xfId="0" applyNumberFormat="1" applyFont="1" applyFill="1" applyProtection="1"/>
    <xf numFmtId="165" fontId="144" fillId="0" borderId="0" xfId="0" applyFont="1"/>
    <xf numFmtId="170" fontId="121" fillId="0" borderId="0" xfId="0" applyNumberFormat="1" applyFont="1"/>
    <xf numFmtId="165" fontId="134" fillId="7" borderId="0" xfId="0" applyNumberFormat="1" applyFont="1" applyFill="1" applyProtection="1"/>
    <xf numFmtId="166" fontId="121" fillId="0" borderId="0" xfId="0" applyNumberFormat="1" applyFont="1" applyAlignment="1" applyProtection="1">
      <alignment vertical="center" wrapText="1"/>
    </xf>
    <xf numFmtId="165" fontId="145" fillId="0" borderId="0" xfId="0" applyNumberFormat="1" applyFont="1" applyProtection="1"/>
    <xf numFmtId="165" fontId="134" fillId="8" borderId="0" xfId="0" applyNumberFormat="1" applyFont="1" applyFill="1" applyProtection="1"/>
    <xf numFmtId="165" fontId="128" fillId="8" borderId="0" xfId="0" applyNumberFormat="1" applyFont="1" applyFill="1" applyAlignment="1" applyProtection="1">
      <alignment horizontal="left"/>
    </xf>
    <xf numFmtId="165" fontId="121" fillId="8" borderId="0" xfId="0" applyFont="1" applyFill="1"/>
    <xf numFmtId="165" fontId="134" fillId="8" borderId="0" xfId="0" applyFont="1" applyFill="1"/>
    <xf numFmtId="165" fontId="147" fillId="0" borderId="0" xfId="0" applyFont="1"/>
    <xf numFmtId="165" fontId="121" fillId="0" borderId="0" xfId="0" applyNumberFormat="1" applyFont="1" applyAlignment="1" applyProtection="1">
      <alignment horizontal="right"/>
    </xf>
    <xf numFmtId="165" fontId="127" fillId="0" borderId="0" xfId="0" applyNumberFormat="1" applyFont="1" applyAlignment="1" applyProtection="1">
      <alignment horizontal="left"/>
    </xf>
    <xf numFmtId="166" fontId="141" fillId="0" borderId="0" xfId="0" applyNumberFormat="1" applyFont="1" applyAlignment="1" applyProtection="1">
      <alignment horizontal="left" wrapText="1"/>
    </xf>
    <xf numFmtId="165" fontId="141" fillId="0" borderId="0" xfId="0" applyFont="1"/>
    <xf numFmtId="166" fontId="141" fillId="0" borderId="0" xfId="0" applyNumberFormat="1" applyFont="1" applyAlignment="1" applyProtection="1">
      <alignment horizontal="left"/>
    </xf>
    <xf numFmtId="167" fontId="121" fillId="0" borderId="0" xfId="0" applyNumberFormat="1" applyFont="1" applyAlignment="1">
      <alignment horizontal="right"/>
    </xf>
    <xf numFmtId="165" fontId="122" fillId="0" borderId="0" xfId="0" applyFont="1" applyAlignment="1">
      <alignment wrapText="1"/>
    </xf>
    <xf numFmtId="165" fontId="121" fillId="0" borderId="0" xfId="0" applyFont="1" applyAlignment="1">
      <alignment vertical="top" wrapText="1"/>
    </xf>
    <xf numFmtId="165" fontId="128" fillId="0" borderId="0" xfId="0" applyNumberFormat="1" applyFont="1" applyAlignment="1" applyProtection="1">
      <alignment horizontal="center"/>
    </xf>
    <xf numFmtId="165" fontId="141" fillId="8" borderId="0" xfId="0" applyNumberFormat="1" applyFont="1" applyFill="1" applyProtection="1"/>
    <xf numFmtId="165" fontId="134" fillId="0" borderId="0" xfId="0" applyNumberFormat="1" applyFont="1" applyAlignment="1" applyProtection="1">
      <alignment horizontal="fill"/>
    </xf>
    <xf numFmtId="165" fontId="139" fillId="8" borderId="0" xfId="0" applyNumberFormat="1" applyFont="1" applyFill="1" applyProtection="1"/>
    <xf numFmtId="165" fontId="134" fillId="0" borderId="0" xfId="0" applyNumberFormat="1" applyFont="1" applyAlignment="1" applyProtection="1">
      <alignment horizontal="right"/>
    </xf>
    <xf numFmtId="166" fontId="121" fillId="0" borderId="0" xfId="0" applyNumberFormat="1" applyFont="1" applyProtection="1"/>
    <xf numFmtId="170" fontId="121" fillId="0" borderId="0" xfId="0" quotePrefix="1" applyNumberFormat="1" applyFont="1" applyProtection="1"/>
    <xf numFmtId="165" fontId="121" fillId="0" borderId="0" xfId="0" quotePrefix="1" applyNumberFormat="1" applyFont="1" applyProtection="1"/>
    <xf numFmtId="165" fontId="122" fillId="0" borderId="0" xfId="0" applyNumberFormat="1" applyFont="1" applyAlignment="1" applyProtection="1"/>
    <xf numFmtId="165" fontId="148" fillId="8" borderId="0" xfId="0" applyNumberFormat="1" applyFont="1" applyFill="1" applyProtection="1"/>
    <xf numFmtId="168" fontId="121" fillId="0" borderId="0" xfId="0" applyNumberFormat="1" applyFont="1" applyAlignment="1" applyProtection="1">
      <alignment horizontal="center" vertical="top" wrapText="1"/>
    </xf>
    <xf numFmtId="165" fontId="121" fillId="0" borderId="0" xfId="0" applyNumberFormat="1" applyFont="1" applyAlignment="1" applyProtection="1">
      <alignment horizontal="justify" vertical="top" wrapText="1"/>
    </xf>
    <xf numFmtId="169" fontId="121" fillId="0" borderId="0" xfId="0" applyNumberFormat="1" applyFont="1" applyAlignment="1" applyProtection="1">
      <alignment horizontal="left"/>
    </xf>
    <xf numFmtId="171" fontId="149" fillId="2" borderId="0" xfId="0" applyNumberFormat="1" applyFont="1" applyFill="1" applyProtection="1"/>
    <xf numFmtId="165" fontId="149" fillId="2" borderId="0" xfId="0" applyNumberFormat="1" applyFont="1" applyFill="1" applyAlignment="1" applyProtection="1"/>
    <xf numFmtId="165" fontId="149" fillId="2" borderId="0" xfId="0" applyNumberFormat="1" applyFont="1" applyFill="1" applyAlignment="1" applyProtection="1">
      <alignment horizontal="left"/>
    </xf>
    <xf numFmtId="165" fontId="149" fillId="2" borderId="0" xfId="0" applyNumberFormat="1" applyFont="1" applyFill="1" applyProtection="1"/>
    <xf numFmtId="171" fontId="121" fillId="0" borderId="0" xfId="0" applyNumberFormat="1" applyFont="1" applyProtection="1"/>
    <xf numFmtId="169" fontId="121" fillId="0" borderId="0" xfId="0" applyNumberFormat="1" applyFont="1" applyAlignment="1" applyProtection="1">
      <alignment horizontal="fill"/>
    </xf>
    <xf numFmtId="165" fontId="150" fillId="7" borderId="0" xfId="0" applyFont="1" applyFill="1"/>
    <xf numFmtId="165" fontId="151" fillId="7" borderId="0" xfId="0" applyFont="1" applyFill="1"/>
    <xf numFmtId="165" fontId="151" fillId="7" borderId="0" xfId="0" applyFont="1" applyFill="1" applyAlignment="1">
      <alignment horizontal="left"/>
    </xf>
    <xf numFmtId="165" fontId="149" fillId="2" borderId="0" xfId="0" applyFont="1" applyFill="1"/>
    <xf numFmtId="167" fontId="149" fillId="2" borderId="0" xfId="0" applyNumberFormat="1" applyFont="1" applyFill="1" applyProtection="1"/>
    <xf numFmtId="167" fontId="121" fillId="0" borderId="0" xfId="0" applyNumberFormat="1" applyFont="1" applyAlignment="1" applyProtection="1">
      <alignment horizontal="fill"/>
    </xf>
    <xf numFmtId="169" fontId="121" fillId="0" borderId="0" xfId="0" applyNumberFormat="1" applyFont="1"/>
    <xf numFmtId="165" fontId="122" fillId="0" borderId="0" xfId="0" applyFont="1" applyAlignment="1"/>
    <xf numFmtId="165" fontId="152" fillId="8" borderId="0" xfId="0" applyNumberFormat="1" applyFont="1" applyFill="1" applyProtection="1"/>
    <xf numFmtId="165" fontId="153" fillId="0" borderId="0" xfId="0" applyFont="1"/>
    <xf numFmtId="165" fontId="134" fillId="9" borderId="0" xfId="0" applyNumberFormat="1" applyFont="1" applyFill="1" applyAlignment="1" applyProtection="1">
      <alignment horizontal="left"/>
    </xf>
    <xf numFmtId="2" fontId="154" fillId="0" borderId="1" xfId="16" applyNumberFormat="1" applyFont="1" applyBorder="1" applyAlignment="1">
      <alignment vertical="top" wrapText="1"/>
    </xf>
    <xf numFmtId="165" fontId="155" fillId="8" borderId="0" xfId="0" applyNumberFormat="1" applyFont="1" applyFill="1" applyProtection="1"/>
    <xf numFmtId="165" fontId="156" fillId="0" borderId="0" xfId="0" applyNumberFormat="1" applyFont="1" applyProtection="1"/>
    <xf numFmtId="165" fontId="153" fillId="0" borderId="0" xfId="0" applyNumberFormat="1" applyFont="1" applyProtection="1"/>
    <xf numFmtId="165" fontId="157" fillId="0" borderId="0" xfId="0" applyFont="1"/>
    <xf numFmtId="167" fontId="122" fillId="0" borderId="0" xfId="0" applyNumberFormat="1" applyFont="1" applyAlignment="1">
      <alignment horizontal="right"/>
    </xf>
    <xf numFmtId="165" fontId="130" fillId="0" borderId="0" xfId="0" applyNumberFormat="1" applyFont="1" applyAlignment="1" applyProtection="1">
      <alignment horizontal="right"/>
    </xf>
    <xf numFmtId="165" fontId="149" fillId="4" borderId="0" xfId="0" applyFont="1" applyFill="1"/>
    <xf numFmtId="165" fontId="149" fillId="4" borderId="0" xfId="0" applyFont="1" applyFill="1" applyAlignment="1"/>
    <xf numFmtId="165" fontId="158" fillId="0" borderId="0" xfId="0" applyFont="1"/>
    <xf numFmtId="165" fontId="158" fillId="0" borderId="0" xfId="0" applyFont="1" applyAlignment="1"/>
    <xf numFmtId="165" fontId="123" fillId="0" borderId="0" xfId="0" applyFont="1"/>
    <xf numFmtId="165" fontId="158" fillId="0" borderId="0" xfId="0" applyFont="1" applyAlignment="1">
      <alignment horizontal="center"/>
    </xf>
    <xf numFmtId="165" fontId="159" fillId="6" borderId="0" xfId="0" applyFont="1" applyFill="1"/>
    <xf numFmtId="165" fontId="159" fillId="6" borderId="0" xfId="0" applyFont="1" applyFill="1" applyAlignment="1"/>
    <xf numFmtId="165" fontId="158" fillId="6" borderId="0" xfId="0" applyNumberFormat="1" applyFont="1" applyFill="1" applyProtection="1"/>
    <xf numFmtId="165" fontId="158" fillId="6" borderId="0" xfId="0" applyNumberFormat="1" applyFont="1" applyFill="1" applyAlignment="1" applyProtection="1"/>
    <xf numFmtId="165" fontId="160" fillId="6" borderId="0" xfId="0" applyNumberFormat="1" applyFont="1" applyFill="1" applyAlignment="1" applyProtection="1">
      <alignment horizontal="left"/>
    </xf>
    <xf numFmtId="165" fontId="160" fillId="6" borderId="0" xfId="0" applyNumberFormat="1" applyFont="1" applyFill="1" applyAlignment="1" applyProtection="1">
      <alignment horizontal="right"/>
    </xf>
    <xf numFmtId="165" fontId="158" fillId="0" borderId="0" xfId="0" applyNumberFormat="1" applyFont="1" applyAlignment="1" applyProtection="1">
      <alignment horizontal="center"/>
    </xf>
    <xf numFmtId="165" fontId="158" fillId="0" borderId="0" xfId="0" applyNumberFormat="1" applyFont="1" applyProtection="1"/>
    <xf numFmtId="165" fontId="132" fillId="0" borderId="0" xfId="0" applyNumberFormat="1" applyFont="1" applyAlignment="1" applyProtection="1">
      <alignment horizontal="right"/>
    </xf>
    <xf numFmtId="165" fontId="158" fillId="0" borderId="0" xfId="0" applyNumberFormat="1" applyFont="1" applyAlignment="1" applyProtection="1"/>
    <xf numFmtId="165" fontId="158" fillId="0" borderId="0" xfId="0" applyNumberFormat="1" applyFont="1" applyAlignment="1" applyProtection="1">
      <alignment horizontal="left"/>
    </xf>
    <xf numFmtId="167" fontId="158" fillId="0" borderId="0" xfId="0" applyNumberFormat="1" applyFont="1" applyProtection="1"/>
    <xf numFmtId="165" fontId="158" fillId="0" borderId="0" xfId="0" applyNumberFormat="1" applyFont="1" applyAlignment="1" applyProtection="1">
      <alignment horizontal="fill"/>
    </xf>
    <xf numFmtId="165" fontId="123" fillId="0" borderId="0" xfId="0" applyNumberFormat="1" applyFont="1" applyAlignment="1" applyProtection="1">
      <alignment horizontal="left"/>
    </xf>
    <xf numFmtId="165" fontId="123" fillId="0" borderId="0" xfId="0" applyNumberFormat="1" applyFont="1" applyProtection="1"/>
    <xf numFmtId="165" fontId="121" fillId="8" borderId="0" xfId="0" applyNumberFormat="1" applyFont="1" applyFill="1" applyProtection="1"/>
    <xf numFmtId="165" fontId="122" fillId="9" borderId="0" xfId="0" applyNumberFormat="1" applyFont="1" applyFill="1" applyAlignment="1" applyProtection="1">
      <alignment horizontal="left"/>
    </xf>
    <xf numFmtId="165" fontId="127" fillId="9" borderId="0" xfId="0" applyNumberFormat="1" applyFont="1" applyFill="1" applyAlignment="1" applyProtection="1">
      <alignment horizontal="left"/>
    </xf>
    <xf numFmtId="169" fontId="121" fillId="0" borderId="0" xfId="0" applyNumberFormat="1" applyFont="1" applyAlignment="1" applyProtection="1"/>
    <xf numFmtId="169" fontId="121" fillId="0" borderId="0" xfId="0" applyNumberFormat="1" applyFont="1" applyAlignment="1"/>
    <xf numFmtId="165" fontId="121" fillId="9" borderId="0" xfId="0" applyFont="1" applyFill="1"/>
    <xf numFmtId="165" fontId="122" fillId="0" borderId="0" xfId="0" applyFont="1" applyAlignment="1">
      <alignment horizontal="right"/>
    </xf>
    <xf numFmtId="165" fontId="157" fillId="0" borderId="0" xfId="0" applyNumberFormat="1" applyFont="1" applyAlignment="1">
      <alignment horizontal="center"/>
    </xf>
    <xf numFmtId="165" fontId="121" fillId="0" borderId="0" xfId="0" applyNumberFormat="1" applyFont="1"/>
    <xf numFmtId="165" fontId="121" fillId="0" borderId="0" xfId="0" applyNumberFormat="1" applyFont="1" applyAlignment="1">
      <alignment horizontal="center"/>
    </xf>
    <xf numFmtId="165" fontId="121" fillId="0" borderId="5" xfId="0" applyFont="1" applyBorder="1"/>
    <xf numFmtId="165" fontId="162" fillId="0" borderId="0" xfId="0" applyNumberFormat="1" applyFont="1"/>
    <xf numFmtId="165" fontId="121" fillId="0" borderId="7" xfId="0" applyFont="1" applyBorder="1"/>
    <xf numFmtId="170" fontId="162" fillId="0" borderId="0" xfId="0" applyNumberFormat="1" applyFont="1" applyProtection="1"/>
    <xf numFmtId="165" fontId="162" fillId="0" borderId="0" xfId="0" applyNumberFormat="1" applyFont="1" applyAlignment="1" applyProtection="1"/>
    <xf numFmtId="165" fontId="163" fillId="0" borderId="0" xfId="0" applyNumberFormat="1" applyFont="1" applyAlignment="1" applyProtection="1">
      <alignment horizontal="center"/>
    </xf>
    <xf numFmtId="165" fontId="162" fillId="0" borderId="0" xfId="0" applyNumberFormat="1" applyFont="1" applyProtection="1"/>
    <xf numFmtId="165" fontId="162" fillId="0" borderId="0" xfId="0" applyNumberFormat="1" applyFont="1" applyAlignment="1" applyProtection="1">
      <alignment horizontal="left"/>
    </xf>
    <xf numFmtId="165" fontId="162" fillId="0" borderId="0" xfId="0" applyNumberFormat="1" applyFont="1" applyAlignment="1">
      <alignment horizontal="center"/>
    </xf>
    <xf numFmtId="165" fontId="162" fillId="0" borderId="0" xfId="0" applyNumberFormat="1" applyFont="1" applyAlignment="1"/>
    <xf numFmtId="165" fontId="163" fillId="0" borderId="0" xfId="0" applyNumberFormat="1" applyFont="1" applyProtection="1"/>
    <xf numFmtId="165" fontId="121" fillId="0" borderId="9" xfId="0" applyFont="1" applyBorder="1"/>
    <xf numFmtId="165" fontId="163" fillId="0" borderId="0" xfId="0" applyNumberFormat="1" applyFont="1"/>
    <xf numFmtId="165" fontId="162" fillId="0" borderId="0" xfId="0" applyNumberFormat="1" applyFont="1" applyAlignment="1" applyProtection="1">
      <alignment horizontal="right"/>
    </xf>
    <xf numFmtId="165" fontId="162" fillId="0" borderId="0" xfId="0" applyNumberFormat="1" applyFont="1" applyAlignment="1">
      <alignment horizontal="left"/>
    </xf>
    <xf numFmtId="165" fontId="162" fillId="0" borderId="0" xfId="0" applyNumberFormat="1" applyFont="1" applyAlignment="1" applyProtection="1">
      <alignment horizontal="fill"/>
    </xf>
    <xf numFmtId="166" fontId="164" fillId="0" borderId="3" xfId="0" applyNumberFormat="1" applyFont="1" applyBorder="1" applyAlignment="1" applyProtection="1">
      <alignment horizontal="center"/>
    </xf>
    <xf numFmtId="165" fontId="121" fillId="0" borderId="4" xfId="0" applyNumberFormat="1" applyFont="1" applyBorder="1" applyAlignment="1" applyProtection="1"/>
    <xf numFmtId="165" fontId="121" fillId="0" borderId="4" xfId="0" applyNumberFormat="1" applyFont="1" applyBorder="1" applyAlignment="1" applyProtection="1">
      <alignment horizontal="left"/>
    </xf>
    <xf numFmtId="165" fontId="121" fillId="0" borderId="4" xfId="0" applyFont="1" applyBorder="1"/>
    <xf numFmtId="165" fontId="121" fillId="0" borderId="4" xfId="0" applyFont="1" applyBorder="1" applyAlignment="1">
      <alignment horizontal="left"/>
    </xf>
    <xf numFmtId="165" fontId="121" fillId="0" borderId="6" xfId="0" applyFont="1" applyBorder="1"/>
    <xf numFmtId="165" fontId="121" fillId="0" borderId="0" xfId="0" applyFont="1" applyBorder="1" applyAlignment="1"/>
    <xf numFmtId="165" fontId="121" fillId="0" borderId="0" xfId="0" applyNumberFormat="1" applyFont="1" applyBorder="1" applyAlignment="1" applyProtection="1">
      <alignment horizontal="left"/>
    </xf>
    <xf numFmtId="165" fontId="121" fillId="0" borderId="0" xfId="0" applyFont="1" applyBorder="1"/>
    <xf numFmtId="165" fontId="121" fillId="0" borderId="0" xfId="0" applyFont="1" applyBorder="1" applyAlignment="1">
      <alignment horizontal="left"/>
    </xf>
    <xf numFmtId="165" fontId="121" fillId="0" borderId="0" xfId="0" applyNumberFormat="1" applyFont="1" applyBorder="1" applyAlignment="1" applyProtection="1">
      <alignment horizontal="fill"/>
    </xf>
    <xf numFmtId="165" fontId="121" fillId="0" borderId="6" xfId="0" applyNumberFormat="1" applyFont="1" applyBorder="1" applyProtection="1"/>
    <xf numFmtId="165" fontId="121" fillId="0" borderId="0" xfId="0" applyNumberFormat="1" applyFont="1" applyBorder="1" applyAlignment="1" applyProtection="1"/>
    <xf numFmtId="165" fontId="134" fillId="0" borderId="0" xfId="0" applyNumberFormat="1" applyFont="1" applyBorder="1" applyProtection="1"/>
    <xf numFmtId="165" fontId="121" fillId="0" borderId="0" xfId="0" applyNumberFormat="1" applyFont="1" applyBorder="1" applyProtection="1"/>
    <xf numFmtId="165" fontId="134" fillId="9" borderId="0" xfId="0" applyNumberFormat="1" applyFont="1" applyFill="1" applyBorder="1" applyProtection="1"/>
    <xf numFmtId="165" fontId="121" fillId="0" borderId="0" xfId="0" applyNumberFormat="1" applyFont="1" applyBorder="1" applyAlignment="1" applyProtection="1">
      <alignment horizontal="right"/>
    </xf>
    <xf numFmtId="165" fontId="122" fillId="0" borderId="0" xfId="0" applyNumberFormat="1" applyFont="1" applyBorder="1" applyAlignment="1" applyProtection="1">
      <alignment horizontal="center"/>
    </xf>
    <xf numFmtId="165" fontId="122" fillId="0" borderId="0" xfId="0" applyFont="1" applyBorder="1"/>
    <xf numFmtId="165" fontId="122" fillId="0" borderId="0" xfId="0" applyFont="1" applyBorder="1" applyAlignment="1">
      <alignment horizontal="left"/>
    </xf>
    <xf numFmtId="165" fontId="122" fillId="0" borderId="0" xfId="0" applyNumberFormat="1" applyFont="1" applyBorder="1" applyProtection="1"/>
    <xf numFmtId="165" fontId="121" fillId="0" borderId="8" xfId="0" applyFont="1" applyBorder="1"/>
    <xf numFmtId="165" fontId="121" fillId="0" borderId="2" xfId="0" applyFont="1" applyBorder="1" applyAlignment="1"/>
    <xf numFmtId="165" fontId="121" fillId="0" borderId="2" xfId="0" applyFont="1" applyBorder="1"/>
    <xf numFmtId="165" fontId="121" fillId="0" borderId="2" xfId="0" applyFont="1" applyBorder="1" applyAlignment="1">
      <alignment horizontal="left"/>
    </xf>
    <xf numFmtId="165" fontId="121" fillId="0" borderId="2" xfId="0" applyNumberFormat="1" applyFont="1" applyBorder="1" applyAlignment="1" applyProtection="1">
      <alignment horizontal="fill"/>
    </xf>
    <xf numFmtId="165" fontId="164" fillId="0" borderId="3" xfId="0" applyNumberFormat="1" applyFont="1" applyBorder="1" applyAlignment="1" applyProtection="1">
      <alignment horizontal="center"/>
    </xf>
    <xf numFmtId="167" fontId="121" fillId="0" borderId="6" xfId="0" applyNumberFormat="1" applyFont="1" applyBorder="1" applyProtection="1"/>
    <xf numFmtId="167" fontId="121" fillId="0" borderId="8" xfId="0" applyNumberFormat="1" applyFont="1" applyBorder="1" applyProtection="1"/>
    <xf numFmtId="165" fontId="122" fillId="0" borderId="2" xfId="0" applyNumberFormat="1" applyFont="1" applyBorder="1" applyAlignment="1" applyProtection="1">
      <alignment horizontal="center"/>
    </xf>
    <xf numFmtId="165" fontId="122" fillId="0" borderId="2" xfId="0" applyFont="1" applyBorder="1"/>
    <xf numFmtId="165" fontId="122" fillId="0" borderId="2" xfId="0" applyFont="1" applyBorder="1" applyAlignment="1">
      <alignment horizontal="left"/>
    </xf>
    <xf numFmtId="165" fontId="122" fillId="0" borderId="2" xfId="0" applyNumberFormat="1" applyFont="1" applyBorder="1" applyProtection="1"/>
    <xf numFmtId="165" fontId="153" fillId="0" borderId="0" xfId="0" applyNumberFormat="1" applyFont="1" applyAlignment="1" applyProtection="1">
      <alignment horizontal="left"/>
    </xf>
    <xf numFmtId="166" fontId="121" fillId="0" borderId="0" xfId="0" applyNumberFormat="1" applyFont="1" applyAlignment="1">
      <alignment horizontal="center"/>
    </xf>
    <xf numFmtId="168" fontId="121" fillId="0" borderId="0" xfId="0" applyNumberFormat="1" applyFont="1"/>
    <xf numFmtId="165" fontId="121" fillId="0" borderId="0" xfId="0" applyFont="1" applyAlignment="1">
      <alignment wrapText="1"/>
    </xf>
    <xf numFmtId="165" fontId="121" fillId="0" borderId="0" xfId="0" applyNumberFormat="1" applyFont="1" applyAlignment="1" applyProtection="1">
      <alignment vertical="center"/>
    </xf>
    <xf numFmtId="165" fontId="121" fillId="0" borderId="0" xfId="0" applyNumberFormat="1" applyFont="1" applyAlignment="1" applyProtection="1">
      <alignment horizontal="left" vertical="center"/>
    </xf>
    <xf numFmtId="165" fontId="125" fillId="9" borderId="0" xfId="0" applyNumberFormat="1" applyFont="1" applyFill="1" applyProtection="1"/>
    <xf numFmtId="165" fontId="125" fillId="7" borderId="0" xfId="0" applyNumberFormat="1" applyFont="1" applyFill="1" applyProtection="1"/>
    <xf numFmtId="165" fontId="139" fillId="8" borderId="0" xfId="0" applyNumberFormat="1" applyFont="1" applyFill="1" applyAlignment="1" applyProtection="1">
      <alignment vertical="center"/>
    </xf>
    <xf numFmtId="165" fontId="139" fillId="8" borderId="0" xfId="0" applyNumberFormat="1" applyFont="1" applyFill="1" applyAlignment="1" applyProtection="1">
      <alignment horizontal="left"/>
    </xf>
    <xf numFmtId="165" fontId="127" fillId="8" borderId="0" xfId="0" applyNumberFormat="1" applyFont="1" applyFill="1" applyAlignment="1" applyProtection="1">
      <alignment horizontal="left"/>
    </xf>
    <xf numFmtId="165" fontId="155" fillId="0" borderId="0" xfId="0" applyNumberFormat="1" applyFont="1" applyProtection="1"/>
    <xf numFmtId="165" fontId="165" fillId="0" borderId="0" xfId="0" applyNumberFormat="1" applyFont="1" applyProtection="1"/>
    <xf numFmtId="165" fontId="122" fillId="0" borderId="11" xfId="0" applyNumberFormat="1" applyFont="1" applyBorder="1" applyProtection="1"/>
    <xf numFmtId="165" fontId="121" fillId="0" borderId="12" xfId="0" applyNumberFormat="1" applyFont="1" applyBorder="1" applyAlignment="1" applyProtection="1">
      <alignment horizontal="fill"/>
    </xf>
    <xf numFmtId="168" fontId="166" fillId="0" borderId="0" xfId="0" applyNumberFormat="1" applyFont="1" applyAlignment="1" applyProtection="1">
      <alignment horizontal="center"/>
    </xf>
    <xf numFmtId="165" fontId="166" fillId="0" borderId="0" xfId="0" applyFont="1" applyAlignment="1"/>
    <xf numFmtId="165" fontId="166" fillId="0" borderId="0" xfId="0" applyNumberFormat="1" applyFont="1" applyAlignment="1" applyProtection="1">
      <alignment horizontal="left"/>
    </xf>
    <xf numFmtId="165" fontId="166" fillId="0" borderId="0" xfId="0" applyFont="1"/>
    <xf numFmtId="165" fontId="166" fillId="0" borderId="0" xfId="0" applyFont="1" applyAlignment="1">
      <alignment horizontal="left"/>
    </xf>
    <xf numFmtId="165" fontId="166" fillId="0" borderId="0" xfId="0" applyNumberFormat="1" applyFont="1" applyAlignment="1" applyProtection="1">
      <alignment horizontal="fill"/>
    </xf>
    <xf numFmtId="165" fontId="157" fillId="0" borderId="0" xfId="0" applyNumberFormat="1" applyFont="1" applyAlignment="1" applyProtection="1">
      <alignment horizontal="left"/>
    </xf>
    <xf numFmtId="167" fontId="166" fillId="0" borderId="0" xfId="0" applyNumberFormat="1" applyFont="1"/>
    <xf numFmtId="167" fontId="157" fillId="0" borderId="0" xfId="0" applyNumberFormat="1" applyFont="1"/>
    <xf numFmtId="169" fontId="166" fillId="0" borderId="0" xfId="0" applyNumberFormat="1" applyFont="1" applyAlignment="1" applyProtection="1">
      <alignment horizontal="left"/>
    </xf>
    <xf numFmtId="165" fontId="166" fillId="0" borderId="0" xfId="0" applyNumberFormat="1" applyFont="1" applyFill="1" applyProtection="1"/>
    <xf numFmtId="171" fontId="166" fillId="0" borderId="0" xfId="0" applyNumberFormat="1" applyFont="1" applyProtection="1"/>
    <xf numFmtId="165" fontId="166" fillId="0" borderId="0" xfId="0" applyNumberFormat="1" applyFont="1" applyAlignment="1" applyProtection="1"/>
    <xf numFmtId="165" fontId="166" fillId="0" borderId="0" xfId="0" applyNumberFormat="1" applyFont="1" applyProtection="1"/>
    <xf numFmtId="165" fontId="166" fillId="0" borderId="0" xfId="0" applyNumberFormat="1" applyFont="1" applyAlignment="1" applyProtection="1">
      <alignment horizontal="center"/>
    </xf>
    <xf numFmtId="165" fontId="157" fillId="0" borderId="0" xfId="0" applyNumberFormat="1" applyFont="1" applyAlignment="1" applyProtection="1">
      <alignment horizontal="center"/>
    </xf>
    <xf numFmtId="165" fontId="157" fillId="0" borderId="0" xfId="0" applyNumberFormat="1" applyFont="1" applyProtection="1"/>
    <xf numFmtId="167" fontId="121" fillId="0" borderId="0" xfId="0" applyNumberFormat="1" applyFont="1" applyAlignment="1">
      <alignment wrapText="1"/>
    </xf>
    <xf numFmtId="165" fontId="121" fillId="0" borderId="0" xfId="0" applyFont="1" applyAlignment="1">
      <alignment horizontal="fill" wrapText="1"/>
    </xf>
    <xf numFmtId="165" fontId="134" fillId="9" borderId="0" xfId="0" applyNumberFormat="1" applyFont="1" applyFill="1" applyProtection="1"/>
    <xf numFmtId="165" fontId="139" fillId="9" borderId="0" xfId="0" applyNumberFormat="1" applyFont="1" applyFill="1" applyProtection="1"/>
    <xf numFmtId="165" fontId="139" fillId="9" borderId="0" xfId="0" applyFont="1" applyFill="1"/>
    <xf numFmtId="165" fontId="147" fillId="8" borderId="0" xfId="0" applyNumberFormat="1" applyFont="1" applyFill="1" applyProtection="1"/>
    <xf numFmtId="168" fontId="121" fillId="0" borderId="0" xfId="0" applyNumberFormat="1" applyFont="1" applyAlignment="1" applyProtection="1">
      <alignment horizontal="center" vertical="top"/>
    </xf>
    <xf numFmtId="165" fontId="133" fillId="0" borderId="0" xfId="0" applyNumberFormat="1" applyFont="1" applyAlignment="1" applyProtection="1">
      <alignment horizontal="right" vertical="center"/>
    </xf>
    <xf numFmtId="2" fontId="162" fillId="0" borderId="1" xfId="15" applyNumberFormat="1" applyFont="1" applyBorder="1" applyAlignment="1">
      <alignment vertical="top" wrapText="1"/>
    </xf>
    <xf numFmtId="165" fontId="121" fillId="0" borderId="0" xfId="0" applyNumberFormat="1" applyFont="1" applyFill="1" applyBorder="1" applyAlignment="1" applyProtection="1">
      <alignment horizontal="left"/>
    </xf>
    <xf numFmtId="168" fontId="121" fillId="0" borderId="0" xfId="0" applyNumberFormat="1" applyFont="1" applyAlignment="1">
      <alignment horizontal="center" vertical="top" wrapText="1"/>
    </xf>
    <xf numFmtId="165" fontId="122" fillId="0" borderId="0" xfId="0" applyNumberFormat="1" applyFont="1" applyAlignment="1" applyProtection="1">
      <alignment horizontal="left" vertical="top" wrapText="1"/>
    </xf>
    <xf numFmtId="165" fontId="155" fillId="8" borderId="0" xfId="0" applyFont="1" applyFill="1"/>
    <xf numFmtId="165" fontId="133" fillId="0" borderId="0" xfId="0" applyFont="1"/>
    <xf numFmtId="165" fontId="121" fillId="0" borderId="0" xfId="0" applyFont="1" applyBorder="1" applyAlignment="1">
      <alignment horizontal="left" vertical="top"/>
    </xf>
    <xf numFmtId="165" fontId="121" fillId="0" borderId="0" xfId="0" applyFont="1" applyBorder="1" applyAlignment="1">
      <alignment horizontal="right" vertical="top"/>
    </xf>
    <xf numFmtId="165" fontId="127" fillId="8" borderId="0" xfId="0" applyFont="1" applyFill="1"/>
    <xf numFmtId="165" fontId="122" fillId="0" borderId="0" xfId="0" applyFont="1" applyAlignment="1">
      <alignment horizontal="left" vertical="top" wrapText="1"/>
    </xf>
    <xf numFmtId="165" fontId="122" fillId="9" borderId="0" xfId="0" applyFont="1" applyFill="1" applyAlignment="1">
      <alignment wrapText="1"/>
    </xf>
    <xf numFmtId="167" fontId="130" fillId="0" borderId="0" xfId="0" applyNumberFormat="1" applyFont="1"/>
    <xf numFmtId="165" fontId="122" fillId="0" borderId="0" xfId="0" applyFont="1" applyAlignment="1">
      <alignment horizontal="right" vertical="top"/>
    </xf>
    <xf numFmtId="165" fontId="121" fillId="8" borderId="0" xfId="0" quotePrefix="1" applyFont="1" applyFill="1"/>
    <xf numFmtId="165" fontId="122" fillId="0" borderId="0" xfId="0" applyFont="1" applyAlignment="1">
      <alignment horizontal="center"/>
    </xf>
    <xf numFmtId="165" fontId="122" fillId="0" borderId="0" xfId="0" applyFont="1" applyAlignment="1">
      <alignment horizontal="left" wrapText="1"/>
    </xf>
    <xf numFmtId="165" fontId="121" fillId="0" borderId="0" xfId="0" applyFont="1" applyAlignment="1">
      <alignment horizontal="left" wrapText="1"/>
    </xf>
    <xf numFmtId="165" fontId="134" fillId="7" borderId="0" xfId="0" applyFont="1" applyFill="1"/>
    <xf numFmtId="165" fontId="121" fillId="8" borderId="0" xfId="0" applyFont="1" applyFill="1" applyAlignment="1">
      <alignment wrapText="1"/>
    </xf>
    <xf numFmtId="165" fontId="121" fillId="0" borderId="0" xfId="0" quotePrefix="1" applyNumberFormat="1" applyFont="1" applyAlignment="1" applyProtection="1">
      <alignment horizontal="fill"/>
    </xf>
    <xf numFmtId="165" fontId="121" fillId="8" borderId="0" xfId="0" applyNumberFormat="1" applyFont="1" applyFill="1" applyAlignment="1" applyProtection="1">
      <alignment horizontal="left"/>
    </xf>
    <xf numFmtId="165" fontId="122" fillId="0" borderId="0" xfId="0" quotePrefix="1" applyNumberFormat="1" applyFont="1" applyProtection="1"/>
    <xf numFmtId="165" fontId="141" fillId="8" borderId="0" xfId="0" applyFont="1" applyFill="1"/>
    <xf numFmtId="168" fontId="122" fillId="0" borderId="0" xfId="0" applyNumberFormat="1" applyFont="1"/>
    <xf numFmtId="165" fontId="121" fillId="0" borderId="0" xfId="0" applyFont="1" applyAlignment="1">
      <alignment horizontal="fill"/>
    </xf>
    <xf numFmtId="165" fontId="121" fillId="0" borderId="0" xfId="0" quotePrefix="1" applyFont="1" applyAlignment="1">
      <alignment horizontal="fill"/>
    </xf>
    <xf numFmtId="170" fontId="122" fillId="0" borderId="0" xfId="0" applyNumberFormat="1" applyFont="1"/>
    <xf numFmtId="170" fontId="122" fillId="0" borderId="0" xfId="0" applyNumberFormat="1" applyFont="1" applyAlignment="1">
      <alignment horizontal="right"/>
    </xf>
    <xf numFmtId="165" fontId="167" fillId="0" borderId="0" xfId="0" applyFont="1"/>
    <xf numFmtId="165" fontId="122" fillId="0" borderId="0" xfId="0" applyFont="1" applyAlignment="1">
      <alignment horizontal="left" vertical="top"/>
    </xf>
    <xf numFmtId="168" fontId="131" fillId="0" borderId="0" xfId="0" applyNumberFormat="1" applyFont="1" applyAlignment="1" applyProtection="1">
      <alignment horizontal="center"/>
    </xf>
    <xf numFmtId="165" fontId="131" fillId="0" borderId="0" xfId="0" applyFont="1" applyAlignment="1"/>
    <xf numFmtId="165" fontId="131" fillId="0" borderId="0" xfId="0" applyFont="1"/>
    <xf numFmtId="165" fontId="131" fillId="0" borderId="0" xfId="0" applyFont="1" applyAlignment="1">
      <alignment horizontal="left"/>
    </xf>
    <xf numFmtId="165" fontId="131" fillId="0" borderId="0" xfId="0" applyNumberFormat="1" applyFont="1" applyAlignment="1" applyProtection="1">
      <alignment horizontal="fill"/>
    </xf>
    <xf numFmtId="165" fontId="148" fillId="6" borderId="0" xfId="0" applyFont="1" applyFill="1"/>
    <xf numFmtId="169" fontId="131" fillId="0" borderId="0" xfId="0" applyNumberFormat="1" applyFont="1" applyProtection="1"/>
    <xf numFmtId="169" fontId="131" fillId="0" borderId="0" xfId="0" applyNumberFormat="1" applyFont="1" applyAlignment="1" applyProtection="1">
      <alignment horizontal="left"/>
    </xf>
    <xf numFmtId="171" fontId="131" fillId="0" borderId="0" xfId="0" applyNumberFormat="1" applyFont="1" applyProtection="1"/>
    <xf numFmtId="165" fontId="131" fillId="0" borderId="0" xfId="0" applyNumberFormat="1" applyFont="1" applyAlignment="1" applyProtection="1"/>
    <xf numFmtId="165" fontId="131" fillId="0" borderId="0" xfId="0" applyNumberFormat="1" applyFont="1" applyProtection="1"/>
    <xf numFmtId="165" fontId="168" fillId="8" borderId="0" xfId="0" applyNumberFormat="1" applyFont="1" applyFill="1" applyProtection="1"/>
    <xf numFmtId="165" fontId="131" fillId="8" borderId="0" xfId="0" applyNumberFormat="1" applyFont="1" applyFill="1" applyAlignment="1" applyProtection="1">
      <alignment horizontal="left"/>
    </xf>
    <xf numFmtId="165" fontId="131" fillId="0" borderId="0" xfId="0" applyNumberFormat="1" applyFont="1" applyAlignment="1" applyProtection="1">
      <alignment horizontal="center"/>
    </xf>
    <xf numFmtId="165" fontId="133" fillId="9" borderId="0" xfId="0" applyFont="1" applyFill="1"/>
    <xf numFmtId="165" fontId="124" fillId="0" borderId="0" xfId="0" applyFont="1"/>
    <xf numFmtId="165" fontId="124" fillId="0" borderId="0" xfId="0" applyFont="1" applyAlignment="1">
      <alignment horizontal="left"/>
    </xf>
    <xf numFmtId="165" fontId="124" fillId="0" borderId="0" xfId="0" applyNumberFormat="1" applyFont="1" applyAlignment="1" applyProtection="1">
      <alignment horizontal="fill"/>
    </xf>
    <xf numFmtId="165" fontId="124" fillId="0" borderId="0" xfId="0" applyNumberFormat="1" applyFont="1" applyAlignment="1" applyProtection="1">
      <alignment horizontal="center"/>
    </xf>
    <xf numFmtId="165" fontId="124" fillId="0" borderId="0" xfId="0" applyNumberFormat="1" applyFont="1" applyProtection="1"/>
    <xf numFmtId="2" fontId="121" fillId="0" borderId="0" xfId="0" applyNumberFormat="1" applyFont="1"/>
    <xf numFmtId="165" fontId="154" fillId="0" borderId="0" xfId="0" applyFont="1" applyAlignment="1">
      <alignment horizontal="right"/>
    </xf>
    <xf numFmtId="2" fontId="122" fillId="0" borderId="0" xfId="0" applyNumberFormat="1" applyFont="1"/>
    <xf numFmtId="165" fontId="121" fillId="0" borderId="3" xfId="0" applyFont="1" applyBorder="1"/>
    <xf numFmtId="168" fontId="121" fillId="0" borderId="6" xfId="0" applyNumberFormat="1" applyFont="1" applyBorder="1" applyAlignment="1" applyProtection="1">
      <alignment horizontal="center"/>
    </xf>
    <xf numFmtId="165" fontId="122" fillId="0" borderId="0" xfId="0" applyFont="1" applyBorder="1" applyAlignment="1"/>
    <xf numFmtId="165" fontId="121" fillId="0" borderId="0" xfId="0" applyFont="1" applyBorder="1" applyAlignment="1">
      <alignment horizontal="center"/>
    </xf>
    <xf numFmtId="165" fontId="134" fillId="7" borderId="0" xfId="0" applyFont="1" applyFill="1" applyBorder="1"/>
    <xf numFmtId="165" fontId="134" fillId="5" borderId="0" xfId="0" applyFont="1" applyFill="1" applyBorder="1"/>
    <xf numFmtId="165" fontId="134" fillId="0" borderId="0" xfId="0" applyFont="1" applyBorder="1"/>
    <xf numFmtId="165" fontId="121" fillId="0" borderId="0" xfId="0" applyFont="1" applyBorder="1" applyAlignment="1">
      <alignment horizontal="right"/>
    </xf>
    <xf numFmtId="165" fontId="166" fillId="0" borderId="0" xfId="0" applyFont="1" applyBorder="1" applyAlignment="1">
      <alignment horizontal="fill"/>
    </xf>
    <xf numFmtId="169" fontId="121" fillId="0" borderId="0" xfId="0" applyNumberFormat="1" applyFont="1" applyAlignment="1" applyProtection="1">
      <alignment horizontal="center"/>
    </xf>
    <xf numFmtId="165" fontId="121" fillId="0" borderId="2" xfId="0" applyFont="1" applyBorder="1" applyAlignment="1">
      <alignment horizontal="center"/>
    </xf>
    <xf numFmtId="165" fontId="166" fillId="0" borderId="2" xfId="0" applyFont="1" applyBorder="1" applyAlignment="1">
      <alignment horizontal="fill"/>
    </xf>
    <xf numFmtId="167" fontId="121" fillId="0" borderId="0" xfId="0" applyNumberFormat="1" applyFont="1" applyAlignment="1"/>
    <xf numFmtId="175" fontId="122" fillId="0" borderId="0" xfId="0" applyNumberFormat="1" applyFont="1"/>
    <xf numFmtId="169" fontId="122" fillId="0" borderId="0" xfId="0" applyNumberFormat="1" applyFont="1"/>
    <xf numFmtId="165" fontId="122" fillId="0" borderId="0" xfId="0" quotePrefix="1" applyFont="1"/>
    <xf numFmtId="171" fontId="121" fillId="0" borderId="0" xfId="0" applyNumberFormat="1" applyFont="1"/>
    <xf numFmtId="165" fontId="127" fillId="8" borderId="0" xfId="0" applyNumberFormat="1" applyFont="1" applyFill="1" applyProtection="1"/>
    <xf numFmtId="165" fontId="165" fillId="0" borderId="0" xfId="0" applyFont="1"/>
    <xf numFmtId="165" fontId="147" fillId="8" borderId="0" xfId="0" applyFont="1" applyFill="1"/>
    <xf numFmtId="165" fontId="121" fillId="8" borderId="0" xfId="0" applyNumberFormat="1" applyFont="1" applyFill="1" applyAlignment="1" applyProtection="1">
      <alignment horizontal="left" wrapText="1"/>
    </xf>
    <xf numFmtId="165" fontId="121" fillId="0" borderId="0" xfId="0" applyFont="1" applyFill="1"/>
    <xf numFmtId="165" fontId="122" fillId="0" borderId="0" xfId="0" applyFont="1" applyAlignment="1">
      <alignment vertical="top" wrapText="1"/>
    </xf>
    <xf numFmtId="165" fontId="147" fillId="9" borderId="0" xfId="0" applyFont="1" applyFill="1"/>
    <xf numFmtId="170" fontId="121" fillId="0" borderId="0" xfId="0" applyNumberFormat="1" applyFont="1" applyBorder="1" applyAlignment="1"/>
    <xf numFmtId="170" fontId="121" fillId="0" borderId="0" xfId="0" applyNumberFormat="1" applyFont="1" applyBorder="1"/>
    <xf numFmtId="165" fontId="121" fillId="0" borderId="0" xfId="0" applyFont="1" applyFill="1" applyBorder="1"/>
    <xf numFmtId="165" fontId="121" fillId="0" borderId="0" xfId="0" applyFont="1" applyFill="1" applyBorder="1" applyAlignment="1"/>
    <xf numFmtId="165" fontId="169" fillId="0" borderId="0" xfId="0" applyNumberFormat="1" applyFont="1" applyAlignment="1" applyProtection="1">
      <alignment horizontal="left"/>
    </xf>
    <xf numFmtId="165" fontId="165" fillId="0" borderId="0" xfId="0" applyFont="1" applyAlignment="1"/>
    <xf numFmtId="165" fontId="165" fillId="0" borderId="0" xfId="0" applyNumberFormat="1" applyFont="1" applyAlignment="1" applyProtection="1">
      <alignment horizontal="left"/>
    </xf>
    <xf numFmtId="169" fontId="165" fillId="0" borderId="0" xfId="0" applyNumberFormat="1" applyFont="1"/>
    <xf numFmtId="165" fontId="165" fillId="0" borderId="0" xfId="0" applyFont="1" applyAlignment="1">
      <alignment horizontal="left"/>
    </xf>
    <xf numFmtId="165" fontId="170" fillId="8" borderId="0" xfId="0" applyNumberFormat="1" applyFont="1" applyFill="1" applyProtection="1"/>
    <xf numFmtId="169" fontId="165" fillId="0" borderId="0" xfId="0" applyNumberFormat="1" applyFont="1" applyAlignment="1" applyProtection="1">
      <alignment horizontal="left"/>
    </xf>
    <xf numFmtId="165" fontId="171" fillId="0" borderId="0" xfId="0" applyNumberFormat="1" applyFont="1" applyProtection="1"/>
    <xf numFmtId="165" fontId="172" fillId="0" borderId="0" xfId="0" applyFont="1"/>
    <xf numFmtId="165" fontId="131" fillId="0" borderId="0" xfId="0" applyNumberFormat="1" applyFont="1" applyAlignment="1" applyProtection="1">
      <alignment horizontal="right"/>
    </xf>
    <xf numFmtId="165" fontId="173" fillId="0" borderId="0" xfId="0" applyFont="1"/>
    <xf numFmtId="165" fontId="139" fillId="8" borderId="0" xfId="0" applyFont="1" applyFill="1"/>
    <xf numFmtId="169" fontId="121" fillId="0" borderId="0" xfId="0" applyNumberFormat="1" applyFont="1" applyAlignment="1">
      <alignment horizontal="right"/>
    </xf>
    <xf numFmtId="169" fontId="122" fillId="0" borderId="0" xfId="0" applyNumberFormat="1" applyFont="1" applyAlignment="1" applyProtection="1">
      <alignment horizontal="right"/>
    </xf>
    <xf numFmtId="170" fontId="121" fillId="0" borderId="0" xfId="0" applyNumberFormat="1" applyFont="1" applyAlignment="1">
      <alignment horizontal="right"/>
    </xf>
    <xf numFmtId="170" fontId="121" fillId="0" borderId="0" xfId="0" applyNumberFormat="1" applyFont="1" applyAlignment="1" applyProtection="1">
      <alignment horizontal="right"/>
    </xf>
    <xf numFmtId="170" fontId="122" fillId="0" borderId="0" xfId="0" applyNumberFormat="1" applyFont="1" applyAlignment="1" applyProtection="1">
      <alignment horizontal="right"/>
    </xf>
    <xf numFmtId="165" fontId="121" fillId="0" borderId="0" xfId="0" quotePrefix="1" applyNumberFormat="1" applyFont="1" applyAlignment="1" applyProtection="1">
      <alignment horizontal="left"/>
    </xf>
    <xf numFmtId="171" fontId="121" fillId="0" borderId="0" xfId="0" applyNumberFormat="1" applyFont="1" applyAlignment="1">
      <alignment horizontal="right"/>
    </xf>
    <xf numFmtId="167" fontId="122" fillId="0" borderId="0" xfId="0" applyNumberFormat="1" applyFont="1"/>
    <xf numFmtId="165" fontId="147" fillId="0" borderId="0" xfId="0" applyNumberFormat="1" applyFont="1" applyProtection="1"/>
    <xf numFmtId="165" fontId="153" fillId="8" borderId="0" xfId="0" applyFont="1" applyFill="1"/>
    <xf numFmtId="165" fontId="122" fillId="8" borderId="0" xfId="0" applyFont="1" applyFill="1"/>
    <xf numFmtId="165" fontId="129" fillId="0" borderId="0" xfId="0" applyFont="1"/>
    <xf numFmtId="167" fontId="121" fillId="0" borderId="0" xfId="0" applyNumberFormat="1" applyFont="1" applyAlignment="1" applyProtection="1">
      <alignment horizontal="right"/>
    </xf>
    <xf numFmtId="165" fontId="174" fillId="9" borderId="0" xfId="0" applyNumberFormat="1" applyFont="1" applyFill="1" applyAlignment="1" applyProtection="1">
      <alignment horizontal="right"/>
    </xf>
    <xf numFmtId="165" fontId="174" fillId="0" borderId="0" xfId="0" applyNumberFormat="1" applyFont="1" applyAlignment="1" applyProtection="1">
      <alignment horizontal="right"/>
    </xf>
    <xf numFmtId="166" fontId="122" fillId="0" borderId="0" xfId="0" applyNumberFormat="1" applyFont="1" applyAlignment="1">
      <alignment vertical="center"/>
    </xf>
    <xf numFmtId="2" fontId="162" fillId="0" borderId="0" xfId="15" applyNumberFormat="1" applyFont="1" applyBorder="1" applyAlignment="1">
      <alignment vertical="top" wrapText="1"/>
    </xf>
    <xf numFmtId="165" fontId="147" fillId="3" borderId="0" xfId="0" applyFont="1" applyFill="1"/>
    <xf numFmtId="165" fontId="176" fillId="0" borderId="0" xfId="0" applyFont="1"/>
    <xf numFmtId="165" fontId="162" fillId="0" borderId="0" xfId="0" applyFont="1"/>
    <xf numFmtId="165" fontId="178" fillId="0" borderId="0" xfId="0" applyFont="1"/>
    <xf numFmtId="167" fontId="178" fillId="0" borderId="0" xfId="0" applyNumberFormat="1" applyFont="1"/>
    <xf numFmtId="165" fontId="178" fillId="0" borderId="0" xfId="0" applyFont="1" applyAlignment="1"/>
    <xf numFmtId="165" fontId="127" fillId="0" borderId="0" xfId="0" applyNumberFormat="1" applyFont="1" applyAlignment="1" applyProtection="1">
      <alignment vertical="center"/>
    </xf>
    <xf numFmtId="165" fontId="179" fillId="8" borderId="0" xfId="0" applyNumberFormat="1" applyFont="1" applyFill="1" applyProtection="1"/>
    <xf numFmtId="165" fontId="139" fillId="0" borderId="0" xfId="0" applyNumberFormat="1" applyFont="1" applyAlignment="1" applyProtection="1">
      <alignment vertical="center"/>
    </xf>
    <xf numFmtId="165" fontId="180" fillId="0" borderId="0" xfId="0" applyFont="1"/>
    <xf numFmtId="165" fontId="163" fillId="0" borderId="0" xfId="0" applyNumberFormat="1" applyFont="1" applyAlignment="1"/>
    <xf numFmtId="165" fontId="163" fillId="0" borderId="0" xfId="0" applyNumberFormat="1" applyFont="1" applyAlignment="1">
      <alignment horizontal="center"/>
    </xf>
    <xf numFmtId="165" fontId="181" fillId="0" borderId="0" xfId="0" applyNumberFormat="1" applyFont="1" applyProtection="1"/>
    <xf numFmtId="165" fontId="162" fillId="0" borderId="0" xfId="0" applyNumberFormat="1" applyFont="1" applyAlignment="1" applyProtection="1">
      <alignment horizontal="left" wrapText="1"/>
    </xf>
    <xf numFmtId="165" fontId="182" fillId="0" borderId="0" xfId="0" applyNumberFormat="1" applyFont="1" applyProtection="1"/>
    <xf numFmtId="170" fontId="162" fillId="0" borderId="0" xfId="0" applyNumberFormat="1" applyFont="1" applyAlignment="1" applyProtection="1">
      <alignment horizontal="right"/>
    </xf>
    <xf numFmtId="165" fontId="122" fillId="0" borderId="0" xfId="0" applyNumberFormat="1" applyFont="1" applyAlignment="1" applyProtection="1">
      <alignment horizontal="center" wrapText="1"/>
    </xf>
    <xf numFmtId="165" fontId="166" fillId="0" borderId="0" xfId="0" applyNumberFormat="1" applyFont="1"/>
    <xf numFmtId="165" fontId="166" fillId="0" borderId="0" xfId="0" applyNumberFormat="1" applyFont="1" applyAlignment="1"/>
    <xf numFmtId="165" fontId="166" fillId="0" borderId="0" xfId="0" applyNumberFormat="1" applyFont="1" applyAlignment="1">
      <alignment horizontal="left"/>
    </xf>
    <xf numFmtId="165" fontId="183" fillId="0" borderId="0" xfId="0" applyNumberFormat="1" applyFont="1" applyProtection="1"/>
    <xf numFmtId="165" fontId="184" fillId="0" borderId="0" xfId="0" applyFont="1"/>
    <xf numFmtId="0" fontId="121" fillId="0" borderId="0" xfId="0" applyNumberFormat="1" applyFont="1"/>
    <xf numFmtId="170" fontId="181" fillId="7" borderId="0" xfId="0" applyNumberFormat="1" applyFont="1" applyFill="1" applyProtection="1"/>
    <xf numFmtId="165" fontId="122" fillId="0" borderId="0" xfId="0" applyNumberFormat="1" applyFont="1"/>
    <xf numFmtId="165" fontId="122" fillId="0" borderId="0" xfId="0" applyNumberFormat="1" applyFont="1" applyAlignment="1"/>
    <xf numFmtId="165" fontId="122" fillId="0" borderId="0" xfId="0" applyNumberFormat="1" applyFont="1" applyAlignment="1">
      <alignment horizontal="left"/>
    </xf>
    <xf numFmtId="0" fontId="185" fillId="5" borderId="0" xfId="0" applyNumberFormat="1" applyFont="1" applyFill="1" applyBorder="1" applyAlignment="1">
      <alignment vertical="top" wrapText="1"/>
    </xf>
    <xf numFmtId="0" fontId="187" fillId="0" borderId="0" xfId="0" applyNumberFormat="1" applyFont="1"/>
    <xf numFmtId="165" fontId="165" fillId="0" borderId="0" xfId="0" applyNumberFormat="1" applyFont="1" applyAlignment="1"/>
    <xf numFmtId="165" fontId="134" fillId="0" borderId="0" xfId="0" applyNumberFormat="1" applyFont="1"/>
    <xf numFmtId="2" fontId="187" fillId="0" borderId="0" xfId="0" applyNumberFormat="1" applyFont="1"/>
    <xf numFmtId="0" fontId="121" fillId="0" borderId="0" xfId="0" applyNumberFormat="1" applyFont="1" applyBorder="1" applyAlignment="1"/>
    <xf numFmtId="0" fontId="121" fillId="0" borderId="0" xfId="0" applyNumberFormat="1" applyFont="1" applyBorder="1"/>
    <xf numFmtId="0" fontId="187" fillId="0" borderId="0" xfId="0" applyNumberFormat="1" applyFont="1" applyBorder="1"/>
    <xf numFmtId="165" fontId="165" fillId="0" borderId="0" xfId="0" applyNumberFormat="1" applyFont="1" applyBorder="1" applyAlignment="1"/>
    <xf numFmtId="2" fontId="189" fillId="0" borderId="0" xfId="0" applyNumberFormat="1" applyFont="1" applyBorder="1"/>
    <xf numFmtId="165" fontId="165" fillId="0" borderId="0" xfId="0" applyNumberFormat="1" applyFont="1" applyBorder="1"/>
    <xf numFmtId="165" fontId="165" fillId="0" borderId="0" xfId="0" applyNumberFormat="1" applyFont="1" applyBorder="1" applyAlignment="1" applyProtection="1">
      <alignment horizontal="left"/>
    </xf>
    <xf numFmtId="165" fontId="127" fillId="0" borderId="0" xfId="0" applyNumberFormat="1" applyFont="1" applyBorder="1"/>
    <xf numFmtId="165" fontId="165" fillId="0" borderId="0" xfId="0" applyNumberFormat="1" applyFont="1" applyBorder="1" applyAlignment="1">
      <alignment vertical="center"/>
    </xf>
    <xf numFmtId="0" fontId="121" fillId="0" borderId="0" xfId="0" applyNumberFormat="1" applyFont="1" applyBorder="1" applyAlignment="1">
      <alignment vertical="center"/>
    </xf>
    <xf numFmtId="165" fontId="165" fillId="0" borderId="0" xfId="0" applyNumberFormat="1" applyFont="1" applyBorder="1" applyAlignment="1" applyProtection="1">
      <alignment horizontal="left" vertical="center"/>
    </xf>
    <xf numFmtId="165" fontId="134" fillId="0" borderId="0" xfId="0" applyNumberFormat="1" applyFont="1" applyBorder="1" applyAlignment="1">
      <alignment vertical="center"/>
    </xf>
    <xf numFmtId="0" fontId="121" fillId="0" borderId="0" xfId="0" applyNumberFormat="1" applyFont="1" applyBorder="1" applyAlignment="1">
      <alignment wrapText="1"/>
    </xf>
    <xf numFmtId="165" fontId="134" fillId="0" borderId="0" xfId="0" applyNumberFormat="1" applyFont="1" applyBorder="1"/>
    <xf numFmtId="165" fontId="165" fillId="0" borderId="0" xfId="0" applyNumberFormat="1" applyFont="1" applyFill="1" applyBorder="1"/>
    <xf numFmtId="165" fontId="165" fillId="0" borderId="0" xfId="0" applyNumberFormat="1" applyFont="1" applyFill="1" applyBorder="1" applyAlignment="1"/>
    <xf numFmtId="165" fontId="127" fillId="0" borderId="0" xfId="0" applyNumberFormat="1" applyFont="1" applyFill="1" applyBorder="1"/>
    <xf numFmtId="0" fontId="187" fillId="0" borderId="0" xfId="0" applyNumberFormat="1" applyFont="1" applyBorder="1" applyAlignment="1">
      <alignment horizontal="right"/>
    </xf>
    <xf numFmtId="165" fontId="172" fillId="0" borderId="0" xfId="0" applyNumberFormat="1" applyFont="1" applyBorder="1"/>
    <xf numFmtId="2" fontId="121" fillId="0" borderId="0" xfId="0" applyNumberFormat="1" applyFont="1" applyBorder="1"/>
    <xf numFmtId="0" fontId="190" fillId="0" borderId="0" xfId="0" applyNumberFormat="1" applyFont="1"/>
    <xf numFmtId="165" fontId="165" fillId="0" borderId="0" xfId="0" applyNumberFormat="1" applyFont="1"/>
    <xf numFmtId="165" fontId="172" fillId="0" borderId="0" xfId="0" applyNumberFormat="1" applyFont="1" applyAlignment="1" applyProtection="1">
      <alignment horizontal="left"/>
    </xf>
    <xf numFmtId="165" fontId="127" fillId="0" borderId="0" xfId="0" applyNumberFormat="1" applyFont="1"/>
    <xf numFmtId="165" fontId="165" fillId="0" borderId="0" xfId="0" applyNumberFormat="1" applyFont="1" applyAlignment="1">
      <alignment horizontal="left"/>
    </xf>
    <xf numFmtId="165" fontId="191" fillId="0" borderId="0" xfId="0" applyNumberFormat="1" applyFont="1" applyAlignment="1"/>
    <xf numFmtId="165" fontId="192" fillId="0" borderId="0" xfId="0" applyNumberFormat="1" applyFont="1" applyAlignment="1"/>
    <xf numFmtId="165" fontId="127" fillId="0" borderId="0" xfId="0" applyFont="1" applyAlignment="1">
      <alignment wrapText="1"/>
    </xf>
    <xf numFmtId="167" fontId="165" fillId="0" borderId="0" xfId="0" applyNumberFormat="1" applyFont="1"/>
    <xf numFmtId="165" fontId="165" fillId="0" borderId="0" xfId="0" applyNumberFormat="1" applyFont="1" applyAlignment="1">
      <alignment horizontal="right"/>
    </xf>
    <xf numFmtId="165" fontId="172" fillId="0" borderId="0" xfId="0" applyNumberFormat="1" applyFont="1"/>
    <xf numFmtId="165" fontId="187" fillId="0" borderId="0" xfId="0" applyNumberFormat="1" applyFont="1"/>
    <xf numFmtId="165" fontId="187" fillId="0" borderId="0" xfId="0" applyNumberFormat="1" applyFont="1" applyAlignment="1">
      <alignment horizontal="left"/>
    </xf>
    <xf numFmtId="165" fontId="121" fillId="0" borderId="0" xfId="0" applyNumberFormat="1" applyFont="1" applyAlignment="1"/>
    <xf numFmtId="165" fontId="121" fillId="0" borderId="0" xfId="0" applyNumberFormat="1" applyFont="1" applyAlignment="1">
      <alignment horizontal="left"/>
    </xf>
    <xf numFmtId="165" fontId="187" fillId="0" borderId="0" xfId="0" applyNumberFormat="1" applyFont="1" applyAlignment="1" applyProtection="1">
      <alignment horizontal="left"/>
    </xf>
    <xf numFmtId="165" fontId="121" fillId="0" borderId="0" xfId="0" applyNumberFormat="1" applyFont="1" applyBorder="1" applyAlignment="1">
      <alignment horizontal="left"/>
    </xf>
    <xf numFmtId="165" fontId="121" fillId="0" borderId="0" xfId="0" applyNumberFormat="1" applyFont="1" applyBorder="1" applyAlignment="1">
      <alignment horizontal="left" vertical="top"/>
    </xf>
    <xf numFmtId="165" fontId="122" fillId="0" borderId="0" xfId="0" applyNumberFormat="1" applyFont="1" applyAlignment="1">
      <alignment horizontal="right"/>
    </xf>
    <xf numFmtId="0" fontId="187" fillId="0" borderId="0" xfId="0" applyNumberFormat="1" applyFont="1" applyAlignment="1">
      <alignment horizontal="center"/>
    </xf>
    <xf numFmtId="165" fontId="181" fillId="7" borderId="0" xfId="0" applyNumberFormat="1" applyFont="1" applyFill="1" applyAlignment="1" applyProtection="1"/>
    <xf numFmtId="165" fontId="181" fillId="7" borderId="0" xfId="0" applyNumberFormat="1" applyFont="1" applyFill="1" applyAlignment="1" applyProtection="1">
      <alignment horizontal="left"/>
    </xf>
    <xf numFmtId="165" fontId="183" fillId="7" borderId="0" xfId="0" applyNumberFormat="1" applyFont="1" applyFill="1" applyAlignment="1"/>
    <xf numFmtId="165" fontId="183" fillId="7" borderId="0" xfId="0" applyNumberFormat="1" applyFont="1" applyFill="1"/>
    <xf numFmtId="165" fontId="178" fillId="0" borderId="0" xfId="0" applyNumberFormat="1" applyFont="1" applyProtection="1"/>
    <xf numFmtId="165" fontId="181" fillId="7" borderId="0" xfId="0" applyNumberFormat="1" applyFont="1" applyFill="1"/>
    <xf numFmtId="165" fontId="181" fillId="7" borderId="0" xfId="0" applyNumberFormat="1" applyFont="1" applyFill="1" applyAlignment="1" applyProtection="1">
      <alignment horizontal="right"/>
    </xf>
    <xf numFmtId="165" fontId="125" fillId="0" borderId="0" xfId="0" applyFont="1"/>
    <xf numFmtId="165" fontId="121" fillId="0" borderId="0" xfId="0" applyNumberFormat="1" applyFont="1" applyAlignment="1">
      <alignment horizontal="right"/>
    </xf>
    <xf numFmtId="170" fontId="187" fillId="0" borderId="0" xfId="0" applyNumberFormat="1" applyFont="1" applyAlignment="1">
      <alignment vertical="top"/>
    </xf>
    <xf numFmtId="170" fontId="145" fillId="0" borderId="0" xfId="0" applyNumberFormat="1" applyFont="1" applyAlignment="1">
      <alignment horizontal="right"/>
    </xf>
    <xf numFmtId="170" fontId="121" fillId="0" borderId="0" xfId="0" applyNumberFormat="1" applyFont="1" applyAlignment="1">
      <alignment horizontal="center"/>
    </xf>
    <xf numFmtId="165" fontId="122" fillId="0" borderId="0" xfId="0" applyNumberFormat="1" applyFont="1" applyAlignment="1">
      <alignment vertical="top"/>
    </xf>
    <xf numFmtId="165" fontId="121" fillId="0" borderId="0" xfId="0" applyNumberFormat="1" applyFont="1" applyAlignment="1" applyProtection="1">
      <alignment horizontal="left"/>
    </xf>
    <xf numFmtId="2" fontId="193" fillId="6" borderId="1" xfId="15" applyNumberFormat="1" applyFont="1" applyFill="1" applyBorder="1" applyAlignment="1">
      <alignment vertical="top" wrapText="1"/>
    </xf>
    <xf numFmtId="2" fontId="143" fillId="0" borderId="15" xfId="15" applyNumberFormat="1" applyFont="1" applyFill="1" applyBorder="1" applyAlignment="1">
      <alignment vertical="top" wrapText="1"/>
    </xf>
    <xf numFmtId="2" fontId="143" fillId="6" borderId="1" xfId="15" applyNumberFormat="1" applyFont="1" applyFill="1" applyBorder="1" applyAlignment="1">
      <alignment vertical="top" wrapText="1"/>
    </xf>
    <xf numFmtId="2" fontId="184" fillId="6" borderId="1" xfId="15" applyNumberFormat="1" applyFont="1" applyFill="1" applyBorder="1" applyAlignment="1">
      <alignment vertical="top" wrapText="1"/>
    </xf>
    <xf numFmtId="2" fontId="184" fillId="0" borderId="1" xfId="15" applyNumberFormat="1" applyFont="1" applyFill="1" applyBorder="1" applyAlignment="1">
      <alignment vertical="top" wrapText="1"/>
    </xf>
    <xf numFmtId="2" fontId="184" fillId="6" borderId="15" xfId="15" applyNumberFormat="1" applyFont="1" applyFill="1" applyBorder="1" applyAlignment="1">
      <alignment vertical="top" wrapText="1"/>
    </xf>
    <xf numFmtId="2" fontId="193" fillId="0" borderId="1" xfId="15" applyNumberFormat="1" applyFont="1" applyFill="1" applyBorder="1" applyAlignment="1">
      <alignment vertical="top" wrapText="1"/>
    </xf>
    <xf numFmtId="2" fontId="193" fillId="0" borderId="15" xfId="15" applyNumberFormat="1" applyFont="1" applyFill="1" applyBorder="1" applyAlignment="1">
      <alignment vertical="top" wrapText="1"/>
    </xf>
    <xf numFmtId="2" fontId="193" fillId="6" borderId="10" xfId="15" applyNumberFormat="1" applyFont="1" applyFill="1" applyBorder="1" applyAlignment="1">
      <alignment vertical="top" wrapText="1"/>
    </xf>
    <xf numFmtId="2" fontId="194" fillId="6" borderId="1" xfId="15" applyNumberFormat="1" applyFont="1" applyFill="1" applyBorder="1" applyAlignment="1">
      <alignment vertical="top" wrapText="1"/>
    </xf>
    <xf numFmtId="2" fontId="193" fillId="6" borderId="13" xfId="15" applyNumberFormat="1" applyFont="1" applyFill="1" applyBorder="1" applyAlignment="1">
      <alignment vertical="top" wrapText="1"/>
    </xf>
    <xf numFmtId="2" fontId="193" fillId="6" borderId="15" xfId="15" applyNumberFormat="1" applyFont="1" applyFill="1" applyBorder="1" applyAlignment="1">
      <alignment vertical="top" wrapText="1"/>
    </xf>
    <xf numFmtId="165" fontId="144" fillId="6" borderId="1" xfId="0" applyFont="1" applyFill="1" applyBorder="1" applyAlignment="1">
      <alignment horizontal="left" vertical="top" wrapText="1"/>
    </xf>
    <xf numFmtId="2" fontId="195" fillId="6" borderId="1" xfId="15" applyNumberFormat="1" applyFont="1" applyFill="1" applyBorder="1" applyAlignment="1">
      <alignment vertical="top" wrapText="1"/>
    </xf>
    <xf numFmtId="2" fontId="158" fillId="6" borderId="1" xfId="16" applyNumberFormat="1" applyFont="1" applyFill="1" applyBorder="1" applyAlignment="1">
      <alignment vertical="top" wrapText="1"/>
    </xf>
    <xf numFmtId="2" fontId="196" fillId="6" borderId="13" xfId="15" applyNumberFormat="1" applyFont="1" applyFill="1" applyBorder="1" applyAlignment="1">
      <alignment vertical="top" wrapText="1"/>
    </xf>
    <xf numFmtId="2" fontId="196" fillId="6" borderId="1" xfId="15" applyNumberFormat="1" applyFont="1" applyFill="1" applyBorder="1" applyAlignment="1">
      <alignment vertical="top" wrapText="1"/>
    </xf>
    <xf numFmtId="2" fontId="197" fillId="6" borderId="1" xfId="15" applyNumberFormat="1" applyFont="1" applyFill="1" applyBorder="1" applyAlignment="1">
      <alignment vertical="top" wrapText="1"/>
    </xf>
    <xf numFmtId="2" fontId="197" fillId="6" borderId="15" xfId="15" applyNumberFormat="1" applyFont="1" applyFill="1" applyBorder="1" applyAlignment="1">
      <alignment vertical="top" wrapText="1"/>
    </xf>
    <xf numFmtId="2" fontId="197" fillId="6" borderId="10" xfId="15" applyNumberFormat="1" applyFont="1" applyFill="1" applyBorder="1" applyAlignment="1">
      <alignment vertical="top" wrapText="1"/>
    </xf>
    <xf numFmtId="2" fontId="158" fillId="6" borderId="10" xfId="15" applyNumberFormat="1" applyFont="1" applyFill="1" applyBorder="1" applyAlignment="1">
      <alignment vertical="top" wrapText="1"/>
    </xf>
    <xf numFmtId="2" fontId="198" fillId="0" borderId="1" xfId="15" applyNumberFormat="1" applyFont="1" applyFill="1" applyBorder="1" applyAlignment="1">
      <alignment vertical="top" wrapText="1"/>
    </xf>
    <xf numFmtId="165" fontId="193" fillId="6" borderId="1" xfId="0" applyFont="1" applyFill="1" applyBorder="1" applyAlignment="1">
      <alignment horizontal="left" vertical="top"/>
    </xf>
    <xf numFmtId="2" fontId="193" fillId="6" borderId="1" xfId="16" applyNumberFormat="1" applyFont="1" applyFill="1" applyBorder="1" applyAlignment="1">
      <alignment vertical="top" wrapText="1"/>
    </xf>
    <xf numFmtId="2" fontId="197" fillId="6" borderId="1" xfId="16" applyNumberFormat="1" applyFont="1" applyFill="1" applyBorder="1" applyAlignment="1">
      <alignment vertical="top" wrapText="1"/>
    </xf>
    <xf numFmtId="2" fontId="158" fillId="0" borderId="1" xfId="16" applyNumberFormat="1" applyFont="1" applyBorder="1" applyAlignment="1">
      <alignment vertical="top" wrapText="1"/>
    </xf>
    <xf numFmtId="2" fontId="144" fillId="6" borderId="1" xfId="15" applyNumberFormat="1" applyFont="1" applyFill="1" applyBorder="1" applyAlignment="1">
      <alignment vertical="top" wrapText="1"/>
    </xf>
    <xf numFmtId="0" fontId="193" fillId="6" borderId="1" xfId="0" applyNumberFormat="1" applyFont="1" applyFill="1" applyBorder="1" applyAlignment="1">
      <alignment horizontal="left" vertical="center" wrapText="1"/>
    </xf>
    <xf numFmtId="2" fontId="193" fillId="8" borderId="1" xfId="15" applyNumberFormat="1" applyFont="1" applyFill="1" applyBorder="1" applyAlignment="1">
      <alignment vertical="top" wrapText="1"/>
    </xf>
    <xf numFmtId="0" fontId="193" fillId="6" borderId="1" xfId="4" applyNumberFormat="1" applyFont="1" applyFill="1" applyBorder="1" applyAlignment="1">
      <alignment horizontal="left" vertical="center" wrapText="1"/>
    </xf>
    <xf numFmtId="2" fontId="184" fillId="6" borderId="1" xfId="16" applyNumberFormat="1" applyFont="1" applyFill="1" applyBorder="1" applyAlignment="1">
      <alignment horizontal="left" vertical="center" wrapText="1"/>
    </xf>
    <xf numFmtId="2" fontId="193" fillId="6" borderId="1" xfId="16" applyNumberFormat="1" applyFont="1" applyFill="1" applyBorder="1" applyAlignment="1">
      <alignment horizontal="left" vertical="center" wrapText="1"/>
    </xf>
    <xf numFmtId="2" fontId="195" fillId="6" borderId="1" xfId="16" applyNumberFormat="1" applyFont="1" applyFill="1" applyBorder="1" applyAlignment="1">
      <alignment vertical="top" wrapText="1"/>
    </xf>
    <xf numFmtId="2" fontId="184" fillId="6" borderId="1" xfId="16" applyNumberFormat="1" applyFont="1" applyFill="1" applyBorder="1" applyAlignment="1">
      <alignment vertical="top" wrapText="1"/>
    </xf>
    <xf numFmtId="2" fontId="193" fillId="6" borderId="1" xfId="15" applyNumberFormat="1" applyFont="1" applyFill="1" applyBorder="1" applyAlignment="1">
      <alignment horizontal="left" vertical="center" wrapText="1"/>
    </xf>
    <xf numFmtId="2" fontId="193" fillId="6" borderId="15" xfId="15" applyNumberFormat="1" applyFont="1" applyFill="1" applyBorder="1" applyAlignment="1">
      <alignment horizontal="left" vertical="center" wrapText="1"/>
    </xf>
    <xf numFmtId="2" fontId="193" fillId="6" borderId="1" xfId="15" applyNumberFormat="1" applyFont="1" applyFill="1" applyBorder="1" applyAlignment="1">
      <alignment horizontal="left" vertical="top" wrapText="1"/>
    </xf>
    <xf numFmtId="2" fontId="199" fillId="6" borderId="1" xfId="15" applyNumberFormat="1" applyFont="1" applyFill="1" applyBorder="1" applyAlignment="1">
      <alignment horizontal="left" vertical="top" wrapText="1"/>
    </xf>
    <xf numFmtId="2" fontId="184" fillId="0" borderId="1" xfId="16" applyNumberFormat="1" applyFont="1" applyFill="1" applyBorder="1" applyAlignment="1">
      <alignment vertical="top" wrapText="1"/>
    </xf>
    <xf numFmtId="2" fontId="200" fillId="0" borderId="1" xfId="15" applyNumberFormat="1" applyFont="1" applyFill="1" applyBorder="1" applyAlignment="1">
      <alignment vertical="top" wrapText="1"/>
    </xf>
    <xf numFmtId="2" fontId="197" fillId="0" borderId="13" xfId="15" applyNumberFormat="1" applyFont="1" applyFill="1" applyBorder="1" applyAlignment="1">
      <alignment vertical="top" wrapText="1"/>
    </xf>
    <xf numFmtId="165" fontId="197" fillId="6" borderId="14" xfId="0" applyFont="1" applyFill="1" applyBorder="1" applyAlignment="1">
      <alignment horizontal="left" vertical="top" wrapText="1"/>
    </xf>
    <xf numFmtId="165" fontId="193" fillId="6" borderId="1" xfId="14" applyNumberFormat="1" applyFont="1" applyFill="1" applyBorder="1" applyAlignment="1">
      <alignment horizontal="left" vertical="top" wrapText="1"/>
    </xf>
    <xf numFmtId="2" fontId="194" fillId="6" borderId="1" xfId="3" applyNumberFormat="1" applyFont="1" applyFill="1" applyBorder="1" applyAlignment="1">
      <alignment vertical="top" wrapText="1"/>
    </xf>
    <xf numFmtId="2" fontId="184" fillId="6" borderId="1" xfId="15" applyNumberFormat="1" applyFont="1" applyFill="1" applyBorder="1" applyAlignment="1">
      <alignment horizontal="center" vertical="center" wrapText="1"/>
    </xf>
    <xf numFmtId="165" fontId="143" fillId="6" borderId="0" xfId="0" applyFont="1" applyFill="1" applyAlignment="1">
      <alignment vertical="top"/>
    </xf>
    <xf numFmtId="165" fontId="126" fillId="0" borderId="0" xfId="0" applyNumberFormat="1" applyFont="1" applyFill="1" applyAlignment="1" applyProtection="1">
      <alignment horizontal="left"/>
    </xf>
    <xf numFmtId="165" fontId="121" fillId="0" borderId="0" xfId="0" applyNumberFormat="1" applyFont="1" applyFill="1" applyProtection="1"/>
    <xf numFmtId="165" fontId="127" fillId="0" borderId="0" xfId="0" applyNumberFormat="1" applyFont="1" applyFill="1" applyAlignment="1" applyProtection="1">
      <alignment horizontal="right"/>
    </xf>
    <xf numFmtId="165" fontId="202" fillId="0" borderId="0" xfId="0" applyFont="1" applyFill="1"/>
    <xf numFmtId="165" fontId="121" fillId="7" borderId="0" xfId="0" applyNumberFormat="1" applyFont="1" applyFill="1" applyAlignment="1" applyProtection="1">
      <alignment horizontal="center"/>
    </xf>
    <xf numFmtId="165" fontId="121" fillId="7" borderId="0" xfId="0" applyFont="1" applyFill="1" applyAlignment="1">
      <alignment horizontal="left"/>
    </xf>
    <xf numFmtId="165" fontId="121" fillId="7" borderId="0" xfId="0" applyFont="1" applyFill="1" applyAlignment="1"/>
    <xf numFmtId="165" fontId="122" fillId="7" borderId="0" xfId="0" applyNumberFormat="1" applyFont="1" applyFill="1" applyAlignment="1" applyProtection="1">
      <alignment horizontal="left"/>
    </xf>
    <xf numFmtId="165" fontId="121" fillId="7" borderId="0" xfId="0" applyNumberFormat="1" applyFont="1" applyFill="1" applyAlignment="1" applyProtection="1">
      <alignment horizontal="fill"/>
    </xf>
    <xf numFmtId="167" fontId="121" fillId="7" borderId="0" xfId="0" applyNumberFormat="1" applyFont="1" applyFill="1" applyProtection="1"/>
    <xf numFmtId="165" fontId="121" fillId="7" borderId="0" xfId="0" applyNumberFormat="1" applyFont="1" applyFill="1" applyAlignment="1" applyProtection="1">
      <alignment horizontal="right"/>
    </xf>
    <xf numFmtId="165" fontId="122" fillId="7" borderId="0" xfId="0" applyNumberFormat="1" applyFont="1" applyFill="1" applyProtection="1"/>
    <xf numFmtId="165" fontId="121" fillId="0" borderId="0" xfId="0" applyNumberFormat="1" applyFont="1" applyAlignment="1" applyProtection="1">
      <alignment horizontal="left"/>
    </xf>
    <xf numFmtId="2" fontId="206" fillId="0" borderId="16" xfId="20" applyNumberFormat="1" applyFont="1" applyBorder="1" applyAlignment="1">
      <alignment vertical="center"/>
    </xf>
    <xf numFmtId="165" fontId="121" fillId="0" borderId="0" xfId="0" applyFont="1" applyFill="1" applyAlignment="1">
      <alignment wrapText="1"/>
    </xf>
    <xf numFmtId="165" fontId="166" fillId="0" borderId="0" xfId="0" applyNumberFormat="1" applyFont="1" applyAlignment="1" applyProtection="1">
      <alignment horizontal="left" wrapText="1"/>
    </xf>
    <xf numFmtId="165" fontId="122" fillId="0" borderId="0" xfId="0" applyFont="1" applyFill="1"/>
    <xf numFmtId="165" fontId="205" fillId="6" borderId="0" xfId="0" applyFont="1" applyFill="1" applyBorder="1" applyAlignment="1">
      <alignment vertical="center"/>
    </xf>
    <xf numFmtId="165" fontId="205" fillId="6" borderId="0" xfId="0" applyFont="1" applyFill="1" applyAlignment="1">
      <alignment vertical="center"/>
    </xf>
    <xf numFmtId="165" fontId="204" fillId="6" borderId="16" xfId="0" applyFont="1" applyFill="1" applyBorder="1" applyAlignment="1">
      <alignment horizontal="center" vertical="center"/>
    </xf>
    <xf numFmtId="168" fontId="204" fillId="0" borderId="16" xfId="0" applyNumberFormat="1" applyFont="1" applyFill="1" applyBorder="1" applyAlignment="1">
      <alignment horizontal="right" vertical="center"/>
    </xf>
    <xf numFmtId="165" fontId="204" fillId="6" borderId="16" xfId="0" applyFont="1" applyFill="1" applyBorder="1" applyAlignment="1">
      <alignment horizontal="left" vertical="center" wrapText="1"/>
    </xf>
    <xf numFmtId="166" fontId="205" fillId="6" borderId="16" xfId="0" applyNumberFormat="1" applyFont="1" applyFill="1" applyBorder="1" applyAlignment="1">
      <alignment horizontal="center" vertical="center"/>
    </xf>
    <xf numFmtId="165" fontId="205" fillId="6" borderId="16" xfId="0" applyFont="1" applyFill="1" applyBorder="1" applyAlignment="1">
      <alignment horizontal="center" vertical="center"/>
    </xf>
    <xf numFmtId="165" fontId="205" fillId="6" borderId="16" xfId="0" applyFont="1" applyFill="1" applyBorder="1" applyAlignment="1">
      <alignment horizontal="left" vertical="center"/>
    </xf>
    <xf numFmtId="168" fontId="204" fillId="6" borderId="16" xfId="0" applyNumberFormat="1" applyFont="1" applyFill="1" applyBorder="1" applyAlignment="1">
      <alignment horizontal="right" vertical="center"/>
    </xf>
    <xf numFmtId="165" fontId="205" fillId="0" borderId="16" xfId="0" applyFont="1" applyBorder="1" applyAlignment="1">
      <alignment horizontal="left" vertical="center" wrapText="1"/>
    </xf>
    <xf numFmtId="166" fontId="205" fillId="0" borderId="16" xfId="0" applyNumberFormat="1" applyFont="1" applyBorder="1" applyAlignment="1">
      <alignment horizontal="center" vertical="center"/>
    </xf>
    <xf numFmtId="165" fontId="205" fillId="0" borderId="16" xfId="0" applyFont="1" applyBorder="1" applyAlignment="1">
      <alignment horizontal="right" vertical="center"/>
    </xf>
    <xf numFmtId="165" fontId="204" fillId="0" borderId="16" xfId="0" applyFont="1" applyBorder="1" applyAlignment="1">
      <alignment horizontal="left" vertical="center" wrapText="1"/>
    </xf>
    <xf numFmtId="165" fontId="205" fillId="0" borderId="16" xfId="0" applyFont="1" applyFill="1" applyBorder="1" applyAlignment="1">
      <alignment horizontal="right" vertical="center"/>
    </xf>
    <xf numFmtId="165" fontId="205" fillId="0" borderId="16" xfId="0" applyFont="1" applyBorder="1" applyAlignment="1">
      <alignment horizontal="left" vertical="center"/>
    </xf>
    <xf numFmtId="166" fontId="205" fillId="0" borderId="16" xfId="0" applyNumberFormat="1" applyFont="1" applyFill="1" applyBorder="1" applyAlignment="1">
      <alignment horizontal="center" vertical="center"/>
    </xf>
    <xf numFmtId="165" fontId="204" fillId="0" borderId="16" xfId="0" applyFont="1" applyBorder="1" applyAlignment="1">
      <alignment horizontal="right" vertical="center"/>
    </xf>
    <xf numFmtId="165" fontId="204" fillId="6" borderId="16" xfId="0" applyFont="1" applyFill="1" applyBorder="1" applyAlignment="1">
      <alignment horizontal="left" vertical="center"/>
    </xf>
    <xf numFmtId="165" fontId="205" fillId="6" borderId="16" xfId="0" applyFont="1" applyFill="1" applyBorder="1" applyAlignment="1">
      <alignment horizontal="left" vertical="center" wrapText="1"/>
    </xf>
    <xf numFmtId="165" fontId="205" fillId="6" borderId="16" xfId="0" applyFont="1" applyFill="1" applyBorder="1" applyAlignment="1">
      <alignment horizontal="right" vertical="center"/>
    </xf>
    <xf numFmtId="165" fontId="204" fillId="6" borderId="16" xfId="0" applyFont="1" applyFill="1" applyBorder="1" applyAlignment="1">
      <alignment horizontal="right" vertical="center"/>
    </xf>
    <xf numFmtId="168" fontId="204" fillId="12" borderId="16" xfId="0" applyNumberFormat="1" applyFont="1" applyFill="1" applyBorder="1" applyAlignment="1">
      <alignment horizontal="right" vertical="center"/>
    </xf>
    <xf numFmtId="167" fontId="205" fillId="6" borderId="16" xfId="0" applyNumberFormat="1" applyFont="1" applyFill="1" applyBorder="1" applyAlignment="1">
      <alignment horizontal="right" vertical="center"/>
    </xf>
    <xf numFmtId="167" fontId="204" fillId="6" borderId="16" xfId="0" applyNumberFormat="1" applyFont="1" applyFill="1" applyBorder="1" applyAlignment="1">
      <alignment horizontal="right" vertical="center"/>
    </xf>
    <xf numFmtId="165" fontId="204" fillId="0" borderId="16" xfId="0" applyFont="1" applyBorder="1" applyAlignment="1">
      <alignment horizontal="left" vertical="center"/>
    </xf>
    <xf numFmtId="165" fontId="205" fillId="0" borderId="16" xfId="0" applyFont="1" applyFill="1" applyBorder="1" applyAlignment="1">
      <alignment horizontal="left" vertical="center" wrapText="1"/>
    </xf>
    <xf numFmtId="165" fontId="204" fillId="0" borderId="16" xfId="0" applyFont="1" applyFill="1" applyBorder="1" applyAlignment="1">
      <alignment horizontal="right" vertical="center"/>
    </xf>
    <xf numFmtId="165" fontId="204" fillId="0" borderId="16" xfId="0" applyFont="1" applyFill="1" applyBorder="1" applyAlignment="1">
      <alignment horizontal="left" vertical="center"/>
    </xf>
    <xf numFmtId="165" fontId="205" fillId="0" borderId="0" xfId="0" applyFont="1" applyFill="1" applyAlignment="1">
      <alignment vertical="center"/>
    </xf>
    <xf numFmtId="168" fontId="204" fillId="14" borderId="16" xfId="0" applyNumberFormat="1" applyFont="1" applyFill="1" applyBorder="1" applyAlignment="1">
      <alignment horizontal="right" vertical="center"/>
    </xf>
    <xf numFmtId="165" fontId="205" fillId="6" borderId="19" xfId="0" applyFont="1" applyFill="1" applyBorder="1" applyAlignment="1">
      <alignment horizontal="right" vertical="center"/>
    </xf>
    <xf numFmtId="165" fontId="204" fillId="6" borderId="23" xfId="0" applyFont="1" applyFill="1" applyBorder="1" applyAlignment="1">
      <alignment horizontal="right" vertical="center"/>
    </xf>
    <xf numFmtId="165" fontId="204" fillId="6" borderId="20" xfId="0" applyFont="1" applyFill="1" applyBorder="1" applyAlignment="1">
      <alignment horizontal="right" vertical="center"/>
    </xf>
    <xf numFmtId="165" fontId="205" fillId="0" borderId="16" xfId="0" applyFont="1" applyBorder="1" applyAlignment="1">
      <alignment horizontal="center" vertical="center"/>
    </xf>
    <xf numFmtId="165" fontId="205" fillId="6" borderId="16" xfId="0" applyFont="1" applyFill="1" applyBorder="1" applyAlignment="1">
      <alignment vertical="center"/>
    </xf>
    <xf numFmtId="165" fontId="205" fillId="6" borderId="16" xfId="0" applyNumberFormat="1" applyFont="1" applyFill="1" applyBorder="1" applyAlignment="1">
      <alignment horizontal="center" vertical="center"/>
    </xf>
    <xf numFmtId="165" fontId="208" fillId="6" borderId="16" xfId="0" applyFont="1" applyFill="1" applyBorder="1" applyAlignment="1">
      <alignment horizontal="left" vertical="center" wrapText="1"/>
    </xf>
    <xf numFmtId="165" fontId="205" fillId="0" borderId="16" xfId="0" applyFont="1" applyFill="1" applyBorder="1" applyAlignment="1">
      <alignment horizontal="left" vertical="center"/>
    </xf>
    <xf numFmtId="168" fontId="204" fillId="7" borderId="16" xfId="0" applyNumberFormat="1" applyFont="1" applyFill="1" applyBorder="1" applyAlignment="1">
      <alignment horizontal="right" vertical="center"/>
    </xf>
    <xf numFmtId="172" fontId="165" fillId="0" borderId="1" xfId="22" applyNumberFormat="1" applyFont="1" applyFill="1" applyBorder="1" applyAlignment="1">
      <alignment vertical="top" wrapText="1"/>
    </xf>
    <xf numFmtId="2" fontId="165" fillId="0" borderId="1" xfId="22" applyNumberFormat="1" applyFont="1" applyFill="1" applyBorder="1" applyAlignment="1">
      <alignment vertical="top" wrapText="1"/>
    </xf>
    <xf numFmtId="0" fontId="189" fillId="0" borderId="16" xfId="0" applyNumberFormat="1" applyFont="1" applyFill="1" applyBorder="1" applyAlignment="1">
      <alignment horizontal="center" vertical="center"/>
    </xf>
    <xf numFmtId="2" fontId="189" fillId="0" borderId="16" xfId="0" applyNumberFormat="1" applyFont="1" applyFill="1" applyBorder="1" applyAlignment="1">
      <alignment horizontal="center"/>
    </xf>
    <xf numFmtId="2" fontId="189" fillId="0" borderId="16" xfId="0" applyNumberFormat="1" applyFont="1" applyFill="1" applyBorder="1" applyAlignment="1">
      <alignment horizontal="right"/>
    </xf>
    <xf numFmtId="0" fontId="189" fillId="0" borderId="16" xfId="0" applyNumberFormat="1" applyFont="1" applyFill="1" applyBorder="1"/>
    <xf numFmtId="0" fontId="187" fillId="0" borderId="16" xfId="0" applyNumberFormat="1" applyFont="1" applyFill="1" applyBorder="1"/>
    <xf numFmtId="0" fontId="189" fillId="0" borderId="16" xfId="0" applyNumberFormat="1" applyFont="1" applyFill="1" applyBorder="1" applyAlignment="1">
      <alignment horizontal="center"/>
    </xf>
    <xf numFmtId="0" fontId="187" fillId="0" borderId="16" xfId="0" applyNumberFormat="1" applyFont="1" applyFill="1" applyBorder="1" applyAlignment="1">
      <alignment wrapText="1"/>
    </xf>
    <xf numFmtId="173" fontId="189" fillId="0" borderId="16" xfId="0" applyNumberFormat="1" applyFont="1" applyFill="1" applyBorder="1" applyAlignment="1">
      <alignment horizontal="center"/>
    </xf>
    <xf numFmtId="165" fontId="204" fillId="6" borderId="0" xfId="0" applyFont="1" applyFill="1" applyAlignment="1">
      <alignment vertical="center"/>
    </xf>
    <xf numFmtId="0" fontId="187" fillId="0" borderId="16" xfId="0" applyNumberFormat="1" applyFont="1" applyFill="1" applyBorder="1" applyAlignment="1">
      <alignment horizontal="right"/>
    </xf>
    <xf numFmtId="0" fontId="187" fillId="0" borderId="16" xfId="0" applyNumberFormat="1" applyFont="1" applyFill="1" applyBorder="1" applyAlignment="1">
      <alignment horizontal="left" wrapText="1"/>
    </xf>
    <xf numFmtId="0" fontId="210" fillId="0" borderId="16" xfId="0" applyNumberFormat="1" applyFont="1" applyFill="1" applyBorder="1" applyAlignment="1">
      <alignment horizontal="left" wrapText="1"/>
    </xf>
    <xf numFmtId="0" fontId="210" fillId="0" borderId="16" xfId="0" applyNumberFormat="1" applyFont="1" applyFill="1" applyBorder="1" applyAlignment="1">
      <alignment horizontal="center" vertical="center"/>
    </xf>
    <xf numFmtId="166" fontId="82" fillId="6" borderId="16" xfId="0" applyNumberFormat="1" applyFont="1" applyFill="1" applyBorder="1" applyAlignment="1">
      <alignment horizontal="center" vertical="center"/>
    </xf>
    <xf numFmtId="2" fontId="210" fillId="0" borderId="16" xfId="0" applyNumberFormat="1" applyFont="1" applyFill="1" applyBorder="1" applyAlignment="1">
      <alignment horizontal="center"/>
    </xf>
    <xf numFmtId="2" fontId="210" fillId="0" borderId="16" xfId="0" applyNumberFormat="1" applyFont="1" applyFill="1" applyBorder="1" applyAlignment="1">
      <alignment horizontal="right"/>
    </xf>
    <xf numFmtId="0" fontId="211" fillId="0" borderId="16" xfId="0" applyNumberFormat="1" applyFont="1" applyFill="1" applyBorder="1" applyAlignment="1">
      <alignment horizontal="right"/>
    </xf>
    <xf numFmtId="0" fontId="211" fillId="0" borderId="16" xfId="0" applyNumberFormat="1" applyFont="1" applyFill="1" applyBorder="1" applyAlignment="1">
      <alignment horizontal="left" wrapText="1"/>
    </xf>
    <xf numFmtId="165" fontId="204" fillId="0" borderId="16" xfId="0" applyFont="1" applyFill="1" applyBorder="1" applyAlignment="1">
      <alignment horizontal="left" vertical="center" wrapText="1"/>
    </xf>
    <xf numFmtId="165" fontId="205" fillId="0" borderId="16" xfId="0" applyFont="1" applyFill="1" applyBorder="1" applyAlignment="1">
      <alignment horizontal="center" vertical="center"/>
    </xf>
    <xf numFmtId="167" fontId="205" fillId="6" borderId="16" xfId="0" applyNumberFormat="1" applyFont="1" applyFill="1" applyBorder="1" applyAlignment="1">
      <alignment horizontal="center" vertical="center"/>
    </xf>
    <xf numFmtId="165" fontId="203" fillId="0" borderId="16" xfId="0" applyFont="1" applyBorder="1" applyAlignment="1">
      <alignment wrapText="1"/>
    </xf>
    <xf numFmtId="168" fontId="205" fillId="14" borderId="16" xfId="0" applyNumberFormat="1" applyFont="1" applyFill="1" applyBorder="1" applyAlignment="1">
      <alignment horizontal="right" vertical="center"/>
    </xf>
    <xf numFmtId="168" fontId="205" fillId="6" borderId="16" xfId="0" applyNumberFormat="1" applyFont="1" applyFill="1" applyBorder="1" applyAlignment="1">
      <alignment horizontal="right" vertical="center"/>
    </xf>
    <xf numFmtId="165" fontId="204" fillId="6" borderId="16" xfId="0" applyFont="1" applyFill="1" applyBorder="1" applyAlignment="1">
      <alignment vertical="center"/>
    </xf>
    <xf numFmtId="2" fontId="204" fillId="6" borderId="16" xfId="0" applyNumberFormat="1" applyFont="1" applyFill="1" applyBorder="1" applyAlignment="1">
      <alignment vertical="center"/>
    </xf>
    <xf numFmtId="165" fontId="212" fillId="6" borderId="16" xfId="0" applyFont="1" applyFill="1" applyBorder="1" applyAlignment="1">
      <alignment horizontal="left" vertical="center" wrapText="1"/>
    </xf>
    <xf numFmtId="2" fontId="204" fillId="6" borderId="16" xfId="22" applyNumberFormat="1" applyFont="1" applyFill="1" applyBorder="1" applyAlignment="1">
      <alignment vertical="center" wrapText="1"/>
    </xf>
    <xf numFmtId="165" fontId="204" fillId="0" borderId="16" xfId="0" applyFont="1" applyFill="1" applyBorder="1" applyAlignment="1">
      <alignment horizontal="center" vertical="center"/>
    </xf>
    <xf numFmtId="165" fontId="204" fillId="0" borderId="16" xfId="0" applyNumberFormat="1" applyFont="1" applyFill="1" applyBorder="1" applyAlignment="1">
      <alignment horizontal="center" vertical="center"/>
    </xf>
    <xf numFmtId="167" fontId="204" fillId="0" borderId="16" xfId="0" applyNumberFormat="1" applyFont="1" applyFill="1" applyBorder="1" applyAlignment="1">
      <alignment horizontal="center" vertical="center"/>
    </xf>
    <xf numFmtId="2" fontId="187" fillId="0" borderId="16" xfId="0" applyNumberFormat="1" applyFont="1" applyFill="1" applyBorder="1" applyAlignment="1">
      <alignment horizontal="center"/>
    </xf>
    <xf numFmtId="165" fontId="203" fillId="0" borderId="16" xfId="0" applyFont="1" applyBorder="1"/>
    <xf numFmtId="165" fontId="203" fillId="0" borderId="16" xfId="0" applyFont="1" applyBorder="1" applyAlignment="1"/>
    <xf numFmtId="0" fontId="213" fillId="0" borderId="0" xfId="20" applyFont="1" applyAlignment="1">
      <alignment horizontal="center"/>
    </xf>
    <xf numFmtId="0" fontId="213" fillId="0" borderId="0" xfId="20" applyFont="1"/>
    <xf numFmtId="0" fontId="214" fillId="0" borderId="0" xfId="20" applyFont="1" applyAlignment="1">
      <alignment horizontal="center"/>
    </xf>
    <xf numFmtId="166" fontId="205" fillId="6" borderId="0" xfId="0" applyNumberFormat="1" applyFont="1" applyFill="1" applyAlignment="1">
      <alignment horizontal="center" vertical="center"/>
    </xf>
    <xf numFmtId="168" fontId="204" fillId="6" borderId="0" xfId="0" applyNumberFormat="1" applyFont="1" applyFill="1" applyAlignment="1">
      <alignment horizontal="right" vertical="center"/>
    </xf>
    <xf numFmtId="165" fontId="205" fillId="6" borderId="0" xfId="0" applyFont="1" applyFill="1" applyAlignment="1">
      <alignment horizontal="left" vertical="center" wrapText="1"/>
    </xf>
    <xf numFmtId="165" fontId="205" fillId="6" borderId="0" xfId="0" applyFont="1" applyFill="1" applyAlignment="1">
      <alignment horizontal="center" vertical="center"/>
    </xf>
    <xf numFmtId="165" fontId="205" fillId="6" borderId="0" xfId="0" applyFont="1" applyFill="1" applyAlignment="1">
      <alignment horizontal="left" vertical="center"/>
    </xf>
    <xf numFmtId="165" fontId="121" fillId="0" borderId="0" xfId="0" applyFont="1" applyAlignment="1">
      <alignment vertical="top"/>
    </xf>
    <xf numFmtId="165" fontId="205" fillId="6" borderId="16" xfId="0" applyFont="1" applyFill="1" applyBorder="1" applyAlignment="1">
      <alignment horizontal="center" vertical="center"/>
    </xf>
    <xf numFmtId="165" fontId="203" fillId="0" borderId="16" xfId="28" applyNumberFormat="1" applyFont="1" applyFill="1" applyBorder="1" applyAlignment="1">
      <alignment vertical="top"/>
    </xf>
    <xf numFmtId="166" fontId="203" fillId="0" borderId="16" xfId="28" applyNumberFormat="1" applyFont="1" applyFill="1" applyBorder="1"/>
    <xf numFmtId="165" fontId="203" fillId="0" borderId="16" xfId="28" applyNumberFormat="1" applyFont="1" applyFill="1" applyBorder="1" applyAlignment="1">
      <alignment horizontal="center" vertical="center"/>
    </xf>
    <xf numFmtId="165" fontId="203" fillId="0" borderId="16" xfId="28" applyNumberFormat="1" applyFont="1" applyFill="1" applyBorder="1"/>
    <xf numFmtId="165" fontId="203" fillId="0" borderId="16" xfId="28" applyNumberFormat="1" applyFont="1" applyFill="1" applyBorder="1" applyAlignment="1">
      <alignment vertical="top" wrapText="1"/>
    </xf>
    <xf numFmtId="165" fontId="206" fillId="0" borderId="16" xfId="28" applyNumberFormat="1" applyFont="1" applyFill="1" applyBorder="1" applyAlignment="1">
      <alignment vertical="top"/>
    </xf>
    <xf numFmtId="165" fontId="203" fillId="0" borderId="16" xfId="28" applyNumberFormat="1" applyFont="1" applyFill="1" applyBorder="1" applyAlignment="1">
      <alignment horizontal="center"/>
    </xf>
    <xf numFmtId="165" fontId="203" fillId="0" borderId="16" xfId="28" applyNumberFormat="1" applyFont="1" applyFill="1" applyBorder="1" applyAlignment="1">
      <alignment horizontal="right"/>
    </xf>
    <xf numFmtId="165" fontId="82" fillId="0" borderId="16" xfId="28" applyNumberFormat="1" applyFont="1" applyFill="1" applyBorder="1" applyAlignment="1">
      <alignment vertical="top"/>
    </xf>
    <xf numFmtId="166" fontId="82" fillId="0" borderId="16" xfId="28" applyNumberFormat="1" applyFont="1" applyFill="1" applyBorder="1"/>
    <xf numFmtId="165" fontId="82" fillId="0" borderId="16" xfId="28" applyNumberFormat="1" applyFont="1" applyFill="1" applyBorder="1" applyAlignment="1">
      <alignment horizontal="center" vertical="center"/>
    </xf>
    <xf numFmtId="165" fontId="82" fillId="0" borderId="16" xfId="28" applyNumberFormat="1" applyFont="1" applyFill="1" applyBorder="1"/>
    <xf numFmtId="165" fontId="83" fillId="6" borderId="16" xfId="0" applyFont="1" applyFill="1" applyBorder="1" applyAlignment="1">
      <alignment horizontal="left" vertical="center"/>
    </xf>
    <xf numFmtId="165" fontId="203" fillId="0" borderId="16" xfId="28" applyNumberFormat="1" applyFont="1" applyFill="1" applyBorder="1" applyAlignment="1">
      <alignment horizontal="center" vertical="top"/>
    </xf>
    <xf numFmtId="165" fontId="0" fillId="0" borderId="6" xfId="0" applyBorder="1"/>
    <xf numFmtId="165" fontId="0" fillId="0" borderId="7" xfId="0" applyBorder="1"/>
    <xf numFmtId="165" fontId="0" fillId="0" borderId="8" xfId="0" applyBorder="1"/>
    <xf numFmtId="165" fontId="0" fillId="0" borderId="9" xfId="0" applyBorder="1"/>
    <xf numFmtId="165" fontId="203" fillId="0" borderId="25" xfId="0" applyFont="1" applyBorder="1"/>
    <xf numFmtId="165" fontId="203" fillId="0" borderId="16" xfId="0" applyFont="1" applyBorder="1" applyAlignment="1">
      <alignment horizontal="right"/>
    </xf>
    <xf numFmtId="165" fontId="203" fillId="0" borderId="16" xfId="0" applyFont="1" applyFill="1" applyBorder="1"/>
    <xf numFmtId="165" fontId="203" fillId="7" borderId="16" xfId="0" applyFont="1" applyFill="1" applyBorder="1"/>
    <xf numFmtId="165" fontId="206" fillId="0" borderId="16" xfId="0" applyFont="1" applyBorder="1" applyAlignment="1">
      <alignment wrapText="1"/>
    </xf>
    <xf numFmtId="165" fontId="121" fillId="0" borderId="16" xfId="0" applyNumberFormat="1" applyFont="1" applyBorder="1" applyAlignment="1" applyProtection="1">
      <alignment horizontal="left" wrapText="1"/>
    </xf>
    <xf numFmtId="165" fontId="82" fillId="0" borderId="16" xfId="0" applyFont="1" applyBorder="1" applyAlignment="1">
      <alignment wrapText="1"/>
    </xf>
    <xf numFmtId="165" fontId="206" fillId="0" borderId="16" xfId="0" applyFont="1" applyBorder="1"/>
    <xf numFmtId="0" fontId="83" fillId="0" borderId="16" xfId="20" applyFont="1" applyBorder="1" applyAlignment="1">
      <alignment horizontal="center"/>
    </xf>
    <xf numFmtId="0" fontId="83" fillId="0" borderId="16" xfId="20" applyFont="1" applyBorder="1"/>
    <xf numFmtId="0" fontId="82" fillId="0" borderId="16" xfId="20" applyFont="1" applyBorder="1" applyAlignment="1">
      <alignment horizontal="center"/>
    </xf>
    <xf numFmtId="173" fontId="82" fillId="0" borderId="16" xfId="20" applyNumberFormat="1" applyFont="1" applyBorder="1" applyAlignment="1">
      <alignment horizontal="center"/>
    </xf>
    <xf numFmtId="2" fontId="82" fillId="0" borderId="16" xfId="20" applyNumberFormat="1" applyFont="1" applyBorder="1" applyAlignment="1">
      <alignment horizontal="center"/>
    </xf>
    <xf numFmtId="0" fontId="82" fillId="0" borderId="16" xfId="20" applyFont="1" applyBorder="1"/>
    <xf numFmtId="2" fontId="83" fillId="0" borderId="16" xfId="20" applyNumberFormat="1" applyFont="1" applyBorder="1" applyAlignment="1">
      <alignment horizontal="center"/>
    </xf>
    <xf numFmtId="165" fontId="218" fillId="6" borderId="16" xfId="0" applyFont="1" applyFill="1" applyBorder="1" applyAlignment="1">
      <alignment horizontal="left" vertical="center" wrapText="1"/>
    </xf>
    <xf numFmtId="165" fontId="82" fillId="0" borderId="16" xfId="0" applyFont="1" applyBorder="1" applyAlignment="1"/>
    <xf numFmtId="168" fontId="205" fillId="0" borderId="16" xfId="0" applyNumberFormat="1" applyFont="1" applyFill="1" applyBorder="1" applyAlignment="1">
      <alignment horizontal="right" vertical="center"/>
    </xf>
    <xf numFmtId="168" fontId="83" fillId="6" borderId="16" xfId="0" applyNumberFormat="1" applyFont="1" applyFill="1" applyBorder="1" applyAlignment="1">
      <alignment horizontal="right" vertical="center"/>
    </xf>
    <xf numFmtId="165" fontId="83" fillId="6" borderId="16" xfId="0" applyFont="1" applyFill="1" applyBorder="1" applyAlignment="1">
      <alignment horizontal="left" vertical="center" wrapText="1"/>
    </xf>
    <xf numFmtId="165" fontId="82" fillId="6" borderId="16" xfId="0" applyFont="1" applyFill="1" applyBorder="1" applyAlignment="1">
      <alignment horizontal="center" vertical="center"/>
    </xf>
    <xf numFmtId="165" fontId="82" fillId="6" borderId="16" xfId="0" applyFont="1" applyFill="1" applyBorder="1" applyAlignment="1">
      <alignment horizontal="left" vertical="center"/>
    </xf>
    <xf numFmtId="0" fontId="190" fillId="0" borderId="16" xfId="0" applyNumberFormat="1" applyFont="1" applyFill="1" applyBorder="1" applyAlignment="1">
      <alignment horizontal="right"/>
    </xf>
    <xf numFmtId="0" fontId="219" fillId="0" borderId="16" xfId="0" applyNumberFormat="1" applyFont="1" applyFill="1" applyBorder="1"/>
    <xf numFmtId="1" fontId="219" fillId="0" borderId="16" xfId="0" applyNumberFormat="1" applyFont="1" applyFill="1" applyBorder="1"/>
    <xf numFmtId="2" fontId="219" fillId="0" borderId="16" xfId="0" applyNumberFormat="1" applyFont="1" applyFill="1" applyBorder="1"/>
    <xf numFmtId="0" fontId="219" fillId="0" borderId="16" xfId="0" applyNumberFormat="1" applyFont="1" applyFill="1" applyBorder="1" applyAlignment="1">
      <alignment horizontal="left" wrapText="1"/>
    </xf>
    <xf numFmtId="0" fontId="219" fillId="0" borderId="16" xfId="0" applyNumberFormat="1" applyFont="1" applyFill="1" applyBorder="1" applyAlignment="1">
      <alignment horizontal="center" vertical="center"/>
    </xf>
    <xf numFmtId="166" fontId="82" fillId="6" borderId="0" xfId="0" applyNumberFormat="1" applyFont="1" applyFill="1" applyAlignment="1">
      <alignment horizontal="center" vertical="center"/>
    </xf>
    <xf numFmtId="2" fontId="219" fillId="0" borderId="16" xfId="0" applyNumberFormat="1" applyFont="1" applyFill="1" applyBorder="1" applyAlignment="1">
      <alignment horizontal="center"/>
    </xf>
    <xf numFmtId="0" fontId="219" fillId="0" borderId="16" xfId="0" applyNumberFormat="1" applyFont="1" applyFill="1" applyBorder="1" applyAlignment="1">
      <alignment horizontal="left"/>
    </xf>
    <xf numFmtId="2" fontId="190" fillId="0" borderId="16" xfId="0" applyNumberFormat="1" applyFont="1" applyFill="1" applyBorder="1" applyAlignment="1">
      <alignment horizontal="right"/>
    </xf>
    <xf numFmtId="165" fontId="82" fillId="6" borderId="16" xfId="0" applyFont="1" applyFill="1" applyBorder="1" applyAlignment="1">
      <alignment horizontal="left" vertical="center" wrapText="1"/>
    </xf>
    <xf numFmtId="165" fontId="82" fillId="6" borderId="16" xfId="0" applyFont="1" applyFill="1" applyBorder="1" applyAlignment="1">
      <alignment horizontal="right" vertical="center"/>
    </xf>
    <xf numFmtId="165" fontId="83" fillId="6" borderId="16" xfId="0" applyFont="1" applyFill="1" applyBorder="1" applyAlignment="1">
      <alignment horizontal="right" vertical="center"/>
    </xf>
    <xf numFmtId="168" fontId="83" fillId="0" borderId="16" xfId="0" applyNumberFormat="1" applyFont="1" applyFill="1" applyBorder="1" applyAlignment="1">
      <alignment horizontal="right" vertical="center"/>
    </xf>
    <xf numFmtId="165" fontId="82" fillId="6" borderId="0" xfId="0" applyFont="1" applyFill="1" applyAlignment="1">
      <alignment vertical="center"/>
    </xf>
    <xf numFmtId="165" fontId="82" fillId="0" borderId="16" xfId="0" applyFont="1" applyBorder="1"/>
    <xf numFmtId="166" fontId="82" fillId="0" borderId="16" xfId="0" applyNumberFormat="1" applyFont="1" applyFill="1" applyBorder="1" applyAlignment="1">
      <alignment horizontal="center" vertical="center"/>
    </xf>
    <xf numFmtId="165" fontId="82" fillId="0" borderId="16" xfId="0" applyFont="1" applyFill="1" applyBorder="1" applyAlignment="1">
      <alignment horizontal="right" vertical="center"/>
    </xf>
    <xf numFmtId="0" fontId="157" fillId="0" borderId="16" xfId="15" applyFont="1" applyBorder="1" applyAlignment="1">
      <alignment horizontal="center" vertical="center" wrapText="1"/>
    </xf>
    <xf numFmtId="0" fontId="157" fillId="0" borderId="16" xfId="15" applyFont="1" applyBorder="1" applyAlignment="1">
      <alignment horizontal="center" vertical="top" wrapText="1"/>
    </xf>
    <xf numFmtId="0" fontId="166" fillId="0" borderId="16" xfId="45" applyFont="1" applyBorder="1" applyAlignment="1">
      <alignment horizontal="center" vertical="center" wrapText="1"/>
    </xf>
    <xf numFmtId="2" fontId="221" fillId="0" borderId="16" xfId="45" applyNumberFormat="1" applyFont="1" applyBorder="1" applyAlignment="1">
      <alignment vertical="center" wrapText="1"/>
    </xf>
    <xf numFmtId="165" fontId="162" fillId="0" borderId="16" xfId="0" applyFont="1" applyBorder="1" applyAlignment="1">
      <alignment horizontal="center" vertical="center"/>
    </xf>
    <xf numFmtId="165" fontId="163" fillId="0" borderId="16" xfId="0" applyFont="1" applyBorder="1" applyAlignment="1">
      <alignment horizontal="center" vertical="center"/>
    </xf>
    <xf numFmtId="2" fontId="151" fillId="0" borderId="16" xfId="45" applyNumberFormat="1" applyFont="1" applyBorder="1" applyAlignment="1">
      <alignment vertical="center" wrapText="1"/>
    </xf>
    <xf numFmtId="2" fontId="166" fillId="0" borderId="16" xfId="45" applyNumberFormat="1" applyFont="1" applyBorder="1" applyAlignment="1">
      <alignment horizontal="center" vertical="center" wrapText="1"/>
    </xf>
    <xf numFmtId="172" fontId="166" fillId="0" borderId="16" xfId="45" applyNumberFormat="1" applyFont="1" applyBorder="1" applyAlignment="1">
      <alignment horizontal="center" vertical="center" wrapText="1"/>
    </xf>
    <xf numFmtId="2" fontId="123" fillId="0" borderId="16" xfId="45" applyNumberFormat="1" applyFont="1" applyBorder="1" applyAlignment="1">
      <alignment vertical="center" wrapText="1"/>
    </xf>
    <xf numFmtId="2" fontId="8" fillId="0" borderId="0" xfId="15" applyNumberFormat="1" applyFont="1" applyBorder="1" applyAlignment="1">
      <alignment horizontal="center" vertical="top" wrapText="1"/>
    </xf>
    <xf numFmtId="0" fontId="157" fillId="0" borderId="16" xfId="45" applyFont="1" applyBorder="1" applyAlignment="1">
      <alignment horizontal="left" vertical="center" wrapText="1"/>
    </xf>
    <xf numFmtId="2" fontId="158" fillId="0" borderId="16" xfId="45" applyNumberFormat="1" applyFont="1" applyBorder="1" applyAlignment="1">
      <alignment vertical="center" wrapText="1"/>
    </xf>
    <xf numFmtId="0" fontId="8" fillId="0" borderId="0" xfId="15" applyFont="1" applyBorder="1" applyAlignment="1">
      <alignment horizontal="center" vertical="top" wrapText="1"/>
    </xf>
    <xf numFmtId="172" fontId="221" fillId="0" borderId="16" xfId="45" applyNumberFormat="1" applyFont="1" applyBorder="1" applyAlignment="1">
      <alignment vertical="center" wrapText="1"/>
    </xf>
    <xf numFmtId="165" fontId="121" fillId="0" borderId="16" xfId="0" applyFont="1" applyBorder="1" applyAlignment="1">
      <alignment vertical="center"/>
    </xf>
    <xf numFmtId="1" fontId="166" fillId="0" borderId="16" xfId="45" applyNumberFormat="1" applyFont="1" applyBorder="1" applyAlignment="1">
      <alignment horizontal="center" vertical="center" wrapText="1"/>
    </xf>
    <xf numFmtId="165" fontId="121" fillId="0" borderId="0" xfId="0" applyFont="1" applyAlignment="1">
      <alignment vertical="center"/>
    </xf>
    <xf numFmtId="165" fontId="157" fillId="0" borderId="0" xfId="0" applyFont="1" applyAlignment="1">
      <alignment horizontal="center" vertical="center"/>
    </xf>
    <xf numFmtId="165" fontId="184" fillId="6" borderId="1" xfId="0" applyFont="1" applyFill="1" applyBorder="1" applyAlignment="1">
      <alignment horizontal="center" vertical="top" wrapText="1"/>
    </xf>
    <xf numFmtId="2" fontId="107" fillId="7" borderId="1" xfId="15" applyNumberFormat="1" applyFont="1" applyFill="1" applyBorder="1" applyAlignment="1">
      <alignment horizontal="center" vertical="top" wrapText="1"/>
    </xf>
    <xf numFmtId="165" fontId="222" fillId="0" borderId="16" xfId="0" applyFont="1" applyBorder="1"/>
    <xf numFmtId="2" fontId="107" fillId="0" borderId="1" xfId="15" applyNumberFormat="1" applyFont="1" applyFill="1" applyBorder="1" applyAlignment="1">
      <alignment horizontal="center" vertical="top" wrapText="1"/>
    </xf>
    <xf numFmtId="2" fontId="193" fillId="0" borderId="10" xfId="15" applyNumberFormat="1" applyFont="1" applyFill="1" applyBorder="1" applyAlignment="1">
      <alignment vertical="top" wrapText="1"/>
    </xf>
    <xf numFmtId="2" fontId="193" fillId="0" borderId="1" xfId="16" applyNumberFormat="1" applyFont="1" applyFill="1" applyBorder="1" applyAlignment="1">
      <alignment vertical="top" wrapText="1"/>
    </xf>
    <xf numFmtId="2" fontId="193" fillId="0" borderId="10" xfId="16" applyNumberFormat="1" applyFont="1" applyFill="1" applyBorder="1" applyAlignment="1">
      <alignment vertical="top" wrapText="1"/>
    </xf>
    <xf numFmtId="2" fontId="184" fillId="0" borderId="1" xfId="16" applyNumberFormat="1" applyFont="1" applyFill="1" applyBorder="1" applyAlignment="1">
      <alignment horizontal="left" vertical="center" wrapText="1"/>
    </xf>
    <xf numFmtId="2" fontId="193" fillId="0" borderId="1" xfId="16" applyNumberFormat="1" applyFont="1" applyFill="1" applyBorder="1" applyAlignment="1">
      <alignment horizontal="left" vertical="center" wrapText="1"/>
    </xf>
    <xf numFmtId="2" fontId="51" fillId="0" borderId="1" xfId="19" applyNumberFormat="1" applyFont="1" applyFill="1" applyBorder="1" applyAlignment="1">
      <alignment horizontal="right" vertical="top" wrapText="1"/>
    </xf>
    <xf numFmtId="2" fontId="51" fillId="0" borderId="1" xfId="16" applyNumberFormat="1" applyFont="1" applyFill="1" applyBorder="1" applyAlignment="1">
      <alignment horizontal="center" vertical="top" wrapText="1"/>
    </xf>
    <xf numFmtId="2" fontId="197" fillId="0" borderId="1" xfId="16" applyNumberFormat="1" applyFont="1" applyFill="1" applyBorder="1" applyAlignment="1">
      <alignment vertical="top" wrapText="1"/>
    </xf>
    <xf numFmtId="165" fontId="206" fillId="0" borderId="16" xfId="26" applyNumberFormat="1" applyFont="1" applyFill="1" applyBorder="1" applyAlignment="1">
      <alignment horizontal="center" vertical="center"/>
    </xf>
    <xf numFmtId="165" fontId="206" fillId="0" borderId="16" xfId="26" applyNumberFormat="1" applyFont="1" applyFill="1" applyBorder="1" applyAlignment="1">
      <alignment horizontal="left" vertical="center"/>
    </xf>
    <xf numFmtId="165" fontId="203" fillId="0" borderId="16" xfId="26" applyNumberFormat="1" applyFont="1" applyFill="1" applyBorder="1" applyAlignment="1">
      <alignment horizontal="center" vertical="center"/>
    </xf>
    <xf numFmtId="165" fontId="203" fillId="0" borderId="16" xfId="26" applyNumberFormat="1" applyFont="1" applyFill="1" applyBorder="1" applyAlignment="1">
      <alignment horizontal="left" vertical="center"/>
    </xf>
    <xf numFmtId="166" fontId="203" fillId="0" borderId="16" xfId="26" applyNumberFormat="1" applyFont="1" applyFill="1" applyBorder="1" applyAlignment="1">
      <alignment horizontal="center" vertical="center"/>
    </xf>
    <xf numFmtId="165" fontId="206" fillId="0" borderId="16" xfId="26" applyNumberFormat="1" applyFont="1" applyFill="1" applyBorder="1" applyAlignment="1">
      <alignment horizontal="center" vertical="center" wrapText="1"/>
    </xf>
    <xf numFmtId="172" fontId="203" fillId="0" borderId="16" xfId="45" applyNumberFormat="1" applyFont="1" applyFill="1" applyBorder="1" applyAlignment="1">
      <alignment horizontal="center" vertical="center" wrapText="1"/>
    </xf>
    <xf numFmtId="2" fontId="203" fillId="0" borderId="16" xfId="45" applyNumberFormat="1" applyFont="1" applyFill="1" applyBorder="1" applyAlignment="1">
      <alignment horizontal="left" vertical="center" wrapText="1"/>
    </xf>
    <xf numFmtId="1" fontId="203" fillId="0" borderId="16" xfId="45" applyNumberFormat="1" applyFont="1" applyFill="1" applyBorder="1" applyAlignment="1">
      <alignment horizontal="center" vertical="center" wrapText="1"/>
    </xf>
    <xf numFmtId="1" fontId="203" fillId="0" borderId="16" xfId="0" applyNumberFormat="1" applyFont="1" applyFill="1" applyBorder="1" applyAlignment="1">
      <alignment horizontal="center" vertical="center" wrapText="1"/>
    </xf>
    <xf numFmtId="165" fontId="203" fillId="0" borderId="16" xfId="0" applyFont="1" applyFill="1" applyBorder="1" applyAlignment="1">
      <alignment horizontal="center" vertical="center" wrapText="1"/>
    </xf>
    <xf numFmtId="165" fontId="203" fillId="0" borderId="16" xfId="0" applyFont="1" applyBorder="1" applyAlignment="1">
      <alignment horizontal="center" vertical="center"/>
    </xf>
    <xf numFmtId="165" fontId="203" fillId="0" borderId="16" xfId="0" applyFont="1" applyBorder="1" applyAlignment="1">
      <alignment horizontal="left" vertical="center" wrapText="1"/>
    </xf>
    <xf numFmtId="166" fontId="203" fillId="0" borderId="16" xfId="0" applyNumberFormat="1" applyFont="1" applyBorder="1" applyAlignment="1">
      <alignment horizontal="center" vertical="center"/>
    </xf>
    <xf numFmtId="165" fontId="206" fillId="0" borderId="16" xfId="0" applyFont="1" applyBorder="1" applyAlignment="1">
      <alignment horizontal="center" vertical="center"/>
    </xf>
    <xf numFmtId="165" fontId="206" fillId="0" borderId="16" xfId="0" applyFont="1" applyFill="1" applyBorder="1" applyAlignment="1">
      <alignment horizontal="center" vertical="center" wrapText="1"/>
    </xf>
    <xf numFmtId="165" fontId="203" fillId="0" borderId="16" xfId="0" applyFont="1" applyFill="1" applyBorder="1" applyAlignment="1">
      <alignment horizontal="left" vertical="center" wrapText="1"/>
    </xf>
    <xf numFmtId="2" fontId="203" fillId="0" borderId="16" xfId="45" applyNumberFormat="1" applyFont="1" applyFill="1" applyBorder="1" applyAlignment="1">
      <alignment horizontal="center" vertical="center" wrapText="1"/>
    </xf>
    <xf numFmtId="165" fontId="203" fillId="0" borderId="16" xfId="0" applyNumberFormat="1" applyFont="1" applyFill="1" applyBorder="1" applyAlignment="1">
      <alignment horizontal="center" vertical="center" wrapText="1"/>
    </xf>
    <xf numFmtId="167" fontId="203" fillId="0" borderId="16" xfId="0" applyNumberFormat="1" applyFont="1" applyFill="1" applyBorder="1" applyAlignment="1">
      <alignment horizontal="center" vertical="center" wrapText="1"/>
    </xf>
    <xf numFmtId="167" fontId="206" fillId="0" borderId="16" xfId="0" applyNumberFormat="1" applyFont="1" applyFill="1" applyBorder="1" applyAlignment="1">
      <alignment horizontal="center" vertical="center" wrapText="1"/>
    </xf>
    <xf numFmtId="0" fontId="225" fillId="0" borderId="16" xfId="30" applyFont="1" applyBorder="1" applyAlignment="1">
      <alignment horizontal="center" vertical="center" wrapText="1"/>
    </xf>
    <xf numFmtId="0" fontId="225" fillId="0" borderId="16" xfId="30" applyFont="1" applyFill="1" applyBorder="1" applyAlignment="1">
      <alignment horizontal="center" vertical="center" wrapText="1"/>
    </xf>
    <xf numFmtId="0" fontId="226" fillId="0" borderId="16" xfId="30" applyFont="1" applyBorder="1" applyAlignment="1">
      <alignment vertical="top"/>
    </xf>
    <xf numFmtId="0" fontId="226" fillId="0" borderId="16" xfId="30" applyFont="1" applyBorder="1" applyAlignment="1">
      <alignment vertical="top" wrapText="1"/>
    </xf>
    <xf numFmtId="0" fontId="226" fillId="0" borderId="16" xfId="30" applyFont="1" applyBorder="1"/>
    <xf numFmtId="0" fontId="226" fillId="0" borderId="8" xfId="30" applyFont="1" applyBorder="1"/>
    <xf numFmtId="0" fontId="226" fillId="0" borderId="20" xfId="30" applyFont="1" applyBorder="1"/>
    <xf numFmtId="0" fontId="225" fillId="0" borderId="16" xfId="30" applyFont="1" applyBorder="1"/>
    <xf numFmtId="0" fontId="226" fillId="0" borderId="16" xfId="30" applyFont="1" applyBorder="1" applyAlignment="1">
      <alignment horizontal="center"/>
    </xf>
    <xf numFmtId="0" fontId="226" fillId="0" borderId="19" xfId="30" applyFont="1" applyBorder="1" applyAlignment="1">
      <alignment horizontal="center"/>
    </xf>
    <xf numFmtId="2" fontId="226" fillId="0" borderId="16" xfId="30" applyNumberFormat="1" applyFont="1" applyBorder="1" applyAlignment="1">
      <alignment horizontal="center"/>
    </xf>
    <xf numFmtId="2" fontId="226" fillId="0" borderId="19" xfId="30" applyNumberFormat="1" applyFont="1" applyBorder="1" applyAlignment="1">
      <alignment horizontal="center"/>
    </xf>
    <xf numFmtId="0" fontId="225" fillId="0" borderId="16" xfId="30" applyFont="1" applyBorder="1" applyAlignment="1">
      <alignment horizontal="center"/>
    </xf>
    <xf numFmtId="2" fontId="225" fillId="0" borderId="19" xfId="30" applyNumberFormat="1" applyFont="1" applyBorder="1" applyAlignment="1">
      <alignment horizontal="center"/>
    </xf>
    <xf numFmtId="0" fontId="225" fillId="0" borderId="20" xfId="30" applyFont="1" applyBorder="1"/>
    <xf numFmtId="0" fontId="225" fillId="0" borderId="19" xfId="30" applyFont="1" applyBorder="1" applyAlignment="1">
      <alignment horizontal="center"/>
    </xf>
    <xf numFmtId="0" fontId="226" fillId="0" borderId="16" xfId="30" applyFont="1" applyBorder="1" applyAlignment="1">
      <alignment wrapText="1"/>
    </xf>
    <xf numFmtId="172" fontId="226" fillId="0" borderId="16" xfId="30" applyNumberFormat="1" applyFont="1" applyBorder="1" applyAlignment="1">
      <alignment horizontal="center"/>
    </xf>
    <xf numFmtId="0" fontId="226" fillId="0" borderId="0" xfId="30" applyFont="1"/>
    <xf numFmtId="2" fontId="226" fillId="0" borderId="16" xfId="30" applyNumberFormat="1" applyFont="1" applyBorder="1" applyAlignment="1">
      <alignment horizontal="right"/>
    </xf>
    <xf numFmtId="2" fontId="226" fillId="0" borderId="16" xfId="30" applyNumberFormat="1" applyFont="1" applyBorder="1"/>
    <xf numFmtId="2" fontId="225" fillId="0" borderId="16" xfId="30" applyNumberFormat="1" applyFont="1" applyBorder="1"/>
    <xf numFmtId="173" fontId="225" fillId="0" borderId="16" xfId="30" applyNumberFormat="1" applyFont="1" applyBorder="1"/>
    <xf numFmtId="165" fontId="206" fillId="0" borderId="16" xfId="27" applyNumberFormat="1" applyFont="1" applyFill="1" applyBorder="1" applyAlignment="1">
      <alignment horizontal="center" vertical="center" wrapText="1"/>
    </xf>
    <xf numFmtId="165" fontId="206" fillId="0" borderId="16" xfId="27" applyNumberFormat="1" applyFont="1" applyFill="1" applyBorder="1" applyAlignment="1">
      <alignment horizontal="center" vertical="center"/>
    </xf>
    <xf numFmtId="172" fontId="203" fillId="0" borderId="16" xfId="45" applyNumberFormat="1" applyFont="1" applyFill="1" applyBorder="1" applyAlignment="1">
      <alignment vertical="center" wrapText="1"/>
    </xf>
    <xf numFmtId="166" fontId="203" fillId="0" borderId="16" xfId="0" applyNumberFormat="1" applyFont="1" applyFill="1" applyBorder="1" applyAlignment="1">
      <alignment horizontal="center" vertical="center"/>
    </xf>
    <xf numFmtId="165" fontId="203" fillId="0" borderId="16" xfId="0" applyFont="1" applyFill="1" applyBorder="1" applyAlignment="1">
      <alignment vertical="center"/>
    </xf>
    <xf numFmtId="2" fontId="206" fillId="0" borderId="16" xfId="45" applyNumberFormat="1" applyFont="1" applyFill="1" applyBorder="1" applyAlignment="1">
      <alignment horizontal="left" vertical="center" wrapText="1"/>
    </xf>
    <xf numFmtId="1" fontId="203" fillId="0" borderId="16" xfId="0" applyNumberFormat="1" applyFont="1" applyFill="1" applyBorder="1" applyAlignment="1">
      <alignment horizontal="center" vertical="center"/>
    </xf>
    <xf numFmtId="165" fontId="203" fillId="0" borderId="16" xfId="0" applyFont="1" applyFill="1" applyBorder="1" applyAlignment="1">
      <alignment horizontal="center" vertical="center"/>
    </xf>
    <xf numFmtId="165" fontId="203" fillId="0" borderId="16" xfId="46" applyNumberFormat="1" applyFont="1" applyFill="1" applyBorder="1" applyAlignment="1">
      <alignment horizontal="center" vertical="center"/>
    </xf>
    <xf numFmtId="165" fontId="203" fillId="0" borderId="16" xfId="27" applyNumberFormat="1" applyFont="1" applyFill="1" applyBorder="1" applyAlignment="1">
      <alignment horizontal="center" vertical="center"/>
    </xf>
    <xf numFmtId="165" fontId="203" fillId="0" borderId="16" xfId="27" applyNumberFormat="1" applyFont="1" applyFill="1" applyBorder="1" applyAlignment="1">
      <alignment horizontal="left" vertical="center"/>
    </xf>
    <xf numFmtId="166" fontId="203" fillId="0" borderId="16" xfId="27" applyNumberFormat="1" applyFont="1" applyFill="1" applyBorder="1" applyAlignment="1">
      <alignment horizontal="center" vertical="center"/>
    </xf>
    <xf numFmtId="168" fontId="203" fillId="0" borderId="16" xfId="0" applyNumberFormat="1" applyFont="1" applyFill="1" applyBorder="1" applyAlignment="1">
      <alignment horizontal="center" vertical="center"/>
    </xf>
    <xf numFmtId="165" fontId="206" fillId="0" borderId="16" xfId="0" applyFont="1" applyFill="1" applyBorder="1" applyAlignment="1">
      <alignment horizontal="center" vertical="center"/>
    </xf>
    <xf numFmtId="2" fontId="206" fillId="0" borderId="16" xfId="45" applyNumberFormat="1" applyFont="1" applyFill="1" applyBorder="1" applyAlignment="1">
      <alignment horizontal="center" vertical="center" wrapText="1"/>
    </xf>
    <xf numFmtId="165" fontId="203" fillId="0" borderId="16" xfId="0" applyNumberFormat="1" applyFont="1" applyFill="1" applyBorder="1" applyAlignment="1">
      <alignment horizontal="center" vertical="center"/>
    </xf>
    <xf numFmtId="2" fontId="228" fillId="0" borderId="16" xfId="45" applyNumberFormat="1" applyFont="1" applyFill="1" applyBorder="1" applyAlignment="1">
      <alignment vertical="center" wrapText="1"/>
    </xf>
    <xf numFmtId="167" fontId="203" fillId="0" borderId="16" xfId="0" applyNumberFormat="1" applyFont="1" applyFill="1" applyBorder="1" applyAlignment="1">
      <alignment horizontal="center" vertical="center"/>
    </xf>
    <xf numFmtId="166" fontId="203" fillId="0" borderId="16" xfId="0" applyNumberFormat="1" applyFont="1" applyFill="1" applyBorder="1" applyAlignment="1">
      <alignment horizontal="right" vertical="center"/>
    </xf>
    <xf numFmtId="165" fontId="206" fillId="0" borderId="16" xfId="0" applyFont="1" applyFill="1" applyBorder="1" applyAlignment="1">
      <alignment horizontal="left" vertical="center" wrapText="1"/>
    </xf>
    <xf numFmtId="0" fontId="229" fillId="0" borderId="16" xfId="20" applyFont="1" applyBorder="1" applyAlignment="1">
      <alignment horizontal="center" vertical="center"/>
    </xf>
    <xf numFmtId="0" fontId="2" fillId="0" borderId="0" xfId="30" applyFont="1"/>
    <xf numFmtId="0" fontId="83" fillId="0" borderId="16" xfId="20" applyFont="1" applyBorder="1" applyAlignment="1">
      <alignment wrapText="1"/>
    </xf>
    <xf numFmtId="0" fontId="82" fillId="0" borderId="16" xfId="20" applyFont="1" applyBorder="1" applyAlignment="1">
      <alignment horizontal="center" vertical="center"/>
    </xf>
    <xf numFmtId="2" fontId="82" fillId="0" borderId="16" xfId="20" applyNumberFormat="1" applyFont="1" applyBorder="1" applyAlignment="1">
      <alignment horizontal="center" vertical="center"/>
    </xf>
    <xf numFmtId="0" fontId="229" fillId="0" borderId="19" xfId="20" applyFont="1" applyBorder="1" applyAlignment="1">
      <alignment horizontal="center" vertical="center"/>
    </xf>
    <xf numFmtId="0" fontId="229" fillId="0" borderId="20" xfId="20" applyFont="1" applyBorder="1" applyAlignment="1">
      <alignment horizontal="center" vertical="center"/>
    </xf>
    <xf numFmtId="2" fontId="229" fillId="0" borderId="16" xfId="20" applyNumberFormat="1" applyFont="1" applyBorder="1" applyAlignment="1">
      <alignment horizontal="center" vertical="center"/>
    </xf>
    <xf numFmtId="2" fontId="83" fillId="0" borderId="16" xfId="20" applyNumberFormat="1" applyFont="1" applyBorder="1" applyAlignment="1">
      <alignment horizontal="center" vertical="center"/>
    </xf>
    <xf numFmtId="0" fontId="83" fillId="0" borderId="16" xfId="20" applyFont="1" applyBorder="1" applyAlignment="1">
      <alignment horizontal="center" vertical="center"/>
    </xf>
    <xf numFmtId="0" fontId="82" fillId="0" borderId="16" xfId="20" applyFont="1" applyBorder="1" applyAlignment="1">
      <alignment wrapText="1"/>
    </xf>
    <xf numFmtId="2" fontId="82" fillId="0" borderId="16" xfId="20" applyNumberFormat="1" applyFont="1" applyBorder="1" applyAlignment="1">
      <alignment horizontal="center" vertical="center" wrapText="1"/>
    </xf>
    <xf numFmtId="0" fontId="83" fillId="6" borderId="16" xfId="20" applyFont="1" applyFill="1" applyBorder="1"/>
    <xf numFmtId="0" fontId="2" fillId="0" borderId="16" xfId="30" applyFont="1" applyBorder="1"/>
    <xf numFmtId="0" fontId="82" fillId="0" borderId="16" xfId="0" applyNumberFormat="1" applyFont="1" applyBorder="1" applyAlignment="1">
      <alignment wrapText="1"/>
    </xf>
    <xf numFmtId="2" fontId="231" fillId="0" borderId="16" xfId="20" applyNumberFormat="1" applyFont="1" applyBorder="1" applyAlignment="1">
      <alignment horizontal="center" vertical="center"/>
    </xf>
    <xf numFmtId="0" fontId="82" fillId="0" borderId="16" xfId="0" applyNumberFormat="1" applyFont="1" applyBorder="1" applyAlignment="1">
      <alignment horizontal="center" vertical="center"/>
    </xf>
    <xf numFmtId="2" fontId="82" fillId="0" borderId="16" xfId="0" applyNumberFormat="1" applyFont="1" applyBorder="1" applyAlignment="1">
      <alignment horizontal="center" vertical="center"/>
    </xf>
    <xf numFmtId="173" fontId="82" fillId="0" borderId="19" xfId="0" applyNumberFormat="1" applyFont="1" applyBorder="1" applyAlignment="1">
      <alignment horizontal="center" vertical="center"/>
    </xf>
    <xf numFmtId="173" fontId="82" fillId="0" borderId="20" xfId="0" applyNumberFormat="1" applyFont="1" applyBorder="1" applyAlignment="1">
      <alignment horizontal="center" vertical="center"/>
    </xf>
    <xf numFmtId="0" fontId="82" fillId="0" borderId="16" xfId="0" applyNumberFormat="1" applyFont="1" applyBorder="1"/>
    <xf numFmtId="0" fontId="0" fillId="0" borderId="16" xfId="0" applyNumberFormat="1" applyBorder="1"/>
    <xf numFmtId="0" fontId="23" fillId="0" borderId="16" xfId="20" applyFont="1" applyBorder="1"/>
    <xf numFmtId="0" fontId="210" fillId="0" borderId="16" xfId="30" applyFont="1" applyBorder="1" applyAlignment="1">
      <alignment horizontal="center"/>
    </xf>
    <xf numFmtId="0" fontId="4" fillId="0" borderId="16" xfId="20" applyBorder="1"/>
    <xf numFmtId="0" fontId="82" fillId="0" borderId="16" xfId="20" applyFont="1" applyBorder="1" applyAlignment="1">
      <alignment horizontal="right" vertical="center"/>
    </xf>
    <xf numFmtId="173" fontId="82" fillId="0" borderId="16" xfId="20" applyNumberFormat="1" applyFont="1" applyBorder="1" applyAlignment="1">
      <alignment horizontal="center" vertical="center"/>
    </xf>
    <xf numFmtId="173" fontId="83" fillId="0" borderId="16" xfId="20" applyNumberFormat="1" applyFont="1" applyBorder="1" applyAlignment="1">
      <alignment horizontal="center" vertical="center"/>
    </xf>
    <xf numFmtId="0" fontId="85" fillId="0" borderId="16" xfId="30" applyFont="1" applyBorder="1"/>
    <xf numFmtId="0" fontId="85" fillId="0" borderId="16" xfId="30" applyFont="1" applyBorder="1" applyAlignment="1">
      <alignment horizontal="center"/>
    </xf>
    <xf numFmtId="2" fontId="85" fillId="0" borderId="16" xfId="30" applyNumberFormat="1" applyFont="1" applyBorder="1" applyAlignment="1">
      <alignment horizontal="center" vertical="center"/>
    </xf>
    <xf numFmtId="0" fontId="85" fillId="0" borderId="16" xfId="30" applyFont="1" applyBorder="1" applyAlignment="1">
      <alignment wrapText="1"/>
    </xf>
    <xf numFmtId="0" fontId="2" fillId="0" borderId="16" xfId="30" applyFont="1" applyBorder="1" applyAlignment="1">
      <alignment horizontal="center"/>
    </xf>
    <xf numFmtId="2" fontId="2" fillId="0" borderId="16" xfId="30" applyNumberFormat="1" applyFont="1" applyBorder="1" applyAlignment="1">
      <alignment horizontal="center"/>
    </xf>
    <xf numFmtId="0" fontId="2" fillId="0" borderId="16" xfId="30" applyFont="1" applyBorder="1" applyAlignment="1">
      <alignment wrapText="1"/>
    </xf>
    <xf numFmtId="172" fontId="2" fillId="0" borderId="16" xfId="30" applyNumberFormat="1" applyFont="1" applyBorder="1"/>
    <xf numFmtId="2" fontId="2" fillId="0" borderId="16" xfId="30" applyNumberFormat="1" applyFont="1" applyBorder="1"/>
    <xf numFmtId="2" fontId="85" fillId="0" borderId="16" xfId="30" applyNumberFormat="1" applyFont="1" applyBorder="1" applyAlignment="1">
      <alignment horizontal="right" vertical="center"/>
    </xf>
    <xf numFmtId="2" fontId="85" fillId="0" borderId="16" xfId="30" applyNumberFormat="1" applyFont="1" applyBorder="1" applyAlignment="1">
      <alignment horizontal="center"/>
    </xf>
    <xf numFmtId="2" fontId="2" fillId="0" borderId="16" xfId="30" applyNumberFormat="1" applyFont="1" applyBorder="1" applyAlignment="1">
      <alignment horizontal="right"/>
    </xf>
    <xf numFmtId="2" fontId="85" fillId="0" borderId="16" xfId="30" applyNumberFormat="1" applyFont="1" applyBorder="1"/>
    <xf numFmtId="0" fontId="2" fillId="0" borderId="8" xfId="30" applyFont="1" applyBorder="1"/>
    <xf numFmtId="2" fontId="2" fillId="0" borderId="2" xfId="30" applyNumberFormat="1" applyFont="1" applyBorder="1" applyAlignment="1">
      <alignment horizontal="center"/>
    </xf>
    <xf numFmtId="0" fontId="85" fillId="0" borderId="25" xfId="30" applyFont="1" applyBorder="1"/>
    <xf numFmtId="0" fontId="85" fillId="0" borderId="25" xfId="30" applyFont="1" applyBorder="1" applyAlignment="1">
      <alignment horizontal="center"/>
    </xf>
    <xf numFmtId="2" fontId="85" fillId="0" borderId="25" xfId="30" applyNumberFormat="1" applyFont="1" applyBorder="1" applyAlignment="1">
      <alignment horizontal="center" vertical="center"/>
    </xf>
    <xf numFmtId="0" fontId="85" fillId="0" borderId="16" xfId="30" applyFont="1" applyFill="1" applyBorder="1" applyAlignment="1">
      <alignment wrapText="1"/>
    </xf>
    <xf numFmtId="0" fontId="187" fillId="0" borderId="16" xfId="0" applyNumberFormat="1" applyFont="1" applyBorder="1" applyAlignment="1">
      <alignment horizontal="center"/>
    </xf>
    <xf numFmtId="0" fontId="233" fillId="0" borderId="16" xfId="0" applyNumberFormat="1" applyFont="1" applyBorder="1"/>
    <xf numFmtId="0" fontId="233" fillId="0" borderId="16" xfId="0" applyNumberFormat="1" applyFont="1" applyBorder="1" applyAlignment="1">
      <alignment wrapText="1"/>
    </xf>
    <xf numFmtId="2" fontId="233" fillId="0" borderId="16" xfId="0" applyNumberFormat="1" applyFont="1" applyBorder="1"/>
    <xf numFmtId="0" fontId="233" fillId="0" borderId="16" xfId="0" applyNumberFormat="1" applyFont="1" applyBorder="1" applyAlignment="1">
      <alignment horizontal="center"/>
    </xf>
    <xf numFmtId="2" fontId="229" fillId="0" borderId="16" xfId="0" applyNumberFormat="1" applyFont="1" applyBorder="1"/>
    <xf numFmtId="0" fontId="187" fillId="0" borderId="16" xfId="0" applyNumberFormat="1" applyFont="1" applyBorder="1" applyAlignment="1">
      <alignment horizontal="center" vertical="center"/>
    </xf>
    <xf numFmtId="0" fontId="187" fillId="0" borderId="16" xfId="0" applyNumberFormat="1" applyFont="1" applyBorder="1"/>
    <xf numFmtId="0" fontId="189" fillId="0" borderId="16" xfId="0" applyNumberFormat="1" applyFont="1" applyBorder="1" applyAlignment="1">
      <alignment horizontal="center"/>
    </xf>
    <xf numFmtId="0" fontId="189" fillId="0" borderId="16" xfId="0" applyNumberFormat="1" applyFont="1" applyBorder="1" applyAlignment="1">
      <alignment wrapText="1"/>
    </xf>
    <xf numFmtId="0" fontId="189" fillId="0" borderId="16" xfId="0" applyNumberFormat="1" applyFont="1" applyBorder="1"/>
    <xf numFmtId="2" fontId="189" fillId="0" borderId="16" xfId="0" applyNumberFormat="1" applyFont="1" applyBorder="1"/>
    <xf numFmtId="2" fontId="189" fillId="0" borderId="16" xfId="0" applyNumberFormat="1" applyFont="1" applyBorder="1" applyAlignment="1">
      <alignment horizontal="center"/>
    </xf>
    <xf numFmtId="2" fontId="187" fillId="0" borderId="16" xfId="0" applyNumberFormat="1" applyFont="1" applyBorder="1"/>
    <xf numFmtId="0" fontId="189" fillId="0" borderId="16" xfId="0" applyNumberFormat="1" applyFont="1" applyBorder="1" applyAlignment="1">
      <alignment horizontal="left" wrapText="1"/>
    </xf>
    <xf numFmtId="2" fontId="187" fillId="0" borderId="16" xfId="0" applyNumberFormat="1" applyFont="1" applyBorder="1" applyAlignment="1">
      <alignment horizontal="center"/>
    </xf>
    <xf numFmtId="0" fontId="234" fillId="0" borderId="16" xfId="0" applyNumberFormat="1" applyFont="1" applyBorder="1" applyAlignment="1">
      <alignment wrapText="1"/>
    </xf>
    <xf numFmtId="0" fontId="165" fillId="0" borderId="16" xfId="0" applyNumberFormat="1" applyFont="1" applyBorder="1"/>
    <xf numFmtId="0" fontId="165" fillId="0" borderId="16" xfId="0" applyNumberFormat="1" applyFont="1" applyBorder="1" applyAlignment="1">
      <alignment wrapText="1"/>
    </xf>
    <xf numFmtId="0" fontId="165" fillId="0" borderId="16" xfId="0" applyNumberFormat="1" applyFont="1" applyBorder="1" applyAlignment="1">
      <alignment horizontal="center"/>
    </xf>
    <xf numFmtId="2" fontId="172" fillId="0" borderId="16" xfId="0" applyNumberFormat="1" applyFont="1" applyBorder="1"/>
    <xf numFmtId="2" fontId="165" fillId="0" borderId="16" xfId="0" applyNumberFormat="1" applyFont="1" applyBorder="1"/>
    <xf numFmtId="0" fontId="172" fillId="0" borderId="16" xfId="0" applyNumberFormat="1" applyFont="1" applyBorder="1"/>
    <xf numFmtId="0" fontId="235" fillId="0" borderId="16" xfId="0" applyNumberFormat="1" applyFont="1" applyBorder="1" applyAlignment="1">
      <alignment wrapText="1"/>
    </xf>
    <xf numFmtId="172" fontId="165" fillId="0" borderId="16" xfId="0" applyNumberFormat="1" applyFont="1" applyBorder="1"/>
    <xf numFmtId="0" fontId="235" fillId="0" borderId="16" xfId="0" applyNumberFormat="1" applyFont="1" applyBorder="1"/>
    <xf numFmtId="165" fontId="0" fillId="0" borderId="16" xfId="0" applyBorder="1"/>
    <xf numFmtId="166" fontId="121" fillId="0" borderId="16" xfId="0" applyNumberFormat="1" applyFont="1" applyBorder="1"/>
    <xf numFmtId="165" fontId="121" fillId="0" borderId="16" xfId="0" applyFont="1" applyBorder="1"/>
    <xf numFmtId="165" fontId="236" fillId="0" borderId="16" xfId="0" applyFont="1" applyBorder="1" applyAlignment="1">
      <alignment wrapText="1"/>
    </xf>
    <xf numFmtId="165" fontId="0" fillId="0" borderId="16" xfId="0" applyBorder="1" applyAlignment="1">
      <alignment wrapText="1"/>
    </xf>
    <xf numFmtId="165" fontId="122" fillId="0" borderId="16" xfId="0" applyFont="1" applyBorder="1"/>
    <xf numFmtId="0" fontId="190" fillId="0" borderId="16" xfId="0" applyNumberFormat="1" applyFont="1" applyBorder="1" applyAlignment="1">
      <alignment horizontal="center" vertical="center"/>
    </xf>
    <xf numFmtId="1" fontId="131" fillId="0" borderId="16" xfId="0" applyNumberFormat="1" applyFont="1" applyBorder="1" applyAlignment="1">
      <alignment horizontal="center" vertical="center"/>
    </xf>
    <xf numFmtId="0" fontId="187" fillId="6" borderId="16" xfId="0" applyNumberFormat="1" applyFont="1" applyFill="1" applyBorder="1" applyAlignment="1">
      <alignment horizontal="center" vertical="center"/>
    </xf>
    <xf numFmtId="0" fontId="189" fillId="0" borderId="16" xfId="0" applyNumberFormat="1" applyFont="1" applyBorder="1" applyAlignment="1">
      <alignment horizontal="center" vertical="center"/>
    </xf>
    <xf numFmtId="2" fontId="189" fillId="0" borderId="16" xfId="0" applyNumberFormat="1" applyFont="1" applyBorder="1" applyAlignment="1">
      <alignment horizontal="center" vertical="center"/>
    </xf>
    <xf numFmtId="2" fontId="187" fillId="0" borderId="16" xfId="0" applyNumberFormat="1" applyFont="1" applyBorder="1" applyAlignment="1">
      <alignment horizontal="center" vertical="center"/>
    </xf>
    <xf numFmtId="1" fontId="82" fillId="0" borderId="16" xfId="0" applyNumberFormat="1" applyFont="1" applyBorder="1" applyAlignment="1">
      <alignment horizontal="center" vertical="center"/>
    </xf>
    <xf numFmtId="0" fontId="210" fillId="0" borderId="16" xfId="0" applyNumberFormat="1" applyFont="1" applyBorder="1" applyAlignment="1">
      <alignment horizontal="justify" vertical="center" wrapText="1"/>
    </xf>
    <xf numFmtId="0" fontId="210" fillId="0" borderId="16" xfId="0" applyNumberFormat="1" applyFont="1" applyBorder="1" applyAlignment="1">
      <alignment horizontal="center" vertical="center"/>
    </xf>
    <xf numFmtId="2" fontId="210" fillId="0" borderId="16" xfId="0" applyNumberFormat="1" applyFont="1" applyBorder="1" applyAlignment="1">
      <alignment horizontal="center" vertical="center"/>
    </xf>
    <xf numFmtId="2" fontId="211" fillId="0" borderId="16" xfId="0" applyNumberFormat="1" applyFont="1" applyBorder="1" applyAlignment="1">
      <alignment horizontal="center" vertical="center"/>
    </xf>
    <xf numFmtId="0" fontId="211" fillId="0" borderId="16" xfId="0" applyNumberFormat="1" applyFont="1" applyBorder="1" applyAlignment="1">
      <alignment wrapText="1"/>
    </xf>
    <xf numFmtId="0" fontId="210" fillId="0" borderId="16" xfId="0" applyNumberFormat="1" applyFont="1" applyBorder="1" applyAlignment="1">
      <alignment wrapText="1"/>
    </xf>
    <xf numFmtId="0" fontId="211" fillId="0" borderId="16" xfId="0" applyNumberFormat="1" applyFont="1" applyBorder="1" applyAlignment="1">
      <alignment horizontal="left" wrapText="1"/>
    </xf>
    <xf numFmtId="0" fontId="210" fillId="0" borderId="16" xfId="0" applyNumberFormat="1" applyFont="1" applyBorder="1" applyAlignment="1">
      <alignment horizontal="center" vertical="center" wrapText="1"/>
    </xf>
    <xf numFmtId="0" fontId="219" fillId="0" borderId="16" xfId="0" applyNumberFormat="1" applyFont="1" applyBorder="1" applyAlignment="1">
      <alignment wrapText="1"/>
    </xf>
    <xf numFmtId="0" fontId="219" fillId="0" borderId="16" xfId="0" applyNumberFormat="1" applyFont="1" applyBorder="1" applyAlignment="1">
      <alignment horizontal="center" vertical="center"/>
    </xf>
    <xf numFmtId="2" fontId="219" fillId="0" borderId="16" xfId="0" applyNumberFormat="1" applyFont="1" applyBorder="1" applyAlignment="1">
      <alignment horizontal="center" vertical="center"/>
    </xf>
    <xf numFmtId="2" fontId="82" fillId="0" borderId="16" xfId="45" applyNumberFormat="1" applyFont="1" applyBorder="1" applyAlignment="1">
      <alignment vertical="top" wrapText="1"/>
    </xf>
    <xf numFmtId="2" fontId="82" fillId="6" borderId="1" xfId="45" applyNumberFormat="1" applyFont="1" applyFill="1" applyBorder="1" applyAlignment="1">
      <alignment vertical="top" wrapText="1"/>
    </xf>
    <xf numFmtId="1" fontId="82" fillId="6" borderId="16" xfId="20" applyNumberFormat="1" applyFont="1" applyFill="1" applyBorder="1" applyAlignment="1" applyProtection="1">
      <alignment horizontal="center" vertical="center"/>
      <protection locked="0"/>
    </xf>
    <xf numFmtId="0" fontId="83" fillId="6" borderId="16" xfId="20" applyFont="1" applyFill="1" applyBorder="1" applyAlignment="1" applyProtection="1">
      <alignment vertical="center" wrapText="1"/>
      <protection locked="0"/>
    </xf>
    <xf numFmtId="0" fontId="82" fillId="6" borderId="16" xfId="20" applyFont="1" applyFill="1" applyBorder="1" applyAlignment="1" applyProtection="1">
      <alignment horizontal="center" vertical="center"/>
      <protection locked="0"/>
    </xf>
    <xf numFmtId="0" fontId="82" fillId="6" borderId="16" xfId="20" applyFont="1" applyFill="1" applyBorder="1" applyAlignment="1" applyProtection="1">
      <alignment vertical="center" wrapText="1"/>
      <protection locked="0"/>
    </xf>
    <xf numFmtId="2" fontId="82" fillId="6" borderId="16" xfId="20" applyNumberFormat="1" applyFont="1" applyFill="1" applyBorder="1" applyAlignment="1" applyProtection="1">
      <alignment horizontal="center" vertical="center"/>
      <protection locked="0"/>
    </xf>
    <xf numFmtId="2" fontId="83" fillId="6" borderId="16" xfId="20" applyNumberFormat="1" applyFont="1" applyFill="1" applyBorder="1" applyAlignment="1" applyProtection="1">
      <alignment horizontal="center" vertical="center"/>
      <protection locked="0"/>
    </xf>
    <xf numFmtId="0" fontId="189" fillId="0" borderId="0" xfId="0" applyNumberFormat="1" applyFont="1" applyAlignment="1">
      <alignment wrapText="1"/>
    </xf>
    <xf numFmtId="0" fontId="189" fillId="0" borderId="0" xfId="0" applyNumberFormat="1" applyFont="1" applyAlignment="1">
      <alignment horizontal="center" vertical="center"/>
    </xf>
    <xf numFmtId="2" fontId="194" fillId="0" borderId="1" xfId="0" applyNumberFormat="1" applyFont="1" applyBorder="1" applyAlignment="1">
      <alignment horizontal="center" vertical="center"/>
    </xf>
    <xf numFmtId="0" fontId="194" fillId="0" borderId="1" xfId="0" applyNumberFormat="1" applyFont="1" applyBorder="1" applyAlignment="1">
      <alignment horizontal="center" vertical="center"/>
    </xf>
    <xf numFmtId="0" fontId="194" fillId="0" borderId="1" xfId="0" applyNumberFormat="1" applyFont="1" applyBorder="1" applyAlignment="1">
      <alignment horizontal="center"/>
    </xf>
    <xf numFmtId="0" fontId="194" fillId="0" borderId="1" xfId="0" applyNumberFormat="1" applyFont="1" applyBorder="1" applyAlignment="1">
      <alignment wrapText="1"/>
    </xf>
    <xf numFmtId="0" fontId="194" fillId="0" borderId="1" xfId="0" applyNumberFormat="1" applyFont="1" applyBorder="1"/>
    <xf numFmtId="0" fontId="194" fillId="0" borderId="1" xfId="0" applyNumberFormat="1" applyFont="1" applyBorder="1" applyAlignment="1">
      <alignment horizontal="left" wrapText="1"/>
    </xf>
    <xf numFmtId="0" fontId="194" fillId="0" borderId="1" xfId="0" applyNumberFormat="1" applyFont="1" applyBorder="1" applyAlignment="1">
      <alignment horizontal="center" vertical="center" wrapText="1"/>
    </xf>
    <xf numFmtId="2" fontId="194" fillId="0" borderId="1" xfId="0" applyNumberFormat="1" applyFont="1" applyFill="1" applyBorder="1" applyAlignment="1">
      <alignment horizontal="center" vertical="center"/>
    </xf>
    <xf numFmtId="0" fontId="237" fillId="0" borderId="1" xfId="0" applyNumberFormat="1" applyFont="1" applyBorder="1" applyAlignment="1">
      <alignment wrapText="1"/>
    </xf>
    <xf numFmtId="0" fontId="201" fillId="0" borderId="1" xfId="0" applyNumberFormat="1" applyFont="1" applyBorder="1" applyAlignment="1">
      <alignment wrapText="1"/>
    </xf>
    <xf numFmtId="2" fontId="194" fillId="0" borderId="1" xfId="0" applyNumberFormat="1" applyFont="1" applyBorder="1"/>
    <xf numFmtId="2" fontId="194" fillId="0" borderId="1" xfId="0" applyNumberFormat="1" applyFont="1" applyBorder="1" applyAlignment="1">
      <alignment horizontal="center"/>
    </xf>
    <xf numFmtId="165" fontId="158" fillId="0" borderId="1" xfId="0" applyNumberFormat="1" applyFont="1" applyBorder="1" applyAlignment="1">
      <alignment horizontal="center" vertical="center"/>
    </xf>
    <xf numFmtId="165" fontId="158" fillId="0" borderId="1" xfId="0" applyNumberFormat="1" applyFont="1" applyBorder="1" applyAlignment="1">
      <alignment horizontal="center" vertical="center" wrapText="1"/>
    </xf>
    <xf numFmtId="0" fontId="238" fillId="0" borderId="1" xfId="0" applyNumberFormat="1" applyFont="1" applyBorder="1" applyAlignment="1">
      <alignment horizontal="justify" vertical="center" wrapText="1"/>
    </xf>
    <xf numFmtId="0" fontId="238" fillId="0" borderId="1" xfId="0" applyNumberFormat="1" applyFont="1" applyBorder="1" applyAlignment="1">
      <alignment horizontal="left" vertical="center"/>
    </xf>
    <xf numFmtId="0" fontId="238" fillId="0" borderId="1" xfId="0" applyNumberFormat="1" applyFont="1" applyBorder="1" applyAlignment="1">
      <alignment horizontal="left" vertical="center" wrapText="1"/>
    </xf>
    <xf numFmtId="0" fontId="238" fillId="0" borderId="1" xfId="0" applyNumberFormat="1" applyFont="1" applyBorder="1" applyAlignment="1">
      <alignment wrapText="1"/>
    </xf>
    <xf numFmtId="165" fontId="158" fillId="0" borderId="1" xfId="0" applyNumberFormat="1" applyFont="1" applyBorder="1" applyAlignment="1">
      <alignment horizontal="left" vertical="center" wrapText="1"/>
    </xf>
    <xf numFmtId="165" fontId="158" fillId="0" borderId="1" xfId="0" applyNumberFormat="1" applyFont="1" applyBorder="1" applyAlignment="1">
      <alignment wrapText="1"/>
    </xf>
    <xf numFmtId="165" fontId="158" fillId="0" borderId="1" xfId="0" applyNumberFormat="1" applyFont="1" applyBorder="1"/>
    <xf numFmtId="0" fontId="238" fillId="0" borderId="1" xfId="0" applyNumberFormat="1" applyFont="1" applyBorder="1"/>
    <xf numFmtId="2" fontId="158" fillId="6" borderId="1" xfId="45" applyNumberFormat="1" applyFont="1" applyFill="1" applyBorder="1" applyAlignment="1">
      <alignment vertical="top" wrapText="1"/>
    </xf>
    <xf numFmtId="0" fontId="194" fillId="0" borderId="16" xfId="0" applyNumberFormat="1" applyFont="1" applyBorder="1"/>
    <xf numFmtId="0" fontId="82" fillId="6" borderId="24" xfId="20" applyFont="1" applyFill="1" applyBorder="1" applyAlignment="1">
      <alignment vertical="top" wrapText="1"/>
    </xf>
    <xf numFmtId="165" fontId="184" fillId="6" borderId="1" xfId="14" applyNumberFormat="1" applyFont="1" applyFill="1" applyBorder="1" applyAlignment="1">
      <alignment horizontal="left" vertical="top" wrapText="1"/>
    </xf>
    <xf numFmtId="165" fontId="116" fillId="7" borderId="0" xfId="0" applyFont="1" applyFill="1" applyAlignment="1">
      <alignment vertical="top"/>
    </xf>
    <xf numFmtId="165" fontId="115" fillId="7" borderId="0" xfId="0" applyFont="1" applyFill="1" applyAlignment="1">
      <alignment vertical="top"/>
    </xf>
    <xf numFmtId="165" fontId="55" fillId="7" borderId="0" xfId="0" applyFont="1" applyFill="1" applyAlignment="1">
      <alignment vertical="top"/>
    </xf>
    <xf numFmtId="165" fontId="0" fillId="0" borderId="0" xfId="0" applyNumberFormat="1" applyAlignment="1">
      <alignment wrapText="1"/>
    </xf>
    <xf numFmtId="165" fontId="15" fillId="0" borderId="0" xfId="0" applyNumberFormat="1" applyFont="1" applyAlignment="1" applyProtection="1">
      <alignment horizontal="right"/>
    </xf>
    <xf numFmtId="165" fontId="11" fillId="7" borderId="0" xfId="0" applyNumberFormat="1" applyFont="1" applyFill="1" applyAlignment="1" applyProtection="1">
      <alignment horizontal="center"/>
    </xf>
    <xf numFmtId="167" fontId="184" fillId="6" borderId="1" xfId="0" applyNumberFormat="1" applyFont="1" applyFill="1" applyBorder="1" applyAlignment="1">
      <alignment horizontal="center" vertical="top" wrapText="1"/>
    </xf>
    <xf numFmtId="165" fontId="239" fillId="6" borderId="1" xfId="0" applyFont="1" applyFill="1" applyBorder="1" applyAlignment="1">
      <alignment horizontal="center" vertical="top" wrapText="1"/>
    </xf>
    <xf numFmtId="172" fontId="193" fillId="6" borderId="1" xfId="15" applyNumberFormat="1" applyFont="1" applyFill="1" applyBorder="1" applyAlignment="1">
      <alignment vertical="top" wrapText="1"/>
    </xf>
    <xf numFmtId="9" fontId="193" fillId="6" borderId="1" xfId="19" applyFont="1" applyFill="1" applyBorder="1" applyAlignment="1">
      <alignment horizontal="right" vertical="top" wrapText="1"/>
    </xf>
    <xf numFmtId="2" fontId="193" fillId="6" borderId="1" xfId="15" applyNumberFormat="1" applyFont="1" applyFill="1" applyBorder="1" applyAlignment="1">
      <alignment horizontal="center" vertical="top" wrapText="1"/>
    </xf>
    <xf numFmtId="2" fontId="193" fillId="0" borderId="1" xfId="15" applyNumberFormat="1" applyFont="1" applyFill="1" applyBorder="1" applyAlignment="1">
      <alignment horizontal="center" vertical="top" wrapText="1"/>
    </xf>
    <xf numFmtId="165" fontId="193" fillId="6" borderId="1" xfId="0" applyFont="1" applyFill="1" applyBorder="1" applyAlignment="1">
      <alignment horizontal="right" vertical="top" wrapText="1"/>
    </xf>
    <xf numFmtId="165" fontId="199" fillId="6" borderId="1" xfId="0" applyFont="1" applyFill="1" applyBorder="1" applyAlignment="1">
      <alignment horizontal="right" vertical="top" wrapText="1"/>
    </xf>
    <xf numFmtId="167" fontId="193" fillId="6" borderId="1" xfId="0" applyNumberFormat="1" applyFont="1" applyFill="1" applyBorder="1" applyAlignment="1">
      <alignment horizontal="right" vertical="top" wrapText="1"/>
    </xf>
    <xf numFmtId="165" fontId="240" fillId="6" borderId="1" xfId="0" applyFont="1" applyFill="1" applyBorder="1" applyAlignment="1">
      <alignment vertical="top" wrapText="1"/>
    </xf>
    <xf numFmtId="165" fontId="194" fillId="0" borderId="1" xfId="0" applyFont="1" applyFill="1" applyBorder="1" applyAlignment="1">
      <alignment vertical="top" wrapText="1"/>
    </xf>
    <xf numFmtId="2" fontId="194" fillId="0" borderId="1" xfId="15" applyNumberFormat="1" applyFont="1" applyFill="1" applyBorder="1" applyAlignment="1">
      <alignment horizontal="center" vertical="top" wrapText="1"/>
    </xf>
    <xf numFmtId="165" fontId="194" fillId="6" borderId="1" xfId="0" applyFont="1" applyFill="1" applyBorder="1" applyAlignment="1">
      <alignment vertical="top" wrapText="1"/>
    </xf>
    <xf numFmtId="167" fontId="194" fillId="6" borderId="1" xfId="0" applyNumberFormat="1" applyFont="1" applyFill="1" applyBorder="1" applyAlignment="1">
      <alignment vertical="top" wrapText="1"/>
    </xf>
    <xf numFmtId="172" fontId="143" fillId="0" borderId="15" xfId="15" applyNumberFormat="1" applyFont="1" applyFill="1" applyBorder="1" applyAlignment="1">
      <alignment vertical="top" wrapText="1"/>
    </xf>
    <xf numFmtId="165" fontId="143" fillId="0" borderId="15" xfId="0" applyFont="1" applyFill="1" applyBorder="1" applyAlignment="1">
      <alignment horizontal="right" vertical="top" wrapText="1"/>
    </xf>
    <xf numFmtId="2" fontId="143" fillId="0" borderId="15" xfId="15" applyNumberFormat="1" applyFont="1" applyFill="1" applyBorder="1" applyAlignment="1">
      <alignment horizontal="center" vertical="top" wrapText="1"/>
    </xf>
    <xf numFmtId="165" fontId="194" fillId="0" borderId="1" xfId="0" applyFont="1" applyFill="1" applyBorder="1" applyAlignment="1">
      <alignment horizontal="right" vertical="top" wrapText="1"/>
    </xf>
    <xf numFmtId="172" fontId="143" fillId="6" borderId="1" xfId="15" applyNumberFormat="1" applyFont="1" applyFill="1" applyBorder="1" applyAlignment="1">
      <alignment vertical="top" wrapText="1"/>
    </xf>
    <xf numFmtId="165" fontId="193" fillId="6" borderId="1" xfId="0" applyFont="1" applyFill="1" applyBorder="1" applyAlignment="1">
      <alignment vertical="top" wrapText="1"/>
    </xf>
    <xf numFmtId="2" fontId="194" fillId="6" borderId="1" xfId="15" applyNumberFormat="1" applyFont="1" applyFill="1" applyBorder="1" applyAlignment="1">
      <alignment horizontal="center" vertical="top" wrapText="1"/>
    </xf>
    <xf numFmtId="172" fontId="193" fillId="6" borderId="15" xfId="15" applyNumberFormat="1" applyFont="1" applyFill="1" applyBorder="1" applyAlignment="1">
      <alignment vertical="top" wrapText="1"/>
    </xf>
    <xf numFmtId="165" fontId="143" fillId="6" borderId="15" xfId="0" applyFont="1" applyFill="1" applyBorder="1" applyAlignment="1">
      <alignment vertical="top" wrapText="1"/>
    </xf>
    <xf numFmtId="2" fontId="143" fillId="6" borderId="15" xfId="15" applyNumberFormat="1" applyFont="1" applyFill="1" applyBorder="1" applyAlignment="1">
      <alignment horizontal="center" vertical="top" wrapText="1"/>
    </xf>
    <xf numFmtId="165" fontId="143" fillId="6" borderId="1" xfId="0" applyFont="1" applyFill="1" applyBorder="1" applyAlignment="1">
      <alignment vertical="top" wrapText="1"/>
    </xf>
    <xf numFmtId="2" fontId="143" fillId="6" borderId="1" xfId="15" applyNumberFormat="1" applyFont="1" applyFill="1" applyBorder="1" applyAlignment="1">
      <alignment horizontal="center" vertical="top" wrapText="1"/>
    </xf>
    <xf numFmtId="165" fontId="194" fillId="7" borderId="1" xfId="0" applyFont="1" applyFill="1" applyBorder="1" applyAlignment="1">
      <alignment vertical="top" wrapText="1"/>
    </xf>
    <xf numFmtId="2" fontId="194" fillId="7" borderId="1" xfId="15" applyNumberFormat="1" applyFont="1" applyFill="1" applyBorder="1" applyAlignment="1">
      <alignment horizontal="center" vertical="top" wrapText="1"/>
    </xf>
    <xf numFmtId="0" fontId="201" fillId="0" borderId="0" xfId="30" applyFont="1" applyBorder="1" applyAlignment="1">
      <alignment wrapText="1"/>
    </xf>
    <xf numFmtId="172" fontId="193" fillId="0" borderId="1" xfId="15" applyNumberFormat="1" applyFont="1" applyFill="1" applyBorder="1" applyAlignment="1">
      <alignment vertical="top" wrapText="1"/>
    </xf>
    <xf numFmtId="165" fontId="193" fillId="0" borderId="1" xfId="0" applyFont="1" applyFill="1" applyBorder="1" applyAlignment="1">
      <alignment horizontal="right" vertical="top" wrapText="1"/>
    </xf>
    <xf numFmtId="165" fontId="143" fillId="6" borderId="1" xfId="0" applyFont="1" applyFill="1" applyBorder="1" applyAlignment="1">
      <alignment horizontal="right" vertical="top" wrapText="1"/>
    </xf>
    <xf numFmtId="172" fontId="193" fillId="0" borderId="15" xfId="15" applyNumberFormat="1" applyFont="1" applyFill="1" applyBorder="1" applyAlignment="1">
      <alignment vertical="top" wrapText="1"/>
    </xf>
    <xf numFmtId="165" fontId="193" fillId="0" borderId="15" xfId="0" applyFont="1" applyFill="1" applyBorder="1" applyAlignment="1">
      <alignment horizontal="right" vertical="top" wrapText="1"/>
    </xf>
    <xf numFmtId="2" fontId="193" fillId="0" borderId="15" xfId="15" applyNumberFormat="1" applyFont="1" applyFill="1" applyBorder="1" applyAlignment="1">
      <alignment horizontal="center" vertical="top" wrapText="1"/>
    </xf>
    <xf numFmtId="172" fontId="193" fillId="0" borderId="1" xfId="0" applyNumberFormat="1" applyFont="1" applyFill="1" applyBorder="1" applyAlignment="1">
      <alignment vertical="top" wrapText="1"/>
    </xf>
    <xf numFmtId="172" fontId="193" fillId="6" borderId="1" xfId="0" applyNumberFormat="1" applyFont="1" applyFill="1" applyBorder="1" applyAlignment="1">
      <alignment vertical="top" wrapText="1"/>
    </xf>
    <xf numFmtId="2" fontId="184" fillId="6" borderId="1" xfId="15" applyNumberFormat="1" applyFont="1" applyFill="1" applyBorder="1" applyAlignment="1">
      <alignment horizontal="center" vertical="top" wrapText="1"/>
    </xf>
    <xf numFmtId="172" fontId="194" fillId="6" borderId="1" xfId="15" applyNumberFormat="1" applyFont="1" applyFill="1" applyBorder="1" applyAlignment="1">
      <alignment vertical="top" wrapText="1"/>
    </xf>
    <xf numFmtId="165" fontId="194" fillId="6" borderId="1" xfId="0" applyFont="1" applyFill="1" applyBorder="1" applyAlignment="1">
      <alignment horizontal="right" vertical="top" wrapText="1"/>
    </xf>
    <xf numFmtId="172" fontId="193" fillId="6" borderId="10" xfId="0" applyNumberFormat="1" applyFont="1" applyFill="1" applyBorder="1" applyAlignment="1">
      <alignment vertical="top"/>
    </xf>
    <xf numFmtId="165" fontId="143" fillId="6" borderId="10" xfId="0" applyFont="1" applyFill="1" applyBorder="1" applyAlignment="1">
      <alignment vertical="top" wrapText="1"/>
    </xf>
    <xf numFmtId="2" fontId="143" fillId="6" borderId="10" xfId="15" applyNumberFormat="1" applyFont="1" applyFill="1" applyBorder="1" applyAlignment="1">
      <alignment horizontal="center" vertical="top" wrapText="1"/>
    </xf>
    <xf numFmtId="165" fontId="194" fillId="0" borderId="10" xfId="0" applyFont="1" applyFill="1" applyBorder="1" applyAlignment="1">
      <alignment vertical="top" wrapText="1"/>
    </xf>
    <xf numFmtId="165" fontId="194" fillId="6" borderId="10" xfId="0" applyFont="1" applyFill="1" applyBorder="1" applyAlignment="1">
      <alignment vertical="top" wrapText="1"/>
    </xf>
    <xf numFmtId="167" fontId="194" fillId="0" borderId="1" xfId="0" applyNumberFormat="1" applyFont="1" applyFill="1" applyBorder="1" applyAlignment="1">
      <alignment vertical="top" wrapText="1"/>
    </xf>
    <xf numFmtId="172" fontId="193" fillId="6" borderId="13" xfId="15" applyNumberFormat="1" applyFont="1" applyFill="1" applyBorder="1" applyAlignment="1">
      <alignment vertical="top" wrapText="1"/>
    </xf>
    <xf numFmtId="165" fontId="143" fillId="6" borderId="13" xfId="0" applyFont="1" applyFill="1" applyBorder="1" applyAlignment="1">
      <alignment vertical="top" wrapText="1"/>
    </xf>
    <xf numFmtId="2" fontId="143" fillId="6" borderId="13" xfId="15" applyNumberFormat="1" applyFont="1" applyFill="1" applyBorder="1" applyAlignment="1">
      <alignment horizontal="center" vertical="top" wrapText="1"/>
    </xf>
    <xf numFmtId="165" fontId="193" fillId="6" borderId="1" xfId="0" applyFont="1" applyFill="1" applyBorder="1" applyAlignment="1">
      <alignment vertical="top"/>
    </xf>
    <xf numFmtId="165" fontId="193" fillId="6" borderId="15" xfId="0" applyFont="1" applyFill="1" applyBorder="1" applyAlignment="1">
      <alignment horizontal="right" vertical="top" wrapText="1"/>
    </xf>
    <xf numFmtId="2" fontId="193" fillId="6" borderId="15" xfId="15" applyNumberFormat="1" applyFont="1" applyFill="1" applyBorder="1" applyAlignment="1">
      <alignment horizontal="center" vertical="top" wrapText="1"/>
    </xf>
    <xf numFmtId="172" fontId="193" fillId="6" borderId="1" xfId="15" applyNumberFormat="1" applyFont="1" applyFill="1" applyBorder="1" applyAlignment="1">
      <alignment horizontal="right" vertical="top" wrapText="1"/>
    </xf>
    <xf numFmtId="172" fontId="193" fillId="6" borderId="10" xfId="15" applyNumberFormat="1" applyFont="1" applyFill="1" applyBorder="1" applyAlignment="1">
      <alignment horizontal="right" vertical="top" wrapText="1"/>
    </xf>
    <xf numFmtId="167" fontId="194" fillId="0" borderId="10" xfId="0" applyNumberFormat="1" applyFont="1" applyFill="1" applyBorder="1" applyAlignment="1">
      <alignment vertical="top" wrapText="1"/>
    </xf>
    <xf numFmtId="167" fontId="194" fillId="6" borderId="10" xfId="0" applyNumberFormat="1" applyFont="1" applyFill="1" applyBorder="1" applyAlignment="1">
      <alignment vertical="top" wrapText="1"/>
    </xf>
    <xf numFmtId="2" fontId="193" fillId="0" borderId="1" xfId="15" applyNumberFormat="1" applyFont="1" applyFill="1" applyBorder="1" applyAlignment="1">
      <alignment horizontal="right" vertical="top" wrapText="1"/>
    </xf>
    <xf numFmtId="165" fontId="193" fillId="6" borderId="10" xfId="0" applyFont="1" applyFill="1" applyBorder="1" applyAlignment="1">
      <alignment vertical="top"/>
    </xf>
    <xf numFmtId="2" fontId="193" fillId="6" borderId="10" xfId="15" applyNumberFormat="1" applyFont="1" applyFill="1" applyBorder="1" applyAlignment="1">
      <alignment horizontal="center" vertical="top" wrapText="1"/>
    </xf>
    <xf numFmtId="165" fontId="197" fillId="6" borderId="1" xfId="0" applyFont="1" applyFill="1" applyBorder="1" applyAlignment="1">
      <alignment vertical="top"/>
    </xf>
    <xf numFmtId="176" fontId="193" fillId="0" borderId="1" xfId="15" applyNumberFormat="1" applyFont="1" applyFill="1" applyBorder="1" applyAlignment="1">
      <alignment vertical="top" wrapText="1"/>
    </xf>
    <xf numFmtId="172" fontId="193" fillId="0" borderId="1" xfId="0" applyNumberFormat="1" applyFont="1" applyFill="1" applyBorder="1" applyAlignment="1">
      <alignment vertical="top"/>
    </xf>
    <xf numFmtId="172" fontId="197" fillId="6" borderId="10" xfId="0" applyNumberFormat="1" applyFont="1" applyFill="1" applyBorder="1" applyAlignment="1">
      <alignment vertical="top"/>
    </xf>
    <xf numFmtId="165" fontId="143" fillId="6" borderId="10" xfId="0" applyFont="1" applyFill="1" applyBorder="1" applyAlignment="1">
      <alignment horizontal="right" vertical="top" wrapText="1"/>
    </xf>
    <xf numFmtId="172" fontId="193" fillId="0" borderId="1" xfId="15" applyNumberFormat="1" applyFont="1" applyFill="1" applyBorder="1" applyAlignment="1">
      <alignment horizontal="right" vertical="top" wrapText="1"/>
    </xf>
    <xf numFmtId="172" fontId="193" fillId="0" borderId="15" xfId="15" applyNumberFormat="1" applyFont="1" applyFill="1" applyBorder="1" applyAlignment="1">
      <alignment horizontal="right" vertical="top" wrapText="1"/>
    </xf>
    <xf numFmtId="2" fontId="143" fillId="6" borderId="1" xfId="16" applyNumberFormat="1" applyFont="1" applyFill="1" applyBorder="1" applyAlignment="1">
      <alignment vertical="top" wrapText="1"/>
    </xf>
    <xf numFmtId="2" fontId="143" fillId="6" borderId="1" xfId="16" applyNumberFormat="1" applyFont="1" applyFill="1" applyBorder="1" applyAlignment="1">
      <alignment horizontal="center" wrapText="1"/>
    </xf>
    <xf numFmtId="165" fontId="193" fillId="6" borderId="13" xfId="0" applyFont="1" applyFill="1" applyBorder="1" applyAlignment="1">
      <alignment vertical="top"/>
    </xf>
    <xf numFmtId="1" fontId="193" fillId="6" borderId="1" xfId="15" applyNumberFormat="1" applyFont="1" applyFill="1" applyBorder="1" applyAlignment="1">
      <alignment vertical="top" wrapText="1"/>
    </xf>
    <xf numFmtId="172" fontId="143" fillId="6" borderId="1" xfId="15" applyNumberFormat="1" applyFont="1" applyFill="1" applyBorder="1" applyAlignment="1">
      <alignment horizontal="right" vertical="top" wrapText="1"/>
    </xf>
    <xf numFmtId="165" fontId="193" fillId="0" borderId="1" xfId="0" applyFont="1" applyFill="1" applyBorder="1" applyAlignment="1">
      <alignment vertical="top" wrapText="1"/>
    </xf>
    <xf numFmtId="165" fontId="193" fillId="6" borderId="15" xfId="0" applyFont="1" applyFill="1" applyBorder="1" applyAlignment="1">
      <alignment vertical="top"/>
    </xf>
    <xf numFmtId="165" fontId="143" fillId="6" borderId="1" xfId="0" applyFont="1" applyFill="1" applyBorder="1" applyAlignment="1">
      <alignment horizontal="center" vertical="top" wrapText="1"/>
    </xf>
    <xf numFmtId="165" fontId="143" fillId="6" borderId="0" xfId="0" applyFont="1" applyFill="1" applyBorder="1" applyAlignment="1">
      <alignment vertical="top" wrapText="1"/>
    </xf>
    <xf numFmtId="2" fontId="143" fillId="6" borderId="0" xfId="15" applyNumberFormat="1" applyFont="1" applyFill="1" applyBorder="1" applyAlignment="1">
      <alignment horizontal="center" vertical="top" wrapText="1"/>
    </xf>
    <xf numFmtId="165" fontId="197" fillId="6" borderId="0" xfId="0" applyFont="1" applyFill="1" applyAlignment="1">
      <alignment vertical="top"/>
    </xf>
    <xf numFmtId="165" fontId="143" fillId="6" borderId="15" xfId="0" applyFont="1" applyFill="1" applyBorder="1" applyAlignment="1">
      <alignment horizontal="right" vertical="top" wrapText="1"/>
    </xf>
    <xf numFmtId="2" fontId="193" fillId="6" borderId="1" xfId="0" applyNumberFormat="1" applyFont="1" applyFill="1" applyBorder="1" applyAlignment="1">
      <alignment horizontal="center" vertical="top" wrapText="1"/>
    </xf>
    <xf numFmtId="2" fontId="193" fillId="0" borderId="1" xfId="0" applyNumberFormat="1" applyFont="1" applyFill="1" applyBorder="1" applyAlignment="1">
      <alignment horizontal="center" vertical="top" wrapText="1"/>
    </xf>
    <xf numFmtId="165" fontId="193" fillId="0" borderId="1" xfId="0" applyFont="1" applyFill="1" applyBorder="1" applyAlignment="1">
      <alignment horizontal="center" vertical="top" wrapText="1"/>
    </xf>
    <xf numFmtId="165" fontId="193" fillId="6" borderId="1" xfId="0" applyFont="1" applyFill="1" applyBorder="1" applyAlignment="1">
      <alignment horizontal="right" wrapText="1"/>
    </xf>
    <xf numFmtId="165" fontId="193" fillId="6" borderId="1" xfId="0" applyFont="1" applyFill="1" applyBorder="1" applyAlignment="1">
      <alignment horizontal="center" wrapText="1"/>
    </xf>
    <xf numFmtId="165" fontId="193" fillId="6" borderId="1" xfId="0" applyFont="1" applyFill="1" applyBorder="1" applyAlignment="1">
      <alignment horizontal="center" vertical="top" wrapText="1"/>
    </xf>
    <xf numFmtId="172" fontId="193" fillId="6" borderId="15" xfId="15" applyNumberFormat="1" applyFont="1" applyFill="1" applyBorder="1" applyAlignment="1">
      <alignment horizontal="right" vertical="top" wrapText="1"/>
    </xf>
    <xf numFmtId="2" fontId="143" fillId="6" borderId="15" xfId="0" applyNumberFormat="1" applyFont="1" applyFill="1" applyBorder="1" applyAlignment="1">
      <alignment horizontal="center" vertical="top" wrapText="1"/>
    </xf>
    <xf numFmtId="1" fontId="193" fillId="6" borderId="1" xfId="15" applyNumberFormat="1" applyFont="1" applyFill="1" applyBorder="1" applyAlignment="1">
      <alignment horizontal="center" vertical="top" wrapText="1"/>
    </xf>
    <xf numFmtId="1" fontId="143" fillId="6" borderId="1" xfId="15" applyNumberFormat="1" applyFont="1" applyFill="1" applyBorder="1" applyAlignment="1">
      <alignment horizontal="center" vertical="top" wrapText="1"/>
    </xf>
    <xf numFmtId="165" fontId="194" fillId="0" borderId="15" xfId="0" applyFont="1" applyFill="1" applyBorder="1" applyAlignment="1">
      <alignment horizontal="right" vertical="top" wrapText="1"/>
    </xf>
    <xf numFmtId="165" fontId="193" fillId="6" borderId="15" xfId="0" applyFont="1" applyFill="1" applyBorder="1" applyAlignment="1">
      <alignment horizontal="center" vertical="top" wrapText="1"/>
    </xf>
    <xf numFmtId="165" fontId="143" fillId="6" borderId="15" xfId="0" applyFont="1" applyFill="1" applyBorder="1" applyAlignment="1">
      <alignment horizontal="center" vertical="top" wrapText="1"/>
    </xf>
    <xf numFmtId="1" fontId="193" fillId="0" borderId="1" xfId="15" applyNumberFormat="1" applyFont="1" applyFill="1" applyBorder="1" applyAlignment="1">
      <alignment horizontal="center" vertical="top" wrapText="1"/>
    </xf>
    <xf numFmtId="1" fontId="143" fillId="6" borderId="15" xfId="15" applyNumberFormat="1" applyFont="1" applyFill="1" applyBorder="1" applyAlignment="1">
      <alignment horizontal="center" vertical="top" wrapText="1"/>
    </xf>
    <xf numFmtId="165" fontId="193" fillId="8" borderId="1" xfId="0" applyFont="1" applyFill="1" applyBorder="1" applyAlignment="1">
      <alignment horizontal="right" vertical="top" wrapText="1"/>
    </xf>
    <xf numFmtId="165" fontId="143" fillId="0" borderId="1" xfId="0" applyFont="1" applyFill="1" applyBorder="1" applyAlignment="1">
      <alignment horizontal="right" vertical="top" wrapText="1"/>
    </xf>
    <xf numFmtId="165" fontId="143" fillId="0" borderId="1" xfId="0" applyFont="1" applyFill="1" applyBorder="1" applyAlignment="1">
      <alignment horizontal="center" vertical="top" wrapText="1"/>
    </xf>
    <xf numFmtId="165" fontId="143" fillId="0" borderId="15" xfId="0" applyFont="1" applyFill="1" applyBorder="1" applyAlignment="1">
      <alignment horizontal="center" vertical="top" wrapText="1"/>
    </xf>
    <xf numFmtId="165" fontId="143" fillId="6" borderId="1" xfId="0" applyFont="1" applyFill="1" applyBorder="1" applyAlignment="1">
      <alignment vertical="top"/>
    </xf>
    <xf numFmtId="165" fontId="143" fillId="6" borderId="1" xfId="0" applyFont="1" applyFill="1" applyBorder="1" applyAlignment="1">
      <alignment horizontal="center" vertical="top"/>
    </xf>
    <xf numFmtId="2" fontId="143" fillId="6" borderId="1" xfId="16" applyNumberFormat="1" applyFont="1" applyFill="1" applyBorder="1" applyAlignment="1">
      <alignment horizontal="right" vertical="top" wrapText="1"/>
    </xf>
    <xf numFmtId="2" fontId="143" fillId="6" borderId="1" xfId="16" applyNumberFormat="1" applyFont="1" applyFill="1" applyBorder="1" applyAlignment="1">
      <alignment horizontal="center" vertical="top" wrapText="1"/>
    </xf>
    <xf numFmtId="2" fontId="143" fillId="6" borderId="1" xfId="16" applyNumberFormat="1" applyFont="1" applyFill="1" applyBorder="1" applyAlignment="1">
      <alignment horizontal="right" wrapText="1"/>
    </xf>
    <xf numFmtId="2" fontId="143" fillId="6" borderId="1" xfId="15" applyNumberFormat="1" applyFont="1" applyFill="1" applyBorder="1" applyAlignment="1">
      <alignment horizontal="center" wrapText="1"/>
    </xf>
    <xf numFmtId="2" fontId="193" fillId="6" borderId="1" xfId="19" applyNumberFormat="1" applyFont="1" applyFill="1" applyBorder="1" applyAlignment="1">
      <alignment horizontal="right" vertical="top" wrapText="1"/>
    </xf>
    <xf numFmtId="2" fontId="193" fillId="0" borderId="1" xfId="19" applyNumberFormat="1" applyFont="1" applyFill="1" applyBorder="1" applyAlignment="1">
      <alignment horizontal="right" vertical="top" wrapText="1"/>
    </xf>
    <xf numFmtId="172" fontId="193" fillId="0" borderId="13" xfId="15" applyNumberFormat="1" applyFont="1" applyFill="1" applyBorder="1" applyAlignment="1">
      <alignment vertical="top" wrapText="1"/>
    </xf>
    <xf numFmtId="2" fontId="193" fillId="0" borderId="13" xfId="19" applyNumberFormat="1" applyFont="1" applyFill="1" applyBorder="1" applyAlignment="1">
      <alignment horizontal="right" vertical="top" wrapText="1"/>
    </xf>
    <xf numFmtId="2" fontId="193" fillId="0" borderId="13" xfId="15" applyNumberFormat="1" applyFont="1" applyFill="1" applyBorder="1" applyAlignment="1">
      <alignment horizontal="center" vertical="top" wrapText="1"/>
    </xf>
    <xf numFmtId="2" fontId="193" fillId="0" borderId="15" xfId="15" applyNumberFormat="1" applyFont="1" applyFill="1" applyBorder="1" applyAlignment="1">
      <alignment horizontal="center" vertical="center" wrapText="1"/>
    </xf>
    <xf numFmtId="2" fontId="194" fillId="6" borderId="1" xfId="19" applyNumberFormat="1" applyFont="1" applyFill="1" applyBorder="1" applyAlignment="1">
      <alignment horizontal="right" vertical="top" wrapText="1"/>
    </xf>
    <xf numFmtId="2" fontId="241" fillId="6" borderId="14" xfId="15" applyNumberFormat="1" applyFont="1" applyFill="1" applyBorder="1" applyAlignment="1">
      <alignment horizontal="right" vertical="center" wrapText="1"/>
    </xf>
    <xf numFmtId="2" fontId="197" fillId="6" borderId="14" xfId="15" applyNumberFormat="1" applyFont="1" applyFill="1" applyBorder="1" applyAlignment="1">
      <alignment horizontal="center" vertical="center" wrapText="1"/>
    </xf>
    <xf numFmtId="2" fontId="199" fillId="6" borderId="1" xfId="15" applyNumberFormat="1" applyFont="1" applyFill="1" applyBorder="1" applyAlignment="1">
      <alignment vertical="top" wrapText="1"/>
    </xf>
    <xf numFmtId="165" fontId="193" fillId="6" borderId="1" xfId="17" applyNumberFormat="1" applyFont="1" applyFill="1" applyBorder="1" applyAlignment="1">
      <alignment horizontal="right" vertical="center" wrapText="1"/>
    </xf>
    <xf numFmtId="2" fontId="193" fillId="0" borderId="1" xfId="17" applyNumberFormat="1" applyFont="1" applyBorder="1" applyAlignment="1">
      <alignment horizontal="left" vertical="center" wrapText="1"/>
    </xf>
    <xf numFmtId="2" fontId="194" fillId="0" borderId="1" xfId="16" applyNumberFormat="1" applyFont="1" applyFill="1" applyBorder="1" applyAlignment="1">
      <alignment horizontal="center" vertical="top" wrapText="1"/>
    </xf>
    <xf numFmtId="2" fontId="194" fillId="6" borderId="1" xfId="16" applyNumberFormat="1" applyFont="1" applyFill="1" applyBorder="1" applyAlignment="1">
      <alignment horizontal="center" vertical="top" wrapText="1"/>
    </xf>
    <xf numFmtId="165" fontId="193" fillId="6" borderId="1" xfId="2" applyNumberFormat="1" applyFont="1" applyFill="1" applyBorder="1" applyAlignment="1">
      <alignment horizontal="right" vertical="center" wrapText="1"/>
    </xf>
    <xf numFmtId="2" fontId="193" fillId="6" borderId="1" xfId="15" applyNumberFormat="1" applyFont="1" applyFill="1" applyBorder="1" applyAlignment="1">
      <alignment horizontal="center" vertical="center" wrapText="1"/>
    </xf>
    <xf numFmtId="2" fontId="143" fillId="6" borderId="1" xfId="15" applyNumberFormat="1" applyFont="1" applyFill="1" applyBorder="1" applyAlignment="1">
      <alignment horizontal="center" vertical="center" wrapText="1"/>
    </xf>
    <xf numFmtId="2" fontId="242" fillId="6" borderId="1" xfId="15" applyNumberFormat="1" applyFont="1" applyFill="1" applyBorder="1" applyAlignment="1">
      <alignment horizontal="center" vertical="top" wrapText="1"/>
    </xf>
    <xf numFmtId="165" fontId="201" fillId="6" borderId="1" xfId="0" applyFont="1" applyFill="1" applyBorder="1" applyAlignment="1">
      <alignment vertical="top" wrapText="1"/>
    </xf>
    <xf numFmtId="2" fontId="201" fillId="6" borderId="1" xfId="15" applyNumberFormat="1" applyFont="1" applyFill="1" applyBorder="1" applyAlignment="1">
      <alignment horizontal="center" vertical="top" wrapText="1"/>
    </xf>
    <xf numFmtId="165" fontId="193" fillId="6" borderId="0" xfId="0" applyFont="1" applyFill="1" applyAlignment="1">
      <alignment vertical="top"/>
    </xf>
    <xf numFmtId="165" fontId="184" fillId="6" borderId="0" xfId="0" applyFont="1" applyFill="1" applyAlignment="1">
      <alignment horizontal="right"/>
    </xf>
    <xf numFmtId="165" fontId="193" fillId="6" borderId="0" xfId="0" applyFont="1" applyFill="1" applyAlignment="1">
      <alignment horizontal="right" vertical="top"/>
    </xf>
    <xf numFmtId="165" fontId="197" fillId="6" borderId="0" xfId="0" applyFont="1" applyFill="1" applyAlignment="1">
      <alignment horizontal="center" vertical="top"/>
    </xf>
    <xf numFmtId="165" fontId="243" fillId="6" borderId="0" xfId="0" applyFont="1" applyFill="1" applyAlignment="1">
      <alignment horizontal="center" vertical="top"/>
    </xf>
    <xf numFmtId="165" fontId="194" fillId="0" borderId="15" xfId="0" applyFont="1" applyFill="1" applyBorder="1" applyAlignment="1">
      <alignment vertical="top" wrapText="1"/>
    </xf>
    <xf numFmtId="165" fontId="194" fillId="6" borderId="15" xfId="0" applyFont="1" applyFill="1" applyBorder="1" applyAlignment="1">
      <alignment vertical="top" wrapText="1"/>
    </xf>
    <xf numFmtId="2" fontId="193" fillId="6" borderId="1" xfId="15" applyNumberFormat="1" applyFont="1" applyFill="1" applyBorder="1" applyAlignment="1">
      <alignment wrapText="1"/>
    </xf>
    <xf numFmtId="165" fontId="193" fillId="6" borderId="1" xfId="0" applyFont="1" applyFill="1" applyBorder="1" applyAlignment="1">
      <alignment horizontal="right" vertical="top"/>
    </xf>
    <xf numFmtId="2" fontId="197" fillId="6" borderId="1" xfId="15" applyNumberFormat="1" applyFont="1" applyFill="1" applyBorder="1" applyAlignment="1">
      <alignment horizontal="center" vertical="top" wrapText="1"/>
    </xf>
    <xf numFmtId="2" fontId="243" fillId="6" borderId="1" xfId="15" applyNumberFormat="1" applyFont="1" applyFill="1" applyBorder="1" applyAlignment="1">
      <alignment horizontal="center" vertical="top" wrapText="1"/>
    </xf>
    <xf numFmtId="165" fontId="193" fillId="6" borderId="0" xfId="0" applyFont="1" applyFill="1" applyAlignment="1"/>
    <xf numFmtId="2" fontId="184" fillId="6" borderId="1" xfId="15" applyNumberFormat="1" applyFont="1" applyFill="1" applyBorder="1" applyAlignment="1">
      <alignment wrapText="1"/>
    </xf>
    <xf numFmtId="165" fontId="193" fillId="6" borderId="0" xfId="0" applyFont="1" applyFill="1" applyBorder="1" applyAlignment="1">
      <alignment horizontal="left"/>
    </xf>
    <xf numFmtId="165" fontId="193" fillId="6" borderId="0" xfId="0" applyFont="1" applyFill="1" applyAlignment="1">
      <alignment wrapText="1"/>
    </xf>
    <xf numFmtId="165" fontId="193" fillId="6" borderId="0" xfId="0" applyFont="1" applyFill="1" applyAlignment="1">
      <alignment vertical="top" wrapText="1"/>
    </xf>
    <xf numFmtId="165" fontId="184" fillId="6" borderId="0" xfId="0" applyFont="1" applyFill="1" applyAlignment="1">
      <alignment vertical="top" wrapText="1"/>
    </xf>
    <xf numFmtId="165" fontId="197" fillId="6" borderId="0" xfId="0" applyFont="1" applyFill="1" applyAlignment="1">
      <alignment horizontal="right" vertical="top"/>
    </xf>
    <xf numFmtId="165" fontId="197" fillId="6" borderId="0" xfId="0" applyFont="1" applyFill="1" applyAlignment="1"/>
    <xf numFmtId="165" fontId="143" fillId="6" borderId="0" xfId="0" applyFont="1" applyFill="1" applyAlignment="1">
      <alignment horizontal="right" vertical="top"/>
    </xf>
    <xf numFmtId="165" fontId="143" fillId="6" borderId="0" xfId="0" applyFont="1" applyFill="1" applyAlignment="1">
      <alignment horizontal="center" vertical="top"/>
    </xf>
    <xf numFmtId="165" fontId="242" fillId="6" borderId="0" xfId="0" applyFont="1" applyFill="1" applyAlignment="1">
      <alignment horizontal="center" vertical="top"/>
    </xf>
    <xf numFmtId="165" fontId="242" fillId="6" borderId="0" xfId="0" applyFont="1" applyFill="1" applyAlignment="1">
      <alignment vertical="top"/>
    </xf>
    <xf numFmtId="167" fontId="193" fillId="6" borderId="1" xfId="0" applyNumberFormat="1" applyFont="1" applyFill="1" applyBorder="1" applyAlignment="1">
      <alignment vertical="top" wrapText="1"/>
    </xf>
    <xf numFmtId="165" fontId="244" fillId="6" borderId="0" xfId="0" applyFont="1" applyFill="1" applyAlignment="1">
      <alignment vertical="top"/>
    </xf>
    <xf numFmtId="165" fontId="193" fillId="6" borderId="0" xfId="0" applyFont="1" applyFill="1" applyBorder="1" applyAlignment="1">
      <alignment vertical="top" wrapText="1"/>
    </xf>
    <xf numFmtId="167" fontId="193" fillId="6" borderId="0" xfId="0" applyNumberFormat="1" applyFont="1" applyFill="1" applyBorder="1" applyAlignment="1">
      <alignment vertical="top" wrapText="1"/>
    </xf>
    <xf numFmtId="167" fontId="143" fillId="6" borderId="0" xfId="0" applyNumberFormat="1" applyFont="1" applyFill="1" applyAlignment="1">
      <alignment vertical="top"/>
    </xf>
    <xf numFmtId="165" fontId="244" fillId="6" borderId="0" xfId="0" applyFont="1" applyFill="1" applyAlignment="1">
      <alignment horizontal="right" vertical="top"/>
    </xf>
    <xf numFmtId="167" fontId="143" fillId="6" borderId="0" xfId="0" applyNumberFormat="1" applyFont="1" applyFill="1" applyAlignment="1">
      <alignment horizontal="right" vertical="top"/>
    </xf>
    <xf numFmtId="165" fontId="245" fillId="6" borderId="0" xfId="0" applyFont="1" applyFill="1" applyAlignment="1">
      <alignment vertical="top"/>
    </xf>
    <xf numFmtId="0" fontId="201" fillId="0" borderId="16" xfId="30" applyFont="1" applyFill="1" applyBorder="1" applyAlignment="1">
      <alignment wrapText="1"/>
    </xf>
    <xf numFmtId="165" fontId="116" fillId="0" borderId="0" xfId="0" applyFont="1" applyFill="1" applyAlignment="1">
      <alignment vertical="top"/>
    </xf>
    <xf numFmtId="165" fontId="55" fillId="0" borderId="0" xfId="0" applyFont="1" applyFill="1" applyAlignment="1">
      <alignment vertical="top"/>
    </xf>
    <xf numFmtId="172" fontId="193" fillId="7" borderId="1" xfId="15" applyNumberFormat="1" applyFont="1" applyFill="1" applyBorder="1" applyAlignment="1">
      <alignment horizontal="right" vertical="top" wrapText="1"/>
    </xf>
    <xf numFmtId="2" fontId="193" fillId="7" borderId="1" xfId="15" applyNumberFormat="1" applyFont="1" applyFill="1" applyBorder="1" applyAlignment="1">
      <alignment vertical="top" wrapText="1"/>
    </xf>
    <xf numFmtId="165" fontId="193" fillId="7" borderId="1" xfId="0" applyFont="1" applyFill="1" applyBorder="1" applyAlignment="1">
      <alignment vertical="top" wrapText="1"/>
    </xf>
    <xf numFmtId="2" fontId="143" fillId="7" borderId="1" xfId="15" applyNumberFormat="1" applyFont="1" applyFill="1" applyBorder="1" applyAlignment="1">
      <alignment horizontal="center" vertical="top" wrapText="1"/>
    </xf>
    <xf numFmtId="165" fontId="184" fillId="6" borderId="1" xfId="0" applyFont="1" applyFill="1" applyBorder="1" applyAlignment="1">
      <alignment horizontal="center" vertical="top" wrapText="1"/>
    </xf>
    <xf numFmtId="172" fontId="166" fillId="0" borderId="16" xfId="45" applyNumberFormat="1" applyFont="1" applyFill="1" applyBorder="1" applyAlignment="1">
      <alignment horizontal="center" vertical="center" wrapText="1"/>
    </xf>
    <xf numFmtId="165" fontId="184" fillId="6" borderId="1" xfId="0" applyFont="1" applyFill="1" applyBorder="1" applyAlignment="1">
      <alignment horizontal="center" vertical="top" wrapText="1"/>
    </xf>
    <xf numFmtId="0" fontId="189" fillId="0" borderId="8" xfId="30" applyFont="1" applyBorder="1"/>
    <xf numFmtId="2" fontId="189" fillId="0" borderId="2" xfId="30" applyNumberFormat="1" applyFont="1" applyBorder="1" applyAlignment="1">
      <alignment horizontal="center"/>
    </xf>
    <xf numFmtId="0" fontId="186" fillId="0" borderId="16" xfId="0" applyNumberFormat="1" applyFont="1" applyBorder="1" applyAlignment="1">
      <alignment horizontal="center"/>
    </xf>
    <xf numFmtId="0" fontId="186" fillId="0" borderId="16" xfId="0" applyNumberFormat="1" applyFont="1" applyBorder="1" applyAlignment="1">
      <alignment wrapText="1"/>
    </xf>
    <xf numFmtId="0" fontId="186" fillId="0" borderId="16" xfId="0" applyNumberFormat="1" applyFont="1" applyBorder="1"/>
    <xf numFmtId="0" fontId="121" fillId="0" borderId="16" xfId="0" applyNumberFormat="1" applyFont="1" applyBorder="1" applyAlignment="1">
      <alignment horizontal="center"/>
    </xf>
    <xf numFmtId="0" fontId="121" fillId="0" borderId="16" xfId="0" applyNumberFormat="1" applyFont="1" applyBorder="1"/>
    <xf numFmtId="2" fontId="121" fillId="0" borderId="16" xfId="0" applyNumberFormat="1" applyFont="1" applyBorder="1" applyAlignment="1">
      <alignment horizontal="center"/>
    </xf>
    <xf numFmtId="2" fontId="121" fillId="0" borderId="16" xfId="0" applyNumberFormat="1" applyFont="1" applyBorder="1"/>
    <xf numFmtId="2" fontId="186" fillId="0" borderId="16" xfId="0" applyNumberFormat="1" applyFont="1" applyBorder="1" applyAlignment="1">
      <alignment horizontal="center"/>
    </xf>
    <xf numFmtId="2" fontId="186" fillId="0" borderId="19" xfId="0" applyNumberFormat="1" applyFont="1" applyBorder="1" applyAlignment="1">
      <alignment horizontal="center"/>
    </xf>
    <xf numFmtId="0" fontId="186" fillId="0" borderId="20" xfId="0" applyNumberFormat="1" applyFont="1" applyBorder="1" applyAlignment="1">
      <alignment horizontal="center"/>
    </xf>
    <xf numFmtId="0" fontId="121" fillId="0" borderId="19" xfId="0" applyNumberFormat="1" applyFont="1" applyBorder="1" applyAlignment="1">
      <alignment horizontal="center"/>
    </xf>
    <xf numFmtId="2" fontId="121" fillId="0" borderId="20" xfId="0" applyNumberFormat="1" applyFont="1" applyBorder="1"/>
    <xf numFmtId="2" fontId="121" fillId="0" borderId="19" xfId="0" applyNumberFormat="1" applyFont="1" applyBorder="1" applyAlignment="1">
      <alignment horizontal="center"/>
    </xf>
    <xf numFmtId="0" fontId="186" fillId="0" borderId="19" xfId="0" applyNumberFormat="1" applyFont="1" applyBorder="1" applyAlignment="1">
      <alignment horizontal="center"/>
    </xf>
    <xf numFmtId="2" fontId="186" fillId="0" borderId="20" xfId="0" applyNumberFormat="1" applyFont="1" applyBorder="1" applyAlignment="1">
      <alignment horizontal="center"/>
    </xf>
    <xf numFmtId="0" fontId="121" fillId="0" borderId="23" xfId="0" applyNumberFormat="1" applyFont="1" applyBorder="1" applyAlignment="1">
      <alignment horizontal="center"/>
    </xf>
    <xf numFmtId="2" fontId="121" fillId="0" borderId="23" xfId="0" applyNumberFormat="1" applyFont="1" applyBorder="1" applyAlignment="1">
      <alignment horizontal="center"/>
    </xf>
    <xf numFmtId="173" fontId="186" fillId="0" borderId="19" xfId="0" applyNumberFormat="1" applyFont="1" applyBorder="1" applyAlignment="1">
      <alignment horizontal="center"/>
    </xf>
    <xf numFmtId="0" fontId="166" fillId="0" borderId="16" xfId="45" applyFont="1" applyFill="1" applyBorder="1" applyAlignment="1">
      <alignment horizontal="center" vertical="center" wrapText="1"/>
    </xf>
    <xf numFmtId="172" fontId="221" fillId="0" borderId="16" xfId="45" applyNumberFormat="1" applyFont="1" applyFill="1" applyBorder="1" applyAlignment="1">
      <alignment vertical="center" wrapText="1"/>
    </xf>
    <xf numFmtId="2" fontId="221" fillId="0" borderId="16" xfId="45" applyNumberFormat="1" applyFont="1" applyFill="1" applyBorder="1" applyAlignment="1">
      <alignment vertical="center" wrapText="1"/>
    </xf>
    <xf numFmtId="0" fontId="8" fillId="0" borderId="0" xfId="15" applyFont="1" applyFill="1" applyBorder="1" applyAlignment="1">
      <alignment horizontal="center" vertical="top" wrapText="1"/>
    </xf>
    <xf numFmtId="165" fontId="0" fillId="0" borderId="0" xfId="0" applyFill="1" applyAlignment="1">
      <alignment vertical="top"/>
    </xf>
    <xf numFmtId="167" fontId="246" fillId="6" borderId="16" xfId="0" applyNumberFormat="1" applyFont="1" applyFill="1" applyBorder="1" applyAlignment="1">
      <alignment horizontal="right" vertical="center"/>
    </xf>
    <xf numFmtId="165" fontId="246" fillId="0" borderId="16" xfId="0" applyFont="1" applyBorder="1" applyAlignment="1">
      <alignment horizontal="right" vertical="center"/>
    </xf>
    <xf numFmtId="165" fontId="199" fillId="0" borderId="1" xfId="0" applyFont="1" applyFill="1" applyBorder="1" applyAlignment="1">
      <alignment horizontal="right" vertical="top" wrapText="1"/>
    </xf>
    <xf numFmtId="165" fontId="199" fillId="0" borderId="15" xfId="0" applyFont="1" applyFill="1" applyBorder="1" applyAlignment="1">
      <alignment horizontal="right" vertical="top" wrapText="1"/>
    </xf>
    <xf numFmtId="165" fontId="205" fillId="6" borderId="16" xfId="0" applyFont="1" applyFill="1" applyBorder="1" applyAlignment="1">
      <alignment horizontal="center" vertical="center"/>
    </xf>
    <xf numFmtId="0" fontId="1" fillId="0" borderId="0" xfId="47"/>
    <xf numFmtId="0" fontId="1" fillId="0" borderId="8" xfId="47" applyBorder="1"/>
    <xf numFmtId="2" fontId="1" fillId="0" borderId="2" xfId="47" applyNumberFormat="1" applyBorder="1" applyAlignment="1">
      <alignment horizontal="center"/>
    </xf>
    <xf numFmtId="0" fontId="1" fillId="0" borderId="2" xfId="47" applyBorder="1"/>
    <xf numFmtId="0" fontId="1" fillId="0" borderId="9" xfId="47" applyBorder="1"/>
    <xf numFmtId="0" fontId="85" fillId="0" borderId="25" xfId="47" applyFont="1" applyBorder="1"/>
    <xf numFmtId="0" fontId="85" fillId="0" borderId="25" xfId="47" applyFont="1" applyBorder="1" applyAlignment="1">
      <alignment horizontal="center"/>
    </xf>
    <xf numFmtId="2" fontId="85" fillId="0" borderId="25" xfId="47" applyNumberFormat="1" applyFont="1" applyBorder="1" applyAlignment="1">
      <alignment horizontal="center" vertical="center"/>
    </xf>
    <xf numFmtId="0" fontId="85" fillId="0" borderId="16" xfId="47" applyFont="1" applyBorder="1"/>
    <xf numFmtId="0" fontId="85" fillId="0" borderId="16" xfId="47" applyFont="1" applyBorder="1" applyAlignment="1">
      <alignment horizontal="center"/>
    </xf>
    <xf numFmtId="2" fontId="85" fillId="0" borderId="16" xfId="47" applyNumberFormat="1" applyFont="1" applyBorder="1" applyAlignment="1">
      <alignment horizontal="center" vertical="center"/>
    </xf>
    <xf numFmtId="0" fontId="1" fillId="0" borderId="16" xfId="47" applyBorder="1"/>
    <xf numFmtId="0" fontId="85" fillId="0" borderId="16" xfId="47" applyFont="1" applyBorder="1" applyAlignment="1">
      <alignment wrapText="1"/>
    </xf>
    <xf numFmtId="0" fontId="1" fillId="0" borderId="16" xfId="47" applyBorder="1" applyAlignment="1">
      <alignment horizontal="center"/>
    </xf>
    <xf numFmtId="2" fontId="1" fillId="0" borderId="16" xfId="47" applyNumberFormat="1" applyBorder="1" applyAlignment="1">
      <alignment horizontal="center"/>
    </xf>
    <xf numFmtId="0" fontId="1" fillId="0" borderId="16" xfId="47" applyBorder="1" applyAlignment="1">
      <alignment wrapText="1"/>
    </xf>
    <xf numFmtId="2" fontId="85" fillId="0" borderId="16" xfId="47" applyNumberFormat="1" applyFont="1" applyBorder="1" applyAlignment="1">
      <alignment horizontal="center"/>
    </xf>
    <xf numFmtId="0" fontId="85" fillId="0" borderId="16" xfId="47" applyFont="1" applyFill="1" applyBorder="1" applyAlignment="1">
      <alignment wrapText="1"/>
    </xf>
    <xf numFmtId="0" fontId="1" fillId="0" borderId="0" xfId="47" applyAlignment="1">
      <alignment horizontal="center"/>
    </xf>
    <xf numFmtId="2" fontId="1" fillId="0" borderId="0" xfId="47" applyNumberFormat="1" applyAlignment="1">
      <alignment horizontal="center"/>
    </xf>
    <xf numFmtId="165" fontId="64" fillId="0" borderId="0" xfId="0" applyNumberFormat="1" applyFont="1" applyFill="1" applyAlignment="1">
      <alignment horizontal="left" vertical="center" wrapText="1"/>
    </xf>
    <xf numFmtId="0" fontId="63" fillId="0" borderId="0" xfId="0" applyNumberFormat="1" applyFont="1" applyFill="1" applyAlignment="1">
      <alignment horizontal="left" wrapText="1"/>
    </xf>
    <xf numFmtId="0" fontId="64" fillId="0" borderId="0" xfId="0" applyNumberFormat="1" applyFont="1" applyFill="1" applyBorder="1" applyAlignment="1">
      <alignment horizontal="center" vertical="center" wrapText="1"/>
    </xf>
    <xf numFmtId="165" fontId="64" fillId="0" borderId="0" xfId="0" applyNumberFormat="1" applyFont="1" applyFill="1" applyAlignment="1">
      <alignment horizontal="center" vertical="center" wrapText="1"/>
    </xf>
    <xf numFmtId="165" fontId="64" fillId="0" borderId="0" xfId="0" applyNumberFormat="1" applyFont="1" applyFill="1" applyAlignment="1">
      <alignment horizontal="center" vertical="center"/>
    </xf>
    <xf numFmtId="0" fontId="67" fillId="0" borderId="0" xfId="0" applyNumberFormat="1" applyFont="1" applyFill="1" applyAlignment="1">
      <alignment horizontal="left" vertical="top" wrapText="1"/>
    </xf>
    <xf numFmtId="0" fontId="65" fillId="0" borderId="0" xfId="0" applyNumberFormat="1" applyFont="1" applyFill="1" applyAlignment="1">
      <alignment horizontal="left" vertical="top" wrapText="1"/>
    </xf>
    <xf numFmtId="0" fontId="64" fillId="0" borderId="0" xfId="0" applyNumberFormat="1" applyFont="1" applyFill="1" applyAlignment="1">
      <alignment horizontal="center" vertical="top" wrapText="1"/>
    </xf>
    <xf numFmtId="165" fontId="75" fillId="0" borderId="0" xfId="0" applyFont="1" applyFill="1" applyBorder="1" applyAlignment="1">
      <alignment horizontal="center" vertical="center" wrapText="1"/>
    </xf>
    <xf numFmtId="165" fontId="61" fillId="0" borderId="16" xfId="0" applyFont="1" applyFill="1" applyBorder="1" applyAlignment="1">
      <alignment horizontal="center" vertical="center"/>
    </xf>
    <xf numFmtId="173" fontId="120" fillId="0" borderId="16" xfId="0" applyNumberFormat="1" applyFont="1" applyFill="1" applyBorder="1" applyAlignment="1">
      <alignment horizontal="right" vertical="top"/>
    </xf>
    <xf numFmtId="165" fontId="60" fillId="0" borderId="16" xfId="0" applyFont="1" applyFill="1" applyBorder="1" applyAlignment="1">
      <alignment horizontal="justify" vertical="center"/>
    </xf>
    <xf numFmtId="165" fontId="61" fillId="0" borderId="16" xfId="0" applyFont="1" applyFill="1" applyBorder="1" applyAlignment="1">
      <alignment horizontal="right" vertical="center"/>
    </xf>
    <xf numFmtId="165" fontId="9" fillId="0" borderId="16" xfId="0" applyFont="1" applyFill="1" applyBorder="1" applyAlignment="1">
      <alignment horizontal="center" vertical="center" wrapText="1"/>
    </xf>
    <xf numFmtId="173" fontId="93" fillId="0" borderId="16" xfId="0" applyNumberFormat="1" applyFont="1" applyFill="1" applyBorder="1" applyAlignment="1">
      <alignment horizontal="right" vertical="top" wrapText="1"/>
    </xf>
    <xf numFmtId="165" fontId="22" fillId="0" borderId="16" xfId="0" applyFont="1" applyFill="1" applyBorder="1" applyAlignment="1">
      <alignment horizontal="justify" vertical="center" wrapText="1"/>
    </xf>
    <xf numFmtId="165" fontId="9" fillId="0" borderId="16" xfId="0" applyFont="1" applyFill="1" applyBorder="1" applyAlignment="1">
      <alignment horizontal="right" vertical="center" wrapText="1"/>
    </xf>
    <xf numFmtId="0" fontId="8" fillId="0" borderId="16" xfId="16" applyFont="1" applyBorder="1" applyAlignment="1">
      <alignment horizontal="center" vertical="center" wrapText="1"/>
    </xf>
    <xf numFmtId="0" fontId="8" fillId="0" borderId="19" xfId="16" applyFont="1" applyBorder="1" applyAlignment="1">
      <alignment horizontal="center" vertical="center" wrapText="1"/>
    </xf>
    <xf numFmtId="0" fontId="8" fillId="0" borderId="20" xfId="16" applyFont="1" applyBorder="1" applyAlignment="1">
      <alignment horizontal="center" vertical="center" wrapText="1"/>
    </xf>
    <xf numFmtId="0" fontId="76" fillId="0" borderId="16" xfId="16" applyFont="1" applyBorder="1" applyAlignment="1">
      <alignment horizontal="center" vertical="center" wrapText="1"/>
    </xf>
    <xf numFmtId="0" fontId="21" fillId="0" borderId="16" xfId="16" applyFont="1" applyBorder="1" applyAlignment="1">
      <alignment horizontal="center" vertical="center" wrapText="1"/>
    </xf>
    <xf numFmtId="172" fontId="23" fillId="0" borderId="16" xfId="16" applyNumberFormat="1" applyFont="1" applyFill="1" applyBorder="1" applyAlignment="1">
      <alignment horizontal="center" vertical="center" wrapText="1"/>
    </xf>
    <xf numFmtId="172" fontId="23" fillId="0" borderId="16" xfId="16" applyNumberFormat="1" applyFont="1" applyBorder="1" applyAlignment="1">
      <alignment horizontal="center" vertical="center" wrapText="1"/>
    </xf>
    <xf numFmtId="165" fontId="0" fillId="0" borderId="16" xfId="0" applyBorder="1" applyAlignment="1">
      <alignment horizontal="center" vertical="center"/>
    </xf>
    <xf numFmtId="165" fontId="78" fillId="0" borderId="16" xfId="0" applyFont="1" applyBorder="1" applyAlignment="1">
      <alignment horizontal="center" vertical="center" wrapText="1"/>
    </xf>
    <xf numFmtId="165" fontId="0" fillId="0" borderId="0" xfId="0" applyBorder="1" applyAlignment="1">
      <alignment horizontal="center" vertical="top" wrapText="1"/>
    </xf>
    <xf numFmtId="165" fontId="61" fillId="0" borderId="0" xfId="0" applyFont="1" applyBorder="1" applyAlignment="1">
      <alignment horizontal="center" vertical="center"/>
    </xf>
    <xf numFmtId="165" fontId="22" fillId="0" borderId="0" xfId="0" applyFont="1" applyBorder="1" applyAlignment="1">
      <alignment horizontal="center" vertical="center" wrapText="1"/>
    </xf>
    <xf numFmtId="165" fontId="22" fillId="0" borderId="0" xfId="0" applyFont="1" applyBorder="1" applyAlignment="1">
      <alignment horizontal="center" vertical="top"/>
    </xf>
    <xf numFmtId="165" fontId="8" fillId="0" borderId="0" xfId="0" applyFont="1" applyBorder="1" applyAlignment="1">
      <alignment horizontal="center" wrapText="1"/>
    </xf>
    <xf numFmtId="165" fontId="23" fillId="0" borderId="0" xfId="0" applyFont="1" applyBorder="1" applyAlignment="1">
      <alignment horizontal="center" vertical="center"/>
    </xf>
    <xf numFmtId="2" fontId="23" fillId="0" borderId="0" xfId="0" applyNumberFormat="1" applyFont="1" applyBorder="1" applyAlignment="1">
      <alignment horizontal="center"/>
    </xf>
    <xf numFmtId="165" fontId="12" fillId="0" borderId="0" xfId="0" applyFont="1" applyAlignment="1">
      <alignment horizontal="left" vertical="top" wrapText="1"/>
    </xf>
    <xf numFmtId="165" fontId="8" fillId="0" borderId="0" xfId="0" applyFont="1" applyBorder="1" applyAlignment="1">
      <alignment horizontal="center" vertical="center" wrapText="1"/>
    </xf>
    <xf numFmtId="165" fontId="9" fillId="0" borderId="0" xfId="0" applyNumberFormat="1" applyFont="1" applyAlignment="1">
      <alignment horizontal="center"/>
    </xf>
    <xf numFmtId="165" fontId="18" fillId="0" borderId="0" xfId="0" applyNumberFormat="1" applyFont="1" applyAlignment="1">
      <alignment horizontal="center"/>
    </xf>
    <xf numFmtId="165" fontId="11" fillId="0" borderId="0" xfId="0" applyFont="1" applyAlignment="1">
      <alignment horizontal="center"/>
    </xf>
    <xf numFmtId="165" fontId="18" fillId="0" borderId="0" xfId="0" applyNumberFormat="1" applyFont="1" applyAlignment="1">
      <alignment horizontal="left"/>
    </xf>
    <xf numFmtId="0" fontId="85" fillId="0" borderId="0" xfId="0" applyNumberFormat="1" applyFont="1" applyAlignment="1">
      <alignment horizontal="center" vertical="center" wrapText="1"/>
    </xf>
    <xf numFmtId="165" fontId="121" fillId="0" borderId="0" xfId="0" applyNumberFormat="1" applyFont="1" applyAlignment="1" applyProtection="1">
      <alignment horizontal="center" wrapText="1"/>
    </xf>
    <xf numFmtId="165" fontId="122" fillId="0" borderId="0" xfId="0" applyFont="1" applyAlignment="1">
      <alignment horizontal="center" vertical="top" wrapText="1"/>
    </xf>
    <xf numFmtId="165" fontId="121" fillId="8" borderId="0" xfId="0" applyNumberFormat="1" applyFont="1" applyFill="1" applyAlignment="1" applyProtection="1">
      <alignment horizontal="left" vertical="top" wrapText="1"/>
    </xf>
    <xf numFmtId="165" fontId="122" fillId="0" borderId="0" xfId="0" applyNumberFormat="1" applyFont="1" applyAlignment="1" applyProtection="1">
      <alignment horizontal="left" vertical="top"/>
    </xf>
    <xf numFmtId="165" fontId="163" fillId="0" borderId="0" xfId="0" applyNumberFormat="1" applyFont="1" applyAlignment="1">
      <alignment horizontal="center"/>
    </xf>
    <xf numFmtId="0" fontId="166" fillId="0" borderId="0" xfId="0" applyNumberFormat="1" applyFont="1" applyAlignment="1">
      <alignment horizontal="center" wrapText="1"/>
    </xf>
    <xf numFmtId="167" fontId="121" fillId="0" borderId="0" xfId="0" applyNumberFormat="1" applyFont="1" applyAlignment="1">
      <alignment horizontal="right"/>
    </xf>
    <xf numFmtId="165" fontId="122" fillId="0" borderId="0" xfId="0" applyNumberFormat="1" applyFont="1" applyAlignment="1" applyProtection="1">
      <alignment vertical="top"/>
    </xf>
    <xf numFmtId="165" fontId="121" fillId="9" borderId="0" xfId="0" applyNumberFormat="1" applyFont="1" applyFill="1" applyAlignment="1" applyProtection="1">
      <alignment horizontal="left" vertical="top" wrapText="1"/>
    </xf>
    <xf numFmtId="165" fontId="122" fillId="0" borderId="0" xfId="0" applyFont="1" applyAlignment="1">
      <alignment horizontal="center"/>
    </xf>
    <xf numFmtId="0" fontId="188" fillId="0" borderId="0" xfId="0" applyNumberFormat="1" applyFont="1" applyBorder="1" applyAlignment="1">
      <alignment horizontal="center" wrapText="1"/>
    </xf>
    <xf numFmtId="165" fontId="157" fillId="0" borderId="0" xfId="0" applyNumberFormat="1" applyFont="1" applyAlignment="1">
      <alignment horizontal="center"/>
    </xf>
    <xf numFmtId="165" fontId="122" fillId="0" borderId="0" xfId="0" applyNumberFormat="1" applyFont="1" applyAlignment="1">
      <alignment horizontal="center"/>
    </xf>
    <xf numFmtId="165" fontId="121" fillId="0" borderId="0" xfId="0" applyFont="1" applyAlignment="1">
      <alignment horizontal="center"/>
    </xf>
    <xf numFmtId="165" fontId="123" fillId="0" borderId="0" xfId="0" applyNumberFormat="1" applyFont="1" applyAlignment="1" applyProtection="1">
      <alignment horizontal="center"/>
    </xf>
    <xf numFmtId="165" fontId="122" fillId="0" borderId="0" xfId="0" applyFont="1" applyAlignment="1">
      <alignment horizontal="right"/>
    </xf>
    <xf numFmtId="165" fontId="122" fillId="0" borderId="0" xfId="0" applyFont="1" applyAlignment="1">
      <alignment vertical="top" wrapText="1"/>
    </xf>
    <xf numFmtId="165" fontId="121" fillId="0" borderId="0" xfId="0" applyFont="1" applyAlignment="1">
      <alignment vertical="top"/>
    </xf>
    <xf numFmtId="165" fontId="205" fillId="0" borderId="19" xfId="0" applyFont="1" applyBorder="1" applyAlignment="1">
      <alignment horizontal="center" vertical="center" wrapText="1"/>
    </xf>
    <xf numFmtId="165" fontId="205" fillId="0" borderId="23" xfId="0" applyFont="1" applyBorder="1" applyAlignment="1">
      <alignment horizontal="center" vertical="center" wrapText="1"/>
    </xf>
    <xf numFmtId="165" fontId="205" fillId="0" borderId="20" xfId="0" applyFont="1" applyBorder="1" applyAlignment="1">
      <alignment horizontal="center" vertical="center" wrapText="1"/>
    </xf>
    <xf numFmtId="165" fontId="205" fillId="6" borderId="19" xfId="0" applyFont="1" applyFill="1" applyBorder="1" applyAlignment="1">
      <alignment horizontal="center" vertical="center"/>
    </xf>
    <xf numFmtId="165" fontId="205" fillId="6" borderId="23" xfId="0" applyFont="1" applyFill="1" applyBorder="1" applyAlignment="1">
      <alignment horizontal="center" vertical="center"/>
    </xf>
    <xf numFmtId="165" fontId="205" fillId="6" borderId="20" xfId="0" applyFont="1" applyFill="1" applyBorder="1" applyAlignment="1">
      <alignment horizontal="center" vertical="center"/>
    </xf>
    <xf numFmtId="165" fontId="205" fillId="6" borderId="16" xfId="0" applyFont="1" applyFill="1" applyBorder="1" applyAlignment="1">
      <alignment horizontal="center" vertical="center"/>
    </xf>
    <xf numFmtId="165" fontId="207" fillId="6" borderId="0" xfId="0" applyFont="1" applyFill="1" applyBorder="1" applyAlignment="1">
      <alignment horizontal="center" vertical="center" wrapText="1"/>
    </xf>
    <xf numFmtId="165" fontId="207" fillId="6" borderId="0" xfId="0" applyFont="1" applyFill="1" applyBorder="1" applyAlignment="1">
      <alignment horizontal="center" vertical="center"/>
    </xf>
    <xf numFmtId="168" fontId="204" fillId="6" borderId="24" xfId="0" applyNumberFormat="1" applyFont="1" applyFill="1" applyBorder="1" applyAlignment="1">
      <alignment horizontal="center" vertical="center"/>
    </xf>
    <xf numFmtId="168" fontId="204" fillId="6" borderId="25" xfId="0" applyNumberFormat="1" applyFont="1" applyFill="1" applyBorder="1" applyAlignment="1">
      <alignment horizontal="center" vertical="center"/>
    </xf>
    <xf numFmtId="165" fontId="204" fillId="6" borderId="24" xfId="0" applyFont="1" applyFill="1" applyBorder="1" applyAlignment="1">
      <alignment horizontal="center" vertical="center" wrapText="1"/>
    </xf>
    <xf numFmtId="165" fontId="204" fillId="6" borderId="25" xfId="0" applyFont="1" applyFill="1" applyBorder="1" applyAlignment="1">
      <alignment horizontal="center" vertical="center" wrapText="1"/>
    </xf>
    <xf numFmtId="166" fontId="204" fillId="6" borderId="3" xfId="0" applyNumberFormat="1" applyFont="1" applyFill="1" applyBorder="1" applyAlignment="1">
      <alignment horizontal="center" vertical="center"/>
    </xf>
    <xf numFmtId="166" fontId="204" fillId="6" borderId="4" xfId="0" applyNumberFormat="1" applyFont="1" applyFill="1" applyBorder="1" applyAlignment="1">
      <alignment horizontal="center" vertical="center"/>
    </xf>
    <xf numFmtId="166" fontId="204" fillId="6" borderId="5" xfId="0" applyNumberFormat="1" applyFont="1" applyFill="1" applyBorder="1" applyAlignment="1">
      <alignment horizontal="center" vertical="center"/>
    </xf>
    <xf numFmtId="166" fontId="204" fillId="6" borderId="8" xfId="0" applyNumberFormat="1" applyFont="1" applyFill="1" applyBorder="1" applyAlignment="1">
      <alignment horizontal="center" vertical="center"/>
    </xf>
    <xf numFmtId="166" fontId="204" fillId="6" borderId="2" xfId="0" applyNumberFormat="1" applyFont="1" applyFill="1" applyBorder="1" applyAlignment="1">
      <alignment horizontal="center" vertical="center"/>
    </xf>
    <xf numFmtId="166" fontId="204" fillId="6" borderId="9" xfId="0" applyNumberFormat="1" applyFont="1" applyFill="1" applyBorder="1" applyAlignment="1">
      <alignment horizontal="center" vertical="center"/>
    </xf>
    <xf numFmtId="165" fontId="204" fillId="6" borderId="19" xfId="0" applyFont="1" applyFill="1" applyBorder="1" applyAlignment="1">
      <alignment horizontal="center" vertical="center"/>
    </xf>
    <xf numFmtId="165" fontId="204" fillId="6" borderId="23" xfId="0" applyFont="1" applyFill="1" applyBorder="1" applyAlignment="1">
      <alignment horizontal="center" vertical="center"/>
    </xf>
    <xf numFmtId="165" fontId="204" fillId="6" borderId="20" xfId="0" applyFont="1" applyFill="1" applyBorder="1" applyAlignment="1">
      <alignment horizontal="center" vertical="center"/>
    </xf>
    <xf numFmtId="165" fontId="204" fillId="6" borderId="24" xfId="0" applyFont="1" applyFill="1" applyBorder="1" applyAlignment="1">
      <alignment horizontal="center" vertical="center"/>
    </xf>
    <xf numFmtId="165" fontId="204" fillId="6" borderId="25" xfId="0" applyFont="1" applyFill="1" applyBorder="1" applyAlignment="1">
      <alignment horizontal="center" vertical="center"/>
    </xf>
    <xf numFmtId="165" fontId="206" fillId="0" borderId="3" xfId="0" applyFont="1" applyBorder="1" applyAlignment="1">
      <alignment horizontal="center" wrapText="1"/>
    </xf>
    <xf numFmtId="165" fontId="206" fillId="0" borderId="4" xfId="0" applyFont="1" applyBorder="1" applyAlignment="1">
      <alignment horizontal="center" wrapText="1"/>
    </xf>
    <xf numFmtId="165" fontId="206" fillId="0" borderId="5" xfId="0" applyFont="1" applyBorder="1" applyAlignment="1">
      <alignment horizontal="center" wrapText="1"/>
    </xf>
    <xf numFmtId="165" fontId="121" fillId="0" borderId="19" xfId="0" applyFont="1" applyBorder="1" applyAlignment="1">
      <alignment vertical="top" wrapText="1"/>
    </xf>
    <xf numFmtId="165" fontId="121" fillId="0" borderId="23" xfId="0" applyFont="1" applyBorder="1" applyAlignment="1">
      <alignment vertical="top" wrapText="1"/>
    </xf>
    <xf numFmtId="165" fontId="121" fillId="0" borderId="20" xfId="0" applyFont="1" applyBorder="1" applyAlignment="1">
      <alignment vertical="top" wrapText="1"/>
    </xf>
    <xf numFmtId="172" fontId="166" fillId="0" borderId="16" xfId="45" applyNumberFormat="1" applyFont="1" applyFill="1" applyBorder="1" applyAlignment="1">
      <alignment horizontal="center" vertical="center" wrapText="1"/>
    </xf>
    <xf numFmtId="172" fontId="166" fillId="0" borderId="16" xfId="45" applyNumberFormat="1" applyFont="1" applyBorder="1" applyAlignment="1">
      <alignment horizontal="center" vertical="center" wrapText="1"/>
    </xf>
    <xf numFmtId="0" fontId="157" fillId="0" borderId="16" xfId="45" applyFont="1" applyBorder="1" applyAlignment="1">
      <alignment horizontal="center" vertical="center" wrapText="1"/>
    </xf>
    <xf numFmtId="165" fontId="121" fillId="0" borderId="16" xfId="0" applyFont="1" applyBorder="1" applyAlignment="1">
      <alignment horizontal="center" vertical="center"/>
    </xf>
    <xf numFmtId="165" fontId="121" fillId="0" borderId="19" xfId="0" applyFont="1" applyBorder="1" applyAlignment="1">
      <alignment horizontal="center" vertical="center"/>
    </xf>
    <xf numFmtId="165" fontId="121" fillId="0" borderId="20" xfId="0" applyFont="1" applyBorder="1" applyAlignment="1">
      <alignment horizontal="center" vertical="center"/>
    </xf>
    <xf numFmtId="165" fontId="126" fillId="0" borderId="16" xfId="0" applyFont="1" applyBorder="1" applyAlignment="1">
      <alignment horizontal="center" vertical="center" wrapText="1"/>
    </xf>
    <xf numFmtId="0" fontId="220" fillId="0" borderId="16" xfId="15" applyFont="1" applyBorder="1" applyAlignment="1">
      <alignment horizontal="center" vertical="top" wrapText="1"/>
    </xf>
    <xf numFmtId="0" fontId="123" fillId="0" borderId="16" xfId="15" applyFont="1" applyBorder="1" applyAlignment="1">
      <alignment horizontal="center" vertical="top" wrapText="1"/>
    </xf>
    <xf numFmtId="0" fontId="157" fillId="0" borderId="16" xfId="15" applyFont="1" applyBorder="1" applyAlignment="1">
      <alignment horizontal="center" vertical="top" wrapText="1"/>
    </xf>
    <xf numFmtId="0" fontId="158" fillId="0" borderId="1" xfId="20" applyFont="1" applyBorder="1" applyAlignment="1">
      <alignment horizontal="left" vertical="top" wrapText="1"/>
    </xf>
    <xf numFmtId="0" fontId="238" fillId="0" borderId="1" xfId="0" applyNumberFormat="1" applyFont="1" applyBorder="1" applyAlignment="1">
      <alignment horizontal="left" vertical="center"/>
    </xf>
    <xf numFmtId="0" fontId="238" fillId="0" borderId="1" xfId="0" applyNumberFormat="1" applyFont="1" applyBorder="1" applyAlignment="1">
      <alignment horizontal="left" vertical="center" wrapText="1"/>
    </xf>
    <xf numFmtId="165" fontId="184" fillId="0" borderId="1" xfId="0" applyFont="1" applyFill="1" applyBorder="1" applyAlignment="1">
      <alignment horizontal="center" vertical="top" wrapText="1"/>
    </xf>
    <xf numFmtId="165" fontId="184" fillId="6" borderId="1" xfId="0" applyFont="1" applyFill="1" applyBorder="1" applyAlignment="1">
      <alignment horizontal="center" vertical="top" wrapText="1"/>
    </xf>
    <xf numFmtId="165" fontId="158" fillId="0" borderId="1" xfId="0" applyNumberFormat="1" applyFont="1" applyBorder="1" applyAlignment="1">
      <alignment horizontal="left" vertical="center" wrapText="1"/>
    </xf>
    <xf numFmtId="165" fontId="158" fillId="0" borderId="1" xfId="0" applyNumberFormat="1" applyFont="1" applyBorder="1" applyAlignment="1">
      <alignment horizontal="center" vertical="center" wrapText="1"/>
    </xf>
    <xf numFmtId="165" fontId="158" fillId="0" borderId="1" xfId="0" applyNumberFormat="1" applyFont="1" applyBorder="1" applyAlignment="1">
      <alignment horizontal="center" vertical="center"/>
    </xf>
    <xf numFmtId="165" fontId="144" fillId="6" borderId="21" xfId="0" applyFont="1" applyFill="1" applyBorder="1" applyAlignment="1">
      <alignment horizontal="center" vertical="center" wrapText="1"/>
    </xf>
    <xf numFmtId="165" fontId="144" fillId="6" borderId="22" xfId="0" applyFont="1" applyFill="1" applyBorder="1" applyAlignment="1">
      <alignment horizontal="center" vertical="center" wrapText="1"/>
    </xf>
    <xf numFmtId="165" fontId="144" fillId="6" borderId="18" xfId="0" applyFont="1" applyFill="1" applyBorder="1" applyAlignment="1">
      <alignment horizontal="center" vertical="center" wrapText="1"/>
    </xf>
    <xf numFmtId="165" fontId="184" fillId="6" borderId="1" xfId="0" applyFont="1" applyFill="1" applyBorder="1" applyAlignment="1">
      <alignment horizontal="center" vertical="center" wrapText="1"/>
    </xf>
    <xf numFmtId="165" fontId="184" fillId="6" borderId="21" xfId="0" applyFont="1" applyFill="1" applyBorder="1" applyAlignment="1">
      <alignment horizontal="center" vertical="top" wrapText="1"/>
    </xf>
    <xf numFmtId="165" fontId="184" fillId="6" borderId="18" xfId="0" applyFont="1" applyFill="1" applyBorder="1" applyAlignment="1">
      <alignment horizontal="center" vertical="top" wrapText="1"/>
    </xf>
    <xf numFmtId="165" fontId="184" fillId="6" borderId="10" xfId="0" applyFont="1" applyFill="1" applyBorder="1" applyAlignment="1">
      <alignment horizontal="center" vertical="center" wrapText="1"/>
    </xf>
    <xf numFmtId="165" fontId="184" fillId="6" borderId="15" xfId="0" applyFont="1" applyFill="1" applyBorder="1" applyAlignment="1">
      <alignment horizontal="center" vertical="center" wrapText="1"/>
    </xf>
    <xf numFmtId="0" fontId="223" fillId="0" borderId="19" xfId="20" applyNumberFormat="1" applyFont="1" applyBorder="1" applyAlignment="1">
      <alignment horizontal="center" vertical="center" wrapText="1"/>
    </xf>
    <xf numFmtId="0" fontId="206" fillId="0" borderId="23" xfId="20" applyNumberFormat="1" applyFont="1" applyBorder="1" applyAlignment="1">
      <alignment horizontal="center" vertical="center" wrapText="1"/>
    </xf>
    <xf numFmtId="0" fontId="206" fillId="0" borderId="20" xfId="20" applyNumberFormat="1" applyFont="1" applyBorder="1" applyAlignment="1">
      <alignment horizontal="center" vertical="center" wrapText="1"/>
    </xf>
    <xf numFmtId="0" fontId="206" fillId="0" borderId="16" xfId="20" applyNumberFormat="1" applyFont="1" applyBorder="1" applyAlignment="1">
      <alignment horizontal="center" vertical="center" wrapText="1"/>
    </xf>
    <xf numFmtId="0" fontId="232" fillId="0" borderId="2" xfId="47" applyFont="1" applyBorder="1" applyAlignment="1">
      <alignment horizontal="center"/>
    </xf>
    <xf numFmtId="0" fontId="85" fillId="0" borderId="25" xfId="47" applyFont="1" applyBorder="1" applyAlignment="1">
      <alignment horizontal="center"/>
    </xf>
    <xf numFmtId="2" fontId="203" fillId="0" borderId="16" xfId="0" applyNumberFormat="1" applyFont="1" applyFill="1" applyBorder="1" applyAlignment="1">
      <alignment horizontal="center" vertical="center" wrapText="1"/>
    </xf>
    <xf numFmtId="165" fontId="203" fillId="0" borderId="16" xfId="0" applyFont="1" applyFill="1" applyBorder="1" applyAlignment="1">
      <alignment horizontal="center" vertical="center" wrapText="1"/>
    </xf>
    <xf numFmtId="165" fontId="206" fillId="0" borderId="16" xfId="0" applyFont="1" applyFill="1" applyBorder="1" applyAlignment="1">
      <alignment horizontal="center" vertical="center"/>
    </xf>
    <xf numFmtId="165" fontId="206" fillId="0" borderId="16" xfId="26" applyNumberFormat="1" applyFont="1" applyFill="1" applyBorder="1" applyAlignment="1">
      <alignment horizontal="center" vertical="center"/>
    </xf>
    <xf numFmtId="0" fontId="223" fillId="0" borderId="16" xfId="26" applyNumberFormat="1" applyFont="1" applyFill="1" applyBorder="1" applyAlignment="1">
      <alignment horizontal="center" vertical="center" wrapText="1"/>
    </xf>
    <xf numFmtId="166" fontId="206" fillId="0" borderId="16" xfId="26" applyNumberFormat="1" applyFont="1" applyFill="1" applyBorder="1" applyAlignment="1">
      <alignment horizontal="center" vertical="center"/>
    </xf>
    <xf numFmtId="0" fontId="226" fillId="0" borderId="16" xfId="30" applyFont="1" applyBorder="1" applyAlignment="1">
      <alignment horizontal="center"/>
    </xf>
    <xf numFmtId="0" fontId="225" fillId="0" borderId="6" xfId="30" applyFont="1" applyBorder="1" applyAlignment="1">
      <alignment horizontal="center" vertical="center" wrapText="1"/>
    </xf>
    <xf numFmtId="0" fontId="225" fillId="0" borderId="0" xfId="30" applyFont="1" applyBorder="1" applyAlignment="1">
      <alignment horizontal="center" vertical="center" wrapText="1"/>
    </xf>
    <xf numFmtId="0" fontId="225" fillId="0" borderId="6" xfId="30" applyFont="1" applyBorder="1" applyAlignment="1">
      <alignment horizontal="center"/>
    </xf>
    <xf numFmtId="0" fontId="225" fillId="0" borderId="0" xfId="30" applyFont="1" applyBorder="1" applyAlignment="1">
      <alignment horizontal="center"/>
    </xf>
    <xf numFmtId="0" fontId="225" fillId="0" borderId="19" xfId="30" applyFont="1" applyBorder="1" applyAlignment="1">
      <alignment horizontal="center" vertical="center" wrapText="1"/>
    </xf>
    <xf numFmtId="0" fontId="225" fillId="0" borderId="20" xfId="30" applyFont="1" applyBorder="1" applyAlignment="1">
      <alignment horizontal="center" vertical="center" wrapText="1"/>
    </xf>
    <xf numFmtId="0" fontId="225" fillId="0" borderId="16" xfId="30" applyFont="1" applyFill="1" applyBorder="1" applyAlignment="1">
      <alignment horizontal="center" vertical="center" wrapText="1"/>
    </xf>
    <xf numFmtId="0" fontId="223" fillId="0" borderId="16" xfId="27" applyNumberFormat="1" applyFont="1" applyFill="1" applyBorder="1" applyAlignment="1">
      <alignment horizontal="center" vertical="center" wrapText="1"/>
    </xf>
    <xf numFmtId="166" fontId="206" fillId="0" borderId="16" xfId="27" applyNumberFormat="1" applyFont="1" applyFill="1" applyBorder="1" applyAlignment="1">
      <alignment horizontal="center" vertical="center"/>
    </xf>
    <xf numFmtId="0" fontId="211" fillId="0" borderId="19" xfId="20" applyFont="1" applyBorder="1" applyAlignment="1">
      <alignment horizontal="center" vertical="center" wrapText="1"/>
    </xf>
    <xf numFmtId="0" fontId="211" fillId="0" borderId="23" xfId="20" applyFont="1" applyBorder="1" applyAlignment="1">
      <alignment horizontal="center" vertical="center" wrapText="1"/>
    </xf>
    <xf numFmtId="0" fontId="211" fillId="0" borderId="20" xfId="20" applyFont="1" applyBorder="1" applyAlignment="1">
      <alignment horizontal="center" vertical="center" wrapText="1"/>
    </xf>
    <xf numFmtId="0" fontId="229" fillId="0" borderId="19" xfId="20" applyFont="1" applyBorder="1" applyAlignment="1">
      <alignment horizontal="center" vertical="center"/>
    </xf>
    <xf numFmtId="0" fontId="229" fillId="0" borderId="23" xfId="20" applyFont="1" applyBorder="1" applyAlignment="1">
      <alignment horizontal="center" vertical="center"/>
    </xf>
    <xf numFmtId="0" fontId="229" fillId="0" borderId="20" xfId="20" applyFont="1" applyBorder="1" applyAlignment="1">
      <alignment horizontal="center" vertical="center"/>
    </xf>
    <xf numFmtId="173" fontId="82" fillId="0" borderId="19" xfId="0" applyNumberFormat="1" applyFont="1" applyBorder="1" applyAlignment="1">
      <alignment horizontal="center" vertical="center"/>
    </xf>
    <xf numFmtId="173" fontId="82" fillId="0" borderId="20" xfId="0" applyNumberFormat="1" applyFont="1" applyBorder="1" applyAlignment="1">
      <alignment horizontal="center" vertical="center"/>
    </xf>
    <xf numFmtId="0" fontId="232" fillId="0" borderId="2" xfId="30" applyFont="1" applyBorder="1" applyAlignment="1">
      <alignment horizontal="center"/>
    </xf>
    <xf numFmtId="0" fontId="85" fillId="0" borderId="16" xfId="30" applyFont="1" applyBorder="1" applyAlignment="1">
      <alignment horizontal="center"/>
    </xf>
    <xf numFmtId="0" fontId="85" fillId="0" borderId="25" xfId="30" applyFont="1" applyBorder="1" applyAlignment="1">
      <alignment horizontal="center"/>
    </xf>
    <xf numFmtId="0" fontId="180" fillId="0" borderId="19" xfId="20" applyNumberFormat="1" applyFont="1" applyBorder="1" applyAlignment="1">
      <alignment horizontal="center" vertical="center" wrapText="1"/>
    </xf>
    <xf numFmtId="0" fontId="122" fillId="0" borderId="23" xfId="20" applyNumberFormat="1" applyFont="1" applyBorder="1" applyAlignment="1">
      <alignment horizontal="center" vertical="center" wrapText="1"/>
    </xf>
    <xf numFmtId="0" fontId="122" fillId="0" borderId="16" xfId="20" applyNumberFormat="1" applyFont="1" applyBorder="1" applyAlignment="1">
      <alignment horizontal="center" vertical="center" wrapText="1"/>
    </xf>
    <xf numFmtId="0" fontId="190" fillId="0" borderId="2" xfId="30" applyFont="1" applyBorder="1" applyAlignment="1">
      <alignment horizontal="center"/>
    </xf>
    <xf numFmtId="165" fontId="172" fillId="0" borderId="16" xfId="0" applyFont="1" applyBorder="1" applyAlignment="1">
      <alignment horizontal="center" vertical="center" wrapText="1"/>
    </xf>
    <xf numFmtId="0" fontId="172" fillId="0" borderId="16" xfId="0" applyNumberFormat="1" applyFont="1" applyBorder="1" applyAlignment="1">
      <alignment horizontal="center" vertical="center" wrapText="1"/>
    </xf>
    <xf numFmtId="0" fontId="190" fillId="0" borderId="16" xfId="0" applyNumberFormat="1" applyFont="1" applyBorder="1" applyAlignment="1">
      <alignment horizontal="center"/>
    </xf>
    <xf numFmtId="0" fontId="190" fillId="0" borderId="16" xfId="0" applyNumberFormat="1" applyFont="1" applyBorder="1" applyAlignment="1">
      <alignment horizontal="center" vertical="center"/>
    </xf>
    <xf numFmtId="0" fontId="190" fillId="0" borderId="16" xfId="0" applyNumberFormat="1" applyFont="1" applyBorder="1" applyAlignment="1">
      <alignment horizontal="center" wrapText="1"/>
    </xf>
    <xf numFmtId="0" fontId="187" fillId="0" borderId="19" xfId="0" applyNumberFormat="1" applyFont="1" applyBorder="1" applyAlignment="1">
      <alignment horizontal="left" wrapText="1"/>
    </xf>
    <xf numFmtId="0" fontId="187" fillId="0" borderId="23" xfId="0" applyNumberFormat="1" applyFont="1" applyBorder="1" applyAlignment="1">
      <alignment horizontal="left" wrapText="1"/>
    </xf>
    <xf numFmtId="0" fontId="187" fillId="0" borderId="20" xfId="0" applyNumberFormat="1" applyFont="1" applyBorder="1" applyAlignment="1">
      <alignment horizontal="left" wrapText="1"/>
    </xf>
    <xf numFmtId="0" fontId="187" fillId="0" borderId="19" xfId="0" applyNumberFormat="1" applyFont="1" applyBorder="1" applyAlignment="1">
      <alignment horizontal="center" vertical="center"/>
    </xf>
    <xf numFmtId="0" fontId="187" fillId="0" borderId="23" xfId="0" applyNumberFormat="1" applyFont="1" applyBorder="1" applyAlignment="1">
      <alignment horizontal="center" vertical="center"/>
    </xf>
    <xf numFmtId="0" fontId="187" fillId="0" borderId="20" xfId="0" applyNumberFormat="1" applyFont="1" applyBorder="1" applyAlignment="1">
      <alignment horizontal="center" vertical="center"/>
    </xf>
    <xf numFmtId="0" fontId="187" fillId="0" borderId="16" xfId="0" applyNumberFormat="1" applyFont="1" applyBorder="1" applyAlignment="1">
      <alignment horizontal="center" vertical="center"/>
    </xf>
    <xf numFmtId="0" fontId="187" fillId="0" borderId="16" xfId="0" applyNumberFormat="1" applyFont="1" applyBorder="1" applyAlignment="1">
      <alignment horizontal="center"/>
    </xf>
  </cellXfs>
  <cellStyles count="48">
    <cellStyle name="Comma 2" xfId="23"/>
    <cellStyle name="Hyperlink 2" xfId="24"/>
    <cellStyle name="Normal" xfId="0" builtinId="0"/>
    <cellStyle name="Normal 10" xfId="1"/>
    <cellStyle name="Normal 11 2" xfId="2"/>
    <cellStyle name="Normal 15 5" xfId="3"/>
    <cellStyle name="Normal 2" xfId="4"/>
    <cellStyle name="Normal 2 10" xfId="25"/>
    <cellStyle name="Normal 2 13" xfId="5"/>
    <cellStyle name="Normal 2 2" xfId="6"/>
    <cellStyle name="Normal 2 2 2" xfId="7"/>
    <cellStyle name="Normal 2 3" xfId="8"/>
    <cellStyle name="Normal 2 4" xfId="20"/>
    <cellStyle name="Normal 3" xfId="9"/>
    <cellStyle name="Normal 3 2" xfId="21"/>
    <cellStyle name="Normal 3 2 2" xfId="10"/>
    <cellStyle name="Normal 3 2 2 2" xfId="26"/>
    <cellStyle name="Normal 3 2 2 2 4" xfId="11"/>
    <cellStyle name="Normal 3 2 2 3" xfId="27"/>
    <cellStyle name="Normal 3 2 2 4" xfId="28"/>
    <cellStyle name="Normal 3 2 3" xfId="29"/>
    <cellStyle name="Normal 3 3" xfId="30"/>
    <cellStyle name="Normal 3 3 2" xfId="31"/>
    <cellStyle name="Normal 3 3 3" xfId="47"/>
    <cellStyle name="Normal 3 4" xfId="12"/>
    <cellStyle name="Normal 3 4 2" xfId="32"/>
    <cellStyle name="Normal 4" xfId="13"/>
    <cellStyle name="Normal 4 2" xfId="33"/>
    <cellStyle name="Normal 4 2 2" xfId="34"/>
    <cellStyle name="Normal 4 3" xfId="35"/>
    <cellStyle name="Normal 4 3 2" xfId="36"/>
    <cellStyle name="Normal 4 4" xfId="37"/>
    <cellStyle name="Normal 4 5" xfId="38"/>
    <cellStyle name="Normal 5" xfId="39"/>
    <cellStyle name="Normal 5 2" xfId="40"/>
    <cellStyle name="Normal 6" xfId="41"/>
    <cellStyle name="Normal 7" xfId="42"/>
    <cellStyle name="Normal 7 2" xfId="14"/>
    <cellStyle name="Normal 8" xfId="43"/>
    <cellStyle name="Normal_Phase XI QS" xfId="15"/>
    <cellStyle name="Normal_Phase XI QS 2" xfId="16"/>
    <cellStyle name="Normal_Phase XI QS 2 3" xfId="45"/>
    <cellStyle name="Normal_Phase XI QS 3" xfId="17"/>
    <cellStyle name="Normal_Phase XI QS 4" xfId="22"/>
    <cellStyle name="Normal_Sheet1" xfId="46"/>
    <cellStyle name="Normal_test-1" xfId="18"/>
    <cellStyle name="Percent" xfId="19" builtinId="5"/>
    <cellStyle name="Percent 2" xfId="44"/>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10.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33" Type="http://schemas.openxmlformats.org/officeDocument/2006/relationships/externalLink" Target="externalLinks/externalLink9.xml"/><Relationship Id="rId38"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externalLink" Target="externalLinks/externalLink8.xml"/><Relationship Id="rId37"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4.xml"/><Relationship Id="rId36"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externalLink" Target="externalLinks/externalLink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externalLink" Target="externalLinks/externalLink3.xml"/><Relationship Id="rId30" Type="http://schemas.openxmlformats.org/officeDocument/2006/relationships/externalLink" Target="externalLinks/externalLink6.xml"/><Relationship Id="rId35"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77460" name="Text Box 1"/>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457200</xdr:colOff>
      <xdr:row>7742</xdr:row>
      <xdr:rowOff>190500</xdr:rowOff>
    </xdr:from>
    <xdr:to>
      <xdr:col>14</xdr:col>
      <xdr:colOff>542925</xdr:colOff>
      <xdr:row>7743</xdr:row>
      <xdr:rowOff>152400</xdr:rowOff>
    </xdr:to>
    <xdr:sp macro="" textlink="">
      <xdr:nvSpPr>
        <xdr:cNvPr id="74667" name="Text Box 1"/>
        <xdr:cNvSpPr txBox="1">
          <a:spLocks noChangeArrowheads="1"/>
        </xdr:cNvSpPr>
      </xdr:nvSpPr>
      <xdr:spPr bwMode="auto">
        <a:xfrm>
          <a:off x="12001500" y="1120873425"/>
          <a:ext cx="85725" cy="161925"/>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7789</xdr:row>
      <xdr:rowOff>190500</xdr:rowOff>
    </xdr:from>
    <xdr:to>
      <xdr:col>14</xdr:col>
      <xdr:colOff>552450</xdr:colOff>
      <xdr:row>7789</xdr:row>
      <xdr:rowOff>200025</xdr:rowOff>
    </xdr:to>
    <xdr:sp macro="" textlink="">
      <xdr:nvSpPr>
        <xdr:cNvPr id="113692" name="Text Box 1"/>
        <xdr:cNvSpPr txBox="1">
          <a:spLocks noChangeArrowheads="1"/>
        </xdr:cNvSpPr>
      </xdr:nvSpPr>
      <xdr:spPr bwMode="auto">
        <a:xfrm>
          <a:off x="17506950" y="2413044450"/>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3693" name="Text Box 2"/>
        <xdr:cNvSpPr txBox="1">
          <a:spLocks noChangeArrowheads="1"/>
        </xdr:cNvSpPr>
      </xdr:nvSpPr>
      <xdr:spPr bwMode="auto">
        <a:xfrm>
          <a:off x="10344150" y="0"/>
          <a:ext cx="0" cy="4762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1552575</xdr:colOff>
      <xdr:row>948</xdr:row>
      <xdr:rowOff>0</xdr:rowOff>
    </xdr:from>
    <xdr:to>
      <xdr:col>1</xdr:col>
      <xdr:colOff>1552575</xdr:colOff>
      <xdr:row>948</xdr:row>
      <xdr:rowOff>28575</xdr:rowOff>
    </xdr:to>
    <xdr:sp macro="" textlink="">
      <xdr:nvSpPr>
        <xdr:cNvPr id="115037"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38"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39"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40"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41"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42"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43"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4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4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4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47"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48"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49"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50"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51"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52"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53"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5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5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5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57"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58"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59"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60"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61"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62"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63"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6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6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6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67"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68"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69"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70"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71"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72"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73"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7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7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7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77"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78"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79"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80"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81"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82"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83"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8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8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8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87"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88"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89"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90"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91"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92"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93"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9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9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9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97"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98"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099"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00"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01"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02"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03" name="Text Box 1"/>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0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0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0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07"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08"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09"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10"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11"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12" name="Text Box 7"/>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13" name="Text Box 8"/>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14" name="Text Box 4"/>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15" name="Text Box 5"/>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twoCellAnchor editAs="oneCell">
    <xdr:from>
      <xdr:col>1</xdr:col>
      <xdr:colOff>1552575</xdr:colOff>
      <xdr:row>948</xdr:row>
      <xdr:rowOff>0</xdr:rowOff>
    </xdr:from>
    <xdr:to>
      <xdr:col>1</xdr:col>
      <xdr:colOff>1552575</xdr:colOff>
      <xdr:row>948</xdr:row>
      <xdr:rowOff>28575</xdr:rowOff>
    </xdr:to>
    <xdr:sp macro="" textlink="">
      <xdr:nvSpPr>
        <xdr:cNvPr id="115116" name="Text Box 6"/>
        <xdr:cNvSpPr txBox="1">
          <a:spLocks noChangeArrowheads="1"/>
        </xdr:cNvSpPr>
      </xdr:nvSpPr>
      <xdr:spPr bwMode="auto">
        <a:xfrm>
          <a:off x="2409825" y="156705300"/>
          <a:ext cx="0" cy="2857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oneCellAnchor>
    <xdr:from>
      <xdr:col>1</xdr:col>
      <xdr:colOff>1628775</xdr:colOff>
      <xdr:row>34</xdr:row>
      <xdr:rowOff>0</xdr:rowOff>
    </xdr:from>
    <xdr:ext cx="184731" cy="264560"/>
    <xdr:sp macro="" textlink="">
      <xdr:nvSpPr>
        <xdr:cNvPr id="2" name="TextBox 1"/>
        <xdr:cNvSpPr txBox="1"/>
      </xdr:nvSpPr>
      <xdr:spPr>
        <a:xfrm>
          <a:off x="2114550" y="10810875"/>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wrap="none" rtlCol="0" anchor="t">
          <a:spAutoFit/>
        </a:bodyPr>
        <a:lstStyle/>
        <a:p>
          <a:endParaRPr lang="en-IN" sz="1100"/>
        </a:p>
      </xdr:txBody>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HN-DB-12\Share%20313\Users\CEDB1\Desktop\karur%20150%20pc\SR-17-18-J-Karur%20%20Corrected%20on%20CE%20Office%20-02.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HN-DB-12\Share%20313\Chennai%20Division-II\Estimate%202019-20\MGR%20Nagar%20Police%20Station.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personal\Downloads\Filling%20with%20Data%20Kadamalai.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personal\Downloads\main%20work.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Mayiladuthurai%20qtrs%2024.02.2017%20to%20Chennai%20Head%20Office.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Users\Sara\Desktop\Bodi%20Fire%20Men%20Qtrs%20estimate%205.11.21\Bodi%20fire%20men%20Qtrs\Final%20estimate\EB%20Buzbar%20-Final%20from%20HO%20-%203.07.2020.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in%20work.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Users\personal\Downloads\main%20work%20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pile data ( M20 grade)"/>
      <sheetName val="pile data (2)"/>
      <sheetName val="  Coastal  Elec.Data "/>
      <sheetName val="duplicate"/>
      <sheetName val="lead  charge"/>
      <sheetName val="Elec.Data"/>
      <sheetName val="Elec.abs"/>
      <sheetName val="Data"/>
      <sheetName val="Develop"/>
      <sheetName val="Building (2)"/>
      <sheetName val="Det for 8 in 1 G+3 (2)"/>
      <sheetName val="Det for 8 in 1 G+3"/>
      <sheetName val="Det for 4 in 1 G+3"/>
      <sheetName val="Det for 6 in 1 G+2"/>
      <sheetName val="Building+Dev( Main)"/>
      <sheetName val="Building+Dev( Coding)"/>
      <sheetName val="Dev (cod)"/>
      <sheetName val="Abstract"/>
      <sheetName val="G.Abstract"/>
      <sheetName val="Sheet1"/>
      <sheetName val="data -1"/>
      <sheetName val="Water tank"/>
      <sheetName val="sump"/>
      <sheetName val="PP"/>
      <sheetName val="paver road"/>
      <sheetName val="culvert"/>
      <sheetName val="septic tank"/>
      <sheetName val="sullag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5">
          <cell r="AD5" t="str">
            <v>*</v>
          </cell>
        </row>
      </sheetData>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pile data ( M20 grade)"/>
      <sheetName val="  Coastal  Elec.Data "/>
      <sheetName val="lead  charge"/>
      <sheetName val="G. Abstract (2)"/>
      <sheetName val="Elec.Data"/>
      <sheetName val="Develo"/>
      <sheetName val="Abstract "/>
      <sheetName val="Building (2)"/>
      <sheetName val="Elec.abs"/>
      <sheetName val="Data"/>
      <sheetName val="OHT(A4)"/>
      <sheetName val="Sheet3"/>
      <sheetName val="paver"/>
      <sheetName val="SEPTIC TANK (A4)"/>
      <sheetName val="P.P WALL (A4)"/>
      <sheetName val="SL DRAIN (A4)"/>
      <sheetName val="Storm Water Drain"/>
      <sheetName val="SUMP (A4)"/>
      <sheetName val="Culvert"/>
      <sheetName val="pile data ( M30 grade) (2)"/>
      <sheetName val="Sliding and french window"/>
      <sheetName val="Sheet1"/>
    </sheetNames>
    <sheetDataSet>
      <sheetData sheetId="0" refreshError="1"/>
      <sheetData sheetId="1" refreshError="1"/>
      <sheetData sheetId="2" refreshError="1"/>
      <sheetData sheetId="3" refreshError="1"/>
      <sheetData sheetId="4" refreshError="1"/>
      <sheetData sheetId="5" refreshError="1"/>
      <sheetData sheetId="6"/>
      <sheetData sheetId="7">
        <row r="1107">
          <cell r="B1107" t="str">
            <v>painting two coat for old wood work</v>
          </cell>
          <cell r="C1107">
            <v>127.06</v>
          </cell>
          <cell r="U1107">
            <v>0</v>
          </cell>
        </row>
        <row r="1108">
          <cell r="B1108" t="str">
            <v>Matt paint one coat for old wall</v>
          </cell>
          <cell r="C1108">
            <v>72.95</v>
          </cell>
          <cell r="U1108">
            <v>0</v>
          </cell>
        </row>
        <row r="1109">
          <cell r="B1109" t="str">
            <v>Plastic Emulsion PAINT one coat for old wall</v>
          </cell>
          <cell r="C1109">
            <v>66.11</v>
          </cell>
          <cell r="U1109">
            <v>0</v>
          </cell>
        </row>
        <row r="1110">
          <cell r="B1110" t="str">
            <v>Plastic Emulsion PAINT two coat for old wall</v>
          </cell>
          <cell r="C1110">
            <v>129.27000000000001</v>
          </cell>
          <cell r="U1110">
            <v>0</v>
          </cell>
        </row>
        <row r="1111">
          <cell r="U1111">
            <v>0</v>
          </cell>
        </row>
        <row r="1112">
          <cell r="U1112">
            <v>0</v>
          </cell>
        </row>
        <row r="1113">
          <cell r="U1113">
            <v>0</v>
          </cell>
        </row>
        <row r="1114">
          <cell r="U1114">
            <v>0</v>
          </cell>
        </row>
        <row r="1115">
          <cell r="U1115">
            <v>0</v>
          </cell>
        </row>
        <row r="1116">
          <cell r="U1116">
            <v>0</v>
          </cell>
        </row>
        <row r="1117">
          <cell r="U1117">
            <v>0</v>
          </cell>
        </row>
        <row r="1118">
          <cell r="U1118">
            <v>0</v>
          </cell>
        </row>
        <row r="1119">
          <cell r="U1119">
            <v>0</v>
          </cell>
        </row>
        <row r="1120">
          <cell r="U1120">
            <v>0</v>
          </cell>
        </row>
        <row r="1121">
          <cell r="U1121">
            <v>0</v>
          </cell>
        </row>
        <row r="1122">
          <cell r="U1122">
            <v>0</v>
          </cell>
        </row>
        <row r="1123">
          <cell r="U1123">
            <v>0</v>
          </cell>
        </row>
        <row r="1124">
          <cell r="U1124">
            <v>0</v>
          </cell>
        </row>
        <row r="1125">
          <cell r="U1125">
            <v>0</v>
          </cell>
        </row>
        <row r="1126">
          <cell r="U1126">
            <v>0</v>
          </cell>
        </row>
        <row r="1127">
          <cell r="U1127">
            <v>0</v>
          </cell>
        </row>
        <row r="1128">
          <cell r="U1128">
            <v>0</v>
          </cell>
        </row>
        <row r="1129">
          <cell r="U1129">
            <v>0</v>
          </cell>
        </row>
        <row r="1130">
          <cell r="U1130">
            <v>0</v>
          </cell>
        </row>
        <row r="1131">
          <cell r="U1131">
            <v>0</v>
          </cell>
        </row>
        <row r="1132">
          <cell r="U1132">
            <v>0</v>
          </cell>
        </row>
        <row r="1133">
          <cell r="U1133">
            <v>0</v>
          </cell>
        </row>
        <row r="1134">
          <cell r="U1134">
            <v>0</v>
          </cell>
        </row>
        <row r="1135">
          <cell r="U1135">
            <v>0</v>
          </cell>
        </row>
        <row r="1136">
          <cell r="U1136">
            <v>0</v>
          </cell>
        </row>
        <row r="1137">
          <cell r="U1137">
            <v>0</v>
          </cell>
        </row>
        <row r="1138">
          <cell r="U1138">
            <v>0</v>
          </cell>
        </row>
        <row r="1139">
          <cell r="U1139">
            <v>0</v>
          </cell>
        </row>
        <row r="1140">
          <cell r="U1140">
            <v>0</v>
          </cell>
        </row>
        <row r="1141">
          <cell r="U1141">
            <v>0</v>
          </cell>
        </row>
        <row r="1142">
          <cell r="U1142">
            <v>0</v>
          </cell>
        </row>
        <row r="1143">
          <cell r="U1143">
            <v>0</v>
          </cell>
        </row>
        <row r="1144">
          <cell r="U1144">
            <v>0</v>
          </cell>
        </row>
        <row r="1145">
          <cell r="U1145">
            <v>0</v>
          </cell>
        </row>
        <row r="1146">
          <cell r="U1146">
            <v>0</v>
          </cell>
        </row>
        <row r="1147">
          <cell r="U1147">
            <v>0</v>
          </cell>
        </row>
        <row r="1148">
          <cell r="U1148">
            <v>0</v>
          </cell>
        </row>
        <row r="1149">
          <cell r="U1149">
            <v>0</v>
          </cell>
        </row>
        <row r="1150">
          <cell r="U1150">
            <v>0</v>
          </cell>
        </row>
        <row r="1151">
          <cell r="U1151">
            <v>0</v>
          </cell>
        </row>
        <row r="1152">
          <cell r="U1152">
            <v>0</v>
          </cell>
        </row>
        <row r="1153">
          <cell r="U1153">
            <v>0</v>
          </cell>
        </row>
        <row r="1154">
          <cell r="U1154">
            <v>0</v>
          </cell>
        </row>
        <row r="1155">
          <cell r="U1155">
            <v>0</v>
          </cell>
        </row>
        <row r="1156">
          <cell r="U1156">
            <v>0</v>
          </cell>
        </row>
        <row r="1157">
          <cell r="U1157">
            <v>0</v>
          </cell>
        </row>
        <row r="1158">
          <cell r="U1158">
            <v>0</v>
          </cell>
        </row>
        <row r="1159">
          <cell r="U1159">
            <v>0</v>
          </cell>
        </row>
        <row r="1160">
          <cell r="U1160">
            <v>0</v>
          </cell>
        </row>
        <row r="1161">
          <cell r="U1161">
            <v>0</v>
          </cell>
        </row>
        <row r="1162">
          <cell r="U1162">
            <v>0</v>
          </cell>
        </row>
        <row r="1163">
          <cell r="U1163">
            <v>0</v>
          </cell>
        </row>
        <row r="1164">
          <cell r="U1164">
            <v>0</v>
          </cell>
        </row>
        <row r="1165">
          <cell r="U1165">
            <v>0</v>
          </cell>
        </row>
        <row r="1166">
          <cell r="U1166">
            <v>0</v>
          </cell>
        </row>
        <row r="1167">
          <cell r="U1167">
            <v>0</v>
          </cell>
        </row>
        <row r="1168">
          <cell r="U1168">
            <v>0</v>
          </cell>
        </row>
        <row r="1169">
          <cell r="U1169">
            <v>0</v>
          </cell>
        </row>
        <row r="1170">
          <cell r="U1170">
            <v>0</v>
          </cell>
        </row>
        <row r="1171">
          <cell r="U1171">
            <v>0</v>
          </cell>
        </row>
        <row r="1172">
          <cell r="U1172">
            <v>0</v>
          </cell>
        </row>
        <row r="1173">
          <cell r="U1173">
            <v>0</v>
          </cell>
        </row>
        <row r="1174">
          <cell r="U1174">
            <v>0</v>
          </cell>
        </row>
        <row r="1175">
          <cell r="U1175">
            <v>0</v>
          </cell>
        </row>
        <row r="1176">
          <cell r="U1176">
            <v>0</v>
          </cell>
        </row>
        <row r="1177">
          <cell r="U1177">
            <v>0</v>
          </cell>
        </row>
        <row r="1178">
          <cell r="U1178">
            <v>0</v>
          </cell>
        </row>
        <row r="1179">
          <cell r="U1179">
            <v>0</v>
          </cell>
        </row>
        <row r="1180">
          <cell r="U1180">
            <v>0</v>
          </cell>
        </row>
        <row r="1181">
          <cell r="U1181">
            <v>0</v>
          </cell>
        </row>
        <row r="1182">
          <cell r="U1182">
            <v>0</v>
          </cell>
        </row>
        <row r="1183">
          <cell r="U1183">
            <v>0</v>
          </cell>
        </row>
        <row r="1184">
          <cell r="U1184">
            <v>0</v>
          </cell>
        </row>
        <row r="1185">
          <cell r="U1185">
            <v>0</v>
          </cell>
        </row>
        <row r="1186">
          <cell r="U1186">
            <v>0</v>
          </cell>
        </row>
        <row r="1187">
          <cell r="U1187">
            <v>0</v>
          </cell>
        </row>
        <row r="1188">
          <cell r="U1188">
            <v>0</v>
          </cell>
        </row>
        <row r="1189">
          <cell r="U1189">
            <v>0</v>
          </cell>
        </row>
        <row r="1190">
          <cell r="U1190">
            <v>0</v>
          </cell>
        </row>
        <row r="1191">
          <cell r="U1191">
            <v>0</v>
          </cell>
        </row>
        <row r="1192">
          <cell r="U1192">
            <v>0</v>
          </cell>
        </row>
        <row r="1193">
          <cell r="U1193">
            <v>0</v>
          </cell>
        </row>
        <row r="1194">
          <cell r="U1194">
            <v>0</v>
          </cell>
        </row>
        <row r="1195">
          <cell r="U1195">
            <v>0</v>
          </cell>
        </row>
        <row r="1196">
          <cell r="U1196">
            <v>0</v>
          </cell>
        </row>
        <row r="1197">
          <cell r="U1197">
            <v>0</v>
          </cell>
        </row>
        <row r="1198">
          <cell r="U1198">
            <v>0</v>
          </cell>
        </row>
        <row r="1199">
          <cell r="U1199">
            <v>0</v>
          </cell>
        </row>
        <row r="1200">
          <cell r="U1200">
            <v>0</v>
          </cell>
        </row>
        <row r="1201">
          <cell r="U1201">
            <v>0</v>
          </cell>
        </row>
        <row r="1202">
          <cell r="U1202">
            <v>0</v>
          </cell>
        </row>
        <row r="1203">
          <cell r="U1203">
            <v>0</v>
          </cell>
        </row>
        <row r="1204">
          <cell r="U1204">
            <v>0</v>
          </cell>
        </row>
        <row r="1205">
          <cell r="U1205">
            <v>0</v>
          </cell>
        </row>
        <row r="1206">
          <cell r="U1206">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s>
    <sheetDataSet>
      <sheetData sheetId="0"/>
      <sheetData sheetId="1"/>
      <sheetData sheetId="2"/>
      <sheetData sheetId="3"/>
      <sheetData sheetId="4"/>
      <sheetData sheetId="5"/>
      <sheetData sheetId="6" refreshError="1">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Leadsatement"/>
      <sheetName val="Datasheet"/>
      <sheetName val="CMP"/>
    </sheetNames>
    <sheetDataSet>
      <sheetData sheetId="0">
        <row r="6">
          <cell r="H6">
            <v>320.60000000000002</v>
          </cell>
        </row>
      </sheetData>
      <sheetData sheetId="1"/>
      <sheetData sheetId="2"/>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
      <sheetName val="G. Abstract"/>
      <sheetName val="pile data "/>
      <sheetName val="  Coastal  Elec.Data "/>
      <sheetName val="lead  charge"/>
      <sheetName val="building"/>
      <sheetName val="Elec.Data"/>
      <sheetName val="Sliding and french window"/>
      <sheetName val="LED data"/>
      <sheetName val="Data"/>
      <sheetName val="G. Abstractfinal"/>
      <sheetName val="main abst"/>
      <sheetName val="main detail"/>
      <sheetName val="sump"/>
      <sheetName val="septic tank"/>
      <sheetName val="Plinth"/>
      <sheetName val="OHT"/>
      <sheetName val="compound"/>
      <sheetName val="Sullage drain"/>
      <sheetName val="paver block"/>
      <sheetName val="Ex. WS"/>
      <sheetName val="UG cable"/>
      <sheetName val="Devp Abst"/>
      <sheetName val="Sheet1"/>
    </sheetNames>
    <sheetDataSet>
      <sheetData sheetId="0"/>
      <sheetData sheetId="1"/>
      <sheetData sheetId="2"/>
      <sheetData sheetId="3"/>
      <sheetData sheetId="4"/>
      <sheetData sheetId="5"/>
      <sheetData sheetId="6">
        <row r="5">
          <cell r="A5">
            <v>1.1000000000000001</v>
          </cell>
          <cell r="B5" t="str">
            <v>Earth work excavation in all soils (including refilling)</v>
          </cell>
        </row>
        <row r="6">
          <cell r="B6" t="str">
            <v>a. 0 to 2 mt.</v>
          </cell>
          <cell r="D6" t="str">
            <v>Cum.</v>
          </cell>
        </row>
        <row r="7">
          <cell r="B7" t="str">
            <v>b. 2 to 3 mt.</v>
          </cell>
          <cell r="D7" t="str">
            <v>Cum.</v>
          </cell>
        </row>
        <row r="17">
          <cell r="A17">
            <v>1.5</v>
          </cell>
          <cell r="B17" t="str">
            <v>Earth work excavation for Open foundation (excluding refilling)</v>
          </cell>
          <cell r="D17" t="str">
            <v xml:space="preserve"> </v>
          </cell>
        </row>
        <row r="18">
          <cell r="B18" t="str">
            <v>a. 0 to 2 mt.</v>
          </cell>
          <cell r="D18" t="str">
            <v>Cum.</v>
          </cell>
        </row>
        <row r="19">
          <cell r="B19" t="str">
            <v>b. 2 to 3 mt.</v>
          </cell>
          <cell r="D19" t="str">
            <v>Cum.</v>
          </cell>
        </row>
        <row r="38">
          <cell r="A38">
            <v>2.1</v>
          </cell>
          <cell r="B38" t="str">
            <v>Filling sand</v>
          </cell>
          <cell r="D38" t="str">
            <v>Cum.</v>
          </cell>
        </row>
        <row r="45">
          <cell r="A45">
            <v>3.1</v>
          </cell>
          <cell r="B45" t="str">
            <v>C.C.1:5:10 for Foundation &amp; Basement</v>
          </cell>
          <cell r="D45" t="str">
            <v>Cum.</v>
          </cell>
        </row>
        <row r="59">
          <cell r="A59">
            <v>6.5</v>
          </cell>
          <cell r="B59" t="str">
            <v>Brick work in C.M. 1:5 (F&amp; B) using Kiln Burnt Country bricks of size 22 x 11 x 7 cm (8 3/4" x 4 1/4" x 2 3/4")</v>
          </cell>
          <cell r="D59" t="str">
            <v>Cum.</v>
          </cell>
        </row>
        <row r="117">
          <cell r="A117">
            <v>9.5</v>
          </cell>
          <cell r="B117" t="str">
            <v>Brick work in C.M. 1:6  using Kiln Burnt Country bricks of size 22 x 11 x 7 cm ( 8 3/4" x 4 1/4" x 2 3/4")</v>
          </cell>
        </row>
        <row r="118">
          <cell r="B118" t="str">
            <v>a. In Ground Floor</v>
          </cell>
          <cell r="D118" t="str">
            <v>Cum.</v>
          </cell>
        </row>
        <row r="119">
          <cell r="B119" t="str">
            <v>b. In First Floor</v>
          </cell>
          <cell r="D119" t="str">
            <v>Cum.</v>
          </cell>
        </row>
        <row r="120">
          <cell r="B120" t="str">
            <v>c. In Second Floor</v>
          </cell>
          <cell r="D120" t="str">
            <v>Cum.</v>
          </cell>
        </row>
        <row r="166">
          <cell r="A166">
            <v>10.5</v>
          </cell>
          <cell r="B166" t="str">
            <v>Brick partition work in C.M. 1:4 Kiln Burnt Country bricks of size 22 x 11 x 7 cm (8 3/4" x 4 1/4" x 2 3/4") 110 mm tk (B.P.)</v>
          </cell>
        </row>
        <row r="167">
          <cell r="B167" t="str">
            <v>a. In Foundation and basement</v>
          </cell>
          <cell r="D167" t="str">
            <v>Sqm.</v>
          </cell>
        </row>
        <row r="168">
          <cell r="B168" t="str">
            <v>b. In Ground Floor</v>
          </cell>
          <cell r="D168" t="str">
            <v>Sqm.</v>
          </cell>
        </row>
        <row r="169">
          <cell r="B169" t="str">
            <v>c. In First Floor</v>
          </cell>
          <cell r="D169" t="str">
            <v>Sqm.</v>
          </cell>
        </row>
        <row r="180">
          <cell r="B180" t="str">
            <v>Brick work in C.M. 1:4 Chamber Burnt brick of size 23 x 11.2 x 7 cm (9" x 4 3/8" x 2 3/4")70 mm tk (B.P.)</v>
          </cell>
        </row>
        <row r="181">
          <cell r="B181" t="str">
            <v>a. In Ground Floor</v>
          </cell>
          <cell r="D181" t="str">
            <v>Sqm.</v>
          </cell>
        </row>
        <row r="182">
          <cell r="B182" t="str">
            <v>b. In First Floor</v>
          </cell>
          <cell r="D182" t="str">
            <v>Sqm.</v>
          </cell>
        </row>
        <row r="216">
          <cell r="B216" t="str">
            <v>Brick partition in C.M. 1:4 using country bricks of size 22 x11x5cm 50 mm thick</v>
          </cell>
        </row>
        <row r="217">
          <cell r="B217" t="str">
            <v>a. In Ground Floor</v>
          </cell>
          <cell r="D217" t="str">
            <v>Sqm.</v>
          </cell>
        </row>
        <row r="218">
          <cell r="B218" t="str">
            <v>b. In First Floor</v>
          </cell>
          <cell r="D218" t="str">
            <v>Sqm.</v>
          </cell>
        </row>
        <row r="229">
          <cell r="A229">
            <v>13.1</v>
          </cell>
          <cell r="B229" t="str">
            <v>Filling with Excavated Earth</v>
          </cell>
          <cell r="D229" t="str">
            <v>Cum.</v>
          </cell>
        </row>
        <row r="289">
          <cell r="A289">
            <v>21.2</v>
          </cell>
          <cell r="B289" t="str">
            <v>Teak wood Wrought &amp; Put up</v>
          </cell>
        </row>
        <row r="290">
          <cell r="B290" t="str">
            <v>a. T.W. over 2 m &amp; below 3 m</v>
          </cell>
          <cell r="D290" t="str">
            <v>Cum.</v>
          </cell>
        </row>
        <row r="291">
          <cell r="B291" t="str">
            <v>b. T.W. below 2 m length.</v>
          </cell>
          <cell r="D291" t="str">
            <v>Cum.</v>
          </cell>
        </row>
        <row r="307">
          <cell r="A307">
            <v>23.3</v>
          </cell>
          <cell r="B307" t="str">
            <v>S&amp;F of Magnetic door catches</v>
          </cell>
          <cell r="D307" t="str">
            <v>Each</v>
          </cell>
        </row>
        <row r="322">
          <cell r="A322">
            <v>25</v>
          </cell>
          <cell r="B322" t="str">
            <v>M.S.Holdfast</v>
          </cell>
          <cell r="D322" t="str">
            <v>Each</v>
          </cell>
        </row>
        <row r="323">
          <cell r="A323">
            <v>26</v>
          </cell>
          <cell r="B323" t="str">
            <v>Flooring in C.C.1:5:10</v>
          </cell>
          <cell r="D323" t="str">
            <v>Cum.</v>
          </cell>
        </row>
        <row r="330">
          <cell r="A330">
            <v>28</v>
          </cell>
          <cell r="B330" t="str">
            <v>Floor plastering in C.M. 1:4, 20 mm tk.</v>
          </cell>
          <cell r="D330" t="str">
            <v>Sqm.</v>
          </cell>
        </row>
        <row r="336">
          <cell r="A336">
            <v>30</v>
          </cell>
          <cell r="B336" t="str">
            <v>Ellispattern</v>
          </cell>
          <cell r="D336" t="str">
            <v>Sqm.</v>
          </cell>
        </row>
        <row r="337">
          <cell r="A337">
            <v>31</v>
          </cell>
          <cell r="B337" t="str">
            <v>Weathering course</v>
          </cell>
          <cell r="D337" t="str">
            <v>Cum.</v>
          </cell>
        </row>
        <row r="341">
          <cell r="A341">
            <v>33</v>
          </cell>
          <cell r="B341" t="str">
            <v>Plastering in C.M. 1:5, 12 mm tk.</v>
          </cell>
          <cell r="D341" t="str">
            <v>Sqm.</v>
          </cell>
        </row>
        <row r="342">
          <cell r="A342">
            <v>34</v>
          </cell>
          <cell r="B342" t="str">
            <v>Plastering in C.M. 1:4, 12 mm tk.</v>
          </cell>
          <cell r="D342" t="str">
            <v>Sqm.</v>
          </cell>
        </row>
        <row r="343">
          <cell r="A343">
            <v>35</v>
          </cell>
          <cell r="B343" t="str">
            <v>Spl. Ceiling plastering in C.M. 1:3,
 10 mm tk.</v>
          </cell>
          <cell r="D343" t="str">
            <v>Sqm.</v>
          </cell>
        </row>
        <row r="344">
          <cell r="A344">
            <v>36</v>
          </cell>
          <cell r="B344" t="str">
            <v>Cement mortar Border in  C.M. 1:5, 12 mm tk.</v>
          </cell>
        </row>
        <row r="345">
          <cell r="A345" t="str">
            <v xml:space="preserve"> </v>
          </cell>
          <cell r="B345" t="str">
            <v>a. 150 mm wide</v>
          </cell>
          <cell r="D345" t="str">
            <v>Rmt</v>
          </cell>
        </row>
        <row r="346">
          <cell r="B346" t="str">
            <v>b. 75 mm wide</v>
          </cell>
          <cell r="D346" t="str">
            <v>Rmt</v>
          </cell>
        </row>
        <row r="347">
          <cell r="B347" t="str">
            <v>c. 50 mm wide</v>
          </cell>
          <cell r="D347" t="str">
            <v>Rmt</v>
          </cell>
        </row>
        <row r="348">
          <cell r="A348">
            <v>37.1</v>
          </cell>
          <cell r="B348" t="str">
            <v>White washing 3 coats  (slaked)</v>
          </cell>
          <cell r="D348" t="str">
            <v>Sqm.</v>
          </cell>
        </row>
        <row r="355">
          <cell r="A355">
            <v>39</v>
          </cell>
          <cell r="B355" t="str">
            <v>M.s Grills</v>
          </cell>
          <cell r="D355" t="str">
            <v>Kg.</v>
          </cell>
        </row>
        <row r="356">
          <cell r="A356">
            <v>40</v>
          </cell>
          <cell r="B356" t="str">
            <v>Painting - New "wood work"</v>
          </cell>
          <cell r="D356" t="str">
            <v>Sqm.</v>
          </cell>
        </row>
        <row r="357">
          <cell r="A357">
            <v>41</v>
          </cell>
          <cell r="B357" t="str">
            <v>Painting - New "iron work"</v>
          </cell>
          <cell r="D357" t="str">
            <v>Sqm.</v>
          </cell>
        </row>
        <row r="367">
          <cell r="A367">
            <v>46</v>
          </cell>
          <cell r="B367" t="str">
            <v>S &amp; F 20 mm dia Alu. Hanger Rod</v>
          </cell>
          <cell r="D367" t="str">
            <v>Rmt</v>
          </cell>
        </row>
        <row r="368">
          <cell r="A368">
            <v>47</v>
          </cell>
          <cell r="B368" t="str">
            <v>S &amp; F Alu  Towel rail 75 cm long</v>
          </cell>
          <cell r="C368">
            <v>95</v>
          </cell>
          <cell r="D368" t="str">
            <v>Each</v>
          </cell>
        </row>
        <row r="369">
          <cell r="A369">
            <v>48</v>
          </cell>
          <cell r="B369" t="str">
            <v>S &amp; F 5 pin Coat stand</v>
          </cell>
          <cell r="C369">
            <v>55</v>
          </cell>
          <cell r="D369" t="str">
            <v>Each</v>
          </cell>
        </row>
        <row r="370">
          <cell r="A370">
            <v>49</v>
          </cell>
          <cell r="B370" t="str">
            <v>S &amp; F chromium plated 8 guage Picture Hook</v>
          </cell>
          <cell r="C370">
            <v>1.5</v>
          </cell>
          <cell r="D370" t="str">
            <v>Each</v>
          </cell>
        </row>
        <row r="372">
          <cell r="A372">
            <v>50.2</v>
          </cell>
          <cell r="B372" t="str">
            <v xml:space="preserve">Providing precast Kerb stone in C.C. 1:3:6,  450 x 300 x 150 mm </v>
          </cell>
          <cell r="C372">
            <v>244.49</v>
          </cell>
          <cell r="D372" t="str">
            <v>Rmt</v>
          </cell>
        </row>
        <row r="373">
          <cell r="A373">
            <v>50.3</v>
          </cell>
          <cell r="B373" t="str">
            <v>Supply and planting avenue trees</v>
          </cell>
          <cell r="C373">
            <v>341.76</v>
          </cell>
          <cell r="D373" t="str">
            <v>Each</v>
          </cell>
        </row>
        <row r="374">
          <cell r="A374">
            <v>50.4</v>
          </cell>
          <cell r="B374" t="str">
            <v>Providing Tree guard</v>
          </cell>
          <cell r="C374">
            <v>807.7</v>
          </cell>
          <cell r="D374" t="str">
            <v>Each</v>
          </cell>
        </row>
        <row r="375">
          <cell r="A375">
            <v>50.5</v>
          </cell>
          <cell r="B375" t="str">
            <v>Supplying. Fabricating and erection of M.S Scheme Name board</v>
          </cell>
          <cell r="C375">
            <v>17220.29</v>
          </cell>
          <cell r="D375" t="str">
            <v>Each</v>
          </cell>
        </row>
        <row r="376">
          <cell r="A376">
            <v>51</v>
          </cell>
          <cell r="B376" t="str">
            <v>HDPE water tank 700 lit capacity with ISI mark</v>
          </cell>
          <cell r="C376">
            <v>6720</v>
          </cell>
          <cell r="D376" t="str">
            <v>Each</v>
          </cell>
        </row>
        <row r="377">
          <cell r="A377">
            <v>52</v>
          </cell>
          <cell r="B377" t="str">
            <v>PVC Water supply (ASTM)</v>
          </cell>
        </row>
        <row r="378">
          <cell r="B378" t="str">
            <v xml:space="preserve">a. 32 mm dia </v>
          </cell>
          <cell r="C378">
            <v>227.81</v>
          </cell>
          <cell r="D378" t="str">
            <v>Rmt</v>
          </cell>
        </row>
        <row r="379">
          <cell r="B379" t="str">
            <v xml:space="preserve">b. 25 mm dia </v>
          </cell>
          <cell r="C379">
            <v>208.73</v>
          </cell>
          <cell r="D379" t="str">
            <v>Rmt</v>
          </cell>
        </row>
        <row r="381">
          <cell r="A381">
            <v>52.1</v>
          </cell>
          <cell r="B381" t="str">
            <v>G.I Pipe 20mm dia for Hot water line (Fully Concealed in walls)</v>
          </cell>
          <cell r="C381">
            <v>286.08</v>
          </cell>
          <cell r="D381" t="str">
            <v>Rmt</v>
          </cell>
        </row>
        <row r="384">
          <cell r="A384">
            <v>53.3</v>
          </cell>
          <cell r="B384" t="str">
            <v>C.I. Steps ( 5 kg)</v>
          </cell>
          <cell r="C384">
            <v>30</v>
          </cell>
          <cell r="D384" t="str">
            <v>Each</v>
          </cell>
        </row>
        <row r="402">
          <cell r="A402">
            <v>59.5</v>
          </cell>
          <cell r="B402" t="str">
            <v>Gully Trap using Kiln burnt country bricks 22 x 11 x 7 cm.</v>
          </cell>
          <cell r="C402">
            <v>1747.74</v>
          </cell>
          <cell r="D402" t="str">
            <v>Each</v>
          </cell>
        </row>
        <row r="404">
          <cell r="A404">
            <v>60</v>
          </cell>
          <cell r="B404" t="str">
            <v>PVC Nahani trap (4way/2way)</v>
          </cell>
          <cell r="C404">
            <v>152.6</v>
          </cell>
          <cell r="D404" t="str">
            <v>Each</v>
          </cell>
        </row>
        <row r="418">
          <cell r="B418" t="str">
            <v>Electrical arrangements</v>
          </cell>
        </row>
        <row r="419">
          <cell r="A419">
            <v>64</v>
          </cell>
          <cell r="B419" t="str">
            <v>a. Light point with ceiling rose</v>
          </cell>
          <cell r="D419" t="str">
            <v>Each</v>
          </cell>
        </row>
        <row r="420">
          <cell r="B420" t="str">
            <v>b. Light point without ceiling rose</v>
          </cell>
          <cell r="D420" t="str">
            <v>Each</v>
          </cell>
        </row>
        <row r="421">
          <cell r="B421" t="str">
            <v>c. Calling bell point with Buzzer/Calling bell</v>
          </cell>
          <cell r="C421">
            <v>1538.57</v>
          </cell>
          <cell r="D421" t="str">
            <v>Each</v>
          </cell>
        </row>
        <row r="422">
          <cell r="A422">
            <v>65</v>
          </cell>
          <cell r="B422" t="str">
            <v xml:space="preserve">Fan point </v>
          </cell>
          <cell r="D422" t="str">
            <v>Each</v>
          </cell>
        </row>
        <row r="423">
          <cell r="A423">
            <v>66</v>
          </cell>
          <cell r="B423" t="str">
            <v>Staircase light point</v>
          </cell>
          <cell r="D423" t="str">
            <v>Each</v>
          </cell>
        </row>
        <row r="424">
          <cell r="A424">
            <v>67</v>
          </cell>
          <cell r="B424" t="str">
            <v>5 amps 5 pin Plug point (Switch board itself)</v>
          </cell>
          <cell r="D424" t="str">
            <v>Each</v>
          </cell>
        </row>
        <row r="425">
          <cell r="A425">
            <v>68</v>
          </cell>
          <cell r="B425" t="str">
            <v>5 amps 5 pin Plug point (Convenient places)</v>
          </cell>
          <cell r="D425" t="str">
            <v>Each</v>
          </cell>
        </row>
        <row r="426">
          <cell r="A426">
            <v>69</v>
          </cell>
          <cell r="B426" t="str">
            <v>15 Amp. Power plug</v>
          </cell>
          <cell r="D426" t="str">
            <v>Each</v>
          </cell>
        </row>
        <row r="427">
          <cell r="A427">
            <v>70.099999999999994</v>
          </cell>
          <cell r="B427" t="str">
            <v>Bulk head fitting</v>
          </cell>
          <cell r="D427" t="str">
            <v>Each</v>
          </cell>
        </row>
        <row r="428">
          <cell r="A428">
            <v>70.2</v>
          </cell>
          <cell r="D428" t="str">
            <v>Each</v>
          </cell>
        </row>
        <row r="435">
          <cell r="A435">
            <v>74</v>
          </cell>
          <cell r="B435" t="str">
            <v>Charges for fixing of "Fan"</v>
          </cell>
          <cell r="D435" t="str">
            <v>Each</v>
          </cell>
        </row>
        <row r="439">
          <cell r="A439">
            <v>76</v>
          </cell>
          <cell r="B439" t="str">
            <v>8 SWG wire</v>
          </cell>
          <cell r="D439" t="str">
            <v>Rmt</v>
          </cell>
        </row>
        <row r="443">
          <cell r="A443">
            <v>77.3</v>
          </cell>
          <cell r="B443" t="str">
            <v>S&amp;F of TV/Telephone line Socket</v>
          </cell>
          <cell r="D443" t="str">
            <v>Each</v>
          </cell>
        </row>
        <row r="444">
          <cell r="A444">
            <v>77.400000000000006</v>
          </cell>
          <cell r="B444" t="str">
            <v>S&amp;F of 20mm dia PVC pipe for TV/Telephone line</v>
          </cell>
          <cell r="D444" t="str">
            <v>Rmt</v>
          </cell>
        </row>
        <row r="445">
          <cell r="A445">
            <v>78</v>
          </cell>
          <cell r="B445" t="str">
            <v>Earthing Station IS3043 (Type I)</v>
          </cell>
          <cell r="D445" t="str">
            <v>Each</v>
          </cell>
        </row>
        <row r="450">
          <cell r="A450">
            <v>81</v>
          </cell>
          <cell r="B450" t="str">
            <v>Meter cupboard</v>
          </cell>
          <cell r="D450" t="str">
            <v>Sqm</v>
          </cell>
        </row>
        <row r="455">
          <cell r="A455">
            <v>86</v>
          </cell>
          <cell r="B455" t="str">
            <v>Anti termite treatment</v>
          </cell>
          <cell r="D455" t="str">
            <v>Sqm.</v>
          </cell>
        </row>
        <row r="457">
          <cell r="A457">
            <v>112</v>
          </cell>
          <cell r="B457" t="str">
            <v>S &amp; F of Exsaust Fan 300 mm dia</v>
          </cell>
          <cell r="D457" t="str">
            <v>Each</v>
          </cell>
        </row>
        <row r="459">
          <cell r="B459" t="str">
            <v>ANNEXURE</v>
          </cell>
        </row>
        <row r="487">
          <cell r="B487" t="str">
            <v xml:space="preserve">a. In Ground floor </v>
          </cell>
          <cell r="D487" t="str">
            <v>Sqm.</v>
          </cell>
        </row>
        <row r="488">
          <cell r="B488" t="str">
            <v>b. In First floor</v>
          </cell>
          <cell r="D488" t="str">
            <v>Sqm.</v>
          </cell>
        </row>
        <row r="490">
          <cell r="D490" t="str">
            <v>Sqm.</v>
          </cell>
        </row>
        <row r="491">
          <cell r="D491" t="str">
            <v>Sqm.</v>
          </cell>
        </row>
        <row r="584">
          <cell r="A584">
            <v>18.100000000000001</v>
          </cell>
          <cell r="B584" t="str">
            <v>Formwork using M.S.Sheet</v>
          </cell>
        </row>
        <row r="585">
          <cell r="B585" t="str">
            <v>a.For Column footings,plinth beam,Grade beam,Raftbeam,Raft slab etc.,</v>
          </cell>
          <cell r="C585">
            <v>739.38</v>
          </cell>
          <cell r="D585" t="str">
            <v>Sqm</v>
          </cell>
        </row>
        <row r="586">
          <cell r="B586" t="str">
            <v>b.Plain surfaces such as Roof slab,floorslab,Beams,lintels,lofts,sill slab,staircase,portico slab and other similar works</v>
          </cell>
          <cell r="C586">
            <v>831.23</v>
          </cell>
          <cell r="D586" t="str">
            <v>Sqm</v>
          </cell>
        </row>
        <row r="587">
          <cell r="B587" t="str">
            <v>c.For Square and rectangular columns and small quantities</v>
          </cell>
          <cell r="C587">
            <v>997.48</v>
          </cell>
          <cell r="D587" t="str">
            <v>Sqm</v>
          </cell>
        </row>
        <row r="588">
          <cell r="B588" t="str">
            <v>d.Vertical wall</v>
          </cell>
          <cell r="C588">
            <v>914.35</v>
          </cell>
          <cell r="D588" t="str">
            <v>Sqm</v>
          </cell>
        </row>
        <row r="590">
          <cell r="B590" t="str">
            <v>f.Curved surface</v>
          </cell>
          <cell r="C590">
            <v>1246.8499999999999</v>
          </cell>
          <cell r="D590" t="str">
            <v>Sqm</v>
          </cell>
        </row>
        <row r="591">
          <cell r="B591" t="str">
            <v>g.Double centering portico area</v>
          </cell>
          <cell r="C591">
            <v>1662.46</v>
          </cell>
          <cell r="D591" t="str">
            <v>Sqm</v>
          </cell>
        </row>
        <row r="604">
          <cell r="B604" t="str">
            <v>Providing T.W double leaf shutter with 18mm thick BWR Plywood for Cupboard / ward robes shutters (Rest room) 4000x2100mm</v>
          </cell>
          <cell r="C604">
            <v>6981.88</v>
          </cell>
          <cell r="D604" t="str">
            <v>Sqm</v>
          </cell>
        </row>
        <row r="614">
          <cell r="B614" t="str">
            <v xml:space="preserve">a. 1200X2100mm.(Single leaf)  </v>
          </cell>
          <cell r="C614">
            <v>5777.7</v>
          </cell>
          <cell r="D614" t="str">
            <v>Sqm</v>
          </cell>
        </row>
        <row r="619">
          <cell r="B619" t="str">
            <v>TW double leaves shutter of size  with brass fittings a.1800 x 2100mm For PS</v>
          </cell>
          <cell r="C619">
            <v>5533.07</v>
          </cell>
          <cell r="D619" t="str">
            <v>Sqm</v>
          </cell>
        </row>
        <row r="630">
          <cell r="A630" t="str">
            <v>21.5.2</v>
          </cell>
          <cell r="B630" t="str">
            <v>Supply and Fixing Soild UPVC door Shutter with frame</v>
          </cell>
          <cell r="C630">
            <v>3167</v>
          </cell>
          <cell r="D630" t="str">
            <v>Sqm</v>
          </cell>
        </row>
        <row r="656">
          <cell r="A656">
            <v>29.8</v>
          </cell>
          <cell r="B656" t="str">
            <v>Glazed tiles using Grout (Tile Joint Filler)</v>
          </cell>
          <cell r="C656">
            <v>1236.28</v>
          </cell>
          <cell r="D656" t="str">
            <v>Sqm</v>
          </cell>
        </row>
        <row r="658">
          <cell r="A658">
            <v>29.9</v>
          </cell>
          <cell r="B658" t="str">
            <v>Floor ceramic tiles (Anti-skid) using Grout (Tile Joint Filler).</v>
          </cell>
          <cell r="C658">
            <v>1092.05</v>
          </cell>
          <cell r="D658" t="str">
            <v>Sqm</v>
          </cell>
        </row>
        <row r="659">
          <cell r="A659">
            <v>38.4</v>
          </cell>
          <cell r="B659" t="str">
            <v>Two coat of cement paint over one coat white cement</v>
          </cell>
          <cell r="C659">
            <v>114.39</v>
          </cell>
          <cell r="D659" t="str">
            <v>Sqm</v>
          </cell>
        </row>
        <row r="661">
          <cell r="A661">
            <v>38.6</v>
          </cell>
          <cell r="B661" t="str">
            <v>One coat white cement for new walls and other similar works.</v>
          </cell>
          <cell r="C661">
            <v>53.72</v>
          </cell>
          <cell r="D661" t="str">
            <v>Sqm</v>
          </cell>
        </row>
        <row r="663">
          <cell r="A663">
            <v>43</v>
          </cell>
          <cell r="B663" t="str">
            <v xml:space="preserve">Fabrication of Mild steel / RTS grills (without cement slurry) for all sizes of rods.
</v>
          </cell>
          <cell r="C663">
            <v>77593</v>
          </cell>
          <cell r="D663" t="str">
            <v>MT</v>
          </cell>
        </row>
        <row r="664">
          <cell r="A664">
            <v>44.6</v>
          </cell>
          <cell r="B664" t="str">
            <v>PVC SWR 110 mm dia with ISI mark type- A for Rain water down fall pipe</v>
          </cell>
          <cell r="C664">
            <v>321.74</v>
          </cell>
          <cell r="D664" t="str">
            <v>Rmt</v>
          </cell>
        </row>
        <row r="665">
          <cell r="A665">
            <v>50.6</v>
          </cell>
          <cell r="B665" t="str">
            <v>Precast slab 50 mm tk.in C.C. 1:3:6 with fibre</v>
          </cell>
          <cell r="C665">
            <v>373.41</v>
          </cell>
          <cell r="D665" t="str">
            <v>Sqm</v>
          </cell>
        </row>
        <row r="666">
          <cell r="A666">
            <v>52.4</v>
          </cell>
          <cell r="B666" t="str">
            <v>20mm dia PVC water supply ASTM pipe (fully consealed in walls)</v>
          </cell>
          <cell r="C666">
            <v>205.94</v>
          </cell>
          <cell r="D666" t="str">
            <v>Rmt</v>
          </cell>
        </row>
        <row r="667">
          <cell r="A667">
            <v>53.4</v>
          </cell>
          <cell r="B667" t="str">
            <v xml:space="preserve">S&amp;F of C.I Manhole cover 60 x 60 cm (50kg weight ) </v>
          </cell>
          <cell r="C667">
            <v>1846</v>
          </cell>
          <cell r="D667" t="str">
            <v>Each</v>
          </cell>
        </row>
        <row r="668">
          <cell r="B668" t="str">
            <v>Wash Hand  Basin of size 550 x 400 mm
(White with Pedestal)</v>
          </cell>
          <cell r="C668">
            <v>3105.82</v>
          </cell>
          <cell r="D668" t="str">
            <v>Each</v>
          </cell>
        </row>
        <row r="672">
          <cell r="A672">
            <v>58.3</v>
          </cell>
          <cell r="B672" t="str">
            <v>PVC SWR pipe (Soil line) with ISI mark - type 'B'.</v>
          </cell>
        </row>
        <row r="673">
          <cell r="B673" t="str">
            <v>a. 110 mm dia.</v>
          </cell>
          <cell r="C673">
            <v>657.29</v>
          </cell>
          <cell r="D673" t="str">
            <v>Rmt</v>
          </cell>
        </row>
        <row r="674">
          <cell r="B674" t="str">
            <v>b. 75 mm dia.</v>
          </cell>
          <cell r="C674">
            <v>541.41999999999996</v>
          </cell>
          <cell r="D674" t="str">
            <v>Rmt</v>
          </cell>
        </row>
        <row r="675">
          <cell r="A675">
            <v>58.4</v>
          </cell>
          <cell r="B675" t="str">
            <v>Supplying, Laying &amp; Concealing the 50mm dia PVC ( SWR) pipe with ISI mark type - 'B' with relevant specials.</v>
          </cell>
          <cell r="C675">
            <v>114.45</v>
          </cell>
          <cell r="D675" t="str">
            <v>Rmt</v>
          </cell>
        </row>
        <row r="676">
          <cell r="A676">
            <v>58.5</v>
          </cell>
          <cell r="B676" t="str">
            <v>PVC(SWR) pipe with ISI mark - type 'A' for Ventilating shaft with cowl</v>
          </cell>
          <cell r="C676">
            <v>450.1</v>
          </cell>
          <cell r="D676" t="str">
            <v>Each</v>
          </cell>
        </row>
        <row r="686">
          <cell r="B686" t="str">
            <v>Supply and delivery of  48" (1200 mm) Fan with ISI mark with Eletronic Dimmer</v>
          </cell>
          <cell r="C686">
            <v>1437.4</v>
          </cell>
          <cell r="D686" t="str">
            <v>Each</v>
          </cell>
        </row>
        <row r="689">
          <cell r="B689" t="str">
            <v>Run of 2 Wires of 2.5 sqmm PVC insulated single core multi strand fire retardant flexible copper cable with ISI mark confirming IS: 694:1990.</v>
          </cell>
          <cell r="C689">
            <v>209.78</v>
          </cell>
          <cell r="D689" t="str">
            <v>Rmt</v>
          </cell>
        </row>
        <row r="698">
          <cell r="A698">
            <v>44.2</v>
          </cell>
        </row>
        <row r="699">
          <cell r="B699" t="str">
            <v>a). Providing pit (M30)</v>
          </cell>
          <cell r="D699" t="str">
            <v>Each</v>
          </cell>
        </row>
        <row r="700">
          <cell r="B700" t="str">
            <v>b) Augering 30cm dia</v>
          </cell>
          <cell r="C700">
            <v>434.61</v>
          </cell>
          <cell r="D700" t="str">
            <v>Rmt</v>
          </cell>
        </row>
        <row r="701">
          <cell r="B701" t="str">
            <v>Providing Rain water Harvesting well ring of Circular shape of 90mm dia, 60cm depth using Standardised Mix design M20</v>
          </cell>
          <cell r="C701">
            <v>1315.68</v>
          </cell>
          <cell r="D701" t="str">
            <v>Each</v>
          </cell>
          <cell r="E701">
            <v>4</v>
          </cell>
        </row>
        <row r="703">
          <cell r="A703">
            <v>344.2</v>
          </cell>
          <cell r="B703" t="str">
            <v>S&amp;F of Bevelled edge mirror 500 x 400 x 5.5mm</v>
          </cell>
          <cell r="C703">
            <v>379.4</v>
          </cell>
          <cell r="D703" t="str">
            <v>Each</v>
          </cell>
        </row>
        <row r="710">
          <cell r="A710">
            <v>71.2</v>
          </cell>
          <cell r="B710" t="str">
            <v>Supplying and fixing of 32 AMPS Triple pole main switch</v>
          </cell>
          <cell r="C710">
            <v>2084</v>
          </cell>
          <cell r="D710" t="str">
            <v>Each</v>
          </cell>
        </row>
        <row r="712">
          <cell r="B712" t="str">
            <v>3 Nos.of 32Amps - Fuse Unit</v>
          </cell>
          <cell r="C712">
            <v>778</v>
          </cell>
          <cell r="D712" t="str">
            <v>Each</v>
          </cell>
          <cell r="E712">
            <v>2</v>
          </cell>
        </row>
        <row r="713">
          <cell r="B713" t="str">
            <v>1 Nos.of 32Amps - Fuse Unit</v>
          </cell>
          <cell r="C713">
            <v>508.26</v>
          </cell>
          <cell r="D713" t="str">
            <v>Each</v>
          </cell>
        </row>
        <row r="721">
          <cell r="A721">
            <v>448.2</v>
          </cell>
          <cell r="B721" t="str">
            <v xml:space="preserve">Providing PVC Tee with end cap </v>
          </cell>
          <cell r="C721">
            <v>122.25</v>
          </cell>
          <cell r="D721" t="str">
            <v>Each</v>
          </cell>
        </row>
        <row r="723">
          <cell r="B723" t="str">
            <v>Providing wooden Melamine polish for new wood work</v>
          </cell>
          <cell r="C723">
            <v>1298.51</v>
          </cell>
          <cell r="D723" t="str">
            <v>Sqm</v>
          </cell>
        </row>
        <row r="841">
          <cell r="B841" t="str">
            <v xml:space="preserve">S &amp; F of CFL road way lighting luminaries suitable for fixing 36w CFL lamp </v>
          </cell>
          <cell r="C841">
            <v>3190.14</v>
          </cell>
          <cell r="D841" t="str">
            <v>Each</v>
          </cell>
        </row>
        <row r="845">
          <cell r="B845" t="str">
            <v>UPVC Non Pressure  pipe of SN8 SDR 34
( S 16.5) as per IS 15328/2003</v>
          </cell>
        </row>
        <row r="846">
          <cell r="B846" t="str">
            <v>a. 110 mm UPVC Non Pressure  pipe</v>
          </cell>
          <cell r="C846">
            <v>366.07</v>
          </cell>
          <cell r="D846" t="str">
            <v>Rmt</v>
          </cell>
        </row>
        <row r="847">
          <cell r="B847" t="str">
            <v>b. 160 mm UPVC Non Pressure  pipe</v>
          </cell>
          <cell r="C847">
            <v>593.33000000000004</v>
          </cell>
          <cell r="D847" t="str">
            <v>Rmt</v>
          </cell>
        </row>
        <row r="848">
          <cell r="B848" t="str">
            <v>PVC Specials  as per IS 10124/1982 Part II</v>
          </cell>
        </row>
        <row r="849">
          <cell r="B849" t="str">
            <v>a. 110 mm dia PVC bend (TWAD SR 19-20  P-19 S.No-4 )</v>
          </cell>
          <cell r="C849">
            <v>156</v>
          </cell>
          <cell r="D849" t="str">
            <v>Each</v>
          </cell>
        </row>
        <row r="850">
          <cell r="B850" t="str">
            <v>b. 160 mm dia PVC bend (TWAD SR 19-20 P-19 it-1.5, S.No-4 )</v>
          </cell>
          <cell r="C850">
            <v>497</v>
          </cell>
          <cell r="D850" t="str">
            <v>Each</v>
          </cell>
        </row>
        <row r="851">
          <cell r="B851" t="str">
            <v xml:space="preserve">PVC Equal Tee  as per  BIS 7834/1975 </v>
          </cell>
        </row>
        <row r="852">
          <cell r="B852" t="str">
            <v>a. 110 mm dia PVC Equal tee(TWAD SR 19-20 P-19 S.No-9 )</v>
          </cell>
          <cell r="C852">
            <v>186</v>
          </cell>
          <cell r="D852" t="str">
            <v>Each</v>
          </cell>
        </row>
        <row r="853">
          <cell r="B853" t="str">
            <v>b. 160 mm dia PVC Equal tee(TWAD SR 19-20 P-19 S.No-9 )</v>
          </cell>
          <cell r="C853">
            <v>328</v>
          </cell>
          <cell r="D853" t="str">
            <v>Each</v>
          </cell>
        </row>
        <row r="854">
          <cell r="B854" t="str">
            <v xml:space="preserve">S &amp; F of Indian Water closet white glazed (Oriya type) of size 580 x 440mm with PVC SWR grade ' P' or "S' trap   - in G.F.  </v>
          </cell>
          <cell r="C854">
            <v>3030.06</v>
          </cell>
          <cell r="D854" t="str">
            <v>Each</v>
          </cell>
        </row>
        <row r="855">
          <cell r="B855" t="str">
            <v xml:space="preserve">S &amp; F of Indian Water closet white glazed (Oriya type) of size 580 x 440mm  with PVC SWR grade ' P' or "S' trap- Other than  G.F.  </v>
          </cell>
          <cell r="C855">
            <v>4768.38</v>
          </cell>
          <cell r="D855" t="str">
            <v>Each</v>
          </cell>
        </row>
        <row r="856">
          <cell r="B856" t="str">
            <v xml:space="preserve">S &amp; F of E.W.C.(White) 500 mm with PVC SWR grade "P" or "S" TRAP </v>
          </cell>
          <cell r="C856">
            <v>6501.3</v>
          </cell>
          <cell r="D856" t="str">
            <v>Each</v>
          </cell>
        </row>
        <row r="924">
          <cell r="B924" t="str">
            <v>Supply and fixing of 12 watts  LED bulb  (qtn)</v>
          </cell>
          <cell r="C924">
            <v>170</v>
          </cell>
          <cell r="D924" t="str">
            <v>Each</v>
          </cell>
        </row>
        <row r="1025">
          <cell r="B1025" t="str">
            <v>Total</v>
          </cell>
        </row>
      </sheetData>
      <sheetData sheetId="7"/>
      <sheetData sheetId="8"/>
      <sheetData sheetId="9"/>
      <sheetData sheetId="10">
        <row r="126">
          <cell r="R126">
            <v>249.9</v>
          </cell>
        </row>
        <row r="534">
          <cell r="X534">
            <v>1284.18</v>
          </cell>
        </row>
        <row r="535">
          <cell r="X535">
            <v>1288.49</v>
          </cell>
        </row>
        <row r="556">
          <cell r="X556">
            <v>1417.27</v>
          </cell>
        </row>
        <row r="558">
          <cell r="X558">
            <v>1421.65</v>
          </cell>
        </row>
        <row r="559">
          <cell r="X559">
            <v>1430.28</v>
          </cell>
        </row>
        <row r="715">
          <cell r="X715">
            <v>7263.8</v>
          </cell>
        </row>
        <row r="717">
          <cell r="X717">
            <v>7372.27</v>
          </cell>
        </row>
        <row r="718">
          <cell r="X718">
            <v>7585.95</v>
          </cell>
        </row>
        <row r="719">
          <cell r="X719">
            <v>7799.63</v>
          </cell>
        </row>
        <row r="1227">
          <cell r="R1227">
            <v>1354.89</v>
          </cell>
        </row>
        <row r="1246">
          <cell r="R1246">
            <v>1361.71</v>
          </cell>
        </row>
        <row r="1323">
          <cell r="R1323">
            <v>206.91</v>
          </cell>
        </row>
        <row r="2347">
          <cell r="R2347">
            <v>1896.6</v>
          </cell>
        </row>
        <row r="2412">
          <cell r="K2412">
            <v>2016.25</v>
          </cell>
        </row>
        <row r="3112">
          <cell r="AG3112">
            <v>467</v>
          </cell>
          <cell r="AH3112">
            <v>419</v>
          </cell>
        </row>
        <row r="3530">
          <cell r="K3530">
            <v>3198.2</v>
          </cell>
        </row>
      </sheetData>
      <sheetData sheetId="11"/>
      <sheetData sheetId="12">
        <row r="1">
          <cell r="A1" t="str">
            <v>Name of work : Construction of Fire and Rescue service station building with development works at Kadamalaikundu in Theni District.</v>
          </cell>
        </row>
      </sheetData>
      <sheetData sheetId="13">
        <row r="1">
          <cell r="A1" t="str">
            <v>Name of work : Construction of Fire and Rescue service station building with development works at Kadamalaikundu in Theni District.</v>
          </cell>
        </row>
        <row r="957">
          <cell r="I957">
            <v>1</v>
          </cell>
        </row>
        <row r="967">
          <cell r="I967">
            <v>6</v>
          </cell>
        </row>
        <row r="968">
          <cell r="I968">
            <v>4</v>
          </cell>
        </row>
        <row r="970">
          <cell r="I970">
            <v>2</v>
          </cell>
        </row>
        <row r="971">
          <cell r="I971">
            <v>2</v>
          </cell>
        </row>
        <row r="1536">
          <cell r="I1536">
            <v>3</v>
          </cell>
        </row>
        <row r="1537">
          <cell r="I1537">
            <v>3</v>
          </cell>
        </row>
        <row r="1575">
          <cell r="I1575">
            <v>18</v>
          </cell>
        </row>
      </sheetData>
      <sheetData sheetId="14"/>
      <sheetData sheetId="15"/>
      <sheetData sheetId="16"/>
      <sheetData sheetId="17"/>
      <sheetData sheetId="18"/>
      <sheetData sheetId="19"/>
      <sheetData sheetId="20"/>
      <sheetData sheetId="21"/>
      <sheetData sheetId="22"/>
      <sheetData sheetId="23">
        <row r="963">
          <cell r="F963">
            <v>222376</v>
          </cell>
        </row>
      </sheetData>
      <sheetData sheetId="24"/>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 new Elec.Data (2)"/>
      <sheetName val="Sheet1 (3)"/>
      <sheetName val="pile data"/>
      <sheetName val="lead  charge"/>
      <sheetName val="Elec.Data"/>
      <sheetName val="Elec.abs"/>
      <sheetName val="G. Abstract (8.11)"/>
      <sheetName val="Data"/>
      <sheetName val="Develo"/>
      <sheetName val="Building (8.11)"/>
      <sheetName val="Abstract"/>
    </sheetNames>
    <sheetDataSet>
      <sheetData sheetId="0" refreshError="1"/>
      <sheetData sheetId="1" refreshError="1"/>
      <sheetData sheetId="2"/>
      <sheetData sheetId="3" refreshError="1"/>
      <sheetData sheetId="4" refreshError="1"/>
      <sheetData sheetId="5" refreshError="1"/>
      <sheetData sheetId="6" refreshError="1"/>
      <sheetData sheetId="7"/>
      <sheetData sheetId="8" refreshError="1"/>
      <sheetData sheetId="9" refreshError="1"/>
      <sheetData sheetId="10"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7 in 1 2017-18"/>
      <sheetName val="6 in1  (New) (2)"/>
      <sheetName val="7 in 1"/>
      <sheetName val="8 in1 (2017-2018)"/>
      <sheetName val="5 in 1 (2017-2018)"/>
      <sheetName val="5 in 1"/>
      <sheetName val="4in1 (2017-2018)gst"/>
      <sheetName val="6 in1  (2017-2018)gst"/>
      <sheetName val="3 in1gst"/>
      <sheetName val="8 in1 (New)"/>
      <sheetName val="4in1"/>
      <sheetName val="2IN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row r="52">
          <cell r="H52">
            <v>25056</v>
          </cell>
        </row>
      </sheetData>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Abstract "/>
      <sheetName val="G. Abstract"/>
      <sheetName val="pile data "/>
      <sheetName val="  Coastal  Elec.Data "/>
      <sheetName val="lead  charge"/>
      <sheetName val="building"/>
      <sheetName val="Elec.Data"/>
      <sheetName val="Sliding and french window"/>
      <sheetName val="LED data"/>
      <sheetName val="Data"/>
      <sheetName val="G. Abstractfinal"/>
      <sheetName val="main abst"/>
      <sheetName val="main detail"/>
      <sheetName val="sump"/>
      <sheetName val="septic tank"/>
      <sheetName val="Plinth"/>
      <sheetName val="OHT"/>
      <sheetName val="compound"/>
      <sheetName val="Sullage drain"/>
      <sheetName val="paver block"/>
      <sheetName val="Ex. WS"/>
      <sheetName val="UG cable"/>
      <sheetName val="Devp Abst"/>
      <sheetName val="Sheet1"/>
      <sheetName val="main abst (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4">
          <cell r="A4" t="str">
            <v>Name of work : Construction of Fire and Rescue service station building with development works at Kadamalaikundu in Theni District.</v>
          </cell>
        </row>
      </sheetData>
      <sheetData sheetId="18"/>
      <sheetData sheetId="19"/>
      <sheetData sheetId="20"/>
      <sheetData sheetId="21"/>
      <sheetData sheetId="22"/>
      <sheetData sheetId="23"/>
      <sheetData sheetId="24"/>
      <sheetData sheetId="25"/>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pile data ( M30 grade) (2)"/>
      <sheetName val="Abstract "/>
      <sheetName val="G. Abstract"/>
      <sheetName val="pile data "/>
      <sheetName val="  Coastal  Elec.Data "/>
      <sheetName val="lead  charge"/>
      <sheetName val="building"/>
      <sheetName val="Elec.Data"/>
      <sheetName val="Sliding and french window"/>
      <sheetName val="LED data"/>
      <sheetName val="Data"/>
      <sheetName val="G. Abstractfinal"/>
      <sheetName val="main abst"/>
      <sheetName val="main detail"/>
      <sheetName val="sump"/>
      <sheetName val="septic tank"/>
      <sheetName val="Plinth"/>
      <sheetName val="OHT"/>
      <sheetName val="compound"/>
      <sheetName val="Sullage drain"/>
      <sheetName val="paver block"/>
      <sheetName val="Ex. WS"/>
      <sheetName val="UG cable"/>
      <sheetName val="Devp Abst"/>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ow r="1">
          <cell r="A1" t="str">
            <v>Name of work : Construction of Fire and Rescue service station building with development works at Kadamalaikundu in Theni District.</v>
          </cell>
        </row>
      </sheetData>
      <sheetData sheetId="14" refreshError="1"/>
      <sheetData sheetId="15">
        <row r="2">
          <cell r="A2" t="str">
            <v>MADURAI DIVISION</v>
          </cell>
        </row>
      </sheetData>
      <sheetData sheetId="16" refreshError="1"/>
      <sheetData sheetId="17">
        <row r="4">
          <cell r="A4" t="str">
            <v>Name of work : Construction of Fire and Rescue service station building with development works at Kadamalaikundu in Theni District.</v>
          </cell>
        </row>
      </sheetData>
      <sheetData sheetId="18" refreshError="1"/>
      <sheetData sheetId="19" refreshError="1"/>
      <sheetData sheetId="20">
        <row r="1">
          <cell r="A1" t="str">
            <v>Name of work : Construction of Fire and Rescue service station building with development works at Kadamalaikundu in Theni District.</v>
          </cell>
        </row>
      </sheetData>
      <sheetData sheetId="21">
        <row r="2">
          <cell r="A2" t="str">
            <v>Name of work : Construction of Fire and Rescue service station building with development works at Kadamalaikundu in Theni District.</v>
          </cell>
        </row>
      </sheetData>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sheet1.xml><?xml version="1.0" encoding="utf-8"?>
<worksheet xmlns="http://schemas.openxmlformats.org/spreadsheetml/2006/main" xmlns:r="http://schemas.openxmlformats.org/officeDocument/2006/relationships">
  <dimension ref="A1:M226"/>
  <sheetViews>
    <sheetView view="pageBreakPreview" zoomScale="80" zoomScaleSheetLayoutView="80" workbookViewId="0">
      <selection activeCell="D16" sqref="D16"/>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822" t="s">
        <v>4042</v>
      </c>
      <c r="B1" s="1822"/>
      <c r="C1" s="1822"/>
      <c r="D1" s="1822"/>
      <c r="E1" s="1822"/>
      <c r="F1" s="1822"/>
    </row>
    <row r="2" spans="1:7" ht="17.25">
      <c r="A2" s="1822" t="s">
        <v>4041</v>
      </c>
      <c r="B2" s="1822"/>
      <c r="C2" s="1822"/>
      <c r="D2" s="1822"/>
      <c r="E2" s="1822"/>
      <c r="F2" s="1822"/>
    </row>
    <row r="3" spans="1:7" ht="31.5" customHeight="1">
      <c r="A3" s="1823" t="s">
        <v>4235</v>
      </c>
      <c r="B3" s="1823"/>
      <c r="C3" s="1823"/>
      <c r="D3" s="1823"/>
      <c r="E3" s="1823"/>
      <c r="F3" s="1823"/>
    </row>
    <row r="4" spans="1:7" ht="17.25">
      <c r="A4" s="1824" t="s">
        <v>4625</v>
      </c>
      <c r="B4" s="1824"/>
      <c r="C4" s="1824"/>
      <c r="D4" s="1824"/>
      <c r="E4" s="1824"/>
      <c r="F4" s="348"/>
    </row>
    <row r="5" spans="1:7" ht="6" customHeight="1">
      <c r="A5" s="348"/>
      <c r="B5" s="348"/>
      <c r="C5" s="348"/>
      <c r="D5" s="348"/>
      <c r="E5" s="348"/>
      <c r="F5" s="348"/>
    </row>
    <row r="6" spans="1:7" ht="45.75" customHeight="1">
      <c r="B6" s="366"/>
      <c r="C6" s="1825" t="s">
        <v>4039</v>
      </c>
      <c r="D6" s="1825"/>
      <c r="E6" s="1825"/>
      <c r="F6" s="366"/>
      <c r="G6" s="4" t="s">
        <v>2176</v>
      </c>
    </row>
    <row r="7" spans="1:7" ht="24" customHeight="1">
      <c r="A7" s="365"/>
      <c r="B7" s="1826" t="s">
        <v>4038</v>
      </c>
      <c r="C7" s="1826"/>
      <c r="D7" s="1826"/>
      <c r="E7" s="1826"/>
      <c r="F7" s="1826"/>
      <c r="G7" s="35">
        <v>1.57</v>
      </c>
    </row>
    <row r="8" spans="1:7" ht="28.5" customHeight="1">
      <c r="A8" s="357"/>
      <c r="B8" s="357"/>
      <c r="C8" s="579" t="s">
        <v>4037</v>
      </c>
      <c r="D8" s="357"/>
      <c r="E8" s="357"/>
      <c r="F8" s="357"/>
    </row>
    <row r="9" spans="1:7" ht="30.75" customHeight="1">
      <c r="A9" s="359">
        <f>G7</f>
        <v>1.57</v>
      </c>
      <c r="B9" s="357" t="s">
        <v>2176</v>
      </c>
      <c r="C9" s="357" t="s">
        <v>4096</v>
      </c>
      <c r="D9" s="348"/>
      <c r="E9" s="358">
        <f>G54</f>
        <v>7719.51</v>
      </c>
      <c r="F9" s="358">
        <f>A9*E9</f>
        <v>12119.63</v>
      </c>
    </row>
    <row r="10" spans="1:7" ht="30.75" customHeight="1">
      <c r="A10" s="363">
        <f>A9*10/100</f>
        <v>0.157</v>
      </c>
      <c r="B10" s="357" t="s">
        <v>530</v>
      </c>
      <c r="C10" s="357" t="s">
        <v>4035</v>
      </c>
      <c r="D10" s="348"/>
      <c r="E10" s="358">
        <v>4000</v>
      </c>
      <c r="F10" s="358">
        <f>A10*E10</f>
        <v>628</v>
      </c>
    </row>
    <row r="11" spans="1:7" ht="30.75" customHeight="1">
      <c r="A11" s="358">
        <v>8</v>
      </c>
      <c r="B11" s="357" t="s">
        <v>835</v>
      </c>
      <c r="C11" s="357" t="s">
        <v>2677</v>
      </c>
      <c r="D11" s="348"/>
      <c r="E11" s="358">
        <v>960</v>
      </c>
      <c r="F11" s="358">
        <f>A11*E11</f>
        <v>7680</v>
      </c>
    </row>
    <row r="12" spans="1:7" ht="21" customHeight="1">
      <c r="A12" s="357"/>
      <c r="B12" s="357"/>
      <c r="C12" s="357"/>
      <c r="D12" s="348"/>
      <c r="E12" s="357"/>
      <c r="F12" s="357"/>
    </row>
    <row r="13" spans="1:7" ht="21" customHeight="1">
      <c r="A13" s="357"/>
      <c r="B13" s="357"/>
      <c r="C13" s="357" t="s">
        <v>4034</v>
      </c>
      <c r="D13" s="348"/>
      <c r="E13" s="357"/>
      <c r="F13" s="358">
        <f>SUM(F9:F12)</f>
        <v>20427.63</v>
      </c>
    </row>
    <row r="14" spans="1:7" ht="21" customHeight="1">
      <c r="A14" s="357"/>
      <c r="B14" s="357"/>
      <c r="C14" s="357" t="s">
        <v>1664</v>
      </c>
      <c r="D14" s="348"/>
      <c r="E14" s="357"/>
      <c r="F14" s="358">
        <f>F13/7</f>
        <v>2918.23</v>
      </c>
    </row>
    <row r="15" spans="1:7" ht="21" customHeight="1">
      <c r="A15" s="357"/>
      <c r="B15" s="357"/>
      <c r="C15" s="357" t="s">
        <v>4033</v>
      </c>
      <c r="D15" s="348"/>
      <c r="E15" s="357"/>
      <c r="F15" s="357">
        <f>1000/8</f>
        <v>125</v>
      </c>
    </row>
    <row r="16" spans="1:7" ht="21" customHeight="1">
      <c r="A16" s="357"/>
      <c r="B16" s="357"/>
      <c r="C16" s="357"/>
      <c r="D16" s="348"/>
      <c r="E16" s="357"/>
      <c r="F16" s="357"/>
    </row>
    <row r="17" spans="1:13" ht="21" customHeight="1">
      <c r="A17" s="357"/>
      <c r="B17" s="357"/>
      <c r="C17" s="357" t="s">
        <v>1664</v>
      </c>
      <c r="D17" s="348"/>
      <c r="E17" s="357"/>
      <c r="F17" s="356">
        <f>SUM(F14:F16)</f>
        <v>3043.23</v>
      </c>
    </row>
    <row r="18" spans="1:13" ht="21" customHeight="1">
      <c r="A18" s="357"/>
      <c r="B18" s="357"/>
      <c r="C18" s="357" t="s">
        <v>4032</v>
      </c>
      <c r="D18" s="357"/>
      <c r="E18" s="357"/>
      <c r="F18" s="357"/>
    </row>
    <row r="19" spans="1:13" ht="21" customHeight="1">
      <c r="A19" s="357"/>
      <c r="B19" s="357"/>
      <c r="C19" s="357"/>
      <c r="D19" s="357"/>
      <c r="E19" s="357"/>
      <c r="F19" s="357"/>
    </row>
    <row r="20" spans="1:13" ht="12.75" customHeight="1">
      <c r="A20" s="357"/>
      <c r="B20" s="357"/>
      <c r="C20" s="357"/>
      <c r="D20" s="357"/>
      <c r="E20" s="357"/>
      <c r="F20" s="357"/>
    </row>
    <row r="21" spans="1:13" s="25" customFormat="1" ht="42" customHeight="1">
      <c r="A21" s="362"/>
      <c r="B21" s="362"/>
      <c r="C21" s="1827" t="s">
        <v>4031</v>
      </c>
      <c r="D21" s="1827"/>
      <c r="E21" s="1827"/>
      <c r="F21" s="362"/>
    </row>
    <row r="22" spans="1:13" ht="30.75" customHeight="1">
      <c r="A22" s="361"/>
      <c r="B22" s="1826" t="s">
        <v>4030</v>
      </c>
      <c r="C22" s="1826"/>
      <c r="D22" s="1826"/>
      <c r="E22" s="1826"/>
      <c r="F22" s="1826"/>
      <c r="G22" s="35">
        <v>0.19600000000000001</v>
      </c>
    </row>
    <row r="23" spans="1:13" ht="30.75" customHeight="1">
      <c r="A23" s="357"/>
      <c r="B23" s="357"/>
      <c r="C23" s="360" t="s">
        <v>4029</v>
      </c>
      <c r="D23" s="357"/>
      <c r="E23" s="357"/>
      <c r="F23" s="357"/>
    </row>
    <row r="24" spans="1:13" ht="30.75" customHeight="1">
      <c r="A24" s="359">
        <f>G22</f>
        <v>0.19600000000000001</v>
      </c>
      <c r="B24" s="357" t="s">
        <v>2176</v>
      </c>
      <c r="C24" s="357" t="s">
        <v>4426</v>
      </c>
      <c r="D24" s="348"/>
      <c r="E24" s="358">
        <v>3820</v>
      </c>
      <c r="F24" s="358">
        <f>A24*E24</f>
        <v>748.72</v>
      </c>
    </row>
    <row r="25" spans="1:13" ht="42.75" customHeight="1">
      <c r="A25" s="359">
        <f>+A24</f>
        <v>0.19600000000000001</v>
      </c>
      <c r="B25" s="357" t="s">
        <v>2176</v>
      </c>
      <c r="C25" s="1821" t="s">
        <v>4427</v>
      </c>
      <c r="D25" s="1821"/>
      <c r="E25" s="358">
        <f>9.62*5</f>
        <v>48.1</v>
      </c>
      <c r="F25" s="358">
        <f>E25*A25</f>
        <v>9.43</v>
      </c>
      <c r="I25">
        <f>8.69*0.125</f>
        <v>1.0900000000000001</v>
      </c>
    </row>
    <row r="26" spans="1:13" ht="36" customHeight="1">
      <c r="A26" s="359">
        <f>+A25</f>
        <v>0.19600000000000001</v>
      </c>
      <c r="B26" s="357" t="s">
        <v>2176</v>
      </c>
      <c r="C26" s="357" t="s">
        <v>4428</v>
      </c>
      <c r="D26" s="348"/>
      <c r="E26" s="358">
        <v>30.1</v>
      </c>
      <c r="F26" s="358">
        <f>A26*E26</f>
        <v>5.9</v>
      </c>
      <c r="I26" s="25">
        <f>0.125*26.3</f>
        <v>3.29</v>
      </c>
    </row>
    <row r="27" spans="1:13" ht="17.25">
      <c r="A27" s="358"/>
      <c r="B27" s="357"/>
      <c r="C27" s="357"/>
      <c r="D27" s="348"/>
      <c r="E27" s="358"/>
      <c r="F27" s="358"/>
      <c r="I27">
        <f>26.58/3</f>
        <v>8.86</v>
      </c>
    </row>
    <row r="28" spans="1:13" ht="17.25">
      <c r="A28" s="357"/>
      <c r="B28" s="357"/>
      <c r="C28" s="357" t="s">
        <v>1664</v>
      </c>
      <c r="D28" s="348"/>
      <c r="E28" s="357"/>
      <c r="F28" s="356">
        <f>SUM(F24:F27)</f>
        <v>764.05</v>
      </c>
    </row>
    <row r="29" spans="1:13" ht="17.25">
      <c r="A29" s="348"/>
      <c r="B29" s="348"/>
      <c r="C29" s="348"/>
      <c r="D29" s="348"/>
      <c r="E29" s="348"/>
      <c r="F29" s="348"/>
    </row>
    <row r="30" spans="1:13" ht="51" customHeight="1">
      <c r="B30" s="355"/>
      <c r="C30" s="1820" t="s">
        <v>4026</v>
      </c>
      <c r="D30" s="1820"/>
      <c r="E30" s="1820"/>
      <c r="F30" s="355"/>
    </row>
    <row r="31" spans="1:13" ht="17.25">
      <c r="A31" s="348"/>
      <c r="B31" s="348"/>
      <c r="C31" s="348"/>
      <c r="D31" s="348"/>
      <c r="E31" s="348"/>
      <c r="F31" s="348"/>
      <c r="M31">
        <f>8.69*3</f>
        <v>26.07</v>
      </c>
    </row>
    <row r="32" spans="1:13" ht="60" customHeight="1">
      <c r="A32" s="351" t="s">
        <v>4024</v>
      </c>
      <c r="B32" s="351">
        <v>3</v>
      </c>
      <c r="C32" s="354" t="s">
        <v>4025</v>
      </c>
      <c r="E32" s="358">
        <v>9.16</v>
      </c>
      <c r="F32" s="358"/>
      <c r="G32" s="351">
        <f>E32*B32</f>
        <v>27.48</v>
      </c>
    </row>
    <row r="33" spans="1:10" ht="21.75" customHeight="1">
      <c r="A33" s="351" t="s">
        <v>4024</v>
      </c>
      <c r="B33" s="351">
        <v>3</v>
      </c>
      <c r="C33" s="353" t="s">
        <v>4023</v>
      </c>
      <c r="E33" s="358">
        <v>30.1</v>
      </c>
      <c r="F33" s="358"/>
      <c r="G33" s="351">
        <f>E33*B33</f>
        <v>90.3</v>
      </c>
      <c r="J33" t="s">
        <v>4429</v>
      </c>
    </row>
    <row r="34" spans="1:10" ht="17.25">
      <c r="A34" s="351"/>
      <c r="B34" s="351"/>
      <c r="C34" s="352"/>
      <c r="E34" s="358"/>
      <c r="F34" s="358"/>
      <c r="G34" s="351"/>
    </row>
    <row r="35" spans="1:10" ht="17.25">
      <c r="A35" s="351"/>
      <c r="B35" s="351"/>
      <c r="C35" s="352" t="s">
        <v>4022</v>
      </c>
      <c r="E35" s="351"/>
      <c r="F35" s="351"/>
      <c r="G35" s="350">
        <f>SUM(G32:G34)</f>
        <v>117.78</v>
      </c>
    </row>
    <row r="36" spans="1:10" ht="17.25">
      <c r="A36" s="348"/>
      <c r="B36" s="348"/>
      <c r="C36" s="348"/>
      <c r="E36" s="348"/>
      <c r="F36" s="348"/>
      <c r="G36" s="348"/>
    </row>
    <row r="37" spans="1:10" ht="17.25" hidden="1">
      <c r="A37" s="348"/>
      <c r="B37" s="348"/>
      <c r="C37" s="348"/>
      <c r="E37" s="348"/>
      <c r="F37" s="348"/>
      <c r="G37" s="348"/>
    </row>
    <row r="38" spans="1:10" ht="17.25" hidden="1">
      <c r="A38" s="348"/>
      <c r="B38" s="348"/>
      <c r="C38" s="348"/>
      <c r="E38" s="348"/>
      <c r="F38" s="348"/>
      <c r="G38" s="348"/>
    </row>
    <row r="39" spans="1:10" ht="3" customHeight="1">
      <c r="A39" s="349"/>
      <c r="B39" s="348"/>
      <c r="C39" s="349"/>
      <c r="E39" s="348"/>
      <c r="F39" s="348"/>
      <c r="G39" s="348"/>
    </row>
    <row r="40" spans="1:10" ht="24" customHeight="1">
      <c r="A40" s="35"/>
      <c r="B40" s="25">
        <v>4.2</v>
      </c>
      <c r="C40" s="25" t="s">
        <v>4075</v>
      </c>
    </row>
    <row r="41" spans="1:10" ht="24" customHeight="1">
      <c r="A41" s="35">
        <v>5</v>
      </c>
      <c r="B41" t="s">
        <v>1361</v>
      </c>
      <c r="C41" t="s">
        <v>4083</v>
      </c>
      <c r="D41">
        <f>Data!V672</f>
        <v>1679.5</v>
      </c>
      <c r="F41">
        <f>D41*A41</f>
        <v>8397.5</v>
      </c>
    </row>
    <row r="42" spans="1:10" ht="24" customHeight="1">
      <c r="A42" s="35">
        <v>3.3</v>
      </c>
      <c r="B42" t="s">
        <v>1361</v>
      </c>
      <c r="C42" t="s">
        <v>4084</v>
      </c>
      <c r="D42">
        <f>Data!V673</f>
        <v>1400.5</v>
      </c>
      <c r="F42">
        <f t="shared" ref="F42:F48" si="0">D42*A42</f>
        <v>4621.6499999999996</v>
      </c>
    </row>
    <row r="43" spans="1:10" ht="24" customHeight="1">
      <c r="A43" s="35">
        <v>4.79</v>
      </c>
      <c r="B43" t="s">
        <v>1361</v>
      </c>
      <c r="C43" t="s">
        <v>4085</v>
      </c>
      <c r="D43">
        <f>Data!V674</f>
        <v>1511.1</v>
      </c>
      <c r="F43">
        <f t="shared" si="0"/>
        <v>7238.17</v>
      </c>
    </row>
    <row r="44" spans="1:10" ht="24" customHeight="1">
      <c r="A44" s="35">
        <v>4</v>
      </c>
      <c r="B44" t="s">
        <v>530</v>
      </c>
      <c r="C44" t="s">
        <v>390</v>
      </c>
      <c r="D44">
        <f>Data!V675</f>
        <v>5960</v>
      </c>
      <c r="F44">
        <f t="shared" si="0"/>
        <v>23840</v>
      </c>
    </row>
    <row r="45" spans="1:10" ht="24" customHeight="1">
      <c r="A45" s="35">
        <v>40</v>
      </c>
      <c r="B45" t="s">
        <v>1670</v>
      </c>
      <c r="C45" t="s">
        <v>4092</v>
      </c>
      <c r="D45">
        <f>Data!V676</f>
        <v>42.8</v>
      </c>
      <c r="F45">
        <f t="shared" si="0"/>
        <v>1712</v>
      </c>
    </row>
    <row r="46" spans="1:10" ht="24" customHeight="1">
      <c r="A46" s="35">
        <v>3.5</v>
      </c>
      <c r="B46" t="s">
        <v>1452</v>
      </c>
      <c r="C46" t="s">
        <v>466</v>
      </c>
      <c r="D46">
        <f>Data!V677</f>
        <v>804</v>
      </c>
      <c r="F46">
        <f>D46*A46</f>
        <v>2814</v>
      </c>
    </row>
    <row r="47" spans="1:10" ht="24" customHeight="1">
      <c r="A47" s="35">
        <v>21.2</v>
      </c>
      <c r="B47" t="s">
        <v>1452</v>
      </c>
      <c r="C47" t="s">
        <v>3523</v>
      </c>
      <c r="D47">
        <f>Data!V678</f>
        <v>562</v>
      </c>
      <c r="F47">
        <f t="shared" si="0"/>
        <v>11914.4</v>
      </c>
    </row>
    <row r="48" spans="1:10" ht="24" customHeight="1">
      <c r="A48" s="35">
        <v>35.299999999999997</v>
      </c>
      <c r="B48" t="s">
        <v>1452</v>
      </c>
      <c r="C48" t="s">
        <v>3524</v>
      </c>
      <c r="D48">
        <f>Data!V679</f>
        <v>461</v>
      </c>
      <c r="F48">
        <f t="shared" si="0"/>
        <v>16273.3</v>
      </c>
    </row>
    <row r="49" spans="1:8" ht="24" customHeight="1">
      <c r="A49" s="35"/>
      <c r="C49" s="25" t="s">
        <v>4087</v>
      </c>
      <c r="D49">
        <f>Data!V680</f>
        <v>0</v>
      </c>
      <c r="F49" s="25">
        <f>SUM(F41:F48)</f>
        <v>76811.02</v>
      </c>
    </row>
    <row r="50" spans="1:8" ht="24" customHeight="1">
      <c r="A50" s="35"/>
      <c r="C50" s="25" t="s">
        <v>4088</v>
      </c>
      <c r="D50">
        <f>Data!V681</f>
        <v>0</v>
      </c>
      <c r="F50" s="25">
        <f>F49/10</f>
        <v>7681.1</v>
      </c>
      <c r="G50">
        <f>F50</f>
        <v>7681.1</v>
      </c>
    </row>
    <row r="51" spans="1:8" ht="24" customHeight="1">
      <c r="A51" s="35">
        <v>1</v>
      </c>
      <c r="B51" t="s">
        <v>1361</v>
      </c>
      <c r="C51" t="s">
        <v>3525</v>
      </c>
      <c r="D51">
        <f>Data!V682</f>
        <v>81.3</v>
      </c>
      <c r="F51">
        <f>D51</f>
        <v>81.3</v>
      </c>
    </row>
    <row r="52" spans="1:8" ht="24" customHeight="1">
      <c r="A52" s="35"/>
      <c r="C52" t="s">
        <v>4089</v>
      </c>
      <c r="F52" s="25">
        <f>SUM(F50:F51)</f>
        <v>7762.4</v>
      </c>
      <c r="G52">
        <f>SUM(G50:G51)</f>
        <v>7681.1</v>
      </c>
    </row>
    <row r="53" spans="1:8">
      <c r="A53" s="257" t="s">
        <v>663</v>
      </c>
      <c r="C53" t="s">
        <v>4090</v>
      </c>
      <c r="D53" s="257" t="s">
        <v>663</v>
      </c>
      <c r="F53">
        <f>F52*0.5%</f>
        <v>38.81</v>
      </c>
      <c r="G53">
        <f>G52*0.5/100</f>
        <v>38.409999999999997</v>
      </c>
    </row>
    <row r="54" spans="1:8" ht="47.25">
      <c r="A54" s="35"/>
      <c r="B54" s="3"/>
      <c r="C54" s="25" t="s">
        <v>3637</v>
      </c>
      <c r="E54" s="9"/>
      <c r="F54" s="26">
        <f>SUM(F52:F53)</f>
        <v>7801.21</v>
      </c>
      <c r="G54" s="25">
        <f>SUM(G52:G53)</f>
        <v>7719.51</v>
      </c>
      <c r="H54" s="255" t="s">
        <v>4101</v>
      </c>
    </row>
    <row r="55" spans="1:8">
      <c r="A55" s="35"/>
      <c r="B55" s="3"/>
      <c r="E55" s="9"/>
      <c r="F55" s="5" t="s">
        <v>1609</v>
      </c>
    </row>
    <row r="56" spans="1:8">
      <c r="A56" s="35"/>
      <c r="B56" s="3"/>
      <c r="C56" s="1" t="s">
        <v>386</v>
      </c>
      <c r="E56" s="9"/>
      <c r="F56" s="26">
        <f>F54+Data!C21</f>
        <v>8014.89</v>
      </c>
    </row>
    <row r="57" spans="1:8">
      <c r="A57" s="35"/>
      <c r="B57" s="3"/>
      <c r="C57" s="1" t="s">
        <v>388</v>
      </c>
      <c r="E57" s="9"/>
      <c r="F57" s="400"/>
    </row>
    <row r="58" spans="1:8">
      <c r="A58" s="35"/>
      <c r="B58" s="3"/>
      <c r="C58" s="1" t="s">
        <v>2257</v>
      </c>
      <c r="E58" s="9"/>
      <c r="F58" s="26">
        <f>F56+Data!C23</f>
        <v>8096.19</v>
      </c>
    </row>
    <row r="59" spans="1:8">
      <c r="A59" s="35"/>
      <c r="B59" s="3"/>
      <c r="C59" s="1" t="s">
        <v>380</v>
      </c>
      <c r="E59" s="9"/>
      <c r="F59" s="26"/>
    </row>
    <row r="60" spans="1:8">
      <c r="A60" s="35"/>
      <c r="B60" s="3"/>
      <c r="C60" s="1" t="s">
        <v>1554</v>
      </c>
      <c r="E60" s="9"/>
      <c r="F60" s="26">
        <f>F58+Data!C25</f>
        <v>8125.69</v>
      </c>
    </row>
    <row r="61" spans="1:8" ht="17.25">
      <c r="A61" s="348"/>
      <c r="B61" s="348"/>
      <c r="C61" s="348"/>
      <c r="E61" s="348"/>
      <c r="F61" s="348"/>
      <c r="G61" s="348"/>
    </row>
    <row r="62" spans="1:8" ht="7.5" customHeight="1">
      <c r="A62" s="348"/>
      <c r="B62" s="348"/>
      <c r="C62" s="348"/>
      <c r="E62" s="348"/>
      <c r="F62" s="348"/>
      <c r="G62" s="348"/>
    </row>
    <row r="63" spans="1:8" ht="17.25" hidden="1">
      <c r="A63" s="348"/>
      <c r="B63" s="348"/>
      <c r="C63" s="348"/>
      <c r="E63" s="348"/>
      <c r="F63" s="348"/>
      <c r="G63" s="348"/>
    </row>
    <row r="64" spans="1:8" ht="17.25" hidden="1">
      <c r="A64" s="348"/>
      <c r="B64" s="348"/>
      <c r="C64" s="348"/>
      <c r="E64" s="348"/>
      <c r="F64" s="348"/>
      <c r="G64" s="348"/>
    </row>
    <row r="65" spans="1:7" ht="17.25">
      <c r="A65" s="1822" t="s">
        <v>4042</v>
      </c>
      <c r="B65" s="1822"/>
      <c r="C65" s="1822"/>
      <c r="D65" s="1822"/>
      <c r="E65" s="1822"/>
      <c r="F65" s="1822"/>
    </row>
    <row r="66" spans="1:7" ht="17.25">
      <c r="A66" s="1822" t="s">
        <v>4041</v>
      </c>
      <c r="B66" s="1822"/>
      <c r="C66" s="1822"/>
      <c r="D66" s="1822"/>
      <c r="E66" s="1822"/>
      <c r="F66" s="1822"/>
    </row>
    <row r="67" spans="1:7" ht="17.25">
      <c r="A67" s="1823" t="s">
        <v>4235</v>
      </c>
      <c r="B67" s="1823"/>
      <c r="C67" s="1823"/>
      <c r="D67" s="1823"/>
      <c r="E67" s="1823"/>
      <c r="F67" s="1823"/>
    </row>
    <row r="68" spans="1:7" ht="17.25">
      <c r="A68" s="1824" t="s">
        <v>4040</v>
      </c>
      <c r="B68" s="1824"/>
      <c r="C68" s="1824"/>
      <c r="D68" s="1824"/>
      <c r="E68" s="1824"/>
      <c r="F68" s="348"/>
    </row>
    <row r="69" spans="1:7" ht="17.25">
      <c r="A69" s="348"/>
      <c r="B69" s="348"/>
      <c r="C69" s="348"/>
      <c r="D69" s="348"/>
      <c r="E69" s="348"/>
      <c r="F69" s="348"/>
    </row>
    <row r="70" spans="1:7" ht="19.5">
      <c r="B70" s="366"/>
      <c r="C70" s="1825" t="s">
        <v>4236</v>
      </c>
      <c r="D70" s="1825"/>
      <c r="E70" s="1825"/>
      <c r="F70" s="366"/>
      <c r="G70" s="4" t="s">
        <v>2176</v>
      </c>
    </row>
    <row r="71" spans="1:7" ht="20.25">
      <c r="A71" s="365"/>
      <c r="B71" s="1826" t="s">
        <v>4237</v>
      </c>
      <c r="C71" s="1826"/>
      <c r="D71" s="1826"/>
      <c r="E71" s="1826"/>
      <c r="F71" s="1826"/>
      <c r="G71" s="35">
        <f>3.14*0.45*0.45*8/4</f>
        <v>1.272</v>
      </c>
    </row>
    <row r="72" spans="1:7" ht="39" customHeight="1">
      <c r="A72" s="357"/>
      <c r="B72" s="357"/>
      <c r="C72" s="579" t="s">
        <v>4242</v>
      </c>
      <c r="D72" s="357"/>
      <c r="E72" s="357"/>
      <c r="F72" s="357"/>
    </row>
    <row r="73" spans="1:7" ht="28.5" customHeight="1">
      <c r="A73" s="359">
        <f>G71</f>
        <v>1.272</v>
      </c>
      <c r="B73" s="357" t="s">
        <v>2176</v>
      </c>
      <c r="C73" s="357" t="s">
        <v>4096</v>
      </c>
      <c r="D73" s="348"/>
      <c r="E73" s="358">
        <f>G54</f>
        <v>7719.51</v>
      </c>
      <c r="F73" s="358">
        <f>A73*E73</f>
        <v>9819.2199999999993</v>
      </c>
    </row>
    <row r="74" spans="1:7" ht="28.5" customHeight="1">
      <c r="A74" s="363">
        <f>A73*10/100</f>
        <v>0.12720000000000001</v>
      </c>
      <c r="B74" s="357" t="s">
        <v>530</v>
      </c>
      <c r="C74" s="357" t="s">
        <v>4035</v>
      </c>
      <c r="D74" s="348"/>
      <c r="E74" s="358">
        <v>4000</v>
      </c>
      <c r="F74" s="358">
        <f>A74*E74</f>
        <v>508.8</v>
      </c>
    </row>
    <row r="75" spans="1:7" ht="28.5" customHeight="1">
      <c r="A75" s="358">
        <v>8</v>
      </c>
      <c r="B75" s="357" t="s">
        <v>835</v>
      </c>
      <c r="C75" s="357" t="s">
        <v>2677</v>
      </c>
      <c r="D75" s="348"/>
      <c r="E75" s="358">
        <v>960</v>
      </c>
      <c r="F75" s="358">
        <f>A75*E75</f>
        <v>7680</v>
      </c>
    </row>
    <row r="76" spans="1:7" ht="17.25">
      <c r="A76" s="357"/>
      <c r="B76" s="357"/>
      <c r="C76" s="357"/>
      <c r="D76" s="348"/>
      <c r="E76" s="357"/>
      <c r="F76" s="357"/>
    </row>
    <row r="77" spans="1:7" ht="17.25">
      <c r="A77" s="357"/>
      <c r="B77" s="357"/>
      <c r="C77" s="357" t="s">
        <v>4034</v>
      </c>
      <c r="D77" s="348"/>
      <c r="E77" s="357"/>
      <c r="F77" s="358">
        <f>SUM(F73:F76)</f>
        <v>18008.02</v>
      </c>
    </row>
    <row r="78" spans="1:7" ht="17.25">
      <c r="A78" s="357"/>
      <c r="B78" s="357"/>
      <c r="C78" s="357" t="s">
        <v>1664</v>
      </c>
      <c r="D78" s="348"/>
      <c r="E78" s="357"/>
      <c r="F78" s="358">
        <f>F77/7</f>
        <v>2572.5700000000002</v>
      </c>
    </row>
    <row r="79" spans="1:7" ht="17.25">
      <c r="A79" s="357"/>
      <c r="B79" s="357"/>
      <c r="C79" s="357" t="s">
        <v>4033</v>
      </c>
      <c r="D79" s="348"/>
      <c r="E79" s="357"/>
      <c r="F79" s="357">
        <f>1000/8</f>
        <v>125</v>
      </c>
    </row>
    <row r="80" spans="1:7" ht="17.25">
      <c r="A80" s="357"/>
      <c r="B80" s="357"/>
      <c r="C80" s="357"/>
      <c r="D80" s="348"/>
      <c r="E80" s="357"/>
      <c r="F80" s="357"/>
    </row>
    <row r="81" spans="1:7" ht="17.25">
      <c r="A81" s="357"/>
      <c r="B81" s="357"/>
      <c r="C81" s="357" t="s">
        <v>1664</v>
      </c>
      <c r="D81" s="348"/>
      <c r="E81" s="357"/>
      <c r="F81" s="356">
        <f>SUM(F78:F80)</f>
        <v>2697.57</v>
      </c>
    </row>
    <row r="82" spans="1:7" ht="17.25">
      <c r="A82" s="357"/>
      <c r="B82" s="357"/>
      <c r="C82" s="357" t="s">
        <v>4032</v>
      </c>
      <c r="D82" s="357"/>
      <c r="E82" s="357"/>
      <c r="F82" s="357"/>
    </row>
    <row r="83" spans="1:7" ht="17.25">
      <c r="A83" s="357"/>
      <c r="B83" s="357"/>
      <c r="C83" s="357"/>
      <c r="D83" s="357"/>
      <c r="E83" s="357"/>
      <c r="F83" s="357"/>
    </row>
    <row r="84" spans="1:7" ht="17.25">
      <c r="A84" s="357"/>
      <c r="B84" s="357"/>
      <c r="C84" s="357"/>
      <c r="D84" s="357"/>
      <c r="E84" s="357"/>
      <c r="F84" s="357"/>
    </row>
    <row r="85" spans="1:7" ht="17.25">
      <c r="A85" s="362"/>
      <c r="B85" s="362"/>
      <c r="C85" s="1827" t="s">
        <v>4031</v>
      </c>
      <c r="D85" s="1827"/>
      <c r="E85" s="1827"/>
      <c r="F85" s="362"/>
      <c r="G85" s="25"/>
    </row>
    <row r="86" spans="1:7" ht="20.25">
      <c r="A86" s="361"/>
      <c r="B86" s="1826" t="s">
        <v>4238</v>
      </c>
      <c r="C86" s="1826"/>
      <c r="D86" s="1826"/>
      <c r="E86" s="1826"/>
      <c r="F86" s="1826"/>
      <c r="G86" s="35">
        <f>3.14*0.45*0.45/4</f>
        <v>0.159</v>
      </c>
    </row>
    <row r="87" spans="1:7" ht="17.25">
      <c r="A87" s="357"/>
      <c r="B87" s="357"/>
      <c r="C87" s="360" t="s">
        <v>4029</v>
      </c>
      <c r="D87" s="357"/>
      <c r="E87" s="357"/>
      <c r="F87" s="357"/>
    </row>
    <row r="88" spans="1:7" ht="17.25">
      <c r="A88" s="359">
        <f>G86</f>
        <v>0.159</v>
      </c>
      <c r="B88" s="357" t="s">
        <v>2176</v>
      </c>
      <c r="C88" s="357" t="s">
        <v>4028</v>
      </c>
      <c r="D88" s="348"/>
      <c r="E88" s="358">
        <f>E24</f>
        <v>3820</v>
      </c>
      <c r="F88" s="358">
        <f>A88*E88</f>
        <v>607.38</v>
      </c>
    </row>
    <row r="89" spans="1:7" ht="17.25">
      <c r="A89" s="359">
        <f>+A88</f>
        <v>0.159</v>
      </c>
      <c r="B89" s="357" t="s">
        <v>2176</v>
      </c>
      <c r="C89" s="1821" t="s">
        <v>4427</v>
      </c>
      <c r="D89" s="1821"/>
      <c r="E89" s="358">
        <f>9.62*5</f>
        <v>48.1</v>
      </c>
      <c r="F89" s="358">
        <f>E89*A89</f>
        <v>7.65</v>
      </c>
    </row>
    <row r="90" spans="1:7" ht="17.25">
      <c r="A90" s="359">
        <f>+A89</f>
        <v>0.159</v>
      </c>
      <c r="B90" s="357" t="s">
        <v>2176</v>
      </c>
      <c r="C90" s="357" t="s">
        <v>4428</v>
      </c>
      <c r="D90" s="348"/>
      <c r="E90" s="358">
        <v>30.1</v>
      </c>
      <c r="F90" s="358">
        <f>A90*E90</f>
        <v>4.79</v>
      </c>
    </row>
    <row r="91" spans="1:7" ht="17.25">
      <c r="A91" s="358"/>
      <c r="B91" s="357"/>
      <c r="C91" s="357"/>
      <c r="D91" s="348"/>
      <c r="E91" s="358"/>
      <c r="F91" s="358"/>
    </row>
    <row r="92" spans="1:7" ht="17.25">
      <c r="A92" s="357"/>
      <c r="B92" s="357"/>
      <c r="C92" s="357" t="s">
        <v>1664</v>
      </c>
      <c r="D92" s="348"/>
      <c r="E92" s="357"/>
      <c r="F92" s="356">
        <f>SUM(F88:F91)</f>
        <v>619.82000000000005</v>
      </c>
    </row>
    <row r="93" spans="1:7" ht="17.25">
      <c r="A93" s="348"/>
      <c r="B93" s="348"/>
      <c r="C93" s="348"/>
      <c r="D93" s="348"/>
      <c r="E93" s="348"/>
      <c r="F93" s="348"/>
    </row>
    <row r="94" spans="1:7" ht="17.25">
      <c r="B94" s="355"/>
      <c r="C94" s="1820" t="s">
        <v>4026</v>
      </c>
      <c r="D94" s="1820"/>
      <c r="E94" s="1820"/>
      <c r="F94" s="355"/>
    </row>
    <row r="95" spans="1:7" ht="17.25">
      <c r="A95" s="348"/>
      <c r="B95" s="348"/>
      <c r="C95" s="348"/>
      <c r="D95" s="348"/>
      <c r="E95" s="348"/>
      <c r="F95" s="348"/>
    </row>
    <row r="96" spans="1:7" ht="34.5">
      <c r="A96" s="351" t="s">
        <v>4024</v>
      </c>
      <c r="B96" s="351">
        <v>3</v>
      </c>
      <c r="C96" s="354" t="s">
        <v>4025</v>
      </c>
      <c r="E96" s="351">
        <v>9.6199999999999992</v>
      </c>
      <c r="F96" s="351" t="s">
        <v>1361</v>
      </c>
      <c r="G96" s="351">
        <f>E96*B96</f>
        <v>28.86</v>
      </c>
    </row>
    <row r="97" spans="1:7" ht="17.25">
      <c r="A97" s="351" t="s">
        <v>4024</v>
      </c>
      <c r="B97" s="351">
        <v>3</v>
      </c>
      <c r="C97" s="353" t="s">
        <v>4023</v>
      </c>
      <c r="E97" s="351">
        <f>E90</f>
        <v>30.1</v>
      </c>
      <c r="F97" s="351" t="s">
        <v>1361</v>
      </c>
      <c r="G97" s="351">
        <f>E97*B97</f>
        <v>90.3</v>
      </c>
    </row>
    <row r="98" spans="1:7" ht="17.25">
      <c r="A98" s="351"/>
      <c r="B98" s="351"/>
      <c r="C98" s="352"/>
      <c r="E98" s="351"/>
      <c r="F98" s="351"/>
      <c r="G98" s="351"/>
    </row>
    <row r="99" spans="1:7" ht="17.25">
      <c r="A99" s="351"/>
      <c r="B99" s="351"/>
      <c r="C99" s="352" t="s">
        <v>4022</v>
      </c>
      <c r="E99" s="351"/>
      <c r="F99" s="351"/>
      <c r="G99" s="350">
        <f>SUM(G96:G98)</f>
        <v>119.16</v>
      </c>
    </row>
    <row r="100" spans="1:7" ht="17.25">
      <c r="A100" s="348"/>
      <c r="B100" s="348"/>
      <c r="C100" s="348"/>
      <c r="E100" s="348"/>
      <c r="F100" s="348"/>
      <c r="G100" s="348"/>
    </row>
    <row r="101" spans="1:7" ht="23.25" hidden="1" customHeight="1">
      <c r="A101" s="348"/>
      <c r="B101" s="348"/>
      <c r="C101" s="348"/>
      <c r="E101" s="348"/>
      <c r="F101" s="348"/>
      <c r="G101" s="348"/>
    </row>
    <row r="102" spans="1:7" ht="23.25" hidden="1" customHeight="1">
      <c r="A102" s="348"/>
      <c r="B102" s="348"/>
      <c r="C102" s="348"/>
      <c r="E102" s="348"/>
      <c r="F102" s="348"/>
      <c r="G102" s="348"/>
    </row>
    <row r="103" spans="1:7" ht="29.25" hidden="1" customHeight="1">
      <c r="A103" s="35"/>
      <c r="B103" s="25">
        <v>4.2</v>
      </c>
      <c r="C103" s="25" t="s">
        <v>4075</v>
      </c>
    </row>
    <row r="104" spans="1:7" ht="30" hidden="1" customHeight="1">
      <c r="A104" s="35">
        <v>5</v>
      </c>
      <c r="B104" t="s">
        <v>1361</v>
      </c>
      <c r="C104" t="s">
        <v>4083</v>
      </c>
      <c r="D104">
        <f>D41</f>
        <v>1679.5</v>
      </c>
      <c r="F104">
        <f>D104*A104</f>
        <v>8397.5</v>
      </c>
    </row>
    <row r="105" spans="1:7" ht="30" hidden="1" customHeight="1">
      <c r="A105" s="35">
        <v>3.3</v>
      </c>
      <c r="B105" t="s">
        <v>1361</v>
      </c>
      <c r="C105" t="s">
        <v>4084</v>
      </c>
      <c r="D105">
        <f t="shared" ref="D105:D116" si="1">D42</f>
        <v>1400.5</v>
      </c>
      <c r="F105">
        <f t="shared" ref="F105:F111" si="2">D105*A105</f>
        <v>4621.6499999999996</v>
      </c>
    </row>
    <row r="106" spans="1:7" ht="30" hidden="1" customHeight="1">
      <c r="A106" s="35">
        <v>4.79</v>
      </c>
      <c r="B106" t="s">
        <v>1361</v>
      </c>
      <c r="C106" t="s">
        <v>4085</v>
      </c>
      <c r="D106">
        <f t="shared" si="1"/>
        <v>1511.1</v>
      </c>
      <c r="F106">
        <f t="shared" si="2"/>
        <v>7238.17</v>
      </c>
    </row>
    <row r="107" spans="1:7" ht="30" hidden="1" customHeight="1">
      <c r="A107" s="35">
        <v>4</v>
      </c>
      <c r="B107" t="s">
        <v>530</v>
      </c>
      <c r="C107" t="s">
        <v>390</v>
      </c>
      <c r="D107">
        <f t="shared" si="1"/>
        <v>5960</v>
      </c>
      <c r="F107">
        <f t="shared" si="2"/>
        <v>23840</v>
      </c>
    </row>
    <row r="108" spans="1:7" ht="30" hidden="1" customHeight="1">
      <c r="A108" s="35">
        <v>40</v>
      </c>
      <c r="B108" t="s">
        <v>1670</v>
      </c>
      <c r="C108" t="s">
        <v>4092</v>
      </c>
      <c r="D108">
        <f t="shared" si="1"/>
        <v>42.8</v>
      </c>
      <c r="F108">
        <f t="shared" si="2"/>
        <v>1712</v>
      </c>
    </row>
    <row r="109" spans="1:7" ht="30" hidden="1" customHeight="1">
      <c r="A109" s="35">
        <v>3.5</v>
      </c>
      <c r="B109" t="s">
        <v>1452</v>
      </c>
      <c r="C109" t="s">
        <v>466</v>
      </c>
      <c r="D109">
        <f t="shared" si="1"/>
        <v>804</v>
      </c>
      <c r="F109">
        <f>D109*A109</f>
        <v>2814</v>
      </c>
    </row>
    <row r="110" spans="1:7" ht="30" hidden="1" customHeight="1">
      <c r="A110" s="35">
        <v>21.2</v>
      </c>
      <c r="B110" t="s">
        <v>1452</v>
      </c>
      <c r="C110" t="s">
        <v>3523</v>
      </c>
      <c r="D110">
        <f t="shared" si="1"/>
        <v>562</v>
      </c>
      <c r="F110">
        <f t="shared" si="2"/>
        <v>11914.4</v>
      </c>
    </row>
    <row r="111" spans="1:7" ht="30" hidden="1" customHeight="1">
      <c r="A111" s="35">
        <v>35.299999999999997</v>
      </c>
      <c r="B111" t="s">
        <v>1452</v>
      </c>
      <c r="C111" t="s">
        <v>3524</v>
      </c>
      <c r="D111">
        <f t="shared" si="1"/>
        <v>461</v>
      </c>
      <c r="F111">
        <f t="shared" si="2"/>
        <v>16273.3</v>
      </c>
    </row>
    <row r="112" spans="1:7" ht="30" hidden="1" customHeight="1">
      <c r="A112" s="35"/>
      <c r="C112" s="25" t="s">
        <v>4087</v>
      </c>
      <c r="D112">
        <f t="shared" si="1"/>
        <v>0</v>
      </c>
      <c r="F112" s="25">
        <f>SUM(F104:F111)</f>
        <v>76811.02</v>
      </c>
    </row>
    <row r="113" spans="1:7" ht="30" hidden="1" customHeight="1">
      <c r="A113" s="35"/>
      <c r="C113" s="25" t="s">
        <v>4088</v>
      </c>
      <c r="D113">
        <f t="shared" si="1"/>
        <v>0</v>
      </c>
      <c r="F113" s="25">
        <f>F112/10</f>
        <v>7681.1</v>
      </c>
      <c r="G113">
        <f>F113</f>
        <v>7681.1</v>
      </c>
    </row>
    <row r="114" spans="1:7" ht="30" hidden="1" customHeight="1">
      <c r="A114" s="35">
        <v>1</v>
      </c>
      <c r="B114" t="s">
        <v>1361</v>
      </c>
      <c r="C114" t="s">
        <v>3525</v>
      </c>
      <c r="D114">
        <f t="shared" si="1"/>
        <v>81.3</v>
      </c>
      <c r="F114">
        <f>D114</f>
        <v>81.3</v>
      </c>
    </row>
    <row r="115" spans="1:7" ht="30" hidden="1" customHeight="1">
      <c r="A115" s="35"/>
      <c r="C115" t="s">
        <v>4089</v>
      </c>
      <c r="D115">
        <f t="shared" si="1"/>
        <v>0</v>
      </c>
      <c r="F115" s="25">
        <f>SUM(F113:F114)</f>
        <v>7762.4</v>
      </c>
      <c r="G115">
        <f>SUM(G113:G114)</f>
        <v>7681.1</v>
      </c>
    </row>
    <row r="116" spans="1:7" ht="30" hidden="1" customHeight="1">
      <c r="A116" s="257" t="s">
        <v>663</v>
      </c>
      <c r="C116" t="s">
        <v>4090</v>
      </c>
      <c r="D116" t="str">
        <f t="shared" si="1"/>
        <v>LS</v>
      </c>
      <c r="F116">
        <f>F115*0.5%</f>
        <v>38.81</v>
      </c>
      <c r="G116">
        <f>G115*0.5/100</f>
        <v>38.409999999999997</v>
      </c>
    </row>
    <row r="117" spans="1:7" ht="30" hidden="1" customHeight="1">
      <c r="A117" s="35"/>
      <c r="B117" s="3"/>
      <c r="C117" s="25" t="s">
        <v>3637</v>
      </c>
      <c r="E117" s="9"/>
      <c r="F117" s="26">
        <f>SUM(F115:F116)</f>
        <v>7801.21</v>
      </c>
      <c r="G117" s="25">
        <f>SUM(G115:G116)</f>
        <v>7719.51</v>
      </c>
    </row>
    <row r="118" spans="1:7" ht="17.25" hidden="1">
      <c r="A118" s="348"/>
      <c r="B118" s="348"/>
      <c r="C118" s="348"/>
      <c r="E118" s="348"/>
      <c r="F118" s="348"/>
      <c r="G118" s="348"/>
    </row>
    <row r="119" spans="1:7" ht="17.25" hidden="1">
      <c r="A119" s="348"/>
      <c r="B119" s="348"/>
      <c r="C119" s="348"/>
      <c r="E119" s="348"/>
      <c r="F119" s="348"/>
      <c r="G119" s="348"/>
    </row>
    <row r="120" spans="1:7" ht="17.25" hidden="1">
      <c r="A120" s="348"/>
      <c r="B120" s="348"/>
      <c r="C120" s="348"/>
      <c r="E120" s="348"/>
      <c r="F120" s="348"/>
      <c r="G120" s="348"/>
    </row>
    <row r="121" spans="1:7" ht="17.25" hidden="1">
      <c r="A121" s="348"/>
      <c r="B121" s="348"/>
      <c r="C121" s="348"/>
      <c r="E121" s="348"/>
      <c r="F121" s="348"/>
      <c r="G121" s="349"/>
    </row>
    <row r="122" spans="1:7" ht="17.25" hidden="1">
      <c r="A122" s="348"/>
      <c r="B122" s="348"/>
      <c r="C122" s="348"/>
      <c r="E122" s="348"/>
      <c r="F122" s="348"/>
      <c r="G122" s="348"/>
    </row>
    <row r="123" spans="1:7" ht="17.25" hidden="1">
      <c r="A123" s="348"/>
      <c r="B123" s="348"/>
      <c r="C123" s="348"/>
      <c r="E123" s="348"/>
      <c r="F123" s="348"/>
      <c r="G123" s="348"/>
    </row>
    <row r="124" spans="1:7" ht="17.25" hidden="1">
      <c r="A124" s="348"/>
      <c r="B124" s="348"/>
      <c r="C124" s="348"/>
      <c r="E124" s="348"/>
      <c r="F124" s="348"/>
      <c r="G124" s="348"/>
    </row>
    <row r="125" spans="1:7" ht="17.25">
      <c r="A125" s="1822" t="s">
        <v>4042</v>
      </c>
      <c r="B125" s="1822"/>
      <c r="C125" s="1822"/>
      <c r="D125" s="1822"/>
      <c r="E125" s="1822"/>
      <c r="F125" s="1822"/>
    </row>
    <row r="126" spans="1:7" ht="17.25">
      <c r="A126" s="1822" t="s">
        <v>4041</v>
      </c>
      <c r="B126" s="1822"/>
      <c r="C126" s="1822"/>
      <c r="D126" s="1822"/>
      <c r="E126" s="1822"/>
      <c r="F126" s="1822"/>
    </row>
    <row r="127" spans="1:7" ht="17.25">
      <c r="A127" s="1823" t="s">
        <v>4235</v>
      </c>
      <c r="B127" s="1823"/>
      <c r="C127" s="1823"/>
      <c r="D127" s="1823"/>
      <c r="E127" s="1823"/>
      <c r="F127" s="1823"/>
    </row>
    <row r="128" spans="1:7" ht="17.25">
      <c r="A128" s="1824" t="s">
        <v>4040</v>
      </c>
      <c r="B128" s="1824"/>
      <c r="C128" s="1824"/>
      <c r="D128" s="1824"/>
      <c r="E128" s="1824"/>
      <c r="F128" s="348"/>
    </row>
    <row r="129" spans="1:7" ht="17.25">
      <c r="A129" s="348"/>
      <c r="B129" s="348"/>
      <c r="C129" s="348"/>
      <c r="D129" s="348"/>
      <c r="E129" s="348"/>
      <c r="F129" s="348"/>
    </row>
    <row r="130" spans="1:7" ht="19.5">
      <c r="B130" s="366"/>
      <c r="C130" s="1825" t="s">
        <v>4239</v>
      </c>
      <c r="D130" s="1825"/>
      <c r="E130" s="1825"/>
      <c r="F130" s="366"/>
      <c r="G130" s="4" t="s">
        <v>2176</v>
      </c>
    </row>
    <row r="131" spans="1:7" ht="20.25">
      <c r="A131" s="365"/>
      <c r="B131" s="1826" t="s">
        <v>4240</v>
      </c>
      <c r="C131" s="1826"/>
      <c r="D131" s="1826"/>
      <c r="E131" s="1826"/>
      <c r="F131" s="1826"/>
      <c r="G131" s="35">
        <f>3.14*0.4*0.4*8/4</f>
        <v>1.0049999999999999</v>
      </c>
    </row>
    <row r="132" spans="1:7" ht="39.75" customHeight="1">
      <c r="A132" s="357"/>
      <c r="B132" s="357"/>
      <c r="C132" s="579" t="s">
        <v>4243</v>
      </c>
      <c r="D132" s="357"/>
      <c r="E132" s="357"/>
      <c r="F132" s="357"/>
    </row>
    <row r="133" spans="1:7" ht="17.25">
      <c r="A133" s="359">
        <f>G131</f>
        <v>1.0049999999999999</v>
      </c>
      <c r="B133" s="357" t="s">
        <v>2176</v>
      </c>
      <c r="C133" s="357" t="s">
        <v>4036</v>
      </c>
      <c r="D133" s="348"/>
      <c r="E133" s="358">
        <f>G117</f>
        <v>7719.51</v>
      </c>
      <c r="F133" s="358">
        <f>A133*E133</f>
        <v>7758.11</v>
      </c>
    </row>
    <row r="134" spans="1:7" ht="17.25">
      <c r="A134" s="363">
        <f>A133*10/100</f>
        <v>0.10050000000000001</v>
      </c>
      <c r="B134" s="357" t="s">
        <v>530</v>
      </c>
      <c r="C134" s="357" t="s">
        <v>4035</v>
      </c>
      <c r="D134" s="348"/>
      <c r="E134" s="358">
        <v>4000</v>
      </c>
      <c r="F134" s="358">
        <f>A134*E134</f>
        <v>402</v>
      </c>
    </row>
    <row r="135" spans="1:7" ht="17.25">
      <c r="A135" s="358">
        <v>8</v>
      </c>
      <c r="B135" s="357" t="s">
        <v>835</v>
      </c>
      <c r="C135" s="357" t="s">
        <v>2677</v>
      </c>
      <c r="D135" s="348"/>
      <c r="E135" s="358">
        <v>960</v>
      </c>
      <c r="F135" s="358">
        <f>A135*E135</f>
        <v>7680</v>
      </c>
    </row>
    <row r="136" spans="1:7" ht="17.25">
      <c r="A136" s="357"/>
      <c r="B136" s="357"/>
      <c r="C136" s="357"/>
      <c r="D136" s="348"/>
      <c r="E136" s="357"/>
      <c r="F136" s="357"/>
    </row>
    <row r="137" spans="1:7" ht="17.25">
      <c r="A137" s="357"/>
      <c r="B137" s="357"/>
      <c r="C137" s="357" t="s">
        <v>4034</v>
      </c>
      <c r="D137" s="348"/>
      <c r="E137" s="357"/>
      <c r="F137" s="358">
        <f>SUM(F133:F136)</f>
        <v>15840.11</v>
      </c>
    </row>
    <row r="138" spans="1:7" ht="17.25">
      <c r="A138" s="357"/>
      <c r="B138" s="357"/>
      <c r="C138" s="357" t="s">
        <v>1664</v>
      </c>
      <c r="D138" s="348"/>
      <c r="E138" s="357"/>
      <c r="F138" s="358">
        <f>F137/7</f>
        <v>2262.87</v>
      </c>
    </row>
    <row r="139" spans="1:7" ht="17.25">
      <c r="A139" s="357"/>
      <c r="B139" s="357"/>
      <c r="C139" s="357" t="s">
        <v>4033</v>
      </c>
      <c r="D139" s="348"/>
      <c r="E139" s="357"/>
      <c r="F139" s="357">
        <f>1000/8</f>
        <v>125</v>
      </c>
    </row>
    <row r="140" spans="1:7" ht="17.25">
      <c r="A140" s="357"/>
      <c r="B140" s="357"/>
      <c r="C140" s="357"/>
      <c r="D140" s="348"/>
      <c r="E140" s="357"/>
      <c r="F140" s="357"/>
    </row>
    <row r="141" spans="1:7" ht="17.25">
      <c r="A141" s="357"/>
      <c r="B141" s="357"/>
      <c r="C141" s="357" t="s">
        <v>1664</v>
      </c>
      <c r="D141" s="348"/>
      <c r="E141" s="357"/>
      <c r="F141" s="356">
        <f>SUM(F138:F140)</f>
        <v>2387.87</v>
      </c>
    </row>
    <row r="142" spans="1:7" ht="17.25">
      <c r="A142" s="357"/>
      <c r="B142" s="357"/>
      <c r="C142" s="357" t="s">
        <v>4032</v>
      </c>
      <c r="D142" s="357"/>
      <c r="E142" s="357"/>
      <c r="F142" s="357"/>
    </row>
    <row r="143" spans="1:7" ht="17.25">
      <c r="A143" s="357"/>
      <c r="B143" s="357"/>
      <c r="C143" s="357"/>
      <c r="D143" s="357"/>
      <c r="E143" s="357"/>
      <c r="F143" s="357"/>
    </row>
    <row r="144" spans="1:7" ht="17.25">
      <c r="A144" s="357"/>
      <c r="B144" s="357"/>
      <c r="C144" s="357"/>
      <c r="D144" s="357"/>
      <c r="E144" s="357"/>
      <c r="F144" s="357"/>
    </row>
    <row r="145" spans="1:7" ht="17.25">
      <c r="A145" s="362"/>
      <c r="B145" s="362"/>
      <c r="C145" s="1827" t="s">
        <v>4031</v>
      </c>
      <c r="D145" s="1827"/>
      <c r="E145" s="1827"/>
      <c r="F145" s="362"/>
      <c r="G145" s="25"/>
    </row>
    <row r="146" spans="1:7" ht="20.25">
      <c r="A146" s="361"/>
      <c r="B146" s="1826" t="s">
        <v>4241</v>
      </c>
      <c r="C146" s="1826"/>
      <c r="D146" s="1826"/>
      <c r="E146" s="1826"/>
      <c r="F146" s="1826"/>
      <c r="G146" s="35">
        <f>3.14*0.4*0.4/4</f>
        <v>0.126</v>
      </c>
    </row>
    <row r="147" spans="1:7" ht="17.25">
      <c r="A147" s="357"/>
      <c r="B147" s="357"/>
      <c r="C147" s="360" t="s">
        <v>4244</v>
      </c>
      <c r="D147" s="357"/>
      <c r="E147" s="357"/>
      <c r="F147" s="357"/>
    </row>
    <row r="148" spans="1:7" ht="17.25">
      <c r="A148" s="359">
        <f>G146</f>
        <v>0.126</v>
      </c>
      <c r="B148" s="357" t="s">
        <v>2176</v>
      </c>
      <c r="C148" s="357" t="s">
        <v>4028</v>
      </c>
      <c r="D148" s="348"/>
      <c r="E148" s="358">
        <f>E88</f>
        <v>3820</v>
      </c>
      <c r="F148" s="358">
        <f>A148*E148</f>
        <v>481.32</v>
      </c>
    </row>
    <row r="149" spans="1:7" ht="17.25">
      <c r="A149" s="359">
        <f>+A148</f>
        <v>0.126</v>
      </c>
      <c r="B149" s="357" t="s">
        <v>2176</v>
      </c>
      <c r="C149" s="1821" t="s">
        <v>4027</v>
      </c>
      <c r="D149" s="1821"/>
      <c r="E149" s="358">
        <f>E89</f>
        <v>48.1</v>
      </c>
      <c r="F149" s="358">
        <f>E149*A149</f>
        <v>6.06</v>
      </c>
    </row>
    <row r="150" spans="1:7" ht="17.25">
      <c r="A150" s="359">
        <f>+A149</f>
        <v>0.126</v>
      </c>
      <c r="B150" s="357" t="s">
        <v>2176</v>
      </c>
      <c r="C150" s="357" t="s">
        <v>4023</v>
      </c>
      <c r="D150" s="348"/>
      <c r="E150" s="358">
        <f>E90</f>
        <v>30.1</v>
      </c>
      <c r="F150" s="358">
        <f>A150*E150</f>
        <v>3.79</v>
      </c>
    </row>
    <row r="151" spans="1:7" ht="17.25">
      <c r="A151" s="358"/>
      <c r="B151" s="357"/>
      <c r="C151" s="357"/>
      <c r="D151" s="348"/>
      <c r="E151" s="358"/>
      <c r="F151" s="358"/>
    </row>
    <row r="152" spans="1:7" ht="17.25">
      <c r="A152" s="357"/>
      <c r="B152" s="357"/>
      <c r="C152" s="357" t="s">
        <v>1664</v>
      </c>
      <c r="D152" s="348"/>
      <c r="E152" s="357"/>
      <c r="F152" s="356">
        <f>SUM(F148:F151)</f>
        <v>491.17</v>
      </c>
    </row>
    <row r="153" spans="1:7" ht="17.25">
      <c r="A153" s="348"/>
      <c r="B153" s="348"/>
      <c r="C153" s="348"/>
      <c r="D153" s="348"/>
      <c r="E153" s="348"/>
      <c r="F153" s="348"/>
    </row>
    <row r="154" spans="1:7" ht="17.25">
      <c r="B154" s="355"/>
      <c r="C154" s="1820" t="s">
        <v>4026</v>
      </c>
      <c r="D154" s="1820"/>
      <c r="E154" s="1820"/>
      <c r="F154" s="355"/>
    </row>
    <row r="155" spans="1:7" ht="17.25">
      <c r="A155" s="348"/>
      <c r="B155" s="348"/>
      <c r="C155" s="348"/>
      <c r="D155" s="348"/>
      <c r="E155" s="348"/>
      <c r="F155" s="348"/>
    </row>
    <row r="156" spans="1:7" ht="34.5">
      <c r="A156" s="351" t="s">
        <v>4024</v>
      </c>
      <c r="B156" s="351">
        <v>3</v>
      </c>
      <c r="C156" s="354" t="s">
        <v>4025</v>
      </c>
      <c r="E156" s="351">
        <f>E96</f>
        <v>9.6199999999999992</v>
      </c>
      <c r="F156" s="351" t="s">
        <v>1361</v>
      </c>
      <c r="G156" s="351">
        <f>E156*B156</f>
        <v>28.86</v>
      </c>
    </row>
    <row r="157" spans="1:7" ht="17.25">
      <c r="A157" s="351" t="s">
        <v>4024</v>
      </c>
      <c r="B157" s="351">
        <v>3</v>
      </c>
      <c r="C157" s="353" t="s">
        <v>4023</v>
      </c>
      <c r="E157" s="351">
        <f>E97</f>
        <v>30.1</v>
      </c>
      <c r="F157" s="351" t="s">
        <v>1361</v>
      </c>
      <c r="G157" s="351">
        <f>E157*B157</f>
        <v>90.3</v>
      </c>
    </row>
    <row r="158" spans="1:7" ht="17.25">
      <c r="A158" s="351"/>
      <c r="B158" s="351"/>
      <c r="C158" s="352"/>
      <c r="E158" s="351"/>
      <c r="F158" s="351"/>
      <c r="G158" s="351"/>
    </row>
    <row r="159" spans="1:7" ht="17.25">
      <c r="A159" s="351"/>
      <c r="B159" s="351"/>
      <c r="C159" s="352" t="s">
        <v>4022</v>
      </c>
      <c r="E159" s="351"/>
      <c r="F159" s="351"/>
      <c r="G159" s="350">
        <f>SUM(G156:G158)</f>
        <v>119.16</v>
      </c>
    </row>
    <row r="160" spans="1:7" ht="17.25">
      <c r="A160" s="348"/>
      <c r="B160" s="348"/>
      <c r="C160" s="348"/>
      <c r="E160" s="348"/>
      <c r="F160" s="348"/>
      <c r="G160" s="348"/>
    </row>
    <row r="161" spans="1:7" ht="17.25">
      <c r="A161" s="348"/>
      <c r="B161" s="348"/>
      <c r="C161" s="348"/>
      <c r="E161" s="348"/>
      <c r="F161" s="348"/>
      <c r="G161" s="348"/>
    </row>
    <row r="162" spans="1:7">
      <c r="A162" s="20"/>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26"/>
      <c r="B169" s="254"/>
      <c r="C169" s="24"/>
    </row>
    <row r="170" spans="1:7">
      <c r="A170" s="8"/>
      <c r="B170" s="7"/>
      <c r="C170" s="1"/>
    </row>
    <row r="171" spans="1:7">
      <c r="A171" s="8"/>
      <c r="B171" s="7"/>
      <c r="C171" s="1"/>
    </row>
    <row r="172" spans="1:7">
      <c r="B172" s="7"/>
      <c r="C172" s="1"/>
    </row>
    <row r="173" spans="1:7">
      <c r="C173" s="1"/>
    </row>
    <row r="175" spans="1:7">
      <c r="C175" s="1"/>
      <c r="F175" s="25"/>
    </row>
    <row r="177" spans="1:6">
      <c r="B177" s="3"/>
      <c r="E177" s="9"/>
      <c r="F177" s="5"/>
    </row>
    <row r="178" spans="1:6">
      <c r="B178" s="3"/>
      <c r="C178" s="41"/>
      <c r="D178" s="25"/>
      <c r="E178" s="51"/>
      <c r="F178" s="26"/>
    </row>
    <row r="179" spans="1:6">
      <c r="B179" s="3"/>
      <c r="C179" s="1"/>
      <c r="E179" s="9"/>
      <c r="F179" s="5"/>
    </row>
    <row r="184" spans="1:6">
      <c r="A184" s="17"/>
      <c r="B184" s="7"/>
      <c r="C184" s="24"/>
      <c r="E184" s="9"/>
    </row>
    <row r="185" spans="1:6">
      <c r="A185" s="35"/>
      <c r="B185" s="3"/>
      <c r="C185" s="1"/>
      <c r="E185" s="9"/>
    </row>
    <row r="186" spans="1:6">
      <c r="A186" s="35"/>
      <c r="B186" s="3"/>
      <c r="C186" s="1"/>
      <c r="E186" s="9"/>
    </row>
    <row r="187" spans="1:6">
      <c r="A187" s="35"/>
      <c r="B187" s="3"/>
      <c r="C187" s="1"/>
      <c r="E187" s="9"/>
    </row>
    <row r="188" spans="1:6">
      <c r="A188" s="35"/>
      <c r="B188" s="3"/>
      <c r="C188" s="1"/>
      <c r="E188" s="9"/>
    </row>
    <row r="189" spans="1:6">
      <c r="A189" s="35"/>
      <c r="B189" s="3"/>
      <c r="C189" s="1"/>
      <c r="E189" s="9"/>
    </row>
    <row r="190" spans="1:6">
      <c r="A190" s="35"/>
      <c r="B190" s="3"/>
      <c r="C190" s="1"/>
      <c r="E190" s="9"/>
    </row>
    <row r="191" spans="1:6">
      <c r="A191" s="35"/>
      <c r="B191" s="3"/>
      <c r="C191" s="5"/>
      <c r="D191" s="5"/>
      <c r="E191" s="9"/>
    </row>
    <row r="192" spans="1:6">
      <c r="A192" s="35"/>
      <c r="B192" s="7"/>
      <c r="C192" s="1"/>
      <c r="E192" s="9"/>
    </row>
    <row r="193" spans="1:6">
      <c r="A193" s="35"/>
      <c r="B193" s="3"/>
      <c r="C193" s="1"/>
      <c r="E193" s="9"/>
    </row>
    <row r="194" spans="1:6">
      <c r="A194" s="11"/>
      <c r="B194" s="7"/>
      <c r="C194" s="1"/>
      <c r="D194" s="42"/>
      <c r="E194" s="1"/>
      <c r="F194" s="8"/>
    </row>
    <row r="195" spans="1:6">
      <c r="A195" s="11"/>
      <c r="B195" s="7"/>
      <c r="C195" s="1"/>
      <c r="D195" s="42"/>
      <c r="E195" s="1"/>
      <c r="F195" s="8"/>
    </row>
    <row r="196" spans="1:6">
      <c r="A196" s="11"/>
      <c r="B196" s="7"/>
      <c r="C196" s="1"/>
      <c r="D196" s="42"/>
      <c r="E196" s="1"/>
      <c r="F196" s="8"/>
    </row>
    <row r="197" spans="1:6">
      <c r="A197" s="35"/>
      <c r="B197" s="7"/>
      <c r="C197" s="1"/>
      <c r="D197" s="42"/>
      <c r="E197" s="1"/>
      <c r="F197" s="8"/>
    </row>
    <row r="198" spans="1:6">
      <c r="A198" s="35"/>
      <c r="B198" s="3"/>
      <c r="C198" s="1"/>
      <c r="E198" s="9"/>
      <c r="F198" s="5"/>
    </row>
    <row r="199" spans="1:6">
      <c r="A199" s="35"/>
      <c r="B199" s="3"/>
      <c r="C199" s="2"/>
      <c r="E199" s="9"/>
      <c r="F199" s="8"/>
    </row>
    <row r="200" spans="1:6">
      <c r="A200" s="35"/>
      <c r="B200" s="3"/>
      <c r="E200" s="9"/>
      <c r="F200" s="5"/>
    </row>
    <row r="201" spans="1:6">
      <c r="A201" s="35"/>
      <c r="B201" s="3"/>
      <c r="C201" s="2"/>
      <c r="E201" s="9"/>
      <c r="F201" s="8"/>
    </row>
    <row r="202" spans="1:6">
      <c r="A202" s="35"/>
      <c r="B202" s="3"/>
      <c r="C202" s="1"/>
      <c r="D202" s="8"/>
      <c r="E202" s="1"/>
      <c r="F202" s="26"/>
    </row>
    <row r="203" spans="1:6">
      <c r="A203" s="35"/>
      <c r="B203" s="3"/>
      <c r="C203" s="1"/>
      <c r="D203" s="8"/>
      <c r="E203" s="1"/>
      <c r="F203" s="26"/>
    </row>
    <row r="204" spans="1:6">
      <c r="A204" s="35"/>
      <c r="B204" s="3"/>
      <c r="C204" s="1"/>
      <c r="D204" s="8"/>
      <c r="E204" s="1"/>
      <c r="F204" s="26"/>
    </row>
    <row r="205" spans="1:6">
      <c r="A205" s="35"/>
      <c r="B205" s="3"/>
      <c r="C205" s="1"/>
      <c r="D205" s="8"/>
      <c r="E205" s="1"/>
      <c r="F205" s="26"/>
    </row>
    <row r="206" spans="1:6">
      <c r="A206" s="35"/>
      <c r="B206" s="3"/>
      <c r="C206" s="1"/>
      <c r="D206" s="8"/>
      <c r="E206" s="1"/>
      <c r="F206" s="26"/>
    </row>
    <row r="207" spans="1:6">
      <c r="A207" s="17"/>
      <c r="B207" s="7"/>
      <c r="C207" s="1"/>
      <c r="E207" s="9"/>
      <c r="F207" s="26"/>
    </row>
    <row r="208" spans="1:6">
      <c r="A208" s="35"/>
    </row>
    <row r="209" spans="1:13">
      <c r="A209" s="35"/>
    </row>
    <row r="210" spans="1:13">
      <c r="A210" s="35"/>
    </row>
    <row r="212" spans="1:13">
      <c r="J212" s="25"/>
    </row>
    <row r="213" spans="1:13">
      <c r="J213" s="25"/>
    </row>
    <row r="217" spans="1:13">
      <c r="D217" s="270"/>
    </row>
    <row r="218" spans="1:13">
      <c r="D218" s="270"/>
    </row>
    <row r="219" spans="1:13">
      <c r="M219" s="25"/>
    </row>
    <row r="221" spans="1:13">
      <c r="C221" s="275"/>
      <c r="E221" s="275"/>
      <c r="F221" s="275"/>
      <c r="J221" s="275"/>
      <c r="L221" s="325"/>
      <c r="M221" s="325"/>
    </row>
    <row r="222" spans="1:13">
      <c r="C222" s="275"/>
      <c r="D222" s="25"/>
      <c r="E222" s="324"/>
      <c r="F222" s="324"/>
      <c r="J222" s="324"/>
      <c r="K222" s="25"/>
      <c r="L222" s="25"/>
      <c r="M222" s="25"/>
    </row>
    <row r="223" spans="1:13">
      <c r="C223" s="324"/>
      <c r="E223" s="275"/>
      <c r="F223" s="275"/>
      <c r="J223" s="275"/>
      <c r="L223" s="275"/>
      <c r="M223" s="275"/>
    </row>
    <row r="224" spans="1:13">
      <c r="C224" s="275"/>
      <c r="E224" s="275"/>
      <c r="F224" s="275"/>
      <c r="L224" s="275"/>
      <c r="M224" s="275"/>
    </row>
    <row r="225" spans="3:13">
      <c r="C225" s="275"/>
      <c r="J225" s="275"/>
      <c r="L225" s="25"/>
      <c r="M225" s="25"/>
    </row>
    <row r="226" spans="3:13">
      <c r="C226" s="275"/>
      <c r="D226" s="275"/>
      <c r="E226" s="275"/>
      <c r="F226" s="275"/>
    </row>
  </sheetData>
  <mergeCells count="30">
    <mergeCell ref="B7:F7"/>
    <mergeCell ref="A1:F1"/>
    <mergeCell ref="A2:F2"/>
    <mergeCell ref="A3:F3"/>
    <mergeCell ref="A4:E4"/>
    <mergeCell ref="C6:E6"/>
    <mergeCell ref="B86:F86"/>
    <mergeCell ref="C21:E21"/>
    <mergeCell ref="B22:F22"/>
    <mergeCell ref="C25:D25"/>
    <mergeCell ref="C30:E30"/>
    <mergeCell ref="A65:F65"/>
    <mergeCell ref="A66:F66"/>
    <mergeCell ref="A67:F67"/>
    <mergeCell ref="A68:E68"/>
    <mergeCell ref="C70:E70"/>
    <mergeCell ref="B71:F71"/>
    <mergeCell ref="C85:E85"/>
    <mergeCell ref="C154:E154"/>
    <mergeCell ref="C89:D89"/>
    <mergeCell ref="C94:E94"/>
    <mergeCell ref="A125:F125"/>
    <mergeCell ref="A126:F126"/>
    <mergeCell ref="A127:F127"/>
    <mergeCell ref="A128:E128"/>
    <mergeCell ref="C130:E130"/>
    <mergeCell ref="B131:F131"/>
    <mergeCell ref="C145:E145"/>
    <mergeCell ref="B146:F146"/>
    <mergeCell ref="C149:D149"/>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sheetPr filterMode="1"/>
  <dimension ref="A1:P1216"/>
  <sheetViews>
    <sheetView showZeros="0" view="pageBreakPreview" zoomScale="79" zoomScaleSheetLayoutView="79" workbookViewId="0">
      <selection activeCell="C18" sqref="C18"/>
    </sheetView>
  </sheetViews>
  <sheetFormatPr defaultRowHeight="45" customHeight="1"/>
  <cols>
    <col min="1" max="1" width="6.44140625" style="494" customWidth="1"/>
    <col min="2" max="2" width="8.6640625" style="623" customWidth="1"/>
    <col min="3" max="3" width="41" style="624" customWidth="1"/>
    <col min="4" max="4" width="11.88671875" style="495" customWidth="1"/>
    <col min="5" max="5" width="6.21875" style="494" customWidth="1"/>
    <col min="6" max="6" width="14" style="495" customWidth="1"/>
    <col min="7" max="16384" width="8.88671875" style="494"/>
  </cols>
  <sheetData>
    <row r="1" spans="1:16" ht="31.5" customHeight="1">
      <c r="A1" s="1829" t="s">
        <v>4857</v>
      </c>
      <c r="B1" s="1830"/>
      <c r="C1" s="1831"/>
      <c r="D1" s="1832"/>
      <c r="E1" s="1829"/>
      <c r="F1" s="1832"/>
    </row>
    <row r="2" spans="1:16" ht="18.75" customHeight="1">
      <c r="A2" s="1829" t="s">
        <v>4364</v>
      </c>
      <c r="B2" s="1830"/>
      <c r="C2" s="1831"/>
      <c r="D2" s="1832"/>
      <c r="E2" s="1829"/>
      <c r="F2" s="1832"/>
      <c r="G2" s="500"/>
      <c r="H2" s="500"/>
      <c r="I2" s="500"/>
      <c r="J2" s="500"/>
      <c r="K2" s="500"/>
      <c r="L2" s="500"/>
      <c r="M2" s="500"/>
      <c r="N2" s="500"/>
      <c r="O2" s="500"/>
      <c r="P2" s="500"/>
    </row>
    <row r="3" spans="1:16" ht="45" customHeight="1">
      <c r="A3" s="1833" t="str">
        <f>Abs!A1</f>
        <v>Name of work : Construction of Fire and Rescue service station building with development works at Kadamalaikundu in Theni District.</v>
      </c>
      <c r="B3" s="1834"/>
      <c r="C3" s="1835"/>
      <c r="D3" s="1836"/>
      <c r="E3" s="1833"/>
      <c r="F3" s="1836"/>
      <c r="G3" s="500"/>
      <c r="H3" s="500"/>
      <c r="I3" s="500"/>
      <c r="J3" s="500"/>
      <c r="K3" s="500"/>
      <c r="L3" s="500"/>
      <c r="M3" s="500"/>
      <c r="N3" s="500"/>
      <c r="O3" s="500"/>
      <c r="P3" s="500"/>
    </row>
    <row r="4" spans="1:16" s="498" customFormat="1" ht="46.5" customHeight="1">
      <c r="A4" s="608" t="s">
        <v>227</v>
      </c>
      <c r="B4" s="609" t="s">
        <v>2139</v>
      </c>
      <c r="C4" s="683" t="s">
        <v>1802</v>
      </c>
      <c r="D4" s="610" t="s">
        <v>99</v>
      </c>
      <c r="E4" s="608" t="s">
        <v>225</v>
      </c>
      <c r="F4" s="608" t="s">
        <v>5198</v>
      </c>
      <c r="G4" s="1828"/>
      <c r="H4" s="1828"/>
      <c r="I4" s="1828"/>
      <c r="J4" s="1828"/>
      <c r="K4" s="1828"/>
      <c r="L4" s="1828"/>
      <c r="M4" s="1828"/>
      <c r="N4" s="1828"/>
      <c r="O4" s="1828"/>
      <c r="P4" s="1828"/>
    </row>
    <row r="5" spans="1:16" s="498" customFormat="1" ht="25.5" customHeight="1">
      <c r="A5" s="610"/>
      <c r="B5" s="611"/>
      <c r="C5" s="612"/>
      <c r="D5" s="613"/>
      <c r="E5" s="608"/>
      <c r="F5" s="613"/>
      <c r="G5" s="499"/>
      <c r="H5" s="499"/>
      <c r="I5" s="499"/>
      <c r="J5" s="499"/>
      <c r="K5" s="499"/>
      <c r="L5" s="499"/>
      <c r="M5" s="499"/>
      <c r="N5" s="499"/>
      <c r="O5" s="499"/>
      <c r="P5" s="499"/>
    </row>
    <row r="6" spans="1:16" ht="38.450000000000003" customHeight="1">
      <c r="A6" s="614">
        <f>Abs!A6</f>
        <v>1.1000000000000001</v>
      </c>
      <c r="B6" s="615" t="str">
        <f>Abs!Y6</f>
        <v>*</v>
      </c>
      <c r="C6" s="616" t="str">
        <f>Abs!B6</f>
        <v>Earth work excavation in all soils (including refilling)</v>
      </c>
      <c r="D6" s="617">
        <f>Abs!C6</f>
        <v>0</v>
      </c>
      <c r="E6" s="618" t="str">
        <f>Abs!D6</f>
        <v xml:space="preserve"> </v>
      </c>
      <c r="F6" s="619" t="str">
        <f>'[1]Building+Dev( Main)'!AD5</f>
        <v>*</v>
      </c>
      <c r="G6" s="497"/>
      <c r="H6" s="497"/>
      <c r="I6" s="497"/>
      <c r="J6" s="497"/>
      <c r="K6" s="497"/>
      <c r="L6" s="497"/>
      <c r="M6" s="497"/>
      <c r="N6" s="497"/>
      <c r="O6" s="497"/>
      <c r="P6" s="497"/>
    </row>
    <row r="7" spans="1:16" ht="39" customHeight="1">
      <c r="A7" s="614">
        <f>Abs!A7</f>
        <v>0</v>
      </c>
      <c r="B7" s="620" t="e">
        <f>Abs!Y7</f>
        <v>#REF!</v>
      </c>
      <c r="C7" s="621" t="str">
        <f>Abs!B7</f>
        <v>a. 0 to 2 mt.</v>
      </c>
      <c r="D7" s="617">
        <f>Abs!C7</f>
        <v>204.4</v>
      </c>
      <c r="E7" s="618" t="str">
        <f>Abs!D7</f>
        <v>Cum.</v>
      </c>
      <c r="F7" s="617" t="e">
        <f>D7*B7</f>
        <v>#REF!</v>
      </c>
      <c r="G7" s="497"/>
      <c r="H7" s="497"/>
      <c r="I7" s="497"/>
      <c r="J7" s="497"/>
      <c r="K7" s="497"/>
      <c r="L7" s="497"/>
      <c r="M7" s="497"/>
      <c r="N7" s="497"/>
      <c r="O7" s="497"/>
      <c r="P7" s="497"/>
    </row>
    <row r="8" spans="1:16" s="496" customFormat="1" ht="28.5" customHeight="1">
      <c r="A8" s="614">
        <f>Abs!A8</f>
        <v>0</v>
      </c>
      <c r="B8" s="620" t="e">
        <f>Abs!Y8</f>
        <v>#REF!</v>
      </c>
      <c r="C8" s="621" t="str">
        <f>Abs!B8</f>
        <v>b. 2 to 3 mt.</v>
      </c>
      <c r="D8" s="617">
        <f>Abs!C8</f>
        <v>213.7</v>
      </c>
      <c r="E8" s="618" t="str">
        <f>Abs!D8</f>
        <v>Cum.</v>
      </c>
      <c r="F8" s="617" t="e">
        <f t="shared" ref="F8:F71" si="0">D8*B8</f>
        <v>#REF!</v>
      </c>
    </row>
    <row r="9" spans="1:16" ht="30" hidden="1">
      <c r="A9" s="614">
        <f>Abs!A9</f>
        <v>1.2</v>
      </c>
      <c r="B9" s="620">
        <f>Abs!Y9</f>
        <v>0</v>
      </c>
      <c r="C9" s="621" t="str">
        <f>Abs!B9</f>
        <v>Earth work excavation in all soils (excluding refilling)</v>
      </c>
      <c r="D9" s="617">
        <f>Abs!C9</f>
        <v>0</v>
      </c>
      <c r="E9" s="618">
        <f>Abs!D9</f>
        <v>0</v>
      </c>
      <c r="F9" s="617">
        <f t="shared" si="0"/>
        <v>0</v>
      </c>
    </row>
    <row r="10" spans="1:16" ht="15.75" hidden="1">
      <c r="A10" s="614">
        <f>Abs!A10</f>
        <v>0</v>
      </c>
      <c r="B10" s="620">
        <f>Abs!Y10</f>
        <v>0</v>
      </c>
      <c r="C10" s="621" t="str">
        <f>Abs!B10</f>
        <v>a. 0 to 2 mt.</v>
      </c>
      <c r="D10" s="617">
        <f>Abs!C10</f>
        <v>193.2</v>
      </c>
      <c r="E10" s="618" t="str">
        <f>Abs!D10</f>
        <v>Cum.</v>
      </c>
      <c r="F10" s="617">
        <f t="shared" si="0"/>
        <v>0</v>
      </c>
    </row>
    <row r="11" spans="1:16" s="496" customFormat="1" ht="17.25" hidden="1">
      <c r="A11" s="614">
        <f>Abs!A11</f>
        <v>0</v>
      </c>
      <c r="B11" s="620">
        <f>Abs!Y11</f>
        <v>0</v>
      </c>
      <c r="C11" s="621" t="str">
        <f>Abs!B11</f>
        <v>b. 2 to 3 mt.</v>
      </c>
      <c r="D11" s="617">
        <f>Abs!C11</f>
        <v>202.5</v>
      </c>
      <c r="E11" s="618" t="str">
        <f>Abs!D11</f>
        <v>Cum.</v>
      </c>
      <c r="F11" s="617">
        <f t="shared" si="0"/>
        <v>0</v>
      </c>
    </row>
    <row r="12" spans="1:16" s="496" customFormat="1" ht="45.75" hidden="1" customHeight="1">
      <c r="A12" s="614">
        <f>Abs!A12</f>
        <v>1.3</v>
      </c>
      <c r="B12" s="620">
        <f>Abs!Y12</f>
        <v>0</v>
      </c>
      <c r="C12" s="621" t="str">
        <f>Abs!B12</f>
        <v>Earth work excavation in Soft disintegrated rock  (including refilling)</v>
      </c>
      <c r="D12" s="617">
        <f>Abs!C12</f>
        <v>0</v>
      </c>
      <c r="E12" s="618" t="str">
        <f>Abs!D12</f>
        <v xml:space="preserve"> </v>
      </c>
      <c r="F12" s="617">
        <f t="shared" si="0"/>
        <v>0</v>
      </c>
    </row>
    <row r="13" spans="1:16" s="496" customFormat="1" ht="28.9" hidden="1" customHeight="1">
      <c r="A13" s="614">
        <f>Abs!A13</f>
        <v>0</v>
      </c>
      <c r="B13" s="620">
        <f>Abs!Y13</f>
        <v>0</v>
      </c>
      <c r="C13" s="621" t="str">
        <f>Abs!B13</f>
        <v>a. 0 to 2 mt.</v>
      </c>
      <c r="D13" s="617">
        <f>Abs!C13</f>
        <v>299</v>
      </c>
      <c r="E13" s="618" t="str">
        <f>Abs!D13</f>
        <v>Cum.</v>
      </c>
      <c r="F13" s="617">
        <f t="shared" si="0"/>
        <v>0</v>
      </c>
    </row>
    <row r="14" spans="1:16" s="496" customFormat="1" ht="33" hidden="1" customHeight="1">
      <c r="A14" s="614">
        <f>Abs!A14</f>
        <v>0</v>
      </c>
      <c r="B14" s="620">
        <f>Abs!Y14</f>
        <v>0</v>
      </c>
      <c r="C14" s="621" t="str">
        <f>Abs!B14</f>
        <v>b. 2 to 3 mt.</v>
      </c>
      <c r="D14" s="617">
        <f>Abs!C14</f>
        <v>308.3</v>
      </c>
      <c r="E14" s="618" t="str">
        <f>Abs!D14</f>
        <v>Cum.</v>
      </c>
      <c r="F14" s="617">
        <f t="shared" si="0"/>
        <v>0</v>
      </c>
    </row>
    <row r="15" spans="1:16" s="496" customFormat="1" ht="30" hidden="1">
      <c r="A15" s="614">
        <f>Abs!A15</f>
        <v>1.4</v>
      </c>
      <c r="B15" s="620">
        <f>Abs!Y15</f>
        <v>0</v>
      </c>
      <c r="C15" s="621" t="str">
        <f>Abs!B15</f>
        <v>Earth work excavation for Open foundation (including refilling)</v>
      </c>
      <c r="D15" s="617">
        <f>Abs!C15</f>
        <v>0</v>
      </c>
      <c r="E15" s="618">
        <f>Abs!D15</f>
        <v>0</v>
      </c>
      <c r="F15" s="617">
        <f t="shared" si="0"/>
        <v>0</v>
      </c>
    </row>
    <row r="16" spans="1:16" s="496" customFormat="1" ht="17.25" hidden="1">
      <c r="A16" s="614">
        <f>Abs!A16</f>
        <v>0</v>
      </c>
      <c r="B16" s="620">
        <f>Abs!Y16</f>
        <v>0</v>
      </c>
      <c r="C16" s="621" t="str">
        <f>Abs!B16</f>
        <v>a. 0 to 2 mt.</v>
      </c>
      <c r="D16" s="617">
        <f>Abs!C16</f>
        <v>107.8</v>
      </c>
      <c r="E16" s="618" t="str">
        <f>Abs!D16</f>
        <v>Cum.</v>
      </c>
      <c r="F16" s="617">
        <f t="shared" si="0"/>
        <v>0</v>
      </c>
    </row>
    <row r="17" spans="1:6" s="496" customFormat="1" ht="17.25" hidden="1">
      <c r="A17" s="614">
        <f>Abs!A17</f>
        <v>0</v>
      </c>
      <c r="B17" s="620">
        <f>Abs!Y17</f>
        <v>0</v>
      </c>
      <c r="C17" s="621" t="str">
        <f>Abs!B17</f>
        <v>b. 2 to 3 mt.</v>
      </c>
      <c r="D17" s="617">
        <f>Abs!C17</f>
        <v>117.1</v>
      </c>
      <c r="E17" s="618" t="str">
        <f>Abs!D17</f>
        <v>Cum.</v>
      </c>
      <c r="F17" s="617">
        <f t="shared" si="0"/>
        <v>0</v>
      </c>
    </row>
    <row r="18" spans="1:6" s="496" customFormat="1" ht="44.45" customHeight="1">
      <c r="A18" s="614">
        <f>Abs!A18</f>
        <v>1.5</v>
      </c>
      <c r="B18" s="615" t="e">
        <f>Abs!Y18</f>
        <v>#REF!</v>
      </c>
      <c r="C18" s="616" t="str">
        <f>Abs!B18</f>
        <v>Earth work excavation for Open foundation (excluding refilling)</v>
      </c>
      <c r="D18" s="617">
        <f>Abs!C18</f>
        <v>0</v>
      </c>
      <c r="E18" s="618" t="str">
        <f>Abs!D18</f>
        <v xml:space="preserve"> </v>
      </c>
      <c r="F18" s="617"/>
    </row>
    <row r="19" spans="1:6" s="496" customFormat="1" ht="33" customHeight="1">
      <c r="A19" s="614">
        <f>Abs!A19</f>
        <v>0</v>
      </c>
      <c r="B19" s="620" t="e">
        <f>Abs!Y19</f>
        <v>#REF!</v>
      </c>
      <c r="C19" s="621" t="str">
        <f>Abs!B19</f>
        <v>a. 0 to 2 mt.</v>
      </c>
      <c r="D19" s="617">
        <f>Abs!C19</f>
        <v>96.6</v>
      </c>
      <c r="E19" s="618" t="str">
        <f>Abs!D19</f>
        <v>Cum.</v>
      </c>
      <c r="F19" s="617" t="e">
        <f t="shared" si="0"/>
        <v>#REF!</v>
      </c>
    </row>
    <row r="20" spans="1:6" ht="24.75" customHeight="1">
      <c r="A20" s="614">
        <f>Abs!A20</f>
        <v>0</v>
      </c>
      <c r="B20" s="620" t="e">
        <f>Abs!Y20</f>
        <v>#REF!</v>
      </c>
      <c r="C20" s="621" t="str">
        <f>Abs!B20</f>
        <v>b. 2 to 3 mt.</v>
      </c>
      <c r="D20" s="617">
        <f>Abs!C20</f>
        <v>105.9</v>
      </c>
      <c r="E20" s="618" t="str">
        <f>Abs!D20</f>
        <v>Cum.</v>
      </c>
      <c r="F20" s="617" t="e">
        <f t="shared" si="0"/>
        <v>#REF!</v>
      </c>
    </row>
    <row r="21" spans="1:6" ht="15.75" hidden="1">
      <c r="A21" s="614">
        <f>Abs!A21</f>
        <v>0</v>
      </c>
      <c r="B21" s="620">
        <f>Abs!Y21</f>
        <v>0</v>
      </c>
      <c r="C21" s="621" t="str">
        <f>Abs!B21</f>
        <v>c. 3 to 4 mt.</v>
      </c>
      <c r="D21" s="617">
        <f>Abs!C21</f>
        <v>115.2</v>
      </c>
      <c r="E21" s="618" t="str">
        <f>Abs!D21</f>
        <v>Cum.</v>
      </c>
      <c r="F21" s="617">
        <f t="shared" si="0"/>
        <v>0</v>
      </c>
    </row>
    <row r="22" spans="1:6" s="496" customFormat="1" ht="17.25" hidden="1">
      <c r="A22" s="614">
        <f>Abs!A22</f>
        <v>0</v>
      </c>
      <c r="B22" s="620">
        <f>Abs!Y22</f>
        <v>0</v>
      </c>
      <c r="C22" s="621" t="str">
        <f>Abs!B22</f>
        <v>d. 4 to 5 mt.</v>
      </c>
      <c r="D22" s="617">
        <f>Abs!C22</f>
        <v>124.5</v>
      </c>
      <c r="E22" s="618" t="str">
        <f>Abs!D22</f>
        <v>Cum.</v>
      </c>
      <c r="F22" s="617">
        <f t="shared" si="0"/>
        <v>0</v>
      </c>
    </row>
    <row r="23" spans="1:6" ht="37.5" hidden="1" customHeight="1">
      <c r="A23" s="614">
        <f>Abs!A23</f>
        <v>1.6</v>
      </c>
      <c r="B23" s="620" t="e">
        <f>Abs!Y23</f>
        <v>#REF!</v>
      </c>
      <c r="C23" s="621" t="str">
        <f>Abs!B23</f>
        <v>Earth work excavation for Open foundation  for drains (excluding refilling) width  upto 1.25 m</v>
      </c>
      <c r="D23" s="617">
        <f>Abs!C23</f>
        <v>0</v>
      </c>
      <c r="E23" s="618">
        <f>Abs!D23</f>
        <v>0</v>
      </c>
      <c r="F23" s="617" t="e">
        <f t="shared" si="0"/>
        <v>#REF!</v>
      </c>
    </row>
    <row r="24" spans="1:6" ht="30" hidden="1" customHeight="1">
      <c r="A24" s="614">
        <f>Abs!A24</f>
        <v>0</v>
      </c>
      <c r="B24" s="620" t="e">
        <f>Abs!Y24</f>
        <v>#REF!</v>
      </c>
      <c r="C24" s="621" t="str">
        <f>Abs!B24</f>
        <v>a. 0 to 2 mt.</v>
      </c>
      <c r="D24" s="617">
        <f>Abs!C24</f>
        <v>144.9</v>
      </c>
      <c r="E24" s="618" t="str">
        <f>Abs!D24</f>
        <v>Cum.</v>
      </c>
      <c r="F24" s="617" t="e">
        <f t="shared" si="0"/>
        <v>#REF!</v>
      </c>
    </row>
    <row r="25" spans="1:6" s="496" customFormat="1" ht="22.5" hidden="1" customHeight="1">
      <c r="A25" s="614">
        <f>Abs!A25</f>
        <v>0</v>
      </c>
      <c r="B25" s="620" t="e">
        <f>Abs!Y25</f>
        <v>#REF!</v>
      </c>
      <c r="C25" s="621" t="str">
        <f>Abs!B25</f>
        <v>b. 2 to 3 mt.</v>
      </c>
      <c r="D25" s="617">
        <f>Abs!C25</f>
        <v>154.19999999999999</v>
      </c>
      <c r="E25" s="618" t="str">
        <f>Abs!D25</f>
        <v>Cum.</v>
      </c>
      <c r="F25" s="617" t="e">
        <f t="shared" si="0"/>
        <v>#REF!</v>
      </c>
    </row>
    <row r="26" spans="1:6" s="496" customFormat="1" ht="30" hidden="1">
      <c r="A26" s="614">
        <f>Abs!A26</f>
        <v>1.7</v>
      </c>
      <c r="B26" s="620">
        <f>Abs!Y26</f>
        <v>0</v>
      </c>
      <c r="C26" s="621" t="str">
        <f>Abs!B26</f>
        <v>Earth work excavation in Soft disintegrated rock 
(Excluding refilling)</v>
      </c>
      <c r="D26" s="617">
        <f>Abs!C26</f>
        <v>0</v>
      </c>
      <c r="E26" s="618" t="str">
        <f>Abs!D26</f>
        <v xml:space="preserve"> </v>
      </c>
      <c r="F26" s="617">
        <f t="shared" si="0"/>
        <v>0</v>
      </c>
    </row>
    <row r="27" spans="1:6" s="496" customFormat="1" ht="17.25" hidden="1">
      <c r="A27" s="614">
        <f>Abs!A27</f>
        <v>0</v>
      </c>
      <c r="B27" s="620">
        <f>Abs!Y27</f>
        <v>0</v>
      </c>
      <c r="C27" s="621" t="str">
        <f>Abs!B27</f>
        <v>a. 0 to 2 mt.</v>
      </c>
      <c r="D27" s="617">
        <f>Abs!C27</f>
        <v>287.8</v>
      </c>
      <c r="E27" s="618" t="str">
        <f>Abs!D27</f>
        <v>Cum.</v>
      </c>
      <c r="F27" s="617">
        <f t="shared" si="0"/>
        <v>0</v>
      </c>
    </row>
    <row r="28" spans="1:6" ht="15.75" hidden="1">
      <c r="A28" s="614">
        <f>Abs!A28</f>
        <v>0</v>
      </c>
      <c r="B28" s="620">
        <f>Abs!Y28</f>
        <v>0</v>
      </c>
      <c r="C28" s="621" t="str">
        <f>Abs!B28</f>
        <v>b. 2 to 3 mt.</v>
      </c>
      <c r="D28" s="617">
        <f>Abs!C28</f>
        <v>297.10000000000002</v>
      </c>
      <c r="E28" s="618" t="str">
        <f>Abs!D28</f>
        <v>Cum.</v>
      </c>
      <c r="F28" s="617">
        <f t="shared" si="0"/>
        <v>0</v>
      </c>
    </row>
    <row r="29" spans="1:6" ht="46.9" hidden="1" customHeight="1">
      <c r="A29" s="614">
        <f>Abs!A29</f>
        <v>1.8</v>
      </c>
      <c r="B29" s="620">
        <f>Abs!Y29</f>
        <v>0</v>
      </c>
      <c r="C29" s="621" t="str">
        <f>Abs!B29</f>
        <v>Earth work excavation in SDR for Open foundation  (excluding refilling)</v>
      </c>
      <c r="D29" s="617">
        <f>Abs!C29</f>
        <v>0</v>
      </c>
      <c r="E29" s="618" t="str">
        <f>Abs!D29</f>
        <v xml:space="preserve"> </v>
      </c>
      <c r="F29" s="617">
        <f t="shared" si="0"/>
        <v>0</v>
      </c>
    </row>
    <row r="30" spans="1:6" s="496" customFormat="1" ht="32.450000000000003" hidden="1" customHeight="1">
      <c r="A30" s="614">
        <f>Abs!A30</f>
        <v>0</v>
      </c>
      <c r="B30" s="620">
        <f>Abs!Y30</f>
        <v>0</v>
      </c>
      <c r="C30" s="621" t="str">
        <f>Abs!B30</f>
        <v>a. 0 to 2 mt.</v>
      </c>
      <c r="D30" s="617">
        <f>Abs!C30</f>
        <v>143.9</v>
      </c>
      <c r="E30" s="618" t="str">
        <f>Abs!D30</f>
        <v>Cum.</v>
      </c>
      <c r="F30" s="617">
        <f t="shared" si="0"/>
        <v>0</v>
      </c>
    </row>
    <row r="31" spans="1:6" s="496" customFormat="1" ht="32.450000000000003" hidden="1" customHeight="1">
      <c r="A31" s="614">
        <f>Abs!A31</f>
        <v>0</v>
      </c>
      <c r="B31" s="620">
        <f>Abs!Y31</f>
        <v>0</v>
      </c>
      <c r="C31" s="621" t="str">
        <f>Abs!B31</f>
        <v>b. 2 to 3 mt.</v>
      </c>
      <c r="D31" s="617">
        <f>Abs!C31</f>
        <v>153.19999999999999</v>
      </c>
      <c r="E31" s="618" t="str">
        <f>Abs!D31</f>
        <v>Cum.</v>
      </c>
      <c r="F31" s="617">
        <f t="shared" si="0"/>
        <v>0</v>
      </c>
    </row>
    <row r="32" spans="1:6" s="496" customFormat="1" ht="17.25" hidden="1">
      <c r="A32" s="614">
        <f>Abs!A32</f>
        <v>1.9</v>
      </c>
      <c r="B32" s="620">
        <f>Abs!Y32</f>
        <v>0</v>
      </c>
      <c r="C32" s="621" t="str">
        <f>Abs!B32</f>
        <v>Providing Driven PILES</v>
      </c>
      <c r="D32" s="617">
        <f>Abs!C32</f>
        <v>0</v>
      </c>
      <c r="E32" s="618">
        <f>Abs!D32</f>
        <v>0</v>
      </c>
      <c r="F32" s="617">
        <f t="shared" si="0"/>
        <v>0</v>
      </c>
    </row>
    <row r="33" spans="1:6" s="496" customFormat="1" ht="17.25" hidden="1">
      <c r="A33" s="614">
        <f>Abs!A33</f>
        <v>0</v>
      </c>
      <c r="B33" s="620">
        <f>Abs!Y33</f>
        <v>0</v>
      </c>
      <c r="C33" s="621" t="str">
        <f>Abs!B33</f>
        <v>a.300mm dia</v>
      </c>
      <c r="D33" s="617">
        <f>Abs!C33</f>
        <v>0</v>
      </c>
      <c r="E33" s="618" t="str">
        <f>Abs!D33</f>
        <v>Rmt</v>
      </c>
      <c r="F33" s="617">
        <f t="shared" si="0"/>
        <v>0</v>
      </c>
    </row>
    <row r="34" spans="1:6" s="496" customFormat="1" ht="17.25" hidden="1">
      <c r="A34" s="614">
        <f>Abs!A34</f>
        <v>0</v>
      </c>
      <c r="B34" s="620">
        <f>Abs!Y34</f>
        <v>0</v>
      </c>
      <c r="C34" s="621" t="str">
        <f>Abs!B34</f>
        <v>b.330mm dia</v>
      </c>
      <c r="D34" s="617">
        <f>Abs!C34</f>
        <v>0</v>
      </c>
      <c r="E34" s="618" t="str">
        <f>Abs!D34</f>
        <v>Rmt</v>
      </c>
      <c r="F34" s="617">
        <f t="shared" si="0"/>
        <v>0</v>
      </c>
    </row>
    <row r="35" spans="1:6" s="496" customFormat="1" ht="17.25" hidden="1">
      <c r="A35" s="614">
        <f>Abs!A35</f>
        <v>0</v>
      </c>
      <c r="B35" s="620">
        <f>Abs!Y35</f>
        <v>0</v>
      </c>
      <c r="C35" s="621" t="str">
        <f>Abs!B35</f>
        <v>c.375mm dia</v>
      </c>
      <c r="D35" s="617">
        <f>Abs!C35</f>
        <v>0</v>
      </c>
      <c r="E35" s="618" t="str">
        <f>Abs!D35</f>
        <v>Rmt</v>
      </c>
      <c r="F35" s="617">
        <f t="shared" si="0"/>
        <v>0</v>
      </c>
    </row>
    <row r="36" spans="1:6" s="496" customFormat="1" ht="17.25" hidden="1">
      <c r="A36" s="614">
        <f>Abs!A36</f>
        <v>0</v>
      </c>
      <c r="B36" s="620">
        <f>Abs!Y36</f>
        <v>0</v>
      </c>
      <c r="C36" s="621" t="str">
        <f>Abs!B36</f>
        <v>d.400mm dia</v>
      </c>
      <c r="D36" s="617">
        <f>Abs!C36</f>
        <v>0</v>
      </c>
      <c r="E36" s="618" t="str">
        <f>Abs!D36</f>
        <v>Rmt</v>
      </c>
      <c r="F36" s="617">
        <f t="shared" si="0"/>
        <v>0</v>
      </c>
    </row>
    <row r="37" spans="1:6" s="496" customFormat="1" ht="17.25" hidden="1">
      <c r="A37" s="614">
        <f>Abs!A37</f>
        <v>0</v>
      </c>
      <c r="B37" s="620">
        <f>Abs!Y37</f>
        <v>0</v>
      </c>
      <c r="C37" s="621" t="str">
        <f>Abs!B37</f>
        <v>e.450mm dia</v>
      </c>
      <c r="D37" s="617">
        <f>Abs!C37</f>
        <v>0</v>
      </c>
      <c r="E37" s="618" t="str">
        <f>Abs!D37</f>
        <v>Rmt</v>
      </c>
      <c r="F37" s="617">
        <f t="shared" si="0"/>
        <v>0</v>
      </c>
    </row>
    <row r="38" spans="1:6" s="496" customFormat="1" ht="17.25" hidden="1">
      <c r="A38" s="614">
        <f>Abs!A38</f>
        <v>0</v>
      </c>
      <c r="B38" s="620">
        <f>Abs!Y38</f>
        <v>0</v>
      </c>
      <c r="C38" s="621" t="str">
        <f>Abs!B38</f>
        <v>f.500mm dia</v>
      </c>
      <c r="D38" s="617">
        <f>Abs!C38</f>
        <v>0</v>
      </c>
      <c r="E38" s="618" t="str">
        <f>Abs!D38</f>
        <v>Rmt</v>
      </c>
      <c r="F38" s="617">
        <f t="shared" si="0"/>
        <v>0</v>
      </c>
    </row>
    <row r="39" spans="1:6" s="496" customFormat="1" ht="32.450000000000003" customHeight="1">
      <c r="A39" s="614">
        <f>Abs!A39</f>
        <v>2.1</v>
      </c>
      <c r="B39" s="620" t="e">
        <f>Abs!Y39</f>
        <v>#REF!</v>
      </c>
      <c r="C39" s="621" t="str">
        <f>Abs!B39</f>
        <v>Filling sand</v>
      </c>
      <c r="D39" s="617">
        <f>Abs!C39</f>
        <v>1540.6</v>
      </c>
      <c r="E39" s="618" t="str">
        <f>Abs!D39</f>
        <v>Cum.</v>
      </c>
      <c r="F39" s="617" t="e">
        <f t="shared" si="0"/>
        <v>#REF!</v>
      </c>
    </row>
    <row r="40" spans="1:6" s="496" customFormat="1" ht="22.5" hidden="1" customHeight="1">
      <c r="A40" s="614">
        <f>Abs!A40</f>
        <v>2.2000000000000002</v>
      </c>
      <c r="B40" s="620" t="e">
        <f>Abs!Y40</f>
        <v>#REF!</v>
      </c>
      <c r="C40" s="621" t="str">
        <f>Abs!B40</f>
        <v>Sand Gravel Mix</v>
      </c>
      <c r="D40" s="617">
        <f>Abs!C40</f>
        <v>1447.89</v>
      </c>
      <c r="E40" s="618" t="str">
        <f>Abs!D40</f>
        <v>Cum.</v>
      </c>
      <c r="F40" s="617" t="e">
        <f t="shared" si="0"/>
        <v>#REF!</v>
      </c>
    </row>
    <row r="41" spans="1:6" s="496" customFormat="1" ht="24.75" hidden="1" customHeight="1">
      <c r="A41" s="614">
        <f>Abs!A41</f>
        <v>2.2999999999999998</v>
      </c>
      <c r="B41" s="620" t="e">
        <f>Abs!Y41</f>
        <v>#REF!</v>
      </c>
      <c r="C41" s="621" t="str">
        <f>Abs!B41</f>
        <v>Supply and filling of 40 mm Brick jelly</v>
      </c>
      <c r="D41" s="617">
        <f>Abs!C41</f>
        <v>908.62</v>
      </c>
      <c r="E41" s="618" t="str">
        <f>Abs!D41</f>
        <v>Cum.</v>
      </c>
      <c r="F41" s="617" t="e">
        <f t="shared" si="0"/>
        <v>#REF!</v>
      </c>
    </row>
    <row r="42" spans="1:6" s="496" customFormat="1" ht="24.75" hidden="1" customHeight="1">
      <c r="A42" s="614">
        <f>Abs!A42</f>
        <v>2.4</v>
      </c>
      <c r="B42" s="620" t="e">
        <f>Abs!Y42</f>
        <v>#REF!</v>
      </c>
      <c r="C42" s="621" t="str">
        <f>Abs!B42</f>
        <v>Supply and filling of 20 mm Brick jelly</v>
      </c>
      <c r="D42" s="617">
        <f>Abs!C42</f>
        <v>987.62</v>
      </c>
      <c r="E42" s="618" t="str">
        <f>Abs!D42</f>
        <v>Cum.</v>
      </c>
      <c r="F42" s="617" t="e">
        <f t="shared" si="0"/>
        <v>#REF!</v>
      </c>
    </row>
    <row r="43" spans="1:6" s="496" customFormat="1" ht="17.25" hidden="1">
      <c r="A43" s="614">
        <f>Abs!A43</f>
        <v>2.5</v>
      </c>
      <c r="B43" s="620" t="e">
        <f>Abs!Y43</f>
        <v>#REF!</v>
      </c>
      <c r="C43" s="621" t="str">
        <f>Abs!B43</f>
        <v>Gravel soling</v>
      </c>
      <c r="D43" s="617">
        <f>Abs!C43</f>
        <v>393.85</v>
      </c>
      <c r="E43" s="618" t="str">
        <f>Abs!D43</f>
        <v>Cum.</v>
      </c>
      <c r="F43" s="617" t="e">
        <f t="shared" si="0"/>
        <v>#REF!</v>
      </c>
    </row>
    <row r="44" spans="1:6" ht="30" hidden="1" customHeight="1">
      <c r="A44" s="614">
        <f>Abs!A44</f>
        <v>2.6</v>
      </c>
      <c r="B44" s="620" t="e">
        <f>Abs!Y44</f>
        <v>#REF!</v>
      </c>
      <c r="C44" s="621" t="str">
        <f>Abs!B44</f>
        <v>Supply and filling of 40 mm HBSJ</v>
      </c>
      <c r="D44" s="617">
        <f>Abs!C44</f>
        <v>1310.0999999999999</v>
      </c>
      <c r="E44" s="618" t="str">
        <f>Abs!D44</f>
        <v>Cum.</v>
      </c>
      <c r="F44" s="617" t="e">
        <f t="shared" si="0"/>
        <v>#REF!</v>
      </c>
    </row>
    <row r="45" spans="1:6" s="496" customFormat="1" ht="30" hidden="1" customHeight="1">
      <c r="A45" s="614">
        <f>Abs!A45</f>
        <v>2.7</v>
      </c>
      <c r="B45" s="620" t="e">
        <f>Abs!Y45</f>
        <v>#REF!</v>
      </c>
      <c r="C45" s="621" t="str">
        <f>Abs!B45</f>
        <v>Supply and filling of 20 mm HBSJ</v>
      </c>
      <c r="D45" s="617">
        <f>Abs!C45</f>
        <v>1713.1</v>
      </c>
      <c r="E45" s="618" t="str">
        <f>Abs!D45</f>
        <v>Cum.</v>
      </c>
      <c r="F45" s="617" t="e">
        <f t="shared" si="0"/>
        <v>#REF!</v>
      </c>
    </row>
    <row r="46" spans="1:6" s="496" customFormat="1" ht="33" customHeight="1">
      <c r="A46" s="614">
        <f>Abs!A49</f>
        <v>3.1</v>
      </c>
      <c r="B46" s="620" t="e">
        <f>Abs!Y49</f>
        <v>#REF!</v>
      </c>
      <c r="C46" s="621" t="str">
        <f>Abs!B49</f>
        <v>C.C.1:5:10 for Foundation &amp; Basement</v>
      </c>
      <c r="D46" s="617">
        <f>Abs!C49</f>
        <v>4435.7299999999996</v>
      </c>
      <c r="E46" s="618" t="str">
        <f>Abs!D49</f>
        <v>Cum.</v>
      </c>
      <c r="F46" s="617" t="e">
        <f t="shared" si="0"/>
        <v>#REF!</v>
      </c>
    </row>
    <row r="47" spans="1:6" s="496" customFormat="1" ht="36.6" customHeight="1">
      <c r="A47" s="614">
        <f>Abs!A50</f>
        <v>3.2</v>
      </c>
      <c r="B47" s="620" t="e">
        <f>Abs!Y50</f>
        <v>#REF!</v>
      </c>
      <c r="C47" s="621" t="str">
        <f>Abs!B50</f>
        <v>P.C.C. 1:2:4 for Foundation &amp; Basement and other similar works</v>
      </c>
      <c r="D47" s="617">
        <f>Abs!C50</f>
        <v>5957.06</v>
      </c>
      <c r="E47" s="618" t="str">
        <f>Abs!D50</f>
        <v>Cum.</v>
      </c>
      <c r="F47" s="617" t="e">
        <f t="shared" si="0"/>
        <v>#REF!</v>
      </c>
    </row>
    <row r="48" spans="1:6" s="496" customFormat="1" ht="31.5" hidden="1" customHeight="1">
      <c r="A48" s="614">
        <f>Abs!A51</f>
        <v>3.3</v>
      </c>
      <c r="B48" s="620" t="e">
        <f>Abs!Y51</f>
        <v>#REF!</v>
      </c>
      <c r="C48" s="621" t="str">
        <f>Abs!B51</f>
        <v>P.C.C. 1:8:16 using 20 mm broken brick jelly</v>
      </c>
      <c r="D48" s="617">
        <f>Abs!C51</f>
        <v>3855.84</v>
      </c>
      <c r="E48" s="618" t="str">
        <f>Abs!D51</f>
        <v>Cum.</v>
      </c>
      <c r="F48" s="617" t="e">
        <f t="shared" si="0"/>
        <v>#REF!</v>
      </c>
    </row>
    <row r="49" spans="1:6" ht="30" hidden="1">
      <c r="A49" s="614">
        <f>Abs!A52</f>
        <v>3.4</v>
      </c>
      <c r="B49" s="620">
        <f>Abs!Y52</f>
        <v>0</v>
      </c>
      <c r="C49" s="621" t="str">
        <f>Abs!B52</f>
        <v>Providing  WBM 125  mm consolidated thick with gravel blindage</v>
      </c>
      <c r="D49" s="617">
        <f>Abs!C52</f>
        <v>0</v>
      </c>
      <c r="E49" s="618" t="str">
        <f>Abs!D52</f>
        <v>Sqm.</v>
      </c>
      <c r="F49" s="617">
        <f t="shared" si="0"/>
        <v>0</v>
      </c>
    </row>
    <row r="50" spans="1:6" ht="15.75" hidden="1">
      <c r="A50" s="614">
        <f>Abs!A53</f>
        <v>3.5</v>
      </c>
      <c r="B50" s="620">
        <f>Abs!Y53</f>
        <v>0</v>
      </c>
      <c r="C50" s="621" t="str">
        <f>Abs!B53</f>
        <v>Surface dressing over WBM  25 mm thick</v>
      </c>
      <c r="D50" s="617">
        <f>Abs!C53</f>
        <v>0</v>
      </c>
      <c r="E50" s="618" t="str">
        <f>Abs!D53</f>
        <v>Sqm.</v>
      </c>
      <c r="F50" s="617">
        <f t="shared" si="0"/>
        <v>0</v>
      </c>
    </row>
    <row r="51" spans="1:6" ht="60" hidden="1">
      <c r="A51" s="614">
        <f>Abs!A54</f>
        <v>3.6</v>
      </c>
      <c r="B51" s="620">
        <f>Abs!Y54</f>
        <v>0</v>
      </c>
      <c r="C51" s="621" t="str">
        <f>Abs!B54</f>
        <v>Providing  WBM 125  mm consolidated thick with gravel blindage
(IRC 63 to 45mm for 75mm thick and 37.5 to 26.5mm for 50.mm thick)</v>
      </c>
      <c r="D51" s="617">
        <f>Abs!C54</f>
        <v>184.13</v>
      </c>
      <c r="E51" s="618" t="str">
        <f>Abs!D54</f>
        <v>Sqm.</v>
      </c>
      <c r="F51" s="617">
        <f t="shared" si="0"/>
        <v>0</v>
      </c>
    </row>
    <row r="52" spans="1:6" ht="30" hidden="1">
      <c r="A52" s="614">
        <f>Abs!A55</f>
        <v>3.7</v>
      </c>
      <c r="B52" s="620">
        <f>Abs!Y55</f>
        <v>0</v>
      </c>
      <c r="C52" s="621" t="str">
        <f>Abs!B55</f>
        <v>Surface dressing over WBM  25 mm tk.
with pre-coated chips using 11.2mm size IRC</v>
      </c>
      <c r="D52" s="617">
        <f>Abs!C55</f>
        <v>143.44</v>
      </c>
      <c r="E52" s="618" t="str">
        <f>Abs!D55</f>
        <v>Sqm.</v>
      </c>
      <c r="F52" s="617">
        <f t="shared" si="0"/>
        <v>0</v>
      </c>
    </row>
    <row r="53" spans="1:6" ht="15.75" hidden="1">
      <c r="A53" s="614">
        <f>Abs!A56</f>
        <v>4.0999999999999996</v>
      </c>
      <c r="B53" s="620">
        <f>Abs!Y56</f>
        <v>0</v>
      </c>
      <c r="C53" s="621" t="str">
        <f>Abs!B56</f>
        <v>R.C.C. 1:2:4 Foundation and Basement</v>
      </c>
      <c r="D53" s="617">
        <f>Abs!C56</f>
        <v>7298.69</v>
      </c>
      <c r="E53" s="618" t="str">
        <f>Abs!D56</f>
        <v>Cum.</v>
      </c>
      <c r="F53" s="617">
        <f t="shared" si="0"/>
        <v>0</v>
      </c>
    </row>
    <row r="54" spans="1:6" ht="15.75" hidden="1">
      <c r="A54" s="614">
        <f>Abs!A57</f>
        <v>4.2</v>
      </c>
      <c r="B54" s="620">
        <f>Abs!Y57</f>
        <v>0</v>
      </c>
      <c r="C54" s="621" t="str">
        <f>Abs!B57</f>
        <v>R.C.C. 1: 11/2: 3 Foundation and Basement</v>
      </c>
      <c r="D54" s="617">
        <f>Abs!C57</f>
        <v>7940.58</v>
      </c>
      <c r="E54" s="618" t="str">
        <f>Abs!D57</f>
        <v>Cum.</v>
      </c>
      <c r="F54" s="617">
        <f t="shared" si="0"/>
        <v>0</v>
      </c>
    </row>
    <row r="55" spans="1:6" s="496" customFormat="1" ht="24.75" hidden="1" customHeight="1">
      <c r="A55" s="614">
        <f>Abs!A58</f>
        <v>5</v>
      </c>
      <c r="B55" s="620">
        <f>Abs!Y58</f>
        <v>0</v>
      </c>
      <c r="C55" s="621" t="str">
        <f>Abs!B58</f>
        <v>R.R. masonry in C.M. 1:5 Foundation and Basment</v>
      </c>
      <c r="D55" s="617">
        <f>Abs!C58</f>
        <v>4818.8100000000004</v>
      </c>
      <c r="E55" s="618" t="str">
        <f>Abs!D58</f>
        <v>Cum.</v>
      </c>
      <c r="F55" s="617">
        <f t="shared" si="0"/>
        <v>0</v>
      </c>
    </row>
    <row r="56" spans="1:6" s="496" customFormat="1" ht="30" hidden="1">
      <c r="A56" s="614">
        <f>Abs!A59</f>
        <v>6.1</v>
      </c>
      <c r="B56" s="620">
        <f>Abs!Y59</f>
        <v>0</v>
      </c>
      <c r="C56" s="621" t="str">
        <f>Abs!B59</f>
        <v>Brick work in C.M. 1:5 (F&amp; B) using Chamber Burnt brick of size 23 x 11.2 x 7 cm (9" x 4 3/8" x 2 3/4")</v>
      </c>
      <c r="D56" s="617">
        <f>Abs!C59</f>
        <v>6393.87</v>
      </c>
      <c r="E56" s="618" t="str">
        <f>Abs!D59</f>
        <v>Cum.</v>
      </c>
      <c r="F56" s="617">
        <f t="shared" si="0"/>
        <v>0</v>
      </c>
    </row>
    <row r="57" spans="1:6" s="496" customFormat="1" ht="55.5" customHeight="1">
      <c r="A57" s="614">
        <f>Abs!A60</f>
        <v>6.2</v>
      </c>
      <c r="B57" s="620" t="e">
        <f>Abs!Y60</f>
        <v>#REF!</v>
      </c>
      <c r="C57" s="621" t="str">
        <f>Abs!B60</f>
        <v>Supplying and Laying of inter locking paver block stone 83 mm  tk over base layer sand filling including cost of materials laying and hammering charges etc.</v>
      </c>
      <c r="D57" s="617">
        <f>Abs!C60</f>
        <v>1160.44</v>
      </c>
      <c r="E57" s="618" t="str">
        <f>Abs!D60</f>
        <v>Sqm.</v>
      </c>
      <c r="F57" s="617" t="e">
        <f t="shared" si="0"/>
        <v>#REF!</v>
      </c>
    </row>
    <row r="58" spans="1:6" s="496" customFormat="1" ht="30" hidden="1">
      <c r="A58" s="614">
        <f>Abs!A61</f>
        <v>6.3</v>
      </c>
      <c r="B58" s="620" t="e">
        <f>Abs!Y61</f>
        <v>#REF!</v>
      </c>
      <c r="C58" s="621" t="str">
        <f>Abs!B61</f>
        <v>Brick work in C.M. 1:5 (F&amp; B) using Chamber Burnt brick of size 23 x 11 x 7 cm (9" x 4 1/4" x 2 3/4")</v>
      </c>
      <c r="D58" s="617">
        <f>Abs!C61</f>
        <v>0</v>
      </c>
      <c r="E58" s="618" t="str">
        <f>Abs!D61</f>
        <v>Cum.</v>
      </c>
      <c r="F58" s="617" t="e">
        <f t="shared" si="0"/>
        <v>#REF!</v>
      </c>
    </row>
    <row r="59" spans="1:6" s="496" customFormat="1" hidden="1">
      <c r="A59" s="614">
        <f>Abs!A62</f>
        <v>6.4</v>
      </c>
      <c r="B59" s="620" t="e">
        <f>Abs!Y62</f>
        <v>#REF!</v>
      </c>
      <c r="C59" s="621" t="str">
        <f>Abs!B62</f>
        <v>Brick work in C.M. 1:5 (F&amp; B) using Chamber Burnt brick of size 22 x 11 x 7 cm (8 3/4" x 4 1/4" x 2 3/4")</v>
      </c>
      <c r="D59" s="617">
        <f>Abs!C62</f>
        <v>0</v>
      </c>
      <c r="E59" s="618" t="str">
        <f>Abs!D62</f>
        <v>Cum.</v>
      </c>
      <c r="F59" s="617" t="e">
        <f t="shared" si="0"/>
        <v>#REF!</v>
      </c>
    </row>
    <row r="60" spans="1:6" s="496" customFormat="1" ht="45.75" hidden="1" customHeight="1">
      <c r="A60" s="614">
        <f>Abs!A63</f>
        <v>6.5</v>
      </c>
      <c r="B60" s="620" t="e">
        <f>Abs!Y63</f>
        <v>#REF!</v>
      </c>
      <c r="C60" s="621" t="str">
        <f>Abs!B63</f>
        <v>Brick work in C.M. 1:5 (F&amp; B) using Kiln Burnt Country bricks of size 22 x 11 x 7 cm (8 3/4" x 4 1/4" x 2 3/4")</v>
      </c>
      <c r="D60" s="617">
        <f>Abs!C63</f>
        <v>6145.59</v>
      </c>
      <c r="E60" s="618" t="str">
        <f>Abs!D63</f>
        <v>Cum.</v>
      </c>
      <c r="F60" s="617" t="e">
        <f t="shared" si="0"/>
        <v>#REF!</v>
      </c>
    </row>
    <row r="61" spans="1:6" s="496" customFormat="1" hidden="1">
      <c r="A61" s="614">
        <f>Abs!A64</f>
        <v>6.6</v>
      </c>
      <c r="B61" s="620" t="e">
        <f>Abs!Y64</f>
        <v>#REF!</v>
      </c>
      <c r="C61" s="621" t="str">
        <f>Abs!B64</f>
        <v>Brick work in C.M. 1:5 (F&amp; B) using Kiln Burnt Country bricks of size 22 x 11 x 5.7 cm (8 3/4" x 4 1/4" x 2 1/4")</v>
      </c>
      <c r="D61" s="617">
        <f>Abs!C64</f>
        <v>0</v>
      </c>
      <c r="E61" s="618" t="str">
        <f>Abs!D64</f>
        <v>Cum.</v>
      </c>
      <c r="F61" s="617" t="e">
        <f t="shared" si="0"/>
        <v>#REF!</v>
      </c>
    </row>
    <row r="62" spans="1:6" ht="40.5" hidden="1" customHeight="1">
      <c r="A62" s="614">
        <f>Abs!A65</f>
        <v>7.1</v>
      </c>
      <c r="B62" s="620" t="e">
        <f>Abs!Y65</f>
        <v>#REF!</v>
      </c>
      <c r="C62" s="621" t="str">
        <f>Abs!B65</f>
        <v>Damp Proof Course
in C.M. 1:4, 12 MM thick mixed with Crude oil</v>
      </c>
      <c r="D62" s="617">
        <f>Abs!C65</f>
        <v>0</v>
      </c>
      <c r="E62" s="618" t="str">
        <f>Abs!D65</f>
        <v>Sqm.</v>
      </c>
      <c r="F62" s="617" t="e">
        <f t="shared" si="0"/>
        <v>#REF!</v>
      </c>
    </row>
    <row r="63" spans="1:6" s="496" customFormat="1" ht="38.450000000000003" customHeight="1">
      <c r="A63" s="614">
        <f>Abs!A66</f>
        <v>7.2</v>
      </c>
      <c r="B63" s="620" t="e">
        <f>Abs!Y66</f>
        <v>#REF!</v>
      </c>
      <c r="C63" s="621" t="str">
        <f>Abs!B66</f>
        <v>Supply and fixing of Bituminous filler pad, 20 mm tk. for expansion joint</v>
      </c>
      <c r="D63" s="617">
        <f>Abs!C66</f>
        <v>712</v>
      </c>
      <c r="E63" s="618" t="str">
        <f>Abs!D66</f>
        <v>Sqm.</v>
      </c>
      <c r="F63" s="617" t="e">
        <f t="shared" si="0"/>
        <v>#REF!</v>
      </c>
    </row>
    <row r="64" spans="1:6" s="496" customFormat="1" ht="30" hidden="1">
      <c r="A64" s="614">
        <f>Abs!A67</f>
        <v>7.3</v>
      </c>
      <c r="B64" s="620">
        <f>Abs!Y67</f>
        <v>0</v>
      </c>
      <c r="C64" s="621" t="str">
        <f>Abs!B67</f>
        <v>Damp Proof Course in C.M. 1:4, 12 MM thick mixed with Water proofing compound</v>
      </c>
      <c r="D64" s="617">
        <f>Abs!C67</f>
        <v>276.70999999999998</v>
      </c>
      <c r="E64" s="618" t="str">
        <f>Abs!D67</f>
        <v>Sqm.</v>
      </c>
      <c r="F64" s="617">
        <f t="shared" si="0"/>
        <v>0</v>
      </c>
    </row>
    <row r="65" spans="1:6" s="496" customFormat="1" ht="17.25" hidden="1">
      <c r="A65" s="614">
        <f>Abs!A68</f>
        <v>8.1</v>
      </c>
      <c r="B65" s="620">
        <f>Abs!Y68</f>
        <v>0</v>
      </c>
      <c r="C65" s="621" t="str">
        <f>Abs!B68</f>
        <v>R.C.C.1:2:4</v>
      </c>
      <c r="D65" s="617">
        <f>Abs!C68</f>
        <v>0</v>
      </c>
      <c r="E65" s="618">
        <f>Abs!D68</f>
        <v>0</v>
      </c>
      <c r="F65" s="617">
        <f t="shared" si="0"/>
        <v>0</v>
      </c>
    </row>
    <row r="66" spans="1:6" s="496" customFormat="1" ht="17.25" hidden="1">
      <c r="A66" s="614">
        <f>Abs!A69</f>
        <v>0</v>
      </c>
      <c r="B66" s="620">
        <f>Abs!Y69</f>
        <v>0</v>
      </c>
      <c r="C66" s="621" t="str">
        <f>Abs!B69</f>
        <v>a. In Ground floor</v>
      </c>
      <c r="D66" s="617">
        <f>Abs!C69</f>
        <v>7407.16</v>
      </c>
      <c r="E66" s="618" t="str">
        <f>Abs!D69</f>
        <v>Cum.</v>
      </c>
      <c r="F66" s="617">
        <f t="shared" si="0"/>
        <v>0</v>
      </c>
    </row>
    <row r="67" spans="1:6" ht="15.75" hidden="1">
      <c r="A67" s="614">
        <f>Abs!A70</f>
        <v>0</v>
      </c>
      <c r="B67" s="620">
        <f>Abs!Y70</f>
        <v>0</v>
      </c>
      <c r="C67" s="621" t="str">
        <f>Abs!B70</f>
        <v>b. In First floor</v>
      </c>
      <c r="D67" s="617">
        <f>Abs!C70</f>
        <v>7620.84</v>
      </c>
      <c r="E67" s="618" t="str">
        <f>Abs!D70</f>
        <v>Cum.</v>
      </c>
      <c r="F67" s="617">
        <f t="shared" si="0"/>
        <v>0</v>
      </c>
    </row>
    <row r="68" spans="1:6" s="496" customFormat="1" ht="17.25" hidden="1">
      <c r="A68" s="614">
        <f>Abs!A71</f>
        <v>0</v>
      </c>
      <c r="B68" s="620">
        <f>Abs!Y71</f>
        <v>0</v>
      </c>
      <c r="C68" s="621" t="str">
        <f>Abs!B71</f>
        <v>c. In Second floor</v>
      </c>
      <c r="D68" s="617">
        <f>Abs!C71</f>
        <v>7834.52</v>
      </c>
      <c r="E68" s="618" t="str">
        <f>Abs!D71</f>
        <v>Cum.</v>
      </c>
      <c r="F68" s="617">
        <f t="shared" si="0"/>
        <v>0</v>
      </c>
    </row>
    <row r="69" spans="1:6" s="496" customFormat="1" ht="17.25" hidden="1">
      <c r="A69" s="614">
        <f>Abs!A72</f>
        <v>0</v>
      </c>
      <c r="B69" s="620">
        <f>Abs!Y72</f>
        <v>0</v>
      </c>
      <c r="C69" s="621" t="str">
        <f>Abs!B72</f>
        <v>d. In Third floor</v>
      </c>
      <c r="D69" s="617">
        <f>Abs!C72</f>
        <v>8048.2</v>
      </c>
      <c r="E69" s="618" t="str">
        <f>Abs!D72</f>
        <v>Cum.</v>
      </c>
      <c r="F69" s="617">
        <f t="shared" si="0"/>
        <v>0</v>
      </c>
    </row>
    <row r="70" spans="1:6" s="496" customFormat="1" ht="17.25" hidden="1">
      <c r="A70" s="614">
        <f>Abs!A73</f>
        <v>0</v>
      </c>
      <c r="B70" s="620">
        <f>Abs!Y73</f>
        <v>0</v>
      </c>
      <c r="C70" s="621" t="str">
        <f>Abs!B73</f>
        <v>e.  In Fourth floor</v>
      </c>
      <c r="D70" s="617">
        <f>Abs!C73</f>
        <v>8261.8799999999992</v>
      </c>
      <c r="E70" s="618" t="str">
        <f>Abs!D73</f>
        <v>Cum.</v>
      </c>
      <c r="F70" s="617">
        <f t="shared" si="0"/>
        <v>0</v>
      </c>
    </row>
    <row r="71" spans="1:6" s="496" customFormat="1" ht="17.25" hidden="1">
      <c r="A71" s="614">
        <f>Abs!A74</f>
        <v>8.1999999999999993</v>
      </c>
      <c r="B71" s="620">
        <f>Abs!Y74</f>
        <v>0</v>
      </c>
      <c r="C71" s="621" t="str">
        <f>Abs!B74</f>
        <v>R.C.C.1: 1 1/2 :3</v>
      </c>
      <c r="D71" s="617">
        <f>Abs!C74</f>
        <v>0</v>
      </c>
      <c r="E71" s="618">
        <f>Abs!D74</f>
        <v>0</v>
      </c>
      <c r="F71" s="617">
        <f t="shared" si="0"/>
        <v>0</v>
      </c>
    </row>
    <row r="72" spans="1:6" s="496" customFormat="1" ht="17.25" hidden="1">
      <c r="A72" s="614">
        <f>Abs!A75</f>
        <v>0</v>
      </c>
      <c r="B72" s="620">
        <f>Abs!Y75</f>
        <v>0</v>
      </c>
      <c r="C72" s="621" t="str">
        <f>Abs!B75</f>
        <v>a. In Ground floor</v>
      </c>
      <c r="D72" s="617">
        <f>Abs!C75</f>
        <v>8049.05</v>
      </c>
      <c r="E72" s="618" t="str">
        <f>Abs!D75</f>
        <v>Cum.</v>
      </c>
      <c r="F72" s="617">
        <f t="shared" ref="F72:F135" si="1">D72*B72</f>
        <v>0</v>
      </c>
    </row>
    <row r="73" spans="1:6" s="496" customFormat="1" ht="17.25" hidden="1">
      <c r="A73" s="614">
        <f>Abs!A76</f>
        <v>0</v>
      </c>
      <c r="B73" s="620">
        <f>Abs!Y76</f>
        <v>0</v>
      </c>
      <c r="C73" s="621" t="str">
        <f>Abs!B76</f>
        <v>b. In First floor</v>
      </c>
      <c r="D73" s="617">
        <f>Abs!C76</f>
        <v>8262.73</v>
      </c>
      <c r="E73" s="618" t="str">
        <f>Abs!D76</f>
        <v>Cum.</v>
      </c>
      <c r="F73" s="617">
        <f t="shared" si="1"/>
        <v>0</v>
      </c>
    </row>
    <row r="74" spans="1:6" s="496" customFormat="1" ht="17.25" hidden="1">
      <c r="A74" s="614">
        <f>Abs!A77</f>
        <v>0</v>
      </c>
      <c r="B74" s="620">
        <f>Abs!Y77</f>
        <v>0</v>
      </c>
      <c r="C74" s="621" t="str">
        <f>Abs!B77</f>
        <v>c. In Second floor</v>
      </c>
      <c r="D74" s="617">
        <f>Abs!C77</f>
        <v>8476.41</v>
      </c>
      <c r="E74" s="618" t="str">
        <f>Abs!D77</f>
        <v>Cum.</v>
      </c>
      <c r="F74" s="617">
        <f t="shared" si="1"/>
        <v>0</v>
      </c>
    </row>
    <row r="75" spans="1:6" s="496" customFormat="1" ht="17.25" hidden="1">
      <c r="A75" s="614">
        <f>Abs!A78</f>
        <v>0</v>
      </c>
      <c r="B75" s="620">
        <f>Abs!Y78</f>
        <v>0</v>
      </c>
      <c r="C75" s="621" t="str">
        <f>Abs!B78</f>
        <v>d. In Third floor</v>
      </c>
      <c r="D75" s="617">
        <f>Abs!C78</f>
        <v>8690.09</v>
      </c>
      <c r="E75" s="618" t="str">
        <f>Abs!D78</f>
        <v>Cum.</v>
      </c>
      <c r="F75" s="617">
        <f t="shared" si="1"/>
        <v>0</v>
      </c>
    </row>
    <row r="76" spans="1:6" s="496" customFormat="1" ht="17.25" hidden="1">
      <c r="A76" s="614">
        <f>Abs!A79</f>
        <v>0</v>
      </c>
      <c r="B76" s="620">
        <f>Abs!Y79</f>
        <v>0</v>
      </c>
      <c r="C76" s="621" t="str">
        <f>Abs!B79</f>
        <v>e.  In Fourth floor</v>
      </c>
      <c r="D76" s="617">
        <f>Abs!C79</f>
        <v>8903.77</v>
      </c>
      <c r="E76" s="618" t="str">
        <f>Abs!D79</f>
        <v>Cum.</v>
      </c>
      <c r="F76" s="617">
        <f t="shared" si="1"/>
        <v>0</v>
      </c>
    </row>
    <row r="77" spans="1:6" s="496" customFormat="1" ht="17.25" hidden="1">
      <c r="A77" s="614">
        <f>Abs!A80</f>
        <v>0</v>
      </c>
      <c r="B77" s="620">
        <f>Abs!Y80</f>
        <v>0</v>
      </c>
      <c r="C77" s="621" t="str">
        <f>Abs!B80</f>
        <v>f.  In Fifth floor</v>
      </c>
      <c r="D77" s="617">
        <f>Abs!C80</f>
        <v>9117.4500000000007</v>
      </c>
      <c r="E77" s="618" t="str">
        <f>Abs!D80</f>
        <v>Cum.</v>
      </c>
      <c r="F77" s="617">
        <f t="shared" si="1"/>
        <v>0</v>
      </c>
    </row>
    <row r="78" spans="1:6" s="496" customFormat="1" ht="17.25" hidden="1">
      <c r="A78" s="614">
        <f>Abs!A81</f>
        <v>0</v>
      </c>
      <c r="B78" s="620">
        <f>Abs!Y81</f>
        <v>0</v>
      </c>
      <c r="C78" s="621" t="str">
        <f>Abs!B81</f>
        <v>g.  In sixth floor</v>
      </c>
      <c r="D78" s="617">
        <f>Abs!C81</f>
        <v>9331.1299999999992</v>
      </c>
      <c r="E78" s="618" t="str">
        <f>Abs!D81</f>
        <v>Cum.</v>
      </c>
      <c r="F78" s="617">
        <f t="shared" si="1"/>
        <v>0</v>
      </c>
    </row>
    <row r="79" spans="1:6" s="496" customFormat="1" ht="17.25" hidden="1">
      <c r="A79" s="614">
        <f>Abs!A82</f>
        <v>0</v>
      </c>
      <c r="B79" s="620">
        <f>Abs!Y82</f>
        <v>0</v>
      </c>
      <c r="C79" s="621" t="str">
        <f>Abs!B82</f>
        <v>h.  In seventh floor</v>
      </c>
      <c r="D79" s="617">
        <f>Abs!C82</f>
        <v>9544.81</v>
      </c>
      <c r="E79" s="618" t="str">
        <f>Abs!D82</f>
        <v>Cum.</v>
      </c>
      <c r="F79" s="617">
        <f t="shared" si="1"/>
        <v>0</v>
      </c>
    </row>
    <row r="80" spans="1:6" s="496" customFormat="1" ht="17.25" hidden="1">
      <c r="A80" s="614">
        <f>Abs!A83</f>
        <v>0</v>
      </c>
      <c r="B80" s="620">
        <f>Abs!Y83</f>
        <v>0</v>
      </c>
      <c r="C80" s="621" t="str">
        <f>Abs!B83</f>
        <v>i.  In eighth floor</v>
      </c>
      <c r="D80" s="617">
        <f>Abs!C83</f>
        <v>9758.49</v>
      </c>
      <c r="E80" s="618" t="str">
        <f>Abs!D83</f>
        <v>Cum.</v>
      </c>
      <c r="F80" s="617">
        <f t="shared" si="1"/>
        <v>0</v>
      </c>
    </row>
    <row r="81" spans="1:6" s="496" customFormat="1" ht="17.25" hidden="1">
      <c r="A81" s="614">
        <f>Abs!A84</f>
        <v>0</v>
      </c>
      <c r="B81" s="620">
        <f>Abs!Y84</f>
        <v>0</v>
      </c>
      <c r="C81" s="621" t="str">
        <f>Abs!B84</f>
        <v>j.  In Ninth floor</v>
      </c>
      <c r="D81" s="617">
        <f>Abs!C84</f>
        <v>9972.17</v>
      </c>
      <c r="E81" s="618" t="str">
        <f>Abs!D84</f>
        <v>Cum.</v>
      </c>
      <c r="F81" s="617">
        <f t="shared" si="1"/>
        <v>0</v>
      </c>
    </row>
    <row r="82" spans="1:6" s="496" customFormat="1" ht="17.25" hidden="1">
      <c r="A82" s="614">
        <f>Abs!A85</f>
        <v>0</v>
      </c>
      <c r="B82" s="620">
        <f>Abs!Y85</f>
        <v>0</v>
      </c>
      <c r="C82" s="621" t="str">
        <f>Abs!B85</f>
        <v>k.  In Tenth floor</v>
      </c>
      <c r="D82" s="617">
        <f>Abs!C85</f>
        <v>10185.85</v>
      </c>
      <c r="E82" s="618" t="str">
        <f>Abs!D85</f>
        <v>Cum.</v>
      </c>
      <c r="F82" s="617">
        <f t="shared" si="1"/>
        <v>0</v>
      </c>
    </row>
    <row r="83" spans="1:6" s="496" customFormat="1" ht="17.25" hidden="1">
      <c r="A83" s="614">
        <f>Abs!A86</f>
        <v>0</v>
      </c>
      <c r="B83" s="620">
        <f>Abs!Y86</f>
        <v>0</v>
      </c>
      <c r="C83" s="621" t="str">
        <f>Abs!B86</f>
        <v>l.  In Eleventh floor</v>
      </c>
      <c r="D83" s="617">
        <f>Abs!C86</f>
        <v>10399.530000000001</v>
      </c>
      <c r="E83" s="618" t="str">
        <f>Abs!D86</f>
        <v>Cum.</v>
      </c>
      <c r="F83" s="617">
        <f t="shared" si="1"/>
        <v>0</v>
      </c>
    </row>
    <row r="84" spans="1:6" s="496" customFormat="1" ht="17.25" hidden="1">
      <c r="A84" s="614">
        <f>Abs!A87</f>
        <v>0</v>
      </c>
      <c r="B84" s="620">
        <f>Abs!Y87</f>
        <v>0</v>
      </c>
      <c r="C84" s="621" t="str">
        <f>Abs!B87</f>
        <v>m.  In Twelth floor</v>
      </c>
      <c r="D84" s="617">
        <f>Abs!C87</f>
        <v>10613.21</v>
      </c>
      <c r="E84" s="618" t="str">
        <f>Abs!D87</f>
        <v>Cum.</v>
      </c>
      <c r="F84" s="617">
        <f t="shared" si="1"/>
        <v>0</v>
      </c>
    </row>
    <row r="85" spans="1:6" s="496" customFormat="1" ht="30" hidden="1">
      <c r="A85" s="614">
        <f>Abs!A88</f>
        <v>9.1</v>
      </c>
      <c r="B85" s="620">
        <f>Abs!Y88</f>
        <v>0</v>
      </c>
      <c r="C85" s="621" t="str">
        <f>Abs!B88</f>
        <v>Brick work in C.M. 1:6  using Chamber Burnt brick of size 23 x 11.2 x 7 cm (9" x 4 3/8" x 2 3/4")</v>
      </c>
      <c r="D85" s="617">
        <f>Abs!C88</f>
        <v>0</v>
      </c>
      <c r="E85" s="618">
        <f>Abs!D88</f>
        <v>0</v>
      </c>
      <c r="F85" s="617">
        <f t="shared" si="1"/>
        <v>0</v>
      </c>
    </row>
    <row r="86" spans="1:6" s="496" customFormat="1" ht="17.25" hidden="1">
      <c r="A86" s="614">
        <f>Abs!A89</f>
        <v>0</v>
      </c>
      <c r="B86" s="620">
        <f>Abs!Y89</f>
        <v>0</v>
      </c>
      <c r="C86" s="621" t="str">
        <f>Abs!B89</f>
        <v>a. In Ground Floor</v>
      </c>
      <c r="D86" s="617">
        <f>Abs!C89</f>
        <v>6393.75</v>
      </c>
      <c r="E86" s="618" t="str">
        <f>Abs!D89</f>
        <v>Cum.</v>
      </c>
      <c r="F86" s="617">
        <f t="shared" si="1"/>
        <v>0</v>
      </c>
    </row>
    <row r="87" spans="1:6" s="496" customFormat="1" ht="17.25" hidden="1">
      <c r="A87" s="614">
        <f>Abs!A90</f>
        <v>0</v>
      </c>
      <c r="B87" s="620">
        <f>Abs!Y90</f>
        <v>0</v>
      </c>
      <c r="C87" s="621" t="str">
        <f>Abs!B90</f>
        <v>b. In First Floor</v>
      </c>
      <c r="D87" s="617">
        <f>Abs!C90</f>
        <v>6537.81</v>
      </c>
      <c r="E87" s="618" t="str">
        <f>Abs!D90</f>
        <v>Cum.</v>
      </c>
      <c r="F87" s="617">
        <f t="shared" si="1"/>
        <v>0</v>
      </c>
    </row>
    <row r="88" spans="1:6" s="496" customFormat="1" ht="17.25" hidden="1">
      <c r="A88" s="614">
        <f>Abs!A91</f>
        <v>0</v>
      </c>
      <c r="B88" s="620">
        <f>Abs!Y91</f>
        <v>0</v>
      </c>
      <c r="C88" s="621" t="str">
        <f>Abs!B91</f>
        <v>c. In Second Floor</v>
      </c>
      <c r="D88" s="617">
        <f>Abs!C91</f>
        <v>6681.87</v>
      </c>
      <c r="E88" s="618" t="str">
        <f>Abs!D91</f>
        <v>Cum.</v>
      </c>
      <c r="F88" s="617">
        <f t="shared" si="1"/>
        <v>0</v>
      </c>
    </row>
    <row r="89" spans="1:6" s="496" customFormat="1" ht="17.25" hidden="1">
      <c r="A89" s="614">
        <f>Abs!A92</f>
        <v>0</v>
      </c>
      <c r="B89" s="620">
        <f>Abs!Y92</f>
        <v>0</v>
      </c>
      <c r="C89" s="621" t="str">
        <f>Abs!B92</f>
        <v>d. In Third Floor</v>
      </c>
      <c r="D89" s="617">
        <f>Abs!C92</f>
        <v>6825.93</v>
      </c>
      <c r="E89" s="618" t="str">
        <f>Abs!D92</f>
        <v>Cum.</v>
      </c>
      <c r="F89" s="617">
        <f t="shared" si="1"/>
        <v>0</v>
      </c>
    </row>
    <row r="90" spans="1:6" s="496" customFormat="1" ht="17.25" hidden="1">
      <c r="A90" s="614">
        <f>Abs!A93</f>
        <v>0</v>
      </c>
      <c r="B90" s="620">
        <f>Abs!Y93</f>
        <v>0</v>
      </c>
      <c r="C90" s="621" t="str">
        <f>Abs!B93</f>
        <v>e. In Fourth Floor</v>
      </c>
      <c r="D90" s="617">
        <f>Abs!C93</f>
        <v>6969.99</v>
      </c>
      <c r="E90" s="618" t="str">
        <f>Abs!D93</f>
        <v>Cum.</v>
      </c>
      <c r="F90" s="617">
        <f t="shared" si="1"/>
        <v>0</v>
      </c>
    </row>
    <row r="91" spans="1:6" s="496" customFormat="1" ht="55.9" customHeight="1">
      <c r="A91" s="614">
        <f>Abs!A94</f>
        <v>9.1999999999999993</v>
      </c>
      <c r="B91" s="615" t="e">
        <f>Abs!Y94</f>
        <v>#REF!</v>
      </c>
      <c r="C91" s="616" t="str">
        <f>Abs!B94</f>
        <v>Brick work in C.M. 1:6 using chamber Burnt bricks of size 23 x 11.4 x 7.5 cm (9" x 4 1/2"x 3")</v>
      </c>
      <c r="D91" s="617">
        <f>Abs!C94</f>
        <v>0</v>
      </c>
      <c r="E91" s="618">
        <f>Abs!D94</f>
        <v>0</v>
      </c>
      <c r="F91" s="617"/>
    </row>
    <row r="92" spans="1:6" s="496" customFormat="1" ht="33" customHeight="1">
      <c r="A92" s="614">
        <f>Abs!A95</f>
        <v>0</v>
      </c>
      <c r="B92" s="620" t="e">
        <f>Abs!Y95</f>
        <v>#REF!</v>
      </c>
      <c r="C92" s="621" t="str">
        <f>Abs!B95</f>
        <v>a. In Ground Floor/Stilt floor</v>
      </c>
      <c r="D92" s="617">
        <f>Abs!C95</f>
        <v>6087.06</v>
      </c>
      <c r="E92" s="618" t="str">
        <f>Abs!D95</f>
        <v>Cum.</v>
      </c>
      <c r="F92" s="617" t="e">
        <f t="shared" si="1"/>
        <v>#REF!</v>
      </c>
    </row>
    <row r="93" spans="1:6" s="496" customFormat="1" ht="33" customHeight="1">
      <c r="A93" s="614">
        <f>Abs!A96</f>
        <v>0</v>
      </c>
      <c r="B93" s="620" t="e">
        <f>Abs!Y96</f>
        <v>#REF!</v>
      </c>
      <c r="C93" s="621" t="str">
        <f>Abs!B96</f>
        <v>b. In First Floor</v>
      </c>
      <c r="D93" s="617">
        <f>Abs!C96</f>
        <v>6231.12</v>
      </c>
      <c r="E93" s="618" t="str">
        <f>Abs!D96</f>
        <v>Cum.</v>
      </c>
      <c r="F93" s="617" t="e">
        <f t="shared" si="1"/>
        <v>#REF!</v>
      </c>
    </row>
    <row r="94" spans="1:6" s="496" customFormat="1" ht="33" customHeight="1">
      <c r="A94" s="614">
        <f>Abs!A97</f>
        <v>0</v>
      </c>
      <c r="B94" s="620" t="e">
        <f>Abs!Y97</f>
        <v>#REF!</v>
      </c>
      <c r="C94" s="621" t="str">
        <f>Abs!B97</f>
        <v>c. In Second Floor</v>
      </c>
      <c r="D94" s="617">
        <f>Abs!C97</f>
        <v>6375.18</v>
      </c>
      <c r="E94" s="618" t="str">
        <f>Abs!D97</f>
        <v>Cum.</v>
      </c>
      <c r="F94" s="617" t="e">
        <f t="shared" si="1"/>
        <v>#REF!</v>
      </c>
    </row>
    <row r="95" spans="1:6" s="496" customFormat="1" ht="33" customHeight="1">
      <c r="A95" s="614">
        <f>Abs!A98</f>
        <v>0</v>
      </c>
      <c r="B95" s="620" t="e">
        <f>Abs!Y98</f>
        <v>#REF!</v>
      </c>
      <c r="C95" s="621" t="str">
        <f>Abs!B98</f>
        <v>d. In Third Floor</v>
      </c>
      <c r="D95" s="617">
        <f>Abs!C98</f>
        <v>6519.24</v>
      </c>
      <c r="E95" s="618" t="str">
        <f>Abs!D98</f>
        <v>Cum.</v>
      </c>
      <c r="F95" s="617" t="e">
        <f t="shared" si="1"/>
        <v>#REF!</v>
      </c>
    </row>
    <row r="96" spans="1:6" s="496" customFormat="1" ht="33" hidden="1" customHeight="1">
      <c r="A96" s="614">
        <f>Abs!A99</f>
        <v>0</v>
      </c>
      <c r="B96" s="620" t="e">
        <f>Abs!Y99</f>
        <v>#REF!</v>
      </c>
      <c r="C96" s="621" t="str">
        <f>Abs!B99</f>
        <v>e. In Fourth Floor</v>
      </c>
      <c r="D96" s="617">
        <f>Abs!C99</f>
        <v>6663.3</v>
      </c>
      <c r="E96" s="618" t="str">
        <f>Abs!D99</f>
        <v>Cum.</v>
      </c>
      <c r="F96" s="617" t="e">
        <f t="shared" si="1"/>
        <v>#REF!</v>
      </c>
    </row>
    <row r="97" spans="1:6" s="496" customFormat="1" ht="17.25" hidden="1">
      <c r="A97" s="614">
        <f>Abs!A100</f>
        <v>0</v>
      </c>
      <c r="B97" s="620" t="e">
        <f>Abs!Y100</f>
        <v>#REF!</v>
      </c>
      <c r="C97" s="621" t="str">
        <f>Abs!B100</f>
        <v>f.  In Fifth floor</v>
      </c>
      <c r="D97" s="617">
        <f>Abs!C100</f>
        <v>6807.36</v>
      </c>
      <c r="E97" s="618" t="str">
        <f>Abs!D100</f>
        <v>Cum.</v>
      </c>
      <c r="F97" s="617" t="e">
        <f t="shared" si="1"/>
        <v>#REF!</v>
      </c>
    </row>
    <row r="98" spans="1:6" s="496" customFormat="1" ht="17.25" hidden="1">
      <c r="A98" s="614">
        <f>Abs!A101</f>
        <v>0</v>
      </c>
      <c r="B98" s="620" t="e">
        <f>Abs!Y101</f>
        <v>#REF!</v>
      </c>
      <c r="C98" s="621" t="str">
        <f>Abs!B101</f>
        <v>g.  In sixth floor</v>
      </c>
      <c r="D98" s="617">
        <f>Abs!C101</f>
        <v>6951.42</v>
      </c>
      <c r="E98" s="618" t="str">
        <f>Abs!D101</f>
        <v>Cum.</v>
      </c>
      <c r="F98" s="617" t="e">
        <f t="shared" si="1"/>
        <v>#REF!</v>
      </c>
    </row>
    <row r="99" spans="1:6" s="496" customFormat="1" ht="17.25" hidden="1">
      <c r="A99" s="614">
        <f>Abs!A102</f>
        <v>0</v>
      </c>
      <c r="B99" s="620" t="e">
        <f>Abs!Y102</f>
        <v>#REF!</v>
      </c>
      <c r="C99" s="621" t="str">
        <f>Abs!B102</f>
        <v>h.  In seventh floor</v>
      </c>
      <c r="D99" s="617">
        <f>Abs!C102</f>
        <v>7095.48</v>
      </c>
      <c r="E99" s="618" t="str">
        <f>Abs!D102</f>
        <v>Cum.</v>
      </c>
      <c r="F99" s="617" t="e">
        <f t="shared" si="1"/>
        <v>#REF!</v>
      </c>
    </row>
    <row r="100" spans="1:6" s="496" customFormat="1" ht="17.25" hidden="1">
      <c r="A100" s="614">
        <f>Abs!A103</f>
        <v>0</v>
      </c>
      <c r="B100" s="620" t="e">
        <f>Abs!Y103</f>
        <v>#REF!</v>
      </c>
      <c r="C100" s="621" t="str">
        <f>Abs!B103</f>
        <v>i.  In eighth floor</v>
      </c>
      <c r="D100" s="617">
        <f>Abs!C103</f>
        <v>7239.54</v>
      </c>
      <c r="E100" s="618" t="str">
        <f>Abs!D103</f>
        <v>Cum.</v>
      </c>
      <c r="F100" s="617" t="e">
        <f t="shared" si="1"/>
        <v>#REF!</v>
      </c>
    </row>
    <row r="101" spans="1:6" s="496" customFormat="1" ht="17.25" hidden="1">
      <c r="A101" s="614">
        <f>Abs!A104</f>
        <v>0</v>
      </c>
      <c r="B101" s="620" t="e">
        <f>Abs!Y104</f>
        <v>#REF!</v>
      </c>
      <c r="C101" s="621" t="str">
        <f>Abs!B104</f>
        <v>j.  In Ninth floor</v>
      </c>
      <c r="D101" s="617">
        <f>Abs!C104</f>
        <v>7383.6</v>
      </c>
      <c r="E101" s="618" t="str">
        <f>Abs!D104</f>
        <v>Cum.</v>
      </c>
      <c r="F101" s="617" t="e">
        <f t="shared" si="1"/>
        <v>#REF!</v>
      </c>
    </row>
    <row r="102" spans="1:6" s="496" customFormat="1" ht="17.25" hidden="1">
      <c r="A102" s="614">
        <f>Abs!A105</f>
        <v>0</v>
      </c>
      <c r="B102" s="620" t="e">
        <f>Abs!Y105</f>
        <v>#REF!</v>
      </c>
      <c r="C102" s="621" t="str">
        <f>Abs!B105</f>
        <v>k.  In Tenth floor</v>
      </c>
      <c r="D102" s="617">
        <f>Abs!C105</f>
        <v>7527.66</v>
      </c>
      <c r="E102" s="618" t="str">
        <f>Abs!D105</f>
        <v>Cum.</v>
      </c>
      <c r="F102" s="617" t="e">
        <f t="shared" si="1"/>
        <v>#REF!</v>
      </c>
    </row>
    <row r="103" spans="1:6" s="496" customFormat="1" ht="17.25" hidden="1">
      <c r="A103" s="614">
        <f>Abs!A106</f>
        <v>0</v>
      </c>
      <c r="B103" s="620" t="e">
        <f>Abs!Y106</f>
        <v>#REF!</v>
      </c>
      <c r="C103" s="621" t="str">
        <f>Abs!B106</f>
        <v>l.  In Eleventh floor</v>
      </c>
      <c r="D103" s="617">
        <f>Abs!C106</f>
        <v>7671.72</v>
      </c>
      <c r="E103" s="618" t="str">
        <f>Abs!D106</f>
        <v>Cum.</v>
      </c>
      <c r="F103" s="617" t="e">
        <f t="shared" si="1"/>
        <v>#REF!</v>
      </c>
    </row>
    <row r="104" spans="1:6" s="496" customFormat="1" ht="17.25" hidden="1">
      <c r="A104" s="614">
        <f>Abs!A107</f>
        <v>0</v>
      </c>
      <c r="B104" s="620" t="e">
        <f>Abs!Y107</f>
        <v>#REF!</v>
      </c>
      <c r="C104" s="621" t="str">
        <f>Abs!B107</f>
        <v>m.  In Twelth floor</v>
      </c>
      <c r="D104" s="617">
        <f>Abs!C107</f>
        <v>7815.78</v>
      </c>
      <c r="E104" s="618" t="str">
        <f>Abs!D107</f>
        <v>Cum.</v>
      </c>
      <c r="F104" s="617" t="e">
        <f t="shared" si="1"/>
        <v>#REF!</v>
      </c>
    </row>
    <row r="105" spans="1:6" s="496" customFormat="1" ht="17.25" hidden="1">
      <c r="A105" s="614">
        <f>Abs!A108</f>
        <v>0</v>
      </c>
      <c r="B105" s="620" t="e">
        <f>Abs!Y108</f>
        <v>#REF!</v>
      </c>
      <c r="C105" s="621" t="str">
        <f>Abs!B108</f>
        <v>n. In thirteen floor</v>
      </c>
      <c r="D105" s="617">
        <f>Abs!C108</f>
        <v>7959.84</v>
      </c>
      <c r="E105" s="618" t="str">
        <f>Abs!D108</f>
        <v>Cum.</v>
      </c>
      <c r="F105" s="617" t="e">
        <f t="shared" si="1"/>
        <v>#REF!</v>
      </c>
    </row>
    <row r="106" spans="1:6" s="496" customFormat="1" ht="30" hidden="1">
      <c r="A106" s="614">
        <f>Abs!A109</f>
        <v>9.3000000000000007</v>
      </c>
      <c r="B106" s="620" t="e">
        <f>Abs!Y109</f>
        <v>#REF!</v>
      </c>
      <c r="C106" s="621" t="str">
        <f>Abs!B109</f>
        <v>Brick work in C.M. 1:6  using Chamber Burnt brick of size 23 x 11 x 7 cm (9" x 4 1/4" x 2 3/4")</v>
      </c>
      <c r="D106" s="617">
        <f>Abs!C109</f>
        <v>0</v>
      </c>
      <c r="E106" s="618">
        <f>Abs!D109</f>
        <v>0</v>
      </c>
      <c r="F106" s="617" t="e">
        <f t="shared" si="1"/>
        <v>#REF!</v>
      </c>
    </row>
    <row r="107" spans="1:6" s="496" customFormat="1" ht="17.25" hidden="1">
      <c r="A107" s="614">
        <f>Abs!A110</f>
        <v>0</v>
      </c>
      <c r="B107" s="620" t="e">
        <f>Abs!Y110</f>
        <v>#REF!</v>
      </c>
      <c r="C107" s="621" t="str">
        <f>Abs!B110</f>
        <v>a. In Ground Floor</v>
      </c>
      <c r="D107" s="617">
        <f>Abs!C110</f>
        <v>0</v>
      </c>
      <c r="E107" s="618" t="str">
        <f>Abs!D110</f>
        <v>Cum.</v>
      </c>
      <c r="F107" s="617" t="e">
        <f t="shared" si="1"/>
        <v>#REF!</v>
      </c>
    </row>
    <row r="108" spans="1:6" s="496" customFormat="1" ht="17.25" hidden="1">
      <c r="A108" s="614">
        <f>Abs!A111</f>
        <v>0</v>
      </c>
      <c r="B108" s="620" t="e">
        <f>Abs!Y111</f>
        <v>#REF!</v>
      </c>
      <c r="C108" s="621" t="str">
        <f>Abs!B111</f>
        <v>b. In First Floor</v>
      </c>
      <c r="D108" s="617">
        <f>Abs!C111</f>
        <v>0</v>
      </c>
      <c r="E108" s="618" t="str">
        <f>Abs!D111</f>
        <v>Cum.</v>
      </c>
      <c r="F108" s="617" t="e">
        <f t="shared" si="1"/>
        <v>#REF!</v>
      </c>
    </row>
    <row r="109" spans="1:6" s="496" customFormat="1" ht="17.25" hidden="1">
      <c r="A109" s="614">
        <f>Abs!A112</f>
        <v>0</v>
      </c>
      <c r="B109" s="620" t="e">
        <f>Abs!Y112</f>
        <v>#REF!</v>
      </c>
      <c r="C109" s="621" t="str">
        <f>Abs!B112</f>
        <v>c. In Second Floor</v>
      </c>
      <c r="D109" s="617">
        <f>Abs!C112</f>
        <v>0</v>
      </c>
      <c r="E109" s="618" t="str">
        <f>Abs!D112</f>
        <v>Cum.</v>
      </c>
      <c r="F109" s="617" t="e">
        <f t="shared" si="1"/>
        <v>#REF!</v>
      </c>
    </row>
    <row r="110" spans="1:6" s="496" customFormat="1" ht="17.25" hidden="1">
      <c r="A110" s="614">
        <f>Abs!A113</f>
        <v>0</v>
      </c>
      <c r="B110" s="620" t="e">
        <f>Abs!Y113</f>
        <v>#REF!</v>
      </c>
      <c r="C110" s="621" t="str">
        <f>Abs!B113</f>
        <v>d. In Third Floor</v>
      </c>
      <c r="D110" s="617">
        <f>Abs!C113</f>
        <v>0</v>
      </c>
      <c r="E110" s="618" t="str">
        <f>Abs!D113</f>
        <v>Cum.</v>
      </c>
      <c r="F110" s="617" t="e">
        <f t="shared" si="1"/>
        <v>#REF!</v>
      </c>
    </row>
    <row r="111" spans="1:6" s="496" customFormat="1" ht="17.25" hidden="1">
      <c r="A111" s="614">
        <f>Abs!A114</f>
        <v>0</v>
      </c>
      <c r="B111" s="620" t="e">
        <f>Abs!Y114</f>
        <v>#REF!</v>
      </c>
      <c r="C111" s="621" t="str">
        <f>Abs!B114</f>
        <v>e. In Fourth Floor</v>
      </c>
      <c r="D111" s="617">
        <f>Abs!C114</f>
        <v>0</v>
      </c>
      <c r="E111" s="618" t="str">
        <f>Abs!D114</f>
        <v>Cum.</v>
      </c>
      <c r="F111" s="617" t="e">
        <f t="shared" si="1"/>
        <v>#REF!</v>
      </c>
    </row>
    <row r="112" spans="1:6" s="496" customFormat="1" ht="30" hidden="1">
      <c r="A112" s="614">
        <f>Abs!A115</f>
        <v>9.4</v>
      </c>
      <c r="B112" s="620" t="e">
        <f>Abs!Y115</f>
        <v>#REF!</v>
      </c>
      <c r="C112" s="621" t="str">
        <f>Abs!B115</f>
        <v>Brick work in C.M. 1:6  using Chamber Burnt brick of size 22 x 11 x 7 cm (8 3/4" x 4 1/4" x 2 3/4")</v>
      </c>
      <c r="D112" s="617">
        <f>Abs!C115</f>
        <v>0</v>
      </c>
      <c r="E112" s="618">
        <f>Abs!D115</f>
        <v>0</v>
      </c>
      <c r="F112" s="617" t="e">
        <f t="shared" si="1"/>
        <v>#REF!</v>
      </c>
    </row>
    <row r="113" spans="1:6" s="496" customFormat="1" ht="17.25" hidden="1">
      <c r="A113" s="614">
        <f>Abs!A116</f>
        <v>0</v>
      </c>
      <c r="B113" s="620" t="e">
        <f>Abs!Y116</f>
        <v>#REF!</v>
      </c>
      <c r="C113" s="621" t="str">
        <f>Abs!B116</f>
        <v>a. In Ground Floor</v>
      </c>
      <c r="D113" s="617">
        <f>Abs!C116</f>
        <v>0</v>
      </c>
      <c r="E113" s="618" t="str">
        <f>Abs!D116</f>
        <v>Cum.</v>
      </c>
      <c r="F113" s="617" t="e">
        <f t="shared" si="1"/>
        <v>#REF!</v>
      </c>
    </row>
    <row r="114" spans="1:6" s="496" customFormat="1" ht="17.25" hidden="1">
      <c r="A114" s="614">
        <f>Abs!A117</f>
        <v>0</v>
      </c>
      <c r="B114" s="620" t="e">
        <f>Abs!Y117</f>
        <v>#REF!</v>
      </c>
      <c r="C114" s="621" t="str">
        <f>Abs!B117</f>
        <v>b. In First Floor</v>
      </c>
      <c r="D114" s="617">
        <f>Abs!C117</f>
        <v>0</v>
      </c>
      <c r="E114" s="618" t="str">
        <f>Abs!D117</f>
        <v>Cum.</v>
      </c>
      <c r="F114" s="617" t="e">
        <f t="shared" si="1"/>
        <v>#REF!</v>
      </c>
    </row>
    <row r="115" spans="1:6" s="496" customFormat="1" ht="17.25" hidden="1">
      <c r="A115" s="614">
        <f>Abs!A118</f>
        <v>0</v>
      </c>
      <c r="B115" s="620" t="e">
        <f>Abs!Y118</f>
        <v>#REF!</v>
      </c>
      <c r="C115" s="621" t="str">
        <f>Abs!B118</f>
        <v>c. In Second Floor</v>
      </c>
      <c r="D115" s="617">
        <f>Abs!C118</f>
        <v>0</v>
      </c>
      <c r="E115" s="618" t="str">
        <f>Abs!D118</f>
        <v>Cum.</v>
      </c>
      <c r="F115" s="617" t="e">
        <f t="shared" si="1"/>
        <v>#REF!</v>
      </c>
    </row>
    <row r="116" spans="1:6" s="496" customFormat="1" ht="17.25" hidden="1">
      <c r="A116" s="614">
        <f>Abs!A119</f>
        <v>0</v>
      </c>
      <c r="B116" s="620" t="e">
        <f>Abs!Y119</f>
        <v>#REF!</v>
      </c>
      <c r="C116" s="621" t="str">
        <f>Abs!B119</f>
        <v>d. In Third Floor</v>
      </c>
      <c r="D116" s="617">
        <f>Abs!C119</f>
        <v>0</v>
      </c>
      <c r="E116" s="618" t="str">
        <f>Abs!D119</f>
        <v>Cum.</v>
      </c>
      <c r="F116" s="617" t="e">
        <f t="shared" si="1"/>
        <v>#REF!</v>
      </c>
    </row>
    <row r="117" spans="1:6" s="496" customFormat="1" ht="17.25" hidden="1">
      <c r="A117" s="614">
        <f>Abs!A120</f>
        <v>0</v>
      </c>
      <c r="B117" s="620" t="e">
        <f>Abs!Y120</f>
        <v>#REF!</v>
      </c>
      <c r="C117" s="621" t="str">
        <f>Abs!B120</f>
        <v>e. In Fourth Floor</v>
      </c>
      <c r="D117" s="617">
        <f>Abs!C120</f>
        <v>0</v>
      </c>
      <c r="E117" s="618" t="str">
        <f>Abs!D120</f>
        <v>Cum.</v>
      </c>
      <c r="F117" s="617" t="e">
        <f t="shared" si="1"/>
        <v>#REF!</v>
      </c>
    </row>
    <row r="118" spans="1:6" s="496" customFormat="1" ht="55.5" hidden="1" customHeight="1">
      <c r="A118" s="614">
        <f>Abs!A121</f>
        <v>9.5</v>
      </c>
      <c r="B118" s="620" t="e">
        <f>Abs!Y121</f>
        <v>#REF!</v>
      </c>
      <c r="C118" s="621" t="str">
        <f>Abs!B121</f>
        <v>Brick work in C.M. 1:6  using Kiln Burnt Country bricks of size 22 x 11 x 7 cm ( 8 3/4" x 4 1/4" x 2 3/4")</v>
      </c>
      <c r="D118" s="617">
        <f>Abs!C121</f>
        <v>0</v>
      </c>
      <c r="E118" s="618">
        <f>Abs!D121</f>
        <v>0</v>
      </c>
      <c r="F118" s="617" t="e">
        <f t="shared" si="1"/>
        <v>#REF!</v>
      </c>
    </row>
    <row r="119" spans="1:6" s="496" customFormat="1" ht="26.1" hidden="1" customHeight="1">
      <c r="A119" s="614">
        <f>Abs!A122</f>
        <v>0</v>
      </c>
      <c r="B119" s="620" t="e">
        <f>Abs!Y122</f>
        <v>#REF!</v>
      </c>
      <c r="C119" s="621" t="str">
        <f>Abs!B122</f>
        <v>a. In Ground Floor</v>
      </c>
      <c r="D119" s="617">
        <f>Abs!C122</f>
        <v>6142.07</v>
      </c>
      <c r="E119" s="618" t="str">
        <f>Abs!D122</f>
        <v>Cum.</v>
      </c>
      <c r="F119" s="617" t="e">
        <f t="shared" si="1"/>
        <v>#REF!</v>
      </c>
    </row>
    <row r="120" spans="1:6" s="496" customFormat="1" ht="26.1" hidden="1" customHeight="1">
      <c r="A120" s="614">
        <f>Abs!A123</f>
        <v>0</v>
      </c>
      <c r="B120" s="620" t="e">
        <f>Abs!Y123</f>
        <v>#REF!</v>
      </c>
      <c r="C120" s="621" t="str">
        <f>Abs!B123</f>
        <v>b. In First Floor</v>
      </c>
      <c r="D120" s="617">
        <f>Abs!C123</f>
        <v>6279.27</v>
      </c>
      <c r="E120" s="618" t="str">
        <f>Abs!D123</f>
        <v>Cum.</v>
      </c>
      <c r="F120" s="617" t="e">
        <f t="shared" si="1"/>
        <v>#REF!</v>
      </c>
    </row>
    <row r="121" spans="1:6" s="496" customFormat="1" ht="26.1" hidden="1" customHeight="1">
      <c r="A121" s="614">
        <f>Abs!A124</f>
        <v>0</v>
      </c>
      <c r="B121" s="620" t="e">
        <f>Abs!Y124</f>
        <v>#REF!</v>
      </c>
      <c r="C121" s="621" t="str">
        <f>Abs!B124</f>
        <v>c. In Second Floor</v>
      </c>
      <c r="D121" s="617">
        <f>Abs!C124</f>
        <v>6416.47</v>
      </c>
      <c r="E121" s="618" t="str">
        <f>Abs!D124</f>
        <v>Cum.</v>
      </c>
      <c r="F121" s="617" t="e">
        <f t="shared" si="1"/>
        <v>#REF!</v>
      </c>
    </row>
    <row r="122" spans="1:6" s="496" customFormat="1" ht="26.1" hidden="1" customHeight="1">
      <c r="A122" s="614">
        <f>Abs!A125</f>
        <v>0</v>
      </c>
      <c r="B122" s="620" t="e">
        <f>Abs!Y125</f>
        <v>#REF!</v>
      </c>
      <c r="C122" s="621" t="str">
        <f>Abs!B125</f>
        <v>d. In Third Floor</v>
      </c>
      <c r="D122" s="617">
        <f>Abs!C125</f>
        <v>6577.65</v>
      </c>
      <c r="E122" s="618" t="str">
        <f>Abs!D125</f>
        <v>Cum.</v>
      </c>
      <c r="F122" s="617" t="e">
        <f t="shared" si="1"/>
        <v>#REF!</v>
      </c>
    </row>
    <row r="123" spans="1:6" s="496" customFormat="1" ht="22.5" hidden="1" customHeight="1">
      <c r="A123" s="614">
        <f>Abs!A126</f>
        <v>0</v>
      </c>
      <c r="B123" s="620" t="e">
        <f>Abs!Y126</f>
        <v>#REF!</v>
      </c>
      <c r="C123" s="621" t="str">
        <f>Abs!B126</f>
        <v>e. In Fourth Floor</v>
      </c>
      <c r="D123" s="617">
        <f>Abs!C126</f>
        <v>6721.71</v>
      </c>
      <c r="E123" s="618" t="str">
        <f>Abs!D126</f>
        <v>Cum.</v>
      </c>
      <c r="F123" s="617" t="e">
        <f t="shared" si="1"/>
        <v>#REF!</v>
      </c>
    </row>
    <row r="124" spans="1:6" s="496" customFormat="1" ht="24" hidden="1" customHeight="1">
      <c r="A124" s="614">
        <f>Abs!A127</f>
        <v>9.6</v>
      </c>
      <c r="B124" s="620" t="e">
        <f>Abs!Y127</f>
        <v>#REF!</v>
      </c>
      <c r="C124" s="621" t="str">
        <f>Abs!B127</f>
        <v>Brick work in C.M. 1:6  using Kiln Burnt Country bricks of size 22 x 11 x 5.7 cm (8 3/4" x 4 1/4" x 2 1/4")</v>
      </c>
      <c r="D124" s="617">
        <f>Abs!C127</f>
        <v>0</v>
      </c>
      <c r="E124" s="618">
        <f>Abs!D127</f>
        <v>0</v>
      </c>
      <c r="F124" s="617" t="e">
        <f t="shared" si="1"/>
        <v>#REF!</v>
      </c>
    </row>
    <row r="125" spans="1:6" ht="24" hidden="1" customHeight="1">
      <c r="A125" s="614">
        <f>Abs!A128</f>
        <v>0</v>
      </c>
      <c r="B125" s="620" t="e">
        <f>Abs!Y128</f>
        <v>#REF!</v>
      </c>
      <c r="C125" s="621" t="str">
        <f>Abs!B128</f>
        <v>a. In Ground Floor</v>
      </c>
      <c r="D125" s="617">
        <f>Abs!C128</f>
        <v>0</v>
      </c>
      <c r="E125" s="618" t="str">
        <f>Abs!D128</f>
        <v>Cum.</v>
      </c>
      <c r="F125" s="617" t="e">
        <f t="shared" si="1"/>
        <v>#REF!</v>
      </c>
    </row>
    <row r="126" spans="1:6" ht="15.75" hidden="1">
      <c r="A126" s="614">
        <f>Abs!A129</f>
        <v>0</v>
      </c>
      <c r="B126" s="620" t="e">
        <f>Abs!Y129</f>
        <v>#REF!</v>
      </c>
      <c r="C126" s="621" t="str">
        <f>Abs!B129</f>
        <v>b. In First Floor</v>
      </c>
      <c r="D126" s="617">
        <f>Abs!C129</f>
        <v>0</v>
      </c>
      <c r="E126" s="618" t="str">
        <f>Abs!D129</f>
        <v>Cum.</v>
      </c>
      <c r="F126" s="617" t="e">
        <f t="shared" si="1"/>
        <v>#REF!</v>
      </c>
    </row>
    <row r="127" spans="1:6" ht="15.75" hidden="1">
      <c r="A127" s="614">
        <f>Abs!A130</f>
        <v>0</v>
      </c>
      <c r="B127" s="620" t="e">
        <f>Abs!Y130</f>
        <v>#REF!</v>
      </c>
      <c r="C127" s="621" t="str">
        <f>Abs!B130</f>
        <v>c. In Second Floor</v>
      </c>
      <c r="D127" s="617">
        <f>Abs!C130</f>
        <v>0</v>
      </c>
      <c r="E127" s="618" t="str">
        <f>Abs!D130</f>
        <v>Cum.</v>
      </c>
      <c r="F127" s="617" t="e">
        <f t="shared" si="1"/>
        <v>#REF!</v>
      </c>
    </row>
    <row r="128" spans="1:6" ht="15.75" hidden="1">
      <c r="A128" s="614">
        <f>Abs!A131</f>
        <v>0</v>
      </c>
      <c r="B128" s="620" t="e">
        <f>Abs!Y131</f>
        <v>#REF!</v>
      </c>
      <c r="C128" s="621" t="str">
        <f>Abs!B131</f>
        <v>d. In Third Floor</v>
      </c>
      <c r="D128" s="617">
        <f>Abs!C131</f>
        <v>0</v>
      </c>
      <c r="E128" s="618" t="str">
        <f>Abs!D131</f>
        <v>Cum.</v>
      </c>
      <c r="F128" s="617" t="e">
        <f t="shared" si="1"/>
        <v>#REF!</v>
      </c>
    </row>
    <row r="129" spans="1:6" ht="15.75" hidden="1">
      <c r="A129" s="614">
        <f>Abs!A132</f>
        <v>0</v>
      </c>
      <c r="B129" s="620" t="e">
        <f>Abs!Y132</f>
        <v>#REF!</v>
      </c>
      <c r="C129" s="621" t="str">
        <f>Abs!B132</f>
        <v>e. In Fourth Floor</v>
      </c>
      <c r="D129" s="617">
        <f>Abs!C132</f>
        <v>0</v>
      </c>
      <c r="E129" s="618" t="str">
        <f>Abs!D132</f>
        <v>Cum.</v>
      </c>
      <c r="F129" s="617" t="e">
        <f t="shared" si="1"/>
        <v>#REF!</v>
      </c>
    </row>
    <row r="130" spans="1:6" hidden="1">
      <c r="A130" s="614">
        <f>Abs!A133</f>
        <v>10.1</v>
      </c>
      <c r="B130" s="620" t="e">
        <f>Abs!Y133</f>
        <v>#REF!</v>
      </c>
      <c r="C130" s="621" t="str">
        <f>Abs!B133</f>
        <v>Brick partition work in C.M. 1:4 
Chamber Burnt brick of size 23 x 11.2 x 7 cm (9" x 4 3/8" x 2 3/4")112 mm tk (B.P.)</v>
      </c>
      <c r="D130" s="617">
        <f>Abs!C133</f>
        <v>0</v>
      </c>
      <c r="E130" s="618">
        <f>Abs!D133</f>
        <v>0</v>
      </c>
      <c r="F130" s="617" t="e">
        <f t="shared" si="1"/>
        <v>#REF!</v>
      </c>
    </row>
    <row r="131" spans="1:6" s="496" customFormat="1" ht="17.25" hidden="1">
      <c r="A131" s="614">
        <f>Abs!A134</f>
        <v>0</v>
      </c>
      <c r="B131" s="620" t="e">
        <f>Abs!Y134</f>
        <v>#REF!</v>
      </c>
      <c r="C131" s="621" t="str">
        <f>Abs!B134</f>
        <v>a. In Foundation and basement</v>
      </c>
      <c r="D131" s="617">
        <f>Abs!C134</f>
        <v>778.18</v>
      </c>
      <c r="E131" s="618" t="str">
        <f>Abs!D134</f>
        <v>Sqm.</v>
      </c>
      <c r="F131" s="617" t="e">
        <f t="shared" si="1"/>
        <v>#REF!</v>
      </c>
    </row>
    <row r="132" spans="1:6" s="496" customFormat="1" ht="17.25" hidden="1">
      <c r="A132" s="614">
        <f>Abs!A135</f>
        <v>0</v>
      </c>
      <c r="B132" s="620" t="e">
        <f>Abs!Y135</f>
        <v>#REF!</v>
      </c>
      <c r="C132" s="621" t="str">
        <f>Abs!B135</f>
        <v>b. In Ground Floor</v>
      </c>
      <c r="D132" s="617">
        <f>Abs!C135</f>
        <v>786.18</v>
      </c>
      <c r="E132" s="618" t="str">
        <f>Abs!D135</f>
        <v>Sqm.</v>
      </c>
      <c r="F132" s="617" t="e">
        <f t="shared" si="1"/>
        <v>#REF!</v>
      </c>
    </row>
    <row r="133" spans="1:6" s="496" customFormat="1" ht="17.25" hidden="1">
      <c r="A133" s="614">
        <f>Abs!A136</f>
        <v>0</v>
      </c>
      <c r="B133" s="620" t="e">
        <f>Abs!Y136</f>
        <v>#REF!</v>
      </c>
      <c r="C133" s="621" t="str">
        <f>Abs!B136</f>
        <v>c. In First Floor</v>
      </c>
      <c r="D133" s="617">
        <f>Abs!C136</f>
        <v>802.31</v>
      </c>
      <c r="E133" s="618" t="str">
        <f>Abs!D136</f>
        <v>Sqm.</v>
      </c>
      <c r="F133" s="617" t="e">
        <f t="shared" si="1"/>
        <v>#REF!</v>
      </c>
    </row>
    <row r="134" spans="1:6" s="496" customFormat="1" ht="17.25" hidden="1">
      <c r="A134" s="614">
        <f>Abs!A137</f>
        <v>0</v>
      </c>
      <c r="B134" s="620" t="e">
        <f>Abs!Y137</f>
        <v>#REF!</v>
      </c>
      <c r="C134" s="621" t="str">
        <f>Abs!B137</f>
        <v>d. In Second Floor</v>
      </c>
      <c r="D134" s="617">
        <f>Abs!C137</f>
        <v>818.44</v>
      </c>
      <c r="E134" s="618" t="str">
        <f>Abs!D137</f>
        <v>Sqm.</v>
      </c>
      <c r="F134" s="617" t="e">
        <f t="shared" si="1"/>
        <v>#REF!</v>
      </c>
    </row>
    <row r="135" spans="1:6" s="496" customFormat="1" ht="17.25" hidden="1">
      <c r="A135" s="614">
        <f>Abs!A138</f>
        <v>0</v>
      </c>
      <c r="B135" s="620" t="e">
        <f>Abs!Y138</f>
        <v>#REF!</v>
      </c>
      <c r="C135" s="621" t="str">
        <f>Abs!B138</f>
        <v>e. In Third Floor</v>
      </c>
      <c r="D135" s="617">
        <f>Abs!C138</f>
        <v>834.57</v>
      </c>
      <c r="E135" s="618" t="str">
        <f>Abs!D138</f>
        <v>Sqm.</v>
      </c>
      <c r="F135" s="617" t="e">
        <f t="shared" si="1"/>
        <v>#REF!</v>
      </c>
    </row>
    <row r="136" spans="1:6" s="496" customFormat="1" ht="17.25" hidden="1">
      <c r="A136" s="614">
        <f>Abs!A139</f>
        <v>0</v>
      </c>
      <c r="B136" s="620" t="e">
        <f>Abs!Y139</f>
        <v>#REF!</v>
      </c>
      <c r="C136" s="621" t="str">
        <f>Abs!B139</f>
        <v>f. In Fourth Floor</v>
      </c>
      <c r="D136" s="617">
        <f>Abs!C139</f>
        <v>850.7</v>
      </c>
      <c r="E136" s="618" t="str">
        <f>Abs!D139</f>
        <v>Sqm.</v>
      </c>
      <c r="F136" s="617" t="e">
        <f t="shared" ref="F136:F199" si="2">D136*B136</f>
        <v>#REF!</v>
      </c>
    </row>
    <row r="137" spans="1:6" s="496" customFormat="1" ht="58.9" customHeight="1">
      <c r="A137" s="614">
        <f>Abs!A140</f>
        <v>10.199999999999999</v>
      </c>
      <c r="B137" s="615" t="e">
        <f>Abs!Y140</f>
        <v>#REF!</v>
      </c>
      <c r="C137" s="616" t="str">
        <f>Abs!B140</f>
        <v>Brick partition work in C.M. 1:4 using chamber Burnt bricks of size 23 x 11.4 x 7.5 cm (9" x 4 1/2"x 3") 114 mm tk (B.P.)</v>
      </c>
      <c r="D137" s="617">
        <f>Abs!C140</f>
        <v>0</v>
      </c>
      <c r="E137" s="618">
        <f>Abs!D140</f>
        <v>0</v>
      </c>
      <c r="F137" s="617"/>
    </row>
    <row r="138" spans="1:6" s="496" customFormat="1" ht="33" customHeight="1">
      <c r="A138" s="614">
        <f>Abs!A141</f>
        <v>0</v>
      </c>
      <c r="B138" s="620" t="e">
        <f>Abs!Y141</f>
        <v>#REF!</v>
      </c>
      <c r="C138" s="621" t="str">
        <f>Abs!B141</f>
        <v>a. In Foundation and basement</v>
      </c>
      <c r="D138" s="617">
        <f>Abs!C141</f>
        <v>759.2</v>
      </c>
      <c r="E138" s="618" t="str">
        <f>Abs!D141</f>
        <v>Sqm.</v>
      </c>
      <c r="F138" s="617" t="e">
        <f t="shared" si="2"/>
        <v>#REF!</v>
      </c>
    </row>
    <row r="139" spans="1:6" s="496" customFormat="1" ht="33" customHeight="1">
      <c r="A139" s="614">
        <f>Abs!A142</f>
        <v>0</v>
      </c>
      <c r="B139" s="620" t="e">
        <f>Abs!Y142</f>
        <v>#REF!</v>
      </c>
      <c r="C139" s="621" t="str">
        <f>Abs!B142</f>
        <v>b. In Ground Floor/stilt floor</v>
      </c>
      <c r="D139" s="617">
        <f>Abs!C142</f>
        <v>767.34</v>
      </c>
      <c r="E139" s="618" t="str">
        <f>Abs!D142</f>
        <v>Sqm.</v>
      </c>
      <c r="F139" s="617" t="e">
        <f t="shared" si="2"/>
        <v>#REF!</v>
      </c>
    </row>
    <row r="140" spans="1:6" s="496" customFormat="1" ht="33" customHeight="1">
      <c r="A140" s="614">
        <f>Abs!A143</f>
        <v>0</v>
      </c>
      <c r="B140" s="620" t="e">
        <f>Abs!Y143</f>
        <v>#REF!</v>
      </c>
      <c r="C140" s="621" t="str">
        <f>Abs!B143</f>
        <v>c. In First Floor</v>
      </c>
      <c r="D140" s="617">
        <f>Abs!C143</f>
        <v>783.76</v>
      </c>
      <c r="E140" s="618" t="str">
        <f>Abs!D143</f>
        <v>Sqm.</v>
      </c>
      <c r="F140" s="617" t="e">
        <f t="shared" si="2"/>
        <v>#REF!</v>
      </c>
    </row>
    <row r="141" spans="1:6" s="496" customFormat="1" ht="33" customHeight="1">
      <c r="A141" s="614">
        <f>Abs!A144</f>
        <v>0</v>
      </c>
      <c r="B141" s="620" t="e">
        <f>Abs!Y144</f>
        <v>#REF!</v>
      </c>
      <c r="C141" s="621" t="str">
        <f>Abs!B144</f>
        <v>d. In Second Floor</v>
      </c>
      <c r="D141" s="617">
        <f>Abs!C144</f>
        <v>800.18</v>
      </c>
      <c r="E141" s="618" t="str">
        <f>Abs!D144</f>
        <v>Sqm.</v>
      </c>
      <c r="F141" s="617" t="e">
        <f t="shared" si="2"/>
        <v>#REF!</v>
      </c>
    </row>
    <row r="142" spans="1:6" s="496" customFormat="1" ht="33" customHeight="1">
      <c r="A142" s="614">
        <f>Abs!A145</f>
        <v>0</v>
      </c>
      <c r="B142" s="620" t="e">
        <f>Abs!Y145</f>
        <v>#REF!</v>
      </c>
      <c r="C142" s="621" t="str">
        <f>Abs!B145</f>
        <v>e. In Third Floor</v>
      </c>
      <c r="D142" s="617">
        <f>Abs!C145</f>
        <v>816.6</v>
      </c>
      <c r="E142" s="618" t="str">
        <f>Abs!D145</f>
        <v>Sqm.</v>
      </c>
      <c r="F142" s="617" t="e">
        <f t="shared" si="2"/>
        <v>#REF!</v>
      </c>
    </row>
    <row r="143" spans="1:6" s="496" customFormat="1" ht="17.25" hidden="1">
      <c r="A143" s="614">
        <f>Abs!A146</f>
        <v>0</v>
      </c>
      <c r="B143" s="620" t="e">
        <f>Abs!Y146</f>
        <v>#REF!</v>
      </c>
      <c r="C143" s="621" t="str">
        <f>Abs!B146</f>
        <v>f. In Fourth Floor</v>
      </c>
      <c r="D143" s="617">
        <f>Abs!C146</f>
        <v>833.02</v>
      </c>
      <c r="E143" s="618" t="str">
        <f>Abs!D146</f>
        <v>Sqm.</v>
      </c>
      <c r="F143" s="617" t="e">
        <f t="shared" si="2"/>
        <v>#REF!</v>
      </c>
    </row>
    <row r="144" spans="1:6" s="496" customFormat="1" ht="17.25" hidden="1">
      <c r="A144" s="614">
        <f>Abs!A147</f>
        <v>0</v>
      </c>
      <c r="B144" s="620" t="e">
        <f>Abs!Y147</f>
        <v>#REF!</v>
      </c>
      <c r="C144" s="621" t="str">
        <f>Abs!B147</f>
        <v>f.  In Fifth floor</v>
      </c>
      <c r="D144" s="617">
        <f>Abs!C147</f>
        <v>849.44</v>
      </c>
      <c r="E144" s="618" t="str">
        <f>Abs!D147</f>
        <v>Sqm.</v>
      </c>
      <c r="F144" s="617" t="e">
        <f t="shared" si="2"/>
        <v>#REF!</v>
      </c>
    </row>
    <row r="145" spans="1:6" s="496" customFormat="1" ht="17.25" hidden="1">
      <c r="A145" s="614">
        <f>Abs!A148</f>
        <v>0</v>
      </c>
      <c r="B145" s="620" t="e">
        <f>Abs!Y148</f>
        <v>#REF!</v>
      </c>
      <c r="C145" s="621" t="str">
        <f>Abs!B148</f>
        <v>g.  In sixth floor</v>
      </c>
      <c r="D145" s="617">
        <f>Abs!C148</f>
        <v>865.86</v>
      </c>
      <c r="E145" s="618" t="str">
        <f>Abs!D148</f>
        <v>Sqm.</v>
      </c>
      <c r="F145" s="617" t="e">
        <f t="shared" si="2"/>
        <v>#REF!</v>
      </c>
    </row>
    <row r="146" spans="1:6" s="496" customFormat="1" ht="17.25" hidden="1">
      <c r="A146" s="614">
        <f>Abs!A149</f>
        <v>0</v>
      </c>
      <c r="B146" s="620" t="e">
        <f>Abs!Y149</f>
        <v>#REF!</v>
      </c>
      <c r="C146" s="621" t="str">
        <f>Abs!B149</f>
        <v>h.  In seventh floor</v>
      </c>
      <c r="D146" s="617">
        <f>Abs!C149</f>
        <v>882.28</v>
      </c>
      <c r="E146" s="618" t="str">
        <f>Abs!D149</f>
        <v>Sqm.</v>
      </c>
      <c r="F146" s="617" t="e">
        <f t="shared" si="2"/>
        <v>#REF!</v>
      </c>
    </row>
    <row r="147" spans="1:6" s="496" customFormat="1" ht="17.25" hidden="1">
      <c r="A147" s="614">
        <f>Abs!A150</f>
        <v>0</v>
      </c>
      <c r="B147" s="620" t="e">
        <f>Abs!Y150</f>
        <v>#REF!</v>
      </c>
      <c r="C147" s="621" t="str">
        <f>Abs!B150</f>
        <v>i.  In eighth floor</v>
      </c>
      <c r="D147" s="617">
        <f>Abs!C150</f>
        <v>898.7</v>
      </c>
      <c r="E147" s="618" t="str">
        <f>Abs!D150</f>
        <v>Sqm.</v>
      </c>
      <c r="F147" s="617" t="e">
        <f t="shared" si="2"/>
        <v>#REF!</v>
      </c>
    </row>
    <row r="148" spans="1:6" s="496" customFormat="1" ht="17.25" hidden="1">
      <c r="A148" s="614">
        <f>Abs!A151</f>
        <v>0</v>
      </c>
      <c r="B148" s="620" t="e">
        <f>Abs!Y151</f>
        <v>#REF!</v>
      </c>
      <c r="C148" s="621" t="str">
        <f>Abs!B151</f>
        <v>j.  In Ninth floor</v>
      </c>
      <c r="D148" s="617">
        <f>Abs!C151</f>
        <v>915.12</v>
      </c>
      <c r="E148" s="618" t="str">
        <f>Abs!D151</f>
        <v>Sqm.</v>
      </c>
      <c r="F148" s="617" t="e">
        <f t="shared" si="2"/>
        <v>#REF!</v>
      </c>
    </row>
    <row r="149" spans="1:6" s="496" customFormat="1" ht="17.25" hidden="1">
      <c r="A149" s="614">
        <f>Abs!A152</f>
        <v>0</v>
      </c>
      <c r="B149" s="620" t="e">
        <f>Abs!Y152</f>
        <v>#REF!</v>
      </c>
      <c r="C149" s="621" t="str">
        <f>Abs!B152</f>
        <v>k.  In Tenth floor</v>
      </c>
      <c r="D149" s="617">
        <f>Abs!C152</f>
        <v>931.54</v>
      </c>
      <c r="E149" s="618" t="str">
        <f>Abs!D152</f>
        <v>Sqm.</v>
      </c>
      <c r="F149" s="617" t="e">
        <f t="shared" si="2"/>
        <v>#REF!</v>
      </c>
    </row>
    <row r="150" spans="1:6" s="496" customFormat="1" ht="17.25" hidden="1">
      <c r="A150" s="614">
        <f>Abs!A153</f>
        <v>0</v>
      </c>
      <c r="B150" s="620" t="e">
        <f>Abs!Y153</f>
        <v>#REF!</v>
      </c>
      <c r="C150" s="621" t="str">
        <f>Abs!B153</f>
        <v>l.  In Eleventh floor</v>
      </c>
      <c r="D150" s="617">
        <f>Abs!C153</f>
        <v>947.96</v>
      </c>
      <c r="E150" s="618" t="str">
        <f>Abs!D153</f>
        <v>Sqm.</v>
      </c>
      <c r="F150" s="617" t="e">
        <f t="shared" si="2"/>
        <v>#REF!</v>
      </c>
    </row>
    <row r="151" spans="1:6" s="496" customFormat="1" ht="17.25" hidden="1">
      <c r="A151" s="614">
        <f>Abs!A154</f>
        <v>0</v>
      </c>
      <c r="B151" s="620" t="e">
        <f>Abs!Y154</f>
        <v>#REF!</v>
      </c>
      <c r="C151" s="621" t="str">
        <f>Abs!B154</f>
        <v>m.  In Twelth floor</v>
      </c>
      <c r="D151" s="617">
        <f>Abs!C154</f>
        <v>964.38</v>
      </c>
      <c r="E151" s="618" t="str">
        <f>Abs!D154</f>
        <v>Sqm.</v>
      </c>
      <c r="F151" s="617" t="e">
        <f t="shared" si="2"/>
        <v>#REF!</v>
      </c>
    </row>
    <row r="152" spans="1:6" s="496" customFormat="1" ht="17.25" hidden="1">
      <c r="A152" s="614">
        <f>Abs!A155</f>
        <v>0</v>
      </c>
      <c r="B152" s="620" t="e">
        <f>Abs!Y155</f>
        <v>#REF!</v>
      </c>
      <c r="C152" s="621" t="str">
        <f>Abs!B155</f>
        <v>n. In thirteen floor</v>
      </c>
      <c r="D152" s="617">
        <f>Abs!C155</f>
        <v>980.8</v>
      </c>
      <c r="E152" s="618" t="str">
        <f>Abs!D155</f>
        <v>Sqm.</v>
      </c>
      <c r="F152" s="617" t="e">
        <f t="shared" si="2"/>
        <v>#REF!</v>
      </c>
    </row>
    <row r="153" spans="1:6" s="496" customFormat="1" hidden="1">
      <c r="A153" s="614">
        <f>Abs!A156</f>
        <v>10.3</v>
      </c>
      <c r="B153" s="620" t="e">
        <f>Abs!Y156</f>
        <v>#REF!</v>
      </c>
      <c r="C153" s="621" t="str">
        <f>Abs!B156</f>
        <v>Brick partition work in C.M. 1:4 Chamber Burnt 
brick of size 23 x 11 x 7 cm (9" x 4 1/4" x 2 3/4") 110 mm tk (B.P.)</v>
      </c>
      <c r="D153" s="617">
        <f>Abs!C156</f>
        <v>0</v>
      </c>
      <c r="E153" s="618">
        <f>Abs!D156</f>
        <v>0</v>
      </c>
      <c r="F153" s="617" t="e">
        <f t="shared" si="2"/>
        <v>#REF!</v>
      </c>
    </row>
    <row r="154" spans="1:6" s="496" customFormat="1" ht="17.25" hidden="1">
      <c r="A154" s="614">
        <f>Abs!A157</f>
        <v>0</v>
      </c>
      <c r="B154" s="620" t="e">
        <f>Abs!Y157</f>
        <v>#REF!</v>
      </c>
      <c r="C154" s="621" t="str">
        <f>Abs!B157</f>
        <v>a. In Foundation and basement</v>
      </c>
      <c r="D154" s="617">
        <f>Abs!C157</f>
        <v>0</v>
      </c>
      <c r="E154" s="618" t="str">
        <f>Abs!D157</f>
        <v>Sqm.</v>
      </c>
      <c r="F154" s="617" t="e">
        <f t="shared" si="2"/>
        <v>#REF!</v>
      </c>
    </row>
    <row r="155" spans="1:6" s="496" customFormat="1" ht="17.25" hidden="1">
      <c r="A155" s="614">
        <f>Abs!A158</f>
        <v>0</v>
      </c>
      <c r="B155" s="620" t="e">
        <f>Abs!Y158</f>
        <v>#REF!</v>
      </c>
      <c r="C155" s="621" t="str">
        <f>Abs!B158</f>
        <v>b. In Ground Floor</v>
      </c>
      <c r="D155" s="617">
        <f>Abs!C158</f>
        <v>0</v>
      </c>
      <c r="E155" s="618" t="str">
        <f>Abs!D158</f>
        <v>Sqm.</v>
      </c>
      <c r="F155" s="617" t="e">
        <f t="shared" si="2"/>
        <v>#REF!</v>
      </c>
    </row>
    <row r="156" spans="1:6" s="496" customFormat="1" ht="17.25" hidden="1">
      <c r="A156" s="614">
        <f>Abs!A159</f>
        <v>0</v>
      </c>
      <c r="B156" s="620" t="e">
        <f>Abs!Y159</f>
        <v>#REF!</v>
      </c>
      <c r="C156" s="621" t="str">
        <f>Abs!B159</f>
        <v>c. In First Floor</v>
      </c>
      <c r="D156" s="617">
        <f>Abs!C159</f>
        <v>0</v>
      </c>
      <c r="E156" s="618" t="str">
        <f>Abs!D159</f>
        <v>Sqm.</v>
      </c>
      <c r="F156" s="617" t="e">
        <f t="shared" si="2"/>
        <v>#REF!</v>
      </c>
    </row>
    <row r="157" spans="1:6" s="496" customFormat="1" ht="17.25" hidden="1">
      <c r="A157" s="614">
        <f>Abs!A160</f>
        <v>0</v>
      </c>
      <c r="B157" s="620" t="e">
        <f>Abs!Y160</f>
        <v>#REF!</v>
      </c>
      <c r="C157" s="621" t="str">
        <f>Abs!B160</f>
        <v>d. In Second Floor</v>
      </c>
      <c r="D157" s="617">
        <f>Abs!C160</f>
        <v>0</v>
      </c>
      <c r="E157" s="618" t="str">
        <f>Abs!D160</f>
        <v>Sqm.</v>
      </c>
      <c r="F157" s="617" t="e">
        <f t="shared" si="2"/>
        <v>#REF!</v>
      </c>
    </row>
    <row r="158" spans="1:6" s="496" customFormat="1" ht="17.25" hidden="1">
      <c r="A158" s="614">
        <f>Abs!A161</f>
        <v>0</v>
      </c>
      <c r="B158" s="620" t="e">
        <f>Abs!Y161</f>
        <v>#REF!</v>
      </c>
      <c r="C158" s="621" t="str">
        <f>Abs!B161</f>
        <v>e. In Third Floor</v>
      </c>
      <c r="D158" s="617">
        <f>Abs!C161</f>
        <v>0</v>
      </c>
      <c r="E158" s="618" t="str">
        <f>Abs!D161</f>
        <v>Sqm.</v>
      </c>
      <c r="F158" s="617" t="e">
        <f t="shared" si="2"/>
        <v>#REF!</v>
      </c>
    </row>
    <row r="159" spans="1:6" s="496" customFormat="1" ht="17.25" hidden="1">
      <c r="A159" s="614">
        <f>Abs!A162</f>
        <v>0</v>
      </c>
      <c r="B159" s="620" t="e">
        <f>Abs!Y162</f>
        <v>#REF!</v>
      </c>
      <c r="C159" s="621" t="str">
        <f>Abs!B162</f>
        <v>f. In Fourth Floor</v>
      </c>
      <c r="D159" s="617">
        <f>Abs!C162</f>
        <v>0</v>
      </c>
      <c r="E159" s="618" t="str">
        <f>Abs!D162</f>
        <v>Sqm.</v>
      </c>
      <c r="F159" s="617" t="e">
        <f t="shared" si="2"/>
        <v>#REF!</v>
      </c>
    </row>
    <row r="160" spans="1:6" s="496" customFormat="1" hidden="1">
      <c r="A160" s="614">
        <f>Abs!A163</f>
        <v>10.4</v>
      </c>
      <c r="B160" s="620" t="e">
        <f>Abs!Y163</f>
        <v>#REF!</v>
      </c>
      <c r="C160" s="621" t="str">
        <f>Abs!B163</f>
        <v>Brick partition work in C.M. 1:4 
Chamber Burnt brick of size 22 x 11 x 7 cm (8 3/4" x 4 1/4" x 2 3/4") 110 mm tk (B.P.)</v>
      </c>
      <c r="D160" s="617">
        <f>Abs!C163</f>
        <v>0</v>
      </c>
      <c r="E160" s="618">
        <f>Abs!D163</f>
        <v>0</v>
      </c>
      <c r="F160" s="617" t="e">
        <f t="shared" si="2"/>
        <v>#REF!</v>
      </c>
    </row>
    <row r="161" spans="1:6" s="496" customFormat="1" ht="17.25" hidden="1">
      <c r="A161" s="614">
        <f>Abs!A164</f>
        <v>0</v>
      </c>
      <c r="B161" s="620" t="e">
        <f>Abs!Y164</f>
        <v>#REF!</v>
      </c>
      <c r="C161" s="621" t="str">
        <f>Abs!B164</f>
        <v>a. In Foundation and basement</v>
      </c>
      <c r="D161" s="617">
        <f>Abs!C164</f>
        <v>0</v>
      </c>
      <c r="E161" s="618" t="str">
        <f>Abs!D164</f>
        <v>Sqm.</v>
      </c>
      <c r="F161" s="617" t="e">
        <f t="shared" si="2"/>
        <v>#REF!</v>
      </c>
    </row>
    <row r="162" spans="1:6" s="496" customFormat="1" ht="17.25" hidden="1">
      <c r="A162" s="614">
        <f>Abs!A165</f>
        <v>0</v>
      </c>
      <c r="B162" s="620" t="e">
        <f>Abs!Y165</f>
        <v>#REF!</v>
      </c>
      <c r="C162" s="621" t="str">
        <f>Abs!B165</f>
        <v>b. In Ground Floor</v>
      </c>
      <c r="D162" s="617">
        <f>Abs!C165</f>
        <v>0</v>
      </c>
      <c r="E162" s="618" t="str">
        <f>Abs!D165</f>
        <v>Sqm.</v>
      </c>
      <c r="F162" s="617" t="e">
        <f t="shared" si="2"/>
        <v>#REF!</v>
      </c>
    </row>
    <row r="163" spans="1:6" s="496" customFormat="1" ht="17.25" hidden="1">
      <c r="A163" s="614">
        <f>Abs!A166</f>
        <v>0</v>
      </c>
      <c r="B163" s="620" t="e">
        <f>Abs!Y166</f>
        <v>#REF!</v>
      </c>
      <c r="C163" s="621" t="str">
        <f>Abs!B166</f>
        <v>c. In First Floor</v>
      </c>
      <c r="D163" s="617">
        <f>Abs!C166</f>
        <v>0</v>
      </c>
      <c r="E163" s="618" t="str">
        <f>Abs!D166</f>
        <v>Sqm.</v>
      </c>
      <c r="F163" s="617" t="e">
        <f t="shared" si="2"/>
        <v>#REF!</v>
      </c>
    </row>
    <row r="164" spans="1:6" s="496" customFormat="1" ht="17.25" hidden="1">
      <c r="A164" s="614">
        <f>Abs!A167</f>
        <v>0</v>
      </c>
      <c r="B164" s="620" t="e">
        <f>Abs!Y167</f>
        <v>#REF!</v>
      </c>
      <c r="C164" s="621" t="str">
        <f>Abs!B167</f>
        <v>d. In Second Floor</v>
      </c>
      <c r="D164" s="617">
        <f>Abs!C167</f>
        <v>0</v>
      </c>
      <c r="E164" s="618" t="str">
        <f>Abs!D167</f>
        <v>Sqm.</v>
      </c>
      <c r="F164" s="617" t="e">
        <f t="shared" si="2"/>
        <v>#REF!</v>
      </c>
    </row>
    <row r="165" spans="1:6" s="496" customFormat="1" ht="17.25" hidden="1">
      <c r="A165" s="614">
        <f>Abs!A168</f>
        <v>0</v>
      </c>
      <c r="B165" s="620" t="e">
        <f>Abs!Y168</f>
        <v>#REF!</v>
      </c>
      <c r="C165" s="621" t="str">
        <f>Abs!B168</f>
        <v>e. In Third Floor</v>
      </c>
      <c r="D165" s="617">
        <f>Abs!C168</f>
        <v>0</v>
      </c>
      <c r="E165" s="618" t="str">
        <f>Abs!D168</f>
        <v>Sqm.</v>
      </c>
      <c r="F165" s="617" t="e">
        <f t="shared" si="2"/>
        <v>#REF!</v>
      </c>
    </row>
    <row r="166" spans="1:6" s="496" customFormat="1" ht="17.25" hidden="1">
      <c r="A166" s="614">
        <f>Abs!A169</f>
        <v>0</v>
      </c>
      <c r="B166" s="620" t="e">
        <f>Abs!Y169</f>
        <v>#REF!</v>
      </c>
      <c r="C166" s="621" t="str">
        <f>Abs!B169</f>
        <v>f. In Fourth Floor</v>
      </c>
      <c r="D166" s="617">
        <f>Abs!C169</f>
        <v>0</v>
      </c>
      <c r="E166" s="618" t="str">
        <f>Abs!D169</f>
        <v>Sqm.</v>
      </c>
      <c r="F166" s="617" t="e">
        <f t="shared" si="2"/>
        <v>#REF!</v>
      </c>
    </row>
    <row r="167" spans="1:6" s="496" customFormat="1" ht="51.75" hidden="1" customHeight="1">
      <c r="A167" s="614">
        <f>Abs!A170</f>
        <v>10.5</v>
      </c>
      <c r="B167" s="620" t="e">
        <f>Abs!Y170</f>
        <v>#REF!</v>
      </c>
      <c r="C167" s="621" t="str">
        <f>Abs!B170</f>
        <v>Brick partition work in C.M. 1:4 Kiln Burnt Country bricks of size 22 x 11 x 7 cm (8 3/4" x 4 1/4" x 2 3/4") 110 mm tk (B.P.)</v>
      </c>
      <c r="D167" s="617">
        <f>Abs!C170</f>
        <v>0</v>
      </c>
      <c r="E167" s="618">
        <f>Abs!D170</f>
        <v>0</v>
      </c>
      <c r="F167" s="617" t="e">
        <f t="shared" si="2"/>
        <v>#REF!</v>
      </c>
    </row>
    <row r="168" spans="1:6" s="496" customFormat="1" ht="30" hidden="1" customHeight="1">
      <c r="A168" s="614">
        <f>Abs!A171</f>
        <v>0</v>
      </c>
      <c r="B168" s="620" t="e">
        <f>Abs!Y171</f>
        <v>#REF!</v>
      </c>
      <c r="C168" s="621" t="str">
        <f>Abs!B171</f>
        <v>a. In Foundation and basement</v>
      </c>
      <c r="D168" s="617">
        <f>Abs!C171</f>
        <v>738.51</v>
      </c>
      <c r="E168" s="618" t="str">
        <f>Abs!D171</f>
        <v>Sqm.</v>
      </c>
      <c r="F168" s="617" t="e">
        <f t="shared" si="2"/>
        <v>#REF!</v>
      </c>
    </row>
    <row r="169" spans="1:6" s="496" customFormat="1" ht="30" hidden="1" customHeight="1">
      <c r="A169" s="614">
        <f>Abs!A172</f>
        <v>0</v>
      </c>
      <c r="B169" s="620" t="e">
        <f>Abs!Y172</f>
        <v>#REF!</v>
      </c>
      <c r="C169" s="621" t="str">
        <f>Abs!B172</f>
        <v>b. In Ground Floor</v>
      </c>
      <c r="D169" s="617">
        <f>Abs!C172</f>
        <v>745.99</v>
      </c>
      <c r="E169" s="618" t="str">
        <f>Abs!D172</f>
        <v>Sqm.</v>
      </c>
      <c r="F169" s="617" t="e">
        <f t="shared" si="2"/>
        <v>#REF!</v>
      </c>
    </row>
    <row r="170" spans="1:6" s="496" customFormat="1" ht="30" hidden="1" customHeight="1">
      <c r="A170" s="614">
        <f>Abs!A173</f>
        <v>0</v>
      </c>
      <c r="B170" s="620" t="e">
        <f>Abs!Y173</f>
        <v>#REF!</v>
      </c>
      <c r="C170" s="621" t="str">
        <f>Abs!B173</f>
        <v>c. In First Floor</v>
      </c>
      <c r="D170" s="617">
        <f>Abs!C173</f>
        <v>761.08</v>
      </c>
      <c r="E170" s="618" t="str">
        <f>Abs!D173</f>
        <v>Sqm.</v>
      </c>
      <c r="F170" s="617" t="e">
        <f t="shared" si="2"/>
        <v>#REF!</v>
      </c>
    </row>
    <row r="171" spans="1:6" s="496" customFormat="1" ht="30" hidden="1" customHeight="1">
      <c r="A171" s="614">
        <f>Abs!A174</f>
        <v>0</v>
      </c>
      <c r="B171" s="620" t="e">
        <f>Abs!Y174</f>
        <v>#REF!</v>
      </c>
      <c r="C171" s="621" t="str">
        <f>Abs!B174</f>
        <v>d. In Second Floor</v>
      </c>
      <c r="D171" s="617">
        <f>Abs!C174</f>
        <v>776.17</v>
      </c>
      <c r="E171" s="618" t="str">
        <f>Abs!D174</f>
        <v>Sqm.</v>
      </c>
      <c r="F171" s="617" t="e">
        <f t="shared" si="2"/>
        <v>#REF!</v>
      </c>
    </row>
    <row r="172" spans="1:6" s="496" customFormat="1" ht="23.25" hidden="1" customHeight="1">
      <c r="A172" s="614">
        <f>Abs!A175</f>
        <v>0</v>
      </c>
      <c r="B172" s="620" t="e">
        <f>Abs!Y175</f>
        <v>#REF!</v>
      </c>
      <c r="C172" s="621" t="str">
        <f>Abs!B175</f>
        <v>e. In Third Floor</v>
      </c>
      <c r="D172" s="617">
        <f>Abs!C175</f>
        <v>791.26</v>
      </c>
      <c r="E172" s="618" t="str">
        <f>Abs!D175</f>
        <v>Sqm.</v>
      </c>
      <c r="F172" s="617" t="e">
        <f t="shared" si="2"/>
        <v>#REF!</v>
      </c>
    </row>
    <row r="173" spans="1:6" s="496" customFormat="1" ht="22.5" hidden="1" customHeight="1">
      <c r="A173" s="614">
        <f>Abs!A176</f>
        <v>0</v>
      </c>
      <c r="B173" s="620" t="e">
        <f>Abs!Y176</f>
        <v>#REF!</v>
      </c>
      <c r="C173" s="621" t="str">
        <f>Abs!B176</f>
        <v>f. In Fourth Floor</v>
      </c>
      <c r="D173" s="617">
        <f>Abs!C176</f>
        <v>809.76</v>
      </c>
      <c r="E173" s="618" t="str">
        <f>Abs!D176</f>
        <v>Sqm.</v>
      </c>
      <c r="F173" s="617" t="e">
        <f t="shared" si="2"/>
        <v>#REF!</v>
      </c>
    </row>
    <row r="174" spans="1:6" ht="22.5" hidden="1" customHeight="1">
      <c r="A174" s="614">
        <f>Abs!A177</f>
        <v>10.6</v>
      </c>
      <c r="B174" s="620" t="e">
        <f>Abs!Y177</f>
        <v>#REF!</v>
      </c>
      <c r="C174" s="621" t="str">
        <f>Abs!B177</f>
        <v>Brick partition work in C.M. 1:4 Kiln Burnt Country bricks of size 22 x 11 x 5.7 cm (8 3/4" x 4 1/4" x 2 1/4") 110 mm tk (B.P.)</v>
      </c>
      <c r="D174" s="617">
        <f>Abs!C177</f>
        <v>0</v>
      </c>
      <c r="E174" s="618">
        <f>Abs!D177</f>
        <v>0</v>
      </c>
      <c r="F174" s="617" t="e">
        <f t="shared" si="2"/>
        <v>#REF!</v>
      </c>
    </row>
    <row r="175" spans="1:6" ht="15.75" hidden="1">
      <c r="A175" s="614">
        <f>Abs!A178</f>
        <v>0</v>
      </c>
      <c r="B175" s="620" t="e">
        <f>Abs!Y178</f>
        <v>#REF!</v>
      </c>
      <c r="C175" s="621" t="str">
        <f>Abs!B178</f>
        <v>a. In Foundation and basement</v>
      </c>
      <c r="D175" s="617">
        <f>Abs!C178</f>
        <v>0</v>
      </c>
      <c r="E175" s="618" t="str">
        <f>Abs!D178</f>
        <v>Sqm.</v>
      </c>
      <c r="F175" s="617" t="e">
        <f t="shared" si="2"/>
        <v>#REF!</v>
      </c>
    </row>
    <row r="176" spans="1:6" ht="15.75" hidden="1">
      <c r="A176" s="614">
        <f>Abs!A179</f>
        <v>0</v>
      </c>
      <c r="B176" s="620" t="e">
        <f>Abs!Y179</f>
        <v>#REF!</v>
      </c>
      <c r="C176" s="621" t="str">
        <f>Abs!B179</f>
        <v>b. In Ground Floor</v>
      </c>
      <c r="D176" s="617">
        <f>Abs!C179</f>
        <v>0</v>
      </c>
      <c r="E176" s="618" t="str">
        <f>Abs!D179</f>
        <v>Sqm.</v>
      </c>
      <c r="F176" s="617" t="e">
        <f t="shared" si="2"/>
        <v>#REF!</v>
      </c>
    </row>
    <row r="177" spans="1:6" ht="15.75" hidden="1">
      <c r="A177" s="614">
        <f>Abs!A180</f>
        <v>0</v>
      </c>
      <c r="B177" s="620" t="e">
        <f>Abs!Y180</f>
        <v>#REF!</v>
      </c>
      <c r="C177" s="621" t="str">
        <f>Abs!B180</f>
        <v>c. In First Floor</v>
      </c>
      <c r="D177" s="617">
        <f>Abs!C180</f>
        <v>0</v>
      </c>
      <c r="E177" s="618" t="str">
        <f>Abs!D180</f>
        <v>Sqm.</v>
      </c>
      <c r="F177" s="617" t="e">
        <f t="shared" si="2"/>
        <v>#REF!</v>
      </c>
    </row>
    <row r="178" spans="1:6" ht="15.75" hidden="1">
      <c r="A178" s="614">
        <f>Abs!A181</f>
        <v>0</v>
      </c>
      <c r="B178" s="620" t="e">
        <f>Abs!Y181</f>
        <v>#REF!</v>
      </c>
      <c r="C178" s="621" t="str">
        <f>Abs!B181</f>
        <v>d. In Second Floor</v>
      </c>
      <c r="D178" s="617">
        <f>Abs!C181</f>
        <v>0</v>
      </c>
      <c r="E178" s="618" t="str">
        <f>Abs!D181</f>
        <v>Sqm.</v>
      </c>
      <c r="F178" s="617" t="e">
        <f t="shared" si="2"/>
        <v>#REF!</v>
      </c>
    </row>
    <row r="179" spans="1:6" ht="15.75" hidden="1">
      <c r="A179" s="614">
        <f>Abs!A182</f>
        <v>0</v>
      </c>
      <c r="B179" s="620" t="e">
        <f>Abs!Y182</f>
        <v>#REF!</v>
      </c>
      <c r="C179" s="621" t="str">
        <f>Abs!B182</f>
        <v>e. In Third Floor</v>
      </c>
      <c r="D179" s="617">
        <f>Abs!C182</f>
        <v>0</v>
      </c>
      <c r="E179" s="618" t="str">
        <f>Abs!D182</f>
        <v>Sqm.</v>
      </c>
      <c r="F179" s="617" t="e">
        <f t="shared" si="2"/>
        <v>#REF!</v>
      </c>
    </row>
    <row r="180" spans="1:6" s="496" customFormat="1" ht="17.25" hidden="1">
      <c r="A180" s="614">
        <f>Abs!A183</f>
        <v>0</v>
      </c>
      <c r="B180" s="620" t="e">
        <f>Abs!Y183</f>
        <v>#REF!</v>
      </c>
      <c r="C180" s="621" t="str">
        <f>Abs!B183</f>
        <v>f. In Fourth Floor</v>
      </c>
      <c r="D180" s="617">
        <f>Abs!C183</f>
        <v>0</v>
      </c>
      <c r="E180" s="618" t="str">
        <f>Abs!D183</f>
        <v>Sqm.</v>
      </c>
      <c r="F180" s="617" t="e">
        <f t="shared" si="2"/>
        <v>#REF!</v>
      </c>
    </row>
    <row r="181" spans="1:6" s="496" customFormat="1" hidden="1">
      <c r="A181" s="614">
        <f>Abs!A184</f>
        <v>11.1</v>
      </c>
      <c r="B181" s="620" t="e">
        <f>Abs!Y184</f>
        <v>#REF!</v>
      </c>
      <c r="C181" s="621" t="str">
        <f>Abs!B184</f>
        <v>Brick work in C.M. 1:4 Chamber Burnt brick of size 23 x 11.2 x 7 cm (9" x 4 3/8" x 2 3/4")70 mm tk (B.P.)</v>
      </c>
      <c r="D181" s="617">
        <f>Abs!C184</f>
        <v>0</v>
      </c>
      <c r="E181" s="618">
        <f>Abs!D184</f>
        <v>0</v>
      </c>
      <c r="F181" s="617" t="e">
        <f t="shared" si="2"/>
        <v>#REF!</v>
      </c>
    </row>
    <row r="182" spans="1:6" s="496" customFormat="1" ht="17.25" hidden="1">
      <c r="A182" s="614">
        <f>Abs!A185</f>
        <v>0</v>
      </c>
      <c r="B182" s="620" t="e">
        <f>Abs!Y185</f>
        <v>#REF!</v>
      </c>
      <c r="C182" s="621" t="str">
        <f>Abs!B185</f>
        <v>a. In Ground Floor</v>
      </c>
      <c r="D182" s="617">
        <f>Abs!C185</f>
        <v>506.03</v>
      </c>
      <c r="E182" s="618" t="str">
        <f>Abs!D185</f>
        <v>Sqm.</v>
      </c>
      <c r="F182" s="617" t="e">
        <f t="shared" si="2"/>
        <v>#REF!</v>
      </c>
    </row>
    <row r="183" spans="1:6" s="496" customFormat="1" ht="17.25" hidden="1">
      <c r="A183" s="614">
        <f>Abs!A186</f>
        <v>0</v>
      </c>
      <c r="B183" s="620" t="e">
        <f>Abs!Y186</f>
        <v>#REF!</v>
      </c>
      <c r="C183" s="621" t="str">
        <f>Abs!B186</f>
        <v>b. In First Floor</v>
      </c>
      <c r="D183" s="617">
        <f>Abs!C186</f>
        <v>515.63</v>
      </c>
      <c r="E183" s="618" t="str">
        <f>Abs!D186</f>
        <v>Sqm.</v>
      </c>
      <c r="F183" s="617" t="e">
        <f t="shared" si="2"/>
        <v>#REF!</v>
      </c>
    </row>
    <row r="184" spans="1:6" s="496" customFormat="1" ht="17.25" hidden="1">
      <c r="A184" s="614">
        <f>Abs!A187</f>
        <v>0</v>
      </c>
      <c r="B184" s="620" t="e">
        <f>Abs!Y187</f>
        <v>#REF!</v>
      </c>
      <c r="C184" s="621" t="str">
        <f>Abs!B187</f>
        <v>c. In Second Floor</v>
      </c>
      <c r="D184" s="617">
        <f>Abs!C187</f>
        <v>543.80999999999995</v>
      </c>
      <c r="E184" s="618" t="str">
        <f>Abs!D187</f>
        <v>Sqm.</v>
      </c>
      <c r="F184" s="617" t="e">
        <f t="shared" si="2"/>
        <v>#REF!</v>
      </c>
    </row>
    <row r="185" spans="1:6" s="496" customFormat="1" ht="17.25" hidden="1">
      <c r="A185" s="614">
        <f>Abs!A188</f>
        <v>0</v>
      </c>
      <c r="B185" s="620" t="e">
        <f>Abs!Y188</f>
        <v>#REF!</v>
      </c>
      <c r="C185" s="621" t="str">
        <f>Abs!B188</f>
        <v>d. In Third Floor</v>
      </c>
      <c r="D185" s="617">
        <f>Abs!C188</f>
        <v>553.89</v>
      </c>
      <c r="E185" s="618" t="str">
        <f>Abs!D188</f>
        <v>Sqm.</v>
      </c>
      <c r="F185" s="617" t="e">
        <f t="shared" si="2"/>
        <v>#REF!</v>
      </c>
    </row>
    <row r="186" spans="1:6" s="496" customFormat="1" ht="17.25" hidden="1">
      <c r="A186" s="614">
        <f>Abs!A189</f>
        <v>0</v>
      </c>
      <c r="B186" s="620" t="e">
        <f>Abs!Y189</f>
        <v>#REF!</v>
      </c>
      <c r="C186" s="621" t="str">
        <f>Abs!B189</f>
        <v>e. In Fourth Floor</v>
      </c>
      <c r="D186" s="617">
        <f>Abs!C189</f>
        <v>563.97</v>
      </c>
      <c r="E186" s="618" t="str">
        <f>Abs!D189</f>
        <v>Sqm.</v>
      </c>
      <c r="F186" s="617" t="e">
        <f t="shared" si="2"/>
        <v>#REF!</v>
      </c>
    </row>
    <row r="187" spans="1:6" s="496" customFormat="1" ht="63.75" customHeight="1">
      <c r="A187" s="614">
        <f>Abs!A190</f>
        <v>11.2</v>
      </c>
      <c r="B187" s="615" t="e">
        <f>Abs!Y190</f>
        <v>#REF!</v>
      </c>
      <c r="C187" s="616" t="str">
        <f>Abs!B190</f>
        <v>Brick work in C.M. 1:4 using chamber Burnt bricks of size 23 x 11.4 x 7.5 cm (9" x 4 1/2"x 3") 75 mm tk (B.P.)</v>
      </c>
      <c r="D187" s="617">
        <f>Abs!C190</f>
        <v>0</v>
      </c>
      <c r="E187" s="618">
        <f>Abs!D190</f>
        <v>0</v>
      </c>
      <c r="F187" s="617"/>
    </row>
    <row r="188" spans="1:6" s="496" customFormat="1" ht="25.9" customHeight="1">
      <c r="A188" s="614">
        <f>Abs!A191</f>
        <v>0</v>
      </c>
      <c r="B188" s="620" t="e">
        <f>Abs!Y191</f>
        <v>#REF!</v>
      </c>
      <c r="C188" s="621" t="str">
        <f>Abs!B191</f>
        <v>a. In Ground Floor</v>
      </c>
      <c r="D188" s="617">
        <f>Abs!C191</f>
        <v>534.29</v>
      </c>
      <c r="E188" s="618" t="str">
        <f>Abs!D191</f>
        <v>Sqm.</v>
      </c>
      <c r="F188" s="617" t="e">
        <f t="shared" si="2"/>
        <v>#REF!</v>
      </c>
    </row>
    <row r="189" spans="1:6" s="496" customFormat="1" ht="33" customHeight="1">
      <c r="A189" s="614">
        <f>Abs!A192</f>
        <v>0</v>
      </c>
      <c r="B189" s="620" t="e">
        <f>Abs!Y192</f>
        <v>#REF!</v>
      </c>
      <c r="C189" s="621" t="str">
        <f>Abs!B192</f>
        <v>b. In First Floor</v>
      </c>
      <c r="D189" s="617">
        <f>Abs!C192</f>
        <v>545.09</v>
      </c>
      <c r="E189" s="618" t="str">
        <f>Abs!D192</f>
        <v>Sqm.</v>
      </c>
      <c r="F189" s="617" t="e">
        <f t="shared" si="2"/>
        <v>#REF!</v>
      </c>
    </row>
    <row r="190" spans="1:6" s="496" customFormat="1" ht="33" customHeight="1">
      <c r="A190" s="614">
        <f>Abs!A193</f>
        <v>0</v>
      </c>
      <c r="B190" s="620" t="e">
        <f>Abs!Y193</f>
        <v>#REF!</v>
      </c>
      <c r="C190" s="621" t="str">
        <f>Abs!B193</f>
        <v>c. In Second Floor</v>
      </c>
      <c r="D190" s="617">
        <f>Abs!C193</f>
        <v>555.89</v>
      </c>
      <c r="E190" s="618" t="str">
        <f>Abs!D193</f>
        <v>Sqm.</v>
      </c>
      <c r="F190" s="617" t="e">
        <f t="shared" si="2"/>
        <v>#REF!</v>
      </c>
    </row>
    <row r="191" spans="1:6" s="496" customFormat="1" ht="33" hidden="1" customHeight="1">
      <c r="A191" s="614">
        <f>Abs!A194</f>
        <v>0</v>
      </c>
      <c r="B191" s="620">
        <f>Abs!Y194</f>
        <v>0</v>
      </c>
      <c r="C191" s="621" t="str">
        <f>Abs!B194</f>
        <v>d. In Third Floor</v>
      </c>
      <c r="D191" s="617">
        <f>Abs!C194</f>
        <v>566.69000000000005</v>
      </c>
      <c r="E191" s="618" t="str">
        <f>Abs!D194</f>
        <v>Sqm.</v>
      </c>
      <c r="F191" s="617">
        <f t="shared" si="2"/>
        <v>0</v>
      </c>
    </row>
    <row r="192" spans="1:6" s="496" customFormat="1" ht="17.25" hidden="1">
      <c r="A192" s="614">
        <f>Abs!A195</f>
        <v>0</v>
      </c>
      <c r="B192" s="620">
        <f>Abs!Y195</f>
        <v>0</v>
      </c>
      <c r="C192" s="621" t="str">
        <f>Abs!B195</f>
        <v>e. In Fourth Floor</v>
      </c>
      <c r="D192" s="617">
        <f>Abs!C195</f>
        <v>577.49</v>
      </c>
      <c r="E192" s="618" t="str">
        <f>Abs!D195</f>
        <v>Sqm.</v>
      </c>
      <c r="F192" s="617">
        <f t="shared" si="2"/>
        <v>0</v>
      </c>
    </row>
    <row r="193" spans="1:6" s="496" customFormat="1" hidden="1">
      <c r="A193" s="614">
        <f>Abs!A196</f>
        <v>11.3</v>
      </c>
      <c r="B193" s="620">
        <f>Abs!Y196</f>
        <v>0</v>
      </c>
      <c r="C193" s="621" t="str">
        <f>Abs!B196</f>
        <v>Brick work in C.M. 1:4 Chamber Burnt brick: 
of size 23 x 11 x 7 cm (9" x 4 1/4" x 2 3/4") 70 mm tk (B.P.)</v>
      </c>
      <c r="D193" s="617">
        <f>Abs!C196</f>
        <v>0</v>
      </c>
      <c r="E193" s="618">
        <f>Abs!D196</f>
        <v>0</v>
      </c>
      <c r="F193" s="617">
        <f t="shared" si="2"/>
        <v>0</v>
      </c>
    </row>
    <row r="194" spans="1:6" s="496" customFormat="1" ht="17.25" hidden="1">
      <c r="A194" s="614">
        <f>Abs!A197</f>
        <v>0</v>
      </c>
      <c r="B194" s="620">
        <f>Abs!Y197</f>
        <v>0</v>
      </c>
      <c r="C194" s="621" t="str">
        <f>Abs!B197</f>
        <v>a. In Ground Floor</v>
      </c>
      <c r="D194" s="617">
        <f>Abs!C197</f>
        <v>0</v>
      </c>
      <c r="E194" s="618" t="str">
        <f>Abs!D197</f>
        <v>Sqm.</v>
      </c>
      <c r="F194" s="617">
        <f t="shared" si="2"/>
        <v>0</v>
      </c>
    </row>
    <row r="195" spans="1:6" s="496" customFormat="1" ht="17.25" hidden="1">
      <c r="A195" s="614">
        <f>Abs!A198</f>
        <v>0</v>
      </c>
      <c r="B195" s="620">
        <f>Abs!Y198</f>
        <v>0</v>
      </c>
      <c r="C195" s="621" t="str">
        <f>Abs!B198</f>
        <v>b. In First Floor</v>
      </c>
      <c r="D195" s="617">
        <f>Abs!C198</f>
        <v>0</v>
      </c>
      <c r="E195" s="618" t="str">
        <f>Abs!D198</f>
        <v>Sqm.</v>
      </c>
      <c r="F195" s="617">
        <f t="shared" si="2"/>
        <v>0</v>
      </c>
    </row>
    <row r="196" spans="1:6" s="496" customFormat="1" ht="17.25" hidden="1">
      <c r="A196" s="614">
        <f>Abs!A199</f>
        <v>0</v>
      </c>
      <c r="B196" s="620">
        <f>Abs!Y199</f>
        <v>0</v>
      </c>
      <c r="C196" s="621" t="str">
        <f>Abs!B199</f>
        <v>c. In Second Floor</v>
      </c>
      <c r="D196" s="617">
        <f>Abs!C199</f>
        <v>0</v>
      </c>
      <c r="E196" s="618" t="str">
        <f>Abs!D199</f>
        <v>Sqm.</v>
      </c>
      <c r="F196" s="617">
        <f t="shared" si="2"/>
        <v>0</v>
      </c>
    </row>
    <row r="197" spans="1:6" s="496" customFormat="1" ht="17.25" hidden="1">
      <c r="A197" s="614">
        <f>Abs!A200</f>
        <v>0</v>
      </c>
      <c r="B197" s="620">
        <f>Abs!Y200</f>
        <v>0</v>
      </c>
      <c r="C197" s="621" t="str">
        <f>Abs!B200</f>
        <v>d. In Third Floor</v>
      </c>
      <c r="D197" s="617">
        <f>Abs!C200</f>
        <v>0</v>
      </c>
      <c r="E197" s="618" t="str">
        <f>Abs!D200</f>
        <v>Sqm.</v>
      </c>
      <c r="F197" s="617">
        <f t="shared" si="2"/>
        <v>0</v>
      </c>
    </row>
    <row r="198" spans="1:6" s="496" customFormat="1" ht="17.25" hidden="1">
      <c r="A198" s="614">
        <f>Abs!A201</f>
        <v>0</v>
      </c>
      <c r="B198" s="620">
        <f>Abs!Y201</f>
        <v>0</v>
      </c>
      <c r="C198" s="621" t="str">
        <f>Abs!B201</f>
        <v>e. In Fourth Floor</v>
      </c>
      <c r="D198" s="617">
        <f>Abs!C201</f>
        <v>0</v>
      </c>
      <c r="E198" s="618" t="str">
        <f>Abs!D201</f>
        <v>Sqm.</v>
      </c>
      <c r="F198" s="617">
        <f t="shared" si="2"/>
        <v>0</v>
      </c>
    </row>
    <row r="199" spans="1:6" s="496" customFormat="1" hidden="1">
      <c r="A199" s="614">
        <f>Abs!A202</f>
        <v>11.4</v>
      </c>
      <c r="B199" s="620">
        <f>Abs!Y202</f>
        <v>0</v>
      </c>
      <c r="C199" s="621" t="str">
        <f>Abs!B202</f>
        <v>Brick work in C.M. 1:4 Chamber Burnt brick of size 22 x 11 x 7 cm (8 3/4" x 4 1/4" x 2 3/4") 70 mm tk (B.P.)</v>
      </c>
      <c r="D199" s="617">
        <f>Abs!C202</f>
        <v>0</v>
      </c>
      <c r="E199" s="618">
        <f>Abs!D202</f>
        <v>0</v>
      </c>
      <c r="F199" s="617">
        <f t="shared" si="2"/>
        <v>0</v>
      </c>
    </row>
    <row r="200" spans="1:6" s="496" customFormat="1" ht="17.25" hidden="1">
      <c r="A200" s="614">
        <f>Abs!A203</f>
        <v>0</v>
      </c>
      <c r="B200" s="620">
        <f>Abs!Y203</f>
        <v>0</v>
      </c>
      <c r="C200" s="621" t="str">
        <f>Abs!B203</f>
        <v>a. In Ground Floor</v>
      </c>
      <c r="D200" s="617">
        <f>Abs!C203</f>
        <v>0</v>
      </c>
      <c r="E200" s="618" t="str">
        <f>Abs!D203</f>
        <v>Sqm.</v>
      </c>
      <c r="F200" s="617">
        <f t="shared" ref="F200:F263" si="3">D200*B200</f>
        <v>0</v>
      </c>
    </row>
    <row r="201" spans="1:6" s="496" customFormat="1" ht="17.25" hidden="1">
      <c r="A201" s="614">
        <f>Abs!A204</f>
        <v>0</v>
      </c>
      <c r="B201" s="620">
        <f>Abs!Y204</f>
        <v>0</v>
      </c>
      <c r="C201" s="621" t="str">
        <f>Abs!B204</f>
        <v>b. In First Floor</v>
      </c>
      <c r="D201" s="617">
        <f>Abs!C204</f>
        <v>0</v>
      </c>
      <c r="E201" s="618" t="str">
        <f>Abs!D204</f>
        <v>Sqm.</v>
      </c>
      <c r="F201" s="617">
        <f t="shared" si="3"/>
        <v>0</v>
      </c>
    </row>
    <row r="202" spans="1:6" s="496" customFormat="1" ht="17.25" hidden="1">
      <c r="A202" s="614">
        <f>Abs!A205</f>
        <v>0</v>
      </c>
      <c r="B202" s="620">
        <f>Abs!Y205</f>
        <v>0</v>
      </c>
      <c r="C202" s="621" t="str">
        <f>Abs!B205</f>
        <v>c. In Second Floor</v>
      </c>
      <c r="D202" s="617">
        <f>Abs!C205</f>
        <v>0</v>
      </c>
      <c r="E202" s="618" t="str">
        <f>Abs!D205</f>
        <v>Sqm.</v>
      </c>
      <c r="F202" s="617">
        <f t="shared" si="3"/>
        <v>0</v>
      </c>
    </row>
    <row r="203" spans="1:6" s="496" customFormat="1" ht="17.25" hidden="1">
      <c r="A203" s="614">
        <f>Abs!A206</f>
        <v>0</v>
      </c>
      <c r="B203" s="620">
        <f>Abs!Y206</f>
        <v>0</v>
      </c>
      <c r="C203" s="621" t="str">
        <f>Abs!B206</f>
        <v>d. In Third Floor</v>
      </c>
      <c r="D203" s="617">
        <f>Abs!C206</f>
        <v>0</v>
      </c>
      <c r="E203" s="618" t="str">
        <f>Abs!D206</f>
        <v>Sqm.</v>
      </c>
      <c r="F203" s="617">
        <f t="shared" si="3"/>
        <v>0</v>
      </c>
    </row>
    <row r="204" spans="1:6" s="496" customFormat="1" ht="5.25" hidden="1" customHeight="1">
      <c r="A204" s="614">
        <f>Abs!A207</f>
        <v>0</v>
      </c>
      <c r="B204" s="620">
        <f>Abs!Y207</f>
        <v>0</v>
      </c>
      <c r="C204" s="621" t="str">
        <f>Abs!B207</f>
        <v>e. In Fourth Floor</v>
      </c>
      <c r="D204" s="617">
        <f>Abs!C207</f>
        <v>0</v>
      </c>
      <c r="E204" s="618" t="str">
        <f>Abs!D207</f>
        <v>Sqm.</v>
      </c>
      <c r="F204" s="617">
        <f t="shared" si="3"/>
        <v>0</v>
      </c>
    </row>
    <row r="205" spans="1:6" s="496" customFormat="1" ht="60.75" hidden="1" customHeight="1">
      <c r="A205" s="614">
        <f>Abs!A208</f>
        <v>11.5</v>
      </c>
      <c r="B205" s="620">
        <f>Abs!Y208</f>
        <v>0</v>
      </c>
      <c r="C205" s="621" t="str">
        <f>Abs!B208</f>
        <v>Brick work in C.M. 1:4 Kiln Burnt Country bricks of size 22 x 11 x 7 cm (8 3/4" x 4 1/4" x 2 3/4") 70 mm tk (B.P.)</v>
      </c>
      <c r="D205" s="617">
        <f>Abs!C208</f>
        <v>0</v>
      </c>
      <c r="E205" s="618">
        <f>Abs!D208</f>
        <v>0</v>
      </c>
      <c r="F205" s="617">
        <f t="shared" si="3"/>
        <v>0</v>
      </c>
    </row>
    <row r="206" spans="1:6" s="496" customFormat="1" ht="22.5" hidden="1" customHeight="1">
      <c r="A206" s="614">
        <f>Abs!A209</f>
        <v>0</v>
      </c>
      <c r="B206" s="620">
        <f>Abs!Y209</f>
        <v>0</v>
      </c>
      <c r="C206" s="621" t="str">
        <f>Abs!B209</f>
        <v>a. In Ground Floor</v>
      </c>
      <c r="D206" s="617">
        <f>Abs!C209</f>
        <v>506.27</v>
      </c>
      <c r="E206" s="618" t="str">
        <f>Abs!D209</f>
        <v>Sqm.</v>
      </c>
      <c r="F206" s="617">
        <f t="shared" si="3"/>
        <v>0</v>
      </c>
    </row>
    <row r="207" spans="1:6" s="496" customFormat="1" ht="22.5" hidden="1" customHeight="1">
      <c r="A207" s="614">
        <f>Abs!A210</f>
        <v>0</v>
      </c>
      <c r="B207" s="620">
        <f>Abs!Y210</f>
        <v>0</v>
      </c>
      <c r="C207" s="621" t="str">
        <f>Abs!B210</f>
        <v>b. In First Floor</v>
      </c>
      <c r="D207" s="617">
        <f>Abs!C210</f>
        <v>516.35</v>
      </c>
      <c r="E207" s="618" t="str">
        <f>Abs!D210</f>
        <v>Sqm.</v>
      </c>
      <c r="F207" s="617">
        <f t="shared" si="3"/>
        <v>0</v>
      </c>
    </row>
    <row r="208" spans="1:6" s="496" customFormat="1" ht="22.5" hidden="1" customHeight="1">
      <c r="A208" s="614">
        <f>Abs!A211</f>
        <v>0</v>
      </c>
      <c r="B208" s="620">
        <f>Abs!Y211</f>
        <v>0</v>
      </c>
      <c r="C208" s="621" t="str">
        <f>Abs!B211</f>
        <v>c. In Second Floor</v>
      </c>
      <c r="D208" s="617">
        <f>Abs!C211</f>
        <v>526.42999999999995</v>
      </c>
      <c r="E208" s="618" t="str">
        <f>Abs!D211</f>
        <v>Sqm.</v>
      </c>
      <c r="F208" s="617">
        <f t="shared" si="3"/>
        <v>0</v>
      </c>
    </row>
    <row r="209" spans="1:6" s="496" customFormat="1" ht="22.5" hidden="1" customHeight="1">
      <c r="A209" s="614">
        <f>Abs!A212</f>
        <v>0</v>
      </c>
      <c r="B209" s="620">
        <f>Abs!Y212</f>
        <v>0</v>
      </c>
      <c r="C209" s="621" t="str">
        <f>Abs!B212</f>
        <v>d. In Third Floor</v>
      </c>
      <c r="D209" s="617">
        <f>Abs!C212</f>
        <v>536.51</v>
      </c>
      <c r="E209" s="618" t="str">
        <f>Abs!D212</f>
        <v>Sqm.</v>
      </c>
      <c r="F209" s="617">
        <f t="shared" si="3"/>
        <v>0</v>
      </c>
    </row>
    <row r="210" spans="1:6" s="496" customFormat="1" ht="25.5" hidden="1" customHeight="1">
      <c r="A210" s="614">
        <f>Abs!A213</f>
        <v>0</v>
      </c>
      <c r="B210" s="620">
        <f>Abs!Y213</f>
        <v>0</v>
      </c>
      <c r="C210" s="621" t="str">
        <f>Abs!B213</f>
        <v>e. In Fourth Floor</v>
      </c>
      <c r="D210" s="617">
        <f>Abs!C213</f>
        <v>546.59</v>
      </c>
      <c r="E210" s="618" t="str">
        <f>Abs!D213</f>
        <v>Sqm.</v>
      </c>
      <c r="F210" s="617">
        <f t="shared" si="3"/>
        <v>0</v>
      </c>
    </row>
    <row r="211" spans="1:6" s="496" customFormat="1" ht="25.5" hidden="1" customHeight="1">
      <c r="A211" s="614">
        <f>Abs!A214</f>
        <v>11.6</v>
      </c>
      <c r="B211" s="620">
        <f>Abs!Y214</f>
        <v>0</v>
      </c>
      <c r="C211" s="621" t="str">
        <f>Abs!B214</f>
        <v>Brick work in C.M. 1:4 Kiln Burnt Country bricks of size 22 x 11 x 5.7 cm (8 3/4" x 4 1/4" x 2 1/4") 57 mm tk (B.P.)</v>
      </c>
      <c r="D211" s="617">
        <f>Abs!C214</f>
        <v>0</v>
      </c>
      <c r="E211" s="618">
        <f>Abs!D214</f>
        <v>0</v>
      </c>
      <c r="F211" s="617">
        <f t="shared" si="3"/>
        <v>0</v>
      </c>
    </row>
    <row r="212" spans="1:6" ht="15.75" hidden="1">
      <c r="A212" s="614">
        <f>Abs!A215</f>
        <v>0</v>
      </c>
      <c r="B212" s="620">
        <f>Abs!Y215</f>
        <v>0</v>
      </c>
      <c r="C212" s="621" t="str">
        <f>Abs!B215</f>
        <v>a. In Ground Floor</v>
      </c>
      <c r="D212" s="617">
        <f>Abs!C215</f>
        <v>0</v>
      </c>
      <c r="E212" s="618" t="str">
        <f>Abs!D215</f>
        <v>Sqm.</v>
      </c>
      <c r="F212" s="617">
        <f t="shared" si="3"/>
        <v>0</v>
      </c>
    </row>
    <row r="213" spans="1:6" ht="15.75" hidden="1">
      <c r="A213" s="614">
        <f>Abs!A216</f>
        <v>0</v>
      </c>
      <c r="B213" s="620">
        <f>Abs!Y216</f>
        <v>0</v>
      </c>
      <c r="C213" s="621" t="str">
        <f>Abs!B216</f>
        <v>b. In First Floor</v>
      </c>
      <c r="D213" s="617">
        <f>Abs!C216</f>
        <v>0</v>
      </c>
      <c r="E213" s="618" t="str">
        <f>Abs!D216</f>
        <v>Sqm.</v>
      </c>
      <c r="F213" s="617">
        <f t="shared" si="3"/>
        <v>0</v>
      </c>
    </row>
    <row r="214" spans="1:6" ht="15.75" hidden="1">
      <c r="A214" s="614">
        <f>Abs!A217</f>
        <v>0</v>
      </c>
      <c r="B214" s="620">
        <f>Abs!Y217</f>
        <v>0</v>
      </c>
      <c r="C214" s="621" t="str">
        <f>Abs!B217</f>
        <v>c. In Second Floor</v>
      </c>
      <c r="D214" s="617">
        <f>Abs!C217</f>
        <v>0</v>
      </c>
      <c r="E214" s="618" t="str">
        <f>Abs!D217</f>
        <v>Sqm.</v>
      </c>
      <c r="F214" s="617">
        <f t="shared" si="3"/>
        <v>0</v>
      </c>
    </row>
    <row r="215" spans="1:6" ht="15.75" hidden="1">
      <c r="A215" s="614">
        <f>Abs!A218</f>
        <v>0</v>
      </c>
      <c r="B215" s="620">
        <f>Abs!Y218</f>
        <v>0</v>
      </c>
      <c r="C215" s="621" t="str">
        <f>Abs!B218</f>
        <v>d. In Third Floor</v>
      </c>
      <c r="D215" s="617">
        <f>Abs!C218</f>
        <v>0</v>
      </c>
      <c r="E215" s="618" t="str">
        <f>Abs!D218</f>
        <v>Sqm.</v>
      </c>
      <c r="F215" s="617">
        <f t="shared" si="3"/>
        <v>0</v>
      </c>
    </row>
    <row r="216" spans="1:6" ht="15.75" hidden="1">
      <c r="A216" s="614">
        <f>Abs!A219</f>
        <v>0</v>
      </c>
      <c r="B216" s="620">
        <f>Abs!Y219</f>
        <v>0</v>
      </c>
      <c r="C216" s="621" t="str">
        <f>Abs!B219</f>
        <v>e. In Fourth Floor</v>
      </c>
      <c r="D216" s="617">
        <f>Abs!C219</f>
        <v>0</v>
      </c>
      <c r="E216" s="618" t="str">
        <f>Abs!D219</f>
        <v>Sqm.</v>
      </c>
      <c r="F216" s="617">
        <f t="shared" si="3"/>
        <v>0</v>
      </c>
    </row>
    <row r="217" spans="1:6" s="496" customFormat="1" ht="45.6" customHeight="1">
      <c r="A217" s="614">
        <f>Abs!A220</f>
        <v>12.1</v>
      </c>
      <c r="B217" s="615" t="e">
        <f>Abs!Y220</f>
        <v>#REF!</v>
      </c>
      <c r="C217" s="616" t="str">
        <f>Abs!B220</f>
        <v>Brick partition in C.M. 1:4 using country bricks of size 22 x11x5cm 50 mm thick</v>
      </c>
      <c r="D217" s="617">
        <f>Abs!C220</f>
        <v>0</v>
      </c>
      <c r="E217" s="618">
        <f>Abs!D220</f>
        <v>0</v>
      </c>
      <c r="F217" s="617"/>
    </row>
    <row r="218" spans="1:6" s="496" customFormat="1" ht="25.9" customHeight="1">
      <c r="A218" s="614">
        <f>Abs!A221</f>
        <v>0</v>
      </c>
      <c r="B218" s="620" t="e">
        <f>Abs!Y221</f>
        <v>#REF!</v>
      </c>
      <c r="C218" s="621" t="str">
        <f>Abs!B221</f>
        <v>a. In Ground Floor</v>
      </c>
      <c r="D218" s="617">
        <f>Abs!C221</f>
        <v>367.78</v>
      </c>
      <c r="E218" s="618" t="str">
        <f>Abs!D221</f>
        <v>Sqm.</v>
      </c>
      <c r="F218" s="617" t="e">
        <f t="shared" si="3"/>
        <v>#REF!</v>
      </c>
    </row>
    <row r="219" spans="1:6" s="496" customFormat="1" ht="25.9" customHeight="1">
      <c r="A219" s="614">
        <f>Abs!A222</f>
        <v>0</v>
      </c>
      <c r="B219" s="620" t="e">
        <f>Abs!Y222</f>
        <v>#REF!</v>
      </c>
      <c r="C219" s="621" t="str">
        <f>Abs!B222</f>
        <v>b. In First Floor</v>
      </c>
      <c r="D219" s="617">
        <f>Abs!C222</f>
        <v>374.64</v>
      </c>
      <c r="E219" s="618" t="str">
        <f>Abs!D222</f>
        <v>Sqm.</v>
      </c>
      <c r="F219" s="617" t="e">
        <f t="shared" si="3"/>
        <v>#REF!</v>
      </c>
    </row>
    <row r="220" spans="1:6" s="496" customFormat="1" ht="25.5" customHeight="1">
      <c r="A220" s="614">
        <f>Abs!A223</f>
        <v>0</v>
      </c>
      <c r="B220" s="620" t="e">
        <f>Abs!Y223</f>
        <v>#REF!</v>
      </c>
      <c r="C220" s="621" t="str">
        <f>Abs!B223</f>
        <v>c. In Second Floor</v>
      </c>
      <c r="D220" s="617">
        <f>Abs!C223</f>
        <v>382.35</v>
      </c>
      <c r="E220" s="618" t="str">
        <f>Abs!D223</f>
        <v>Sqm.</v>
      </c>
      <c r="F220" s="617" t="e">
        <f t="shared" si="3"/>
        <v>#REF!</v>
      </c>
    </row>
    <row r="221" spans="1:6" s="496" customFormat="1" ht="25.5" hidden="1" customHeight="1">
      <c r="A221" s="614">
        <f>Abs!A224</f>
        <v>0</v>
      </c>
      <c r="B221" s="620">
        <f>Abs!Y224</f>
        <v>0</v>
      </c>
      <c r="C221" s="621" t="str">
        <f>Abs!B224</f>
        <v>d. In Third Floor</v>
      </c>
      <c r="D221" s="617">
        <f>Abs!C224</f>
        <v>389.55</v>
      </c>
      <c r="E221" s="618" t="str">
        <f>Abs!D224</f>
        <v>Sqm.</v>
      </c>
      <c r="F221" s="617">
        <f t="shared" si="3"/>
        <v>0</v>
      </c>
    </row>
    <row r="222" spans="1:6" s="496" customFormat="1" ht="25.5" hidden="1" customHeight="1">
      <c r="A222" s="614">
        <f>Abs!A225</f>
        <v>0</v>
      </c>
      <c r="B222" s="620">
        <f>Abs!Y225</f>
        <v>0</v>
      </c>
      <c r="C222" s="621" t="str">
        <f>Abs!B225</f>
        <v>e. In Fourth Floor</v>
      </c>
      <c r="D222" s="617">
        <f>Abs!C225</f>
        <v>396.75</v>
      </c>
      <c r="E222" s="618" t="str">
        <f>Abs!D225</f>
        <v>Sqm.</v>
      </c>
      <c r="F222" s="617">
        <f t="shared" si="3"/>
        <v>0</v>
      </c>
    </row>
    <row r="223" spans="1:6" s="496" customFormat="1" ht="25.5" hidden="1" customHeight="1">
      <c r="A223" s="614">
        <f>Abs!A226</f>
        <v>12.2</v>
      </c>
      <c r="B223" s="620">
        <f>Abs!Y226</f>
        <v>0</v>
      </c>
      <c r="C223" s="621" t="str">
        <f>Abs!B226</f>
        <v xml:space="preserve">Brick partition in C.M. 1:4 50 mm tk. (B.P.)
Kiln Burnt Country brick: 23 x 11 x 5 cm 
(9" x 4 1/4" x 2") </v>
      </c>
      <c r="D223" s="617">
        <f>Abs!C226</f>
        <v>0</v>
      </c>
      <c r="E223" s="618">
        <f>Abs!D226</f>
        <v>0</v>
      </c>
      <c r="F223" s="617">
        <f t="shared" si="3"/>
        <v>0</v>
      </c>
    </row>
    <row r="224" spans="1:6" ht="15.75" hidden="1">
      <c r="A224" s="614">
        <f>Abs!A227</f>
        <v>0</v>
      </c>
      <c r="B224" s="620">
        <f>Abs!Y227</f>
        <v>0</v>
      </c>
      <c r="C224" s="621" t="str">
        <f>Abs!B227</f>
        <v>a. In Ground Floor</v>
      </c>
      <c r="D224" s="617">
        <f>Abs!C227</f>
        <v>0</v>
      </c>
      <c r="E224" s="618" t="str">
        <f>Abs!D227</f>
        <v>Sqm.</v>
      </c>
      <c r="F224" s="617">
        <f t="shared" si="3"/>
        <v>0</v>
      </c>
    </row>
    <row r="225" spans="1:6" ht="15.75" hidden="1">
      <c r="A225" s="614">
        <f>Abs!A228</f>
        <v>0</v>
      </c>
      <c r="B225" s="620">
        <f>Abs!Y228</f>
        <v>0</v>
      </c>
      <c r="C225" s="621" t="str">
        <f>Abs!B228</f>
        <v>b. In First Floor</v>
      </c>
      <c r="D225" s="617">
        <f>Abs!C228</f>
        <v>0</v>
      </c>
      <c r="E225" s="618" t="str">
        <f>Abs!D228</f>
        <v>Sqm.</v>
      </c>
      <c r="F225" s="617">
        <f t="shared" si="3"/>
        <v>0</v>
      </c>
    </row>
    <row r="226" spans="1:6" ht="15.75" hidden="1">
      <c r="A226" s="614">
        <f>Abs!A229</f>
        <v>0</v>
      </c>
      <c r="B226" s="620">
        <f>Abs!Y229</f>
        <v>0</v>
      </c>
      <c r="C226" s="621" t="str">
        <f>Abs!B229</f>
        <v>c. In Second Floor</v>
      </c>
      <c r="D226" s="617">
        <f>Abs!C229</f>
        <v>0</v>
      </c>
      <c r="E226" s="618" t="str">
        <f>Abs!D229</f>
        <v>Sqm.</v>
      </c>
      <c r="F226" s="617">
        <f t="shared" si="3"/>
        <v>0</v>
      </c>
    </row>
    <row r="227" spans="1:6" ht="15.75" hidden="1">
      <c r="A227" s="614">
        <f>Abs!A230</f>
        <v>0</v>
      </c>
      <c r="B227" s="620">
        <f>Abs!Y230</f>
        <v>0</v>
      </c>
      <c r="C227" s="621" t="str">
        <f>Abs!B230</f>
        <v>d. In Third Floor</v>
      </c>
      <c r="D227" s="617">
        <f>Abs!C230</f>
        <v>0</v>
      </c>
      <c r="E227" s="618" t="str">
        <f>Abs!D230</f>
        <v>Sqm.</v>
      </c>
      <c r="F227" s="617">
        <f t="shared" si="3"/>
        <v>0</v>
      </c>
    </row>
    <row r="228" spans="1:6" ht="15.75" hidden="1">
      <c r="A228" s="614">
        <f>Abs!A231</f>
        <v>0</v>
      </c>
      <c r="B228" s="620">
        <f>Abs!Y231</f>
        <v>0</v>
      </c>
      <c r="C228" s="621" t="str">
        <f>Abs!B231</f>
        <v>e. In Fourth Floor</v>
      </c>
      <c r="D228" s="617">
        <f>Abs!C231</f>
        <v>0</v>
      </c>
      <c r="E228" s="618" t="str">
        <f>Abs!D231</f>
        <v>Sqm.</v>
      </c>
      <c r="F228" s="617">
        <f t="shared" si="3"/>
        <v>0</v>
      </c>
    </row>
    <row r="229" spans="1:6" ht="15.75" hidden="1">
      <c r="A229" s="614">
        <f>Abs!A232</f>
        <v>0</v>
      </c>
      <c r="B229" s="620">
        <f>Abs!Y232</f>
        <v>0</v>
      </c>
      <c r="C229" s="621">
        <f>Abs!B232</f>
        <v>0</v>
      </c>
      <c r="D229" s="617">
        <f>Abs!C232</f>
        <v>0</v>
      </c>
      <c r="E229" s="618">
        <f>Abs!D232</f>
        <v>0</v>
      </c>
      <c r="F229" s="617">
        <f t="shared" si="3"/>
        <v>0</v>
      </c>
    </row>
    <row r="230" spans="1:6" s="496" customFormat="1" ht="33" customHeight="1">
      <c r="A230" s="614">
        <f>Abs!A233</f>
        <v>13.1</v>
      </c>
      <c r="B230" s="620" t="e">
        <f>Abs!Y233</f>
        <v>#REF!</v>
      </c>
      <c r="C230" s="621" t="str">
        <f>Abs!B233</f>
        <v>Filling with Excavated Earth</v>
      </c>
      <c r="D230" s="617">
        <f>Abs!C233</f>
        <v>33.6</v>
      </c>
      <c r="E230" s="618" t="str">
        <f>Abs!D233</f>
        <v>Cum.</v>
      </c>
      <c r="F230" s="617" t="e">
        <f t="shared" si="3"/>
        <v>#REF!</v>
      </c>
    </row>
    <row r="231" spans="1:6" s="496" customFormat="1" ht="25.5" hidden="1" customHeight="1">
      <c r="A231" s="614">
        <f>Abs!A234</f>
        <v>13.2</v>
      </c>
      <c r="B231" s="620">
        <f>Abs!Y234</f>
        <v>0</v>
      </c>
      <c r="C231" s="621" t="str">
        <f>Abs!B234</f>
        <v>Filling with Excavated Earth Mixed with lime in the proporation 1:4 (one of lime &amp; four of earth)</v>
      </c>
      <c r="D231" s="617">
        <f>Abs!C234</f>
        <v>0</v>
      </c>
      <c r="E231" s="618" t="str">
        <f>Abs!D234</f>
        <v>Cum.</v>
      </c>
      <c r="F231" s="617">
        <f t="shared" si="3"/>
        <v>0</v>
      </c>
    </row>
    <row r="232" spans="1:6" s="496" customFormat="1" ht="17.25" hidden="1">
      <c r="A232" s="614" t="str">
        <f>Abs!A235</f>
        <v>14.I</v>
      </c>
      <c r="B232" s="620">
        <f>Abs!Y235</f>
        <v>0</v>
      </c>
      <c r="C232" s="621" t="str">
        <f>Abs!B235</f>
        <v>Precast Cupboard slab 20 mm tk.</v>
      </c>
      <c r="D232" s="617">
        <f>Abs!C235</f>
        <v>0</v>
      </c>
      <c r="E232" s="618">
        <f>Abs!D235</f>
        <v>0</v>
      </c>
      <c r="F232" s="617">
        <f t="shared" si="3"/>
        <v>0</v>
      </c>
    </row>
    <row r="233" spans="1:6" s="496" customFormat="1" ht="17.25" hidden="1">
      <c r="A233" s="614">
        <f>Abs!A236</f>
        <v>0</v>
      </c>
      <c r="B233" s="620">
        <f>Abs!Y236</f>
        <v>0</v>
      </c>
      <c r="C233" s="621" t="str">
        <f>Abs!B236</f>
        <v>a. In Ground floor</v>
      </c>
      <c r="D233" s="617">
        <f>Abs!C236</f>
        <v>1282.1099999999999</v>
      </c>
      <c r="E233" s="618" t="str">
        <f>Abs!D236</f>
        <v>Sqm.</v>
      </c>
      <c r="F233" s="617">
        <f t="shared" si="3"/>
        <v>0</v>
      </c>
    </row>
    <row r="234" spans="1:6" s="496" customFormat="1" ht="17.25" hidden="1">
      <c r="A234" s="614">
        <f>Abs!A237</f>
        <v>0</v>
      </c>
      <c r="B234" s="620">
        <f>Abs!Y237</f>
        <v>0</v>
      </c>
      <c r="C234" s="621" t="str">
        <f>Abs!B237</f>
        <v>b. In First floor</v>
      </c>
      <c r="D234" s="617">
        <f>Abs!C237</f>
        <v>1286.42</v>
      </c>
      <c r="E234" s="618" t="str">
        <f>Abs!D237</f>
        <v>Sqm.</v>
      </c>
      <c r="F234" s="617">
        <f t="shared" si="3"/>
        <v>0</v>
      </c>
    </row>
    <row r="235" spans="1:6" s="496" customFormat="1" ht="17.25" hidden="1">
      <c r="A235" s="614">
        <f>Abs!A238</f>
        <v>0</v>
      </c>
      <c r="B235" s="620">
        <f>Abs!Y238</f>
        <v>0</v>
      </c>
      <c r="C235" s="621" t="str">
        <f>Abs!B238</f>
        <v>c. In Second floor</v>
      </c>
      <c r="D235" s="617">
        <f>Abs!C238</f>
        <v>1290.73</v>
      </c>
      <c r="E235" s="618" t="str">
        <f>Abs!D238</f>
        <v>Sqm.</v>
      </c>
      <c r="F235" s="617">
        <f t="shared" si="3"/>
        <v>0</v>
      </c>
    </row>
    <row r="236" spans="1:6" ht="15.75" hidden="1">
      <c r="A236" s="614">
        <f>Abs!A239</f>
        <v>0</v>
      </c>
      <c r="B236" s="620">
        <f>Abs!Y239</f>
        <v>0</v>
      </c>
      <c r="C236" s="621" t="str">
        <f>Abs!B239</f>
        <v>d. In Third floor</v>
      </c>
      <c r="D236" s="617">
        <f>Abs!C239</f>
        <v>1295.04</v>
      </c>
      <c r="E236" s="618" t="str">
        <f>Abs!D239</f>
        <v>Sqm.</v>
      </c>
      <c r="F236" s="617">
        <f t="shared" si="3"/>
        <v>0</v>
      </c>
    </row>
    <row r="237" spans="1:6" s="496" customFormat="1" ht="17.25" hidden="1">
      <c r="A237" s="614">
        <f>Abs!A240</f>
        <v>0</v>
      </c>
      <c r="B237" s="620">
        <f>Abs!Y240</f>
        <v>0</v>
      </c>
      <c r="C237" s="621" t="str">
        <f>Abs!B240</f>
        <v>e.  In Fourth floor</v>
      </c>
      <c r="D237" s="617">
        <f>Abs!C240</f>
        <v>1299.3499999999999</v>
      </c>
      <c r="E237" s="618" t="str">
        <f>Abs!D240</f>
        <v>Sqm.</v>
      </c>
      <c r="F237" s="617">
        <f t="shared" si="3"/>
        <v>0</v>
      </c>
    </row>
    <row r="238" spans="1:6" s="496" customFormat="1" ht="17.25" hidden="1">
      <c r="A238" s="614">
        <f>Abs!A241</f>
        <v>0</v>
      </c>
      <c r="B238" s="620">
        <f>Abs!Y241</f>
        <v>0</v>
      </c>
      <c r="C238" s="621" t="str">
        <f>Abs!B241</f>
        <v>f.  In Fifth floor</v>
      </c>
      <c r="D238" s="617">
        <f>Abs!C241</f>
        <v>1303.6600000000001</v>
      </c>
      <c r="E238" s="618" t="str">
        <f>Abs!D241</f>
        <v>Sqm.</v>
      </c>
      <c r="F238" s="617">
        <f t="shared" si="3"/>
        <v>0</v>
      </c>
    </row>
    <row r="239" spans="1:6" s="496" customFormat="1" ht="17.25" hidden="1">
      <c r="A239" s="614">
        <f>Abs!A242</f>
        <v>0</v>
      </c>
      <c r="B239" s="620">
        <f>Abs!Y242</f>
        <v>0</v>
      </c>
      <c r="C239" s="621" t="str">
        <f>Abs!B242</f>
        <v>g.  In sixth floor</v>
      </c>
      <c r="D239" s="617">
        <f>Abs!C242</f>
        <v>1307.97</v>
      </c>
      <c r="E239" s="618" t="str">
        <f>Abs!D242</f>
        <v>Sqm.</v>
      </c>
      <c r="F239" s="617">
        <f t="shared" si="3"/>
        <v>0</v>
      </c>
    </row>
    <row r="240" spans="1:6" s="496" customFormat="1" ht="17.25" hidden="1">
      <c r="A240" s="614">
        <f>Abs!A243</f>
        <v>0</v>
      </c>
      <c r="B240" s="620">
        <f>Abs!Y243</f>
        <v>0</v>
      </c>
      <c r="C240" s="621" t="str">
        <f>Abs!B243</f>
        <v>h.  In seventh floor</v>
      </c>
      <c r="D240" s="617">
        <f>Abs!C243</f>
        <v>1312.28</v>
      </c>
      <c r="E240" s="618" t="str">
        <f>Abs!D243</f>
        <v>Sqm.</v>
      </c>
      <c r="F240" s="617">
        <f t="shared" si="3"/>
        <v>0</v>
      </c>
    </row>
    <row r="241" spans="1:6" s="496" customFormat="1" ht="17.25" hidden="1">
      <c r="A241" s="614">
        <f>Abs!A244</f>
        <v>0</v>
      </c>
      <c r="B241" s="620">
        <f>Abs!Y244</f>
        <v>0</v>
      </c>
      <c r="C241" s="621" t="str">
        <f>Abs!B244</f>
        <v>i.  In eighth floor</v>
      </c>
      <c r="D241" s="617">
        <f>Abs!C244</f>
        <v>1316.59</v>
      </c>
      <c r="E241" s="618" t="str">
        <f>Abs!D244</f>
        <v>Sqm.</v>
      </c>
      <c r="F241" s="617">
        <f t="shared" si="3"/>
        <v>0</v>
      </c>
    </row>
    <row r="242" spans="1:6" s="496" customFormat="1" ht="17.25" hidden="1">
      <c r="A242" s="614">
        <f>Abs!A245</f>
        <v>0</v>
      </c>
      <c r="B242" s="620">
        <f>Abs!Y245</f>
        <v>0</v>
      </c>
      <c r="C242" s="621" t="str">
        <f>Abs!B245</f>
        <v>j.  In Ninth floor</v>
      </c>
      <c r="D242" s="617">
        <f>Abs!C245</f>
        <v>1320.9</v>
      </c>
      <c r="E242" s="618" t="str">
        <f>Abs!D245</f>
        <v>Sqm.</v>
      </c>
      <c r="F242" s="617">
        <f t="shared" si="3"/>
        <v>0</v>
      </c>
    </row>
    <row r="243" spans="1:6" s="496" customFormat="1" ht="17.25" hidden="1">
      <c r="A243" s="614">
        <f>Abs!A246</f>
        <v>0</v>
      </c>
      <c r="B243" s="620">
        <f>Abs!Y246</f>
        <v>0</v>
      </c>
      <c r="C243" s="621" t="str">
        <f>Abs!B246</f>
        <v>k.  In Tenth floor</v>
      </c>
      <c r="D243" s="617">
        <f>Abs!C246</f>
        <v>1325.21</v>
      </c>
      <c r="E243" s="618" t="str">
        <f>Abs!D246</f>
        <v>Sqm.</v>
      </c>
      <c r="F243" s="617">
        <f t="shared" si="3"/>
        <v>0</v>
      </c>
    </row>
    <row r="244" spans="1:6" s="496" customFormat="1" ht="17.25" hidden="1">
      <c r="A244" s="614">
        <f>Abs!A247</f>
        <v>0</v>
      </c>
      <c r="B244" s="620">
        <f>Abs!Y247</f>
        <v>0</v>
      </c>
      <c r="C244" s="621" t="str">
        <f>Abs!B247</f>
        <v>l.  In Eleventh floor</v>
      </c>
      <c r="D244" s="617">
        <f>Abs!C247</f>
        <v>1329.52</v>
      </c>
      <c r="E244" s="618" t="str">
        <f>Abs!D247</f>
        <v>Sqm.</v>
      </c>
      <c r="F244" s="617">
        <f t="shared" si="3"/>
        <v>0</v>
      </c>
    </row>
    <row r="245" spans="1:6" s="496" customFormat="1" ht="17.25" hidden="1">
      <c r="A245" s="614" t="str">
        <f>Abs!A248</f>
        <v>14.II</v>
      </c>
      <c r="B245" s="620">
        <f>Abs!Y248</f>
        <v>0</v>
      </c>
      <c r="C245" s="621" t="str">
        <f>Abs!B248</f>
        <v>Precast cupboard slab 40 mm tk.</v>
      </c>
      <c r="D245" s="617">
        <f>Abs!C248</f>
        <v>0</v>
      </c>
      <c r="E245" s="618">
        <f>Abs!D248</f>
        <v>0</v>
      </c>
      <c r="F245" s="617">
        <f t="shared" si="3"/>
        <v>0</v>
      </c>
    </row>
    <row r="246" spans="1:6" s="496" customFormat="1" ht="17.25" hidden="1">
      <c r="A246" s="614">
        <f>Abs!A249</f>
        <v>0</v>
      </c>
      <c r="B246" s="620">
        <f>Abs!Y249</f>
        <v>0</v>
      </c>
      <c r="C246" s="621" t="str">
        <f>Abs!B249</f>
        <v>a. In Foundation &amp; basement</v>
      </c>
      <c r="D246" s="617">
        <f>Abs!C249</f>
        <v>1413.14</v>
      </c>
      <c r="E246" s="618" t="str">
        <f>Abs!D249</f>
        <v>Sqm.</v>
      </c>
      <c r="F246" s="617">
        <f t="shared" si="3"/>
        <v>0</v>
      </c>
    </row>
    <row r="247" spans="1:6" s="496" customFormat="1" ht="17.25" hidden="1">
      <c r="A247" s="614">
        <f>Abs!A250</f>
        <v>0</v>
      </c>
      <c r="B247" s="620">
        <f>Abs!Y250</f>
        <v>0</v>
      </c>
      <c r="C247" s="621" t="str">
        <f>Abs!B250</f>
        <v>b. In Ground floor</v>
      </c>
      <c r="D247" s="617">
        <f>Abs!C250</f>
        <v>1417.52</v>
      </c>
      <c r="E247" s="618" t="str">
        <f>Abs!D250</f>
        <v>Sqm.</v>
      </c>
      <c r="F247" s="617">
        <f t="shared" si="3"/>
        <v>0</v>
      </c>
    </row>
    <row r="248" spans="1:6" s="496" customFormat="1" ht="17.25" hidden="1">
      <c r="A248" s="614">
        <f>Abs!A251</f>
        <v>0</v>
      </c>
      <c r="B248" s="620">
        <f>Abs!Y251</f>
        <v>0</v>
      </c>
      <c r="C248" s="621" t="str">
        <f>Abs!B251</f>
        <v>c. In First floor</v>
      </c>
      <c r="D248" s="617">
        <f>Abs!C251</f>
        <v>1426.15</v>
      </c>
      <c r="E248" s="618" t="str">
        <f>Abs!D251</f>
        <v>Sqm.</v>
      </c>
      <c r="F248" s="617">
        <f t="shared" si="3"/>
        <v>0</v>
      </c>
    </row>
    <row r="249" spans="1:6" s="496" customFormat="1" ht="17.25" hidden="1">
      <c r="A249" s="614">
        <f>Abs!A252</f>
        <v>0</v>
      </c>
      <c r="B249" s="620">
        <f>Abs!Y252</f>
        <v>0</v>
      </c>
      <c r="C249" s="621" t="str">
        <f>Abs!B252</f>
        <v>d. In Second floor</v>
      </c>
      <c r="D249" s="617">
        <f>Abs!C252</f>
        <v>1434.78</v>
      </c>
      <c r="E249" s="618" t="str">
        <f>Abs!D252</f>
        <v>Sqm.</v>
      </c>
      <c r="F249" s="617">
        <f t="shared" si="3"/>
        <v>0</v>
      </c>
    </row>
    <row r="250" spans="1:6" s="496" customFormat="1" ht="17.25" hidden="1">
      <c r="A250" s="614">
        <f>Abs!A253</f>
        <v>0</v>
      </c>
      <c r="B250" s="620">
        <f>Abs!Y253</f>
        <v>0</v>
      </c>
      <c r="C250" s="621" t="str">
        <f>Abs!B253</f>
        <v>e. In Third floor</v>
      </c>
      <c r="D250" s="617">
        <f>Abs!C253</f>
        <v>1443.41</v>
      </c>
      <c r="E250" s="618" t="str">
        <f>Abs!D253</f>
        <v>Sqm.</v>
      </c>
      <c r="F250" s="617">
        <f t="shared" si="3"/>
        <v>0</v>
      </c>
    </row>
    <row r="251" spans="1:6" s="496" customFormat="1" ht="17.25" hidden="1">
      <c r="A251" s="614">
        <f>Abs!A254</f>
        <v>0</v>
      </c>
      <c r="B251" s="620">
        <f>Abs!Y254</f>
        <v>0</v>
      </c>
      <c r="C251" s="621" t="str">
        <f>Abs!B254</f>
        <v>f.  In Fourth floor</v>
      </c>
      <c r="D251" s="617">
        <f>Abs!C254</f>
        <v>1452.04</v>
      </c>
      <c r="E251" s="618" t="str">
        <f>Abs!D254</f>
        <v>Sqm.</v>
      </c>
      <c r="F251" s="617">
        <f t="shared" si="3"/>
        <v>0</v>
      </c>
    </row>
    <row r="252" spans="1:6" s="496" customFormat="1" ht="17.25" hidden="1">
      <c r="A252" s="614">
        <f>Abs!A255</f>
        <v>15.1</v>
      </c>
      <c r="B252" s="620">
        <f>Abs!Y255</f>
        <v>0</v>
      </c>
      <c r="C252" s="621" t="str">
        <f>Abs!B255</f>
        <v>Cuddappa slab 20 mm tk.</v>
      </c>
      <c r="D252" s="617">
        <f>Abs!C255</f>
        <v>0</v>
      </c>
      <c r="E252" s="618">
        <f>Abs!D255</f>
        <v>0</v>
      </c>
      <c r="F252" s="617">
        <f t="shared" si="3"/>
        <v>0</v>
      </c>
    </row>
    <row r="253" spans="1:6" s="496" customFormat="1" ht="17.25" hidden="1">
      <c r="A253" s="614">
        <f>Abs!A256</f>
        <v>0</v>
      </c>
      <c r="B253" s="620">
        <f>Abs!Y256</f>
        <v>0</v>
      </c>
      <c r="C253" s="621" t="str">
        <f>Abs!B256</f>
        <v>a. In Ground floor</v>
      </c>
      <c r="D253" s="617">
        <f>Abs!C256</f>
        <v>529.47</v>
      </c>
      <c r="E253" s="618" t="str">
        <f>Abs!D256</f>
        <v>Sqm.</v>
      </c>
      <c r="F253" s="617">
        <f t="shared" si="3"/>
        <v>0</v>
      </c>
    </row>
    <row r="254" spans="1:6" s="496" customFormat="1" ht="17.25" hidden="1">
      <c r="A254" s="614">
        <f>Abs!A257</f>
        <v>0</v>
      </c>
      <c r="B254" s="620">
        <f>Abs!Y257</f>
        <v>0</v>
      </c>
      <c r="C254" s="621" t="str">
        <f>Abs!B257</f>
        <v>b. In First floor</v>
      </c>
      <c r="D254" s="617">
        <f>Abs!C257</f>
        <v>533.74</v>
      </c>
      <c r="E254" s="618" t="str">
        <f>Abs!D257</f>
        <v>Sqm.</v>
      </c>
      <c r="F254" s="617">
        <f t="shared" si="3"/>
        <v>0</v>
      </c>
    </row>
    <row r="255" spans="1:6" s="496" customFormat="1" ht="17.25" hidden="1">
      <c r="A255" s="614">
        <f>Abs!A258</f>
        <v>0</v>
      </c>
      <c r="B255" s="620">
        <f>Abs!Y258</f>
        <v>0</v>
      </c>
      <c r="C255" s="621" t="str">
        <f>Abs!B258</f>
        <v>c. In Second floor</v>
      </c>
      <c r="D255" s="617">
        <f>Abs!C258</f>
        <v>538.01</v>
      </c>
      <c r="E255" s="618" t="str">
        <f>Abs!D258</f>
        <v>Sqm.</v>
      </c>
      <c r="F255" s="617">
        <f t="shared" si="3"/>
        <v>0</v>
      </c>
    </row>
    <row r="256" spans="1:6" s="496" customFormat="1" ht="17.25" hidden="1">
      <c r="A256" s="614">
        <f>Abs!A259</f>
        <v>0</v>
      </c>
      <c r="B256" s="620">
        <f>Abs!Y259</f>
        <v>0</v>
      </c>
      <c r="C256" s="621" t="str">
        <f>Abs!B259</f>
        <v>d. In Third floor</v>
      </c>
      <c r="D256" s="617">
        <f>Abs!C259</f>
        <v>542.28</v>
      </c>
      <c r="E256" s="618" t="str">
        <f>Abs!D259</f>
        <v>Sqm.</v>
      </c>
      <c r="F256" s="617">
        <f t="shared" si="3"/>
        <v>0</v>
      </c>
    </row>
    <row r="257" spans="1:6" s="496" customFormat="1" ht="17.25" hidden="1">
      <c r="A257" s="614">
        <f>Abs!A260</f>
        <v>0</v>
      </c>
      <c r="B257" s="620">
        <f>Abs!Y260</f>
        <v>0</v>
      </c>
      <c r="C257" s="621" t="str">
        <f>Abs!B260</f>
        <v>e.  In Fourth floor</v>
      </c>
      <c r="D257" s="617">
        <f>Abs!C260</f>
        <v>546.54999999999995</v>
      </c>
      <c r="E257" s="618" t="str">
        <f>Abs!D260</f>
        <v>Sqm.</v>
      </c>
      <c r="F257" s="617">
        <f t="shared" si="3"/>
        <v>0</v>
      </c>
    </row>
    <row r="258" spans="1:6" ht="15.75" hidden="1">
      <c r="A258" s="614">
        <f>Abs!A261</f>
        <v>15.2</v>
      </c>
      <c r="B258" s="620">
        <f>Abs!Y261</f>
        <v>0</v>
      </c>
      <c r="C258" s="621" t="str">
        <f>Abs!B261</f>
        <v>Cuddappa slab 40 mm tk.</v>
      </c>
      <c r="D258" s="617">
        <f>Abs!C261</f>
        <v>0</v>
      </c>
      <c r="E258" s="618">
        <f>Abs!D261</f>
        <v>0</v>
      </c>
      <c r="F258" s="617">
        <f t="shared" si="3"/>
        <v>0</v>
      </c>
    </row>
    <row r="259" spans="1:6" ht="15.75" hidden="1">
      <c r="A259" s="614">
        <f>Abs!A262</f>
        <v>0</v>
      </c>
      <c r="B259" s="620">
        <f>Abs!Y262</f>
        <v>0</v>
      </c>
      <c r="C259" s="621" t="str">
        <f>Abs!B262</f>
        <v>a. In Ground floor</v>
      </c>
      <c r="D259" s="617">
        <f>Abs!C262</f>
        <v>1847.59</v>
      </c>
      <c r="E259" s="618" t="str">
        <f>Abs!D262</f>
        <v>Sqm.</v>
      </c>
      <c r="F259" s="617">
        <f t="shared" si="3"/>
        <v>0</v>
      </c>
    </row>
    <row r="260" spans="1:6" ht="15.75" hidden="1">
      <c r="A260" s="614">
        <f>Abs!A263</f>
        <v>0</v>
      </c>
      <c r="B260" s="620">
        <f>Abs!Y263</f>
        <v>0</v>
      </c>
      <c r="C260" s="621" t="str">
        <f>Abs!B263</f>
        <v>b. In First floor</v>
      </c>
      <c r="D260" s="617">
        <f>Abs!C263</f>
        <v>1856.14</v>
      </c>
      <c r="E260" s="618" t="str">
        <f>Abs!D263</f>
        <v>Sqm.</v>
      </c>
      <c r="F260" s="617">
        <f t="shared" si="3"/>
        <v>0</v>
      </c>
    </row>
    <row r="261" spans="1:6" ht="15.75" hidden="1">
      <c r="A261" s="614">
        <f>Abs!A264</f>
        <v>0</v>
      </c>
      <c r="B261" s="620">
        <f>Abs!Y264</f>
        <v>0</v>
      </c>
      <c r="C261" s="621" t="str">
        <f>Abs!B264</f>
        <v>c. In Second floor</v>
      </c>
      <c r="D261" s="617">
        <f>Abs!C264</f>
        <v>1864.69</v>
      </c>
      <c r="E261" s="618" t="str">
        <f>Abs!D264</f>
        <v>Sqm.</v>
      </c>
      <c r="F261" s="617">
        <f t="shared" si="3"/>
        <v>0</v>
      </c>
    </row>
    <row r="262" spans="1:6" ht="15.75" hidden="1">
      <c r="A262" s="614">
        <f>Abs!A265</f>
        <v>0</v>
      </c>
      <c r="B262" s="620">
        <f>Abs!Y265</f>
        <v>0</v>
      </c>
      <c r="C262" s="621" t="str">
        <f>Abs!B265</f>
        <v>d. In Third floor</v>
      </c>
      <c r="D262" s="617">
        <f>Abs!C265</f>
        <v>1873.24</v>
      </c>
      <c r="E262" s="618" t="str">
        <f>Abs!D265</f>
        <v>Sqm.</v>
      </c>
      <c r="F262" s="617">
        <f t="shared" si="3"/>
        <v>0</v>
      </c>
    </row>
    <row r="263" spans="1:6" s="496" customFormat="1" ht="17.25" hidden="1">
      <c r="A263" s="614">
        <f>Abs!A266</f>
        <v>0</v>
      </c>
      <c r="B263" s="620">
        <f>Abs!Y266</f>
        <v>0</v>
      </c>
      <c r="C263" s="621" t="str">
        <f>Abs!B266</f>
        <v>e.  In Fourth floor</v>
      </c>
      <c r="D263" s="617">
        <f>Abs!C266</f>
        <v>1881.79</v>
      </c>
      <c r="E263" s="618" t="str">
        <f>Abs!D266</f>
        <v>Sqm.</v>
      </c>
      <c r="F263" s="617">
        <f t="shared" si="3"/>
        <v>0</v>
      </c>
    </row>
    <row r="264" spans="1:6" ht="15.75" hidden="1">
      <c r="A264" s="614">
        <f>Abs!A267</f>
        <v>16.100000000000001</v>
      </c>
      <c r="B264" s="620">
        <f>Abs!Y267</f>
        <v>0</v>
      </c>
      <c r="C264" s="621" t="str">
        <f>Abs!B267</f>
        <v>Precast Jally ventilator 50mm tk.</v>
      </c>
      <c r="D264" s="617">
        <f>Abs!C267</f>
        <v>0</v>
      </c>
      <c r="E264" s="618">
        <f>Abs!D267</f>
        <v>0</v>
      </c>
      <c r="F264" s="617">
        <f t="shared" ref="F264:F327" si="4">D264*B264</f>
        <v>0</v>
      </c>
    </row>
    <row r="265" spans="1:6" ht="15.75" hidden="1">
      <c r="A265" s="614">
        <f>Abs!A268</f>
        <v>0</v>
      </c>
      <c r="B265" s="620">
        <f>Abs!Y268</f>
        <v>0</v>
      </c>
      <c r="C265" s="621" t="str">
        <f>Abs!B268</f>
        <v>a. In Ground Floor</v>
      </c>
      <c r="D265" s="617">
        <f>Abs!C268</f>
        <v>2570.34</v>
      </c>
      <c r="E265" s="618" t="str">
        <f>Abs!D268</f>
        <v>Sqm.</v>
      </c>
      <c r="F265" s="617">
        <f t="shared" si="4"/>
        <v>0</v>
      </c>
    </row>
    <row r="266" spans="1:6" ht="15.75" hidden="1">
      <c r="A266" s="614">
        <f>Abs!A269</f>
        <v>0</v>
      </c>
      <c r="B266" s="620">
        <f>Abs!Y269</f>
        <v>0</v>
      </c>
      <c r="C266" s="621" t="str">
        <f>Abs!B269</f>
        <v>b. In First floor</v>
      </c>
      <c r="D266" s="617">
        <f>Abs!C269</f>
        <v>2578.38</v>
      </c>
      <c r="E266" s="618" t="str">
        <f>Abs!D269</f>
        <v>Sqm.</v>
      </c>
      <c r="F266" s="617">
        <f t="shared" si="4"/>
        <v>0</v>
      </c>
    </row>
    <row r="267" spans="1:6" ht="15.75" hidden="1">
      <c r="A267" s="614">
        <f>Abs!A270</f>
        <v>0</v>
      </c>
      <c r="B267" s="620">
        <f>Abs!Y270</f>
        <v>0</v>
      </c>
      <c r="C267" s="621" t="str">
        <f>Abs!B270</f>
        <v>c. In Second floor</v>
      </c>
      <c r="D267" s="617">
        <f>Abs!C270</f>
        <v>2586.42</v>
      </c>
      <c r="E267" s="618" t="str">
        <f>Abs!D270</f>
        <v>Sqm.</v>
      </c>
      <c r="F267" s="617">
        <f t="shared" si="4"/>
        <v>0</v>
      </c>
    </row>
    <row r="268" spans="1:6" ht="15.75" hidden="1">
      <c r="A268" s="614">
        <f>Abs!A271</f>
        <v>0</v>
      </c>
      <c r="B268" s="620">
        <f>Abs!Y271</f>
        <v>0</v>
      </c>
      <c r="C268" s="621" t="str">
        <f>Abs!B271</f>
        <v>d. In Third floor</v>
      </c>
      <c r="D268" s="617">
        <f>Abs!C271</f>
        <v>2594.46</v>
      </c>
      <c r="E268" s="618" t="str">
        <f>Abs!D271</f>
        <v>Sqm.</v>
      </c>
      <c r="F268" s="617">
        <f t="shared" si="4"/>
        <v>0</v>
      </c>
    </row>
    <row r="269" spans="1:6" s="496" customFormat="1" ht="17.25" hidden="1">
      <c r="A269" s="614">
        <f>Abs!A272</f>
        <v>0</v>
      </c>
      <c r="B269" s="620">
        <f>Abs!Y272</f>
        <v>0</v>
      </c>
      <c r="C269" s="621" t="str">
        <f>Abs!B272</f>
        <v>e.  In Fourth floor</v>
      </c>
      <c r="D269" s="617">
        <f>Abs!C272</f>
        <v>2602.5</v>
      </c>
      <c r="E269" s="618" t="str">
        <f>Abs!D272</f>
        <v>Sqm.</v>
      </c>
      <c r="F269" s="617">
        <f t="shared" si="4"/>
        <v>0</v>
      </c>
    </row>
    <row r="270" spans="1:6" s="496" customFormat="1" ht="30" hidden="1">
      <c r="A270" s="614">
        <f>Abs!A273</f>
        <v>16.2</v>
      </c>
      <c r="B270" s="620">
        <f>Abs!Y273</f>
        <v>0</v>
      </c>
      <c r="C270" s="621" t="str">
        <f>Abs!B273</f>
        <v>Supplying &amp; fixing of Terra cotta jolly (not less than 50mm)</v>
      </c>
      <c r="D270" s="617">
        <f>Abs!C273</f>
        <v>0</v>
      </c>
      <c r="E270" s="618">
        <f>Abs!D273</f>
        <v>0</v>
      </c>
      <c r="F270" s="617">
        <f t="shared" si="4"/>
        <v>0</v>
      </c>
    </row>
    <row r="271" spans="1:6" s="496" customFormat="1" ht="17.25" hidden="1">
      <c r="A271" s="614">
        <f>Abs!A274</f>
        <v>0</v>
      </c>
      <c r="B271" s="620">
        <f>Abs!Y274</f>
        <v>0</v>
      </c>
      <c r="C271" s="621" t="str">
        <f>Abs!B274</f>
        <v>a. In Ground Floor</v>
      </c>
      <c r="D271" s="617">
        <f>Abs!C274</f>
        <v>483.57</v>
      </c>
      <c r="E271" s="618" t="str">
        <f>Abs!D274</f>
        <v>Sqm.</v>
      </c>
      <c r="F271" s="617">
        <f t="shared" si="4"/>
        <v>0</v>
      </c>
    </row>
    <row r="272" spans="1:6" s="496" customFormat="1" ht="17.25" hidden="1">
      <c r="A272" s="614">
        <f>Abs!A275</f>
        <v>0</v>
      </c>
      <c r="B272" s="620">
        <f>Abs!Y275</f>
        <v>0</v>
      </c>
      <c r="C272" s="621" t="str">
        <f>Abs!B275</f>
        <v>b. In First Floor</v>
      </c>
      <c r="D272" s="617">
        <f>Abs!C275</f>
        <v>490.77</v>
      </c>
      <c r="E272" s="618" t="str">
        <f>Abs!D275</f>
        <v>Sqm.</v>
      </c>
      <c r="F272" s="617">
        <f t="shared" si="4"/>
        <v>0</v>
      </c>
    </row>
    <row r="273" spans="1:6" s="496" customFormat="1" ht="17.25" hidden="1">
      <c r="A273" s="614">
        <f>Abs!A276</f>
        <v>0</v>
      </c>
      <c r="B273" s="620">
        <f>Abs!Y276</f>
        <v>0</v>
      </c>
      <c r="C273" s="621" t="str">
        <f>Abs!B276</f>
        <v>c. In Second Floor</v>
      </c>
      <c r="D273" s="617">
        <f>Abs!C276</f>
        <v>497.97</v>
      </c>
      <c r="E273" s="618" t="str">
        <f>Abs!D276</f>
        <v>Sqm.</v>
      </c>
      <c r="F273" s="617">
        <f t="shared" si="4"/>
        <v>0</v>
      </c>
    </row>
    <row r="274" spans="1:6" s="496" customFormat="1" ht="17.25" hidden="1">
      <c r="A274" s="614">
        <f>Abs!A277</f>
        <v>0</v>
      </c>
      <c r="B274" s="620">
        <f>Abs!Y277</f>
        <v>0</v>
      </c>
      <c r="C274" s="621" t="str">
        <f>Abs!B277</f>
        <v>d. In Third Floor</v>
      </c>
      <c r="D274" s="617">
        <f>Abs!C277</f>
        <v>505.17</v>
      </c>
      <c r="E274" s="618" t="str">
        <f>Abs!D277</f>
        <v>Sqm.</v>
      </c>
      <c r="F274" s="617">
        <f t="shared" si="4"/>
        <v>0</v>
      </c>
    </row>
    <row r="275" spans="1:6" s="496" customFormat="1" ht="17.25" hidden="1">
      <c r="A275" s="614">
        <f>Abs!A278</f>
        <v>0</v>
      </c>
      <c r="B275" s="620">
        <f>Abs!Y278</f>
        <v>0</v>
      </c>
      <c r="C275" s="621" t="str">
        <f>Abs!B278</f>
        <v>e. In Fourth Floor</v>
      </c>
      <c r="D275" s="617">
        <f>Abs!C278</f>
        <v>512.37</v>
      </c>
      <c r="E275" s="618" t="str">
        <f>Abs!D278</f>
        <v>Sqm.</v>
      </c>
      <c r="F275" s="617">
        <f t="shared" si="4"/>
        <v>0</v>
      </c>
    </row>
    <row r="276" spans="1:6" s="496" customFormat="1" ht="30" hidden="1">
      <c r="A276" s="614">
        <f>Abs!A279</f>
        <v>16.3</v>
      </c>
      <c r="B276" s="620">
        <f>Abs!Y279</f>
        <v>0</v>
      </c>
      <c r="C276" s="621" t="str">
        <f>Abs!B279</f>
        <v>Supplying &amp; fixing of Terra cotta jolly (more than  50mm  upto 110 mm)</v>
      </c>
      <c r="D276" s="617">
        <f>Abs!C279</f>
        <v>0</v>
      </c>
      <c r="E276" s="618">
        <f>Abs!D279</f>
        <v>0</v>
      </c>
      <c r="F276" s="617">
        <f t="shared" si="4"/>
        <v>0</v>
      </c>
    </row>
    <row r="277" spans="1:6" s="496" customFormat="1" ht="17.25" hidden="1">
      <c r="A277" s="614">
        <f>Abs!A280</f>
        <v>0</v>
      </c>
      <c r="B277" s="620">
        <f>Abs!Y280</f>
        <v>0</v>
      </c>
      <c r="C277" s="621" t="str">
        <f>Abs!B280</f>
        <v>a. In Ground Floor</v>
      </c>
      <c r="D277" s="617">
        <f>Abs!C280</f>
        <v>657.85</v>
      </c>
      <c r="E277" s="618" t="str">
        <f>Abs!D280</f>
        <v>Sqm.</v>
      </c>
      <c r="F277" s="617">
        <f t="shared" si="4"/>
        <v>0</v>
      </c>
    </row>
    <row r="278" spans="1:6" s="496" customFormat="1" ht="17.25" hidden="1">
      <c r="A278" s="614">
        <f>Abs!A281</f>
        <v>0</v>
      </c>
      <c r="B278" s="620">
        <f>Abs!Y281</f>
        <v>0</v>
      </c>
      <c r="C278" s="621" t="str">
        <f>Abs!B281</f>
        <v>b. In First Floor</v>
      </c>
      <c r="D278" s="617">
        <f>Abs!C281</f>
        <v>673.7</v>
      </c>
      <c r="E278" s="618" t="str">
        <f>Abs!D281</f>
        <v>Sqm.</v>
      </c>
      <c r="F278" s="617">
        <f t="shared" si="4"/>
        <v>0</v>
      </c>
    </row>
    <row r="279" spans="1:6" s="496" customFormat="1" ht="17.25" hidden="1">
      <c r="A279" s="614">
        <f>Abs!A282</f>
        <v>0</v>
      </c>
      <c r="B279" s="620">
        <f>Abs!Y282</f>
        <v>0</v>
      </c>
      <c r="C279" s="621" t="str">
        <f>Abs!B282</f>
        <v>c. In Second Floor</v>
      </c>
      <c r="D279" s="617">
        <f>Abs!C282</f>
        <v>689.55</v>
      </c>
      <c r="E279" s="618" t="str">
        <f>Abs!D282</f>
        <v>Sqm.</v>
      </c>
      <c r="F279" s="617">
        <f t="shared" si="4"/>
        <v>0</v>
      </c>
    </row>
    <row r="280" spans="1:6" s="496" customFormat="1" ht="17.25" hidden="1">
      <c r="A280" s="614">
        <f>Abs!A283</f>
        <v>0</v>
      </c>
      <c r="B280" s="620">
        <f>Abs!Y283</f>
        <v>0</v>
      </c>
      <c r="C280" s="621" t="str">
        <f>Abs!B283</f>
        <v>d. In Third Floor</v>
      </c>
      <c r="D280" s="617">
        <f>Abs!C283</f>
        <v>705.4</v>
      </c>
      <c r="E280" s="618" t="str">
        <f>Abs!D283</f>
        <v>Sqm.</v>
      </c>
      <c r="F280" s="617">
        <f t="shared" si="4"/>
        <v>0</v>
      </c>
    </row>
    <row r="281" spans="1:6" s="496" customFormat="1" ht="21" hidden="1" customHeight="1">
      <c r="A281" s="614">
        <f>Abs!A284</f>
        <v>0</v>
      </c>
      <c r="B281" s="620">
        <f>Abs!Y284</f>
        <v>0</v>
      </c>
      <c r="C281" s="621" t="str">
        <f>Abs!B284</f>
        <v>e. In Fourth Floor</v>
      </c>
      <c r="D281" s="617">
        <f>Abs!C284</f>
        <v>721.25</v>
      </c>
      <c r="E281" s="618" t="str">
        <f>Abs!D284</f>
        <v>Sqm.</v>
      </c>
      <c r="F281" s="617">
        <f t="shared" si="4"/>
        <v>0</v>
      </c>
    </row>
    <row r="282" spans="1:6" s="496" customFormat="1" ht="21" hidden="1" customHeight="1">
      <c r="A282" s="614">
        <f>Abs!A285</f>
        <v>17</v>
      </c>
      <c r="B282" s="620">
        <f>Abs!Y285</f>
        <v>0</v>
      </c>
      <c r="C282" s="621" t="str">
        <f>Abs!B285</f>
        <v>Form work- Lintel (C.W. planks)</v>
      </c>
      <c r="D282" s="617">
        <f>Abs!C285</f>
        <v>0</v>
      </c>
      <c r="E282" s="618" t="str">
        <f>Abs!D285</f>
        <v>Sqm.</v>
      </c>
      <c r="F282" s="617">
        <f t="shared" si="4"/>
        <v>0</v>
      </c>
    </row>
    <row r="283" spans="1:6" s="496" customFormat="1" ht="21" hidden="1" customHeight="1">
      <c r="A283" s="614">
        <f>Abs!A286</f>
        <v>18</v>
      </c>
      <c r="B283" s="620">
        <f>Abs!Y286</f>
        <v>0</v>
      </c>
      <c r="C283" s="621" t="str">
        <f>Abs!B286</f>
        <v>Form work - M.S. Sheet (slab)</v>
      </c>
      <c r="D283" s="617">
        <f>Abs!C286</f>
        <v>0</v>
      </c>
      <c r="E283" s="618" t="str">
        <f>Abs!D286</f>
        <v>Sqm.</v>
      </c>
      <c r="F283" s="617">
        <f t="shared" si="4"/>
        <v>0</v>
      </c>
    </row>
    <row r="284" spans="1:6" s="496" customFormat="1" ht="17.25" hidden="1">
      <c r="A284" s="614">
        <f>Abs!A287</f>
        <v>19</v>
      </c>
      <c r="B284" s="620">
        <f>Abs!Y287</f>
        <v>0</v>
      </c>
      <c r="C284" s="621" t="str">
        <f>Abs!B287</f>
        <v>Form work - Small quantities  (M.S. Sheet)</v>
      </c>
      <c r="D284" s="617">
        <f>Abs!C287</f>
        <v>0</v>
      </c>
      <c r="E284" s="618" t="str">
        <f>Abs!D287</f>
        <v>Sqm.</v>
      </c>
      <c r="F284" s="617">
        <f t="shared" si="4"/>
        <v>0</v>
      </c>
    </row>
    <row r="285" spans="1:6" s="496" customFormat="1" ht="17.25" hidden="1">
      <c r="A285" s="614">
        <f>Abs!A288</f>
        <v>20</v>
      </c>
      <c r="B285" s="620">
        <f>Abs!Y288</f>
        <v>0</v>
      </c>
      <c r="C285" s="621" t="str">
        <f>Abs!B288</f>
        <v>Form work - Plinth beam (C.W. planks)</v>
      </c>
      <c r="D285" s="617">
        <f>Abs!C288</f>
        <v>0</v>
      </c>
      <c r="E285" s="618" t="str">
        <f>Abs!D288</f>
        <v>Sqm.</v>
      </c>
      <c r="F285" s="617">
        <f t="shared" si="4"/>
        <v>0</v>
      </c>
    </row>
    <row r="286" spans="1:6" s="496" customFormat="1" ht="17.25" hidden="1">
      <c r="A286" s="614">
        <f>Abs!A289</f>
        <v>21.1</v>
      </c>
      <c r="B286" s="620">
        <f>Abs!Y289</f>
        <v>0</v>
      </c>
      <c r="C286" s="621" t="str">
        <f>Abs!B289</f>
        <v>R.C.C.Door frame</v>
      </c>
      <c r="D286" s="617">
        <f>Abs!C289</f>
        <v>0</v>
      </c>
      <c r="E286" s="618">
        <f>Abs!D289</f>
        <v>0</v>
      </c>
      <c r="F286" s="617">
        <f t="shared" si="4"/>
        <v>0</v>
      </c>
    </row>
    <row r="287" spans="1:6" s="496" customFormat="1" ht="17.25" hidden="1">
      <c r="A287" s="614">
        <f>Abs!A290</f>
        <v>0</v>
      </c>
      <c r="B287" s="620">
        <f>Abs!Y290</f>
        <v>0</v>
      </c>
      <c r="C287" s="621" t="str">
        <f>Abs!B290</f>
        <v>a. 900 x 2100 mm</v>
      </c>
      <c r="D287" s="617">
        <f>Abs!C290</f>
        <v>2447.34</v>
      </c>
      <c r="E287" s="618" t="str">
        <f>Abs!D290</f>
        <v>Each</v>
      </c>
      <c r="F287" s="617">
        <f t="shared" si="4"/>
        <v>0</v>
      </c>
    </row>
    <row r="288" spans="1:6" s="496" customFormat="1" ht="17.25" hidden="1">
      <c r="A288" s="614">
        <f>Abs!A291</f>
        <v>0</v>
      </c>
      <c r="B288" s="620">
        <f>Abs!Y291</f>
        <v>0</v>
      </c>
      <c r="C288" s="621" t="str">
        <f>Abs!B291</f>
        <v>b. 700 x 2100 mm</v>
      </c>
      <c r="D288" s="617">
        <f>Abs!C291</f>
        <v>2413.44</v>
      </c>
      <c r="E288" s="618" t="str">
        <f>Abs!D291</f>
        <v>Each</v>
      </c>
      <c r="F288" s="617">
        <f t="shared" si="4"/>
        <v>0</v>
      </c>
    </row>
    <row r="289" spans="1:6" s="496" customFormat="1" ht="17.25" hidden="1">
      <c r="A289" s="614">
        <f>Abs!A292</f>
        <v>0</v>
      </c>
      <c r="B289" s="620">
        <f>Abs!Y292</f>
        <v>0</v>
      </c>
      <c r="C289" s="621" t="str">
        <f>Abs!B292</f>
        <v>c. 1000 x 2100 mm</v>
      </c>
      <c r="D289" s="617">
        <f>Abs!C292</f>
        <v>2467.38</v>
      </c>
      <c r="E289" s="618" t="str">
        <f>Abs!D292</f>
        <v>Each</v>
      </c>
      <c r="F289" s="617">
        <f t="shared" si="4"/>
        <v>0</v>
      </c>
    </row>
    <row r="290" spans="1:6" s="496" customFormat="1" ht="25.9" customHeight="1">
      <c r="A290" s="614">
        <f>Abs!A295</f>
        <v>21.2</v>
      </c>
      <c r="B290" s="615" t="e">
        <f>Abs!Y295</f>
        <v>#REF!</v>
      </c>
      <c r="C290" s="616" t="str">
        <f>Abs!B295</f>
        <v>Teak wood Wrought &amp; Put up</v>
      </c>
      <c r="D290" s="617">
        <f>Abs!C295</f>
        <v>0</v>
      </c>
      <c r="E290" s="618">
        <f>Abs!D295</f>
        <v>0</v>
      </c>
      <c r="F290" s="617"/>
    </row>
    <row r="291" spans="1:6" s="496" customFormat="1" ht="25.9" customHeight="1">
      <c r="A291" s="614">
        <f>Abs!A296</f>
        <v>0</v>
      </c>
      <c r="B291" s="620" t="e">
        <f>Abs!Y296</f>
        <v>#REF!</v>
      </c>
      <c r="C291" s="621" t="str">
        <f>Abs!B296</f>
        <v>a. T.W. over 2 m &amp; below 3 m</v>
      </c>
      <c r="D291" s="617">
        <f>Abs!C296</f>
        <v>123400</v>
      </c>
      <c r="E291" s="618" t="str">
        <f>Abs!D296</f>
        <v>Cum.</v>
      </c>
      <c r="F291" s="617" t="e">
        <f t="shared" si="4"/>
        <v>#REF!</v>
      </c>
    </row>
    <row r="292" spans="1:6" s="496" customFormat="1" ht="25.9" customHeight="1">
      <c r="A292" s="614">
        <f>Abs!A297</f>
        <v>0</v>
      </c>
      <c r="B292" s="620" t="e">
        <f>Abs!Y297</f>
        <v>#REF!</v>
      </c>
      <c r="C292" s="621" t="str">
        <f>Abs!B297</f>
        <v>b. T.W. below 2 m length.</v>
      </c>
      <c r="D292" s="617">
        <f>Abs!C297</f>
        <v>111200</v>
      </c>
      <c r="E292" s="618" t="str">
        <f>Abs!D297</f>
        <v>Cum.</v>
      </c>
      <c r="F292" s="617" t="e">
        <f t="shared" si="4"/>
        <v>#REF!</v>
      </c>
    </row>
    <row r="293" spans="1:6" s="496" customFormat="1" ht="30" hidden="1">
      <c r="A293" s="614">
        <f>Abs!A298</f>
        <v>21.3</v>
      </c>
      <c r="B293" s="620">
        <f>Abs!Y298</f>
        <v>0</v>
      </c>
      <c r="C293" s="621" t="str">
        <f>Abs!B298</f>
        <v xml:space="preserve">PVC Door frame &amp; shutter  
</v>
      </c>
      <c r="D293" s="617">
        <f>Abs!C298</f>
        <v>2034</v>
      </c>
      <c r="E293" s="618" t="str">
        <f>Abs!D298</f>
        <v>Sqm.</v>
      </c>
      <c r="F293" s="617">
        <f t="shared" si="4"/>
        <v>0</v>
      </c>
    </row>
    <row r="294" spans="1:6" s="496" customFormat="1" ht="17.25" hidden="1">
      <c r="A294" s="614">
        <f>Abs!A299</f>
        <v>22.1</v>
      </c>
      <c r="B294" s="620">
        <f>Abs!Y299</f>
        <v>0</v>
      </c>
      <c r="C294" s="621" t="str">
        <f>Abs!B299</f>
        <v>Teak wood panelled door shutters</v>
      </c>
      <c r="D294" s="617">
        <f>Abs!C299</f>
        <v>0</v>
      </c>
      <c r="E294" s="618">
        <f>Abs!D299</f>
        <v>0</v>
      </c>
      <c r="F294" s="617">
        <f t="shared" si="4"/>
        <v>0</v>
      </c>
    </row>
    <row r="295" spans="1:6" s="496" customFormat="1" ht="17.25" hidden="1">
      <c r="A295" s="614">
        <f>Abs!A300</f>
        <v>0</v>
      </c>
      <c r="B295" s="620">
        <f>Abs!Y300</f>
        <v>0</v>
      </c>
      <c r="C295" s="621" t="str">
        <f>Abs!B300</f>
        <v>a. 1000 x 2100 mm</v>
      </c>
      <c r="D295" s="617">
        <f>Abs!C300</f>
        <v>4790.3500000000004</v>
      </c>
      <c r="E295" s="618" t="str">
        <f>Abs!D300</f>
        <v>Sqm.</v>
      </c>
      <c r="F295" s="617">
        <f t="shared" si="4"/>
        <v>0</v>
      </c>
    </row>
    <row r="296" spans="1:6" ht="15.75" hidden="1">
      <c r="A296" s="614">
        <f>Abs!A301</f>
        <v>0</v>
      </c>
      <c r="B296" s="620">
        <f>Abs!Y301</f>
        <v>0</v>
      </c>
      <c r="C296" s="621" t="str">
        <f>Abs!B301</f>
        <v>b. 900 x 2100 mm</v>
      </c>
      <c r="D296" s="617">
        <f>Abs!C301</f>
        <v>4803.54</v>
      </c>
      <c r="E296" s="618" t="str">
        <f>Abs!D301</f>
        <v>Sqm.</v>
      </c>
      <c r="F296" s="617">
        <f t="shared" si="4"/>
        <v>0</v>
      </c>
    </row>
    <row r="297" spans="1:6" ht="15.75" hidden="1">
      <c r="A297" s="614">
        <f>Abs!A302</f>
        <v>0</v>
      </c>
      <c r="B297" s="620">
        <f>Abs!Y302</f>
        <v>0</v>
      </c>
      <c r="C297" s="621" t="str">
        <f>Abs!B302</f>
        <v>c. 700 x 2100 mm</v>
      </c>
      <c r="D297" s="617">
        <f>Abs!C302</f>
        <v>4817.3500000000004</v>
      </c>
      <c r="E297" s="618" t="str">
        <f>Abs!D302</f>
        <v>Sqm.</v>
      </c>
      <c r="F297" s="617">
        <f t="shared" si="4"/>
        <v>0</v>
      </c>
    </row>
    <row r="298" spans="1:6" ht="15.75" hidden="1">
      <c r="A298" s="614">
        <f>Abs!A303</f>
        <v>0</v>
      </c>
      <c r="B298" s="620">
        <f>Abs!Y303</f>
        <v>0</v>
      </c>
      <c r="C298" s="621" t="str">
        <f>Abs!B303</f>
        <v>d. 1200 x 2100 mm (Single) annexure item</v>
      </c>
      <c r="D298" s="617">
        <f>Abs!C303</f>
        <v>5777.7</v>
      </c>
      <c r="E298" s="618" t="str">
        <f>Abs!D303</f>
        <v>Sqm.</v>
      </c>
      <c r="F298" s="617">
        <f t="shared" si="4"/>
        <v>0</v>
      </c>
    </row>
    <row r="299" spans="1:6" s="496" customFormat="1" ht="17.25" hidden="1">
      <c r="A299" s="614">
        <f>Abs!A304</f>
        <v>22.2</v>
      </c>
      <c r="B299" s="620">
        <f>Abs!Y304</f>
        <v>0</v>
      </c>
      <c r="C299" s="621" t="str">
        <f>Abs!B304</f>
        <v>Teak wood "Window" &amp;  Ventilator Shutter</v>
      </c>
      <c r="D299" s="617">
        <f>Abs!C304</f>
        <v>0</v>
      </c>
      <c r="E299" s="618">
        <f>Abs!D304</f>
        <v>0</v>
      </c>
      <c r="F299" s="617">
        <f t="shared" si="4"/>
        <v>0</v>
      </c>
    </row>
    <row r="300" spans="1:6" ht="15.75" hidden="1">
      <c r="A300" s="614">
        <f>Abs!A305</f>
        <v>0</v>
      </c>
      <c r="B300" s="620">
        <f>Abs!Y305</f>
        <v>0</v>
      </c>
      <c r="C300" s="621" t="str">
        <f>Abs!B305</f>
        <v>a. Window: 135 cm ht.</v>
      </c>
      <c r="D300" s="617">
        <f>Abs!C305</f>
        <v>3364.08</v>
      </c>
      <c r="E300" s="618" t="str">
        <f>Abs!D305</f>
        <v>Sqm.</v>
      </c>
      <c r="F300" s="617">
        <f t="shared" si="4"/>
        <v>0</v>
      </c>
    </row>
    <row r="301" spans="1:6" ht="15.75" hidden="1">
      <c r="A301" s="614">
        <f>Abs!A306</f>
        <v>0</v>
      </c>
      <c r="B301" s="620">
        <f>Abs!Y306</f>
        <v>0</v>
      </c>
      <c r="C301" s="621" t="str">
        <f>Abs!B306</f>
        <v>b. Window: 120 cm ht.</v>
      </c>
      <c r="D301" s="617">
        <f>Abs!C306</f>
        <v>0</v>
      </c>
      <c r="E301" s="618" t="str">
        <f>Abs!D306</f>
        <v>Sqm.</v>
      </c>
      <c r="F301" s="617">
        <f t="shared" si="4"/>
        <v>0</v>
      </c>
    </row>
    <row r="302" spans="1:6" s="496" customFormat="1" ht="17.25" hidden="1">
      <c r="A302" s="614">
        <f>Abs!A307</f>
        <v>0</v>
      </c>
      <c r="B302" s="620">
        <f>Abs!Y307</f>
        <v>0</v>
      </c>
      <c r="C302" s="621" t="str">
        <f>Abs!B307</f>
        <v>c. Window: 105 cm ht.</v>
      </c>
      <c r="D302" s="617">
        <f>Abs!C307</f>
        <v>3552.27</v>
      </c>
      <c r="E302" s="618" t="str">
        <f>Abs!D307</f>
        <v>Sqm.</v>
      </c>
      <c r="F302" s="617">
        <f t="shared" si="4"/>
        <v>0</v>
      </c>
    </row>
    <row r="303" spans="1:6" s="496" customFormat="1" ht="17.25" hidden="1">
      <c r="A303" s="614">
        <f>Abs!A308</f>
        <v>0</v>
      </c>
      <c r="B303" s="620">
        <f>Abs!Y308</f>
        <v>0</v>
      </c>
      <c r="C303" s="621" t="str">
        <f>Abs!B308</f>
        <v>d. Ventilator: (90 x 60 cm)</v>
      </c>
      <c r="D303" s="617">
        <f>Abs!C308</f>
        <v>2642.35</v>
      </c>
      <c r="E303" s="618" t="str">
        <f>Abs!D308</f>
        <v>Sqm.</v>
      </c>
      <c r="F303" s="617">
        <f t="shared" si="4"/>
        <v>0</v>
      </c>
    </row>
    <row r="304" spans="1:6" s="496" customFormat="1" ht="17.25" hidden="1">
      <c r="A304" s="614">
        <f>Abs!A309</f>
        <v>22.3</v>
      </c>
      <c r="B304" s="620">
        <f>Abs!Y309</f>
        <v>0</v>
      </c>
      <c r="C304" s="621" t="str">
        <f>Abs!B309</f>
        <v>T.W. double leaf shutters for cup board/ ward robes</v>
      </c>
      <c r="D304" s="617">
        <f>Abs!C309</f>
        <v>0</v>
      </c>
      <c r="E304" s="618" t="str">
        <f>Abs!D309</f>
        <v>Sqm.</v>
      </c>
      <c r="F304" s="617">
        <f t="shared" si="4"/>
        <v>0</v>
      </c>
    </row>
    <row r="305" spans="1:6" s="496" customFormat="1" ht="30" hidden="1">
      <c r="A305" s="614">
        <f>Abs!A310</f>
        <v>23.1</v>
      </c>
      <c r="B305" s="620">
        <f>Abs!Y310</f>
        <v>0</v>
      </c>
      <c r="C305" s="621" t="str">
        <f>Abs!B310</f>
        <v>T.W. single leaf  Door shutters using    9 mm tk. phynol bonded BWR plywood</v>
      </c>
      <c r="D305" s="617">
        <f>Abs!C310</f>
        <v>0</v>
      </c>
      <c r="E305" s="618" t="str">
        <f>Abs!D310</f>
        <v>Sqm.</v>
      </c>
      <c r="F305" s="617">
        <f t="shared" si="4"/>
        <v>0</v>
      </c>
    </row>
    <row r="306" spans="1:6" s="496" customFormat="1" ht="24.75" hidden="1" customHeight="1">
      <c r="A306" s="614">
        <f>Abs!A311</f>
        <v>0</v>
      </c>
      <c r="B306" s="620">
        <f>Abs!Y311</f>
        <v>0</v>
      </c>
      <c r="C306" s="621" t="str">
        <f>Abs!B311</f>
        <v>a. 900 x 2100 mm</v>
      </c>
      <c r="D306" s="617">
        <f>Abs!C311</f>
        <v>3424.55</v>
      </c>
      <c r="E306" s="618" t="str">
        <f>Abs!D311</f>
        <v>Sqm.</v>
      </c>
      <c r="F306" s="617">
        <f t="shared" si="4"/>
        <v>0</v>
      </c>
    </row>
    <row r="307" spans="1:6" s="496" customFormat="1" ht="24.75" hidden="1" customHeight="1">
      <c r="A307" s="614">
        <f>Abs!A312</f>
        <v>23.2</v>
      </c>
      <c r="B307" s="620" t="e">
        <f>Abs!Y312</f>
        <v>#REF!</v>
      </c>
      <c r="C307" s="621" t="str">
        <f>Abs!B312</f>
        <v>Glass panels with Aluminium beedings</v>
      </c>
      <c r="D307" s="617">
        <f>Abs!C312</f>
        <v>708.1</v>
      </c>
      <c r="E307" s="618" t="str">
        <f>Abs!D312</f>
        <v>Sqm.</v>
      </c>
      <c r="F307" s="617" t="e">
        <f t="shared" si="4"/>
        <v>#REF!</v>
      </c>
    </row>
    <row r="308" spans="1:6" s="496" customFormat="1" ht="33" customHeight="1">
      <c r="A308" s="614">
        <f>Abs!A313</f>
        <v>23.3</v>
      </c>
      <c r="B308" s="620" t="e">
        <f>Abs!Y313</f>
        <v>#REF!</v>
      </c>
      <c r="C308" s="621" t="str">
        <f>Abs!B313</f>
        <v>S&amp;F of Magnetic door catches</v>
      </c>
      <c r="D308" s="617">
        <f>Abs!C313</f>
        <v>52</v>
      </c>
      <c r="E308" s="618" t="str">
        <f>Abs!D313</f>
        <v>Each</v>
      </c>
      <c r="F308" s="617" t="e">
        <f t="shared" si="4"/>
        <v>#REF!</v>
      </c>
    </row>
    <row r="309" spans="1:6" s="496" customFormat="1" ht="30" hidden="1">
      <c r="A309" s="614">
        <f>Abs!A314</f>
        <v>23.4</v>
      </c>
      <c r="B309" s="620">
        <f>Abs!Y314</f>
        <v>0</v>
      </c>
      <c r="C309" s="621" t="str">
        <f>Abs!B314</f>
        <v xml:space="preserve">Supply and fixing of Aluminium window with 3mm thick Glass </v>
      </c>
      <c r="D309" s="617">
        <f>Abs!C314</f>
        <v>0</v>
      </c>
      <c r="E309" s="618">
        <f>Abs!D314</f>
        <v>0</v>
      </c>
      <c r="F309" s="617">
        <f t="shared" si="4"/>
        <v>0</v>
      </c>
    </row>
    <row r="310" spans="1:6" s="496" customFormat="1" ht="17.25" hidden="1">
      <c r="A310" s="614">
        <f>Abs!A315</f>
        <v>0</v>
      </c>
      <c r="B310" s="620">
        <f>Abs!Y315</f>
        <v>0</v>
      </c>
      <c r="C310" s="621" t="str">
        <f>Abs!B315</f>
        <v>a. 1.8 x 1.35 mt.window</v>
      </c>
      <c r="D310" s="617">
        <f>Abs!C315</f>
        <v>14736.03</v>
      </c>
      <c r="E310" s="618" t="str">
        <f>Abs!D315</f>
        <v>Each</v>
      </c>
      <c r="F310" s="617">
        <f t="shared" si="4"/>
        <v>0</v>
      </c>
    </row>
    <row r="311" spans="1:6" ht="15.75" hidden="1">
      <c r="A311" s="614">
        <f>Abs!A316</f>
        <v>0</v>
      </c>
      <c r="B311" s="620">
        <f>Abs!Y316</f>
        <v>0</v>
      </c>
      <c r="C311" s="621" t="str">
        <f>Abs!B316</f>
        <v>b. 1.35 x 1.35 mt.window</v>
      </c>
      <c r="D311" s="617">
        <f>Abs!C316</f>
        <v>11107.42</v>
      </c>
      <c r="E311" s="618" t="str">
        <f>Abs!D316</f>
        <v>Each</v>
      </c>
      <c r="F311" s="617">
        <f t="shared" si="4"/>
        <v>0</v>
      </c>
    </row>
    <row r="312" spans="1:6" s="496" customFormat="1" ht="17.25" hidden="1">
      <c r="A312" s="614">
        <f>Abs!A317</f>
        <v>0</v>
      </c>
      <c r="B312" s="620">
        <f>Abs!Y317</f>
        <v>0</v>
      </c>
      <c r="C312" s="621" t="str">
        <f>Abs!B317</f>
        <v>c. 1.35 x  1.05 mt window</v>
      </c>
      <c r="D312" s="617">
        <f>Abs!C317</f>
        <v>9473.89</v>
      </c>
      <c r="E312" s="618" t="str">
        <f>Abs!D317</f>
        <v>Each</v>
      </c>
      <c r="F312" s="617">
        <f t="shared" si="4"/>
        <v>0</v>
      </c>
    </row>
    <row r="313" spans="1:6" ht="15.75" hidden="1">
      <c r="A313" s="614">
        <f>Abs!A318</f>
        <v>0</v>
      </c>
      <c r="B313" s="620">
        <f>Abs!Y318</f>
        <v>0</v>
      </c>
      <c r="C313" s="621" t="str">
        <f>Abs!B318</f>
        <v>d. 1.2 x 1.35 mt window</v>
      </c>
      <c r="D313" s="617">
        <f>Abs!C318</f>
        <v>8840.69</v>
      </c>
      <c r="E313" s="618" t="str">
        <f>Abs!D318</f>
        <v>Each</v>
      </c>
      <c r="F313" s="617">
        <f t="shared" si="4"/>
        <v>0</v>
      </c>
    </row>
    <row r="314" spans="1:6" s="496" customFormat="1" ht="17.25" hidden="1">
      <c r="A314" s="614">
        <f>Abs!A319</f>
        <v>0</v>
      </c>
      <c r="B314" s="620">
        <f>Abs!Y319</f>
        <v>0</v>
      </c>
      <c r="C314" s="621" t="str">
        <f>Abs!B319</f>
        <v>e. 1.2 x 1.05 mt window</v>
      </c>
      <c r="D314" s="617">
        <f>Abs!C319</f>
        <v>7331.91</v>
      </c>
      <c r="E314" s="618" t="str">
        <f>Abs!D319</f>
        <v>Each</v>
      </c>
      <c r="F314" s="617">
        <f t="shared" si="4"/>
        <v>0</v>
      </c>
    </row>
    <row r="315" spans="1:6" s="496" customFormat="1" ht="24.75" hidden="1" customHeight="1">
      <c r="A315" s="614">
        <f>Abs!A320</f>
        <v>0</v>
      </c>
      <c r="B315" s="620">
        <f>Abs!Y320</f>
        <v>0</v>
      </c>
      <c r="C315" s="621" t="str">
        <f>Abs!B320</f>
        <v>f. 1.05 x 1.35 mt window</v>
      </c>
      <c r="D315" s="617">
        <f>Abs!C320</f>
        <v>8158.11</v>
      </c>
      <c r="E315" s="618" t="str">
        <f>Abs!D320</f>
        <v>Each</v>
      </c>
      <c r="F315" s="617">
        <f t="shared" si="4"/>
        <v>0</v>
      </c>
    </row>
    <row r="316" spans="1:6" s="496" customFormat="1" ht="17.25" hidden="1">
      <c r="A316" s="614">
        <f>Abs!A321</f>
        <v>0</v>
      </c>
      <c r="B316" s="620">
        <f>Abs!Y321</f>
        <v>0</v>
      </c>
      <c r="C316" s="621" t="str">
        <f>Abs!B321</f>
        <v>g. 0.9 x 1.35 mt window</v>
      </c>
      <c r="D316" s="617">
        <f>Abs!C321</f>
        <v>7471.4</v>
      </c>
      <c r="E316" s="618" t="str">
        <f>Abs!D321</f>
        <v>Each</v>
      </c>
      <c r="F316" s="617">
        <f t="shared" si="4"/>
        <v>0</v>
      </c>
    </row>
    <row r="317" spans="1:6" s="496" customFormat="1" ht="17.25" hidden="1">
      <c r="A317" s="614">
        <f>Abs!A322</f>
        <v>0</v>
      </c>
      <c r="B317" s="620">
        <f>Abs!Y322</f>
        <v>0</v>
      </c>
      <c r="C317" s="621" t="str">
        <f>Abs!B322</f>
        <v>h. 0.9 x 1.05 mt window</v>
      </c>
      <c r="D317" s="617">
        <f>Abs!C322</f>
        <v>6373.77</v>
      </c>
      <c r="E317" s="618" t="str">
        <f>Abs!D322</f>
        <v>Each</v>
      </c>
      <c r="F317" s="617">
        <f t="shared" si="4"/>
        <v>0</v>
      </c>
    </row>
    <row r="318" spans="1:6" s="496" customFormat="1" ht="17.25" hidden="1">
      <c r="A318" s="614">
        <f>Abs!A323</f>
        <v>0</v>
      </c>
      <c r="B318" s="620">
        <f>Abs!Y323</f>
        <v>0</v>
      </c>
      <c r="C318" s="621" t="str">
        <f>Abs!B323</f>
        <v>i. 0.5 x 1.35 mt window</v>
      </c>
      <c r="D318" s="617">
        <f>Abs!C323</f>
        <v>4066.04</v>
      </c>
      <c r="E318" s="618" t="str">
        <f>Abs!D323</f>
        <v>Each</v>
      </c>
      <c r="F318" s="617">
        <f t="shared" si="4"/>
        <v>0</v>
      </c>
    </row>
    <row r="319" spans="1:6" s="496" customFormat="1" ht="17.25" hidden="1">
      <c r="A319" s="614">
        <f>Abs!A324</f>
        <v>0</v>
      </c>
      <c r="B319" s="620">
        <f>Abs!Y324</f>
        <v>0</v>
      </c>
      <c r="C319" s="621" t="str">
        <f>Abs!B324</f>
        <v>j. 0.45 x 1.35 mt window</v>
      </c>
      <c r="D319" s="617">
        <f>Abs!C324</f>
        <v>3838.83</v>
      </c>
      <c r="E319" s="618" t="str">
        <f>Abs!D324</f>
        <v>Each</v>
      </c>
      <c r="F319" s="617">
        <f t="shared" si="4"/>
        <v>0</v>
      </c>
    </row>
    <row r="320" spans="1:6" s="496" customFormat="1" ht="17.25" hidden="1">
      <c r="A320" s="614">
        <f>Abs!A325</f>
        <v>0</v>
      </c>
      <c r="B320" s="620">
        <f>Abs!Y325</f>
        <v>0</v>
      </c>
      <c r="C320" s="621" t="str">
        <f>Abs!B325</f>
        <v>k.0.90 x 0.60 mt.Ventilator</v>
      </c>
      <c r="D320" s="617">
        <f>Abs!C325</f>
        <v>4631</v>
      </c>
      <c r="E320" s="618" t="str">
        <f>Abs!D325</f>
        <v>Each</v>
      </c>
      <c r="F320" s="617">
        <f t="shared" si="4"/>
        <v>0</v>
      </c>
    </row>
    <row r="321" spans="1:6" s="496" customFormat="1" ht="24.75" hidden="1" customHeight="1">
      <c r="A321" s="614">
        <f>Abs!A326</f>
        <v>0</v>
      </c>
      <c r="B321" s="620">
        <f>Abs!Y326</f>
        <v>0</v>
      </c>
      <c r="C321" s="621" t="str">
        <f>Abs!B326</f>
        <v>l. 0.60 x 0.60 mt.Ventilator</v>
      </c>
      <c r="D321" s="617">
        <f>Abs!C326</f>
        <v>5154.1099999999997</v>
      </c>
      <c r="E321" s="618" t="str">
        <f>Abs!D326</f>
        <v>Each</v>
      </c>
      <c r="F321" s="617">
        <f t="shared" si="4"/>
        <v>0</v>
      </c>
    </row>
    <row r="322" spans="1:6" s="496" customFormat="1" ht="39.75" hidden="1" customHeight="1">
      <c r="A322" s="614">
        <f>Abs!A327</f>
        <v>24</v>
      </c>
      <c r="B322" s="620" t="e">
        <f>Abs!Y327</f>
        <v>#REF!</v>
      </c>
      <c r="C322" s="621" t="str">
        <f>Abs!B327</f>
        <v>Manufacturing &amp; supply of steel windows (Weight basis)</v>
      </c>
      <c r="D322" s="617">
        <f>Abs!C327</f>
        <v>62.1</v>
      </c>
      <c r="E322" s="618" t="str">
        <f>Abs!D327</f>
        <v>Kg.</v>
      </c>
      <c r="F322" s="617" t="e">
        <f t="shared" si="4"/>
        <v>#REF!</v>
      </c>
    </row>
    <row r="323" spans="1:6" s="496" customFormat="1" ht="33" customHeight="1">
      <c r="A323" s="614">
        <f>Abs!A328</f>
        <v>25</v>
      </c>
      <c r="B323" s="620" t="e">
        <f>Abs!Y328</f>
        <v>#REF!</v>
      </c>
      <c r="C323" s="621" t="str">
        <f>Abs!B328</f>
        <v>M.S.Holdfast</v>
      </c>
      <c r="D323" s="617">
        <f>Abs!C328</f>
        <v>9.6</v>
      </c>
      <c r="E323" s="618" t="str">
        <f>Abs!D328</f>
        <v>Each</v>
      </c>
      <c r="F323" s="617" t="e">
        <f t="shared" si="4"/>
        <v>#REF!</v>
      </c>
    </row>
    <row r="324" spans="1:6" s="496" customFormat="1" ht="33" customHeight="1">
      <c r="A324" s="614">
        <f>Abs!A329</f>
        <v>26</v>
      </c>
      <c r="B324" s="620" t="e">
        <f>Abs!Y329</f>
        <v>#REF!</v>
      </c>
      <c r="C324" s="621" t="str">
        <f>Abs!B329</f>
        <v>Flooring in C.C.1:5:10</v>
      </c>
      <c r="D324" s="617">
        <f>Abs!C329</f>
        <v>4435.7299999999996</v>
      </c>
      <c r="E324" s="618" t="str">
        <f>Abs!D329</f>
        <v>Cum.</v>
      </c>
      <c r="F324" s="617" t="e">
        <f t="shared" si="4"/>
        <v>#REF!</v>
      </c>
    </row>
    <row r="325" spans="1:6" s="496" customFormat="1" ht="30" hidden="1">
      <c r="A325" s="614">
        <f>Abs!A330</f>
        <v>27.1</v>
      </c>
      <c r="B325" s="620">
        <f>Abs!Y330</f>
        <v>0</v>
      </c>
      <c r="C325" s="621" t="str">
        <f>Abs!B330</f>
        <v>B.w. in C.M. 1:4 for staircase steps Chamber
 burnt bricks 23 x 11.2 x 7 cm.</v>
      </c>
      <c r="D325" s="617">
        <f>Abs!C330</f>
        <v>6644.58</v>
      </c>
      <c r="E325" s="618" t="str">
        <f>Abs!D330</f>
        <v>Cum.</v>
      </c>
      <c r="F325" s="617">
        <f t="shared" si="4"/>
        <v>0</v>
      </c>
    </row>
    <row r="326" spans="1:6" s="496" customFormat="1" ht="24.75" hidden="1" customHeight="1">
      <c r="A326" s="614">
        <f>Abs!A331</f>
        <v>27.2</v>
      </c>
      <c r="B326" s="620">
        <f>Abs!Y331</f>
        <v>0</v>
      </c>
      <c r="C326" s="621" t="str">
        <f>Abs!B331</f>
        <v>B.w. in C.M. 1:4 for staircase steps Chamber
 burnt bricks 23 x 11.4 x 7.5 cm.</v>
      </c>
      <c r="D326" s="617">
        <f>Abs!C331</f>
        <v>6446.19</v>
      </c>
      <c r="E326" s="618" t="str">
        <f>Abs!D331</f>
        <v>Cum.</v>
      </c>
      <c r="F326" s="617">
        <f t="shared" si="4"/>
        <v>0</v>
      </c>
    </row>
    <row r="327" spans="1:6" ht="24.75" hidden="1" customHeight="1">
      <c r="A327" s="614">
        <f>Abs!A332</f>
        <v>27.3</v>
      </c>
      <c r="B327" s="620">
        <f>Abs!Y332</f>
        <v>0</v>
      </c>
      <c r="C327" s="621" t="str">
        <f>Abs!B332</f>
        <v>B.w. in C.M. 1:4 for staircase steps Chamber 
burnt bricks  23 x 11 x 7 cm.</v>
      </c>
      <c r="D327" s="617">
        <f>Abs!C332</f>
        <v>0</v>
      </c>
      <c r="E327" s="618" t="str">
        <f>Abs!D332</f>
        <v>Cum.</v>
      </c>
      <c r="F327" s="617">
        <f t="shared" si="4"/>
        <v>0</v>
      </c>
    </row>
    <row r="328" spans="1:6" ht="24.75" hidden="1" customHeight="1">
      <c r="A328" s="614">
        <f>Abs!A333</f>
        <v>27.4</v>
      </c>
      <c r="B328" s="620">
        <f>Abs!Y333</f>
        <v>0</v>
      </c>
      <c r="C328" s="621" t="str">
        <f>Abs!B333</f>
        <v>B.w. in C.M. 1:4 for staircase steps Chamber
 burnt bricks 22 x 11 x 7 cm.</v>
      </c>
      <c r="D328" s="617">
        <f>Abs!C333</f>
        <v>0</v>
      </c>
      <c r="E328" s="618" t="str">
        <f>Abs!D333</f>
        <v>Cum.</v>
      </c>
      <c r="F328" s="617">
        <f t="shared" ref="F328:F391" si="5">D328*B328</f>
        <v>0</v>
      </c>
    </row>
    <row r="329" spans="1:6" ht="24" hidden="1" customHeight="1">
      <c r="A329" s="614">
        <f>Abs!A334</f>
        <v>27.5</v>
      </c>
      <c r="B329" s="620">
        <f>Abs!Y334</f>
        <v>0</v>
      </c>
      <c r="C329" s="621" t="str">
        <f>Abs!B334</f>
        <v>B.w. in C.M. 1:4 for staircase steps Kiln burnt country bricks 22 x 11 x 7 cm.</v>
      </c>
      <c r="D329" s="617">
        <f>Abs!C334</f>
        <v>6540.36</v>
      </c>
      <c r="E329" s="618" t="str">
        <f>Abs!D334</f>
        <v>Cum.</v>
      </c>
      <c r="F329" s="617">
        <f t="shared" si="5"/>
        <v>0</v>
      </c>
    </row>
    <row r="330" spans="1:6" s="496" customFormat="1" ht="24" hidden="1" customHeight="1">
      <c r="A330" s="614">
        <f>Abs!A335</f>
        <v>27.6</v>
      </c>
      <c r="B330" s="620">
        <f>Abs!Y335</f>
        <v>0</v>
      </c>
      <c r="C330" s="621" t="str">
        <f>Abs!B335</f>
        <v>B.w. in C.M. 1:4 for staircase steps Kiln burnt country bricks 22 x 11 x 5.7 cm.</v>
      </c>
      <c r="D330" s="617">
        <f>Abs!C335</f>
        <v>0</v>
      </c>
      <c r="E330" s="618" t="str">
        <f>Abs!D335</f>
        <v>Cum.</v>
      </c>
      <c r="F330" s="617">
        <f t="shared" si="5"/>
        <v>0</v>
      </c>
    </row>
    <row r="331" spans="1:6" s="496" customFormat="1" ht="33" customHeight="1">
      <c r="A331" s="614">
        <f>Abs!A336</f>
        <v>28</v>
      </c>
      <c r="B331" s="620" t="e">
        <f>Abs!Y336</f>
        <v>#REF!</v>
      </c>
      <c r="C331" s="621" t="str">
        <f>Abs!B336</f>
        <v>Floor plastering in C.M. 1:4, 20 mm tk.</v>
      </c>
      <c r="D331" s="617">
        <f>Abs!C336</f>
        <v>448.19</v>
      </c>
      <c r="E331" s="618" t="str">
        <f>Abs!D336</f>
        <v>Sqm.</v>
      </c>
      <c r="F331" s="617" t="e">
        <f t="shared" si="5"/>
        <v>#REF!</v>
      </c>
    </row>
    <row r="332" spans="1:6" s="496" customFormat="1" ht="24" hidden="1" customHeight="1">
      <c r="A332" s="614">
        <f>Abs!A337</f>
        <v>29.1</v>
      </c>
      <c r="B332" s="620">
        <f>Abs!Y337</f>
        <v>0</v>
      </c>
      <c r="C332" s="621" t="str">
        <f>Abs!B337</f>
        <v>Mosaic tiles 20 cm x 20 cm x 2 cm.</v>
      </c>
      <c r="D332" s="617">
        <f>Abs!C337</f>
        <v>0</v>
      </c>
      <c r="E332" s="618" t="str">
        <f>Abs!D337</f>
        <v>Sqm.</v>
      </c>
      <c r="F332" s="617">
        <f t="shared" si="5"/>
        <v>0</v>
      </c>
    </row>
    <row r="333" spans="1:6" s="496" customFormat="1" ht="24" hidden="1" customHeight="1">
      <c r="A333" s="614">
        <f>Abs!A338</f>
        <v>29.2</v>
      </c>
      <c r="B333" s="620">
        <f>Abs!Y338</f>
        <v>0</v>
      </c>
      <c r="C333" s="621" t="str">
        <f>Abs!B338</f>
        <v>Mosaic tiles 25 cm x 25 cm x 2 cm.</v>
      </c>
      <c r="D333" s="617">
        <f>Abs!C338</f>
        <v>1098.9100000000001</v>
      </c>
      <c r="E333" s="618" t="str">
        <f>Abs!D338</f>
        <v>Sqm.</v>
      </c>
      <c r="F333" s="617">
        <f t="shared" si="5"/>
        <v>0</v>
      </c>
    </row>
    <row r="334" spans="1:6" s="496" customFormat="1" ht="17.25" hidden="1">
      <c r="A334" s="614">
        <f>Abs!A339</f>
        <v>29.3</v>
      </c>
      <c r="B334" s="620">
        <f>Abs!Y339</f>
        <v>0</v>
      </c>
      <c r="C334" s="621" t="str">
        <f>Abs!B339</f>
        <v>Floor ceramic tiles</v>
      </c>
      <c r="D334" s="617">
        <f>Abs!C339</f>
        <v>1092.05</v>
      </c>
      <c r="E334" s="618" t="str">
        <f>Abs!D339</f>
        <v>Sqm.</v>
      </c>
      <c r="F334" s="617">
        <f t="shared" si="5"/>
        <v>0</v>
      </c>
    </row>
    <row r="335" spans="1:6" s="496" customFormat="1" ht="17.25" hidden="1">
      <c r="A335" s="614">
        <f>Abs!A340</f>
        <v>29.4</v>
      </c>
      <c r="B335" s="620">
        <f>Abs!Y340</f>
        <v>0</v>
      </c>
      <c r="C335" s="621" t="str">
        <f>Abs!B340</f>
        <v>Glazed tiles</v>
      </c>
      <c r="D335" s="617">
        <f>Abs!C340</f>
        <v>1236.28</v>
      </c>
      <c r="E335" s="618" t="str">
        <f>Abs!D340</f>
        <v>Sqm.</v>
      </c>
      <c r="F335" s="617">
        <f t="shared" si="5"/>
        <v>0</v>
      </c>
    </row>
    <row r="336" spans="1:6" ht="15.75" hidden="1">
      <c r="A336" s="614">
        <f>Abs!A341</f>
        <v>29.5</v>
      </c>
      <c r="B336" s="620">
        <f>Abs!Y341</f>
        <v>0</v>
      </c>
      <c r="C336" s="621" t="str">
        <f>Abs!B341</f>
        <v>Floor ceramic tiles (Anti-skid)</v>
      </c>
      <c r="D336" s="617">
        <f>Abs!C341</f>
        <v>1092.05</v>
      </c>
      <c r="E336" s="618" t="str">
        <f>Abs!D341</f>
        <v>Sqm.</v>
      </c>
      <c r="F336" s="617">
        <f t="shared" si="5"/>
        <v>0</v>
      </c>
    </row>
    <row r="337" spans="1:6" s="496" customFormat="1" ht="33" customHeight="1">
      <c r="A337" s="614">
        <f>Abs!A342</f>
        <v>30</v>
      </c>
      <c r="B337" s="620" t="e">
        <f>Abs!Y342</f>
        <v>#REF!</v>
      </c>
      <c r="C337" s="621" t="str">
        <f>Abs!B342</f>
        <v>Ellispattern</v>
      </c>
      <c r="D337" s="617">
        <f>Abs!C342</f>
        <v>396.64</v>
      </c>
      <c r="E337" s="618" t="str">
        <f>Abs!D342</f>
        <v>Sqm.</v>
      </c>
      <c r="F337" s="617" t="e">
        <f t="shared" si="5"/>
        <v>#REF!</v>
      </c>
    </row>
    <row r="338" spans="1:6" s="496" customFormat="1" ht="33" customHeight="1">
      <c r="A338" s="614">
        <f>Abs!A343</f>
        <v>31</v>
      </c>
      <c r="B338" s="620" t="e">
        <f>Abs!Y343</f>
        <v>#REF!</v>
      </c>
      <c r="C338" s="621" t="str">
        <f>Abs!B343</f>
        <v>Weathering course</v>
      </c>
      <c r="D338" s="617">
        <f>Abs!C343</f>
        <v>3507.88</v>
      </c>
      <c r="E338" s="618" t="str">
        <f>Abs!D343</f>
        <v>Cum.</v>
      </c>
      <c r="F338" s="617" t="e">
        <f t="shared" si="5"/>
        <v>#REF!</v>
      </c>
    </row>
    <row r="339" spans="1:6" s="496" customFormat="1" ht="24" hidden="1" customHeight="1">
      <c r="A339" s="614">
        <f>Abs!A344</f>
        <v>32</v>
      </c>
      <c r="B339" s="620">
        <f>Abs!Y344</f>
        <v>0</v>
      </c>
      <c r="C339" s="621" t="str">
        <f>Abs!B344</f>
        <v>Pressed tiles (23cmx23cmx20mm) mixed with Crude oil</v>
      </c>
      <c r="D339" s="617">
        <f>Abs!C344</f>
        <v>0</v>
      </c>
      <c r="E339" s="618" t="str">
        <f>Abs!D344</f>
        <v>Sqm.</v>
      </c>
      <c r="F339" s="617">
        <f t="shared" si="5"/>
        <v>0</v>
      </c>
    </row>
    <row r="340" spans="1:6" s="496" customFormat="1" ht="30" hidden="1">
      <c r="A340" s="614">
        <f>Abs!A345</f>
        <v>32.1</v>
      </c>
      <c r="B340" s="620">
        <f>Abs!Y345</f>
        <v>0</v>
      </c>
      <c r="C340" s="621" t="str">
        <f>Abs!B345</f>
        <v>Pressed tiles (23cmx23cmx20mm) mixed with Water proofing compound</v>
      </c>
      <c r="D340" s="617">
        <f>Abs!C345</f>
        <v>1077.67</v>
      </c>
      <c r="E340" s="618" t="str">
        <f>Abs!D345</f>
        <v>Sqm.</v>
      </c>
      <c r="F340" s="617">
        <f t="shared" si="5"/>
        <v>0</v>
      </c>
    </row>
    <row r="341" spans="1:6" s="496" customFormat="1" ht="30" hidden="1">
      <c r="A341" s="614">
        <f>Abs!A346</f>
        <v>32.200000000000003</v>
      </c>
      <c r="B341" s="620">
        <f>Abs!Y346</f>
        <v>0</v>
      </c>
      <c r="C341" s="621" t="str">
        <f>Abs!B346</f>
        <v>Pressed tiles (23cmx23cmx18mm) mixed with Water proofing compound</v>
      </c>
      <c r="D341" s="617">
        <f>Abs!C346</f>
        <v>0</v>
      </c>
      <c r="E341" s="618" t="str">
        <f>Abs!D346</f>
        <v>Sqm.</v>
      </c>
      <c r="F341" s="617">
        <f t="shared" si="5"/>
        <v>0</v>
      </c>
    </row>
    <row r="342" spans="1:6" ht="33" customHeight="1">
      <c r="A342" s="614">
        <f>Abs!A347</f>
        <v>33</v>
      </c>
      <c r="B342" s="620" t="e">
        <f>Abs!Y347</f>
        <v>#REF!</v>
      </c>
      <c r="C342" s="621" t="str">
        <f>Abs!B347</f>
        <v>Plastering in C.M. 1:5, 12 mm tk.</v>
      </c>
      <c r="D342" s="617">
        <f>Abs!C347</f>
        <v>220.61</v>
      </c>
      <c r="E342" s="618" t="str">
        <f>Abs!D347</f>
        <v>Sqm.</v>
      </c>
      <c r="F342" s="617" t="e">
        <f t="shared" si="5"/>
        <v>#REF!</v>
      </c>
    </row>
    <row r="343" spans="1:6" ht="33" customHeight="1">
      <c r="A343" s="614">
        <f>Abs!A348</f>
        <v>34</v>
      </c>
      <c r="B343" s="620" t="e">
        <f>Abs!Y348</f>
        <v>#REF!</v>
      </c>
      <c r="C343" s="621" t="str">
        <f>Abs!B348</f>
        <v>Plastering in C.M. 1:4, 12 mm tk.</v>
      </c>
      <c r="D343" s="617">
        <f>Abs!C348</f>
        <v>226.61</v>
      </c>
      <c r="E343" s="618" t="str">
        <f>Abs!D348</f>
        <v>Sqm.</v>
      </c>
      <c r="F343" s="617" t="e">
        <f t="shared" si="5"/>
        <v>#REF!</v>
      </c>
    </row>
    <row r="344" spans="1:6" s="496" customFormat="1" ht="41.25" customHeight="1">
      <c r="A344" s="614">
        <f>Abs!A349</f>
        <v>35</v>
      </c>
      <c r="B344" s="620" t="e">
        <f>Abs!Y349</f>
        <v>#REF!</v>
      </c>
      <c r="C344" s="621" t="str">
        <f>Abs!B349</f>
        <v>Spl. Ceiling plastering in C.M. 1:3,
 10 mm tk.</v>
      </c>
      <c r="D344" s="617">
        <f>Abs!C349</f>
        <v>252.46</v>
      </c>
      <c r="E344" s="618" t="str">
        <f>Abs!D349</f>
        <v>Sqm.</v>
      </c>
      <c r="F344" s="617" t="e">
        <f t="shared" si="5"/>
        <v>#REF!</v>
      </c>
    </row>
    <row r="345" spans="1:6" s="496" customFormat="1" ht="34.9" customHeight="1">
      <c r="A345" s="614">
        <f>Abs!A350</f>
        <v>36</v>
      </c>
      <c r="B345" s="615" t="e">
        <f>Abs!Y350</f>
        <v>#REF!</v>
      </c>
      <c r="C345" s="616" t="str">
        <f>Abs!B350</f>
        <v>Cement mortar Border in  C.M. 1:5, 12 mm tk.</v>
      </c>
      <c r="D345" s="617">
        <f>Abs!C350</f>
        <v>0</v>
      </c>
      <c r="E345" s="618">
        <f>Abs!D350</f>
        <v>0</v>
      </c>
      <c r="F345" s="617"/>
    </row>
    <row r="346" spans="1:6" s="496" customFormat="1" ht="33" customHeight="1">
      <c r="A346" s="614" t="str">
        <f>Abs!A351</f>
        <v xml:space="preserve"> </v>
      </c>
      <c r="B346" s="620" t="e">
        <f>Abs!Y351</f>
        <v>#REF!</v>
      </c>
      <c r="C346" s="621" t="str">
        <f>Abs!B351</f>
        <v>a. 150 mm wide</v>
      </c>
      <c r="D346" s="617">
        <f>Abs!C351</f>
        <v>69.94</v>
      </c>
      <c r="E346" s="618" t="str">
        <f>Abs!D351</f>
        <v>Rmt</v>
      </c>
      <c r="F346" s="617" t="e">
        <f t="shared" si="5"/>
        <v>#REF!</v>
      </c>
    </row>
    <row r="347" spans="1:6" ht="33" customHeight="1">
      <c r="A347" s="614">
        <f>Abs!A352</f>
        <v>0</v>
      </c>
      <c r="B347" s="620" t="e">
        <f>Abs!Y352</f>
        <v>#REF!</v>
      </c>
      <c r="C347" s="621" t="str">
        <f>Abs!B352</f>
        <v>b. 75 mm wide</v>
      </c>
      <c r="D347" s="617">
        <f>Abs!C352</f>
        <v>45.48</v>
      </c>
      <c r="E347" s="618" t="str">
        <f>Abs!D352</f>
        <v>Rmt</v>
      </c>
      <c r="F347" s="617" t="e">
        <f t="shared" si="5"/>
        <v>#REF!</v>
      </c>
    </row>
    <row r="348" spans="1:6" ht="33" customHeight="1">
      <c r="A348" s="614">
        <f>Abs!A353</f>
        <v>0</v>
      </c>
      <c r="B348" s="620" t="e">
        <f>Abs!Y353</f>
        <v>#REF!</v>
      </c>
      <c r="C348" s="621" t="str">
        <f>Abs!B353</f>
        <v>c. 50 mm wide</v>
      </c>
      <c r="D348" s="617">
        <f>Abs!C353</f>
        <v>33.840000000000003</v>
      </c>
      <c r="E348" s="618" t="str">
        <f>Abs!D353</f>
        <v>Rmt</v>
      </c>
      <c r="F348" s="617" t="e">
        <f t="shared" si="5"/>
        <v>#REF!</v>
      </c>
    </row>
    <row r="349" spans="1:6" ht="33" customHeight="1">
      <c r="A349" s="614">
        <f>Abs!A354</f>
        <v>37.1</v>
      </c>
      <c r="B349" s="620" t="e">
        <f>Abs!Y354</f>
        <v>#REF!</v>
      </c>
      <c r="C349" s="621" t="str">
        <f>Abs!B354</f>
        <v>White washing 3 coats  (slaked)</v>
      </c>
      <c r="D349" s="617">
        <f>Abs!C354</f>
        <v>39.22</v>
      </c>
      <c r="E349" s="618" t="str">
        <f>Abs!D354</f>
        <v>Sqm.</v>
      </c>
      <c r="F349" s="617" t="e">
        <f t="shared" si="5"/>
        <v>#REF!</v>
      </c>
    </row>
    <row r="350" spans="1:6" s="496" customFormat="1" ht="53.25" hidden="1" customHeight="1">
      <c r="A350" s="614">
        <f>Abs!A355</f>
        <v>0</v>
      </c>
      <c r="B350" s="620">
        <f>Abs!Y355</f>
        <v>0</v>
      </c>
      <c r="C350" s="621" t="str">
        <f>Abs!B355</f>
        <v>Providing Ornamental work engaging skilled Mason I Class / Shape design works/ stapahy works</v>
      </c>
      <c r="D350" s="617">
        <f>Abs!C355</f>
        <v>919.31</v>
      </c>
      <c r="E350" s="618" t="str">
        <f>Abs!D355</f>
        <v>Sqm.</v>
      </c>
      <c r="F350" s="617">
        <f t="shared" si="5"/>
        <v>0</v>
      </c>
    </row>
    <row r="351" spans="1:6" ht="59.25" hidden="1" customHeight="1">
      <c r="A351" s="614">
        <f>Abs!A356</f>
        <v>0</v>
      </c>
      <c r="B351" s="620">
        <f>Abs!Y356</f>
        <v>0</v>
      </c>
      <c r="C351" s="621" t="str">
        <f>Abs!B356</f>
        <v>Providing ornamental border design for bottom shape works (9"x9") 25mm tk projection / stapay works</v>
      </c>
      <c r="D351" s="617">
        <f>Abs!C356</f>
        <v>636.53</v>
      </c>
      <c r="E351" s="618" t="str">
        <f>Abs!D356</f>
        <v>Nos</v>
      </c>
      <c r="F351" s="617">
        <f t="shared" si="5"/>
        <v>0</v>
      </c>
    </row>
    <row r="352" spans="1:6" ht="24" hidden="1" customHeight="1">
      <c r="A352" s="614">
        <f>Abs!A357</f>
        <v>0</v>
      </c>
      <c r="B352" s="620">
        <f>Abs!Y357</f>
        <v>0</v>
      </c>
      <c r="C352" s="621" t="str">
        <f>Abs!B357</f>
        <v>Providing Elevation grooves of size 25x6mm</v>
      </c>
      <c r="D352" s="617">
        <f>Abs!C357</f>
        <v>47.78</v>
      </c>
      <c r="E352" s="618" t="str">
        <f>Abs!D357</f>
        <v>Sqm.</v>
      </c>
      <c r="F352" s="617">
        <f t="shared" si="5"/>
        <v>0</v>
      </c>
    </row>
    <row r="353" spans="1:6" ht="33" hidden="1" customHeight="1">
      <c r="A353" s="614">
        <f>Abs!A358</f>
        <v>37.200000000000003</v>
      </c>
      <c r="B353" s="620">
        <f>Abs!Y358</f>
        <v>0</v>
      </c>
      <c r="C353" s="621" t="str">
        <f>Abs!B358</f>
        <v>Colour washing  ( slaked)</v>
      </c>
      <c r="D353" s="617">
        <f>Abs!C358</f>
        <v>0</v>
      </c>
      <c r="E353" s="618" t="str">
        <f>Abs!D358</f>
        <v>Sqm.</v>
      </c>
      <c r="F353" s="617">
        <f t="shared" si="5"/>
        <v>0</v>
      </c>
    </row>
    <row r="354" spans="1:6" ht="33" hidden="1" customHeight="1">
      <c r="A354" s="614">
        <f>Abs!A359</f>
        <v>38.1</v>
      </c>
      <c r="B354" s="620">
        <f>Abs!Y359</f>
        <v>0</v>
      </c>
      <c r="C354" s="621" t="str">
        <f>Abs!B359</f>
        <v>Cement paint</v>
      </c>
      <c r="D354" s="617">
        <f>Abs!C359</f>
        <v>172.93</v>
      </c>
      <c r="E354" s="618" t="str">
        <f>Abs!D359</f>
        <v>Sqm.</v>
      </c>
      <c r="F354" s="617">
        <f t="shared" si="5"/>
        <v>0</v>
      </c>
    </row>
    <row r="355" spans="1:6" s="496" customFormat="1" ht="33" hidden="1" customHeight="1">
      <c r="A355" s="614">
        <f>Abs!A360</f>
        <v>38.200000000000003</v>
      </c>
      <c r="B355" s="620">
        <f>Abs!Y360</f>
        <v>0</v>
      </c>
      <c r="C355" s="621" t="str">
        <f>Abs!B360</f>
        <v>Matt paint</v>
      </c>
      <c r="D355" s="617">
        <f>Abs!C360</f>
        <v>147.27000000000001</v>
      </c>
      <c r="E355" s="618" t="str">
        <f>Abs!D360</f>
        <v>Sqm.</v>
      </c>
      <c r="F355" s="617">
        <f t="shared" si="5"/>
        <v>0</v>
      </c>
    </row>
    <row r="356" spans="1:6" s="496" customFormat="1" ht="35.25" customHeight="1">
      <c r="A356" s="614">
        <f>Abs!A361</f>
        <v>39</v>
      </c>
      <c r="B356" s="620" t="e">
        <f>Abs!Y361</f>
        <v>#REF!</v>
      </c>
      <c r="C356" s="621" t="str">
        <f>Abs!B361</f>
        <v>M.s Grills</v>
      </c>
      <c r="D356" s="617">
        <f>Abs!C361</f>
        <v>62.6</v>
      </c>
      <c r="E356" s="618" t="str">
        <f>Abs!D361</f>
        <v>Kg.</v>
      </c>
      <c r="F356" s="617" t="e">
        <f t="shared" si="5"/>
        <v>#REF!</v>
      </c>
    </row>
    <row r="357" spans="1:6" s="496" customFormat="1" ht="32.25" customHeight="1">
      <c r="A357" s="614">
        <f>Abs!A363</f>
        <v>40</v>
      </c>
      <c r="B357" s="620" t="e">
        <f>Abs!Y363</f>
        <v>#REF!</v>
      </c>
      <c r="C357" s="621" t="str">
        <f>Abs!B363</f>
        <v>Painting - New "wood work"</v>
      </c>
      <c r="D357" s="617">
        <f>Abs!C363</f>
        <v>212.24</v>
      </c>
      <c r="E357" s="618" t="str">
        <f>Abs!D363</f>
        <v>Sqm.</v>
      </c>
      <c r="F357" s="617" t="e">
        <f t="shared" si="5"/>
        <v>#REF!</v>
      </c>
    </row>
    <row r="358" spans="1:6" ht="15.75">
      <c r="A358" s="614">
        <f>Abs!A364</f>
        <v>41</v>
      </c>
      <c r="B358" s="620" t="e">
        <f>Abs!Y364</f>
        <v>#REF!</v>
      </c>
      <c r="C358" s="621" t="str">
        <f>Abs!B364</f>
        <v>Painting - New "iron work"</v>
      </c>
      <c r="D358" s="617">
        <f>Abs!C364</f>
        <v>125.87</v>
      </c>
      <c r="E358" s="618" t="str">
        <f>Abs!D364</f>
        <v>Sqm.</v>
      </c>
      <c r="F358" s="617" t="e">
        <f t="shared" si="5"/>
        <v>#REF!</v>
      </c>
    </row>
    <row r="359" spans="1:6" ht="25.5" hidden="1" customHeight="1">
      <c r="A359" s="614">
        <f>Abs!A365</f>
        <v>42</v>
      </c>
      <c r="B359" s="620">
        <f>Abs!Y365</f>
        <v>0</v>
      </c>
      <c r="C359" s="621" t="str">
        <f>Abs!B365</f>
        <v>Fabrication of Mild steel / RTS grills
(with cement slurry wash)</v>
      </c>
      <c r="D359" s="617">
        <f>Abs!C365</f>
        <v>0</v>
      </c>
      <c r="E359" s="618">
        <f>Abs!D365</f>
        <v>0</v>
      </c>
      <c r="F359" s="617">
        <f t="shared" si="5"/>
        <v>0</v>
      </c>
    </row>
    <row r="360" spans="1:6" ht="25.5" hidden="1" customHeight="1">
      <c r="A360" s="614">
        <f>Abs!A366</f>
        <v>0</v>
      </c>
      <c r="B360" s="620">
        <f>Abs!Y366</f>
        <v>0</v>
      </c>
      <c r="C360" s="621" t="str">
        <f>Abs!B366</f>
        <v>a. upto 16mm dia rods</v>
      </c>
      <c r="D360" s="617">
        <f>Abs!C366</f>
        <v>79335.5</v>
      </c>
      <c r="E360" s="618" t="str">
        <f>Abs!D366</f>
        <v>MT</v>
      </c>
      <c r="F360" s="617">
        <f t="shared" si="5"/>
        <v>0</v>
      </c>
    </row>
    <row r="361" spans="1:6" s="496" customFormat="1" ht="25.5" hidden="1" customHeight="1">
      <c r="A361" s="614">
        <f>Abs!A367</f>
        <v>0</v>
      </c>
      <c r="B361" s="620">
        <f>Abs!Y367</f>
        <v>0</v>
      </c>
      <c r="C361" s="621" t="str">
        <f>Abs!B367</f>
        <v>b. above 16mm dia rods</v>
      </c>
      <c r="D361" s="617">
        <f>Abs!C367</f>
        <v>79335.5</v>
      </c>
      <c r="E361" s="618" t="str">
        <f>Abs!D367</f>
        <v>MT</v>
      </c>
      <c r="F361" s="617">
        <f t="shared" si="5"/>
        <v>0</v>
      </c>
    </row>
    <row r="362" spans="1:6" s="496" customFormat="1" ht="30" hidden="1">
      <c r="A362" s="614">
        <f>Abs!A368</f>
        <v>43</v>
      </c>
      <c r="B362" s="620">
        <f>Abs!Y368</f>
        <v>0</v>
      </c>
      <c r="C362" s="621" t="str">
        <f>Abs!B368</f>
        <v xml:space="preserve">Fabrication of Mild steel / RTS grills 
</v>
      </c>
      <c r="D362" s="617">
        <f>Abs!C368</f>
        <v>0</v>
      </c>
      <c r="E362" s="618">
        <f>Abs!D368</f>
        <v>0</v>
      </c>
      <c r="F362" s="617">
        <f t="shared" si="5"/>
        <v>0</v>
      </c>
    </row>
    <row r="363" spans="1:6" s="496" customFormat="1" ht="37.5" hidden="1" customHeight="1">
      <c r="A363" s="614">
        <f>Abs!A369</f>
        <v>0</v>
      </c>
      <c r="B363" s="620">
        <f>Abs!Y369</f>
        <v>0</v>
      </c>
      <c r="C363" s="621" t="str">
        <f>Abs!B369</f>
        <v>a. upto 16mm dia rods</v>
      </c>
      <c r="D363" s="617">
        <f>Abs!C369</f>
        <v>77593</v>
      </c>
      <c r="E363" s="618" t="str">
        <f>Abs!D369</f>
        <v>MT</v>
      </c>
      <c r="F363" s="617">
        <f t="shared" si="5"/>
        <v>0</v>
      </c>
    </row>
    <row r="364" spans="1:6" s="496" customFormat="1" ht="17.25" hidden="1">
      <c r="A364" s="614">
        <f>Abs!A370</f>
        <v>0</v>
      </c>
      <c r="B364" s="620">
        <f>Abs!Y370</f>
        <v>0</v>
      </c>
      <c r="C364" s="621" t="str">
        <f>Abs!B370</f>
        <v>b. above 16mm dia rods</v>
      </c>
      <c r="D364" s="617">
        <f>Abs!C370</f>
        <v>77593</v>
      </c>
      <c r="E364" s="618" t="str">
        <f>Abs!D370</f>
        <v>MT</v>
      </c>
      <c r="F364" s="617">
        <f t="shared" si="5"/>
        <v>0</v>
      </c>
    </row>
    <row r="365" spans="1:6" s="496" customFormat="1" ht="33" hidden="1" customHeight="1">
      <c r="A365" s="614">
        <f>Abs!A371</f>
        <v>44.1</v>
      </c>
      <c r="B365" s="620">
        <f>Abs!Y371</f>
        <v>0</v>
      </c>
      <c r="C365" s="621" t="str">
        <f>Abs!B371</f>
        <v>PVC SWR 110 mm dia Rain water pipe</v>
      </c>
      <c r="D365" s="617">
        <f>Abs!C371</f>
        <v>321.74</v>
      </c>
      <c r="E365" s="618" t="str">
        <f>Abs!D371</f>
        <v>Rmt</v>
      </c>
      <c r="F365" s="617">
        <f t="shared" si="5"/>
        <v>0</v>
      </c>
    </row>
    <row r="366" spans="1:6" s="496" customFormat="1" ht="33" hidden="1" customHeight="1">
      <c r="A366" s="614">
        <f>Abs!A372</f>
        <v>44.2</v>
      </c>
      <c r="B366" s="620">
        <f>Abs!Y372</f>
        <v>0</v>
      </c>
      <c r="C366" s="621" t="str">
        <f>Abs!B372</f>
        <v>Rain Water Harvesting using Defunct borewell method</v>
      </c>
      <c r="D366" s="617">
        <f>Abs!C372</f>
        <v>0</v>
      </c>
      <c r="E366" s="618" t="str">
        <f>Abs!D372</f>
        <v>Each</v>
      </c>
      <c r="F366" s="617">
        <f t="shared" si="5"/>
        <v>0</v>
      </c>
    </row>
    <row r="367" spans="1:6" s="496" customFormat="1" ht="33" hidden="1" customHeight="1">
      <c r="A367" s="614">
        <f>Abs!A373</f>
        <v>45</v>
      </c>
      <c r="B367" s="620">
        <f>Abs!Y373</f>
        <v>0</v>
      </c>
      <c r="C367" s="621" t="str">
        <f>Abs!B373</f>
        <v>Stucco plastering 12 mm tk.</v>
      </c>
      <c r="D367" s="617">
        <f>Abs!C373</f>
        <v>283</v>
      </c>
      <c r="E367" s="618" t="str">
        <f>Abs!D373</f>
        <v>Sqm.</v>
      </c>
      <c r="F367" s="617">
        <f t="shared" si="5"/>
        <v>0</v>
      </c>
    </row>
    <row r="368" spans="1:6" s="496" customFormat="1" ht="33" customHeight="1">
      <c r="A368" s="614">
        <f>Abs!A374</f>
        <v>46</v>
      </c>
      <c r="B368" s="620" t="e">
        <f>Abs!Y374</f>
        <v>#REF!</v>
      </c>
      <c r="C368" s="621" t="str">
        <f>Abs!B374</f>
        <v>S &amp; F 20 mm dia Alu. Hanger Rod</v>
      </c>
      <c r="D368" s="617">
        <f>Abs!C374</f>
        <v>58</v>
      </c>
      <c r="E368" s="618" t="str">
        <f>Abs!D374</f>
        <v>Rmt</v>
      </c>
      <c r="F368" s="617" t="e">
        <f t="shared" si="5"/>
        <v>#REF!</v>
      </c>
    </row>
    <row r="369" spans="1:6" s="496" customFormat="1" ht="38.25" customHeight="1">
      <c r="A369" s="614">
        <f>Abs!A375</f>
        <v>47</v>
      </c>
      <c r="B369" s="620" t="e">
        <f>Abs!Y375</f>
        <v>#REF!</v>
      </c>
      <c r="C369" s="621" t="str">
        <f>Abs!B375</f>
        <v>S &amp; F Alu  Towel rail 75 cm long</v>
      </c>
      <c r="D369" s="617">
        <f>Abs!C375</f>
        <v>95</v>
      </c>
      <c r="E369" s="618" t="str">
        <f>Abs!D375</f>
        <v>Each</v>
      </c>
      <c r="F369" s="617" t="e">
        <f t="shared" si="5"/>
        <v>#REF!</v>
      </c>
    </row>
    <row r="370" spans="1:6" ht="36.75" customHeight="1">
      <c r="A370" s="614">
        <f>Abs!A376</f>
        <v>48</v>
      </c>
      <c r="B370" s="620" t="e">
        <f>Abs!Y376</f>
        <v>#REF!</v>
      </c>
      <c r="C370" s="621" t="str">
        <f>Abs!B376</f>
        <v>S &amp; F 5 pin Coat stand</v>
      </c>
      <c r="D370" s="617">
        <f>Abs!C376</f>
        <v>55</v>
      </c>
      <c r="E370" s="618" t="str">
        <f>Abs!D376</f>
        <v>Each</v>
      </c>
      <c r="F370" s="617" t="e">
        <f t="shared" si="5"/>
        <v>#REF!</v>
      </c>
    </row>
    <row r="371" spans="1:6" ht="26.25" customHeight="1">
      <c r="A371" s="614">
        <f>Abs!A377</f>
        <v>49</v>
      </c>
      <c r="B371" s="620" t="e">
        <f>Abs!Y377</f>
        <v>#REF!</v>
      </c>
      <c r="C371" s="621" t="str">
        <f>Abs!B377</f>
        <v>S &amp; F chromium plated 8 guage Picture Hook</v>
      </c>
      <c r="D371" s="617">
        <f>Abs!C377</f>
        <v>1.5</v>
      </c>
      <c r="E371" s="618" t="str">
        <f>Abs!D377</f>
        <v>Each</v>
      </c>
      <c r="F371" s="617" t="e">
        <f t="shared" si="5"/>
        <v>#REF!</v>
      </c>
    </row>
    <row r="372" spans="1:6" ht="36" hidden="1" customHeight="1">
      <c r="A372" s="614">
        <f>Abs!A378</f>
        <v>50.1</v>
      </c>
      <c r="B372" s="620">
        <f>Abs!Y378</f>
        <v>0</v>
      </c>
      <c r="C372" s="621" t="str">
        <f>Abs!B378</f>
        <v>Precast slab 50 mm tk.in C.C. 1:3:6</v>
      </c>
      <c r="D372" s="617">
        <f>Abs!C378</f>
        <v>0</v>
      </c>
      <c r="E372" s="618" t="str">
        <f>Abs!D378</f>
        <v>Sqm.</v>
      </c>
      <c r="F372" s="617">
        <f t="shared" si="5"/>
        <v>0</v>
      </c>
    </row>
    <row r="373" spans="1:6" ht="43.9" customHeight="1">
      <c r="A373" s="614">
        <f>Abs!A379</f>
        <v>50.2</v>
      </c>
      <c r="B373" s="620" t="e">
        <f>Abs!Y379</f>
        <v>#REF!</v>
      </c>
      <c r="C373" s="621" t="str">
        <f>Abs!B379</f>
        <v xml:space="preserve">Providing precast Kerb stone in C.C. 1:3:6,  450 x 300 x 150 mm </v>
      </c>
      <c r="D373" s="617">
        <f>Abs!C379</f>
        <v>244.49</v>
      </c>
      <c r="E373" s="618" t="str">
        <f>Abs!D379</f>
        <v>Rmt</v>
      </c>
      <c r="F373" s="617" t="e">
        <f t="shared" si="5"/>
        <v>#REF!</v>
      </c>
    </row>
    <row r="374" spans="1:6" s="496" customFormat="1" ht="30.75" customHeight="1">
      <c r="A374" s="614">
        <f>Abs!A380</f>
        <v>50.3</v>
      </c>
      <c r="B374" s="620" t="e">
        <f>Abs!Y380</f>
        <v>#REF!</v>
      </c>
      <c r="C374" s="621" t="str">
        <f>Abs!B380</f>
        <v>Supply and planting avenue trees</v>
      </c>
      <c r="D374" s="617">
        <f>Abs!C380</f>
        <v>353.2</v>
      </c>
      <c r="E374" s="618" t="str">
        <f>Abs!D380</f>
        <v>Each</v>
      </c>
      <c r="F374" s="617" t="e">
        <f t="shared" si="5"/>
        <v>#REF!</v>
      </c>
    </row>
    <row r="375" spans="1:6" ht="33" customHeight="1">
      <c r="A375" s="614">
        <f>Abs!A381</f>
        <v>50.4</v>
      </c>
      <c r="B375" s="620" t="e">
        <f>Abs!Y381</f>
        <v>#REF!</v>
      </c>
      <c r="C375" s="621" t="str">
        <f>Abs!B381</f>
        <v>Providing Tree guard</v>
      </c>
      <c r="D375" s="617">
        <f>Abs!C381</f>
        <v>812.3</v>
      </c>
      <c r="E375" s="618" t="str">
        <f>Abs!D381</f>
        <v>Each</v>
      </c>
      <c r="F375" s="617" t="e">
        <f t="shared" si="5"/>
        <v>#REF!</v>
      </c>
    </row>
    <row r="376" spans="1:6" ht="33" customHeight="1">
      <c r="A376" s="614">
        <f>Abs!A382</f>
        <v>50.5</v>
      </c>
      <c r="B376" s="620" t="e">
        <f>Abs!Y382</f>
        <v>#REF!</v>
      </c>
      <c r="C376" s="621" t="str">
        <f>Abs!B382</f>
        <v>Supplying. Fabricating and erection of M.S Scheme Name board</v>
      </c>
      <c r="D376" s="617">
        <f>Abs!C382</f>
        <v>17220.29</v>
      </c>
      <c r="E376" s="618" t="str">
        <f>Abs!D382</f>
        <v>Each</v>
      </c>
      <c r="F376" s="617" t="e">
        <f t="shared" si="5"/>
        <v>#REF!</v>
      </c>
    </row>
    <row r="377" spans="1:6" ht="33" hidden="1" customHeight="1">
      <c r="A377" s="614">
        <f>Abs!A383</f>
        <v>51</v>
      </c>
      <c r="B377" s="620" t="e">
        <f>Abs!Y383</f>
        <v>#REF!</v>
      </c>
      <c r="C377" s="621" t="str">
        <f>Abs!B383</f>
        <v>HDPE water tank 700 lit capacity with ISI mark</v>
      </c>
      <c r="D377" s="617">
        <f>Abs!C383</f>
        <v>6720</v>
      </c>
      <c r="E377" s="618" t="str">
        <f>Abs!D383</f>
        <v>Each</v>
      </c>
      <c r="F377" s="617" t="e">
        <f t="shared" si="5"/>
        <v>#REF!</v>
      </c>
    </row>
    <row r="378" spans="1:6" s="496" customFormat="1" ht="30" hidden="1" customHeight="1">
      <c r="A378" s="614">
        <f>Abs!A384</f>
        <v>52</v>
      </c>
      <c r="B378" s="620" t="e">
        <f>Abs!Y384</f>
        <v>#REF!</v>
      </c>
      <c r="C378" s="621" t="str">
        <f>Abs!B384</f>
        <v>PVC Water supply (ASTM)</v>
      </c>
      <c r="D378" s="617">
        <f>Abs!C384</f>
        <v>0</v>
      </c>
      <c r="E378" s="618">
        <f>Abs!D384</f>
        <v>0</v>
      </c>
      <c r="F378" s="617" t="e">
        <f t="shared" si="5"/>
        <v>#REF!</v>
      </c>
    </row>
    <row r="379" spans="1:6" s="496" customFormat="1" ht="47.25" hidden="1" customHeight="1">
      <c r="A379" s="614">
        <f>Abs!A385</f>
        <v>0</v>
      </c>
      <c r="B379" s="620" t="e">
        <f>Abs!Y385</f>
        <v>#REF!</v>
      </c>
      <c r="C379" s="621" t="str">
        <f>Abs!B385</f>
        <v xml:space="preserve">a. 32 mm dia </v>
      </c>
      <c r="D379" s="617">
        <f>Abs!C385</f>
        <v>227.05</v>
      </c>
      <c r="E379" s="618" t="str">
        <f>Abs!D385</f>
        <v>Rmt</v>
      </c>
      <c r="F379" s="617" t="e">
        <f t="shared" si="5"/>
        <v>#REF!</v>
      </c>
    </row>
    <row r="380" spans="1:6" ht="15.75" hidden="1">
      <c r="A380" s="614">
        <f>Abs!A386</f>
        <v>0</v>
      </c>
      <c r="B380" s="620" t="e">
        <f>Abs!Y386</f>
        <v>#REF!</v>
      </c>
      <c r="C380" s="621" t="str">
        <f>Abs!B386</f>
        <v xml:space="preserve">b. 25 mm dia </v>
      </c>
      <c r="D380" s="617">
        <f>Abs!C386</f>
        <v>209.81</v>
      </c>
      <c r="E380" s="618" t="str">
        <f>Abs!D386</f>
        <v>Rmt</v>
      </c>
      <c r="F380" s="617" t="e">
        <f t="shared" si="5"/>
        <v>#REF!</v>
      </c>
    </row>
    <row r="381" spans="1:6" ht="41.25" hidden="1" customHeight="1">
      <c r="A381" s="614">
        <f>Abs!A387</f>
        <v>0</v>
      </c>
      <c r="B381" s="620" t="e">
        <f>Abs!Y387</f>
        <v>#REF!</v>
      </c>
      <c r="C381" s="621" t="str">
        <f>Abs!B387</f>
        <v xml:space="preserve">c. 20 mm dia </v>
      </c>
      <c r="D381" s="617">
        <f>Abs!C387</f>
        <v>205.03</v>
      </c>
      <c r="E381" s="618" t="str">
        <f>Abs!D387</f>
        <v>Rmt</v>
      </c>
      <c r="F381" s="617" t="e">
        <f t="shared" si="5"/>
        <v>#REF!</v>
      </c>
    </row>
    <row r="382" spans="1:6" ht="42" customHeight="1">
      <c r="A382" s="614">
        <f>Abs!A388</f>
        <v>52.1</v>
      </c>
      <c r="B382" s="620" t="e">
        <f>Abs!Y388</f>
        <v>#REF!</v>
      </c>
      <c r="C382" s="621" t="str">
        <f>Abs!B388</f>
        <v>G.I Pipe 20mm dia for Hot water line (Fully Concealed in walls)</v>
      </c>
      <c r="D382" s="617">
        <f>Abs!C388</f>
        <v>287.95</v>
      </c>
      <c r="E382" s="618" t="str">
        <f>Abs!D388</f>
        <v>Rmt</v>
      </c>
      <c r="F382" s="617" t="e">
        <f t="shared" si="5"/>
        <v>#REF!</v>
      </c>
    </row>
    <row r="383" spans="1:6" s="496" customFormat="1" ht="21" hidden="1" customHeight="1">
      <c r="A383" s="614">
        <f>Abs!A389</f>
        <v>53.1</v>
      </c>
      <c r="B383" s="620">
        <f>Abs!Y389</f>
        <v>0</v>
      </c>
      <c r="C383" s="621" t="str">
        <f>Abs!B389</f>
        <v>Wash basin</v>
      </c>
      <c r="D383" s="617">
        <f>Abs!C389</f>
        <v>3074.82</v>
      </c>
      <c r="E383" s="618" t="str">
        <f>Abs!D389</f>
        <v>Each</v>
      </c>
      <c r="F383" s="617">
        <f t="shared" si="5"/>
        <v>0</v>
      </c>
    </row>
    <row r="384" spans="1:6" ht="30.75" hidden="1" customHeight="1">
      <c r="A384" s="614">
        <f>Abs!A390</f>
        <v>53.2</v>
      </c>
      <c r="B384" s="620">
        <f>Abs!Y390</f>
        <v>0</v>
      </c>
      <c r="C384" s="621" t="str">
        <f>Abs!B390</f>
        <v>S &amp; F  of  C.I. Manhole cover 45 x 45 cm
 (20 kg. weight)</v>
      </c>
      <c r="D384" s="617">
        <f>Abs!C390</f>
        <v>0</v>
      </c>
      <c r="E384" s="618" t="str">
        <f>Abs!D390</f>
        <v>Each</v>
      </c>
      <c r="F384" s="617">
        <f t="shared" si="5"/>
        <v>0</v>
      </c>
    </row>
    <row r="385" spans="1:6" ht="32.25" customHeight="1">
      <c r="A385" s="614">
        <f>Abs!A391</f>
        <v>53.3</v>
      </c>
      <c r="B385" s="620" t="e">
        <f>Abs!Y391</f>
        <v>#REF!</v>
      </c>
      <c r="C385" s="621" t="str">
        <f>Abs!B391</f>
        <v>C.I. Steps ( 5 kg)</v>
      </c>
      <c r="D385" s="617">
        <f>Abs!C391</f>
        <v>30</v>
      </c>
      <c r="E385" s="618" t="str">
        <f>Abs!D391</f>
        <v>Each</v>
      </c>
      <c r="F385" s="617" t="e">
        <f t="shared" si="5"/>
        <v>#REF!</v>
      </c>
    </row>
    <row r="386" spans="1:6" s="496" customFormat="1" ht="17.25" hidden="1">
      <c r="A386" s="614">
        <f>Abs!A392</f>
        <v>54</v>
      </c>
      <c r="B386" s="620">
        <f>Abs!Y392</f>
        <v>0</v>
      </c>
      <c r="C386" s="621" t="str">
        <f>Abs!B392</f>
        <v>Brass tap (with ISI mark)</v>
      </c>
      <c r="D386" s="617">
        <f>Abs!C392</f>
        <v>204</v>
      </c>
      <c r="E386" s="618" t="str">
        <f>Abs!D392</f>
        <v>Each</v>
      </c>
      <c r="F386" s="617">
        <f t="shared" si="5"/>
        <v>0</v>
      </c>
    </row>
    <row r="387" spans="1:6" ht="33" hidden="1" customHeight="1">
      <c r="A387" s="614">
        <f>Abs!A393</f>
        <v>54.1</v>
      </c>
      <c r="B387" s="620">
        <f>Abs!Y393</f>
        <v>0</v>
      </c>
      <c r="C387" s="621" t="str">
        <f>Abs!B393</f>
        <v xml:space="preserve">C.P tap long body </v>
      </c>
      <c r="D387" s="617">
        <f>Abs!C393</f>
        <v>300</v>
      </c>
      <c r="E387" s="618" t="str">
        <f>Abs!D393</f>
        <v>Each</v>
      </c>
      <c r="F387" s="617">
        <f t="shared" si="5"/>
        <v>0</v>
      </c>
    </row>
    <row r="388" spans="1:6" s="496" customFormat="1" ht="17.25" hidden="1">
      <c r="A388" s="614">
        <f>Abs!A394</f>
        <v>54.2</v>
      </c>
      <c r="B388" s="620">
        <f>Abs!Y394</f>
        <v>0</v>
      </c>
      <c r="C388" s="621" t="str">
        <f>Abs!B394</f>
        <v xml:space="preserve">C.P tap short body </v>
      </c>
      <c r="D388" s="617">
        <f>Abs!C394</f>
        <v>250</v>
      </c>
      <c r="E388" s="618" t="str">
        <f>Abs!D394</f>
        <v>Each</v>
      </c>
      <c r="F388" s="617">
        <f t="shared" si="5"/>
        <v>0</v>
      </c>
    </row>
    <row r="389" spans="1:6" s="496" customFormat="1" ht="17.25" hidden="1">
      <c r="A389" s="614">
        <f>Abs!A395</f>
        <v>55.1</v>
      </c>
      <c r="B389" s="620">
        <f>Abs!Y395</f>
        <v>0</v>
      </c>
      <c r="C389" s="621" t="str">
        <f>Abs!B395</f>
        <v>Squat Urinal</v>
      </c>
      <c r="D389" s="617">
        <f>Abs!C395</f>
        <v>822.61</v>
      </c>
      <c r="E389" s="618" t="str">
        <f>Abs!D395</f>
        <v>Each</v>
      </c>
      <c r="F389" s="617">
        <f t="shared" si="5"/>
        <v>0</v>
      </c>
    </row>
    <row r="390" spans="1:6" s="496" customFormat="1" ht="17.25" hidden="1">
      <c r="A390" s="614">
        <f>Abs!A396</f>
        <v>55.2</v>
      </c>
      <c r="B390" s="620">
        <f>Abs!Y396</f>
        <v>0</v>
      </c>
      <c r="C390" s="621" t="str">
        <f>Abs!B396</f>
        <v>Flat Back Urinal</v>
      </c>
      <c r="D390" s="617">
        <f>Abs!C396</f>
        <v>2016.25</v>
      </c>
      <c r="E390" s="618" t="str">
        <f>Abs!D396</f>
        <v>Each</v>
      </c>
      <c r="F390" s="617">
        <f t="shared" si="5"/>
        <v>0</v>
      </c>
    </row>
    <row r="391" spans="1:6" s="496" customFormat="1" ht="17.25" hidden="1">
      <c r="A391" s="614">
        <f>Abs!A397</f>
        <v>56.1</v>
      </c>
      <c r="B391" s="620">
        <f>Abs!Y397</f>
        <v>0</v>
      </c>
      <c r="C391" s="621" t="str">
        <f>Abs!B397</f>
        <v xml:space="preserve">S &amp; F of Orissapan  - in G.F.  </v>
      </c>
      <c r="D391" s="617">
        <f>Abs!C397</f>
        <v>3060.82</v>
      </c>
      <c r="E391" s="618" t="str">
        <f>Abs!D397</f>
        <v>Each</v>
      </c>
      <c r="F391" s="617">
        <f t="shared" si="5"/>
        <v>0</v>
      </c>
    </row>
    <row r="392" spans="1:6" s="496" customFormat="1" ht="17.25" hidden="1">
      <c r="A392" s="614">
        <f>Abs!A398</f>
        <v>56.2</v>
      </c>
      <c r="B392" s="620">
        <f>Abs!Y398</f>
        <v>0</v>
      </c>
      <c r="C392" s="621" t="str">
        <f>Abs!B398</f>
        <v xml:space="preserve">S &amp; F of Orissapan - other than G.F. </v>
      </c>
      <c r="D392" s="617">
        <f>Abs!C398</f>
        <v>4798.84</v>
      </c>
      <c r="E392" s="618" t="str">
        <f>Abs!D398</f>
        <v>Each</v>
      </c>
      <c r="F392" s="617">
        <f t="shared" ref="F392:F455" si="6">D392*B392</f>
        <v>0</v>
      </c>
    </row>
    <row r="393" spans="1:6" s="496" customFormat="1" ht="17.25" hidden="1">
      <c r="A393" s="614">
        <f>Abs!A399</f>
        <v>57</v>
      </c>
      <c r="B393" s="620">
        <f>Abs!Y399</f>
        <v>0</v>
      </c>
      <c r="C393" s="621" t="str">
        <f>Abs!B399</f>
        <v>S &amp; F of E.W.C.(white)</v>
      </c>
      <c r="D393" s="617">
        <f>Abs!C399</f>
        <v>6531.2</v>
      </c>
      <c r="E393" s="618" t="str">
        <f>Abs!D399</f>
        <v>Each</v>
      </c>
      <c r="F393" s="617">
        <f t="shared" si="6"/>
        <v>0</v>
      </c>
    </row>
    <row r="394" spans="1:6" s="496" customFormat="1" ht="17.25" hidden="1">
      <c r="A394" s="614">
        <f>Abs!A400</f>
        <v>57.1</v>
      </c>
      <c r="B394" s="620">
        <f>Abs!Y400</f>
        <v>0</v>
      </c>
      <c r="C394" s="621" t="str">
        <f>Abs!B400</f>
        <v>S &amp; F of E.W.C.(colour)</v>
      </c>
      <c r="D394" s="617">
        <f>Abs!C400</f>
        <v>6921.2</v>
      </c>
      <c r="E394" s="618" t="str">
        <f>Abs!D400</f>
        <v>Each</v>
      </c>
      <c r="F394" s="617">
        <f t="shared" si="6"/>
        <v>0</v>
      </c>
    </row>
    <row r="395" spans="1:6" s="496" customFormat="1" ht="17.25" hidden="1">
      <c r="A395" s="614">
        <f>Abs!A401</f>
        <v>58.1</v>
      </c>
      <c r="B395" s="620">
        <f>Abs!Y401</f>
        <v>0</v>
      </c>
      <c r="C395" s="621" t="str">
        <f>Abs!B401</f>
        <v>PVC SWR pipe (Soil line)</v>
      </c>
      <c r="D395" s="617">
        <f>Abs!C401</f>
        <v>0</v>
      </c>
      <c r="E395" s="618">
        <f>Abs!D401</f>
        <v>0</v>
      </c>
      <c r="F395" s="617">
        <f t="shared" si="6"/>
        <v>0</v>
      </c>
    </row>
    <row r="396" spans="1:6" s="496" customFormat="1" ht="17.25" hidden="1">
      <c r="A396" s="614">
        <f>Abs!A402</f>
        <v>0</v>
      </c>
      <c r="B396" s="620">
        <f>Abs!Y402</f>
        <v>0</v>
      </c>
      <c r="C396" s="621" t="str">
        <f>Abs!B402</f>
        <v>a. 110 mm dia.</v>
      </c>
      <c r="D396" s="617">
        <f>Abs!C402</f>
        <v>657.29</v>
      </c>
      <c r="E396" s="618" t="str">
        <f>Abs!D402</f>
        <v>Rmt</v>
      </c>
      <c r="F396" s="617">
        <f t="shared" si="6"/>
        <v>0</v>
      </c>
    </row>
    <row r="397" spans="1:6" s="496" customFormat="1" ht="39.6" hidden="1" customHeight="1">
      <c r="A397" s="614">
        <f>Abs!A403</f>
        <v>0</v>
      </c>
      <c r="B397" s="620">
        <f>Abs!Y403</f>
        <v>0</v>
      </c>
      <c r="C397" s="621" t="str">
        <f>Abs!B403</f>
        <v>b. 75 mm dia.</v>
      </c>
      <c r="D397" s="617">
        <f>Abs!C403</f>
        <v>541.41999999999996</v>
      </c>
      <c r="E397" s="618" t="str">
        <f>Abs!D403</f>
        <v>Rmt</v>
      </c>
      <c r="F397" s="617">
        <f t="shared" si="6"/>
        <v>0</v>
      </c>
    </row>
    <row r="398" spans="1:6" s="496" customFormat="1" ht="17.25" hidden="1">
      <c r="A398" s="614">
        <f>Abs!A404</f>
        <v>58.2</v>
      </c>
      <c r="B398" s="620">
        <f>Abs!Y404</f>
        <v>0</v>
      </c>
      <c r="C398" s="621" t="str">
        <f>Abs!B404</f>
        <v>PVC Ventilating shaft with cowl</v>
      </c>
      <c r="D398" s="617">
        <f>Abs!C404</f>
        <v>450.1</v>
      </c>
      <c r="E398" s="618" t="str">
        <f>Abs!D404</f>
        <v>Each</v>
      </c>
      <c r="F398" s="617">
        <f t="shared" si="6"/>
        <v>0</v>
      </c>
    </row>
    <row r="399" spans="1:6" s="496" customFormat="1" ht="36" hidden="1" customHeight="1">
      <c r="A399" s="614">
        <f>Abs!A405</f>
        <v>59.1</v>
      </c>
      <c r="B399" s="620">
        <f>Abs!Y405</f>
        <v>0</v>
      </c>
      <c r="C399" s="621" t="str">
        <f>Abs!B405</f>
        <v>Gully Trap using Chamber burnt bricks 23 x 11.2 x 7 cm.</v>
      </c>
      <c r="D399" s="617">
        <f>Abs!C405</f>
        <v>0</v>
      </c>
      <c r="E399" s="618" t="str">
        <f>Abs!D405</f>
        <v>Each</v>
      </c>
      <c r="F399" s="617">
        <f t="shared" si="6"/>
        <v>0</v>
      </c>
    </row>
    <row r="400" spans="1:6" ht="39.75" hidden="1" customHeight="1">
      <c r="A400" s="614">
        <f>Abs!A406</f>
        <v>59.2</v>
      </c>
      <c r="B400" s="620">
        <f>Abs!Y406</f>
        <v>0</v>
      </c>
      <c r="C400" s="621" t="str">
        <f>Abs!B406</f>
        <v>Gully Trap using chamber burnt bricks of size 23x11.4x7.5cm</v>
      </c>
      <c r="D400" s="617">
        <f>Abs!C406</f>
        <v>1747.74</v>
      </c>
      <c r="E400" s="618" t="str">
        <f>Abs!D406</f>
        <v>Each</v>
      </c>
      <c r="F400" s="617">
        <f t="shared" si="6"/>
        <v>0</v>
      </c>
    </row>
    <row r="401" spans="1:6" s="496" customFormat="1" ht="30" hidden="1">
      <c r="A401" s="614">
        <f>Abs!A407</f>
        <v>59.3</v>
      </c>
      <c r="B401" s="620">
        <f>Abs!Y407</f>
        <v>0</v>
      </c>
      <c r="C401" s="621" t="str">
        <f>Abs!B407</f>
        <v>Gully Trap using Chamber burnt bricks 23 x 11 x 7 cm.</v>
      </c>
      <c r="D401" s="617">
        <f>Abs!C407</f>
        <v>0</v>
      </c>
      <c r="E401" s="618" t="str">
        <f>Abs!D407</f>
        <v>Each</v>
      </c>
      <c r="F401" s="617">
        <f t="shared" si="6"/>
        <v>0</v>
      </c>
    </row>
    <row r="402" spans="1:6" s="496" customFormat="1" ht="36.6" hidden="1" customHeight="1">
      <c r="A402" s="614">
        <f>Abs!A408</f>
        <v>59.4</v>
      </c>
      <c r="B402" s="620">
        <f>Abs!Y408</f>
        <v>0</v>
      </c>
      <c r="C402" s="621" t="str">
        <f>Abs!B408</f>
        <v>Gully Trap using Chamber burnt bricks 22 x 11 x 7 cm.</v>
      </c>
      <c r="D402" s="617">
        <f>Abs!C408</f>
        <v>0</v>
      </c>
      <c r="E402" s="618" t="str">
        <f>Abs!D408</f>
        <v>Each</v>
      </c>
      <c r="F402" s="617">
        <f t="shared" si="6"/>
        <v>0</v>
      </c>
    </row>
    <row r="403" spans="1:6" s="496" customFormat="1" ht="39.75" customHeight="1">
      <c r="A403" s="614">
        <f>Abs!A409</f>
        <v>59.5</v>
      </c>
      <c r="B403" s="620" t="e">
        <f>Abs!Y409</f>
        <v>#REF!</v>
      </c>
      <c r="C403" s="621" t="str">
        <f>Abs!B409</f>
        <v>Gully Trap using Kiln burnt country bricks 22 x 11 x 7 cm.</v>
      </c>
      <c r="D403" s="617">
        <f>Abs!C409</f>
        <v>1747.74</v>
      </c>
      <c r="E403" s="618" t="str">
        <f>Abs!D409</f>
        <v>Each</v>
      </c>
      <c r="F403" s="617" t="e">
        <f t="shared" si="6"/>
        <v>#REF!</v>
      </c>
    </row>
    <row r="404" spans="1:6" s="496" customFormat="1" ht="34.5" hidden="1" customHeight="1">
      <c r="A404" s="614">
        <f>Abs!A410</f>
        <v>59.6</v>
      </c>
      <c r="B404" s="620">
        <f>Abs!Y410</f>
        <v>0</v>
      </c>
      <c r="C404" s="621" t="str">
        <f>Abs!B410</f>
        <v>Gully Trap using Kiln burnt country bricks 22 x 11 x 5.7 cm.</v>
      </c>
      <c r="D404" s="617">
        <f>Abs!C410</f>
        <v>0</v>
      </c>
      <c r="E404" s="618" t="str">
        <f>Abs!D410</f>
        <v>Each</v>
      </c>
      <c r="F404" s="617">
        <f t="shared" si="6"/>
        <v>0</v>
      </c>
    </row>
    <row r="405" spans="1:6" ht="36" customHeight="1">
      <c r="A405" s="614">
        <f>Abs!A411</f>
        <v>60</v>
      </c>
      <c r="B405" s="620" t="e">
        <f>Abs!Y411</f>
        <v>#REF!</v>
      </c>
      <c r="C405" s="621" t="str">
        <f>Abs!B411</f>
        <v>PVC Nahani trap (4way/2way)</v>
      </c>
      <c r="D405" s="617">
        <f>Abs!C411</f>
        <v>152.6</v>
      </c>
      <c r="E405" s="618" t="str">
        <f>Abs!D411</f>
        <v>Each</v>
      </c>
      <c r="F405" s="617" t="e">
        <f t="shared" si="6"/>
        <v>#REF!</v>
      </c>
    </row>
    <row r="406" spans="1:6" s="496" customFormat="1" ht="36.6" hidden="1" customHeight="1">
      <c r="A406" s="614">
        <f>Abs!A412</f>
        <v>61.1</v>
      </c>
      <c r="B406" s="620">
        <f>Abs!Y412</f>
        <v>0</v>
      </c>
      <c r="C406" s="621" t="str">
        <f>Abs!B412</f>
        <v>Stoneware pipe</v>
      </c>
      <c r="D406" s="617">
        <f>Abs!C412</f>
        <v>0</v>
      </c>
      <c r="E406" s="618">
        <f>Abs!D412</f>
        <v>0</v>
      </c>
      <c r="F406" s="617">
        <f t="shared" si="6"/>
        <v>0</v>
      </c>
    </row>
    <row r="407" spans="1:6" ht="36.6" hidden="1" customHeight="1">
      <c r="A407" s="614">
        <f>Abs!A413</f>
        <v>0</v>
      </c>
      <c r="B407" s="620">
        <f>Abs!Y413</f>
        <v>0</v>
      </c>
      <c r="C407" s="621" t="str">
        <f>Abs!B413</f>
        <v>a. 100 mm S.W. pipe</v>
      </c>
      <c r="D407" s="617">
        <f>Abs!C413</f>
        <v>507.95</v>
      </c>
      <c r="E407" s="618" t="str">
        <f>Abs!D413</f>
        <v>Rmt</v>
      </c>
      <c r="F407" s="617">
        <f t="shared" si="6"/>
        <v>0</v>
      </c>
    </row>
    <row r="408" spans="1:6" s="496" customFormat="1" ht="33.75" hidden="1" customHeight="1">
      <c r="A408" s="614">
        <f>Abs!A414</f>
        <v>0</v>
      </c>
      <c r="B408" s="620">
        <f>Abs!Y414</f>
        <v>0</v>
      </c>
      <c r="C408" s="621" t="str">
        <f>Abs!B414</f>
        <v>b. 150 mm S.W. pipe</v>
      </c>
      <c r="D408" s="617">
        <f>Abs!C414</f>
        <v>674.79</v>
      </c>
      <c r="E408" s="618" t="str">
        <f>Abs!D414</f>
        <v>Rmt</v>
      </c>
      <c r="F408" s="617">
        <f t="shared" si="6"/>
        <v>0</v>
      </c>
    </row>
    <row r="409" spans="1:6" s="496" customFormat="1" ht="30.75" hidden="1" customHeight="1">
      <c r="A409" s="614">
        <f>Abs!A415</f>
        <v>61.2</v>
      </c>
      <c r="B409" s="620">
        <f>Abs!Y415</f>
        <v>0</v>
      </c>
      <c r="C409" s="621" t="str">
        <f>Abs!B415</f>
        <v>Stoneware pipe dry condition</v>
      </c>
      <c r="D409" s="617">
        <f>Abs!C415</f>
        <v>0</v>
      </c>
      <c r="E409" s="618">
        <f>Abs!D415</f>
        <v>0</v>
      </c>
      <c r="F409" s="617">
        <f t="shared" si="6"/>
        <v>0</v>
      </c>
    </row>
    <row r="410" spans="1:6" s="496" customFormat="1" ht="17.25" hidden="1">
      <c r="A410" s="614">
        <f>Abs!A416</f>
        <v>0</v>
      </c>
      <c r="B410" s="620">
        <f>Abs!Y416</f>
        <v>0</v>
      </c>
      <c r="C410" s="621" t="str">
        <f>Abs!B416</f>
        <v>a. 100 mm dia</v>
      </c>
      <c r="D410" s="617">
        <f>Abs!C416</f>
        <v>223.29</v>
      </c>
      <c r="E410" s="618" t="str">
        <f>Abs!D416</f>
        <v>Rmt</v>
      </c>
      <c r="F410" s="617">
        <f t="shared" si="6"/>
        <v>0</v>
      </c>
    </row>
    <row r="411" spans="1:6" s="496" customFormat="1" ht="17.25" hidden="1">
      <c r="A411" s="614">
        <f>Abs!A417</f>
        <v>0</v>
      </c>
      <c r="B411" s="620">
        <f>Abs!Y417</f>
        <v>0</v>
      </c>
      <c r="C411" s="621" t="str">
        <f>Abs!B417</f>
        <v>b. 150 mm dia</v>
      </c>
      <c r="D411" s="617">
        <f>Abs!C417</f>
        <v>330.55</v>
      </c>
      <c r="E411" s="618" t="str">
        <f>Abs!D417</f>
        <v>Rmt</v>
      </c>
      <c r="F411" s="617">
        <f t="shared" si="6"/>
        <v>0</v>
      </c>
    </row>
    <row r="412" spans="1:6" s="496" customFormat="1" ht="36.6" hidden="1" customHeight="1">
      <c r="A412" s="614">
        <f>Abs!A418</f>
        <v>62.1</v>
      </c>
      <c r="B412" s="620">
        <f>Abs!Y418</f>
        <v>0</v>
      </c>
      <c r="C412" s="621" t="str">
        <f>Abs!B418</f>
        <v>Stoneware bend</v>
      </c>
      <c r="D412" s="617">
        <f>Abs!C418</f>
        <v>0</v>
      </c>
      <c r="E412" s="618">
        <f>Abs!D418</f>
        <v>0</v>
      </c>
      <c r="F412" s="617">
        <f t="shared" si="6"/>
        <v>0</v>
      </c>
    </row>
    <row r="413" spans="1:6" s="496" customFormat="1" ht="36.6" hidden="1" customHeight="1">
      <c r="A413" s="614">
        <f>Abs!A419</f>
        <v>0</v>
      </c>
      <c r="B413" s="620">
        <f>Abs!Y419</f>
        <v>0</v>
      </c>
      <c r="C413" s="621" t="str">
        <f>Abs!B419</f>
        <v>a. 100 mm dia</v>
      </c>
      <c r="D413" s="617">
        <f>Abs!C419</f>
        <v>103.1</v>
      </c>
      <c r="E413" s="618" t="str">
        <f>Abs!D419</f>
        <v>Each</v>
      </c>
      <c r="F413" s="617">
        <f t="shared" si="6"/>
        <v>0</v>
      </c>
    </row>
    <row r="414" spans="1:6" s="496" customFormat="1" ht="21.75" hidden="1" customHeight="1">
      <c r="A414" s="614">
        <f>Abs!A420</f>
        <v>0</v>
      </c>
      <c r="B414" s="620">
        <f>Abs!Y420</f>
        <v>0</v>
      </c>
      <c r="C414" s="621" t="str">
        <f>Abs!B420</f>
        <v>b. 150 mm dia</v>
      </c>
      <c r="D414" s="617">
        <f>Abs!C420</f>
        <v>140.5</v>
      </c>
      <c r="E414" s="618" t="str">
        <f>Abs!D420</f>
        <v>Each</v>
      </c>
      <c r="F414" s="617">
        <f t="shared" si="6"/>
        <v>0</v>
      </c>
    </row>
    <row r="415" spans="1:6" s="496" customFormat="1" ht="17.25" hidden="1">
      <c r="A415" s="614">
        <f>Abs!A421</f>
        <v>62.2</v>
      </c>
      <c r="B415" s="620">
        <f>Abs!Y421</f>
        <v>0</v>
      </c>
      <c r="C415" s="621" t="str">
        <f>Abs!B421</f>
        <v>Stoneware Tee</v>
      </c>
      <c r="D415" s="617">
        <f>Abs!C421</f>
        <v>0</v>
      </c>
      <c r="E415" s="618">
        <f>Abs!D421</f>
        <v>0</v>
      </c>
      <c r="F415" s="617">
        <f t="shared" si="6"/>
        <v>0</v>
      </c>
    </row>
    <row r="416" spans="1:6" s="496" customFormat="1" ht="36.6" hidden="1" customHeight="1">
      <c r="A416" s="614">
        <f>Abs!A422</f>
        <v>0</v>
      </c>
      <c r="B416" s="620">
        <f>Abs!Y422</f>
        <v>0</v>
      </c>
      <c r="C416" s="621" t="str">
        <f>Abs!B422</f>
        <v>a. 100 mm dia</v>
      </c>
      <c r="D416" s="617">
        <f>Abs!C422</f>
        <v>129.80000000000001</v>
      </c>
      <c r="E416" s="618" t="str">
        <f>Abs!D422</f>
        <v>Each</v>
      </c>
      <c r="F416" s="617">
        <f t="shared" si="6"/>
        <v>0</v>
      </c>
    </row>
    <row r="417" spans="1:6" s="496" customFormat="1" ht="17.25" hidden="1">
      <c r="A417" s="614">
        <f>Abs!A423</f>
        <v>0</v>
      </c>
      <c r="B417" s="620">
        <f>Abs!Y423</f>
        <v>0</v>
      </c>
      <c r="C417" s="621" t="str">
        <f>Abs!B423</f>
        <v>b. 150 mm dia</v>
      </c>
      <c r="D417" s="617">
        <f>Abs!C423</f>
        <v>167.5</v>
      </c>
      <c r="E417" s="618" t="str">
        <f>Abs!D423</f>
        <v>Each</v>
      </c>
      <c r="F417" s="617">
        <f t="shared" si="6"/>
        <v>0</v>
      </c>
    </row>
    <row r="418" spans="1:6" s="496" customFormat="1" ht="37.5" hidden="1" customHeight="1">
      <c r="A418" s="614">
        <f>Abs!A424</f>
        <v>63</v>
      </c>
      <c r="B418" s="620">
        <f>Abs!Y424</f>
        <v>0</v>
      </c>
      <c r="C418" s="621" t="str">
        <f>Abs!B424</f>
        <v>32 mm dia PVC waste pipe</v>
      </c>
      <c r="D418" s="617">
        <f>Abs!C424</f>
        <v>31.87</v>
      </c>
      <c r="E418" s="618" t="str">
        <f>Abs!D424</f>
        <v>Each</v>
      </c>
      <c r="F418" s="617">
        <f t="shared" si="6"/>
        <v>0</v>
      </c>
    </row>
    <row r="419" spans="1:6" s="496" customFormat="1" ht="30" customHeight="1">
      <c r="A419" s="614">
        <f>Abs!A425</f>
        <v>0</v>
      </c>
      <c r="B419" s="615" t="e">
        <f>Abs!Y425</f>
        <v>#REF!</v>
      </c>
      <c r="C419" s="616" t="str">
        <f>Abs!B425</f>
        <v>Electrical arrangements</v>
      </c>
      <c r="D419" s="617">
        <f>Abs!C425</f>
        <v>0</v>
      </c>
      <c r="E419" s="618">
        <f>Abs!D425</f>
        <v>0</v>
      </c>
      <c r="F419" s="617"/>
    </row>
    <row r="420" spans="1:6" s="496" customFormat="1" ht="21.75" hidden="1" customHeight="1">
      <c r="A420" s="614">
        <f>Abs!A426</f>
        <v>64</v>
      </c>
      <c r="B420" s="620" t="e">
        <f>Abs!Y426</f>
        <v>#REF!</v>
      </c>
      <c r="C420" s="621" t="str">
        <f>Abs!B426</f>
        <v>a. Light point with ceiling rose</v>
      </c>
      <c r="D420" s="617">
        <f>Abs!C426</f>
        <v>1499.19</v>
      </c>
      <c r="E420" s="618" t="str">
        <f>Abs!D426</f>
        <v>Each</v>
      </c>
      <c r="F420" s="617" t="e">
        <f t="shared" si="6"/>
        <v>#REF!</v>
      </c>
    </row>
    <row r="421" spans="1:6" s="496" customFormat="1" ht="17.25" hidden="1">
      <c r="A421" s="614">
        <f>Abs!A427</f>
        <v>0</v>
      </c>
      <c r="B421" s="620" t="e">
        <f>Abs!Y427</f>
        <v>#REF!</v>
      </c>
      <c r="C421" s="621" t="str">
        <f>Abs!B427</f>
        <v>b. Light point without ceiling rose</v>
      </c>
      <c r="D421" s="617">
        <f>Abs!C427</f>
        <v>1503.34</v>
      </c>
      <c r="E421" s="618" t="str">
        <f>Abs!D427</f>
        <v>Each</v>
      </c>
      <c r="F421" s="617" t="e">
        <f t="shared" si="6"/>
        <v>#REF!</v>
      </c>
    </row>
    <row r="422" spans="1:6" s="496" customFormat="1" ht="17.25" hidden="1">
      <c r="A422" s="614">
        <f>Abs!A428</f>
        <v>0</v>
      </c>
      <c r="B422" s="620" t="e">
        <f>Abs!Y428</f>
        <v>#REF!</v>
      </c>
      <c r="C422" s="621" t="str">
        <f>Abs!B428</f>
        <v>c. Calling bell point with Buzzer/Calling bell</v>
      </c>
      <c r="D422" s="617">
        <f>Abs!C428</f>
        <v>1538.57</v>
      </c>
      <c r="E422" s="618" t="str">
        <f>Abs!D428</f>
        <v>Each</v>
      </c>
      <c r="F422" s="617" t="e">
        <f t="shared" si="6"/>
        <v>#REF!</v>
      </c>
    </row>
    <row r="423" spans="1:6" s="496" customFormat="1" ht="17.25" hidden="1">
      <c r="A423" s="614">
        <f>Abs!A429</f>
        <v>65</v>
      </c>
      <c r="B423" s="620" t="e">
        <f>Abs!Y429</f>
        <v>#REF!</v>
      </c>
      <c r="C423" s="621" t="str">
        <f>Abs!B429</f>
        <v xml:space="preserve">Fan point </v>
      </c>
      <c r="D423" s="617">
        <f>Abs!C429</f>
        <v>1565.4</v>
      </c>
      <c r="E423" s="618" t="str">
        <f>Abs!D429</f>
        <v>Each</v>
      </c>
      <c r="F423" s="617" t="e">
        <f t="shared" si="6"/>
        <v>#REF!</v>
      </c>
    </row>
    <row r="424" spans="1:6" s="496" customFormat="1" ht="36.6" hidden="1" customHeight="1">
      <c r="A424" s="614">
        <f>Abs!A430</f>
        <v>66</v>
      </c>
      <c r="B424" s="620" t="e">
        <f>Abs!Y430</f>
        <v>#REF!</v>
      </c>
      <c r="C424" s="621" t="str">
        <f>Abs!B430</f>
        <v>Staircase light point</v>
      </c>
      <c r="D424" s="617">
        <f>Abs!C430</f>
        <v>2802.09</v>
      </c>
      <c r="E424" s="618" t="str">
        <f>Abs!D430</f>
        <v>Each</v>
      </c>
      <c r="F424" s="617" t="e">
        <f t="shared" si="6"/>
        <v>#REF!</v>
      </c>
    </row>
    <row r="425" spans="1:6" s="496" customFormat="1" ht="21.75" hidden="1" customHeight="1">
      <c r="A425" s="614">
        <f>Abs!A431</f>
        <v>67</v>
      </c>
      <c r="B425" s="620" t="e">
        <f>Abs!Y431</f>
        <v>#REF!</v>
      </c>
      <c r="C425" s="621" t="str">
        <f>Abs!B431</f>
        <v>5 amps 5 pin Plug point (Switch board itself)</v>
      </c>
      <c r="D425" s="617">
        <f>Abs!C431</f>
        <v>764.91</v>
      </c>
      <c r="E425" s="618" t="str">
        <f>Abs!D431</f>
        <v>Each</v>
      </c>
      <c r="F425" s="617" t="e">
        <f t="shared" si="6"/>
        <v>#REF!</v>
      </c>
    </row>
    <row r="426" spans="1:6" s="496" customFormat="1" ht="24.75" hidden="1" customHeight="1">
      <c r="A426" s="614">
        <f>Abs!A432</f>
        <v>68</v>
      </c>
      <c r="B426" s="620" t="e">
        <f>Abs!Y432</f>
        <v>#REF!</v>
      </c>
      <c r="C426" s="621" t="str">
        <f>Abs!B432</f>
        <v>5 amps 5 pin Plug point (Convenient places)</v>
      </c>
      <c r="D426" s="617">
        <f>Abs!C432</f>
        <v>1041.2</v>
      </c>
      <c r="E426" s="618" t="str">
        <f>Abs!D432</f>
        <v>Each</v>
      </c>
      <c r="F426" s="617" t="e">
        <f t="shared" si="6"/>
        <v>#REF!</v>
      </c>
    </row>
    <row r="427" spans="1:6" s="496" customFormat="1" ht="17.25" hidden="1">
      <c r="A427" s="614">
        <f>Abs!A433</f>
        <v>69</v>
      </c>
      <c r="B427" s="620" t="e">
        <f>Abs!Y433</f>
        <v>#REF!</v>
      </c>
      <c r="C427" s="621" t="str">
        <f>Abs!B433</f>
        <v>15 Amp. Power plug</v>
      </c>
      <c r="D427" s="617">
        <f>Abs!C433</f>
        <v>138.69999999999999</v>
      </c>
      <c r="E427" s="618" t="str">
        <f>Abs!D433</f>
        <v>Each</v>
      </c>
      <c r="F427" s="617" t="e">
        <f t="shared" si="6"/>
        <v>#REF!</v>
      </c>
    </row>
    <row r="428" spans="1:6" s="496" customFormat="1" ht="17.25" hidden="1">
      <c r="A428" s="614">
        <f>Abs!A434</f>
        <v>70.099999999999994</v>
      </c>
      <c r="B428" s="620" t="e">
        <f>Abs!Y434</f>
        <v>#REF!</v>
      </c>
      <c r="C428" s="621" t="str">
        <f>Abs!B434</f>
        <v>Bulk head fitting</v>
      </c>
      <c r="D428" s="617">
        <f>Abs!C434</f>
        <v>462</v>
      </c>
      <c r="E428" s="618" t="str">
        <f>Abs!D434</f>
        <v>Each</v>
      </c>
      <c r="F428" s="617" t="e">
        <f t="shared" si="6"/>
        <v>#REF!</v>
      </c>
    </row>
    <row r="429" spans="1:6" ht="15.75" hidden="1">
      <c r="A429" s="614">
        <f>Abs!A435</f>
        <v>70.2</v>
      </c>
      <c r="B429" s="620" t="e">
        <f>Abs!Y435</f>
        <v>#REF!</v>
      </c>
      <c r="C429" s="621" t="str">
        <f>Abs!B435</f>
        <v>S &amp; F of Tube light with fittings</v>
      </c>
      <c r="D429" s="617">
        <f>Abs!C435</f>
        <v>0</v>
      </c>
      <c r="E429" s="618" t="str">
        <f>Abs!D435</f>
        <v>Each</v>
      </c>
      <c r="F429" s="617" t="e">
        <f t="shared" si="6"/>
        <v>#REF!</v>
      </c>
    </row>
    <row r="430" spans="1:6" s="496" customFormat="1" ht="36.6" hidden="1" customHeight="1">
      <c r="A430" s="614">
        <f>Abs!A436</f>
        <v>70.3</v>
      </c>
      <c r="B430" s="620" t="e">
        <f>Abs!Y436</f>
        <v>#REF!</v>
      </c>
      <c r="C430" s="621" t="str">
        <f>Abs!B436</f>
        <v>S &amp; F of 40/ 60 w bulb</v>
      </c>
      <c r="D430" s="617">
        <f>Abs!C436</f>
        <v>9.4</v>
      </c>
      <c r="E430" s="618" t="str">
        <f>Abs!D436</f>
        <v>Each</v>
      </c>
      <c r="F430" s="617" t="e">
        <f t="shared" si="6"/>
        <v>#REF!</v>
      </c>
    </row>
    <row r="431" spans="1:6" s="496" customFormat="1" ht="28.15" hidden="1" customHeight="1">
      <c r="A431" s="614">
        <f>Abs!A437</f>
        <v>70.400000000000006</v>
      </c>
      <c r="B431" s="620" t="e">
        <f>Abs!Y437</f>
        <v>#REF!</v>
      </c>
      <c r="C431" s="621" t="str">
        <f>Abs!B437</f>
        <v>S &amp; F of plastic  shade</v>
      </c>
      <c r="D431" s="617">
        <f>Abs!C437</f>
        <v>10</v>
      </c>
      <c r="E431" s="618" t="str">
        <f>Abs!D437</f>
        <v>Each</v>
      </c>
      <c r="F431" s="617" t="e">
        <f t="shared" si="6"/>
        <v>#REF!</v>
      </c>
    </row>
    <row r="432" spans="1:6" s="496" customFormat="1" ht="36.6" hidden="1" customHeight="1">
      <c r="A432" s="614">
        <f>Abs!A438</f>
        <v>71</v>
      </c>
      <c r="B432" s="620" t="e">
        <f>Abs!Y438</f>
        <v>#REF!</v>
      </c>
      <c r="C432" s="621" t="str">
        <f>Abs!B438</f>
        <v>Double pole main switch</v>
      </c>
      <c r="D432" s="617">
        <f>Abs!C438</f>
        <v>562</v>
      </c>
      <c r="E432" s="618" t="str">
        <f>Abs!D438</f>
        <v>Each</v>
      </c>
      <c r="F432" s="617" t="e">
        <f t="shared" si="6"/>
        <v>#REF!</v>
      </c>
    </row>
    <row r="433" spans="1:6" s="496" customFormat="1" ht="36.6" customHeight="1">
      <c r="A433" s="614">
        <f>Abs!A439</f>
        <v>72</v>
      </c>
      <c r="B433" s="620" t="e">
        <f>Abs!Y439</f>
        <v>#REF!</v>
      </c>
      <c r="C433" s="621" t="str">
        <f>Abs!B439</f>
        <v>Box type Fibre Fan hook</v>
      </c>
      <c r="D433" s="617">
        <f>Abs!C439</f>
        <v>33.9</v>
      </c>
      <c r="E433" s="618" t="str">
        <f>Abs!D439</f>
        <v>Each</v>
      </c>
      <c r="F433" s="617" t="e">
        <f t="shared" si="6"/>
        <v>#REF!</v>
      </c>
    </row>
    <row r="434" spans="1:6" s="496" customFormat="1" ht="17.25" hidden="1">
      <c r="A434" s="614">
        <f>Abs!A440</f>
        <v>73.099999999999994</v>
      </c>
      <c r="B434" s="620" t="e">
        <f>Abs!Y440</f>
        <v>#REF!</v>
      </c>
      <c r="C434" s="621" t="str">
        <f>Abs!B440</f>
        <v>6 way - D.B.</v>
      </c>
      <c r="D434" s="617">
        <f>Abs!C440</f>
        <v>4116.8500000000004</v>
      </c>
      <c r="E434" s="618" t="str">
        <f>Abs!D440</f>
        <v>Each</v>
      </c>
      <c r="F434" s="617" t="e">
        <f t="shared" si="6"/>
        <v>#REF!</v>
      </c>
    </row>
    <row r="435" spans="1:6" ht="29.25" customHeight="1">
      <c r="A435" s="614">
        <f>Abs!A441</f>
        <v>73.2</v>
      </c>
      <c r="B435" s="620" t="e">
        <f>Abs!Y441</f>
        <v>#REF!</v>
      </c>
      <c r="C435" s="621" t="str">
        <f>Abs!B441</f>
        <v>4 way - D.B.</v>
      </c>
      <c r="D435" s="617">
        <f>Abs!C441</f>
        <v>3342.85</v>
      </c>
      <c r="E435" s="618" t="str">
        <f>Abs!D441</f>
        <v>Each</v>
      </c>
      <c r="F435" s="617" t="e">
        <f t="shared" si="6"/>
        <v>#REF!</v>
      </c>
    </row>
    <row r="436" spans="1:6" ht="24.75" customHeight="1">
      <c r="A436" s="614">
        <f>Abs!A442</f>
        <v>74</v>
      </c>
      <c r="B436" s="620" t="e">
        <f>Abs!Y442</f>
        <v>#REF!</v>
      </c>
      <c r="C436" s="621" t="str">
        <f>Abs!B442</f>
        <v>Charges for fixing of "Fan"</v>
      </c>
      <c r="D436" s="617">
        <f>Abs!C442</f>
        <v>520.79999999999995</v>
      </c>
      <c r="E436" s="618" t="str">
        <f>Abs!D442</f>
        <v>Each</v>
      </c>
      <c r="F436" s="617" t="e">
        <f t="shared" si="6"/>
        <v>#REF!</v>
      </c>
    </row>
    <row r="437" spans="1:6" s="496" customFormat="1" ht="33" hidden="1" customHeight="1">
      <c r="A437" s="614">
        <f>Abs!A443</f>
        <v>75</v>
      </c>
      <c r="B437" s="620">
        <f>Abs!Y443</f>
        <v>0</v>
      </c>
      <c r="C437" s="621" t="str">
        <f>Abs!B443</f>
        <v>Supply and delivery of Fan</v>
      </c>
      <c r="D437" s="617">
        <f>Abs!C443</f>
        <v>0</v>
      </c>
      <c r="E437" s="618">
        <f>Abs!D443</f>
        <v>0</v>
      </c>
      <c r="F437" s="617">
        <f t="shared" si="6"/>
        <v>0</v>
      </c>
    </row>
    <row r="438" spans="1:6" ht="15.75" hidden="1">
      <c r="A438" s="614">
        <f>Abs!A444</f>
        <v>0</v>
      </c>
      <c r="B438" s="620">
        <f>Abs!Y444</f>
        <v>0</v>
      </c>
      <c r="C438" s="621" t="str">
        <f>Abs!B444</f>
        <v>a. 48" (1200 mm)</v>
      </c>
      <c r="D438" s="617">
        <f>Abs!C444</f>
        <v>0</v>
      </c>
      <c r="E438" s="618" t="str">
        <f>Abs!D444</f>
        <v>Each</v>
      </c>
      <c r="F438" s="617">
        <f t="shared" si="6"/>
        <v>0</v>
      </c>
    </row>
    <row r="439" spans="1:6" s="496" customFormat="1" ht="32.25" hidden="1" customHeight="1">
      <c r="A439" s="614">
        <f>Abs!A445</f>
        <v>0</v>
      </c>
      <c r="B439" s="620">
        <f>Abs!Y445</f>
        <v>0</v>
      </c>
      <c r="C439" s="621" t="str">
        <f>Abs!B445</f>
        <v>b. 42" (1050 mm)</v>
      </c>
      <c r="D439" s="617">
        <f>Abs!C445</f>
        <v>0</v>
      </c>
      <c r="E439" s="618" t="str">
        <f>Abs!D445</f>
        <v>Each</v>
      </c>
      <c r="F439" s="617">
        <f t="shared" si="6"/>
        <v>0</v>
      </c>
    </row>
    <row r="440" spans="1:6" s="496" customFormat="1" ht="33" customHeight="1">
      <c r="A440" s="614">
        <f>Abs!A446</f>
        <v>76</v>
      </c>
      <c r="B440" s="620" t="e">
        <f>Abs!Y446</f>
        <v>#REF!</v>
      </c>
      <c r="C440" s="621" t="str">
        <f>Abs!B446</f>
        <v>8 SWG wire</v>
      </c>
      <c r="D440" s="617">
        <f>Abs!C446</f>
        <v>23.79</v>
      </c>
      <c r="E440" s="618" t="str">
        <f>Abs!D446</f>
        <v>Rmt</v>
      </c>
      <c r="F440" s="617" t="e">
        <f t="shared" si="6"/>
        <v>#REF!</v>
      </c>
    </row>
    <row r="441" spans="1:6" s="496" customFormat="1" ht="33" hidden="1" customHeight="1">
      <c r="A441" s="614">
        <f>Abs!A447</f>
        <v>77</v>
      </c>
      <c r="B441" s="620">
        <f>Abs!Y447</f>
        <v>0</v>
      </c>
      <c r="C441" s="621" t="str">
        <f>Abs!B447</f>
        <v>Run of main 2 wires of 1.50 Sqmm.</v>
      </c>
      <c r="D441" s="617">
        <f>Abs!C447</f>
        <v>192.58</v>
      </c>
      <c r="E441" s="618" t="str">
        <f>Abs!D447</f>
        <v>Rmt</v>
      </c>
      <c r="F441" s="617">
        <f t="shared" si="6"/>
        <v>0</v>
      </c>
    </row>
    <row r="442" spans="1:6" ht="33.6" hidden="1" customHeight="1">
      <c r="A442" s="614">
        <f>Abs!A448</f>
        <v>77.099999999999994</v>
      </c>
      <c r="B442" s="620">
        <f>Abs!Y448</f>
        <v>0</v>
      </c>
      <c r="C442" s="621" t="str">
        <f>Abs!B448</f>
        <v>Run of 2 wires of 4 sqmm with continuous earth by means of 2.5sqmm</v>
      </c>
      <c r="D442" s="617">
        <f>Abs!C448</f>
        <v>246.68</v>
      </c>
      <c r="E442" s="618" t="str">
        <f>Abs!D448</f>
        <v>Rmt</v>
      </c>
      <c r="F442" s="617">
        <f t="shared" si="6"/>
        <v>0</v>
      </c>
    </row>
    <row r="443" spans="1:6" s="496" customFormat="1" ht="33" hidden="1" customHeight="1">
      <c r="A443" s="614">
        <f>Abs!A449</f>
        <v>77.2</v>
      </c>
      <c r="B443" s="620">
        <f>Abs!Y449</f>
        <v>0</v>
      </c>
      <c r="C443" s="621" t="str">
        <f>Abs!B449</f>
        <v>S &amp; F of A/C metal clad switch</v>
      </c>
      <c r="D443" s="617">
        <f>Abs!C449</f>
        <v>500</v>
      </c>
      <c r="E443" s="618" t="str">
        <f>Abs!D449</f>
        <v>Each</v>
      </c>
      <c r="F443" s="617">
        <f t="shared" si="6"/>
        <v>0</v>
      </c>
    </row>
    <row r="444" spans="1:6" s="496" customFormat="1" ht="38.25" customHeight="1">
      <c r="A444" s="614">
        <f>Abs!A450</f>
        <v>77.3</v>
      </c>
      <c r="B444" s="620" t="e">
        <f>Abs!Y450</f>
        <v>#REF!</v>
      </c>
      <c r="C444" s="621" t="str">
        <f>Abs!B450</f>
        <v>S&amp;F of TV/Telephone line Socket</v>
      </c>
      <c r="D444" s="617">
        <f>Abs!C450</f>
        <v>76.67</v>
      </c>
      <c r="E444" s="618" t="str">
        <f>Abs!D450</f>
        <v>Each</v>
      </c>
      <c r="F444" s="617" t="e">
        <f t="shared" si="6"/>
        <v>#REF!</v>
      </c>
    </row>
    <row r="445" spans="1:6" ht="24.75" customHeight="1">
      <c r="A445" s="614">
        <f>Abs!A451</f>
        <v>77.400000000000006</v>
      </c>
      <c r="B445" s="620" t="e">
        <f>Abs!Y451</f>
        <v>#REF!</v>
      </c>
      <c r="C445" s="621" t="str">
        <f>Abs!B451</f>
        <v>S&amp;F of 20mm dia PVC pipe for TV/Telephone line</v>
      </c>
      <c r="D445" s="617">
        <f>Abs!C451</f>
        <v>79.650000000000006</v>
      </c>
      <c r="E445" s="618" t="str">
        <f>Abs!D451</f>
        <v>Rmt</v>
      </c>
      <c r="F445" s="617" t="e">
        <f t="shared" si="6"/>
        <v>#REF!</v>
      </c>
    </row>
    <row r="446" spans="1:6" ht="30.75" customHeight="1">
      <c r="A446" s="614">
        <f>Abs!A452</f>
        <v>78</v>
      </c>
      <c r="B446" s="620" t="e">
        <f>Abs!Y452</f>
        <v>#REF!</v>
      </c>
      <c r="C446" s="621" t="str">
        <f>Abs!B452</f>
        <v>Earthing Station IS3043 (Type I)</v>
      </c>
      <c r="D446" s="617">
        <f>Abs!C452</f>
        <v>2745.95</v>
      </c>
      <c r="E446" s="618" t="str">
        <f>Abs!D452</f>
        <v>Each</v>
      </c>
      <c r="F446" s="617" t="e">
        <f t="shared" si="6"/>
        <v>#REF!</v>
      </c>
    </row>
    <row r="447" spans="1:6" ht="43.5" hidden="1" customHeight="1">
      <c r="A447" s="614">
        <f>Abs!A453</f>
        <v>78.099999999999994</v>
      </c>
      <c r="B447" s="620">
        <f>Abs!Y453</f>
        <v>0</v>
      </c>
      <c r="C447" s="621" t="str">
        <f>Abs!B453</f>
        <v>Earthing Station (Type II)</v>
      </c>
      <c r="D447" s="617">
        <f>Abs!C453</f>
        <v>0</v>
      </c>
      <c r="E447" s="618" t="str">
        <f>Abs!D453</f>
        <v>Each</v>
      </c>
      <c r="F447" s="617">
        <f t="shared" si="6"/>
        <v>0</v>
      </c>
    </row>
    <row r="448" spans="1:6" ht="32.450000000000003" hidden="1" customHeight="1">
      <c r="A448" s="614">
        <f>Abs!A454</f>
        <v>79.099999999999994</v>
      </c>
      <c r="B448" s="620">
        <f>Abs!Y454</f>
        <v>0</v>
      </c>
      <c r="C448" s="621" t="str">
        <f>Abs!B454</f>
        <v>1 No.of 30Amps - Fuse Unit</v>
      </c>
      <c r="D448" s="617">
        <f>Abs!C454</f>
        <v>508.26</v>
      </c>
      <c r="E448" s="618" t="str">
        <f>Abs!D454</f>
        <v>Each</v>
      </c>
      <c r="F448" s="617">
        <f t="shared" si="6"/>
        <v>0</v>
      </c>
    </row>
    <row r="449" spans="1:6" s="496" customFormat="1" ht="24" hidden="1" customHeight="1">
      <c r="A449" s="614">
        <f>Abs!A455</f>
        <v>79.2</v>
      </c>
      <c r="B449" s="620">
        <f>Abs!Y455</f>
        <v>0</v>
      </c>
      <c r="C449" s="621" t="str">
        <f>Abs!B455</f>
        <v>3 Nos.of 30Amps - Fuse Unit</v>
      </c>
      <c r="D449" s="617">
        <f>Abs!C455</f>
        <v>778</v>
      </c>
      <c r="E449" s="618" t="str">
        <f>Abs!D455</f>
        <v>Each</v>
      </c>
      <c r="F449" s="617">
        <f t="shared" si="6"/>
        <v>0</v>
      </c>
    </row>
    <row r="450" spans="1:6" s="496" customFormat="1" ht="24" hidden="1" customHeight="1">
      <c r="A450" s="614">
        <f>Abs!A456</f>
        <v>80</v>
      </c>
      <c r="B450" s="620">
        <f>Abs!Y456</f>
        <v>0</v>
      </c>
      <c r="C450" s="621" t="str">
        <f>Abs!B456</f>
        <v>375 x 300 x 20 mm T.W. plank</v>
      </c>
      <c r="D450" s="617">
        <f>Abs!C456</f>
        <v>770.34</v>
      </c>
      <c r="E450" s="618" t="str">
        <f>Abs!D456</f>
        <v>Each</v>
      </c>
      <c r="F450" s="617">
        <f t="shared" si="6"/>
        <v>0</v>
      </c>
    </row>
    <row r="451" spans="1:6" s="496" customFormat="1" ht="24" customHeight="1">
      <c r="A451" s="614">
        <f>Abs!A457</f>
        <v>81</v>
      </c>
      <c r="B451" s="620" t="e">
        <f>Abs!Y457</f>
        <v>#REF!</v>
      </c>
      <c r="C451" s="621" t="str">
        <f>Abs!B457</f>
        <v>Meter cupboard</v>
      </c>
      <c r="D451" s="617">
        <f>Abs!C457</f>
        <v>2363.98</v>
      </c>
      <c r="E451" s="618" t="str">
        <f>Abs!D457</f>
        <v>Sqm</v>
      </c>
      <c r="F451" s="617" t="e">
        <f t="shared" si="6"/>
        <v>#REF!</v>
      </c>
    </row>
    <row r="452" spans="1:6" s="496" customFormat="1" ht="24" hidden="1" customHeight="1">
      <c r="A452" s="614">
        <f>Abs!A458</f>
        <v>82</v>
      </c>
      <c r="B452" s="620">
        <f>Abs!Y458</f>
        <v>0</v>
      </c>
      <c r="C452" s="621" t="str">
        <f>Abs!B458</f>
        <v>Street lights</v>
      </c>
      <c r="D452" s="617">
        <f>Abs!C458</f>
        <v>2774.3</v>
      </c>
      <c r="E452" s="618" t="str">
        <f>Abs!D458</f>
        <v>Each</v>
      </c>
      <c r="F452" s="617">
        <f t="shared" si="6"/>
        <v>0</v>
      </c>
    </row>
    <row r="453" spans="1:6" ht="33" hidden="1" customHeight="1">
      <c r="A453" s="614">
        <f>Abs!A459</f>
        <v>83</v>
      </c>
      <c r="B453" s="620">
        <f>Abs!Y459</f>
        <v>0</v>
      </c>
      <c r="C453" s="621" t="str">
        <f>Abs!B459</f>
        <v>M.S Angle</v>
      </c>
      <c r="D453" s="617">
        <f>Abs!C459</f>
        <v>169.77</v>
      </c>
      <c r="E453" s="618" t="str">
        <f>Abs!D459</f>
        <v>Rmt</v>
      </c>
      <c r="F453" s="617">
        <f t="shared" si="6"/>
        <v>0</v>
      </c>
    </row>
    <row r="454" spans="1:6" s="496" customFormat="1" ht="42" hidden="1" customHeight="1">
      <c r="A454" s="614">
        <f>Abs!A460</f>
        <v>84</v>
      </c>
      <c r="B454" s="620">
        <f>Abs!Y460</f>
        <v>0</v>
      </c>
      <c r="C454" s="621" t="str">
        <f>Abs!B460</f>
        <v>Run of 2 wires of 4 sqmm</v>
      </c>
      <c r="D454" s="617">
        <f>Abs!C460</f>
        <v>0</v>
      </c>
      <c r="E454" s="618" t="str">
        <f>Abs!D460</f>
        <v>Rmt</v>
      </c>
      <c r="F454" s="617">
        <f t="shared" si="6"/>
        <v>0</v>
      </c>
    </row>
    <row r="455" spans="1:6" s="496" customFormat="1" ht="28.15" hidden="1" customHeight="1">
      <c r="A455" s="614">
        <f>Abs!A461</f>
        <v>85</v>
      </c>
      <c r="B455" s="620">
        <f>Abs!Y461</f>
        <v>0</v>
      </c>
      <c r="C455" s="621" t="str">
        <f>Abs!B461</f>
        <v>Supply of G.I pipe 25mm dia</v>
      </c>
      <c r="D455" s="617">
        <f>Abs!C461</f>
        <v>130</v>
      </c>
      <c r="E455" s="618" t="str">
        <f>Abs!D461</f>
        <v>Rmt</v>
      </c>
      <c r="F455" s="617">
        <f t="shared" si="6"/>
        <v>0</v>
      </c>
    </row>
    <row r="456" spans="1:6" s="496" customFormat="1" ht="33" customHeight="1">
      <c r="A456" s="614">
        <f>Abs!A462</f>
        <v>86</v>
      </c>
      <c r="B456" s="620" t="e">
        <f>Abs!Y462</f>
        <v>#REF!</v>
      </c>
      <c r="C456" s="621" t="str">
        <f>Abs!B462</f>
        <v>Anti termite treatment</v>
      </c>
      <c r="D456" s="617">
        <f>Abs!C462</f>
        <v>34</v>
      </c>
      <c r="E456" s="618" t="str">
        <f>Abs!D462</f>
        <v>Sqm.</v>
      </c>
      <c r="F456" s="617" t="e">
        <f t="shared" ref="F456:F519" si="7">D456*B456</f>
        <v>#REF!</v>
      </c>
    </row>
    <row r="457" spans="1:6" s="496" customFormat="1" ht="36.75" hidden="1" customHeight="1">
      <c r="A457" s="614">
        <f>Abs!A463</f>
        <v>87</v>
      </c>
      <c r="B457" s="620">
        <f>Abs!Y463</f>
        <v>0</v>
      </c>
      <c r="C457" s="621" t="str">
        <f>Abs!B463</f>
        <v>ELCB Single phase</v>
      </c>
      <c r="D457" s="617">
        <f>Abs!C463</f>
        <v>2850.6</v>
      </c>
      <c r="E457" s="618" t="str">
        <f>Abs!D463</f>
        <v>Each</v>
      </c>
      <c r="F457" s="617">
        <f t="shared" si="7"/>
        <v>0</v>
      </c>
    </row>
    <row r="458" spans="1:6" ht="39.75" customHeight="1">
      <c r="A458" s="614">
        <f>Abs!A464</f>
        <v>112</v>
      </c>
      <c r="B458" s="620" t="e">
        <f>Abs!Y464</f>
        <v>#REF!</v>
      </c>
      <c r="C458" s="621" t="str">
        <f>Abs!B464</f>
        <v>S &amp; F of Exsaust Fan 300 mm dia</v>
      </c>
      <c r="D458" s="617">
        <f>Abs!C464</f>
        <v>2147.63</v>
      </c>
      <c r="E458" s="618" t="str">
        <f>Abs!D464</f>
        <v>Each</v>
      </c>
      <c r="F458" s="617" t="e">
        <f t="shared" si="7"/>
        <v>#REF!</v>
      </c>
    </row>
    <row r="459" spans="1:6" s="496" customFormat="1" ht="27.75" customHeight="1">
      <c r="A459" s="614">
        <f>Abs!A465</f>
        <v>238</v>
      </c>
      <c r="B459" s="620" t="e">
        <f>Abs!Y465</f>
        <v>#REF!</v>
      </c>
      <c r="C459" s="621" t="str">
        <f>Abs!B465</f>
        <v>Anticorrosive treatment for steel grills</v>
      </c>
      <c r="D459" s="617">
        <f>Abs!C465</f>
        <v>4403.5</v>
      </c>
      <c r="E459" s="618" t="str">
        <f>Abs!D465</f>
        <v>MT</v>
      </c>
      <c r="F459" s="617" t="e">
        <f t="shared" si="7"/>
        <v>#REF!</v>
      </c>
    </row>
    <row r="460" spans="1:6" s="496" customFormat="1" ht="34.5" customHeight="1">
      <c r="A460" s="614">
        <f>Abs!A466</f>
        <v>0</v>
      </c>
      <c r="B460" s="615" t="e">
        <f>Abs!Y466</f>
        <v>#REF!</v>
      </c>
      <c r="C460" s="616" t="str">
        <f>Abs!B466</f>
        <v>ANNEXURE</v>
      </c>
      <c r="D460" s="617">
        <f>Abs!C466</f>
        <v>0</v>
      </c>
      <c r="E460" s="618">
        <f>Abs!D466</f>
        <v>0</v>
      </c>
      <c r="F460" s="617"/>
    </row>
    <row r="461" spans="1:6" s="496" customFormat="1" ht="27.75" hidden="1" customHeight="1">
      <c r="A461" s="614" t="str">
        <f>Abs!A467</f>
        <v>14.I</v>
      </c>
      <c r="B461" s="620" t="e">
        <f>Abs!Y467</f>
        <v>#REF!</v>
      </c>
      <c r="C461" s="621" t="str">
        <f>Abs!B467</f>
        <v>Precast Cupboard slab 20 mm tk.using standardised concrete mix M20 (annexure)</v>
      </c>
      <c r="D461" s="617">
        <f>Abs!C467</f>
        <v>0</v>
      </c>
      <c r="E461" s="618">
        <f>Abs!D467</f>
        <v>0</v>
      </c>
      <c r="F461" s="617" t="e">
        <f t="shared" si="7"/>
        <v>#REF!</v>
      </c>
    </row>
    <row r="462" spans="1:6" s="496" customFormat="1" ht="27.75" hidden="1" customHeight="1">
      <c r="A462" s="614">
        <f>Abs!A468</f>
        <v>0</v>
      </c>
      <c r="B462" s="620" t="e">
        <f>Abs!Y468</f>
        <v>#REF!</v>
      </c>
      <c r="C462" s="621" t="str">
        <f>Abs!B468</f>
        <v>a. In Ground floor</v>
      </c>
      <c r="D462" s="617">
        <f>Abs!C468</f>
        <v>1284.08</v>
      </c>
      <c r="E462" s="618" t="str">
        <f>Abs!D468</f>
        <v>Sqm.</v>
      </c>
      <c r="F462" s="617" t="e">
        <f t="shared" si="7"/>
        <v>#REF!</v>
      </c>
    </row>
    <row r="463" spans="1:6" s="496" customFormat="1" ht="23.25" hidden="1" customHeight="1">
      <c r="A463" s="614">
        <f>Abs!A469</f>
        <v>0</v>
      </c>
      <c r="B463" s="620" t="e">
        <f>Abs!Y469</f>
        <v>#REF!</v>
      </c>
      <c r="C463" s="621" t="str">
        <f>Abs!B469</f>
        <v>b. In First floor</v>
      </c>
      <c r="D463" s="617">
        <f>Abs!C469</f>
        <v>1288.19</v>
      </c>
      <c r="E463" s="618" t="str">
        <f>Abs!D469</f>
        <v>Sqm.</v>
      </c>
      <c r="F463" s="617" t="e">
        <f t="shared" si="7"/>
        <v>#REF!</v>
      </c>
    </row>
    <row r="464" spans="1:6" s="496" customFormat="1" ht="45.6" hidden="1" customHeight="1">
      <c r="A464" s="614">
        <f>Abs!A470</f>
        <v>0</v>
      </c>
      <c r="B464" s="620" t="e">
        <f>Abs!Y470</f>
        <v>#REF!</v>
      </c>
      <c r="C464" s="621" t="str">
        <f>Abs!B470</f>
        <v>c. In Second floor</v>
      </c>
      <c r="D464" s="617">
        <f>Abs!C470</f>
        <v>1292.8</v>
      </c>
      <c r="E464" s="618" t="str">
        <f>Abs!D470</f>
        <v>Sqm.</v>
      </c>
      <c r="F464" s="617" t="e">
        <f t="shared" si="7"/>
        <v>#REF!</v>
      </c>
    </row>
    <row r="465" spans="1:6" s="496" customFormat="1" ht="27" hidden="1" customHeight="1">
      <c r="A465" s="614">
        <f>Abs!A471</f>
        <v>0</v>
      </c>
      <c r="B465" s="620" t="e">
        <f>Abs!Y471</f>
        <v>#REF!</v>
      </c>
      <c r="C465" s="621" t="str">
        <f>Abs!B471</f>
        <v>d. In Third floor</v>
      </c>
      <c r="D465" s="617">
        <f>Abs!C471</f>
        <v>1297.1099999999999</v>
      </c>
      <c r="E465" s="618" t="str">
        <f>Abs!D471</f>
        <v>Sqm.</v>
      </c>
      <c r="F465" s="617" t="e">
        <f t="shared" si="7"/>
        <v>#REF!</v>
      </c>
    </row>
    <row r="466" spans="1:6" s="496" customFormat="1" ht="27" hidden="1" customHeight="1">
      <c r="A466" s="614">
        <f>Abs!A472</f>
        <v>0</v>
      </c>
      <c r="B466" s="620" t="e">
        <f>Abs!Y472</f>
        <v>#REF!</v>
      </c>
      <c r="C466" s="621" t="str">
        <f>Abs!B472</f>
        <v>e.  In Fourth floor</v>
      </c>
      <c r="D466" s="617">
        <f>Abs!C472</f>
        <v>1301.42</v>
      </c>
      <c r="E466" s="618" t="str">
        <f>Abs!D472</f>
        <v>Sqm.</v>
      </c>
      <c r="F466" s="617" t="e">
        <f t="shared" si="7"/>
        <v>#REF!</v>
      </c>
    </row>
    <row r="467" spans="1:6" s="496" customFormat="1" ht="27" hidden="1" customHeight="1">
      <c r="A467" s="614" t="str">
        <f>Abs!A473</f>
        <v>14.II</v>
      </c>
      <c r="B467" s="620" t="e">
        <f>Abs!Y473</f>
        <v>#REF!</v>
      </c>
      <c r="C467" s="621" t="str">
        <f>Abs!B473</f>
        <v>Precast cupboard slab 40 mm tkusing standardised concrete mix M20 (annexure)</v>
      </c>
      <c r="D467" s="617">
        <f>Abs!C473</f>
        <v>0</v>
      </c>
      <c r="E467" s="618">
        <f>Abs!D473</f>
        <v>0</v>
      </c>
      <c r="F467" s="617" t="e">
        <f t="shared" si="7"/>
        <v>#REF!</v>
      </c>
    </row>
    <row r="468" spans="1:6" s="496" customFormat="1" ht="27" hidden="1" customHeight="1">
      <c r="A468" s="614">
        <f>Abs!A474</f>
        <v>0</v>
      </c>
      <c r="B468" s="620" t="e">
        <f>Abs!Y474</f>
        <v>#REF!</v>
      </c>
      <c r="C468" s="621" t="str">
        <f>Abs!B474</f>
        <v>a. In Foundation &amp; basement</v>
      </c>
      <c r="D468" s="617">
        <f>Abs!C474</f>
        <v>1417.27</v>
      </c>
      <c r="E468" s="618" t="str">
        <f>Abs!D474</f>
        <v>Sqm.</v>
      </c>
      <c r="F468" s="617" t="e">
        <f t="shared" si="7"/>
        <v>#REF!</v>
      </c>
    </row>
    <row r="469" spans="1:6" ht="27.75" hidden="1" customHeight="1">
      <c r="A469" s="614">
        <f>Abs!A475</f>
        <v>0</v>
      </c>
      <c r="B469" s="620" t="e">
        <f>Abs!Y475</f>
        <v>#REF!</v>
      </c>
      <c r="C469" s="621" t="str">
        <f>Abs!B475</f>
        <v>b. In Ground floor</v>
      </c>
      <c r="D469" s="617">
        <f>Abs!C475</f>
        <v>1421.44</v>
      </c>
      <c r="E469" s="618" t="str">
        <f>Abs!D475</f>
        <v>Sqm.</v>
      </c>
      <c r="F469" s="617" t="e">
        <f t="shared" si="7"/>
        <v>#REF!</v>
      </c>
    </row>
    <row r="470" spans="1:6" ht="15.75" hidden="1">
      <c r="A470" s="614">
        <f>Abs!A476</f>
        <v>0</v>
      </c>
      <c r="B470" s="620" t="e">
        <f>Abs!Y476</f>
        <v>#REF!</v>
      </c>
      <c r="C470" s="621" t="str">
        <f>Abs!B476</f>
        <v>c. In First floor</v>
      </c>
      <c r="D470" s="617">
        <f>Abs!C476</f>
        <v>1429.66</v>
      </c>
      <c r="E470" s="618" t="str">
        <f>Abs!D476</f>
        <v>Sqm.</v>
      </c>
      <c r="F470" s="617" t="e">
        <f t="shared" si="7"/>
        <v>#REF!</v>
      </c>
    </row>
    <row r="471" spans="1:6" s="496" customFormat="1" ht="42" hidden="1" customHeight="1">
      <c r="A471" s="614">
        <f>Abs!A477</f>
        <v>0</v>
      </c>
      <c r="B471" s="620" t="e">
        <f>Abs!Y477</f>
        <v>#REF!</v>
      </c>
      <c r="C471" s="621" t="str">
        <f>Abs!B477</f>
        <v>d. In Second floor</v>
      </c>
      <c r="D471" s="617">
        <f>Abs!C477</f>
        <v>1438.91</v>
      </c>
      <c r="E471" s="618" t="str">
        <f>Abs!D477</f>
        <v>Sqm.</v>
      </c>
      <c r="F471" s="617" t="e">
        <f t="shared" si="7"/>
        <v>#REF!</v>
      </c>
    </row>
    <row r="472" spans="1:6" s="496" customFormat="1" ht="17.25" hidden="1">
      <c r="A472" s="614">
        <f>Abs!A478</f>
        <v>0</v>
      </c>
      <c r="B472" s="620" t="e">
        <f>Abs!Y478</f>
        <v>#REF!</v>
      </c>
      <c r="C472" s="621" t="str">
        <f>Abs!B478</f>
        <v>e. In Third floor</v>
      </c>
      <c r="D472" s="617">
        <f>Abs!C478</f>
        <v>1447.54</v>
      </c>
      <c r="E472" s="618" t="str">
        <f>Abs!D478</f>
        <v>Sqm.</v>
      </c>
      <c r="F472" s="617" t="e">
        <f t="shared" si="7"/>
        <v>#REF!</v>
      </c>
    </row>
    <row r="473" spans="1:6" s="496" customFormat="1" ht="54" hidden="1" customHeight="1">
      <c r="A473" s="614">
        <f>Abs!A479</f>
        <v>0</v>
      </c>
      <c r="B473" s="620" t="e">
        <f>Abs!Y479</f>
        <v>#REF!</v>
      </c>
      <c r="C473" s="621" t="str">
        <f>Abs!B479</f>
        <v>f.  In Fourth floor</v>
      </c>
      <c r="D473" s="617">
        <f>Abs!C479</f>
        <v>1456.17</v>
      </c>
      <c r="E473" s="618" t="str">
        <f>Abs!D479</f>
        <v>Sqm.</v>
      </c>
      <c r="F473" s="617" t="e">
        <f t="shared" si="7"/>
        <v>#REF!</v>
      </c>
    </row>
    <row r="474" spans="1:6" s="496" customFormat="1" ht="33" hidden="1" customHeight="1">
      <c r="A474" s="614" t="str">
        <f>Abs!A480</f>
        <v>14.I</v>
      </c>
      <c r="B474" s="620">
        <f>Abs!Y480</f>
        <v>0</v>
      </c>
      <c r="C474" s="621" t="str">
        <f>Abs!B480</f>
        <v>Precast Cupboard slab 20 mm tk.using standardised concrete mix M30 (annexure)</v>
      </c>
      <c r="D474" s="617">
        <f>Abs!C480</f>
        <v>0</v>
      </c>
      <c r="E474" s="618">
        <f>Abs!D480</f>
        <v>0</v>
      </c>
      <c r="F474" s="617">
        <f t="shared" si="7"/>
        <v>0</v>
      </c>
    </row>
    <row r="475" spans="1:6" s="496" customFormat="1" ht="33" hidden="1" customHeight="1">
      <c r="A475" s="614">
        <f>Abs!A481</f>
        <v>0</v>
      </c>
      <c r="B475" s="620">
        <f>Abs!Y481</f>
        <v>0</v>
      </c>
      <c r="C475" s="621" t="str">
        <f>Abs!B481</f>
        <v>a. In Ground floor</v>
      </c>
      <c r="D475" s="617">
        <f>Abs!C481</f>
        <v>1295.03</v>
      </c>
      <c r="E475" s="618" t="str">
        <f>Abs!D481</f>
        <v>Sqm.</v>
      </c>
      <c r="F475" s="617">
        <f t="shared" si="7"/>
        <v>0</v>
      </c>
    </row>
    <row r="476" spans="1:6" ht="32.25" hidden="1" customHeight="1">
      <c r="A476" s="614">
        <f>Abs!A482</f>
        <v>0</v>
      </c>
      <c r="B476" s="620">
        <f>Abs!Y482</f>
        <v>0</v>
      </c>
      <c r="C476" s="621" t="str">
        <f>Abs!B482</f>
        <v>b. In First floor</v>
      </c>
      <c r="D476" s="617">
        <f>Abs!C482</f>
        <v>1299.3399999999999</v>
      </c>
      <c r="E476" s="618" t="str">
        <f>Abs!D482</f>
        <v>Sqm.</v>
      </c>
      <c r="F476" s="617">
        <f t="shared" si="7"/>
        <v>0</v>
      </c>
    </row>
    <row r="477" spans="1:6" ht="32.25" hidden="1" customHeight="1">
      <c r="A477" s="614">
        <f>Abs!A483</f>
        <v>0</v>
      </c>
      <c r="B477" s="620">
        <f>Abs!Y483</f>
        <v>0</v>
      </c>
      <c r="C477" s="621" t="str">
        <f>Abs!B483</f>
        <v>c. In Second floor</v>
      </c>
      <c r="D477" s="617">
        <f>Abs!C483</f>
        <v>1303.6500000000001</v>
      </c>
      <c r="E477" s="618" t="str">
        <f>Abs!D483</f>
        <v>Sqm.</v>
      </c>
      <c r="F477" s="617">
        <f t="shared" si="7"/>
        <v>0</v>
      </c>
    </row>
    <row r="478" spans="1:6" ht="15.75" hidden="1">
      <c r="A478" s="614">
        <f>Abs!A484</f>
        <v>0</v>
      </c>
      <c r="B478" s="620">
        <f>Abs!Y484</f>
        <v>0</v>
      </c>
      <c r="C478" s="621" t="str">
        <f>Abs!B484</f>
        <v>d. In Third floor</v>
      </c>
      <c r="D478" s="617">
        <f>Abs!C484</f>
        <v>1307.96</v>
      </c>
      <c r="E478" s="618" t="str">
        <f>Abs!D484</f>
        <v>Sqm.</v>
      </c>
      <c r="F478" s="617">
        <f t="shared" si="7"/>
        <v>0</v>
      </c>
    </row>
    <row r="479" spans="1:6" ht="51.75" hidden="1" customHeight="1">
      <c r="A479" s="614" t="e">
        <f>Abs!#REF!</f>
        <v>#REF!</v>
      </c>
      <c r="B479" s="620" t="e">
        <f>Abs!#REF!</f>
        <v>#REF!</v>
      </c>
      <c r="C479" s="621" t="e">
        <f>Abs!#REF!</f>
        <v>#REF!</v>
      </c>
      <c r="D479" s="617" t="e">
        <f>Abs!#REF!</f>
        <v>#REF!</v>
      </c>
      <c r="E479" s="618" t="e">
        <f>Abs!#REF!</f>
        <v>#REF!</v>
      </c>
      <c r="F479" s="617" t="e">
        <f t="shared" si="7"/>
        <v>#REF!</v>
      </c>
    </row>
    <row r="480" spans="1:6" ht="44.25" customHeight="1">
      <c r="A480" s="614" t="e">
        <f>Abs!#REF!</f>
        <v>#REF!</v>
      </c>
      <c r="B480" s="615" t="e">
        <f>Abs!#REF!</f>
        <v>#REF!</v>
      </c>
      <c r="C480" s="616" t="e">
        <f>Abs!#REF!</f>
        <v>#REF!</v>
      </c>
      <c r="D480" s="617" t="e">
        <f>Abs!#REF!</f>
        <v>#REF!</v>
      </c>
      <c r="E480" s="618" t="e">
        <f>Abs!#REF!</f>
        <v>#REF!</v>
      </c>
      <c r="F480" s="617"/>
    </row>
    <row r="481" spans="1:6" ht="33" customHeight="1">
      <c r="A481" s="614" t="e">
        <f>Abs!#REF!</f>
        <v>#REF!</v>
      </c>
      <c r="B481" s="620" t="e">
        <f>Abs!#REF!</f>
        <v>#REF!</v>
      </c>
      <c r="C481" s="621" t="e">
        <f>Abs!#REF!</f>
        <v>#REF!</v>
      </c>
      <c r="D481" s="617" t="e">
        <f>Abs!#REF!</f>
        <v>#REF!</v>
      </c>
      <c r="E481" s="618" t="e">
        <f>Abs!#REF!</f>
        <v>#REF!</v>
      </c>
      <c r="F481" s="617" t="e">
        <f t="shared" si="7"/>
        <v>#REF!</v>
      </c>
    </row>
    <row r="482" spans="1:6" s="496" customFormat="1" ht="33" hidden="1" customHeight="1">
      <c r="A482" s="614">
        <f>Abs!A485</f>
        <v>0</v>
      </c>
      <c r="B482" s="620">
        <f>Abs!Y485</f>
        <v>0</v>
      </c>
      <c r="C482" s="621" t="str">
        <f>Abs!B485</f>
        <v>b. In Ground floor</v>
      </c>
      <c r="D482" s="617">
        <f>Abs!C485</f>
        <v>1443.34</v>
      </c>
      <c r="E482" s="618" t="str">
        <f>Abs!D485</f>
        <v>Sqm.</v>
      </c>
      <c r="F482" s="617">
        <f t="shared" si="7"/>
        <v>0</v>
      </c>
    </row>
    <row r="483" spans="1:6" ht="29.25" hidden="1" customHeight="1">
      <c r="A483" s="614">
        <f>Abs!A486</f>
        <v>0</v>
      </c>
      <c r="B483" s="620">
        <f>Abs!Y486</f>
        <v>0</v>
      </c>
      <c r="C483" s="621" t="str">
        <f>Abs!B486</f>
        <v>c. In First floor</v>
      </c>
      <c r="D483" s="617">
        <f>Abs!C486</f>
        <v>1451.97</v>
      </c>
      <c r="E483" s="618" t="str">
        <f>Abs!D486</f>
        <v>Sqm.</v>
      </c>
      <c r="F483" s="617">
        <f t="shared" si="7"/>
        <v>0</v>
      </c>
    </row>
    <row r="484" spans="1:6" ht="29.25" hidden="1" customHeight="1">
      <c r="A484" s="614">
        <f>Abs!A487</f>
        <v>0</v>
      </c>
      <c r="B484" s="620">
        <f>Abs!Y487</f>
        <v>0</v>
      </c>
      <c r="C484" s="621" t="str">
        <f>Abs!B487</f>
        <v>d. In Second floor</v>
      </c>
      <c r="D484" s="617">
        <f>Abs!C487</f>
        <v>1460.6</v>
      </c>
      <c r="E484" s="618" t="str">
        <f>Abs!D487</f>
        <v>Sqm.</v>
      </c>
      <c r="F484" s="617">
        <f t="shared" si="7"/>
        <v>0</v>
      </c>
    </row>
    <row r="485" spans="1:6" ht="15.75" hidden="1">
      <c r="A485" s="614">
        <f>Abs!A488</f>
        <v>0</v>
      </c>
      <c r="B485" s="620">
        <f>Abs!Y488</f>
        <v>0</v>
      </c>
      <c r="C485" s="621" t="str">
        <f>Abs!B488</f>
        <v>e. In Third floor</v>
      </c>
      <c r="D485" s="617">
        <f>Abs!C488</f>
        <v>1469.23</v>
      </c>
      <c r="E485" s="618" t="str">
        <f>Abs!D488</f>
        <v>Sqm.</v>
      </c>
      <c r="F485" s="617">
        <f t="shared" si="7"/>
        <v>0</v>
      </c>
    </row>
    <row r="486" spans="1:6" ht="15.75" hidden="1">
      <c r="A486" s="614">
        <f>Abs!A489</f>
        <v>0</v>
      </c>
      <c r="B486" s="620">
        <f>Abs!Y489</f>
        <v>0</v>
      </c>
      <c r="C486" s="621" t="str">
        <f>Abs!B489</f>
        <v>f.  In Fourth floor</v>
      </c>
      <c r="D486" s="617">
        <f>Abs!C489</f>
        <v>1477.86</v>
      </c>
      <c r="E486" s="618" t="str">
        <f>Abs!D489</f>
        <v>Sqm.</v>
      </c>
      <c r="F486" s="617">
        <f t="shared" si="7"/>
        <v>0</v>
      </c>
    </row>
    <row r="487" spans="1:6" ht="62.25" customHeight="1">
      <c r="A487" s="614">
        <f>Abs!A490</f>
        <v>0</v>
      </c>
      <c r="B487" s="615" t="e">
        <f>Abs!Y490</f>
        <v>#REF!</v>
      </c>
      <c r="C487" s="616" t="str">
        <f>Abs!B490</f>
        <v>Precast Jally ventilator 50mm tk.using standardised concrete mix M30 (annexure) without vibrating charges</v>
      </c>
      <c r="D487" s="617">
        <f>Abs!C490</f>
        <v>0</v>
      </c>
      <c r="E487" s="618">
        <f>Abs!D490</f>
        <v>0</v>
      </c>
      <c r="F487" s="617"/>
    </row>
    <row r="488" spans="1:6" ht="30" customHeight="1">
      <c r="A488" s="614">
        <f>Abs!A491</f>
        <v>0</v>
      </c>
      <c r="B488" s="620" t="e">
        <f>Abs!Y491</f>
        <v>#REF!</v>
      </c>
      <c r="C488" s="621" t="str">
        <f>Abs!B491</f>
        <v xml:space="preserve">a. In Ground floor </v>
      </c>
      <c r="D488" s="617">
        <f>Abs!C491</f>
        <v>2589.27</v>
      </c>
      <c r="E488" s="618" t="str">
        <f>Abs!D491</f>
        <v>Sqm.</v>
      </c>
      <c r="F488" s="617" t="e">
        <f t="shared" si="7"/>
        <v>#REF!</v>
      </c>
    </row>
    <row r="489" spans="1:6" ht="30.75" customHeight="1">
      <c r="A489" s="614">
        <f>Abs!A492</f>
        <v>0</v>
      </c>
      <c r="B489" s="620" t="e">
        <f>Abs!Y492</f>
        <v>#REF!</v>
      </c>
      <c r="C489" s="621" t="str">
        <f>Abs!B492</f>
        <v>b. In First floor</v>
      </c>
      <c r="D489" s="617">
        <f>Abs!C492</f>
        <v>2597.31</v>
      </c>
      <c r="E489" s="618" t="str">
        <f>Abs!D492</f>
        <v>Sqm.</v>
      </c>
      <c r="F489" s="617" t="e">
        <f t="shared" si="7"/>
        <v>#REF!</v>
      </c>
    </row>
    <row r="490" spans="1:6" s="496" customFormat="1" ht="27" customHeight="1">
      <c r="A490" s="614">
        <f>Abs!A493</f>
        <v>0</v>
      </c>
      <c r="B490" s="620" t="e">
        <f>Abs!Y493</f>
        <v>#REF!</v>
      </c>
      <c r="C490" s="621" t="str">
        <f>Abs!B493</f>
        <v>c. In Second floor</v>
      </c>
      <c r="D490" s="617">
        <f>Abs!C493</f>
        <v>2605.35</v>
      </c>
      <c r="E490" s="618" t="str">
        <f>Abs!D493</f>
        <v>Sqm.</v>
      </c>
      <c r="F490" s="617" t="e">
        <f t="shared" si="7"/>
        <v>#REF!</v>
      </c>
    </row>
    <row r="491" spans="1:6" s="496" customFormat="1" ht="25.5" customHeight="1">
      <c r="A491" s="614">
        <f>Abs!A494</f>
        <v>0</v>
      </c>
      <c r="B491" s="620" t="e">
        <f>Abs!Y494</f>
        <v>#REF!</v>
      </c>
      <c r="C491" s="621" t="str">
        <f>Abs!B494</f>
        <v>d. In Third floor</v>
      </c>
      <c r="D491" s="617">
        <f>Abs!C494</f>
        <v>2613.39</v>
      </c>
      <c r="E491" s="618" t="str">
        <f>Abs!D494</f>
        <v>Sqm.</v>
      </c>
      <c r="F491" s="617" t="e">
        <f t="shared" si="7"/>
        <v>#REF!</v>
      </c>
    </row>
    <row r="492" spans="1:6" s="496" customFormat="1" ht="25.5" hidden="1" customHeight="1">
      <c r="A492" s="614">
        <f>Abs!A495</f>
        <v>0</v>
      </c>
      <c r="B492" s="620" t="e">
        <f>Abs!Y495</f>
        <v>#REF!</v>
      </c>
      <c r="C492" s="621" t="str">
        <f>Abs!B495</f>
        <v>e.  In Fourth floor</v>
      </c>
      <c r="D492" s="617">
        <f>Abs!C495</f>
        <v>2621.4299999999998</v>
      </c>
      <c r="E492" s="618" t="str">
        <f>Abs!D495</f>
        <v>Sqm.</v>
      </c>
      <c r="F492" s="617" t="e">
        <f t="shared" si="7"/>
        <v>#REF!</v>
      </c>
    </row>
    <row r="493" spans="1:6" s="496" customFormat="1" ht="25.5" hidden="1" customHeight="1">
      <c r="A493" s="614">
        <f>Abs!A496</f>
        <v>0</v>
      </c>
      <c r="B493" s="620" t="e">
        <f>Abs!Y496</f>
        <v>#REF!</v>
      </c>
      <c r="C493" s="621" t="str">
        <f>Abs!B496</f>
        <v>Precast Jally ventilator 50mm tk.using standardised concrete mix M20 (annexure) without vibrating charges</v>
      </c>
      <c r="D493" s="617">
        <f>Abs!C496</f>
        <v>0</v>
      </c>
      <c r="E493" s="618">
        <f>Abs!D496</f>
        <v>0</v>
      </c>
      <c r="F493" s="617" t="e">
        <f t="shared" si="7"/>
        <v>#REF!</v>
      </c>
    </row>
    <row r="494" spans="1:6" s="496" customFormat="1" ht="25.5" hidden="1" customHeight="1">
      <c r="A494" s="614">
        <f>Abs!A497</f>
        <v>0</v>
      </c>
      <c r="B494" s="620" t="e">
        <f>Abs!Y497</f>
        <v>#REF!</v>
      </c>
      <c r="C494" s="621" t="str">
        <f>Abs!B497</f>
        <v>a. In Ground Floor</v>
      </c>
      <c r="D494" s="617">
        <f>Abs!C497</f>
        <v>2568.84</v>
      </c>
      <c r="E494" s="618" t="str">
        <f>Abs!D497</f>
        <v>Sqm.</v>
      </c>
      <c r="F494" s="617" t="e">
        <f t="shared" si="7"/>
        <v>#REF!</v>
      </c>
    </row>
    <row r="495" spans="1:6" s="496" customFormat="1" ht="25.5" hidden="1" customHeight="1">
      <c r="A495" s="614">
        <f>Abs!A498</f>
        <v>0</v>
      </c>
      <c r="B495" s="620" t="e">
        <f>Abs!Y498</f>
        <v>#REF!</v>
      </c>
      <c r="C495" s="621" t="str">
        <f>Abs!B498</f>
        <v>b. In First floor</v>
      </c>
      <c r="D495" s="617">
        <f>Abs!C498</f>
        <v>2576.5</v>
      </c>
      <c r="E495" s="618" t="str">
        <f>Abs!D498</f>
        <v>Sqm.</v>
      </c>
      <c r="F495" s="617" t="e">
        <f t="shared" si="7"/>
        <v>#REF!</v>
      </c>
    </row>
    <row r="496" spans="1:6" s="496" customFormat="1" ht="17.25" hidden="1">
      <c r="A496" s="614">
        <f>Abs!A499</f>
        <v>0</v>
      </c>
      <c r="B496" s="620" t="e">
        <f>Abs!Y499</f>
        <v>#REF!</v>
      </c>
      <c r="C496" s="621" t="str">
        <f>Abs!B499</f>
        <v>c. In Second floor</v>
      </c>
      <c r="D496" s="617">
        <f>Abs!C499</f>
        <v>2585.11</v>
      </c>
      <c r="E496" s="618" t="str">
        <f>Abs!D499</f>
        <v>Sqm.</v>
      </c>
      <c r="F496" s="617" t="e">
        <f t="shared" si="7"/>
        <v>#REF!</v>
      </c>
    </row>
    <row r="497" spans="1:6" s="496" customFormat="1" ht="33.6" hidden="1" customHeight="1">
      <c r="A497" s="614">
        <f>Abs!A500</f>
        <v>0</v>
      </c>
      <c r="B497" s="620" t="e">
        <f>Abs!Y500</f>
        <v>#REF!</v>
      </c>
      <c r="C497" s="621" t="str">
        <f>Abs!B500</f>
        <v>d. In Third floor</v>
      </c>
      <c r="D497" s="617">
        <f>Abs!C500</f>
        <v>2593.15</v>
      </c>
      <c r="E497" s="618" t="str">
        <f>Abs!D500</f>
        <v>Sqm.</v>
      </c>
      <c r="F497" s="617" t="e">
        <f t="shared" si="7"/>
        <v>#REF!</v>
      </c>
    </row>
    <row r="498" spans="1:6" s="496" customFormat="1" ht="28.15" hidden="1" customHeight="1">
      <c r="A498" s="614">
        <f>Abs!A501</f>
        <v>0</v>
      </c>
      <c r="B498" s="620" t="e">
        <f>Abs!Y501</f>
        <v>#REF!</v>
      </c>
      <c r="C498" s="621" t="str">
        <f>Abs!B501</f>
        <v>e.  In Fourth floor</v>
      </c>
      <c r="D498" s="617">
        <f>Abs!C501</f>
        <v>2601.19</v>
      </c>
      <c r="E498" s="618" t="str">
        <f>Abs!D501</f>
        <v>Sqm.</v>
      </c>
      <c r="F498" s="617" t="e">
        <f t="shared" si="7"/>
        <v>#REF!</v>
      </c>
    </row>
    <row r="499" spans="1:6" s="496" customFormat="1" ht="28.15" hidden="1" customHeight="1">
      <c r="A499" s="614">
        <f>Abs!A502</f>
        <v>0</v>
      </c>
      <c r="B499" s="620" t="e">
        <f>Abs!Y502</f>
        <v>#REF!</v>
      </c>
      <c r="C499" s="621" t="str">
        <f>Abs!B502</f>
        <v>f.  In Fifth floor</v>
      </c>
      <c r="D499" s="617">
        <f>Abs!C502</f>
        <v>0</v>
      </c>
      <c r="E499" s="618" t="str">
        <f>Abs!D502</f>
        <v>Sqm.</v>
      </c>
      <c r="F499" s="617" t="e">
        <f t="shared" si="7"/>
        <v>#REF!</v>
      </c>
    </row>
    <row r="500" spans="1:6" s="496" customFormat="1" ht="28.15" hidden="1" customHeight="1">
      <c r="A500" s="614">
        <f>Abs!A503</f>
        <v>4.0999999999999996</v>
      </c>
      <c r="B500" s="620" t="e">
        <f>Abs!Y503</f>
        <v>#REF!</v>
      </c>
      <c r="C500" s="621" t="str">
        <f>Abs!B503</f>
        <v>Standardised concrete Mix M20 Grade Concrete</v>
      </c>
      <c r="D500" s="617">
        <f>Abs!C503</f>
        <v>0</v>
      </c>
      <c r="E500" s="618">
        <f>Abs!D503</f>
        <v>0</v>
      </c>
      <c r="F500" s="617" t="e">
        <f t="shared" si="7"/>
        <v>#REF!</v>
      </c>
    </row>
    <row r="501" spans="1:6" s="496" customFormat="1" ht="28.15" hidden="1" customHeight="1">
      <c r="A501" s="614">
        <f>Abs!A504</f>
        <v>0</v>
      </c>
      <c r="B501" s="620" t="e">
        <f>Abs!Y504</f>
        <v>#REF!</v>
      </c>
      <c r="C501" s="621" t="str">
        <f>Abs!B504</f>
        <v>a. In Foundation and basement</v>
      </c>
      <c r="D501" s="617">
        <f>Abs!C504</f>
        <v>7263.8</v>
      </c>
      <c r="E501" s="618" t="str">
        <f>Abs!D504</f>
        <v>Cum</v>
      </c>
      <c r="F501" s="617" t="e">
        <f t="shared" si="7"/>
        <v>#REF!</v>
      </c>
    </row>
    <row r="502" spans="1:6" s="496" customFormat="1" ht="27" hidden="1" customHeight="1">
      <c r="A502" s="614">
        <f>Abs!A505</f>
        <v>8.1</v>
      </c>
      <c r="B502" s="620" t="e">
        <f>Abs!Y505</f>
        <v>#REF!</v>
      </c>
      <c r="C502" s="621" t="str">
        <f>Abs!B505</f>
        <v>b. Ground Floor</v>
      </c>
      <c r="D502" s="617">
        <f>Abs!C505</f>
        <v>7367.1</v>
      </c>
      <c r="E502" s="618" t="str">
        <f>Abs!D505</f>
        <v>Cum</v>
      </c>
      <c r="F502" s="617" t="e">
        <f t="shared" si="7"/>
        <v>#REF!</v>
      </c>
    </row>
    <row r="503" spans="1:6" s="496" customFormat="1" ht="27" hidden="1" customHeight="1">
      <c r="A503" s="614">
        <f>Abs!A506</f>
        <v>0</v>
      </c>
      <c r="B503" s="620" t="e">
        <f>Abs!Y506</f>
        <v>#REF!</v>
      </c>
      <c r="C503" s="621" t="str">
        <f>Abs!B506</f>
        <v>c. In First Floor</v>
      </c>
      <c r="D503" s="617">
        <f>Abs!C506</f>
        <v>7570.6</v>
      </c>
      <c r="E503" s="618" t="str">
        <f>Abs!D506</f>
        <v>Cum</v>
      </c>
      <c r="F503" s="617" t="e">
        <f t="shared" si="7"/>
        <v>#REF!</v>
      </c>
    </row>
    <row r="504" spans="1:6" s="496" customFormat="1" ht="43.5" hidden="1" customHeight="1">
      <c r="A504" s="614">
        <f>Abs!A507</f>
        <v>0</v>
      </c>
      <c r="B504" s="620" t="e">
        <f>Abs!Y507</f>
        <v>#REF!</v>
      </c>
      <c r="C504" s="621" t="str">
        <f>Abs!B507</f>
        <v>d. In Second Floor</v>
      </c>
      <c r="D504" s="617">
        <f>Abs!C507</f>
        <v>7774.1</v>
      </c>
      <c r="E504" s="618" t="str">
        <f>Abs!D507</f>
        <v>Cum</v>
      </c>
      <c r="F504" s="617" t="e">
        <f t="shared" si="7"/>
        <v>#REF!</v>
      </c>
    </row>
    <row r="505" spans="1:6" s="496" customFormat="1" ht="31.5" hidden="1" customHeight="1">
      <c r="A505" s="614">
        <f>Abs!A508</f>
        <v>0</v>
      </c>
      <c r="B505" s="620" t="e">
        <f>Abs!Y508</f>
        <v>#REF!</v>
      </c>
      <c r="C505" s="621" t="str">
        <f>Abs!B508</f>
        <v>e. In Third floor</v>
      </c>
      <c r="D505" s="617">
        <f>Abs!C508</f>
        <v>8013.31</v>
      </c>
      <c r="E505" s="618" t="str">
        <f>Abs!D508</f>
        <v>Cum</v>
      </c>
      <c r="F505" s="617" t="e">
        <f t="shared" si="7"/>
        <v>#REF!</v>
      </c>
    </row>
    <row r="506" spans="1:6" s="496" customFormat="1" ht="30" hidden="1" customHeight="1">
      <c r="A506" s="614">
        <f>Abs!A509</f>
        <v>0</v>
      </c>
      <c r="B506" s="620" t="e">
        <f>Abs!Y509</f>
        <v>#REF!</v>
      </c>
      <c r="C506" s="621" t="str">
        <f>Abs!B509</f>
        <v>f.In fourth floor</v>
      </c>
      <c r="D506" s="617">
        <f>Abs!C509</f>
        <v>8226.99</v>
      </c>
      <c r="E506" s="618" t="str">
        <f>Abs!D509</f>
        <v>Cum</v>
      </c>
      <c r="F506" s="617" t="e">
        <f t="shared" si="7"/>
        <v>#REF!</v>
      </c>
    </row>
    <row r="507" spans="1:6" s="496" customFormat="1" ht="40.5" customHeight="1">
      <c r="A507" s="614" t="e">
        <f>Abs!#REF!</f>
        <v>#REF!</v>
      </c>
      <c r="B507" s="615" t="e">
        <f>Abs!#REF!</f>
        <v>#REF!</v>
      </c>
      <c r="C507" s="616" t="e">
        <f>Abs!#REF!</f>
        <v>#REF!</v>
      </c>
      <c r="D507" s="617" t="e">
        <f>Abs!#REF!</f>
        <v>#REF!</v>
      </c>
      <c r="E507" s="618" t="e">
        <f>Abs!#REF!</f>
        <v>#REF!</v>
      </c>
      <c r="F507" s="617"/>
    </row>
    <row r="508" spans="1:6" s="496" customFormat="1" ht="29.25" customHeight="1">
      <c r="A508" s="614" t="e">
        <f>Abs!#REF!</f>
        <v>#REF!</v>
      </c>
      <c r="B508" s="620" t="e">
        <f>Abs!#REF!</f>
        <v>#REF!</v>
      </c>
      <c r="C508" s="621" t="e">
        <f>Abs!#REF!</f>
        <v>#REF!</v>
      </c>
      <c r="D508" s="617" t="e">
        <f>Abs!#REF!</f>
        <v>#REF!</v>
      </c>
      <c r="E508" s="618" t="e">
        <f>Abs!#REF!</f>
        <v>#REF!</v>
      </c>
      <c r="F508" s="617" t="e">
        <f t="shared" si="7"/>
        <v>#REF!</v>
      </c>
    </row>
    <row r="509" spans="1:6" s="496" customFormat="1" ht="29.25" customHeight="1">
      <c r="A509" s="614" t="e">
        <f>Abs!#REF!</f>
        <v>#REF!</v>
      </c>
      <c r="B509" s="620" t="e">
        <f>Abs!#REF!</f>
        <v>#REF!</v>
      </c>
      <c r="C509" s="621" t="e">
        <f>Abs!#REF!</f>
        <v>#REF!</v>
      </c>
      <c r="D509" s="617" t="e">
        <f>Abs!#REF!</f>
        <v>#REF!</v>
      </c>
      <c r="E509" s="618" t="e">
        <f>Abs!#REF!</f>
        <v>#REF!</v>
      </c>
      <c r="F509" s="617" t="e">
        <f t="shared" si="7"/>
        <v>#REF!</v>
      </c>
    </row>
    <row r="510" spans="1:6" s="496" customFormat="1" ht="29.25" customHeight="1">
      <c r="A510" s="614" t="e">
        <f>Abs!#REF!</f>
        <v>#REF!</v>
      </c>
      <c r="B510" s="620" t="e">
        <f>Abs!#REF!</f>
        <v>#REF!</v>
      </c>
      <c r="C510" s="621" t="e">
        <f>Abs!#REF!</f>
        <v>#REF!</v>
      </c>
      <c r="D510" s="617" t="e">
        <f>Abs!#REF!</f>
        <v>#REF!</v>
      </c>
      <c r="E510" s="618" t="e">
        <f>Abs!#REF!</f>
        <v>#REF!</v>
      </c>
      <c r="F510" s="617" t="e">
        <f t="shared" si="7"/>
        <v>#REF!</v>
      </c>
    </row>
    <row r="511" spans="1:6" s="496" customFormat="1" ht="29.25" customHeight="1">
      <c r="A511" s="614" t="e">
        <f>Abs!#REF!</f>
        <v>#REF!</v>
      </c>
      <c r="B511" s="620" t="e">
        <f>Abs!#REF!</f>
        <v>#REF!</v>
      </c>
      <c r="C511" s="621" t="e">
        <f>Abs!#REF!</f>
        <v>#REF!</v>
      </c>
      <c r="D511" s="617" t="e">
        <f>Abs!#REF!</f>
        <v>#REF!</v>
      </c>
      <c r="E511" s="618" t="e">
        <f>Abs!#REF!</f>
        <v>#REF!</v>
      </c>
      <c r="F511" s="617" t="e">
        <f t="shared" si="7"/>
        <v>#REF!</v>
      </c>
    </row>
    <row r="512" spans="1:6" s="496" customFormat="1" ht="29.25" customHeight="1">
      <c r="A512" s="614" t="e">
        <f>Abs!#REF!</f>
        <v>#REF!</v>
      </c>
      <c r="B512" s="620" t="e">
        <f>Abs!#REF!</f>
        <v>#REF!</v>
      </c>
      <c r="C512" s="621" t="e">
        <f>Abs!#REF!</f>
        <v>#REF!</v>
      </c>
      <c r="D512" s="617" t="e">
        <f>Abs!#REF!</f>
        <v>#REF!</v>
      </c>
      <c r="E512" s="618" t="e">
        <f>Abs!#REF!</f>
        <v>#REF!</v>
      </c>
      <c r="F512" s="617" t="e">
        <f t="shared" si="7"/>
        <v>#REF!</v>
      </c>
    </row>
    <row r="513" spans="1:6" s="496" customFormat="1" ht="17.25" hidden="1">
      <c r="A513" s="614" t="e">
        <f>Abs!#REF!</f>
        <v>#REF!</v>
      </c>
      <c r="B513" s="620" t="e">
        <f>Abs!#REF!</f>
        <v>#REF!</v>
      </c>
      <c r="C513" s="621" t="e">
        <f>Abs!#REF!</f>
        <v>#REF!</v>
      </c>
      <c r="D513" s="617" t="e">
        <f>Abs!#REF!</f>
        <v>#REF!</v>
      </c>
      <c r="E513" s="618" t="e">
        <f>Abs!#REF!</f>
        <v>#REF!</v>
      </c>
      <c r="F513" s="617" t="e">
        <f t="shared" si="7"/>
        <v>#REF!</v>
      </c>
    </row>
    <row r="514" spans="1:6" s="496" customFormat="1" ht="21.75" hidden="1" customHeight="1">
      <c r="A514" s="614" t="e">
        <f>Abs!#REF!</f>
        <v>#REF!</v>
      </c>
      <c r="B514" s="620" t="e">
        <f>Abs!#REF!</f>
        <v>#REF!</v>
      </c>
      <c r="C514" s="621" t="e">
        <f>Abs!#REF!</f>
        <v>#REF!</v>
      </c>
      <c r="D514" s="617" t="e">
        <f>Abs!#REF!</f>
        <v>#REF!</v>
      </c>
      <c r="E514" s="618" t="e">
        <f>Abs!#REF!</f>
        <v>#REF!</v>
      </c>
      <c r="F514" s="617" t="e">
        <f t="shared" si="7"/>
        <v>#REF!</v>
      </c>
    </row>
    <row r="515" spans="1:6" s="496" customFormat="1" ht="21.75" hidden="1" customHeight="1">
      <c r="A515" s="614" t="e">
        <f>Abs!#REF!</f>
        <v>#REF!</v>
      </c>
      <c r="B515" s="620" t="e">
        <f>Abs!#REF!</f>
        <v>#REF!</v>
      </c>
      <c r="C515" s="621" t="e">
        <f>Abs!#REF!</f>
        <v>#REF!</v>
      </c>
      <c r="D515" s="617" t="e">
        <f>Abs!#REF!</f>
        <v>#REF!</v>
      </c>
      <c r="E515" s="618" t="e">
        <f>Abs!#REF!</f>
        <v>#REF!</v>
      </c>
      <c r="F515" s="617" t="e">
        <f t="shared" si="7"/>
        <v>#REF!</v>
      </c>
    </row>
    <row r="516" spans="1:6" s="496" customFormat="1" ht="17.25" hidden="1">
      <c r="A516" s="614" t="e">
        <f>Abs!#REF!</f>
        <v>#REF!</v>
      </c>
      <c r="B516" s="620" t="e">
        <f>Abs!#REF!</f>
        <v>#REF!</v>
      </c>
      <c r="C516" s="621" t="e">
        <f>Abs!#REF!</f>
        <v>#REF!</v>
      </c>
      <c r="D516" s="617" t="e">
        <f>Abs!#REF!</f>
        <v>#REF!</v>
      </c>
      <c r="E516" s="618" t="e">
        <f>Abs!#REF!</f>
        <v>#REF!</v>
      </c>
      <c r="F516" s="617" t="e">
        <f t="shared" si="7"/>
        <v>#REF!</v>
      </c>
    </row>
    <row r="517" spans="1:6" s="496" customFormat="1" ht="17.25" hidden="1">
      <c r="A517" s="614" t="e">
        <f>Abs!#REF!</f>
        <v>#REF!</v>
      </c>
      <c r="B517" s="620" t="e">
        <f>Abs!#REF!</f>
        <v>#REF!</v>
      </c>
      <c r="C517" s="621" t="e">
        <f>Abs!#REF!</f>
        <v>#REF!</v>
      </c>
      <c r="D517" s="617" t="e">
        <f>Abs!#REF!</f>
        <v>#REF!</v>
      </c>
      <c r="E517" s="618" t="e">
        <f>Abs!#REF!</f>
        <v>#REF!</v>
      </c>
      <c r="F517" s="617" t="e">
        <f t="shared" si="7"/>
        <v>#REF!</v>
      </c>
    </row>
    <row r="518" spans="1:6" s="496" customFormat="1" ht="17.25" hidden="1">
      <c r="A518" s="614" t="e">
        <f>Abs!#REF!</f>
        <v>#REF!</v>
      </c>
      <c r="B518" s="620" t="e">
        <f>Abs!#REF!</f>
        <v>#REF!</v>
      </c>
      <c r="C518" s="621" t="e">
        <f>Abs!#REF!</f>
        <v>#REF!</v>
      </c>
      <c r="D518" s="617" t="e">
        <f>Abs!#REF!</f>
        <v>#REF!</v>
      </c>
      <c r="E518" s="618" t="e">
        <f>Abs!#REF!</f>
        <v>#REF!</v>
      </c>
      <c r="F518" s="617" t="e">
        <f t="shared" si="7"/>
        <v>#REF!</v>
      </c>
    </row>
    <row r="519" spans="1:6" s="496" customFormat="1" ht="17.25" hidden="1">
      <c r="A519" s="614" t="e">
        <f>Abs!#REF!</f>
        <v>#REF!</v>
      </c>
      <c r="B519" s="620" t="e">
        <f>Abs!#REF!</f>
        <v>#REF!</v>
      </c>
      <c r="C519" s="621" t="e">
        <f>Abs!#REF!</f>
        <v>#REF!</v>
      </c>
      <c r="D519" s="617" t="e">
        <f>Abs!#REF!</f>
        <v>#REF!</v>
      </c>
      <c r="E519" s="618" t="e">
        <f>Abs!#REF!</f>
        <v>#REF!</v>
      </c>
      <c r="F519" s="617" t="e">
        <f t="shared" si="7"/>
        <v>#REF!</v>
      </c>
    </row>
    <row r="520" spans="1:6" s="496" customFormat="1" ht="17.25" hidden="1">
      <c r="A520" s="614" t="e">
        <f>Abs!#REF!</f>
        <v>#REF!</v>
      </c>
      <c r="B520" s="620" t="e">
        <f>Abs!#REF!</f>
        <v>#REF!</v>
      </c>
      <c r="C520" s="621" t="e">
        <f>Abs!#REF!</f>
        <v>#REF!</v>
      </c>
      <c r="D520" s="617" t="e">
        <f>Abs!#REF!</f>
        <v>#REF!</v>
      </c>
      <c r="E520" s="618" t="e">
        <f>Abs!#REF!</f>
        <v>#REF!</v>
      </c>
      <c r="F520" s="617" t="e">
        <f t="shared" ref="F520:F583" si="8">D520*B520</f>
        <v>#REF!</v>
      </c>
    </row>
    <row r="521" spans="1:6" s="496" customFormat="1" ht="17.25" hidden="1">
      <c r="A521" s="614" t="e">
        <f>Abs!#REF!</f>
        <v>#REF!</v>
      </c>
      <c r="B521" s="620" t="e">
        <f>Abs!#REF!</f>
        <v>#REF!</v>
      </c>
      <c r="C521" s="621" t="e">
        <f>Abs!#REF!</f>
        <v>#REF!</v>
      </c>
      <c r="D521" s="617" t="e">
        <f>Abs!#REF!</f>
        <v>#REF!</v>
      </c>
      <c r="E521" s="618" t="e">
        <f>Abs!#REF!</f>
        <v>#REF!</v>
      </c>
      <c r="F521" s="617" t="e">
        <f t="shared" si="8"/>
        <v>#REF!</v>
      </c>
    </row>
    <row r="522" spans="1:6" s="496" customFormat="1" ht="21.75" hidden="1" customHeight="1">
      <c r="A522" s="614" t="e">
        <f>Abs!#REF!</f>
        <v>#REF!</v>
      </c>
      <c r="B522" s="620" t="e">
        <f>Abs!#REF!</f>
        <v>#REF!</v>
      </c>
      <c r="C522" s="621" t="e">
        <f>Abs!#REF!</f>
        <v>#REF!</v>
      </c>
      <c r="D522" s="617" t="e">
        <f>Abs!#REF!</f>
        <v>#REF!</v>
      </c>
      <c r="E522" s="618" t="e">
        <f>Abs!#REF!</f>
        <v>#REF!</v>
      </c>
      <c r="F522" s="617" t="e">
        <f t="shared" si="8"/>
        <v>#REF!</v>
      </c>
    </row>
    <row r="523" spans="1:6" s="496" customFormat="1" ht="17.25" hidden="1">
      <c r="A523" s="614" t="e">
        <f>Abs!#REF!</f>
        <v>#REF!</v>
      </c>
      <c r="B523" s="620" t="e">
        <f>Abs!#REF!</f>
        <v>#REF!</v>
      </c>
      <c r="C523" s="621" t="e">
        <f>Abs!#REF!</f>
        <v>#REF!</v>
      </c>
      <c r="D523" s="617" t="e">
        <f>Abs!#REF!</f>
        <v>#REF!</v>
      </c>
      <c r="E523" s="618" t="e">
        <f>Abs!#REF!</f>
        <v>#REF!</v>
      </c>
      <c r="F523" s="617" t="e">
        <f t="shared" si="8"/>
        <v>#REF!</v>
      </c>
    </row>
    <row r="524" spans="1:6" s="496" customFormat="1" ht="33" hidden="1" customHeight="1">
      <c r="A524" s="614" t="e">
        <f>Abs!#REF!</f>
        <v>#REF!</v>
      </c>
      <c r="B524" s="620" t="e">
        <f>Abs!#REF!</f>
        <v>#REF!</v>
      </c>
      <c r="C524" s="621" t="e">
        <f>Abs!#REF!</f>
        <v>#REF!</v>
      </c>
      <c r="D524" s="617" t="e">
        <f>Abs!#REF!</f>
        <v>#REF!</v>
      </c>
      <c r="E524" s="618" t="e">
        <f>Abs!#REF!</f>
        <v>#REF!</v>
      </c>
      <c r="F524" s="617" t="e">
        <f t="shared" si="8"/>
        <v>#REF!</v>
      </c>
    </row>
    <row r="525" spans="1:6" s="496" customFormat="1" ht="33" hidden="1" customHeight="1">
      <c r="A525" s="614" t="e">
        <f>Abs!#REF!</f>
        <v>#REF!</v>
      </c>
      <c r="B525" s="620" t="e">
        <f>Abs!#REF!</f>
        <v>#REF!</v>
      </c>
      <c r="C525" s="621" t="e">
        <f>Abs!#REF!</f>
        <v>#REF!</v>
      </c>
      <c r="D525" s="617" t="e">
        <f>Abs!#REF!</f>
        <v>#REF!</v>
      </c>
      <c r="E525" s="618" t="e">
        <f>Abs!#REF!</f>
        <v>#REF!</v>
      </c>
      <c r="F525" s="617" t="e">
        <f t="shared" si="8"/>
        <v>#REF!</v>
      </c>
    </row>
    <row r="526" spans="1:6" s="496" customFormat="1" ht="42.75" hidden="1" customHeight="1">
      <c r="A526" s="614" t="e">
        <f>Abs!#REF!</f>
        <v>#REF!</v>
      </c>
      <c r="B526" s="620" t="e">
        <f>Abs!#REF!</f>
        <v>#REF!</v>
      </c>
      <c r="C526" s="621" t="e">
        <f>Abs!#REF!</f>
        <v>#REF!</v>
      </c>
      <c r="D526" s="617" t="e">
        <f>Abs!#REF!</f>
        <v>#REF!</v>
      </c>
      <c r="E526" s="618" t="e">
        <f>Abs!#REF!</f>
        <v>#REF!</v>
      </c>
      <c r="F526" s="617" t="e">
        <f t="shared" si="8"/>
        <v>#REF!</v>
      </c>
    </row>
    <row r="527" spans="1:6" s="496" customFormat="1" ht="33" hidden="1" customHeight="1">
      <c r="A527" s="614" t="e">
        <f>Abs!#REF!</f>
        <v>#REF!</v>
      </c>
      <c r="B527" s="620" t="e">
        <f>Abs!#REF!</f>
        <v>#REF!</v>
      </c>
      <c r="C527" s="621" t="e">
        <f>Abs!#REF!</f>
        <v>#REF!</v>
      </c>
      <c r="D527" s="617" t="e">
        <f>Abs!#REF!</f>
        <v>#REF!</v>
      </c>
      <c r="E527" s="618" t="e">
        <f>Abs!#REF!</f>
        <v>#REF!</v>
      </c>
      <c r="F527" s="617" t="e">
        <f t="shared" si="8"/>
        <v>#REF!</v>
      </c>
    </row>
    <row r="528" spans="1:6" s="496" customFormat="1" ht="33" hidden="1" customHeight="1">
      <c r="A528" s="614" t="e">
        <f>Abs!#REF!</f>
        <v>#REF!</v>
      </c>
      <c r="B528" s="620" t="e">
        <f>Abs!#REF!</f>
        <v>#REF!</v>
      </c>
      <c r="C528" s="621" t="e">
        <f>Abs!#REF!</f>
        <v>#REF!</v>
      </c>
      <c r="D528" s="617" t="e">
        <f>Abs!#REF!</f>
        <v>#REF!</v>
      </c>
      <c r="E528" s="618" t="e">
        <f>Abs!#REF!</f>
        <v>#REF!</v>
      </c>
      <c r="F528" s="617" t="e">
        <f t="shared" si="8"/>
        <v>#REF!</v>
      </c>
    </row>
    <row r="529" spans="1:6" s="496" customFormat="1" ht="33" hidden="1" customHeight="1">
      <c r="A529" s="614" t="e">
        <f>Abs!#REF!</f>
        <v>#REF!</v>
      </c>
      <c r="B529" s="620" t="e">
        <f>Abs!#REF!</f>
        <v>#REF!</v>
      </c>
      <c r="C529" s="621" t="e">
        <f>Abs!#REF!</f>
        <v>#REF!</v>
      </c>
      <c r="D529" s="617" t="e">
        <f>Abs!#REF!</f>
        <v>#REF!</v>
      </c>
      <c r="E529" s="618" t="e">
        <f>Abs!#REF!</f>
        <v>#REF!</v>
      </c>
      <c r="F529" s="617" t="e">
        <f t="shared" si="8"/>
        <v>#REF!</v>
      </c>
    </row>
    <row r="530" spans="1:6" s="496" customFormat="1" ht="33" hidden="1" customHeight="1">
      <c r="A530" s="614" t="e">
        <f>Abs!#REF!</f>
        <v>#REF!</v>
      </c>
      <c r="B530" s="620" t="e">
        <f>Abs!#REF!</f>
        <v>#REF!</v>
      </c>
      <c r="C530" s="621" t="e">
        <f>Abs!#REF!</f>
        <v>#REF!</v>
      </c>
      <c r="D530" s="617" t="e">
        <f>Abs!#REF!</f>
        <v>#REF!</v>
      </c>
      <c r="E530" s="618" t="e">
        <f>Abs!#REF!</f>
        <v>#REF!</v>
      </c>
      <c r="F530" s="617" t="e">
        <f t="shared" si="8"/>
        <v>#REF!</v>
      </c>
    </row>
    <row r="531" spans="1:6" s="496" customFormat="1" ht="30" hidden="1" customHeight="1">
      <c r="A531" s="614" t="e">
        <f>Abs!#REF!</f>
        <v>#REF!</v>
      </c>
      <c r="B531" s="620" t="e">
        <f>Abs!#REF!</f>
        <v>#REF!</v>
      </c>
      <c r="C531" s="621" t="e">
        <f>Abs!#REF!</f>
        <v>#REF!</v>
      </c>
      <c r="D531" s="617" t="e">
        <f>Abs!#REF!</f>
        <v>#REF!</v>
      </c>
      <c r="E531" s="618" t="e">
        <f>Abs!#REF!</f>
        <v>#REF!</v>
      </c>
      <c r="F531" s="617" t="e">
        <f t="shared" si="8"/>
        <v>#REF!</v>
      </c>
    </row>
    <row r="532" spans="1:6" s="496" customFormat="1" ht="17.25" hidden="1">
      <c r="A532" s="614" t="e">
        <f>Abs!#REF!</f>
        <v>#REF!</v>
      </c>
      <c r="B532" s="620" t="e">
        <f>Abs!#REF!</f>
        <v>#REF!</v>
      </c>
      <c r="C532" s="621" t="e">
        <f>Abs!#REF!</f>
        <v>#REF!</v>
      </c>
      <c r="D532" s="617" t="e">
        <f>Abs!#REF!</f>
        <v>#REF!</v>
      </c>
      <c r="E532" s="618" t="e">
        <f>Abs!#REF!</f>
        <v>#REF!</v>
      </c>
      <c r="F532" s="617" t="e">
        <f t="shared" si="8"/>
        <v>#REF!</v>
      </c>
    </row>
    <row r="533" spans="1:6" s="496" customFormat="1" ht="17.25" hidden="1">
      <c r="A533" s="614" t="e">
        <f>Abs!#REF!</f>
        <v>#REF!</v>
      </c>
      <c r="B533" s="620" t="e">
        <f>Abs!#REF!</f>
        <v>#REF!</v>
      </c>
      <c r="C533" s="621" t="e">
        <f>Abs!#REF!</f>
        <v>#REF!</v>
      </c>
      <c r="D533" s="617" t="e">
        <f>Abs!#REF!</f>
        <v>#REF!</v>
      </c>
      <c r="E533" s="618" t="e">
        <f>Abs!#REF!</f>
        <v>#REF!</v>
      </c>
      <c r="F533" s="617" t="e">
        <f t="shared" si="8"/>
        <v>#REF!</v>
      </c>
    </row>
    <row r="534" spans="1:6" s="496" customFormat="1" ht="17.25" hidden="1">
      <c r="A534" s="614" t="e">
        <f>Abs!#REF!</f>
        <v>#REF!</v>
      </c>
      <c r="B534" s="620" t="e">
        <f>Abs!#REF!</f>
        <v>#REF!</v>
      </c>
      <c r="C534" s="621" t="e">
        <f>Abs!#REF!</f>
        <v>#REF!</v>
      </c>
      <c r="D534" s="617" t="e">
        <f>Abs!#REF!</f>
        <v>#REF!</v>
      </c>
      <c r="E534" s="618" t="e">
        <f>Abs!#REF!</f>
        <v>#REF!</v>
      </c>
      <c r="F534" s="617" t="e">
        <f t="shared" si="8"/>
        <v>#REF!</v>
      </c>
    </row>
    <row r="535" spans="1:6" s="496" customFormat="1" ht="17.25" hidden="1">
      <c r="A535" s="614" t="e">
        <f>Abs!#REF!</f>
        <v>#REF!</v>
      </c>
      <c r="B535" s="620" t="e">
        <f>Abs!#REF!</f>
        <v>#REF!</v>
      </c>
      <c r="C535" s="621" t="e">
        <f>Abs!#REF!</f>
        <v>#REF!</v>
      </c>
      <c r="D535" s="617" t="e">
        <f>Abs!#REF!</f>
        <v>#REF!</v>
      </c>
      <c r="E535" s="618" t="e">
        <f>Abs!#REF!</f>
        <v>#REF!</v>
      </c>
      <c r="F535" s="617" t="e">
        <f t="shared" si="8"/>
        <v>#REF!</v>
      </c>
    </row>
    <row r="536" spans="1:6" ht="15.75" hidden="1">
      <c r="A536" s="614" t="e">
        <f>Abs!#REF!</f>
        <v>#REF!</v>
      </c>
      <c r="B536" s="620" t="e">
        <f>Abs!#REF!</f>
        <v>#REF!</v>
      </c>
      <c r="C536" s="621" t="e">
        <f>Abs!#REF!</f>
        <v>#REF!</v>
      </c>
      <c r="D536" s="617" t="e">
        <f>Abs!#REF!</f>
        <v>#REF!</v>
      </c>
      <c r="E536" s="618" t="e">
        <f>Abs!#REF!</f>
        <v>#REF!</v>
      </c>
      <c r="F536" s="617" t="e">
        <f t="shared" si="8"/>
        <v>#REF!</v>
      </c>
    </row>
    <row r="537" spans="1:6" ht="15.75" hidden="1">
      <c r="A537" s="614" t="e">
        <f>Abs!#REF!</f>
        <v>#REF!</v>
      </c>
      <c r="B537" s="620" t="e">
        <f>Abs!#REF!</f>
        <v>#REF!</v>
      </c>
      <c r="C537" s="621" t="e">
        <f>Abs!#REF!</f>
        <v>#REF!</v>
      </c>
      <c r="D537" s="617" t="e">
        <f>Abs!#REF!</f>
        <v>#REF!</v>
      </c>
      <c r="E537" s="618" t="e">
        <f>Abs!#REF!</f>
        <v>#REF!</v>
      </c>
      <c r="F537" s="617" t="e">
        <f t="shared" si="8"/>
        <v>#REF!</v>
      </c>
    </row>
    <row r="538" spans="1:6" s="496" customFormat="1" ht="17.25" hidden="1">
      <c r="A538" s="614" t="e">
        <f>Abs!#REF!</f>
        <v>#REF!</v>
      </c>
      <c r="B538" s="620" t="e">
        <f>Abs!#REF!</f>
        <v>#REF!</v>
      </c>
      <c r="C538" s="621" t="e">
        <f>Abs!#REF!</f>
        <v>#REF!</v>
      </c>
      <c r="D538" s="617" t="e">
        <f>Abs!#REF!</f>
        <v>#REF!</v>
      </c>
      <c r="E538" s="618" t="e">
        <f>Abs!#REF!</f>
        <v>#REF!</v>
      </c>
      <c r="F538" s="617" t="e">
        <f t="shared" si="8"/>
        <v>#REF!</v>
      </c>
    </row>
    <row r="539" spans="1:6" s="496" customFormat="1" ht="21.75" hidden="1" customHeight="1">
      <c r="A539" s="614" t="e">
        <f>Abs!#REF!</f>
        <v>#REF!</v>
      </c>
      <c r="B539" s="620" t="e">
        <f>Abs!#REF!</f>
        <v>#REF!</v>
      </c>
      <c r="C539" s="621" t="e">
        <f>Abs!#REF!</f>
        <v>#REF!</v>
      </c>
      <c r="D539" s="617" t="e">
        <f>Abs!#REF!</f>
        <v>#REF!</v>
      </c>
      <c r="E539" s="618" t="e">
        <f>Abs!#REF!</f>
        <v>#REF!</v>
      </c>
      <c r="F539" s="617" t="e">
        <f t="shared" si="8"/>
        <v>#REF!</v>
      </c>
    </row>
    <row r="540" spans="1:6" s="496" customFormat="1" ht="17.25" hidden="1">
      <c r="A540" s="614" t="e">
        <f>Abs!#REF!</f>
        <v>#REF!</v>
      </c>
      <c r="B540" s="620" t="e">
        <f>Abs!#REF!</f>
        <v>#REF!</v>
      </c>
      <c r="C540" s="621" t="e">
        <f>Abs!#REF!</f>
        <v>#REF!</v>
      </c>
      <c r="D540" s="617" t="e">
        <f>Abs!#REF!</f>
        <v>#REF!</v>
      </c>
      <c r="E540" s="618" t="e">
        <f>Abs!#REF!</f>
        <v>#REF!</v>
      </c>
      <c r="F540" s="617" t="e">
        <f t="shared" si="8"/>
        <v>#REF!</v>
      </c>
    </row>
    <row r="541" spans="1:6" s="496" customFormat="1" ht="54.75" hidden="1" customHeight="1">
      <c r="A541" s="614" t="e">
        <f>Abs!#REF!</f>
        <v>#REF!</v>
      </c>
      <c r="B541" s="620" t="e">
        <f>Abs!#REF!</f>
        <v>#REF!</v>
      </c>
      <c r="C541" s="621" t="e">
        <f>Abs!#REF!</f>
        <v>#REF!</v>
      </c>
      <c r="D541" s="617" t="e">
        <f>Abs!#REF!</f>
        <v>#REF!</v>
      </c>
      <c r="E541" s="618" t="e">
        <f>Abs!#REF!</f>
        <v>#REF!</v>
      </c>
      <c r="F541" s="617" t="e">
        <f t="shared" si="8"/>
        <v>#REF!</v>
      </c>
    </row>
    <row r="542" spans="1:6" s="496" customFormat="1" ht="17.25" hidden="1">
      <c r="A542" s="614" t="e">
        <f>Abs!#REF!</f>
        <v>#REF!</v>
      </c>
      <c r="B542" s="620" t="e">
        <f>Abs!#REF!</f>
        <v>#REF!</v>
      </c>
      <c r="C542" s="621" t="e">
        <f>Abs!#REF!</f>
        <v>#REF!</v>
      </c>
      <c r="D542" s="617" t="e">
        <f>Abs!#REF!</f>
        <v>#REF!</v>
      </c>
      <c r="E542" s="618" t="e">
        <f>Abs!#REF!</f>
        <v>#REF!</v>
      </c>
      <c r="F542" s="617" t="e">
        <f t="shared" si="8"/>
        <v>#REF!</v>
      </c>
    </row>
    <row r="543" spans="1:6" s="496" customFormat="1" ht="21.75" hidden="1" customHeight="1">
      <c r="A543" s="614" t="e">
        <f>Abs!#REF!</f>
        <v>#REF!</v>
      </c>
      <c r="B543" s="620" t="e">
        <f>Abs!#REF!</f>
        <v>#REF!</v>
      </c>
      <c r="C543" s="621" t="e">
        <f>Abs!#REF!</f>
        <v>#REF!</v>
      </c>
      <c r="D543" s="617" t="e">
        <f>Abs!#REF!</f>
        <v>#REF!</v>
      </c>
      <c r="E543" s="618" t="e">
        <f>Abs!#REF!</f>
        <v>#REF!</v>
      </c>
      <c r="F543" s="617" t="e">
        <f t="shared" si="8"/>
        <v>#REF!</v>
      </c>
    </row>
    <row r="544" spans="1:6" s="496" customFormat="1" ht="17.25" hidden="1">
      <c r="A544" s="614" t="e">
        <f>Abs!#REF!</f>
        <v>#REF!</v>
      </c>
      <c r="B544" s="620" t="e">
        <f>Abs!#REF!</f>
        <v>#REF!</v>
      </c>
      <c r="C544" s="621" t="e">
        <f>Abs!#REF!</f>
        <v>#REF!</v>
      </c>
      <c r="D544" s="617" t="e">
        <f>Abs!#REF!</f>
        <v>#REF!</v>
      </c>
      <c r="E544" s="618" t="e">
        <f>Abs!#REF!</f>
        <v>#REF!</v>
      </c>
      <c r="F544" s="617" t="e">
        <f t="shared" si="8"/>
        <v>#REF!</v>
      </c>
    </row>
    <row r="545" spans="1:6" s="496" customFormat="1" ht="21.75" hidden="1" customHeight="1">
      <c r="A545" s="614" t="e">
        <f>Abs!#REF!</f>
        <v>#REF!</v>
      </c>
      <c r="B545" s="620" t="e">
        <f>Abs!#REF!</f>
        <v>#REF!</v>
      </c>
      <c r="C545" s="621" t="e">
        <f>Abs!#REF!</f>
        <v>#REF!</v>
      </c>
      <c r="D545" s="617" t="e">
        <f>Abs!#REF!</f>
        <v>#REF!</v>
      </c>
      <c r="E545" s="618" t="e">
        <f>Abs!#REF!</f>
        <v>#REF!</v>
      </c>
      <c r="F545" s="617" t="e">
        <f t="shared" si="8"/>
        <v>#REF!</v>
      </c>
    </row>
    <row r="546" spans="1:6" s="496" customFormat="1" ht="17.25" hidden="1">
      <c r="A546" s="614" t="e">
        <f>Abs!#REF!</f>
        <v>#REF!</v>
      </c>
      <c r="B546" s="620" t="e">
        <f>Abs!#REF!</f>
        <v>#REF!</v>
      </c>
      <c r="C546" s="621" t="e">
        <f>Abs!#REF!</f>
        <v>#REF!</v>
      </c>
      <c r="D546" s="617" t="e">
        <f>Abs!#REF!</f>
        <v>#REF!</v>
      </c>
      <c r="E546" s="618" t="e">
        <f>Abs!#REF!</f>
        <v>#REF!</v>
      </c>
      <c r="F546" s="617" t="e">
        <f t="shared" si="8"/>
        <v>#REF!</v>
      </c>
    </row>
    <row r="547" spans="1:6" s="496" customFormat="1" ht="53.25" hidden="1" customHeight="1">
      <c r="A547" s="614" t="e">
        <f>Abs!#REF!</f>
        <v>#REF!</v>
      </c>
      <c r="B547" s="620" t="e">
        <f>Abs!#REF!</f>
        <v>#REF!</v>
      </c>
      <c r="C547" s="621" t="e">
        <f>Abs!#REF!</f>
        <v>#REF!</v>
      </c>
      <c r="D547" s="617" t="e">
        <f>Abs!#REF!</f>
        <v>#REF!</v>
      </c>
      <c r="E547" s="618" t="e">
        <f>Abs!#REF!</f>
        <v>#REF!</v>
      </c>
      <c r="F547" s="617" t="e">
        <f t="shared" si="8"/>
        <v>#REF!</v>
      </c>
    </row>
    <row r="548" spans="1:6" s="496" customFormat="1" ht="32.25" hidden="1" customHeight="1">
      <c r="A548" s="614" t="e">
        <f>Abs!#REF!</f>
        <v>#REF!</v>
      </c>
      <c r="B548" s="620" t="e">
        <f>Abs!#REF!</f>
        <v>#REF!</v>
      </c>
      <c r="C548" s="621" t="e">
        <f>Abs!#REF!</f>
        <v>#REF!</v>
      </c>
      <c r="D548" s="617" t="e">
        <f>Abs!#REF!</f>
        <v>#REF!</v>
      </c>
      <c r="E548" s="618" t="e">
        <f>Abs!#REF!</f>
        <v>#REF!</v>
      </c>
      <c r="F548" s="617" t="e">
        <f t="shared" si="8"/>
        <v>#REF!</v>
      </c>
    </row>
    <row r="549" spans="1:6" s="496" customFormat="1" ht="34.5" hidden="1" customHeight="1">
      <c r="A549" s="614" t="e">
        <f>Abs!#REF!</f>
        <v>#REF!</v>
      </c>
      <c r="B549" s="620" t="e">
        <f>Abs!#REF!</f>
        <v>#REF!</v>
      </c>
      <c r="C549" s="621" t="e">
        <f>Abs!#REF!</f>
        <v>#REF!</v>
      </c>
      <c r="D549" s="617" t="e">
        <f>Abs!#REF!</f>
        <v>#REF!</v>
      </c>
      <c r="E549" s="618" t="e">
        <f>Abs!#REF!</f>
        <v>#REF!</v>
      </c>
      <c r="F549" s="617" t="e">
        <f t="shared" si="8"/>
        <v>#REF!</v>
      </c>
    </row>
    <row r="550" spans="1:6" s="496" customFormat="1" ht="43.5" hidden="1" customHeight="1">
      <c r="A550" s="614" t="e">
        <f>Abs!#REF!</f>
        <v>#REF!</v>
      </c>
      <c r="B550" s="620" t="e">
        <f>Abs!#REF!</f>
        <v>#REF!</v>
      </c>
      <c r="C550" s="621" t="e">
        <f>Abs!#REF!</f>
        <v>#REF!</v>
      </c>
      <c r="D550" s="617" t="e">
        <f>Abs!#REF!</f>
        <v>#REF!</v>
      </c>
      <c r="E550" s="618" t="e">
        <f>Abs!#REF!</f>
        <v>#REF!</v>
      </c>
      <c r="F550" s="617" t="e">
        <f t="shared" si="8"/>
        <v>#REF!</v>
      </c>
    </row>
    <row r="551" spans="1:6" s="496" customFormat="1" ht="39.75" customHeight="1">
      <c r="A551" s="614">
        <f>Abs!A510</f>
        <v>0</v>
      </c>
      <c r="B551" s="620" t="e">
        <f>Abs!Y510</f>
        <v>#REF!</v>
      </c>
      <c r="C551" s="621" t="str">
        <f>Abs!B510</f>
        <v xml:space="preserve">Supply and laying of Hard core layer 200mm </v>
      </c>
      <c r="D551" s="617">
        <f>Abs!C510</f>
        <v>3202.91</v>
      </c>
      <c r="E551" s="618" t="str">
        <f>Abs!D510</f>
        <v>Cum</v>
      </c>
      <c r="F551" s="617" t="e">
        <f t="shared" si="8"/>
        <v>#REF!</v>
      </c>
    </row>
    <row r="552" spans="1:6" s="496" customFormat="1" ht="35.25" customHeight="1">
      <c r="A552" s="614">
        <f>Abs!A511</f>
        <v>0</v>
      </c>
      <c r="B552" s="620" t="e">
        <f>Abs!Y511</f>
        <v>#REF!</v>
      </c>
      <c r="C552" s="621" t="str">
        <f>Abs!B511</f>
        <v>Supplying and filling stone dust</v>
      </c>
      <c r="D552" s="617">
        <f>Abs!C511</f>
        <v>326.2</v>
      </c>
      <c r="E552" s="618" t="str">
        <f>Abs!D511</f>
        <v>Cum.</v>
      </c>
      <c r="F552" s="617" t="e">
        <f t="shared" si="8"/>
        <v>#REF!</v>
      </c>
    </row>
    <row r="553" spans="1:6" s="496" customFormat="1" ht="37.5" customHeight="1">
      <c r="A553" s="614">
        <f>Abs!A512</f>
        <v>0</v>
      </c>
      <c r="B553" s="620" t="e">
        <f>Abs!Y512</f>
        <v>#REF!</v>
      </c>
      <c r="C553" s="621" t="str">
        <f>Abs!B512</f>
        <v>Plastering with CM 1:3, 12mm with WPC</v>
      </c>
      <c r="D553" s="617">
        <f>Abs!C512</f>
        <v>245.09</v>
      </c>
      <c r="E553" s="618" t="str">
        <f>Abs!D512</f>
        <v>Sqm</v>
      </c>
      <c r="F553" s="617" t="e">
        <f t="shared" si="8"/>
        <v>#REF!</v>
      </c>
    </row>
    <row r="554" spans="1:6" s="496" customFormat="1" ht="41.25" hidden="1" customHeight="1">
      <c r="A554" s="614">
        <f>Abs!A513</f>
        <v>0</v>
      </c>
      <c r="B554" s="620" t="e">
        <f>Abs!Y513</f>
        <v>#REF!</v>
      </c>
      <c r="C554" s="621" t="str">
        <f>Abs!B513</f>
        <v xml:space="preserve">Supplying and filling with gravel </v>
      </c>
      <c r="D554" s="617">
        <f>Abs!C513</f>
        <v>408.8</v>
      </c>
      <c r="E554" s="618" t="str">
        <f>Abs!D513</f>
        <v>Cum</v>
      </c>
      <c r="F554" s="617" t="e">
        <f t="shared" si="8"/>
        <v>#REF!</v>
      </c>
    </row>
    <row r="555" spans="1:6" s="496" customFormat="1" ht="35.25" hidden="1" customHeight="1">
      <c r="A555" s="614" t="e">
        <f>Abs!#REF!</f>
        <v>#REF!</v>
      </c>
      <c r="B555" s="620" t="e">
        <f>Abs!#REF!</f>
        <v>#REF!</v>
      </c>
      <c r="C555" s="621" t="e">
        <f>Abs!#REF!</f>
        <v>#REF!</v>
      </c>
      <c r="D555" s="617" t="e">
        <f>Abs!#REF!</f>
        <v>#REF!</v>
      </c>
      <c r="E555" s="618" t="e">
        <f>Abs!#REF!</f>
        <v>#REF!</v>
      </c>
      <c r="F555" s="617" t="e">
        <f t="shared" si="8"/>
        <v>#REF!</v>
      </c>
    </row>
    <row r="556" spans="1:6" s="496" customFormat="1" ht="17.25" hidden="1">
      <c r="A556" s="614" t="e">
        <f>Abs!#REF!</f>
        <v>#REF!</v>
      </c>
      <c r="B556" s="620" t="e">
        <f>Abs!#REF!</f>
        <v>#REF!</v>
      </c>
      <c r="C556" s="621" t="e">
        <f>Abs!#REF!</f>
        <v>#REF!</v>
      </c>
      <c r="D556" s="617" t="e">
        <f>Abs!#REF!</f>
        <v>#REF!</v>
      </c>
      <c r="E556" s="618" t="e">
        <f>Abs!#REF!</f>
        <v>#REF!</v>
      </c>
      <c r="F556" s="617" t="e">
        <f t="shared" si="8"/>
        <v>#REF!</v>
      </c>
    </row>
    <row r="557" spans="1:6" s="496" customFormat="1" ht="17.25" hidden="1">
      <c r="A557" s="614" t="e">
        <f>Abs!#REF!</f>
        <v>#REF!</v>
      </c>
      <c r="B557" s="620" t="e">
        <f>Abs!#REF!</f>
        <v>#REF!</v>
      </c>
      <c r="C557" s="621" t="e">
        <f>Abs!#REF!</f>
        <v>#REF!</v>
      </c>
      <c r="D557" s="617" t="e">
        <f>Abs!#REF!</f>
        <v>#REF!</v>
      </c>
      <c r="E557" s="618" t="e">
        <f>Abs!#REF!</f>
        <v>#REF!</v>
      </c>
      <c r="F557" s="617" t="e">
        <f t="shared" si="8"/>
        <v>#REF!</v>
      </c>
    </row>
    <row r="558" spans="1:6" s="496" customFormat="1" ht="17.25" hidden="1">
      <c r="A558" s="614" t="e">
        <f>Abs!#REF!</f>
        <v>#REF!</v>
      </c>
      <c r="B558" s="620" t="e">
        <f>Abs!#REF!</f>
        <v>#REF!</v>
      </c>
      <c r="C558" s="621" t="e">
        <f>Abs!#REF!</f>
        <v>#REF!</v>
      </c>
      <c r="D558" s="617" t="e">
        <f>Abs!#REF!</f>
        <v>#REF!</v>
      </c>
      <c r="E558" s="618" t="e">
        <f>Abs!#REF!</f>
        <v>#REF!</v>
      </c>
      <c r="F558" s="617" t="e">
        <f t="shared" si="8"/>
        <v>#REF!</v>
      </c>
    </row>
    <row r="559" spans="1:6" s="496" customFormat="1" ht="17.25" hidden="1">
      <c r="A559" s="614" t="e">
        <f>Abs!#REF!</f>
        <v>#REF!</v>
      </c>
      <c r="B559" s="620" t="e">
        <f>Abs!#REF!</f>
        <v>#REF!</v>
      </c>
      <c r="C559" s="621" t="e">
        <f>Abs!#REF!</f>
        <v>#REF!</v>
      </c>
      <c r="D559" s="617" t="e">
        <f>Abs!#REF!</f>
        <v>#REF!</v>
      </c>
      <c r="E559" s="618" t="e">
        <f>Abs!#REF!</f>
        <v>#REF!</v>
      </c>
      <c r="F559" s="617" t="e">
        <f t="shared" si="8"/>
        <v>#REF!</v>
      </c>
    </row>
    <row r="560" spans="1:6" s="496" customFormat="1" ht="17.25" hidden="1">
      <c r="A560" s="614" t="e">
        <f>Abs!#REF!</f>
        <v>#REF!</v>
      </c>
      <c r="B560" s="620" t="e">
        <f>Abs!#REF!</f>
        <v>#REF!</v>
      </c>
      <c r="C560" s="621" t="e">
        <f>Abs!#REF!</f>
        <v>#REF!</v>
      </c>
      <c r="D560" s="617" t="e">
        <f>Abs!#REF!</f>
        <v>#REF!</v>
      </c>
      <c r="E560" s="618" t="e">
        <f>Abs!#REF!</f>
        <v>#REF!</v>
      </c>
      <c r="F560" s="617" t="e">
        <f t="shared" si="8"/>
        <v>#REF!</v>
      </c>
    </row>
    <row r="561" spans="1:6" ht="15.75" hidden="1">
      <c r="A561" s="614" t="e">
        <f>Abs!#REF!</f>
        <v>#REF!</v>
      </c>
      <c r="B561" s="620" t="e">
        <f>Abs!#REF!</f>
        <v>#REF!</v>
      </c>
      <c r="C561" s="621" t="e">
        <f>Abs!#REF!</f>
        <v>#REF!</v>
      </c>
      <c r="D561" s="617" t="e">
        <f>Abs!#REF!</f>
        <v>#REF!</v>
      </c>
      <c r="E561" s="618" t="e">
        <f>Abs!#REF!</f>
        <v>#REF!</v>
      </c>
      <c r="F561" s="617" t="e">
        <f t="shared" si="8"/>
        <v>#REF!</v>
      </c>
    </row>
    <row r="562" spans="1:6" ht="21.75" hidden="1" customHeight="1">
      <c r="A562" s="614" t="e">
        <f>Abs!#REF!</f>
        <v>#REF!</v>
      </c>
      <c r="B562" s="620" t="e">
        <f>Abs!#REF!</f>
        <v>#REF!</v>
      </c>
      <c r="C562" s="621" t="e">
        <f>Abs!#REF!</f>
        <v>#REF!</v>
      </c>
      <c r="D562" s="617" t="e">
        <f>Abs!#REF!</f>
        <v>#REF!</v>
      </c>
      <c r="E562" s="618" t="e">
        <f>Abs!#REF!</f>
        <v>#REF!</v>
      </c>
      <c r="F562" s="617" t="e">
        <f t="shared" si="8"/>
        <v>#REF!</v>
      </c>
    </row>
    <row r="563" spans="1:6" ht="21.75" hidden="1" customHeight="1">
      <c r="A563" s="614" t="e">
        <f>Abs!#REF!</f>
        <v>#REF!</v>
      </c>
      <c r="B563" s="620" t="e">
        <f>Abs!#REF!</f>
        <v>#REF!</v>
      </c>
      <c r="C563" s="621" t="e">
        <f>Abs!#REF!</f>
        <v>#REF!</v>
      </c>
      <c r="D563" s="617" t="e">
        <f>Abs!#REF!</f>
        <v>#REF!</v>
      </c>
      <c r="E563" s="618" t="e">
        <f>Abs!#REF!</f>
        <v>#REF!</v>
      </c>
      <c r="F563" s="617" t="e">
        <f t="shared" si="8"/>
        <v>#REF!</v>
      </c>
    </row>
    <row r="564" spans="1:6" ht="15.75" hidden="1">
      <c r="A564" s="614" t="e">
        <f>Abs!#REF!</f>
        <v>#REF!</v>
      </c>
      <c r="B564" s="620" t="e">
        <f>Abs!#REF!</f>
        <v>#REF!</v>
      </c>
      <c r="C564" s="621" t="e">
        <f>Abs!#REF!</f>
        <v>#REF!</v>
      </c>
      <c r="D564" s="617" t="e">
        <f>Abs!#REF!</f>
        <v>#REF!</v>
      </c>
      <c r="E564" s="618" t="e">
        <f>Abs!#REF!</f>
        <v>#REF!</v>
      </c>
      <c r="F564" s="617" t="e">
        <f t="shared" si="8"/>
        <v>#REF!</v>
      </c>
    </row>
    <row r="565" spans="1:6" ht="15.75" hidden="1">
      <c r="A565" s="614" t="e">
        <f>Abs!#REF!</f>
        <v>#REF!</v>
      </c>
      <c r="B565" s="620" t="e">
        <f>Abs!#REF!</f>
        <v>#REF!</v>
      </c>
      <c r="C565" s="621" t="e">
        <f>Abs!#REF!</f>
        <v>#REF!</v>
      </c>
      <c r="D565" s="617" t="e">
        <f>Abs!#REF!</f>
        <v>#REF!</v>
      </c>
      <c r="E565" s="618" t="e">
        <f>Abs!#REF!</f>
        <v>#REF!</v>
      </c>
      <c r="F565" s="617" t="e">
        <f t="shared" si="8"/>
        <v>#REF!</v>
      </c>
    </row>
    <row r="566" spans="1:6" s="496" customFormat="1" ht="17.25" hidden="1">
      <c r="A566" s="614" t="e">
        <f>Abs!#REF!</f>
        <v>#REF!</v>
      </c>
      <c r="B566" s="620" t="e">
        <f>Abs!#REF!</f>
        <v>#REF!</v>
      </c>
      <c r="C566" s="621" t="e">
        <f>Abs!#REF!</f>
        <v>#REF!</v>
      </c>
      <c r="D566" s="617" t="e">
        <f>Abs!#REF!</f>
        <v>#REF!</v>
      </c>
      <c r="E566" s="618" t="e">
        <f>Abs!#REF!</f>
        <v>#REF!</v>
      </c>
      <c r="F566" s="617" t="e">
        <f t="shared" si="8"/>
        <v>#REF!</v>
      </c>
    </row>
    <row r="567" spans="1:6" s="496" customFormat="1" ht="17.25" hidden="1">
      <c r="A567" s="614" t="e">
        <f>Abs!#REF!</f>
        <v>#REF!</v>
      </c>
      <c r="B567" s="620" t="e">
        <f>Abs!#REF!</f>
        <v>#REF!</v>
      </c>
      <c r="C567" s="621" t="e">
        <f>Abs!#REF!</f>
        <v>#REF!</v>
      </c>
      <c r="D567" s="617" t="e">
        <f>Abs!#REF!</f>
        <v>#REF!</v>
      </c>
      <c r="E567" s="618" t="e">
        <f>Abs!#REF!</f>
        <v>#REF!</v>
      </c>
      <c r="F567" s="617" t="e">
        <f t="shared" si="8"/>
        <v>#REF!</v>
      </c>
    </row>
    <row r="568" spans="1:6" s="496" customFormat="1" ht="17.25" hidden="1">
      <c r="A568" s="614" t="e">
        <f>Abs!#REF!</f>
        <v>#REF!</v>
      </c>
      <c r="B568" s="620" t="e">
        <f>Abs!#REF!</f>
        <v>#REF!</v>
      </c>
      <c r="C568" s="621" t="e">
        <f>Abs!#REF!</f>
        <v>#REF!</v>
      </c>
      <c r="D568" s="617" t="e">
        <f>Abs!#REF!</f>
        <v>#REF!</v>
      </c>
      <c r="E568" s="618" t="e">
        <f>Abs!#REF!</f>
        <v>#REF!</v>
      </c>
      <c r="F568" s="617" t="e">
        <f t="shared" si="8"/>
        <v>#REF!</v>
      </c>
    </row>
    <row r="569" spans="1:6" ht="15.75" hidden="1">
      <c r="A569" s="614" t="e">
        <f>Abs!#REF!</f>
        <v>#REF!</v>
      </c>
      <c r="B569" s="620" t="e">
        <f>Abs!#REF!</f>
        <v>#REF!</v>
      </c>
      <c r="C569" s="621" t="e">
        <f>Abs!#REF!</f>
        <v>#REF!</v>
      </c>
      <c r="D569" s="617" t="e">
        <f>Abs!#REF!</f>
        <v>#REF!</v>
      </c>
      <c r="E569" s="618" t="e">
        <f>Abs!#REF!</f>
        <v>#REF!</v>
      </c>
      <c r="F569" s="617" t="e">
        <f t="shared" si="8"/>
        <v>#REF!</v>
      </c>
    </row>
    <row r="570" spans="1:6" ht="15.75" hidden="1">
      <c r="A570" s="614" t="e">
        <f>Abs!#REF!</f>
        <v>#REF!</v>
      </c>
      <c r="B570" s="620" t="e">
        <f>Abs!#REF!</f>
        <v>#REF!</v>
      </c>
      <c r="C570" s="621" t="e">
        <f>Abs!#REF!</f>
        <v>#REF!</v>
      </c>
      <c r="D570" s="617" t="e">
        <f>Abs!#REF!</f>
        <v>#REF!</v>
      </c>
      <c r="E570" s="618" t="e">
        <f>Abs!#REF!</f>
        <v>#REF!</v>
      </c>
      <c r="F570" s="617" t="e">
        <f t="shared" si="8"/>
        <v>#REF!</v>
      </c>
    </row>
    <row r="571" spans="1:6" s="496" customFormat="1" ht="17.25" hidden="1">
      <c r="A571" s="614" t="e">
        <f>Abs!#REF!</f>
        <v>#REF!</v>
      </c>
      <c r="B571" s="620" t="e">
        <f>Abs!#REF!</f>
        <v>#REF!</v>
      </c>
      <c r="C571" s="621" t="e">
        <f>Abs!#REF!</f>
        <v>#REF!</v>
      </c>
      <c r="D571" s="617" t="e">
        <f>Abs!#REF!</f>
        <v>#REF!</v>
      </c>
      <c r="E571" s="618" t="e">
        <f>Abs!#REF!</f>
        <v>#REF!</v>
      </c>
      <c r="F571" s="617" t="e">
        <f t="shared" si="8"/>
        <v>#REF!</v>
      </c>
    </row>
    <row r="572" spans="1:6" s="496" customFormat="1" ht="17.25" hidden="1">
      <c r="A572" s="614" t="e">
        <f>Abs!#REF!</f>
        <v>#REF!</v>
      </c>
      <c r="B572" s="620" t="e">
        <f>Abs!#REF!</f>
        <v>#REF!</v>
      </c>
      <c r="C572" s="621" t="e">
        <f>Abs!#REF!</f>
        <v>#REF!</v>
      </c>
      <c r="D572" s="617" t="e">
        <f>Abs!#REF!</f>
        <v>#REF!</v>
      </c>
      <c r="E572" s="618" t="e">
        <f>Abs!#REF!</f>
        <v>#REF!</v>
      </c>
      <c r="F572" s="617" t="e">
        <f t="shared" si="8"/>
        <v>#REF!</v>
      </c>
    </row>
    <row r="573" spans="1:6" s="496" customFormat="1" ht="17.25" hidden="1">
      <c r="A573" s="614" t="e">
        <f>Abs!#REF!</f>
        <v>#REF!</v>
      </c>
      <c r="B573" s="620" t="e">
        <f>Abs!#REF!</f>
        <v>#REF!</v>
      </c>
      <c r="C573" s="621" t="e">
        <f>Abs!#REF!</f>
        <v>#REF!</v>
      </c>
      <c r="D573" s="617" t="e">
        <f>Abs!#REF!</f>
        <v>#REF!</v>
      </c>
      <c r="E573" s="618" t="e">
        <f>Abs!#REF!</f>
        <v>#REF!</v>
      </c>
      <c r="F573" s="617" t="e">
        <f t="shared" si="8"/>
        <v>#REF!</v>
      </c>
    </row>
    <row r="574" spans="1:6" s="496" customFormat="1" ht="16.5" hidden="1" customHeight="1">
      <c r="A574" s="614" t="e">
        <f>Abs!#REF!</f>
        <v>#REF!</v>
      </c>
      <c r="B574" s="620" t="e">
        <f>Abs!#REF!</f>
        <v>#REF!</v>
      </c>
      <c r="C574" s="621" t="e">
        <f>Abs!#REF!</f>
        <v>#REF!</v>
      </c>
      <c r="D574" s="617" t="e">
        <f>Abs!#REF!</f>
        <v>#REF!</v>
      </c>
      <c r="E574" s="618" t="e">
        <f>Abs!#REF!</f>
        <v>#REF!</v>
      </c>
      <c r="F574" s="617" t="e">
        <f t="shared" si="8"/>
        <v>#REF!</v>
      </c>
    </row>
    <row r="575" spans="1:6" s="496" customFormat="1" ht="24.75" hidden="1" customHeight="1">
      <c r="A575" s="614" t="e">
        <f>Abs!#REF!</f>
        <v>#REF!</v>
      </c>
      <c r="B575" s="620" t="e">
        <f>Abs!#REF!</f>
        <v>#REF!</v>
      </c>
      <c r="C575" s="621" t="e">
        <f>Abs!#REF!</f>
        <v>#REF!</v>
      </c>
      <c r="D575" s="617" t="e">
        <f>Abs!#REF!</f>
        <v>#REF!</v>
      </c>
      <c r="E575" s="618" t="e">
        <f>Abs!#REF!</f>
        <v>#REF!</v>
      </c>
      <c r="F575" s="617" t="e">
        <f t="shared" si="8"/>
        <v>#REF!</v>
      </c>
    </row>
    <row r="576" spans="1:6" s="496" customFormat="1" ht="33" hidden="1" customHeight="1">
      <c r="A576" s="614" t="e">
        <f>Abs!#REF!</f>
        <v>#REF!</v>
      </c>
      <c r="B576" s="620" t="e">
        <f>Abs!#REF!</f>
        <v>#REF!</v>
      </c>
      <c r="C576" s="621" t="e">
        <f>Abs!#REF!</f>
        <v>#REF!</v>
      </c>
      <c r="D576" s="617" t="e">
        <f>Abs!#REF!</f>
        <v>#REF!</v>
      </c>
      <c r="E576" s="618" t="e">
        <f>Abs!#REF!</f>
        <v>#REF!</v>
      </c>
      <c r="F576" s="617" t="e">
        <f t="shared" si="8"/>
        <v>#REF!</v>
      </c>
    </row>
    <row r="577" spans="1:6" s="496" customFormat="1" ht="33" hidden="1" customHeight="1">
      <c r="A577" s="614" t="e">
        <f>Abs!#REF!</f>
        <v>#REF!</v>
      </c>
      <c r="B577" s="620" t="e">
        <f>Abs!#REF!</f>
        <v>#REF!</v>
      </c>
      <c r="C577" s="621" t="e">
        <f>Abs!#REF!</f>
        <v>#REF!</v>
      </c>
      <c r="D577" s="617" t="e">
        <f>Abs!#REF!</f>
        <v>#REF!</v>
      </c>
      <c r="E577" s="618" t="e">
        <f>Abs!#REF!</f>
        <v>#REF!</v>
      </c>
      <c r="F577" s="617" t="e">
        <f t="shared" si="8"/>
        <v>#REF!</v>
      </c>
    </row>
    <row r="578" spans="1:6" s="496" customFormat="1" ht="27.75" hidden="1" customHeight="1">
      <c r="A578" s="614" t="e">
        <f>Abs!#REF!</f>
        <v>#REF!</v>
      </c>
      <c r="B578" s="620" t="e">
        <f>Abs!#REF!</f>
        <v>#REF!</v>
      </c>
      <c r="C578" s="621" t="e">
        <f>Abs!#REF!</f>
        <v>#REF!</v>
      </c>
      <c r="D578" s="617" t="e">
        <f>Abs!#REF!</f>
        <v>#REF!</v>
      </c>
      <c r="E578" s="618" t="e">
        <f>Abs!#REF!</f>
        <v>#REF!</v>
      </c>
      <c r="F578" s="617" t="e">
        <f t="shared" si="8"/>
        <v>#REF!</v>
      </c>
    </row>
    <row r="579" spans="1:6" s="496" customFormat="1" ht="41.45" hidden="1" customHeight="1">
      <c r="A579" s="614" t="e">
        <f>Abs!#REF!</f>
        <v>#REF!</v>
      </c>
      <c r="B579" s="620" t="e">
        <f>Abs!#REF!</f>
        <v>#REF!</v>
      </c>
      <c r="C579" s="621" t="e">
        <f>Abs!#REF!</f>
        <v>#REF!</v>
      </c>
      <c r="D579" s="617" t="e">
        <f>Abs!#REF!</f>
        <v>#REF!</v>
      </c>
      <c r="E579" s="618" t="e">
        <f>Abs!#REF!</f>
        <v>#REF!</v>
      </c>
      <c r="F579" s="617" t="e">
        <f t="shared" si="8"/>
        <v>#REF!</v>
      </c>
    </row>
    <row r="580" spans="1:6" s="496" customFormat="1" ht="28.15" hidden="1" customHeight="1">
      <c r="A580" s="614" t="e">
        <f>Abs!#REF!</f>
        <v>#REF!</v>
      </c>
      <c r="B580" s="620" t="e">
        <f>Abs!#REF!</f>
        <v>#REF!</v>
      </c>
      <c r="C580" s="621" t="e">
        <f>Abs!#REF!</f>
        <v>#REF!</v>
      </c>
      <c r="D580" s="617" t="e">
        <f>Abs!#REF!</f>
        <v>#REF!</v>
      </c>
      <c r="E580" s="618" t="e">
        <f>Abs!#REF!</f>
        <v>#REF!</v>
      </c>
      <c r="F580" s="617" t="e">
        <f t="shared" si="8"/>
        <v>#REF!</v>
      </c>
    </row>
    <row r="581" spans="1:6" ht="26.25" hidden="1" customHeight="1">
      <c r="A581" s="614" t="e">
        <f>Abs!#REF!</f>
        <v>#REF!</v>
      </c>
      <c r="B581" s="620" t="e">
        <f>Abs!#REF!</f>
        <v>#REF!</v>
      </c>
      <c r="C581" s="621" t="e">
        <f>Abs!#REF!</f>
        <v>#REF!</v>
      </c>
      <c r="D581" s="617" t="e">
        <f>Abs!#REF!</f>
        <v>#REF!</v>
      </c>
      <c r="E581" s="618" t="e">
        <f>Abs!#REF!</f>
        <v>#REF!</v>
      </c>
      <c r="F581" s="617" t="e">
        <f t="shared" si="8"/>
        <v>#REF!</v>
      </c>
    </row>
    <row r="582" spans="1:6" s="496" customFormat="1" ht="31.5" hidden="1" customHeight="1">
      <c r="A582" s="614" t="e">
        <f>Abs!#REF!</f>
        <v>#REF!</v>
      </c>
      <c r="B582" s="620" t="e">
        <f>Abs!#REF!</f>
        <v>#REF!</v>
      </c>
      <c r="C582" s="621" t="e">
        <f>Abs!#REF!</f>
        <v>#REF!</v>
      </c>
      <c r="D582" s="617" t="e">
        <f>Abs!#REF!</f>
        <v>#REF!</v>
      </c>
      <c r="E582" s="618" t="e">
        <f>Abs!#REF!</f>
        <v>#REF!</v>
      </c>
      <c r="F582" s="617" t="e">
        <f t="shared" si="8"/>
        <v>#REF!</v>
      </c>
    </row>
    <row r="583" spans="1:6" s="496" customFormat="1" ht="40.9" customHeight="1">
      <c r="A583" s="614">
        <f>Abs!A514</f>
        <v>3.3</v>
      </c>
      <c r="B583" s="620" t="e">
        <f>Abs!Y514</f>
        <v>#REF!</v>
      </c>
      <c r="C583" s="621" t="str">
        <f>Abs!B514</f>
        <v xml:space="preserve">P.C.C. 1:3:6 using 20 mm hard broken stone jelly </v>
      </c>
      <c r="D583" s="617">
        <f>Abs!C514</f>
        <v>5313.38</v>
      </c>
      <c r="E583" s="618" t="str">
        <f>Abs!D514</f>
        <v>Cum</v>
      </c>
      <c r="F583" s="617" t="e">
        <f t="shared" si="8"/>
        <v>#REF!</v>
      </c>
    </row>
    <row r="584" spans="1:6" s="496" customFormat="1" ht="55.9" hidden="1" customHeight="1">
      <c r="A584" s="614">
        <f>Abs!A515</f>
        <v>0</v>
      </c>
      <c r="B584" s="620">
        <f>Abs!Y515</f>
        <v>0</v>
      </c>
      <c r="C584" s="621" t="str">
        <f>Abs!B515</f>
        <v>P. C.C. 1:3:6 for foundation &amp; basement using 40mm metal</v>
      </c>
      <c r="D584" s="617">
        <f>Abs!C515</f>
        <v>4950.68</v>
      </c>
      <c r="E584" s="618" t="str">
        <f>Abs!D515</f>
        <v>Cum</v>
      </c>
      <c r="F584" s="617">
        <f t="shared" ref="F584:F647" si="9">D584*B584</f>
        <v>0</v>
      </c>
    </row>
    <row r="585" spans="1:6" s="496" customFormat="1" ht="42" customHeight="1">
      <c r="A585" s="614">
        <f>Abs!A516</f>
        <v>18.100000000000001</v>
      </c>
      <c r="B585" s="615" t="e">
        <f>Abs!Y516</f>
        <v>#REF!</v>
      </c>
      <c r="C585" s="616" t="str">
        <f>Abs!B516</f>
        <v>Formwork using M.S.Sheet</v>
      </c>
      <c r="D585" s="617">
        <f>Abs!C516</f>
        <v>0</v>
      </c>
      <c r="E585" s="618">
        <f>Abs!D516</f>
        <v>0</v>
      </c>
      <c r="F585" s="617"/>
    </row>
    <row r="586" spans="1:6" s="496" customFormat="1" ht="48.75" customHeight="1">
      <c r="A586" s="614">
        <f>Abs!A517</f>
        <v>0</v>
      </c>
      <c r="B586" s="620" t="e">
        <f>Abs!Y517</f>
        <v>#REF!</v>
      </c>
      <c r="C586" s="621" t="str">
        <f>Abs!B517</f>
        <v>a.For Column footings,plinth beam,Grade beam,Raftbeam,Raft slab etc.,</v>
      </c>
      <c r="D586" s="617">
        <f>Abs!C517</f>
        <v>739.38</v>
      </c>
      <c r="E586" s="618" t="str">
        <f>Abs!D517</f>
        <v>Sqm</v>
      </c>
      <c r="F586" s="617" t="e">
        <f t="shared" si="9"/>
        <v>#REF!</v>
      </c>
    </row>
    <row r="587" spans="1:6" s="496" customFormat="1" ht="66.75" customHeight="1">
      <c r="A587" s="614">
        <f>Abs!A518</f>
        <v>0</v>
      </c>
      <c r="B587" s="620" t="e">
        <f>Abs!Y518</f>
        <v>#REF!</v>
      </c>
      <c r="C587" s="621" t="str">
        <f>Abs!B518</f>
        <v>b.Plain surfaces such as Roof slab,floorslab,Beams,lintels,lofts,sill slab,staircase,portico slab and other similar works</v>
      </c>
      <c r="D587" s="617">
        <f>Abs!C518</f>
        <v>831.23</v>
      </c>
      <c r="E587" s="618" t="str">
        <f>Abs!D518</f>
        <v>Sqm</v>
      </c>
      <c r="F587" s="617" t="e">
        <f t="shared" si="9"/>
        <v>#REF!</v>
      </c>
    </row>
    <row r="588" spans="1:6" s="496" customFormat="1" ht="43.5" customHeight="1">
      <c r="A588" s="614">
        <f>Abs!A519</f>
        <v>0</v>
      </c>
      <c r="B588" s="620" t="e">
        <f>Abs!Y519</f>
        <v>#REF!</v>
      </c>
      <c r="C588" s="621" t="str">
        <f>Abs!B519</f>
        <v>c.For Square and rectangular columns and small quantities</v>
      </c>
      <c r="D588" s="617">
        <f>Abs!C519</f>
        <v>997.48</v>
      </c>
      <c r="E588" s="618" t="str">
        <f>Abs!D519</f>
        <v>Sqm</v>
      </c>
      <c r="F588" s="617" t="e">
        <f t="shared" si="9"/>
        <v>#REF!</v>
      </c>
    </row>
    <row r="589" spans="1:6" s="496" customFormat="1" ht="35.25" customHeight="1">
      <c r="A589" s="614">
        <f>Abs!A520</f>
        <v>0</v>
      </c>
      <c r="B589" s="620" t="e">
        <f>Abs!Y520</f>
        <v>#REF!</v>
      </c>
      <c r="C589" s="621" t="str">
        <f>Abs!B520</f>
        <v>d.Vertical wall</v>
      </c>
      <c r="D589" s="617">
        <f>Abs!C520</f>
        <v>914.35</v>
      </c>
      <c r="E589" s="618" t="str">
        <f>Abs!D520</f>
        <v>Sqm</v>
      </c>
      <c r="F589" s="617" t="e">
        <f t="shared" si="9"/>
        <v>#REF!</v>
      </c>
    </row>
    <row r="590" spans="1:6" s="496" customFormat="1" ht="65.25" hidden="1" customHeight="1">
      <c r="A590" s="614">
        <f>Abs!A521</f>
        <v>0</v>
      </c>
      <c r="B590" s="620">
        <f>Abs!Y521</f>
        <v>0</v>
      </c>
      <c r="C590" s="621" t="str">
        <f>Abs!B521</f>
        <v>e.Circular column</v>
      </c>
      <c r="D590" s="617">
        <f>Abs!C521</f>
        <v>1994.96</v>
      </c>
      <c r="E590" s="618" t="str">
        <f>Abs!D521</f>
        <v>Sqm</v>
      </c>
      <c r="F590" s="617">
        <f t="shared" si="9"/>
        <v>0</v>
      </c>
    </row>
    <row r="591" spans="1:6" s="496" customFormat="1" ht="30" customHeight="1">
      <c r="A591" s="614">
        <f>Abs!A522</f>
        <v>0</v>
      </c>
      <c r="B591" s="620" t="e">
        <f>Abs!Y522</f>
        <v>#REF!</v>
      </c>
      <c r="C591" s="621" t="str">
        <f>Abs!B522</f>
        <v>f.Curved surface</v>
      </c>
      <c r="D591" s="617">
        <f>Abs!C522</f>
        <v>1246.8499999999999</v>
      </c>
      <c r="E591" s="618" t="str">
        <f>Abs!D522</f>
        <v>Sqm</v>
      </c>
      <c r="F591" s="617" t="e">
        <f t="shared" si="9"/>
        <v>#REF!</v>
      </c>
    </row>
    <row r="592" spans="1:6" s="496" customFormat="1" ht="36" customHeight="1">
      <c r="A592" s="614">
        <f>Abs!A523</f>
        <v>0</v>
      </c>
      <c r="B592" s="620" t="e">
        <f>Abs!Y523</f>
        <v>#REF!</v>
      </c>
      <c r="C592" s="621" t="str">
        <f>Abs!B523</f>
        <v>g.Double centering portico area</v>
      </c>
      <c r="D592" s="617">
        <f>Abs!C523</f>
        <v>1662.46</v>
      </c>
      <c r="E592" s="618" t="str">
        <f>Abs!D523</f>
        <v>Sqm</v>
      </c>
      <c r="F592" s="617" t="e">
        <f t="shared" si="9"/>
        <v>#REF!</v>
      </c>
    </row>
    <row r="593" spans="1:6" s="496" customFormat="1" ht="70.5" customHeight="1">
      <c r="A593" s="614">
        <f>Abs!A524</f>
        <v>21.6</v>
      </c>
      <c r="B593" s="615" t="e">
        <f>Abs!Y524</f>
        <v>#REF!</v>
      </c>
      <c r="C593" s="616" t="str">
        <f>Abs!B524</f>
        <v>R.C.C.Door frames of size 100 x 75mm with one edge grooves size 't' x 20 mm using M20 grade ( with out vibrating charges)</v>
      </c>
      <c r="D593" s="617">
        <f>Abs!C524</f>
        <v>0</v>
      </c>
      <c r="E593" s="618">
        <f>Abs!D524</f>
        <v>0</v>
      </c>
      <c r="F593" s="617"/>
    </row>
    <row r="594" spans="1:6" s="496" customFormat="1" ht="33" customHeight="1">
      <c r="A594" s="614">
        <f>Abs!A525</f>
        <v>0</v>
      </c>
      <c r="B594" s="620" t="e">
        <f>Abs!Y525</f>
        <v>#REF!</v>
      </c>
      <c r="C594" s="621" t="str">
        <f>Abs!B525</f>
        <v>a. 900 x 2100 mm</v>
      </c>
      <c r="D594" s="617">
        <f>Abs!C525</f>
        <v>2447.34</v>
      </c>
      <c r="E594" s="618" t="str">
        <f>Abs!D525</f>
        <v>Each</v>
      </c>
      <c r="F594" s="617" t="e">
        <f t="shared" si="9"/>
        <v>#REF!</v>
      </c>
    </row>
    <row r="595" spans="1:6" s="496" customFormat="1" ht="17.25" hidden="1">
      <c r="A595" s="614">
        <f>Abs!A526</f>
        <v>0</v>
      </c>
      <c r="B595" s="620">
        <f>Abs!Y526</f>
        <v>0</v>
      </c>
      <c r="C595" s="621" t="str">
        <f>Abs!B526</f>
        <v>c. 1200 x 2100 mm</v>
      </c>
      <c r="D595" s="617">
        <f>Abs!C526</f>
        <v>2942.93</v>
      </c>
      <c r="E595" s="618" t="str">
        <f>Abs!D526</f>
        <v>Each</v>
      </c>
      <c r="F595" s="617">
        <f t="shared" si="9"/>
        <v>0</v>
      </c>
    </row>
    <row r="596" spans="1:6" s="496" customFormat="1" ht="33.75" customHeight="1">
      <c r="A596" s="614">
        <f>Abs!A527</f>
        <v>0</v>
      </c>
      <c r="B596" s="620" t="e">
        <f>Abs!Y527</f>
        <v>#REF!</v>
      </c>
      <c r="C596" s="621" t="str">
        <f>Abs!B527</f>
        <v>c. 1000 x 2100 mm</v>
      </c>
      <c r="D596" s="617">
        <f>Abs!C527</f>
        <v>2467.38</v>
      </c>
      <c r="E596" s="618" t="str">
        <f>Abs!D527</f>
        <v>Each</v>
      </c>
      <c r="F596" s="617" t="e">
        <f t="shared" si="9"/>
        <v>#REF!</v>
      </c>
    </row>
    <row r="597" spans="1:6" s="496" customFormat="1" ht="17.25" hidden="1">
      <c r="A597" s="614">
        <f>Abs!A528</f>
        <v>0</v>
      </c>
      <c r="B597" s="620">
        <f>Abs!Y528</f>
        <v>0</v>
      </c>
      <c r="C597" s="621" t="str">
        <f>Abs!B528</f>
        <v>d. 750 x 2100 mm</v>
      </c>
      <c r="D597" s="617">
        <f>Abs!C528</f>
        <v>2413.44</v>
      </c>
      <c r="E597" s="618" t="str">
        <f>Abs!D528</f>
        <v>Each</v>
      </c>
      <c r="F597" s="617">
        <f t="shared" si="9"/>
        <v>0</v>
      </c>
    </row>
    <row r="598" spans="1:6" s="496" customFormat="1" ht="30" hidden="1">
      <c r="A598" s="614">
        <f>Abs!A529</f>
        <v>0</v>
      </c>
      <c r="B598" s="620">
        <f>Abs!Y529</f>
        <v>0</v>
      </c>
      <c r="C598" s="621" t="str">
        <f>Abs!B529</f>
        <v>Teak wood "Window" &amp;  Ventilator Shutter with 4mm thick pin headed glasses</v>
      </c>
      <c r="D598" s="617">
        <f>Abs!C529</f>
        <v>0</v>
      </c>
      <c r="E598" s="618">
        <f>Abs!D529</f>
        <v>0</v>
      </c>
      <c r="F598" s="617">
        <f t="shared" si="9"/>
        <v>0</v>
      </c>
    </row>
    <row r="599" spans="1:6" s="496" customFormat="1" ht="17.25" hidden="1">
      <c r="A599" s="614">
        <f>Abs!A530</f>
        <v>0</v>
      </c>
      <c r="B599" s="620">
        <f>Abs!Y530</f>
        <v>0</v>
      </c>
      <c r="C599" s="621" t="str">
        <f>Abs!B530</f>
        <v>a. Window: 135 cm ht.</v>
      </c>
      <c r="D599" s="617">
        <f>Abs!C530</f>
        <v>3364.08</v>
      </c>
      <c r="E599" s="618" t="str">
        <f>Abs!D530</f>
        <v>Sqm.</v>
      </c>
      <c r="F599" s="617">
        <f t="shared" si="9"/>
        <v>0</v>
      </c>
    </row>
    <row r="600" spans="1:6" ht="15.75" hidden="1">
      <c r="A600" s="614">
        <f>Abs!A531</f>
        <v>0</v>
      </c>
      <c r="B600" s="620">
        <f>Abs!Y531</f>
        <v>0</v>
      </c>
      <c r="C600" s="621" t="str">
        <f>Abs!B531</f>
        <v>b. Window: 120 cm ht.</v>
      </c>
      <c r="D600" s="617">
        <f>Abs!C531</f>
        <v>0</v>
      </c>
      <c r="E600" s="618" t="str">
        <f>Abs!D531</f>
        <v>Sqm.</v>
      </c>
      <c r="F600" s="617">
        <f t="shared" si="9"/>
        <v>0</v>
      </c>
    </row>
    <row r="601" spans="1:6" ht="27" hidden="1" customHeight="1">
      <c r="A601" s="614">
        <f>Abs!A532</f>
        <v>0</v>
      </c>
      <c r="B601" s="620">
        <f>Abs!Y532</f>
        <v>0</v>
      </c>
      <c r="C601" s="621" t="str">
        <f>Abs!B532</f>
        <v>c. Window: 105 cm ht.</v>
      </c>
      <c r="D601" s="617">
        <f>Abs!C532</f>
        <v>3552.27</v>
      </c>
      <c r="E601" s="618" t="str">
        <f>Abs!D532</f>
        <v>Sqm.</v>
      </c>
      <c r="F601" s="617">
        <f t="shared" si="9"/>
        <v>0</v>
      </c>
    </row>
    <row r="602" spans="1:6" s="496" customFormat="1" ht="57.6" hidden="1" customHeight="1">
      <c r="A602" s="614">
        <f>Abs!A533</f>
        <v>0</v>
      </c>
      <c r="B602" s="620">
        <f>Abs!Y533</f>
        <v>0</v>
      </c>
      <c r="C602" s="621" t="str">
        <f>Abs!B533</f>
        <v>d. Ventilator: (90 x 60 cm)</v>
      </c>
      <c r="D602" s="617">
        <f>Abs!C533</f>
        <v>2642.35</v>
      </c>
      <c r="E602" s="618" t="str">
        <f>Abs!D533</f>
        <v>Sqm.</v>
      </c>
      <c r="F602" s="617">
        <f t="shared" si="9"/>
        <v>0</v>
      </c>
    </row>
    <row r="603" spans="1:6" s="496" customFormat="1" ht="23.25" hidden="1" customHeight="1">
      <c r="A603" s="614">
        <f>Abs!A534</f>
        <v>0</v>
      </c>
      <c r="B603" s="620">
        <f>Abs!Y534</f>
        <v>0</v>
      </c>
      <c r="C603" s="621" t="str">
        <f>Abs!B534</f>
        <v>d. Ventilator: (75 x 75 cm)</v>
      </c>
      <c r="D603" s="617">
        <f>Abs!C534</f>
        <v>2203.2800000000002</v>
      </c>
      <c r="E603" s="618" t="str">
        <f>Abs!D534</f>
        <v>Sqm.</v>
      </c>
      <c r="F603" s="617">
        <f t="shared" si="9"/>
        <v>0</v>
      </c>
    </row>
    <row r="604" spans="1:6" s="496" customFormat="1" ht="27" hidden="1" customHeight="1">
      <c r="A604" s="614" t="str">
        <f>Abs!A535</f>
        <v>22.3.2</v>
      </c>
      <c r="B604" s="620">
        <f>Abs!Y535</f>
        <v>0</v>
      </c>
      <c r="C604" s="621" t="str">
        <f>Abs!B535</f>
        <v xml:space="preserve"> MDF board (18mm thick) double leaf shutters with TW frame for cup board/ ward robes.</v>
      </c>
      <c r="D604" s="617">
        <f>Abs!C535</f>
        <v>2124.06</v>
      </c>
      <c r="E604" s="618" t="str">
        <f>Abs!D535</f>
        <v>Sqm</v>
      </c>
      <c r="F604" s="617">
        <f t="shared" si="9"/>
        <v>0</v>
      </c>
    </row>
    <row r="605" spans="1:6" s="496" customFormat="1" ht="61.5" customHeight="1">
      <c r="A605" s="614">
        <f>Abs!A536</f>
        <v>0</v>
      </c>
      <c r="B605" s="620" t="e">
        <f>Abs!Y536</f>
        <v>#REF!</v>
      </c>
      <c r="C605" s="621" t="str">
        <f>Abs!B536</f>
        <v>Providing T.W double leaf shutter with 18mm thick BWR Plywood for Cupboard / ward robes shutters (Rest room) 4000x2100mm</v>
      </c>
      <c r="D605" s="617">
        <f>Abs!C536</f>
        <v>6981.88</v>
      </c>
      <c r="E605" s="618" t="str">
        <f>Abs!D536</f>
        <v>Sqm</v>
      </c>
      <c r="F605" s="617" t="e">
        <f t="shared" si="9"/>
        <v>#REF!</v>
      </c>
    </row>
    <row r="606" spans="1:6" s="496" customFormat="1" ht="63" customHeight="1">
      <c r="A606" s="614">
        <f>Abs!A537</f>
        <v>0</v>
      </c>
      <c r="B606" s="620" t="e">
        <f>Abs!Y537</f>
        <v>#REF!</v>
      </c>
      <c r="C606" s="621" t="str">
        <f>Abs!B537</f>
        <v>T.W. frame &amp; TW styles &amp; rails with BWR double leaf shutters for cup board/ ward robes including two coat enamel paint &amp; one coat primer.</v>
      </c>
      <c r="D606" s="617">
        <f>Abs!C537</f>
        <v>4024.1</v>
      </c>
      <c r="E606" s="618" t="str">
        <f>Abs!D537</f>
        <v>Sqm</v>
      </c>
      <c r="F606" s="617" t="e">
        <f t="shared" si="9"/>
        <v>#REF!</v>
      </c>
    </row>
    <row r="607" spans="1:6" s="496" customFormat="1" ht="49.5" hidden="1" customHeight="1">
      <c r="A607" s="614">
        <f>Abs!A538</f>
        <v>22.8</v>
      </c>
      <c r="B607" s="620">
        <f>Abs!Y538</f>
        <v>0</v>
      </c>
      <c r="C607" s="621" t="str">
        <f>Abs!B538</f>
        <v>MDF board door shutters (35mm thick) exterior grade both side laminated with external lipping.</v>
      </c>
      <c r="D607" s="617">
        <f>Abs!C538</f>
        <v>0</v>
      </c>
      <c r="E607" s="618">
        <f>Abs!D538</f>
        <v>0</v>
      </c>
      <c r="F607" s="617">
        <f t="shared" si="9"/>
        <v>0</v>
      </c>
    </row>
    <row r="608" spans="1:6" s="496" customFormat="1" ht="22.5" hidden="1" customHeight="1">
      <c r="A608" s="614">
        <f>Abs!A539</f>
        <v>0</v>
      </c>
      <c r="B608" s="620">
        <f>Abs!Y539</f>
        <v>0</v>
      </c>
      <c r="C608" s="621" t="str">
        <f>Abs!B539</f>
        <v>a. 1000X2100mm.</v>
      </c>
      <c r="D608" s="617">
        <f>Abs!C539</f>
        <v>2736.83</v>
      </c>
      <c r="E608" s="618" t="str">
        <f>Abs!D539</f>
        <v>Sqm</v>
      </c>
      <c r="F608" s="617">
        <f t="shared" si="9"/>
        <v>0</v>
      </c>
    </row>
    <row r="609" spans="1:6" s="496" customFormat="1" ht="33" hidden="1" customHeight="1">
      <c r="A609" s="614">
        <f>Abs!A540</f>
        <v>0</v>
      </c>
      <c r="B609" s="620">
        <f>Abs!Y540</f>
        <v>0</v>
      </c>
      <c r="C609" s="621" t="str">
        <f>Abs!B540</f>
        <v>b. 900X2100mm.</v>
      </c>
      <c r="D609" s="617">
        <f>Abs!C540</f>
        <v>2779.39</v>
      </c>
      <c r="E609" s="618" t="str">
        <f>Abs!D540</f>
        <v>Sqm</v>
      </c>
      <c r="F609" s="617">
        <f t="shared" si="9"/>
        <v>0</v>
      </c>
    </row>
    <row r="610" spans="1:6" s="496" customFormat="1" ht="37.9" hidden="1" customHeight="1">
      <c r="A610" s="614">
        <f>Abs!A541</f>
        <v>0</v>
      </c>
      <c r="B610" s="620">
        <f>Abs!Y541</f>
        <v>0</v>
      </c>
      <c r="C610" s="621" t="str">
        <f>Abs!B541</f>
        <v>c.1200X2100mm.</v>
      </c>
      <c r="D610" s="617">
        <f>Abs!C541</f>
        <v>0</v>
      </c>
      <c r="E610" s="618" t="str">
        <f>Abs!D541</f>
        <v>Sqm</v>
      </c>
      <c r="F610" s="617">
        <f t="shared" si="9"/>
        <v>0</v>
      </c>
    </row>
    <row r="611" spans="1:6" s="496" customFormat="1" ht="36.75" customHeight="1">
      <c r="A611" s="614">
        <f>Abs!A542</f>
        <v>0</v>
      </c>
      <c r="B611" s="615" t="e">
        <f>Abs!Y542</f>
        <v>#REF!</v>
      </c>
      <c r="C611" s="616" t="str">
        <f>Abs!B542</f>
        <v>TW panelled  single door shutter with brass fittings.</v>
      </c>
      <c r="D611" s="617">
        <f>Abs!C542</f>
        <v>0</v>
      </c>
      <c r="E611" s="618">
        <f>Abs!D542</f>
        <v>0</v>
      </c>
      <c r="F611" s="617"/>
    </row>
    <row r="612" spans="1:6" s="496" customFormat="1" ht="29.25" customHeight="1">
      <c r="A612" s="614">
        <f>Abs!A543</f>
        <v>0</v>
      </c>
      <c r="B612" s="620" t="e">
        <f>Abs!Y543</f>
        <v>#REF!</v>
      </c>
      <c r="C612" s="621" t="str">
        <f>Abs!B543</f>
        <v>a. 1000X2100mm.(Single leaf) For Qtrs</v>
      </c>
      <c r="D612" s="617">
        <f>Abs!C543</f>
        <v>5724.71</v>
      </c>
      <c r="E612" s="618" t="str">
        <f>Abs!D543</f>
        <v>Sqm</v>
      </c>
      <c r="F612" s="617" t="e">
        <f t="shared" si="9"/>
        <v>#REF!</v>
      </c>
    </row>
    <row r="613" spans="1:6" s="496" customFormat="1" ht="65.25" hidden="1" customHeight="1">
      <c r="A613" s="614">
        <f>Abs!A544</f>
        <v>0</v>
      </c>
      <c r="B613" s="620" t="e">
        <f>Abs!Y544</f>
        <v>#REF!</v>
      </c>
      <c r="C613" s="621" t="str">
        <f>Abs!B544</f>
        <v>b.1200x2400mm</v>
      </c>
      <c r="D613" s="617">
        <f>Abs!C544</f>
        <v>0</v>
      </c>
      <c r="E613" s="618">
        <f>Abs!D544</f>
        <v>0</v>
      </c>
      <c r="F613" s="617" t="e">
        <f t="shared" si="9"/>
        <v>#REF!</v>
      </c>
    </row>
    <row r="614" spans="1:6" s="496" customFormat="1" ht="41.25" hidden="1" customHeight="1">
      <c r="A614" s="614">
        <f>Abs!A545</f>
        <v>0</v>
      </c>
      <c r="B614" s="620" t="e">
        <f>Abs!Y545</f>
        <v>#REF!</v>
      </c>
      <c r="C614" s="621" t="str">
        <f>Abs!B545</f>
        <v xml:space="preserve">a. 1200X2100mm.(Single leaf)  Four horizontal Panel
</v>
      </c>
      <c r="D614" s="617">
        <f>Abs!C545</f>
        <v>5476.01</v>
      </c>
      <c r="E614" s="618" t="str">
        <f>Abs!D545</f>
        <v>Sqm</v>
      </c>
      <c r="F614" s="617" t="e">
        <f t="shared" si="9"/>
        <v>#REF!</v>
      </c>
    </row>
    <row r="615" spans="1:6" s="496" customFormat="1" ht="33.75" hidden="1" customHeight="1">
      <c r="A615" s="614">
        <f>Abs!A546</f>
        <v>0</v>
      </c>
      <c r="B615" s="620" t="e">
        <f>Abs!Y546</f>
        <v>#REF!</v>
      </c>
      <c r="C615" s="621" t="str">
        <f>Abs!B546</f>
        <v xml:space="preserve">a. 1200X2100mm.(Single leaf)  </v>
      </c>
      <c r="D615" s="617">
        <f>Abs!C546</f>
        <v>5284.73</v>
      </c>
      <c r="E615" s="618" t="str">
        <f>Abs!D546</f>
        <v>Sqm</v>
      </c>
      <c r="F615" s="617" t="e">
        <f t="shared" si="9"/>
        <v>#REF!</v>
      </c>
    </row>
    <row r="616" spans="1:6" s="496" customFormat="1" ht="44.45" hidden="1" customHeight="1">
      <c r="A616" s="614">
        <f>Abs!A547</f>
        <v>0</v>
      </c>
      <c r="B616" s="620" t="e">
        <f>Abs!Y547</f>
        <v>#REF!</v>
      </c>
      <c r="C616" s="621" t="str">
        <f>Abs!B547</f>
        <v>b. 1000X2100mm  without Brass fittings ( Single leaf)</v>
      </c>
      <c r="D616" s="617">
        <f>Abs!C547</f>
        <v>4790.3500000000004</v>
      </c>
      <c r="E616" s="618" t="str">
        <f>Abs!D547</f>
        <v>Sqm</v>
      </c>
      <c r="F616" s="617" t="e">
        <f t="shared" si="9"/>
        <v>#REF!</v>
      </c>
    </row>
    <row r="617" spans="1:6" s="496" customFormat="1" ht="35.25" hidden="1" customHeight="1">
      <c r="A617" s="614">
        <f>Abs!A548</f>
        <v>0</v>
      </c>
      <c r="B617" s="620" t="e">
        <f>Abs!Y548</f>
        <v>#REF!</v>
      </c>
      <c r="C617" s="621" t="str">
        <f>Abs!B548</f>
        <v>TW double leaves shutter  with Brass Fittings</v>
      </c>
      <c r="D617" s="617">
        <f>Abs!C548</f>
        <v>0</v>
      </c>
      <c r="E617" s="618">
        <f>Abs!D548</f>
        <v>0</v>
      </c>
      <c r="F617" s="617" t="e">
        <f t="shared" si="9"/>
        <v>#REF!</v>
      </c>
    </row>
    <row r="618" spans="1:6" s="496" customFormat="1" ht="31.15" hidden="1" customHeight="1">
      <c r="A618" s="614">
        <f>Abs!A549</f>
        <v>0</v>
      </c>
      <c r="B618" s="620" t="e">
        <f>Abs!Y549</f>
        <v>#REF!</v>
      </c>
      <c r="C618" s="621" t="str">
        <f>Abs!B549</f>
        <v>TW double leaves shutter of size  2000X2400mm.(Double leaves) with Brass fittings</v>
      </c>
      <c r="D618" s="617">
        <f>Abs!C549</f>
        <v>5051.6899999999996</v>
      </c>
      <c r="E618" s="618" t="str">
        <f>Abs!D549</f>
        <v>Sqm</v>
      </c>
      <c r="F618" s="617" t="e">
        <f t="shared" si="9"/>
        <v>#REF!</v>
      </c>
    </row>
    <row r="619" spans="1:6" s="496" customFormat="1" ht="56.25" hidden="1" customHeight="1">
      <c r="A619" s="614">
        <f>Abs!A550</f>
        <v>0</v>
      </c>
      <c r="B619" s="620" t="e">
        <f>Abs!Y550</f>
        <v>#REF!</v>
      </c>
      <c r="C619" s="621" t="str">
        <f>Abs!B550</f>
        <v>TW panelled door double leaves shutter with brass fittings of size . 2000X2100mm. Thiruvarur AR  Garage</v>
      </c>
      <c r="D619" s="617">
        <f>Abs!C550</f>
        <v>5298.17</v>
      </c>
      <c r="E619" s="618" t="str">
        <f>Abs!D550</f>
        <v>Sqm</v>
      </c>
      <c r="F619" s="617" t="e">
        <f t="shared" si="9"/>
        <v>#REF!</v>
      </c>
    </row>
    <row r="620" spans="1:6" s="496" customFormat="1" ht="31.15" hidden="1" customHeight="1">
      <c r="A620" s="614">
        <f>Abs!A551</f>
        <v>0</v>
      </c>
      <c r="B620" s="620" t="e">
        <f>Abs!Y551</f>
        <v>#REF!</v>
      </c>
      <c r="C620" s="621" t="str">
        <f>Abs!B551</f>
        <v>TW double leaves shutter of size  with brass fittings a.1800 x 2100mm For PS</v>
      </c>
      <c r="D620" s="617">
        <f>Abs!C551</f>
        <v>5533.07</v>
      </c>
      <c r="E620" s="618" t="str">
        <f>Abs!D551</f>
        <v>Sqm</v>
      </c>
      <c r="F620" s="617" t="e">
        <f t="shared" si="9"/>
        <v>#REF!</v>
      </c>
    </row>
    <row r="621" spans="1:6" s="496" customFormat="1" ht="23.25" hidden="1" customHeight="1">
      <c r="A621" s="614">
        <f>Abs!A555</f>
        <v>0</v>
      </c>
      <c r="B621" s="620" t="e">
        <f>Abs!Y555</f>
        <v>#REF!</v>
      </c>
      <c r="C621" s="621" t="str">
        <f>Abs!B555</f>
        <v>a. 1500X2400mm.(Double leaves) with Brass  Screws only ( DPO Ariyalur)</v>
      </c>
      <c r="D621" s="617">
        <f>Abs!C555</f>
        <v>6182.41</v>
      </c>
      <c r="E621" s="618" t="str">
        <f>Abs!D555</f>
        <v>Sqm</v>
      </c>
      <c r="F621" s="617" t="e">
        <f t="shared" si="9"/>
        <v>#REF!</v>
      </c>
    </row>
    <row r="622" spans="1:6" s="496" customFormat="1" ht="29.25" hidden="1" customHeight="1">
      <c r="A622" s="614">
        <f>Abs!A556</f>
        <v>0</v>
      </c>
      <c r="B622" s="620" t="e">
        <f>Abs!Y556</f>
        <v>#REF!</v>
      </c>
      <c r="C622" s="621" t="str">
        <f>Abs!B556</f>
        <v>a. 1500X2100mm.(Double leaves) with Brass fittings</v>
      </c>
      <c r="D622" s="617">
        <f>Abs!C556</f>
        <v>5846.33</v>
      </c>
      <c r="E622" s="618" t="str">
        <f>Abs!D556</f>
        <v>Sqm</v>
      </c>
      <c r="F622" s="617" t="e">
        <f t="shared" si="9"/>
        <v>#REF!</v>
      </c>
    </row>
    <row r="623" spans="1:6" s="496" customFormat="1" ht="51" hidden="1" customHeight="1">
      <c r="A623" s="614">
        <f>Abs!A557</f>
        <v>0</v>
      </c>
      <c r="B623" s="620" t="e">
        <f>Abs!Y557</f>
        <v>#REF!</v>
      </c>
      <c r="C623" s="621" t="str">
        <f>Abs!B557</f>
        <v>TW panelled door double leaves shutter with brass fittings of size . 1200X2100mm.( Crime &amp; Traffic)</v>
      </c>
      <c r="D623" s="617">
        <f>Abs!C557</f>
        <v>6199.77</v>
      </c>
      <c r="E623" s="618" t="str">
        <f>Abs!D557</f>
        <v>Sqm</v>
      </c>
      <c r="F623" s="617" t="e">
        <f t="shared" si="9"/>
        <v>#REF!</v>
      </c>
    </row>
    <row r="624" spans="1:6" s="496" customFormat="1" ht="56.25" hidden="1" customHeight="1">
      <c r="A624" s="614">
        <f>Abs!A558</f>
        <v>0</v>
      </c>
      <c r="B624" s="620" t="e">
        <f>Abs!Y558</f>
        <v>#REF!</v>
      </c>
      <c r="C624" s="621" t="str">
        <f>Abs!B558</f>
        <v>TW paneled door shutter  size  2400 x 2400mm  with french window  (two end fixed 5.5mm thick glass and doble leaf shutter , Trichy Community hall )</v>
      </c>
      <c r="D624" s="617">
        <f>Abs!C558</f>
        <v>27750</v>
      </c>
      <c r="E624" s="618" t="str">
        <f>Abs!D558</f>
        <v>Each</v>
      </c>
      <c r="F624" s="617" t="e">
        <f t="shared" si="9"/>
        <v>#REF!</v>
      </c>
    </row>
    <row r="625" spans="1:6" ht="23.25" hidden="1" customHeight="1">
      <c r="A625" s="614">
        <f>Abs!A559</f>
        <v>0</v>
      </c>
      <c r="B625" s="620" t="e">
        <f>Abs!Y559</f>
        <v>#REF!</v>
      </c>
      <c r="C625" s="621" t="str">
        <f>Abs!B559</f>
        <v xml:space="preserve">TW styles &amp; rails with 9mm thick BWR single and Double  leaf shutters  with brass screws </v>
      </c>
      <c r="D625" s="617">
        <f>Abs!C559</f>
        <v>0</v>
      </c>
      <c r="E625" s="618">
        <f>Abs!D559</f>
        <v>0</v>
      </c>
      <c r="F625" s="617" t="e">
        <f t="shared" si="9"/>
        <v>#REF!</v>
      </c>
    </row>
    <row r="626" spans="1:6" s="496" customFormat="1" ht="32.25" hidden="1" customHeight="1">
      <c r="A626" s="614">
        <f>Abs!A560</f>
        <v>0</v>
      </c>
      <c r="B626" s="620" t="e">
        <f>Abs!Y560</f>
        <v>#REF!</v>
      </c>
      <c r="C626" s="621" t="str">
        <f>Abs!B560</f>
        <v>TW styles &amp; rails with 9mm thick BWR single leaf shutters  with brass screws size of 1200 x 2100 mm</v>
      </c>
      <c r="D626" s="617">
        <f>Abs!C560</f>
        <v>3117.04</v>
      </c>
      <c r="E626" s="618" t="str">
        <f>Abs!D560</f>
        <v>Sqm</v>
      </c>
      <c r="F626" s="617" t="e">
        <f t="shared" si="9"/>
        <v>#REF!</v>
      </c>
    </row>
    <row r="627" spans="1:6" ht="39.75" hidden="1" customHeight="1">
      <c r="A627" s="614">
        <f>Abs!A561</f>
        <v>0</v>
      </c>
      <c r="B627" s="620" t="e">
        <f>Abs!Y561</f>
        <v>#REF!</v>
      </c>
      <c r="C627" s="621" t="str">
        <f>Abs!B561</f>
        <v>TW styles &amp; rails with 9mm thick BWR single leaf shutters  with brass screws size of 1000 x 2100 mm</v>
      </c>
      <c r="D627" s="617">
        <f>Abs!C561</f>
        <v>3309.65</v>
      </c>
      <c r="E627" s="618" t="str">
        <f>Abs!D561</f>
        <v>Sqm</v>
      </c>
      <c r="F627" s="617" t="e">
        <f t="shared" si="9"/>
        <v>#REF!</v>
      </c>
    </row>
    <row r="628" spans="1:6" s="496" customFormat="1" ht="51.75" customHeight="1">
      <c r="A628" s="614">
        <f>Abs!A562</f>
        <v>0</v>
      </c>
      <c r="B628" s="620" t="e">
        <f>Abs!Y562</f>
        <v>#REF!</v>
      </c>
      <c r="C628" s="621" t="str">
        <f>Abs!B562</f>
        <v>TW styles &amp; rails with 9mm thick BWR single leaf shutters  with brass screws size of 900 x 2100 mm</v>
      </c>
      <c r="D628" s="617">
        <f>Abs!C562</f>
        <v>3424.55</v>
      </c>
      <c r="E628" s="618" t="str">
        <f>Abs!D562</f>
        <v>Sqm</v>
      </c>
      <c r="F628" s="617" t="e">
        <f t="shared" si="9"/>
        <v>#REF!</v>
      </c>
    </row>
    <row r="629" spans="1:6" s="496" customFormat="1" ht="60.6" hidden="1" customHeight="1">
      <c r="A629" s="614">
        <f>Abs!A563</f>
        <v>0</v>
      </c>
      <c r="B629" s="620">
        <f>Abs!Y563</f>
        <v>0</v>
      </c>
      <c r="C629" s="621" t="str">
        <f>Abs!B563</f>
        <v>TW styles &amp; rails with 9mm thick BWR single leaf shutters  with brass screws size of 750 x 2100 mm</v>
      </c>
      <c r="D629" s="617">
        <f>Abs!C563</f>
        <v>3850.37</v>
      </c>
      <c r="E629" s="618" t="str">
        <f>Abs!D563</f>
        <v>Sqm</v>
      </c>
      <c r="F629" s="617">
        <f t="shared" si="9"/>
        <v>0</v>
      </c>
    </row>
    <row r="630" spans="1:6" ht="66.75" hidden="1" customHeight="1">
      <c r="A630" s="614">
        <f>Abs!A564</f>
        <v>0</v>
      </c>
      <c r="B630" s="620">
        <f>Abs!Y564</f>
        <v>0</v>
      </c>
      <c r="C630" s="621" t="str">
        <f>Abs!B564</f>
        <v>TW styles &amp; rails with 9mm thick BWR Double leaves shutters  with brass screws size of 1500 x  2100 mm</v>
      </c>
      <c r="D630" s="617">
        <f>Abs!C564</f>
        <v>0</v>
      </c>
      <c r="E630" s="618" t="str">
        <f>Abs!D564</f>
        <v>Sqm</v>
      </c>
      <c r="F630" s="617">
        <f t="shared" si="9"/>
        <v>0</v>
      </c>
    </row>
    <row r="631" spans="1:6" s="496" customFormat="1" ht="39.75" customHeight="1">
      <c r="A631" s="614" t="str">
        <f>Abs!A565</f>
        <v>21.5.2</v>
      </c>
      <c r="B631" s="620" t="e">
        <f>Abs!Y565</f>
        <v>#REF!</v>
      </c>
      <c r="C631" s="621" t="str">
        <f>Abs!B565</f>
        <v>Supply and Fixing Soild UPVC door Shutter with frame</v>
      </c>
      <c r="D631" s="617">
        <f>Abs!C565</f>
        <v>3167</v>
      </c>
      <c r="E631" s="618" t="str">
        <f>Abs!D565</f>
        <v>Sqm</v>
      </c>
      <c r="F631" s="617" t="e">
        <f t="shared" si="9"/>
        <v>#REF!</v>
      </c>
    </row>
    <row r="632" spans="1:6" ht="21" hidden="1" customHeight="1">
      <c r="A632" s="614" t="str">
        <f>Abs!A566</f>
        <v>23.2.1</v>
      </c>
      <c r="B632" s="620">
        <f>Abs!Y566</f>
        <v>0</v>
      </c>
      <c r="C632" s="621" t="str">
        <f>Abs!B566</f>
        <v>4mm thick pin headed Glass panels with Aluminium beedings</v>
      </c>
      <c r="D632" s="617">
        <f>Abs!C566</f>
        <v>708.1</v>
      </c>
      <c r="E632" s="618" t="str">
        <f>Abs!D566</f>
        <v>Sqm</v>
      </c>
      <c r="F632" s="617">
        <f t="shared" si="9"/>
        <v>0</v>
      </c>
    </row>
    <row r="633" spans="1:6" s="496" customFormat="1" ht="21" hidden="1" customHeight="1">
      <c r="A633" s="614">
        <f>Abs!A567</f>
        <v>0</v>
      </c>
      <c r="B633" s="620">
        <f>Abs!Y567</f>
        <v>0</v>
      </c>
      <c r="C633" s="621" t="str">
        <f>Abs!B567</f>
        <v>Cuddappa slab 20 mm tk.for kitchen hearth slab.</v>
      </c>
      <c r="D633" s="617">
        <f>Abs!C567</f>
        <v>0</v>
      </c>
      <c r="E633" s="618">
        <f>Abs!D567</f>
        <v>0</v>
      </c>
      <c r="F633" s="617">
        <f t="shared" si="9"/>
        <v>0</v>
      </c>
    </row>
    <row r="634" spans="1:6" ht="21" hidden="1" customHeight="1">
      <c r="A634" s="614">
        <f>Abs!A568</f>
        <v>0</v>
      </c>
      <c r="B634" s="620">
        <f>Abs!Y568</f>
        <v>0</v>
      </c>
      <c r="C634" s="621" t="str">
        <f>Abs!B568</f>
        <v>a. In Ground floor</v>
      </c>
      <c r="D634" s="617">
        <f>Abs!C568</f>
        <v>571.16999999999996</v>
      </c>
      <c r="E634" s="618" t="str">
        <f>Abs!D568</f>
        <v>Sqm.</v>
      </c>
      <c r="F634" s="617">
        <f t="shared" si="9"/>
        <v>0</v>
      </c>
    </row>
    <row r="635" spans="1:6" ht="36" hidden="1" customHeight="1">
      <c r="A635" s="614">
        <f>Abs!A569</f>
        <v>0</v>
      </c>
      <c r="B635" s="620">
        <f>Abs!Y569</f>
        <v>0</v>
      </c>
      <c r="C635" s="621" t="str">
        <f>Abs!B569</f>
        <v>b. In First floor</v>
      </c>
      <c r="D635" s="617">
        <f>Abs!C569</f>
        <v>575.44000000000005</v>
      </c>
      <c r="E635" s="618" t="str">
        <f>Abs!D569</f>
        <v>Sqm.</v>
      </c>
      <c r="F635" s="617">
        <f t="shared" si="9"/>
        <v>0</v>
      </c>
    </row>
    <row r="636" spans="1:6" ht="33.75" hidden="1" customHeight="1">
      <c r="A636" s="614">
        <f>Abs!A570</f>
        <v>0</v>
      </c>
      <c r="B636" s="620">
        <f>Abs!Y570</f>
        <v>0</v>
      </c>
      <c r="C636" s="621" t="str">
        <f>Abs!B570</f>
        <v>c. In Second floor</v>
      </c>
      <c r="D636" s="617">
        <f>Abs!C570</f>
        <v>579.71</v>
      </c>
      <c r="E636" s="618" t="str">
        <f>Abs!D570</f>
        <v>Sqm.</v>
      </c>
      <c r="F636" s="617">
        <f t="shared" si="9"/>
        <v>0</v>
      </c>
    </row>
    <row r="637" spans="1:6" s="496" customFormat="1" ht="33" hidden="1" customHeight="1">
      <c r="A637" s="614">
        <f>Abs!A571</f>
        <v>0</v>
      </c>
      <c r="B637" s="620">
        <f>Abs!Y571</f>
        <v>0</v>
      </c>
      <c r="C637" s="621" t="str">
        <f>Abs!B571</f>
        <v>d. In Third floor</v>
      </c>
      <c r="D637" s="617">
        <f>Abs!C571</f>
        <v>583.98</v>
      </c>
      <c r="E637" s="618" t="str">
        <f>Abs!D571</f>
        <v>Sqm.</v>
      </c>
      <c r="F637" s="617">
        <f t="shared" si="9"/>
        <v>0</v>
      </c>
    </row>
    <row r="638" spans="1:6" s="496" customFormat="1" ht="71.25" hidden="1" customHeight="1">
      <c r="A638" s="614">
        <f>Abs!A572</f>
        <v>0</v>
      </c>
      <c r="B638" s="620">
        <f>Abs!Y572</f>
        <v>0</v>
      </c>
      <c r="C638" s="621" t="str">
        <f>Abs!B572</f>
        <v>e.  In Fourth floor</v>
      </c>
      <c r="D638" s="617">
        <f>Abs!C572</f>
        <v>588.25</v>
      </c>
      <c r="E638" s="618" t="str">
        <f>Abs!D572</f>
        <v>Sqm.</v>
      </c>
      <c r="F638" s="617">
        <f t="shared" si="9"/>
        <v>0</v>
      </c>
    </row>
    <row r="639" spans="1:6" s="496" customFormat="1" ht="39" customHeight="1">
      <c r="A639" s="614">
        <f>Abs!A573</f>
        <v>0</v>
      </c>
      <c r="B639" s="615" t="e">
        <f>Abs!Y573</f>
        <v>#REF!</v>
      </c>
      <c r="C639" s="616" t="str">
        <f>Abs!B573</f>
        <v>Cuddappa slab 20 mm tk.for C/B  slab.</v>
      </c>
      <c r="D639" s="617">
        <f>Abs!C573</f>
        <v>0</v>
      </c>
      <c r="E639" s="618">
        <f>Abs!D573</f>
        <v>0</v>
      </c>
      <c r="F639" s="617"/>
    </row>
    <row r="640" spans="1:6" s="496" customFormat="1" ht="29.25" customHeight="1">
      <c r="A640" s="614">
        <f>Abs!A574</f>
        <v>0</v>
      </c>
      <c r="B640" s="620" t="e">
        <f>Abs!Y574</f>
        <v>#REF!</v>
      </c>
      <c r="C640" s="621" t="str">
        <f>Abs!B574</f>
        <v>a. Ground floor</v>
      </c>
      <c r="D640" s="617">
        <f>Abs!C574</f>
        <v>529.47</v>
      </c>
      <c r="E640" s="618" t="str">
        <f>Abs!D574</f>
        <v>Sqm.</v>
      </c>
      <c r="F640" s="617" t="e">
        <f t="shared" si="9"/>
        <v>#REF!</v>
      </c>
    </row>
    <row r="641" spans="1:6" ht="36" customHeight="1">
      <c r="A641" s="614">
        <f>Abs!A575</f>
        <v>0</v>
      </c>
      <c r="B641" s="620" t="e">
        <f>Abs!Y575</f>
        <v>#REF!</v>
      </c>
      <c r="C641" s="621" t="str">
        <f>Abs!B575</f>
        <v>b. In First floor</v>
      </c>
      <c r="D641" s="617">
        <f>Abs!C575</f>
        <v>533.74</v>
      </c>
      <c r="E641" s="618" t="str">
        <f>Abs!D575</f>
        <v>Sqm.</v>
      </c>
      <c r="F641" s="617" t="e">
        <f t="shared" si="9"/>
        <v>#REF!</v>
      </c>
    </row>
    <row r="642" spans="1:6" ht="29.25" customHeight="1">
      <c r="A642" s="614">
        <f>Abs!A576</f>
        <v>0</v>
      </c>
      <c r="B642" s="620" t="e">
        <f>Abs!Y576</f>
        <v>#REF!</v>
      </c>
      <c r="C642" s="621" t="str">
        <f>Abs!B576</f>
        <v>c. In Second floor</v>
      </c>
      <c r="D642" s="617">
        <f>Abs!C576</f>
        <v>538.01</v>
      </c>
      <c r="E642" s="618" t="str">
        <f>Abs!D576</f>
        <v>Sqm.</v>
      </c>
      <c r="F642" s="617" t="e">
        <f t="shared" si="9"/>
        <v>#REF!</v>
      </c>
    </row>
    <row r="643" spans="1:6" ht="24.75" hidden="1" customHeight="1">
      <c r="A643" s="614">
        <f>Abs!A577</f>
        <v>0</v>
      </c>
      <c r="B643" s="620">
        <f>Abs!Y577</f>
        <v>0</v>
      </c>
      <c r="C643" s="621" t="str">
        <f>Abs!B577</f>
        <v>d. In Third floor</v>
      </c>
      <c r="D643" s="617">
        <f>Abs!C577</f>
        <v>542.28</v>
      </c>
      <c r="E643" s="618" t="str">
        <f>Abs!D577</f>
        <v>Sqm.</v>
      </c>
      <c r="F643" s="617">
        <f t="shared" si="9"/>
        <v>0</v>
      </c>
    </row>
    <row r="644" spans="1:6" ht="41.25" hidden="1" customHeight="1">
      <c r="A644" s="614">
        <f>Abs!A578</f>
        <v>0</v>
      </c>
      <c r="B644" s="620">
        <f>Abs!Y578</f>
        <v>0</v>
      </c>
      <c r="C644" s="621" t="str">
        <f>Abs!B578</f>
        <v>e.  In Fourth floor</v>
      </c>
      <c r="D644" s="617">
        <f>Abs!C578</f>
        <v>546.54999999999995</v>
      </c>
      <c r="E644" s="618" t="str">
        <f>Abs!D578</f>
        <v>Sqm.</v>
      </c>
      <c r="F644" s="617">
        <f t="shared" si="9"/>
        <v>0</v>
      </c>
    </row>
    <row r="645" spans="1:6" s="496" customFormat="1" ht="38.25" customHeight="1">
      <c r="A645" s="614">
        <f>Abs!A579</f>
        <v>0</v>
      </c>
      <c r="B645" s="615" t="e">
        <f>Abs!Y579</f>
        <v>#REF!</v>
      </c>
      <c r="C645" s="616" t="str">
        <f>Abs!B579</f>
        <v>Cuddappa slab 40 mm tk.for C/B  slab.</v>
      </c>
      <c r="D645" s="617">
        <f>Abs!C579</f>
        <v>0</v>
      </c>
      <c r="E645" s="618">
        <f>Abs!D579</f>
        <v>0</v>
      </c>
      <c r="F645" s="617"/>
    </row>
    <row r="646" spans="1:6" ht="29.25" customHeight="1">
      <c r="A646" s="614">
        <f>Abs!A580</f>
        <v>0</v>
      </c>
      <c r="B646" s="620" t="e">
        <f>Abs!Y580</f>
        <v>#REF!</v>
      </c>
      <c r="C646" s="621" t="str">
        <f>Abs!B580</f>
        <v>a. In Ground floor</v>
      </c>
      <c r="D646" s="617">
        <f>Abs!C580</f>
        <v>562.64</v>
      </c>
      <c r="E646" s="618" t="str">
        <f>Abs!D580</f>
        <v>Sqm.</v>
      </c>
      <c r="F646" s="617" t="e">
        <f t="shared" si="9"/>
        <v>#REF!</v>
      </c>
    </row>
    <row r="647" spans="1:6" ht="28.5" customHeight="1">
      <c r="A647" s="614">
        <f>Abs!A581</f>
        <v>0</v>
      </c>
      <c r="B647" s="620" t="e">
        <f>Abs!Y581</f>
        <v>#REF!</v>
      </c>
      <c r="C647" s="621" t="str">
        <f>Abs!B581</f>
        <v>b. In First floor</v>
      </c>
      <c r="D647" s="617">
        <f>Abs!C581</f>
        <v>571.19000000000005</v>
      </c>
      <c r="E647" s="618" t="str">
        <f>Abs!D581</f>
        <v>Sqm.</v>
      </c>
      <c r="F647" s="617" t="e">
        <f t="shared" si="9"/>
        <v>#REF!</v>
      </c>
    </row>
    <row r="648" spans="1:6" ht="36" customHeight="1">
      <c r="A648" s="614">
        <f>Abs!A582</f>
        <v>0</v>
      </c>
      <c r="B648" s="620" t="e">
        <f>Abs!Y582</f>
        <v>#REF!</v>
      </c>
      <c r="C648" s="621" t="str">
        <f>Abs!B582</f>
        <v>c. In Second floor</v>
      </c>
      <c r="D648" s="617">
        <f>Abs!C582</f>
        <v>579.74</v>
      </c>
      <c r="E648" s="618" t="str">
        <f>Abs!D582</f>
        <v>Sqm.</v>
      </c>
      <c r="F648" s="617" t="e">
        <f t="shared" ref="F648:F711" si="10">D648*B648</f>
        <v>#REF!</v>
      </c>
    </row>
    <row r="649" spans="1:6" ht="42" hidden="1" customHeight="1">
      <c r="A649" s="614">
        <f>Abs!A583</f>
        <v>0</v>
      </c>
      <c r="B649" s="620">
        <f>Abs!Y583</f>
        <v>0</v>
      </c>
      <c r="C649" s="621" t="str">
        <f>Abs!B583</f>
        <v>d. In Third floor</v>
      </c>
      <c r="D649" s="617">
        <f>Abs!C583</f>
        <v>588.29</v>
      </c>
      <c r="E649" s="618" t="str">
        <f>Abs!D583</f>
        <v>Sqm.</v>
      </c>
      <c r="F649" s="617">
        <f t="shared" si="10"/>
        <v>0</v>
      </c>
    </row>
    <row r="650" spans="1:6" ht="42" hidden="1" customHeight="1">
      <c r="A650" s="614">
        <f>Abs!A584</f>
        <v>0</v>
      </c>
      <c r="B650" s="620">
        <f>Abs!Y584</f>
        <v>0</v>
      </c>
      <c r="C650" s="621" t="str">
        <f>Abs!B584</f>
        <v>e.  In Fourth floor</v>
      </c>
      <c r="D650" s="617">
        <f>Abs!C584</f>
        <v>588.29</v>
      </c>
      <c r="E650" s="618">
        <f>Abs!D584</f>
        <v>0</v>
      </c>
      <c r="F650" s="617">
        <f t="shared" si="10"/>
        <v>0</v>
      </c>
    </row>
    <row r="651" spans="1:6" ht="52.9" hidden="1" customHeight="1">
      <c r="A651" s="614">
        <f>Abs!A585</f>
        <v>0</v>
      </c>
      <c r="B651" s="620">
        <f>Abs!Y585</f>
        <v>0</v>
      </c>
      <c r="C651" s="621" t="str">
        <f>Abs!B585</f>
        <v>Cuddappa slab 40 mm tk.for Sunshade.</v>
      </c>
      <c r="D651" s="617">
        <f>Abs!C585</f>
        <v>0</v>
      </c>
      <c r="E651" s="618">
        <f>Abs!D585</f>
        <v>0</v>
      </c>
      <c r="F651" s="617">
        <f t="shared" si="10"/>
        <v>0</v>
      </c>
    </row>
    <row r="652" spans="1:6" ht="52.9" hidden="1" customHeight="1">
      <c r="A652" s="614">
        <f>Abs!A586</f>
        <v>0</v>
      </c>
      <c r="B652" s="620">
        <f>Abs!Y586</f>
        <v>0</v>
      </c>
      <c r="C652" s="621" t="str">
        <f>Abs!B586</f>
        <v>a. In Ground floor</v>
      </c>
      <c r="D652" s="617">
        <f>Abs!C586</f>
        <v>1847.59</v>
      </c>
      <c r="E652" s="618" t="str">
        <f>Abs!D586</f>
        <v>Sqm.</v>
      </c>
      <c r="F652" s="617">
        <f t="shared" si="10"/>
        <v>0</v>
      </c>
    </row>
    <row r="653" spans="1:6" ht="34.5" hidden="1" customHeight="1">
      <c r="A653" s="614">
        <f>Abs!A587</f>
        <v>0</v>
      </c>
      <c r="B653" s="620">
        <f>Abs!Y587</f>
        <v>0</v>
      </c>
      <c r="C653" s="621" t="str">
        <f>Abs!B587</f>
        <v>b. In First floor</v>
      </c>
      <c r="D653" s="617">
        <f>Abs!C587</f>
        <v>1856.14</v>
      </c>
      <c r="E653" s="618" t="str">
        <f>Abs!D587</f>
        <v>Sqm.</v>
      </c>
      <c r="F653" s="617">
        <f t="shared" si="10"/>
        <v>0</v>
      </c>
    </row>
    <row r="654" spans="1:6" s="496" customFormat="1" ht="53.45" hidden="1" customHeight="1">
      <c r="A654" s="614">
        <f>Abs!A588</f>
        <v>0</v>
      </c>
      <c r="B654" s="620">
        <f>Abs!Y588</f>
        <v>0</v>
      </c>
      <c r="C654" s="621" t="str">
        <f>Abs!B588</f>
        <v>c. In Second floor</v>
      </c>
      <c r="D654" s="617">
        <f>Abs!C588</f>
        <v>1864.69</v>
      </c>
      <c r="E654" s="618" t="str">
        <f>Abs!D588</f>
        <v>Sqm.</v>
      </c>
      <c r="F654" s="617">
        <f t="shared" si="10"/>
        <v>0</v>
      </c>
    </row>
    <row r="655" spans="1:6" ht="50.45" hidden="1" customHeight="1">
      <c r="A655" s="614">
        <f>Abs!A589</f>
        <v>0</v>
      </c>
      <c r="B655" s="620">
        <f>Abs!Y589</f>
        <v>0</v>
      </c>
      <c r="C655" s="621" t="str">
        <f>Abs!B589</f>
        <v>d. In Third floor</v>
      </c>
      <c r="D655" s="617">
        <f>Abs!C589</f>
        <v>1873.24</v>
      </c>
      <c r="E655" s="618" t="str">
        <f>Abs!D589</f>
        <v>Sqm.</v>
      </c>
      <c r="F655" s="617">
        <f t="shared" si="10"/>
        <v>0</v>
      </c>
    </row>
    <row r="656" spans="1:6" ht="39" hidden="1" customHeight="1">
      <c r="A656" s="614">
        <f>Abs!A590</f>
        <v>0</v>
      </c>
      <c r="B656" s="620">
        <f>Abs!Y590</f>
        <v>0</v>
      </c>
      <c r="C656" s="621" t="str">
        <f>Abs!B590</f>
        <v>e.  In Fourth floor</v>
      </c>
      <c r="D656" s="617">
        <f>Abs!C590</f>
        <v>1881.79</v>
      </c>
      <c r="E656" s="618" t="str">
        <f>Abs!D590</f>
        <v>Sqm.</v>
      </c>
      <c r="F656" s="617">
        <f t="shared" si="10"/>
        <v>0</v>
      </c>
    </row>
    <row r="657" spans="1:6" s="496" customFormat="1" ht="39" customHeight="1">
      <c r="A657" s="614">
        <f>Abs!A591</f>
        <v>29.8</v>
      </c>
      <c r="B657" s="620" t="e">
        <f>Abs!Y591</f>
        <v>#REF!</v>
      </c>
      <c r="C657" s="621" t="str">
        <f>Abs!B591</f>
        <v>Glazed tiles using Grout (Tile Joint Filler)</v>
      </c>
      <c r="D657" s="617">
        <f>Abs!C591</f>
        <v>1236.28</v>
      </c>
      <c r="E657" s="618" t="str">
        <f>Abs!D591</f>
        <v>Sqm</v>
      </c>
      <c r="F657" s="617" t="e">
        <f t="shared" si="10"/>
        <v>#REF!</v>
      </c>
    </row>
    <row r="658" spans="1:6" ht="40.15" hidden="1" customHeight="1">
      <c r="A658" s="614">
        <f>Abs!A592</f>
        <v>0</v>
      </c>
      <c r="B658" s="620" t="e">
        <f>Abs!Y592</f>
        <v>#REF!</v>
      </c>
      <c r="C658" s="621" t="str">
        <f>Abs!B592</f>
        <v>Floor ceramic tiles  using Grout (Tile Joint Filler).</v>
      </c>
      <c r="D658" s="617">
        <f>Abs!C592</f>
        <v>1092.05</v>
      </c>
      <c r="E658" s="618" t="str">
        <f>Abs!D592</f>
        <v>Sqm</v>
      </c>
      <c r="F658" s="617" t="e">
        <f t="shared" si="10"/>
        <v>#REF!</v>
      </c>
    </row>
    <row r="659" spans="1:6" s="496" customFormat="1" ht="42" customHeight="1">
      <c r="A659" s="614">
        <f>Abs!A593</f>
        <v>29.9</v>
      </c>
      <c r="B659" s="620" t="e">
        <f>Abs!Y593</f>
        <v>#REF!</v>
      </c>
      <c r="C659" s="621" t="str">
        <f>Abs!B593</f>
        <v>Floor ceramic tiles (Anti-skid) using Grout (Tile Joint Filler).</v>
      </c>
      <c r="D659" s="617">
        <f>Abs!C593</f>
        <v>1092.05</v>
      </c>
      <c r="E659" s="618" t="str">
        <f>Abs!D593</f>
        <v>Sqm</v>
      </c>
      <c r="F659" s="617" t="e">
        <f t="shared" si="10"/>
        <v>#REF!</v>
      </c>
    </row>
    <row r="660" spans="1:6" s="496" customFormat="1" ht="40.15" customHeight="1">
      <c r="A660" s="614">
        <f>Abs!A594</f>
        <v>38.4</v>
      </c>
      <c r="B660" s="620" t="e">
        <f>Abs!Y594</f>
        <v>#REF!</v>
      </c>
      <c r="C660" s="621" t="str">
        <f>Abs!B594</f>
        <v>Two coat of cement paint over one coat white cement</v>
      </c>
      <c r="D660" s="617">
        <f>Abs!C594</f>
        <v>114.39</v>
      </c>
      <c r="E660" s="618" t="str">
        <f>Abs!D594</f>
        <v>Sqm</v>
      </c>
      <c r="F660" s="617" t="e">
        <f t="shared" si="10"/>
        <v>#REF!</v>
      </c>
    </row>
    <row r="661" spans="1:6" ht="40.15" hidden="1" customHeight="1">
      <c r="A661" s="614">
        <f>Abs!A595</f>
        <v>38.5</v>
      </c>
      <c r="B661" s="620">
        <f>Abs!Y595</f>
        <v>0</v>
      </c>
      <c r="C661" s="621" t="str">
        <f>Abs!B595</f>
        <v>Matt paint</v>
      </c>
      <c r="D661" s="617">
        <f>Abs!C595</f>
        <v>147.27000000000001</v>
      </c>
      <c r="E661" s="618" t="str">
        <f>Abs!D595</f>
        <v>Sqm</v>
      </c>
      <c r="F661" s="617">
        <f t="shared" si="10"/>
        <v>0</v>
      </c>
    </row>
    <row r="662" spans="1:6" s="496" customFormat="1" ht="45.75" customHeight="1">
      <c r="A662" s="614">
        <f>Abs!A596</f>
        <v>38.6</v>
      </c>
      <c r="B662" s="620" t="e">
        <f>Abs!Y596</f>
        <v>#REF!</v>
      </c>
      <c r="C662" s="621" t="str">
        <f>Abs!B596</f>
        <v>One coat white cement for new walls and other similar works.</v>
      </c>
      <c r="D662" s="617">
        <f>Abs!C596</f>
        <v>53.72</v>
      </c>
      <c r="E662" s="618" t="str">
        <f>Abs!D596</f>
        <v>Sqm</v>
      </c>
      <c r="F662" s="617" t="e">
        <f t="shared" si="10"/>
        <v>#REF!</v>
      </c>
    </row>
    <row r="663" spans="1:6" s="496" customFormat="1" ht="40.9" hidden="1" customHeight="1">
      <c r="A663" s="614">
        <f>Abs!A598</f>
        <v>42</v>
      </c>
      <c r="B663" s="620" t="e">
        <f>Abs!Y598</f>
        <v>#REF!</v>
      </c>
      <c r="C663" s="621" t="str">
        <f>Abs!B598</f>
        <v>Fabrication of Mild steel / RTS grills
(with cement slurry wash) for all sizes of rods.</v>
      </c>
      <c r="D663" s="617">
        <f>Abs!C598</f>
        <v>79335.5</v>
      </c>
      <c r="E663" s="618" t="str">
        <f>Abs!D598</f>
        <v>MT</v>
      </c>
      <c r="F663" s="617" t="e">
        <f t="shared" si="10"/>
        <v>#REF!</v>
      </c>
    </row>
    <row r="664" spans="1:6" ht="39.75" hidden="1" customHeight="1">
      <c r="A664" s="614">
        <f>Abs!A599</f>
        <v>43</v>
      </c>
      <c r="B664" s="620" t="e">
        <f>Abs!Y599</f>
        <v>#REF!</v>
      </c>
      <c r="C664" s="621" t="str">
        <f>Abs!B599</f>
        <v xml:space="preserve">Fabrication of Mild steel / RTS grills (without cement slurry) for all sizes of rods.
</v>
      </c>
      <c r="D664" s="617">
        <f>Abs!C599</f>
        <v>78398</v>
      </c>
      <c r="E664" s="618" t="str">
        <f>Abs!D599</f>
        <v>MT</v>
      </c>
      <c r="F664" s="617" t="e">
        <f t="shared" si="10"/>
        <v>#REF!</v>
      </c>
    </row>
    <row r="665" spans="1:6" s="496" customFormat="1" ht="47.25" hidden="1" customHeight="1">
      <c r="A665" s="614">
        <f>Abs!A600</f>
        <v>44.6</v>
      </c>
      <c r="B665" s="620" t="e">
        <f>Abs!Y600</f>
        <v>#REF!</v>
      </c>
      <c r="C665" s="621" t="str">
        <f>Abs!B600</f>
        <v>PVC SWR 110 mm dia with ISI mark type- A for Rain water down fall pipe</v>
      </c>
      <c r="D665" s="617">
        <f>Abs!C600</f>
        <v>321.74</v>
      </c>
      <c r="E665" s="618" t="str">
        <f>Abs!D600</f>
        <v>Rmt</v>
      </c>
      <c r="F665" s="617" t="e">
        <f t="shared" si="10"/>
        <v>#REF!</v>
      </c>
    </row>
    <row r="666" spans="1:6" s="496" customFormat="1" ht="17.25" hidden="1">
      <c r="A666" s="614">
        <f>Abs!A601</f>
        <v>50.6</v>
      </c>
      <c r="B666" s="620" t="e">
        <f>Abs!Y601</f>
        <v>#REF!</v>
      </c>
      <c r="C666" s="621" t="str">
        <f>Abs!B601</f>
        <v>Precast slab 50 mm tk.in C.C. 1:3:6 with fibre</v>
      </c>
      <c r="D666" s="617">
        <f>Abs!C601</f>
        <v>373.41</v>
      </c>
      <c r="E666" s="618" t="str">
        <f>Abs!D601</f>
        <v>Sqm</v>
      </c>
      <c r="F666" s="617" t="e">
        <f t="shared" si="10"/>
        <v>#REF!</v>
      </c>
    </row>
    <row r="667" spans="1:6" s="496" customFormat="1" ht="30" hidden="1">
      <c r="A667" s="614">
        <f>Abs!A602</f>
        <v>52.4</v>
      </c>
      <c r="B667" s="620" t="e">
        <f>Abs!Y602</f>
        <v>#REF!</v>
      </c>
      <c r="C667" s="621" t="str">
        <f>Abs!B602</f>
        <v>20mm dia PVC water supply ASTM pipe (fully consealed in walls)</v>
      </c>
      <c r="D667" s="617">
        <f>Abs!C602</f>
        <v>205.94</v>
      </c>
      <c r="E667" s="618" t="str">
        <f>Abs!D602</f>
        <v>Rmt</v>
      </c>
      <c r="F667" s="617" t="e">
        <f t="shared" si="10"/>
        <v>#REF!</v>
      </c>
    </row>
    <row r="668" spans="1:6" s="496" customFormat="1" ht="30">
      <c r="A668" s="614">
        <f>Abs!A603</f>
        <v>53.4</v>
      </c>
      <c r="B668" s="620" t="e">
        <f>Abs!Y603</f>
        <v>#REF!</v>
      </c>
      <c r="C668" s="621" t="str">
        <f>Abs!B603</f>
        <v xml:space="preserve">S&amp;F of C.I Manhole cover 60 x 60 cm (50kg weight ) </v>
      </c>
      <c r="D668" s="617">
        <f>Abs!C603</f>
        <v>1846</v>
      </c>
      <c r="E668" s="618" t="str">
        <f>Abs!D603</f>
        <v>Each</v>
      </c>
      <c r="F668" s="617" t="e">
        <f t="shared" si="10"/>
        <v>#REF!</v>
      </c>
    </row>
    <row r="669" spans="1:6" ht="43.5" customHeight="1">
      <c r="A669" s="614">
        <f>Abs!A604</f>
        <v>0</v>
      </c>
      <c r="B669" s="620" t="e">
        <f>Abs!Y604</f>
        <v>#REF!</v>
      </c>
      <c r="C669" s="621" t="str">
        <f>Abs!B604</f>
        <v>Wash Hand  Basin of size 550 x 400 mm
(White with Pedestal)</v>
      </c>
      <c r="D669" s="617">
        <f>Abs!C604</f>
        <v>3104.82</v>
      </c>
      <c r="E669" s="618" t="str">
        <f>Abs!D604</f>
        <v>Each</v>
      </c>
      <c r="F669" s="617" t="e">
        <f t="shared" si="10"/>
        <v>#REF!</v>
      </c>
    </row>
    <row r="670" spans="1:6" ht="37.5" hidden="1" customHeight="1">
      <c r="A670" s="614">
        <f>Abs!A605</f>
        <v>54.3</v>
      </c>
      <c r="B670" s="620">
        <f>Abs!Y605</f>
        <v>0</v>
      </c>
      <c r="C670" s="621" t="str">
        <f>Abs!B605</f>
        <v xml:space="preserve">Supplying and fixing of Brass Chromium plated screw down tap 15mm dia (heavy type not less than 430 grms weight)  with ISI mark.
</v>
      </c>
      <c r="D670" s="617">
        <f>Abs!C605</f>
        <v>204</v>
      </c>
      <c r="E670" s="618" t="str">
        <f>Abs!D605</f>
        <v>Each</v>
      </c>
      <c r="F670" s="617">
        <f t="shared" si="10"/>
        <v>0</v>
      </c>
    </row>
    <row r="671" spans="1:6" ht="39" hidden="1" customHeight="1">
      <c r="A671" s="614">
        <f>Abs!A606</f>
        <v>56.3</v>
      </c>
      <c r="B671" s="620">
        <f>Abs!Y606</f>
        <v>0</v>
      </c>
      <c r="C671" s="621" t="str">
        <f>Abs!B606</f>
        <v xml:space="preserve">S &amp; F of Indian Water closet white glazed (Oriya type) of size 580 x 440mm  - in G.F.  </v>
      </c>
      <c r="D671" s="617">
        <f>Abs!C606</f>
        <v>3060.82</v>
      </c>
      <c r="E671" s="618" t="str">
        <f>Abs!D606</f>
        <v>Each</v>
      </c>
      <c r="F671" s="617">
        <f t="shared" si="10"/>
        <v>0</v>
      </c>
    </row>
    <row r="672" spans="1:6" s="496" customFormat="1" ht="67.5" hidden="1" customHeight="1">
      <c r="A672" s="614">
        <f>Abs!A607</f>
        <v>56.4</v>
      </c>
      <c r="B672" s="620">
        <f>Abs!Y607</f>
        <v>0</v>
      </c>
      <c r="C672" s="621" t="str">
        <f>Abs!B607</f>
        <v xml:space="preserve">S &amp; F of Indian Water closet white glazed (Oriya type) of size 580 x 440mm  - Other than  G.F.  </v>
      </c>
      <c r="D672" s="617">
        <f>Abs!C607</f>
        <v>4798.84</v>
      </c>
      <c r="E672" s="618" t="str">
        <f>Abs!D607</f>
        <v>Each</v>
      </c>
      <c r="F672" s="617">
        <f t="shared" si="10"/>
        <v>0</v>
      </c>
    </row>
    <row r="673" spans="1:6" ht="37.9" customHeight="1">
      <c r="A673" s="614">
        <f>Abs!A608</f>
        <v>58.3</v>
      </c>
      <c r="B673" s="615" t="e">
        <f>Abs!Y608</f>
        <v>#REF!</v>
      </c>
      <c r="C673" s="616" t="str">
        <f>Abs!B608</f>
        <v>PVC SWR pipe (Soil line) with ISI mark - type 'B'.</v>
      </c>
      <c r="D673" s="617">
        <f>Abs!C608</f>
        <v>0</v>
      </c>
      <c r="E673" s="618">
        <f>Abs!D608</f>
        <v>0</v>
      </c>
      <c r="F673" s="617"/>
    </row>
    <row r="674" spans="1:6" ht="33.75" customHeight="1">
      <c r="A674" s="614">
        <f>Abs!A609</f>
        <v>0</v>
      </c>
      <c r="B674" s="620" t="e">
        <f>Abs!Y609</f>
        <v>#REF!</v>
      </c>
      <c r="C674" s="621" t="str">
        <f>Abs!B609</f>
        <v>a. 110 mm dia.</v>
      </c>
      <c r="D674" s="617">
        <f>Abs!C609</f>
        <v>657.29</v>
      </c>
      <c r="E674" s="618" t="str">
        <f>Abs!D609</f>
        <v>Rmt</v>
      </c>
      <c r="F674" s="617" t="e">
        <f t="shared" si="10"/>
        <v>#REF!</v>
      </c>
    </row>
    <row r="675" spans="1:6" ht="27.6" customHeight="1">
      <c r="A675" s="614">
        <f>Abs!A610</f>
        <v>0</v>
      </c>
      <c r="B675" s="620" t="e">
        <f>Abs!Y610</f>
        <v>#REF!</v>
      </c>
      <c r="C675" s="621" t="str">
        <f>Abs!B610</f>
        <v>b. 75 mm dia.</v>
      </c>
      <c r="D675" s="617">
        <f>Abs!C610</f>
        <v>541.41999999999996</v>
      </c>
      <c r="E675" s="618" t="str">
        <f>Abs!D610</f>
        <v>Rmt</v>
      </c>
      <c r="F675" s="617" t="e">
        <f t="shared" si="10"/>
        <v>#REF!</v>
      </c>
    </row>
    <row r="676" spans="1:6" s="496" customFormat="1" ht="52.5" customHeight="1">
      <c r="A676" s="614">
        <f>Abs!A611</f>
        <v>58.4</v>
      </c>
      <c r="B676" s="620" t="e">
        <f>Abs!Y611</f>
        <v>#REF!</v>
      </c>
      <c r="C676" s="621" t="str">
        <f>Abs!B611</f>
        <v>Supplying, Laying &amp; Concealing the 50mm dia PVC ( SWR) pipe with ISI mark type - 'B' with relevant specials.</v>
      </c>
      <c r="D676" s="617">
        <f>Abs!C611</f>
        <v>81.2</v>
      </c>
      <c r="E676" s="618" t="str">
        <f>Abs!D611</f>
        <v>Rmt</v>
      </c>
      <c r="F676" s="617" t="e">
        <f t="shared" si="10"/>
        <v>#REF!</v>
      </c>
    </row>
    <row r="677" spans="1:6" s="496" customFormat="1" ht="27.6" hidden="1" customHeight="1">
      <c r="A677" s="614">
        <f>Abs!A612</f>
        <v>58.5</v>
      </c>
      <c r="B677" s="620" t="e">
        <f>Abs!Y612</f>
        <v>#REF!</v>
      </c>
      <c r="C677" s="621" t="str">
        <f>Abs!B612</f>
        <v>PVC(SWR) pipe with ISI mark - type 'A' for Ventilating shaft with cowl</v>
      </c>
      <c r="D677" s="617">
        <f>Abs!C612</f>
        <v>450.1</v>
      </c>
      <c r="E677" s="618" t="str">
        <f>Abs!D612</f>
        <v>Each</v>
      </c>
      <c r="F677" s="617" t="e">
        <f t="shared" si="10"/>
        <v>#REF!</v>
      </c>
    </row>
    <row r="678" spans="1:6" s="496" customFormat="1" ht="71.25" hidden="1" customHeight="1">
      <c r="A678" s="614">
        <f>Abs!A613</f>
        <v>0</v>
      </c>
      <c r="B678" s="620" t="e">
        <f>Abs!Y613</f>
        <v>#REF!</v>
      </c>
      <c r="C678" s="621" t="str">
        <f>Abs!B613</f>
        <v>Wiring with 1.5 sqmm PVC insulated single core multi strand fire retardant flexible copper cable with ISI mark confirming IS: 694:1990.( Ordinary)</v>
      </c>
      <c r="D678" s="617">
        <f>Abs!C613</f>
        <v>0</v>
      </c>
      <c r="E678" s="618">
        <f>Abs!D613</f>
        <v>0</v>
      </c>
      <c r="F678" s="617" t="e">
        <f t="shared" si="10"/>
        <v>#REF!</v>
      </c>
    </row>
    <row r="679" spans="1:6" s="496" customFormat="1" ht="73.5" hidden="1" customHeight="1">
      <c r="A679" s="614">
        <f>Abs!A614</f>
        <v>0</v>
      </c>
      <c r="B679" s="620" t="e">
        <f>Abs!Y614</f>
        <v>#REF!</v>
      </c>
      <c r="C679" s="621" t="str">
        <f>Abs!B614</f>
        <v>a. Light point with ceiling rose</v>
      </c>
      <c r="D679" s="617">
        <f>Abs!C614</f>
        <v>1499.29</v>
      </c>
      <c r="E679" s="618" t="str">
        <f>Abs!D614</f>
        <v>Each</v>
      </c>
      <c r="F679" s="617" t="e">
        <f t="shared" si="10"/>
        <v>#REF!</v>
      </c>
    </row>
    <row r="680" spans="1:6" ht="70.900000000000006" hidden="1" customHeight="1">
      <c r="A680" s="614">
        <f>Abs!A615</f>
        <v>0</v>
      </c>
      <c r="B680" s="620" t="e">
        <f>Abs!Y615</f>
        <v>#REF!</v>
      </c>
      <c r="C680" s="621" t="str">
        <f>Abs!B615</f>
        <v>b. Light point without ceiling rose</v>
      </c>
      <c r="D680" s="617">
        <f>Abs!C615</f>
        <v>1503.34</v>
      </c>
      <c r="E680" s="618" t="str">
        <f>Abs!D615</f>
        <v>Each</v>
      </c>
      <c r="F680" s="617" t="e">
        <f t="shared" si="10"/>
        <v>#REF!</v>
      </c>
    </row>
    <row r="681" spans="1:6" ht="66" hidden="1" customHeight="1">
      <c r="A681" s="614">
        <f>Abs!A616</f>
        <v>0</v>
      </c>
      <c r="B681" s="620" t="e">
        <f>Abs!Y616</f>
        <v>#REF!</v>
      </c>
      <c r="C681" s="621" t="str">
        <f>Abs!B616</f>
        <v>c. Calling bell point with Buzzer/Calling bell</v>
      </c>
      <c r="D681" s="617">
        <f>Abs!C616</f>
        <v>1531.07</v>
      </c>
      <c r="E681" s="618" t="str">
        <f>Abs!D616</f>
        <v>Each</v>
      </c>
      <c r="F681" s="617" t="e">
        <f t="shared" si="10"/>
        <v>#REF!</v>
      </c>
    </row>
    <row r="682" spans="1:6" s="496" customFormat="1" ht="24.75" hidden="1" customHeight="1">
      <c r="A682" s="614">
        <f>Abs!A617</f>
        <v>65.099999999999994</v>
      </c>
      <c r="B682" s="620" t="e">
        <f>Abs!Y617</f>
        <v>#REF!</v>
      </c>
      <c r="C682" s="621" t="str">
        <f>Abs!B617</f>
        <v>Wiring with 1.5 sqmm PVC insulated single core multi strand fire retardant flexible copper cable with ISI mark confirming IS: 694:1990 for Fan point.</v>
      </c>
      <c r="D682" s="617">
        <f>Abs!C617</f>
        <v>1565.5</v>
      </c>
      <c r="E682" s="618" t="str">
        <f>Abs!D617</f>
        <v>Each</v>
      </c>
      <c r="F682" s="617" t="e">
        <f t="shared" si="10"/>
        <v>#REF!</v>
      </c>
    </row>
    <row r="683" spans="1:6" s="496" customFormat="1" ht="46.15" hidden="1" customHeight="1">
      <c r="A683" s="614">
        <f>Abs!A618</f>
        <v>66.099999999999994</v>
      </c>
      <c r="B683" s="620" t="e">
        <f>Abs!Y618</f>
        <v>#REF!</v>
      </c>
      <c r="C683" s="621" t="str">
        <f>Abs!B618</f>
        <v>Wiring with 1.5 sqmm PVC insulated single core multi strand fire retardant flexible copper cable with ISI mark confirming IS: 694:1990 for Staircase Light Point.</v>
      </c>
      <c r="D683" s="617">
        <f>Abs!C618</f>
        <v>2802.19</v>
      </c>
      <c r="E683" s="618" t="str">
        <f>Abs!D618</f>
        <v>Each</v>
      </c>
      <c r="F683" s="617" t="e">
        <f t="shared" si="10"/>
        <v>#REF!</v>
      </c>
    </row>
    <row r="684" spans="1:6" s="496" customFormat="1" ht="65.25" hidden="1" customHeight="1">
      <c r="A684" s="614">
        <f>Abs!A619</f>
        <v>0</v>
      </c>
      <c r="B684" s="620" t="e">
        <f>Abs!Y619</f>
        <v>#REF!</v>
      </c>
      <c r="C684" s="621" t="str">
        <f>Abs!B619</f>
        <v>Wiring with 1.5 sqmm PVC insulated single core multi strand fire retardant flexible copper cable with ISI mark confirming IS: 694:1990 for 5 amps 5 pin plug socket point @ Switch Board Itself.</v>
      </c>
      <c r="D684" s="617">
        <f>Abs!C619</f>
        <v>764.91</v>
      </c>
      <c r="E684" s="618" t="str">
        <f>Abs!D619</f>
        <v>Each</v>
      </c>
      <c r="F684" s="617" t="e">
        <f t="shared" si="10"/>
        <v>#REF!</v>
      </c>
    </row>
    <row r="685" spans="1:6" s="496" customFormat="1" ht="66" hidden="1" customHeight="1">
      <c r="A685" s="614">
        <f>Abs!A620</f>
        <v>68.2</v>
      </c>
      <c r="B685" s="620" t="e">
        <f>Abs!Y620</f>
        <v>#REF!</v>
      </c>
      <c r="C685" s="621" t="str">
        <f>Abs!B620</f>
        <v>Wiring with 1.5 sqmm PVC insulated single core multi strand fire retardant flexible copper cable with ISI mark confirming IS: 694:1990 for 5 amps 5 pin plug socket point @ Convenient Places.</v>
      </c>
      <c r="D685" s="617">
        <f>Abs!C620</f>
        <v>1041.2</v>
      </c>
      <c r="E685" s="618" t="str">
        <f>Abs!D620</f>
        <v>Each</v>
      </c>
      <c r="F685" s="617" t="e">
        <f t="shared" si="10"/>
        <v>#REF!</v>
      </c>
    </row>
    <row r="686" spans="1:6" ht="70.5" hidden="1" customHeight="1">
      <c r="A686" s="614">
        <f>Abs!A621</f>
        <v>70.5</v>
      </c>
      <c r="B686" s="620" t="e">
        <f>Abs!Y621</f>
        <v>#REF!</v>
      </c>
      <c r="C686" s="621" t="str">
        <f>Abs!B621</f>
        <v>S &amp; F of Tube light fitting  (patty  type ) with Electronic ballast and 36 W slim tube light</v>
      </c>
      <c r="D686" s="617">
        <f>Abs!C621</f>
        <v>535.49</v>
      </c>
      <c r="E686" s="618" t="str">
        <f>Abs!D621</f>
        <v>Each</v>
      </c>
      <c r="F686" s="617" t="e">
        <f t="shared" si="10"/>
        <v>#REF!</v>
      </c>
    </row>
    <row r="687" spans="1:6" ht="40.5" customHeight="1">
      <c r="A687" s="614">
        <f>Abs!A622</f>
        <v>0</v>
      </c>
      <c r="B687" s="620" t="e">
        <f>Abs!Y622</f>
        <v>#REF!</v>
      </c>
      <c r="C687" s="621" t="str">
        <f>Abs!B622</f>
        <v>Supply and delivery of  48" (1200 mm) Fan with ISI mark with Eletronic Dimmer</v>
      </c>
      <c r="D687" s="617">
        <f>Abs!C622</f>
        <v>1437.4</v>
      </c>
      <c r="E687" s="618" t="str">
        <f>Abs!D622</f>
        <v>Each</v>
      </c>
      <c r="F687" s="617" t="e">
        <f t="shared" si="10"/>
        <v>#REF!</v>
      </c>
    </row>
    <row r="688" spans="1:6" s="496" customFormat="1" ht="54.75" customHeight="1">
      <c r="A688" s="614">
        <f>Abs!A623</f>
        <v>0</v>
      </c>
      <c r="B688" s="620" t="e">
        <f>Abs!Y623</f>
        <v>#REF!</v>
      </c>
      <c r="C688" s="621" t="str">
        <f>Abs!B623</f>
        <v>Run of 2 Wires of 4 sqmm PVC insulated single core multi strand fire retardant flexible copper cable with ISI mark confirming IS: 694:1990.</v>
      </c>
      <c r="D688" s="617">
        <f>Abs!C623</f>
        <v>246.68</v>
      </c>
      <c r="E688" s="618" t="str">
        <f>Abs!D623</f>
        <v>Rmt</v>
      </c>
      <c r="F688" s="617" t="e">
        <f t="shared" si="10"/>
        <v>#REF!</v>
      </c>
    </row>
    <row r="689" spans="1:6" s="496" customFormat="1" ht="57.75" customHeight="1">
      <c r="A689" s="614">
        <f>Abs!A624</f>
        <v>77.5</v>
      </c>
      <c r="B689" s="620" t="e">
        <f>Abs!Y624</f>
        <v>#REF!</v>
      </c>
      <c r="C689" s="621" t="str">
        <f>Abs!B624</f>
        <v>Run of 2 Wires of 1.5 sqmm PVC insulated single core multi strand fire retardant flexible copper cable with ISI mark confirming IS: 694:1990.</v>
      </c>
      <c r="D689" s="617">
        <f>Abs!C624</f>
        <v>192.58</v>
      </c>
      <c r="E689" s="618" t="str">
        <f>Abs!D624</f>
        <v>Rmt</v>
      </c>
      <c r="F689" s="617" t="e">
        <f t="shared" si="10"/>
        <v>#REF!</v>
      </c>
    </row>
    <row r="690" spans="1:6" s="496" customFormat="1" ht="62.25" customHeight="1">
      <c r="A690" s="614">
        <f>Abs!A625</f>
        <v>0</v>
      </c>
      <c r="B690" s="620" t="e">
        <f>Abs!Y625</f>
        <v>#REF!</v>
      </c>
      <c r="C690" s="621" t="str">
        <f>Abs!B625</f>
        <v>Run of 2 Wires of 2.5 sqmm PVC insulated single core multi strand fire retardant flexible copper cable with ISI mark confirming IS: 694:1990.</v>
      </c>
      <c r="D690" s="617">
        <f>Abs!C625</f>
        <v>209.78</v>
      </c>
      <c r="E690" s="618" t="str">
        <f>Abs!D625</f>
        <v>Rmt</v>
      </c>
      <c r="F690" s="617" t="e">
        <f t="shared" si="10"/>
        <v>#REF!</v>
      </c>
    </row>
    <row r="691" spans="1:6" s="496" customFormat="1" ht="66" customHeight="1">
      <c r="A691" s="614">
        <f>Abs!A626</f>
        <v>0</v>
      </c>
      <c r="B691" s="620" t="e">
        <f>Abs!Y626</f>
        <v>#REF!</v>
      </c>
      <c r="C691" s="621" t="str">
        <f>Abs!B626</f>
        <v>4 x 4  Sq mm copper PVC insulated unsheathed single core cable for 3 phase EB service connection</v>
      </c>
      <c r="D691" s="617">
        <f>Abs!C626</f>
        <v>250.43</v>
      </c>
      <c r="E691" s="618" t="str">
        <f>Abs!D626</f>
        <v>Rmt</v>
      </c>
      <c r="F691" s="617" t="e">
        <f t="shared" si="10"/>
        <v>#REF!</v>
      </c>
    </row>
    <row r="692" spans="1:6" ht="36.75" customHeight="1">
      <c r="A692" s="614">
        <f>Abs!A627</f>
        <v>0</v>
      </c>
      <c r="B692" s="620" t="e">
        <f>Abs!Y627</f>
        <v>#REF!</v>
      </c>
      <c r="C692" s="621" t="str">
        <f>Abs!B627</f>
        <v xml:space="preserve">Run of 4 Wires of 6 sqmm PVC insulated single core multi strand </v>
      </c>
      <c r="D692" s="617">
        <f>Abs!C627</f>
        <v>458</v>
      </c>
      <c r="E692" s="618" t="str">
        <f>Abs!D627</f>
        <v>Rmt</v>
      </c>
      <c r="F692" s="617" t="e">
        <f t="shared" si="10"/>
        <v>#REF!</v>
      </c>
    </row>
    <row r="693" spans="1:6" s="496" customFormat="1" ht="25.5" hidden="1" customHeight="1">
      <c r="A693" s="614">
        <f>Abs!A628</f>
        <v>0</v>
      </c>
      <c r="B693" s="620">
        <f>Abs!Y628</f>
        <v>0</v>
      </c>
      <c r="C693" s="621" t="str">
        <f>Abs!B628</f>
        <v xml:space="preserve">Run of 4 Wires of 10 sqmm PVC insulated single core multi strand </v>
      </c>
      <c r="D693" s="617">
        <f>Abs!C628</f>
        <v>589.27</v>
      </c>
      <c r="E693" s="618" t="str">
        <f>Abs!D628</f>
        <v>Rmt</v>
      </c>
      <c r="F693" s="617">
        <f t="shared" si="10"/>
        <v>0</v>
      </c>
    </row>
    <row r="694" spans="1:6" ht="30" customHeight="1">
      <c r="A694" s="614">
        <f>Abs!A629</f>
        <v>112.1</v>
      </c>
      <c r="B694" s="620" t="e">
        <f>Abs!Y629</f>
        <v>#REF!</v>
      </c>
      <c r="C694" s="621" t="str">
        <f>Abs!B629</f>
        <v>S &amp; F of Exsaust Fan 225mm dia</v>
      </c>
      <c r="D694" s="617">
        <f>Abs!C629</f>
        <v>1941.5</v>
      </c>
      <c r="E694" s="618" t="str">
        <f>Abs!D629</f>
        <v>Each</v>
      </c>
      <c r="F694" s="617" t="e">
        <f t="shared" si="10"/>
        <v>#REF!</v>
      </c>
    </row>
    <row r="695" spans="1:6" s="496" customFormat="1" ht="54.6" hidden="1" customHeight="1">
      <c r="A695" s="614">
        <f>Abs!A630</f>
        <v>0</v>
      </c>
      <c r="B695" s="620" t="e">
        <f>Abs!Y630</f>
        <v>#REF!</v>
      </c>
      <c r="C695" s="621" t="str">
        <f>Abs!B630</f>
        <v>Compact Fluoresent Lamp (CFL)</v>
      </c>
      <c r="D695" s="617">
        <f>Abs!C630</f>
        <v>0</v>
      </c>
      <c r="E695" s="618">
        <f>Abs!D630</f>
        <v>0</v>
      </c>
      <c r="F695" s="617" t="e">
        <f t="shared" si="10"/>
        <v>#REF!</v>
      </c>
    </row>
    <row r="696" spans="1:6" ht="36" hidden="1" customHeight="1">
      <c r="A696" s="614">
        <f>Abs!A631</f>
        <v>0</v>
      </c>
      <c r="B696" s="620" t="e">
        <f>Abs!Y631</f>
        <v>#REF!</v>
      </c>
      <c r="C696" s="621" t="str">
        <f>Abs!B631</f>
        <v>a. 14W bulb for Bath &amp; WC</v>
      </c>
      <c r="D696" s="617">
        <f>Abs!C631</f>
        <v>130</v>
      </c>
      <c r="E696" s="618" t="str">
        <f>Abs!D631</f>
        <v>Each</v>
      </c>
      <c r="F696" s="617" t="e">
        <f t="shared" si="10"/>
        <v>#REF!</v>
      </c>
    </row>
    <row r="697" spans="1:6" s="496" customFormat="1" ht="38.25" hidden="1" customHeight="1">
      <c r="A697" s="614">
        <f>Abs!A632</f>
        <v>0</v>
      </c>
      <c r="B697" s="620" t="e">
        <f>Abs!Y632</f>
        <v>#REF!</v>
      </c>
      <c r="C697" s="621" t="str">
        <f>Abs!B632</f>
        <v>b. 18w bulb for Bulk Head fittings</v>
      </c>
      <c r="D697" s="617">
        <f>Abs!C632</f>
        <v>170</v>
      </c>
      <c r="E697" s="618" t="str">
        <f>Abs!D632</f>
        <v>Each</v>
      </c>
      <c r="F697" s="617" t="e">
        <f t="shared" si="10"/>
        <v>#REF!</v>
      </c>
    </row>
    <row r="698" spans="1:6" s="496" customFormat="1" ht="42" hidden="1" customHeight="1">
      <c r="A698" s="614">
        <f>Abs!A633</f>
        <v>0</v>
      </c>
      <c r="B698" s="620" t="e">
        <f>Abs!Y633</f>
        <v>#REF!</v>
      </c>
      <c r="C698" s="621" t="str">
        <f>Abs!B633</f>
        <v>S &amp; F of Bulk head fitting suitable for CFL</v>
      </c>
      <c r="D698" s="617">
        <f>Abs!C633</f>
        <v>443</v>
      </c>
      <c r="E698" s="618" t="str">
        <f>Abs!D633</f>
        <v>Each</v>
      </c>
      <c r="F698" s="617" t="e">
        <f t="shared" si="10"/>
        <v>#REF!</v>
      </c>
    </row>
    <row r="699" spans="1:6" ht="46.5" customHeight="1">
      <c r="A699" s="614">
        <f>Abs!A634</f>
        <v>44.2</v>
      </c>
      <c r="B699" s="615" t="e">
        <f>Abs!Y634</f>
        <v>#REF!</v>
      </c>
      <c r="C699" s="616" t="str">
        <f>Abs!B634</f>
        <v>Rain water harvesting using defunct borewell and providing perforated cover slab</v>
      </c>
      <c r="D699" s="617">
        <f>Abs!C634</f>
        <v>0</v>
      </c>
      <c r="E699" s="618">
        <f>Abs!D634</f>
        <v>0</v>
      </c>
      <c r="F699" s="617"/>
    </row>
    <row r="700" spans="1:6" s="496" customFormat="1" ht="24.75" customHeight="1">
      <c r="A700" s="614">
        <f>Abs!A635</f>
        <v>0</v>
      </c>
      <c r="B700" s="620" t="e">
        <f>Abs!Y635</f>
        <v>#REF!</v>
      </c>
      <c r="C700" s="621" t="str">
        <f>Abs!B635</f>
        <v>a). Providing pit (M30)</v>
      </c>
      <c r="D700" s="617">
        <f>Abs!C635</f>
        <v>1879.46</v>
      </c>
      <c r="E700" s="618" t="str">
        <f>Abs!D635</f>
        <v>Each</v>
      </c>
      <c r="F700" s="617" t="e">
        <f t="shared" si="10"/>
        <v>#REF!</v>
      </c>
    </row>
    <row r="701" spans="1:6" s="496" customFormat="1" ht="35.25" customHeight="1">
      <c r="A701" s="614">
        <f>Abs!A636</f>
        <v>0</v>
      </c>
      <c r="B701" s="620" t="e">
        <f>Abs!Y636</f>
        <v>#REF!</v>
      </c>
      <c r="C701" s="621" t="str">
        <f>Abs!B636</f>
        <v>b) Augering 30cm dia</v>
      </c>
      <c r="D701" s="617">
        <f>Abs!C636</f>
        <v>434.61</v>
      </c>
      <c r="E701" s="618" t="str">
        <f>Abs!D636</f>
        <v>Rmt</v>
      </c>
      <c r="F701" s="617" t="e">
        <f t="shared" si="10"/>
        <v>#REF!</v>
      </c>
    </row>
    <row r="702" spans="1:6" s="496" customFormat="1" ht="52.5" customHeight="1">
      <c r="A702" s="614">
        <f>Abs!A637</f>
        <v>0</v>
      </c>
      <c r="B702" s="620" t="e">
        <f>Abs!Y637</f>
        <v>#REF!</v>
      </c>
      <c r="C702" s="621" t="str">
        <f>Abs!B637</f>
        <v>Providing Rain water Harvesting well ring of Circular shape of 90mm dia, 60cm depth using Standardised Mix design M20</v>
      </c>
      <c r="D702" s="617">
        <f>Abs!C637</f>
        <v>1315.68</v>
      </c>
      <c r="E702" s="618" t="str">
        <f>Abs!D637</f>
        <v>Each</v>
      </c>
      <c r="F702" s="617" t="e">
        <f t="shared" si="10"/>
        <v>#REF!</v>
      </c>
    </row>
    <row r="703" spans="1:6" s="496" customFormat="1" ht="60" hidden="1" customHeight="1">
      <c r="A703" s="614">
        <f>Abs!A638</f>
        <v>257.10000000000002</v>
      </c>
      <c r="B703" s="620" t="e">
        <f>Abs!Y638</f>
        <v>#REF!</v>
      </c>
      <c r="C703" s="621" t="str">
        <f>Abs!B638</f>
        <v>S&amp;F of M.S. Angle of size 35x35x5mm for staircase steps</v>
      </c>
      <c r="D703" s="617">
        <f>Abs!C638</f>
        <v>239.99</v>
      </c>
      <c r="E703" s="618" t="str">
        <f>Abs!D638</f>
        <v>Rmt</v>
      </c>
      <c r="F703" s="617" t="e">
        <f t="shared" si="10"/>
        <v>#REF!</v>
      </c>
    </row>
    <row r="704" spans="1:6" s="496" customFormat="1" ht="42" customHeight="1">
      <c r="A704" s="614">
        <f>Abs!A639</f>
        <v>344.2</v>
      </c>
      <c r="B704" s="620" t="e">
        <f>Abs!Y639</f>
        <v>#REF!</v>
      </c>
      <c r="C704" s="621" t="str">
        <f>Abs!B639</f>
        <v>S&amp;F of Bevelled edge mirror 500 x 400 x 5.5mm</v>
      </c>
      <c r="D704" s="617">
        <f>Abs!C639</f>
        <v>379.4</v>
      </c>
      <c r="E704" s="618" t="str">
        <f>Abs!D639</f>
        <v>Each</v>
      </c>
      <c r="F704" s="617" t="e">
        <f t="shared" si="10"/>
        <v>#REF!</v>
      </c>
    </row>
    <row r="705" spans="1:6" s="496" customFormat="1" ht="37.5" customHeight="1">
      <c r="A705" s="614">
        <f>Abs!A640</f>
        <v>383</v>
      </c>
      <c r="B705" s="620" t="e">
        <f>Abs!Y640</f>
        <v>#REF!</v>
      </c>
      <c r="C705" s="621" t="str">
        <f>Abs!B640</f>
        <v>S&amp;F of Cuddapah sink 600 x 600 x 200mm</v>
      </c>
      <c r="D705" s="617">
        <f>Abs!C640</f>
        <v>1000</v>
      </c>
      <c r="E705" s="618" t="str">
        <f>Abs!D640</f>
        <v>Each</v>
      </c>
      <c r="F705" s="617" t="e">
        <f t="shared" si="10"/>
        <v>#REF!</v>
      </c>
    </row>
    <row r="706" spans="1:6" s="496" customFormat="1" ht="33" customHeight="1">
      <c r="A706" s="614">
        <f>Abs!A641</f>
        <v>383.1</v>
      </c>
      <c r="B706" s="620" t="e">
        <f>Abs!Y641</f>
        <v>#REF!</v>
      </c>
      <c r="C706" s="621" t="str">
        <f>Abs!B641</f>
        <v>Providing nosing to the edges of Granite slab
Double Nosing PWD SRP-36</v>
      </c>
      <c r="D706" s="617">
        <f>Abs!C641</f>
        <v>366.6</v>
      </c>
      <c r="E706" s="618" t="str">
        <f>Abs!D641</f>
        <v>Rmt</v>
      </c>
      <c r="F706" s="617" t="e">
        <f t="shared" si="10"/>
        <v>#REF!</v>
      </c>
    </row>
    <row r="707" spans="1:6" s="496" customFormat="1" ht="37.5" hidden="1" customHeight="1">
      <c r="A707" s="614">
        <f>Abs!A642</f>
        <v>0</v>
      </c>
      <c r="B707" s="620" t="e">
        <f>Abs!Y642</f>
        <v>#REF!</v>
      </c>
      <c r="C707" s="621" t="str">
        <f>Abs!B642</f>
        <v>Supply and fixing of PVC water supply (ASTM)
a.50mm dia</v>
      </c>
      <c r="D707" s="617">
        <f>Abs!C642</f>
        <v>290.77999999999997</v>
      </c>
      <c r="E707" s="618">
        <f>Abs!D642</f>
        <v>0</v>
      </c>
      <c r="F707" s="617" t="e">
        <f t="shared" si="10"/>
        <v>#REF!</v>
      </c>
    </row>
    <row r="708" spans="1:6" s="496" customFormat="1" ht="38.25" customHeight="1">
      <c r="A708" s="614">
        <f>Abs!A643</f>
        <v>384</v>
      </c>
      <c r="B708" s="620" t="e">
        <f>Abs!Y643</f>
        <v>#REF!</v>
      </c>
      <c r="C708" s="621" t="str">
        <f>Abs!B643</f>
        <v>S&amp;F of PVC flushing cistern</v>
      </c>
      <c r="D708" s="617">
        <f>Abs!C643</f>
        <v>1602.5</v>
      </c>
      <c r="E708" s="618" t="str">
        <f>Abs!D643</f>
        <v>Each</v>
      </c>
      <c r="F708" s="617" t="e">
        <f t="shared" si="10"/>
        <v>#REF!</v>
      </c>
    </row>
    <row r="709" spans="1:6" s="496" customFormat="1" ht="72.75" hidden="1" customHeight="1">
      <c r="A709" s="614">
        <f>Abs!A644</f>
        <v>385</v>
      </c>
      <c r="B709" s="620" t="e">
        <f>Abs!Y644</f>
        <v>#REF!</v>
      </c>
      <c r="C709" s="621" t="str">
        <f>Abs!B644</f>
        <v>S&amp;F of cloth drying arrangement</v>
      </c>
      <c r="D709" s="617">
        <f>Abs!C644</f>
        <v>762.6</v>
      </c>
      <c r="E709" s="618" t="str">
        <f>Abs!D644</f>
        <v>Each</v>
      </c>
      <c r="F709" s="617" t="e">
        <f t="shared" si="10"/>
        <v>#REF!</v>
      </c>
    </row>
    <row r="710" spans="1:6" s="496" customFormat="1" ht="45.75" customHeight="1">
      <c r="A710" s="614">
        <f>Abs!A645</f>
        <v>238.1</v>
      </c>
      <c r="B710" s="620" t="e">
        <f>Abs!Y645</f>
        <v>#REF!</v>
      </c>
      <c r="C710" s="621" t="str">
        <f>Abs!B645</f>
        <v>Anticorrosive treatment for window grills</v>
      </c>
      <c r="D710" s="617">
        <f>Abs!C645</f>
        <v>2595.25</v>
      </c>
      <c r="E710" s="618" t="str">
        <f>Abs!D645</f>
        <v>MT</v>
      </c>
      <c r="F710" s="617" t="e">
        <f t="shared" si="10"/>
        <v>#REF!</v>
      </c>
    </row>
    <row r="711" spans="1:6" s="496" customFormat="1" ht="37.5" customHeight="1">
      <c r="A711" s="614">
        <f>Abs!A646</f>
        <v>71.2</v>
      </c>
      <c r="B711" s="620" t="e">
        <f>Abs!Y646</f>
        <v>#REF!</v>
      </c>
      <c r="C711" s="621" t="str">
        <f>Abs!B646</f>
        <v>Supplying and fixing of 32 AMPS Triple pole main switch</v>
      </c>
      <c r="D711" s="617">
        <f>Abs!C646</f>
        <v>2083.67</v>
      </c>
      <c r="E711" s="618" t="str">
        <f>Abs!D646</f>
        <v>Each</v>
      </c>
      <c r="F711" s="617" t="e">
        <f t="shared" si="10"/>
        <v>#REF!</v>
      </c>
    </row>
    <row r="712" spans="1:6" s="496" customFormat="1" ht="31.5" customHeight="1">
      <c r="A712" s="614">
        <f>Abs!A647</f>
        <v>80.099999999999994</v>
      </c>
      <c r="B712" s="620" t="e">
        <f>Abs!Y647</f>
        <v>#REF!</v>
      </c>
      <c r="C712" s="621" t="str">
        <f>Abs!B647</f>
        <v>450 x 375 x 20 mm   thick TW plank</v>
      </c>
      <c r="D712" s="617">
        <f>Abs!C647</f>
        <v>1242.21</v>
      </c>
      <c r="E712" s="618" t="str">
        <f>Abs!D647</f>
        <v>Each</v>
      </c>
      <c r="F712" s="617" t="e">
        <f t="shared" ref="F712:F775" si="11">D712*B712</f>
        <v>#REF!</v>
      </c>
    </row>
    <row r="713" spans="1:6" s="496" customFormat="1" ht="30" customHeight="1">
      <c r="A713" s="614">
        <f>Abs!A648</f>
        <v>0</v>
      </c>
      <c r="B713" s="620" t="e">
        <f>Abs!Y648</f>
        <v>#REF!</v>
      </c>
      <c r="C713" s="621" t="str">
        <f>Abs!B648</f>
        <v>3 Nos.of 32Amps - Fuse Unit</v>
      </c>
      <c r="D713" s="617">
        <f>Abs!C648</f>
        <v>776.68</v>
      </c>
      <c r="E713" s="618" t="str">
        <f>Abs!D648</f>
        <v>Each</v>
      </c>
      <c r="F713" s="617" t="e">
        <f t="shared" si="11"/>
        <v>#REF!</v>
      </c>
    </row>
    <row r="714" spans="1:6" s="496" customFormat="1" ht="49.5" hidden="1" customHeight="1">
      <c r="A714" s="614">
        <f>Abs!A649</f>
        <v>0</v>
      </c>
      <c r="B714" s="620" t="e">
        <f>Abs!Y649</f>
        <v>#REF!</v>
      </c>
      <c r="C714" s="621" t="str">
        <f>Abs!B649</f>
        <v>1 Nos.of 32Amps - Fuse Unit</v>
      </c>
      <c r="D714" s="617">
        <f>Abs!C649</f>
        <v>508.26</v>
      </c>
      <c r="E714" s="618" t="str">
        <f>Abs!D649</f>
        <v>Each</v>
      </c>
      <c r="F714" s="617" t="e">
        <f t="shared" si="11"/>
        <v>#REF!</v>
      </c>
    </row>
    <row r="715" spans="1:6" s="496" customFormat="1" ht="39.75" customHeight="1">
      <c r="A715" s="614">
        <f>Abs!A650</f>
        <v>87.1</v>
      </c>
      <c r="B715" s="620" t="e">
        <f>Abs!Y650</f>
        <v>#REF!</v>
      </c>
      <c r="C715" s="621" t="str">
        <f>Abs!B650</f>
        <v>Supplying and delivery of Three phase ELCB/RCCB</v>
      </c>
      <c r="D715" s="617">
        <f>Abs!C650</f>
        <v>2972.1</v>
      </c>
      <c r="E715" s="618" t="str">
        <f>Abs!D650</f>
        <v>Each</v>
      </c>
      <c r="F715" s="617" t="e">
        <f t="shared" si="11"/>
        <v>#REF!</v>
      </c>
    </row>
    <row r="716" spans="1:6" s="496" customFormat="1" ht="17.25" hidden="1">
      <c r="A716" s="614">
        <f>Abs!A651</f>
        <v>0</v>
      </c>
      <c r="B716" s="620" t="e">
        <f>Abs!Y651</f>
        <v>#REF!</v>
      </c>
      <c r="C716" s="621" t="str">
        <f>Abs!B651</f>
        <v>Supply of G.I pipe 40mm dia 'B' Class</v>
      </c>
      <c r="D716" s="617">
        <f>Abs!C651</f>
        <v>165</v>
      </c>
      <c r="E716" s="618" t="str">
        <f>Abs!D651</f>
        <v>Rmt</v>
      </c>
      <c r="F716" s="617" t="e">
        <f t="shared" si="11"/>
        <v>#REF!</v>
      </c>
    </row>
    <row r="717" spans="1:6" s="496" customFormat="1" ht="36.6" hidden="1" customHeight="1">
      <c r="A717" s="614">
        <f>Abs!A652</f>
        <v>0</v>
      </c>
      <c r="B717" s="620" t="e">
        <f>Abs!Y652</f>
        <v>#REF!</v>
      </c>
      <c r="C717" s="621" t="str">
        <f>Abs!B652</f>
        <v>Plastic Emulsion PAINT including primer for outer walls</v>
      </c>
      <c r="D717" s="617">
        <f>Abs!C652</f>
        <v>206.91</v>
      </c>
      <c r="E717" s="618" t="str">
        <f>Abs!D652</f>
        <v>Sqm</v>
      </c>
      <c r="F717" s="617" t="e">
        <f t="shared" si="11"/>
        <v>#REF!</v>
      </c>
    </row>
    <row r="718" spans="1:6" s="496" customFormat="1" ht="36" customHeight="1">
      <c r="A718" s="614" t="str">
        <f>Abs!A653</f>
        <v>38.4.1</v>
      </c>
      <c r="B718" s="620" t="e">
        <f>Abs!Y653</f>
        <v>#REF!</v>
      </c>
      <c r="C718" s="621" t="str">
        <f>Abs!B653</f>
        <v xml:space="preserve">Two coat of OBD over one coat white cement for inner walls </v>
      </c>
      <c r="D718" s="617">
        <f>Abs!C653</f>
        <v>109.44</v>
      </c>
      <c r="E718" s="618" t="str">
        <f>Abs!D653</f>
        <v>Sqm</v>
      </c>
      <c r="F718" s="617" t="e">
        <f t="shared" si="11"/>
        <v>#REF!</v>
      </c>
    </row>
    <row r="719" spans="1:6" s="496" customFormat="1" ht="46.5" hidden="1" customHeight="1">
      <c r="A719" s="614">
        <f>Abs!A654</f>
        <v>0</v>
      </c>
      <c r="B719" s="620" t="e">
        <f>Abs!Y654</f>
        <v>#REF!</v>
      </c>
      <c r="C719" s="621" t="str">
        <f>Abs!B654</f>
        <v>2 x 4 Sqmm Copper PVC insulated unsheathed single core 1 KV grade cable for EB service single phase.</v>
      </c>
      <c r="D719" s="617">
        <f>Abs!C654</f>
        <v>142.29</v>
      </c>
      <c r="E719" s="618" t="str">
        <f>Abs!D654</f>
        <v>Rmt</v>
      </c>
      <c r="F719" s="617" t="e">
        <f t="shared" si="11"/>
        <v>#REF!</v>
      </c>
    </row>
    <row r="720" spans="1:6" s="496" customFormat="1" ht="17.25" hidden="1">
      <c r="A720" s="614">
        <f>Abs!A655</f>
        <v>0</v>
      </c>
      <c r="B720" s="620" t="e">
        <f>Abs!Y655</f>
        <v>#REF!</v>
      </c>
      <c r="C720" s="621" t="str">
        <f>Abs!B655</f>
        <v>40 mm dia GI pipe "B"class</v>
      </c>
      <c r="D720" s="617">
        <f>Abs!C655</f>
        <v>165</v>
      </c>
      <c r="E720" s="618" t="str">
        <f>Abs!D655</f>
        <v>Rmt</v>
      </c>
      <c r="F720" s="617" t="e">
        <f t="shared" si="11"/>
        <v>#REF!</v>
      </c>
    </row>
    <row r="721" spans="1:6" s="496" customFormat="1" ht="36" hidden="1" customHeight="1">
      <c r="A721" s="614">
        <f>Abs!A656</f>
        <v>0</v>
      </c>
      <c r="B721" s="620" t="e">
        <f>Abs!Y656</f>
        <v>#REF!</v>
      </c>
      <c r="C721" s="621" t="str">
        <f>Abs!B656</f>
        <v>S&amp;F of stainless steel sink 550 x 450 x 200mm ( 1750/112 x100=1562.50 Each)</v>
      </c>
      <c r="D721" s="617">
        <f>Abs!C656</f>
        <v>1562.5</v>
      </c>
      <c r="E721" s="618" t="str">
        <f>Abs!D656</f>
        <v>Each</v>
      </c>
      <c r="F721" s="617" t="e">
        <f t="shared" si="11"/>
        <v>#REF!</v>
      </c>
    </row>
    <row r="722" spans="1:6" s="496" customFormat="1" ht="30" customHeight="1">
      <c r="A722" s="614">
        <f>Abs!A657</f>
        <v>448.2</v>
      </c>
      <c r="B722" s="620" t="e">
        <f>Abs!Y657</f>
        <v>#REF!</v>
      </c>
      <c r="C722" s="621" t="str">
        <f>Abs!B657</f>
        <v xml:space="preserve">Providing PVC Tee with end cap </v>
      </c>
      <c r="D722" s="617">
        <f>Abs!C657</f>
        <v>122.25</v>
      </c>
      <c r="E722" s="618" t="str">
        <f>Abs!D657</f>
        <v>Each</v>
      </c>
      <c r="F722" s="617" t="e">
        <f t="shared" si="11"/>
        <v>#REF!</v>
      </c>
    </row>
    <row r="723" spans="1:6" s="496" customFormat="1" ht="27.6" hidden="1" customHeight="1">
      <c r="A723" s="614">
        <f>Abs!A658</f>
        <v>0</v>
      </c>
      <c r="B723" s="620" t="e">
        <f>Abs!Y658</f>
        <v>#REF!</v>
      </c>
      <c r="C723" s="621" t="str">
        <f>Abs!B658</f>
        <v>Granite Tiles flooring (Ruby red) using 2'x1', 10mm tk</v>
      </c>
      <c r="D723" s="617">
        <f>Abs!C658</f>
        <v>1491.71</v>
      </c>
      <c r="E723" s="618" t="str">
        <f>Abs!D658</f>
        <v>Sqm</v>
      </c>
      <c r="F723" s="617" t="e">
        <f t="shared" si="11"/>
        <v>#REF!</v>
      </c>
    </row>
    <row r="724" spans="1:6" s="496" customFormat="1" ht="44.45" customHeight="1">
      <c r="A724" s="614">
        <f>Abs!A659</f>
        <v>0</v>
      </c>
      <c r="B724" s="620" t="e">
        <f>Abs!Y659</f>
        <v>#REF!</v>
      </c>
      <c r="C724" s="621" t="str">
        <f>Abs!B659</f>
        <v>Providing wooden Melamine polish for new wood work</v>
      </c>
      <c r="D724" s="617">
        <f>Abs!C659</f>
        <v>1298.51</v>
      </c>
      <c r="E724" s="618" t="str">
        <f>Abs!D659</f>
        <v>Sqm</v>
      </c>
      <c r="F724" s="617" t="e">
        <f t="shared" si="11"/>
        <v>#REF!</v>
      </c>
    </row>
    <row r="725" spans="1:6" s="496" customFormat="1" ht="31.5" hidden="1" customHeight="1">
      <c r="A725" s="614">
        <f>Abs!A660</f>
        <v>0</v>
      </c>
      <c r="B725" s="620" t="e">
        <f>Abs!Y660</f>
        <v>#REF!</v>
      </c>
      <c r="C725" s="621" t="str">
        <f>Abs!B660</f>
        <v>AAC BLOCK PARTITION WALL IN cm 1:4 of size 600 x 200x100mm</v>
      </c>
      <c r="D725" s="617">
        <f>Abs!C660</f>
        <v>0</v>
      </c>
      <c r="E725" s="618" t="str">
        <f>Abs!D660</f>
        <v>Sqm</v>
      </c>
      <c r="F725" s="617" t="e">
        <f t="shared" si="11"/>
        <v>#REF!</v>
      </c>
    </row>
    <row r="726" spans="1:6" s="496" customFormat="1" ht="55.5" hidden="1" customHeight="1">
      <c r="A726" s="614">
        <f>Abs!A661</f>
        <v>0</v>
      </c>
      <c r="B726" s="620" t="e">
        <f>Abs!Y661</f>
        <v>#REF!</v>
      </c>
      <c r="C726" s="621" t="str">
        <f>Abs!B661</f>
        <v>Providing Shahabad stone flooring</v>
      </c>
      <c r="D726" s="617">
        <f>Abs!C661</f>
        <v>1333.59</v>
      </c>
      <c r="E726" s="618" t="str">
        <f>Abs!D661</f>
        <v>sqm</v>
      </c>
      <c r="F726" s="617" t="e">
        <f t="shared" si="11"/>
        <v>#REF!</v>
      </c>
    </row>
    <row r="727" spans="1:6" s="496" customFormat="1" ht="34.5" customHeight="1">
      <c r="A727" s="614">
        <f>Abs!A662</f>
        <v>0</v>
      </c>
      <c r="B727" s="620" t="e">
        <f>Abs!Y662</f>
        <v>#REF!</v>
      </c>
      <c r="C727" s="621" t="str">
        <f>Abs!B662</f>
        <v>Vitrified Tiles flooring (Ivory)</v>
      </c>
      <c r="D727" s="617">
        <f>Abs!C662</f>
        <v>1150.01</v>
      </c>
      <c r="E727" s="618" t="str">
        <f>Abs!D662</f>
        <v>Sqm</v>
      </c>
      <c r="F727" s="617" t="e">
        <f t="shared" si="11"/>
        <v>#REF!</v>
      </c>
    </row>
    <row r="728" spans="1:6" s="496" customFormat="1" ht="34.5" hidden="1" customHeight="1">
      <c r="A728" s="614">
        <f>Abs!A663</f>
        <v>0</v>
      </c>
      <c r="B728" s="620" t="e">
        <f>Abs!Y663</f>
        <v>#REF!</v>
      </c>
      <c r="C728" s="621" t="str">
        <f>Abs!B663</f>
        <v>Vitrified Tiles flooring ( colour)</v>
      </c>
      <c r="D728" s="617">
        <f>Abs!C663</f>
        <v>1325.71</v>
      </c>
      <c r="E728" s="618" t="str">
        <f>Abs!D663</f>
        <v>Sqm</v>
      </c>
      <c r="F728" s="617" t="e">
        <f t="shared" si="11"/>
        <v>#REF!</v>
      </c>
    </row>
    <row r="729" spans="1:6" s="496" customFormat="1" ht="33.75" customHeight="1">
      <c r="A729" s="614" t="str">
        <f>Abs!A664</f>
        <v>s</v>
      </c>
      <c r="B729" s="620" t="e">
        <f>Abs!Y664</f>
        <v>#REF!</v>
      </c>
      <c r="C729" s="621" t="str">
        <f>Abs!B664</f>
        <v>Concrete designer tiles flooring</v>
      </c>
      <c r="D729" s="617">
        <f>Abs!C664</f>
        <v>1354.89</v>
      </c>
      <c r="E729" s="618" t="str">
        <f>Abs!D664</f>
        <v>Sqm</v>
      </c>
      <c r="F729" s="617" t="e">
        <f t="shared" si="11"/>
        <v>#REF!</v>
      </c>
    </row>
    <row r="730" spans="1:6" s="496" customFormat="1" ht="32.25" hidden="1" customHeight="1">
      <c r="A730" s="614">
        <f>Abs!A665</f>
        <v>0</v>
      </c>
      <c r="B730" s="620" t="e">
        <f>Abs!Y665</f>
        <v>#REF!</v>
      </c>
      <c r="C730" s="621" t="str">
        <f>Abs!B665</f>
        <v xml:space="preserve">Concrete Designer Tiles flooring </v>
      </c>
      <c r="D730" s="617">
        <f>Abs!C665</f>
        <v>1354.89</v>
      </c>
      <c r="E730" s="618" t="str">
        <f>Abs!D665</f>
        <v>Sqm</v>
      </c>
      <c r="F730" s="617" t="e">
        <f t="shared" si="11"/>
        <v>#REF!</v>
      </c>
    </row>
    <row r="731" spans="1:6" s="496" customFormat="1" ht="17.25" hidden="1">
      <c r="A731" s="614">
        <f>Abs!A666</f>
        <v>0</v>
      </c>
      <c r="B731" s="620" t="e">
        <f>Abs!Y666</f>
        <v>#REF!</v>
      </c>
      <c r="C731" s="621" t="str">
        <f>Abs!B666</f>
        <v>Supplying and fixing of Aluminium sliding window</v>
      </c>
      <c r="D731" s="617">
        <f>Abs!C666</f>
        <v>0</v>
      </c>
      <c r="E731" s="618">
        <f>Abs!D666</f>
        <v>0</v>
      </c>
      <c r="F731" s="617" t="e">
        <f t="shared" si="11"/>
        <v>#REF!</v>
      </c>
    </row>
    <row r="732" spans="1:6" s="496" customFormat="1" ht="17.25" hidden="1">
      <c r="A732" s="614">
        <f>Abs!A667</f>
        <v>0</v>
      </c>
      <c r="B732" s="620" t="e">
        <f>Abs!Y667</f>
        <v>#REF!</v>
      </c>
      <c r="C732" s="621" t="str">
        <f>Abs!B667</f>
        <v>a. 1.20x1.35m (Two track )</v>
      </c>
      <c r="D732" s="617">
        <f>Abs!C667</f>
        <v>3353.03</v>
      </c>
      <c r="E732" s="618" t="str">
        <f>Abs!D667</f>
        <v>Sqm</v>
      </c>
      <c r="F732" s="617" t="e">
        <f t="shared" si="11"/>
        <v>#REF!</v>
      </c>
    </row>
    <row r="733" spans="1:6" s="496" customFormat="1" ht="17.25" hidden="1">
      <c r="A733" s="614">
        <f>Abs!A668</f>
        <v>0</v>
      </c>
      <c r="B733" s="620" t="e">
        <f>Abs!Y668</f>
        <v>#REF!</v>
      </c>
      <c r="C733" s="621" t="str">
        <f>Abs!B668</f>
        <v>b. 2.40x1.80m (Two track)</v>
      </c>
      <c r="D733" s="617">
        <f>Abs!C668</f>
        <v>3169.22</v>
      </c>
      <c r="E733" s="618" t="str">
        <f>Abs!D668</f>
        <v>Sqm</v>
      </c>
      <c r="F733" s="617" t="e">
        <f t="shared" si="11"/>
        <v>#REF!</v>
      </c>
    </row>
    <row r="734" spans="1:6" s="496" customFormat="1" ht="25.15" hidden="1" customHeight="1">
      <c r="A734" s="614">
        <f>Abs!A669</f>
        <v>0</v>
      </c>
      <c r="B734" s="620" t="e">
        <f>Abs!Y669</f>
        <v>#REF!</v>
      </c>
      <c r="C734" s="621" t="str">
        <f>Abs!B669</f>
        <v>c. 2.40x1.05m (Two track)</v>
      </c>
      <c r="D734" s="617">
        <f>Abs!C669</f>
        <v>4048</v>
      </c>
      <c r="E734" s="618" t="str">
        <f>Abs!D669</f>
        <v>Sqm</v>
      </c>
      <c r="F734" s="617" t="e">
        <f t="shared" si="11"/>
        <v>#REF!</v>
      </c>
    </row>
    <row r="735" spans="1:6" s="496" customFormat="1" ht="17.25" hidden="1">
      <c r="A735" s="614">
        <f>Abs!A670</f>
        <v>0</v>
      </c>
      <c r="B735" s="620" t="e">
        <f>Abs!Y670</f>
        <v>#REF!</v>
      </c>
      <c r="C735" s="621" t="str">
        <f>Abs!B670</f>
        <v>d. 0.90x1.35m (Two track)</v>
      </c>
      <c r="D735" s="617">
        <f>Abs!C670</f>
        <v>3758.93</v>
      </c>
      <c r="E735" s="618" t="str">
        <f>Abs!D670</f>
        <v>Sqm</v>
      </c>
      <c r="F735" s="617" t="e">
        <f t="shared" si="11"/>
        <v>#REF!</v>
      </c>
    </row>
    <row r="736" spans="1:6" s="496" customFormat="1" ht="33.75" hidden="1" customHeight="1">
      <c r="A736" s="614">
        <f>Abs!A671</f>
        <v>0</v>
      </c>
      <c r="B736" s="620" t="e">
        <f>Abs!Y671</f>
        <v>#REF!</v>
      </c>
      <c r="C736" s="621" t="str">
        <f>Abs!B671</f>
        <v>supplying and fixing of colour matt finish floor tiles of size 12"x12" ( for officers)</v>
      </c>
      <c r="D736" s="617">
        <f>Abs!C671</f>
        <v>1266.92</v>
      </c>
      <c r="E736" s="618" t="str">
        <f>Abs!D671</f>
        <v>Sqm.</v>
      </c>
      <c r="F736" s="617" t="e">
        <f t="shared" si="11"/>
        <v>#REF!</v>
      </c>
    </row>
    <row r="737" spans="1:6" s="496" customFormat="1" ht="30" hidden="1">
      <c r="A737" s="614">
        <f>Abs!A672</f>
        <v>0</v>
      </c>
      <c r="B737" s="620" t="e">
        <f>Abs!Y672</f>
        <v>#REF!</v>
      </c>
      <c r="C737" s="621" t="str">
        <f>Abs!B672</f>
        <v>supplying and fixing of colour matt finish floor tiles of size 12"x12" ( for wall tiles)</v>
      </c>
      <c r="D737" s="617">
        <f>Abs!C672</f>
        <v>2809.64</v>
      </c>
      <c r="E737" s="618" t="str">
        <f>Abs!D672</f>
        <v>Sqm.</v>
      </c>
      <c r="F737" s="617" t="e">
        <f t="shared" si="11"/>
        <v>#REF!</v>
      </c>
    </row>
    <row r="738" spans="1:6" s="496" customFormat="1" ht="33" hidden="1" customHeight="1">
      <c r="A738" s="614" t="str">
        <f>Abs!A673</f>
        <v>Spl. Data</v>
      </c>
      <c r="B738" s="620" t="e">
        <f>Abs!Y673</f>
        <v>#REF!</v>
      </c>
      <c r="C738" s="621" t="str">
        <f>Abs!B673</f>
        <v>Providing wall panelling using 12mm BWR plywood over 2"x1" aluminium channel to be fixed on wall</v>
      </c>
      <c r="D738" s="617">
        <f>Abs!C673</f>
        <v>4090.4</v>
      </c>
      <c r="E738" s="618" t="str">
        <f>Abs!D673</f>
        <v>Sqm</v>
      </c>
      <c r="F738" s="617" t="e">
        <f t="shared" si="11"/>
        <v>#REF!</v>
      </c>
    </row>
    <row r="739" spans="1:6" s="496" customFormat="1" ht="30" hidden="1">
      <c r="A739" s="614">
        <f>Abs!A674</f>
        <v>4.4000000000000004</v>
      </c>
      <c r="B739" s="620" t="e">
        <f>Abs!Y674</f>
        <v>#REF!</v>
      </c>
      <c r="C739" s="621" t="str">
        <f>Abs!B674</f>
        <v>Supply of material and lab ourfor Mineralfbre 600mmx600mm Grid false ceiling work</v>
      </c>
      <c r="D739" s="617">
        <f>Abs!C674</f>
        <v>915.02</v>
      </c>
      <c r="E739" s="618" t="str">
        <f>Abs!D674</f>
        <v>Sqm</v>
      </c>
      <c r="F739" s="617" t="e">
        <f t="shared" si="11"/>
        <v>#REF!</v>
      </c>
    </row>
    <row r="740" spans="1:6" s="496" customFormat="1" ht="25.15" hidden="1" customHeight="1">
      <c r="A740" s="614">
        <f>Abs!A675</f>
        <v>0</v>
      </c>
      <c r="B740" s="620" t="e">
        <f>Abs!Y675</f>
        <v>#REF!</v>
      </c>
      <c r="C740" s="621" t="str">
        <f>Abs!B675</f>
        <v>Supplying, fabricating, erecting and fixing  Gyp board false ceiling using perforated sheet 10mm thk</v>
      </c>
      <c r="D740" s="617">
        <f>Abs!C675</f>
        <v>990</v>
      </c>
      <c r="E740" s="618" t="str">
        <f>Abs!D675</f>
        <v>Sqm</v>
      </c>
      <c r="F740" s="617" t="e">
        <f t="shared" si="11"/>
        <v>#REF!</v>
      </c>
    </row>
    <row r="741" spans="1:6" s="496" customFormat="1" ht="37.9" hidden="1" customHeight="1">
      <c r="A741" s="614">
        <f>Abs!A676</f>
        <v>0</v>
      </c>
      <c r="B741" s="620" t="e">
        <f>Abs!Y676</f>
        <v>#REF!</v>
      </c>
      <c r="C741" s="621" t="str">
        <f>Abs!B676</f>
        <v>Supplying and fixing of 100mm dia GI pipe</v>
      </c>
      <c r="D741" s="617">
        <f>Abs!C676</f>
        <v>905</v>
      </c>
      <c r="E741" s="618" t="str">
        <f>Abs!D676</f>
        <v>Rmt</v>
      </c>
      <c r="F741" s="617" t="e">
        <f t="shared" si="11"/>
        <v>#REF!</v>
      </c>
    </row>
    <row r="742" spans="1:6" s="496" customFormat="1" ht="37.9" hidden="1" customHeight="1">
      <c r="A742" s="614">
        <f>Abs!A677</f>
        <v>0</v>
      </c>
      <c r="B742" s="620" t="e">
        <f>Abs!Y677</f>
        <v>#REF!</v>
      </c>
      <c r="C742" s="621" t="str">
        <f>Abs!B677</f>
        <v>Supplying and fixing of Geyser (Data -SD 103)</v>
      </c>
      <c r="D742" s="617">
        <f>Abs!C677</f>
        <v>8467.2999999999993</v>
      </c>
      <c r="E742" s="618" t="str">
        <f>Abs!D677</f>
        <v>Each</v>
      </c>
      <c r="F742" s="617" t="e">
        <f t="shared" si="11"/>
        <v>#REF!</v>
      </c>
    </row>
    <row r="743" spans="1:6" s="496" customFormat="1" ht="39.75" hidden="1" customHeight="1">
      <c r="A743" s="614">
        <f>Abs!A678</f>
        <v>0</v>
      </c>
      <c r="B743" s="620" t="e">
        <f>Abs!Y678</f>
        <v>#REF!</v>
      </c>
      <c r="C743" s="621" t="str">
        <f>Abs!B678</f>
        <v>Supplying and fixing of  CP wall mixer two in one (without telephone shower) including cost of all materials and all labour charges etc complete.
CER No.178/13-14</v>
      </c>
      <c r="D743" s="617">
        <f>Abs!C678</f>
        <v>3409</v>
      </c>
      <c r="E743" s="618" t="str">
        <f>Abs!D678</f>
        <v>Each</v>
      </c>
      <c r="F743" s="617" t="e">
        <f t="shared" si="11"/>
        <v>#REF!</v>
      </c>
    </row>
    <row r="744" spans="1:6" s="496" customFormat="1" ht="38.25" hidden="1" customHeight="1">
      <c r="A744" s="614">
        <f>Abs!A679</f>
        <v>0</v>
      </c>
      <c r="B744" s="620" t="e">
        <f>Abs!Y679</f>
        <v>#REF!</v>
      </c>
      <c r="C744" s="621" t="str">
        <f>Abs!B679</f>
        <v>Supplying and fixing of shower arm 9" long including cost of all materials and all labour charges etc. complete  CER No.178/13-14</v>
      </c>
      <c r="D744" s="617">
        <f>Abs!C679</f>
        <v>1160</v>
      </c>
      <c r="E744" s="618" t="str">
        <f>Abs!D679</f>
        <v>Each</v>
      </c>
      <c r="F744" s="617" t="e">
        <f t="shared" si="11"/>
        <v>#REF!</v>
      </c>
    </row>
    <row r="745" spans="1:6" s="496" customFormat="1" ht="17.25" hidden="1">
      <c r="A745" s="614">
        <f>Abs!A680</f>
        <v>0</v>
      </c>
      <c r="B745" s="620" t="e">
        <f>Abs!Y680</f>
        <v>#REF!</v>
      </c>
      <c r="C745" s="621" t="str">
        <f>Abs!B680</f>
        <v>Supplying  and fixing of GM wheel valves ISI mark</v>
      </c>
      <c r="D745" s="617">
        <f>Abs!C680</f>
        <v>0</v>
      </c>
      <c r="E745" s="618">
        <f>Abs!D680</f>
        <v>0</v>
      </c>
      <c r="F745" s="617" t="e">
        <f t="shared" si="11"/>
        <v>#REF!</v>
      </c>
    </row>
    <row r="746" spans="1:6" s="496" customFormat="1" ht="27.6" hidden="1" customHeight="1">
      <c r="A746" s="614">
        <f>Abs!A681</f>
        <v>0</v>
      </c>
      <c r="B746" s="620" t="e">
        <f>Abs!Y681</f>
        <v>#REF!</v>
      </c>
      <c r="C746" s="621" t="str">
        <f>Abs!B681</f>
        <v>a.100mm  GM Gate valves</v>
      </c>
      <c r="D746" s="617">
        <f>Abs!C681</f>
        <v>5640</v>
      </c>
      <c r="E746" s="618" t="str">
        <f>Abs!D681</f>
        <v>Each</v>
      </c>
      <c r="F746" s="617" t="e">
        <f t="shared" si="11"/>
        <v>#REF!</v>
      </c>
    </row>
    <row r="747" spans="1:6" s="496" customFormat="1" ht="27.6" hidden="1" customHeight="1">
      <c r="A747" s="614">
        <f>Abs!A682</f>
        <v>0</v>
      </c>
      <c r="B747" s="620" t="e">
        <f>Abs!Y682</f>
        <v>#REF!</v>
      </c>
      <c r="C747" s="621" t="str">
        <f>Abs!B682</f>
        <v>b.50mm GM Gate valves</v>
      </c>
      <c r="D747" s="617">
        <f>Abs!C682</f>
        <v>1340</v>
      </c>
      <c r="E747" s="618" t="str">
        <f>Abs!D682</f>
        <v>Each</v>
      </c>
      <c r="F747" s="617" t="e">
        <f t="shared" si="11"/>
        <v>#REF!</v>
      </c>
    </row>
    <row r="748" spans="1:6" s="496" customFormat="1" ht="29.25" hidden="1" customHeight="1">
      <c r="A748" s="614">
        <f>Abs!A683</f>
        <v>0</v>
      </c>
      <c r="B748" s="620" t="e">
        <f>Abs!Y683</f>
        <v>#REF!</v>
      </c>
      <c r="C748" s="621" t="str">
        <f>Abs!B683</f>
        <v>c.32mm GM Gate valves</v>
      </c>
      <c r="D748" s="617">
        <f>Abs!C683</f>
        <v>604</v>
      </c>
      <c r="E748" s="618" t="str">
        <f>Abs!D683</f>
        <v>Each</v>
      </c>
      <c r="F748" s="617" t="e">
        <f t="shared" si="11"/>
        <v>#REF!</v>
      </c>
    </row>
    <row r="749" spans="1:6" s="496" customFormat="1" ht="42.75" hidden="1" customHeight="1">
      <c r="A749" s="614">
        <f>Abs!A684</f>
        <v>0</v>
      </c>
      <c r="B749" s="620" t="e">
        <f>Abs!Y684</f>
        <v>#REF!</v>
      </c>
      <c r="C749" s="621" t="str">
        <f>Abs!B684</f>
        <v>Wiring with 1.5 sqmm PVC insulated single core multi strand fire retardant flexible copper cable with ISI mark confirming IS: 694:1990. (Modular)</v>
      </c>
      <c r="D749" s="617">
        <f>Abs!C684</f>
        <v>0</v>
      </c>
      <c r="E749" s="618">
        <f>Abs!D684</f>
        <v>0</v>
      </c>
      <c r="F749" s="617" t="e">
        <f t="shared" si="11"/>
        <v>#REF!</v>
      </c>
    </row>
    <row r="750" spans="1:6" s="496" customFormat="1" ht="27.6" hidden="1" customHeight="1">
      <c r="A750" s="614">
        <f>Abs!A685</f>
        <v>0</v>
      </c>
      <c r="B750" s="620" t="e">
        <f>Abs!Y685</f>
        <v>#REF!</v>
      </c>
      <c r="C750" s="621" t="str">
        <f>Abs!B685</f>
        <v>a. Light point with ceiling rose</v>
      </c>
      <c r="D750" s="617">
        <f>Abs!C685</f>
        <v>1000.51</v>
      </c>
      <c r="E750" s="618" t="str">
        <f>Abs!D685</f>
        <v>Each</v>
      </c>
      <c r="F750" s="617" t="e">
        <f t="shared" si="11"/>
        <v>#REF!</v>
      </c>
    </row>
    <row r="751" spans="1:6" s="496" customFormat="1" ht="17.25" hidden="1">
      <c r="A751" s="614">
        <f>Abs!A686</f>
        <v>0</v>
      </c>
      <c r="B751" s="620" t="e">
        <f>Abs!Y686</f>
        <v>#REF!</v>
      </c>
      <c r="C751" s="621" t="str">
        <f>Abs!B686</f>
        <v>b. Light point without ceiling rose</v>
      </c>
      <c r="D751" s="617">
        <f>Abs!C686</f>
        <v>1003.51</v>
      </c>
      <c r="E751" s="618" t="str">
        <f>Abs!D686</f>
        <v>Each</v>
      </c>
      <c r="F751" s="617" t="e">
        <f t="shared" si="11"/>
        <v>#REF!</v>
      </c>
    </row>
    <row r="752" spans="1:6" s="496" customFormat="1" ht="27.6" hidden="1" customHeight="1">
      <c r="A752" s="614">
        <f>Abs!A687</f>
        <v>0</v>
      </c>
      <c r="B752" s="620" t="e">
        <f>Abs!Y687</f>
        <v>#REF!</v>
      </c>
      <c r="C752" s="621" t="str">
        <f>Abs!B687</f>
        <v>Wiring with 1.5 sqmm PVC insulated single core multi strand fire retardant flexible copper cable with ISI mark confirming IS: 694:1990 for 5 amps 5 pin Modular plug socket point @ Convenient Places.</v>
      </c>
      <c r="D752" s="617">
        <f>Abs!C687</f>
        <v>769.3</v>
      </c>
      <c r="E752" s="618" t="str">
        <f>Abs!D687</f>
        <v>Each</v>
      </c>
      <c r="F752" s="617" t="e">
        <f t="shared" si="11"/>
        <v>#REF!</v>
      </c>
    </row>
    <row r="753" spans="1:6" s="496" customFormat="1" ht="60" hidden="1">
      <c r="A753" s="614">
        <f>Abs!A688</f>
        <v>0</v>
      </c>
      <c r="B753" s="620" t="e">
        <f>Abs!Y688</f>
        <v>#REF!</v>
      </c>
      <c r="C753" s="621" t="str">
        <f>Abs!B688</f>
        <v>Wiring with 1.5 sqmm PVC insulated single core multi strand fire retardant flexible copper cable with ISI mark confirming IS: 694:1990 for 5 amps 5 pin Modular plug socket point @ Switch Board Itself.</v>
      </c>
      <c r="D753" s="617">
        <f>Abs!C688</f>
        <v>536.54999999999995</v>
      </c>
      <c r="E753" s="618" t="str">
        <f>Abs!D688</f>
        <v>Each</v>
      </c>
      <c r="F753" s="617" t="e">
        <f t="shared" si="11"/>
        <v>#REF!</v>
      </c>
    </row>
    <row r="754" spans="1:6" s="496" customFormat="1" ht="44.25" customHeight="1">
      <c r="A754" s="614">
        <f>Abs!A689</f>
        <v>0</v>
      </c>
      <c r="B754" s="620" t="e">
        <f>Abs!Y689</f>
        <v>#REF!</v>
      </c>
      <c r="C754" s="621" t="str">
        <f>Abs!B689</f>
        <v>Supplying and laying of 3.5 core 50 sq.mm PVC armoured LTUG cable (below GL) SD-206</v>
      </c>
      <c r="D754" s="617">
        <f>Abs!C689</f>
        <v>570</v>
      </c>
      <c r="E754" s="618" t="str">
        <f>Abs!D689</f>
        <v>RMT</v>
      </c>
      <c r="F754" s="617" t="e">
        <f t="shared" si="11"/>
        <v>#REF!</v>
      </c>
    </row>
    <row r="755" spans="1:6" s="496" customFormat="1" ht="48" customHeight="1">
      <c r="A755" s="614">
        <f>Abs!A690</f>
        <v>0</v>
      </c>
      <c r="B755" s="620" t="e">
        <f>Abs!Y690</f>
        <v>#REF!</v>
      </c>
      <c r="C755" s="621" t="str">
        <f>Abs!B690</f>
        <v>Supplying and laying of 3.5 core 50 sq.mm PVC armoured LTUG cable (above GL) SD-224</v>
      </c>
      <c r="D755" s="617">
        <f>Abs!C690</f>
        <v>472</v>
      </c>
      <c r="E755" s="618" t="str">
        <f>Abs!D690</f>
        <v>RMT</v>
      </c>
      <c r="F755" s="617" t="e">
        <f t="shared" si="11"/>
        <v>#REF!</v>
      </c>
    </row>
    <row r="756" spans="1:6" s="496" customFormat="1" ht="17.25" hidden="1">
      <c r="A756" s="614">
        <f>Abs!A691</f>
        <v>0</v>
      </c>
      <c r="B756" s="620">
        <f>Abs!Y691</f>
        <v>0</v>
      </c>
      <c r="C756" s="621" t="str">
        <f>Abs!B691</f>
        <v xml:space="preserve">S&amp;F 3.5 X 35mm LTUG CABLE </v>
      </c>
      <c r="D756" s="617">
        <f>Abs!C691</f>
        <v>500</v>
      </c>
      <c r="E756" s="618" t="str">
        <f>Abs!D691</f>
        <v>RMT</v>
      </c>
      <c r="F756" s="617">
        <f t="shared" si="11"/>
        <v>0</v>
      </c>
    </row>
    <row r="757" spans="1:6" s="496" customFormat="1" ht="17.25" hidden="1">
      <c r="A757" s="614">
        <f>Abs!A692</f>
        <v>0</v>
      </c>
      <c r="B757" s="620">
        <f>Abs!Y692</f>
        <v>0</v>
      </c>
      <c r="C757" s="621" t="str">
        <f>Abs!B692</f>
        <v>S&amp;F 3.5 X 25mm LTUG CABLE Above GL</v>
      </c>
      <c r="D757" s="617">
        <f>Abs!C692</f>
        <v>317</v>
      </c>
      <c r="E757" s="618" t="str">
        <f>Abs!D692</f>
        <v>RMT</v>
      </c>
      <c r="F757" s="617">
        <f t="shared" si="11"/>
        <v>0</v>
      </c>
    </row>
    <row r="758" spans="1:6" s="496" customFormat="1" ht="17.25" hidden="1">
      <c r="A758" s="614">
        <f>Abs!A693</f>
        <v>0</v>
      </c>
      <c r="B758" s="620">
        <f>Abs!Y693</f>
        <v>0</v>
      </c>
      <c r="C758" s="621" t="str">
        <f>Abs!B693</f>
        <v>S&amp;F 2X6 Sq.mm LTUG CABLE</v>
      </c>
      <c r="D758" s="617">
        <f>Abs!C693</f>
        <v>176.84</v>
      </c>
      <c r="E758" s="618" t="str">
        <f>Abs!D693</f>
        <v>Rmt</v>
      </c>
      <c r="F758" s="617">
        <f t="shared" si="11"/>
        <v>0</v>
      </c>
    </row>
    <row r="759" spans="1:6" s="496" customFormat="1" ht="58.5" customHeight="1">
      <c r="A759" s="614">
        <f>Abs!A694</f>
        <v>0</v>
      </c>
      <c r="B759" s="620" t="e">
        <f>Abs!Y694</f>
        <v>#REF!</v>
      </c>
      <c r="C759" s="621" t="str">
        <f>Abs!B694</f>
        <v>Supplying and fixing of brass cable gland suitable for 3.5 core 50 Sqmm PVC armoured LTUG cable  SD 188</v>
      </c>
      <c r="D759" s="617">
        <f>Abs!C694</f>
        <v>353</v>
      </c>
      <c r="E759" s="618" t="str">
        <f>Abs!D694</f>
        <v>Each</v>
      </c>
      <c r="F759" s="617" t="e">
        <f t="shared" si="11"/>
        <v>#REF!</v>
      </c>
    </row>
    <row r="760" spans="1:6" s="496" customFormat="1" ht="30" hidden="1">
      <c r="A760" s="614">
        <f>Abs!A695</f>
        <v>0</v>
      </c>
      <c r="B760" s="620">
        <f>Abs!Y695</f>
        <v>0</v>
      </c>
      <c r="C760" s="621" t="str">
        <f>Abs!B695</f>
        <v xml:space="preserve">Supplying and fixing of end termination suitable for 3.5 core 70 Sqmm PVC armoured LTUG cable </v>
      </c>
      <c r="D760" s="617">
        <f>Abs!C695</f>
        <v>293</v>
      </c>
      <c r="E760" s="618" t="str">
        <f>Abs!D695</f>
        <v>Each</v>
      </c>
      <c r="F760" s="617">
        <f t="shared" si="11"/>
        <v>0</v>
      </c>
    </row>
    <row r="761" spans="1:6" s="496" customFormat="1" ht="17.25" hidden="1">
      <c r="A761" s="614">
        <f>Abs!A696</f>
        <v>0</v>
      </c>
      <c r="B761" s="620">
        <f>Abs!Y696</f>
        <v>0</v>
      </c>
      <c r="C761" s="621" t="str">
        <f>Abs!B696</f>
        <v>FW 1.80 x 1.65 m ( Eight Leaves)</v>
      </c>
      <c r="D761" s="617">
        <f>Abs!C696</f>
        <v>5689.24</v>
      </c>
      <c r="E761" s="618" t="str">
        <f>Abs!D696</f>
        <v>Sqm</v>
      </c>
      <c r="F761" s="617">
        <f t="shared" si="11"/>
        <v>0</v>
      </c>
    </row>
    <row r="762" spans="1:6" s="496" customFormat="1" ht="17.25" hidden="1">
      <c r="A762" s="614">
        <f>Abs!A697</f>
        <v>0</v>
      </c>
      <c r="B762" s="620">
        <f>Abs!Y697</f>
        <v>0</v>
      </c>
      <c r="C762" s="621" t="str">
        <f>Abs!B697</f>
        <v>1.80 x 1.35 mt.window (Three leaves)</v>
      </c>
      <c r="D762" s="617">
        <f>Abs!C697</f>
        <v>4809.91</v>
      </c>
      <c r="E762" s="618" t="str">
        <f>Abs!D697</f>
        <v>Sqm</v>
      </c>
      <c r="F762" s="617">
        <f t="shared" si="11"/>
        <v>0</v>
      </c>
    </row>
    <row r="763" spans="1:6" s="496" customFormat="1" ht="17.25" hidden="1">
      <c r="A763" s="614">
        <f>Abs!A698</f>
        <v>0</v>
      </c>
      <c r="B763" s="620">
        <f>Abs!Y698</f>
        <v>0</v>
      </c>
      <c r="C763" s="621" t="str">
        <f>Abs!B698</f>
        <v>KW 1.20 x 1.05 m (Two leaves)</v>
      </c>
      <c r="D763" s="617">
        <f>Abs!C698</f>
        <v>5118.9399999999996</v>
      </c>
      <c r="E763" s="618" t="str">
        <f>Abs!D698</f>
        <v>Sqm</v>
      </c>
      <c r="F763" s="617">
        <f t="shared" si="11"/>
        <v>0</v>
      </c>
    </row>
    <row r="764" spans="1:6" s="496" customFormat="1" ht="17.25" hidden="1">
      <c r="A764" s="614">
        <f>Abs!A699</f>
        <v>0</v>
      </c>
      <c r="B764" s="620">
        <f>Abs!Y699</f>
        <v>0</v>
      </c>
      <c r="C764" s="621" t="str">
        <f>Abs!B699</f>
        <v>1.50 x 1.35 mt.window  (three leaves)</v>
      </c>
      <c r="D764" s="617">
        <f>Abs!C699</f>
        <v>5107.12</v>
      </c>
      <c r="E764" s="618" t="str">
        <f>Abs!D699</f>
        <v>Sqm</v>
      </c>
      <c r="F764" s="617">
        <f t="shared" si="11"/>
        <v>0</v>
      </c>
    </row>
    <row r="765" spans="1:6" s="496" customFormat="1" ht="17.25" hidden="1">
      <c r="A765" s="614">
        <f>Abs!A700</f>
        <v>0</v>
      </c>
      <c r="B765" s="620">
        <f>Abs!Y700</f>
        <v>0</v>
      </c>
      <c r="C765" s="621" t="str">
        <f>Abs!B700</f>
        <v xml:space="preserve"> 0.75 x 1.35 mt.window  ( single leaf)</v>
      </c>
      <c r="D765" s="617">
        <f>Abs!C700</f>
        <v>4446.5</v>
      </c>
      <c r="E765" s="618" t="str">
        <f>Abs!D700</f>
        <v>Sqm</v>
      </c>
      <c r="F765" s="617">
        <f t="shared" si="11"/>
        <v>0</v>
      </c>
    </row>
    <row r="766" spans="1:6" s="496" customFormat="1" ht="30" hidden="1">
      <c r="A766" s="614">
        <f>Abs!A701</f>
        <v>0</v>
      </c>
      <c r="B766" s="620">
        <f>Abs!Y701</f>
        <v>0</v>
      </c>
      <c r="C766" s="621" t="str">
        <f>Abs!B701</f>
        <v xml:space="preserve">Aluminium window openable 1.35x1.35m (Two leaves)Cochin House </v>
      </c>
      <c r="D766" s="617">
        <f>Abs!C701</f>
        <v>4625.8999999999996</v>
      </c>
      <c r="E766" s="618" t="str">
        <f>Abs!D701</f>
        <v>Sqm</v>
      </c>
      <c r="F766" s="617">
        <f t="shared" si="11"/>
        <v>0</v>
      </c>
    </row>
    <row r="767" spans="1:6" s="496" customFormat="1" ht="30" hidden="1">
      <c r="A767" s="614">
        <f>Abs!A702</f>
        <v>0</v>
      </c>
      <c r="B767" s="620">
        <f>Abs!Y702</f>
        <v>0</v>
      </c>
      <c r="C767" s="621" t="str">
        <f>Abs!B702</f>
        <v>Aluminium window openable 1.35x1.05m (Two leaves)</v>
      </c>
      <c r="D767" s="617">
        <f>Abs!C702</f>
        <v>4967.9399999999996</v>
      </c>
      <c r="E767" s="618" t="str">
        <f>Abs!D702</f>
        <v>Sqm</v>
      </c>
      <c r="F767" s="617">
        <f t="shared" si="11"/>
        <v>0</v>
      </c>
    </row>
    <row r="768" spans="1:6" s="496" customFormat="1" ht="30" hidden="1">
      <c r="A768" s="614">
        <f>Abs!A703</f>
        <v>0</v>
      </c>
      <c r="B768" s="620">
        <f>Abs!Y703</f>
        <v>0</v>
      </c>
      <c r="C768" s="621" t="str">
        <f>Abs!B703</f>
        <v>Aluminium window openable 1.2x1.35m (Two leaves)</v>
      </c>
      <c r="D768" s="617">
        <f>Abs!C703</f>
        <v>4858.8</v>
      </c>
      <c r="E768" s="618" t="str">
        <f>Abs!D703</f>
        <v>Sqm</v>
      </c>
      <c r="F768" s="617">
        <f t="shared" si="11"/>
        <v>0</v>
      </c>
    </row>
    <row r="769" spans="1:6" s="496" customFormat="1" hidden="1">
      <c r="A769" s="614">
        <f>Abs!A704</f>
        <v>0</v>
      </c>
      <c r="B769" s="620">
        <f>Abs!Y704</f>
        <v>0</v>
      </c>
      <c r="C769" s="621" t="str">
        <f>Abs!B704</f>
        <v>Aluminium window openable 1.80 x 1.65 m =2.97m2 FRENCH WINDOW (Reference Data Nagapattinam AR - Ph-xix</v>
      </c>
      <c r="D769" s="617">
        <f>Abs!C704</f>
        <v>4553.9799999999996</v>
      </c>
      <c r="E769" s="618" t="str">
        <f>Abs!D704</f>
        <v>Sqm</v>
      </c>
      <c r="F769" s="617">
        <f t="shared" si="11"/>
        <v>0</v>
      </c>
    </row>
    <row r="770" spans="1:6" s="496" customFormat="1" ht="60" hidden="1">
      <c r="A770" s="614">
        <f>Abs!A705</f>
        <v>0</v>
      </c>
      <c r="B770" s="620">
        <f>Abs!Y705</f>
        <v>0</v>
      </c>
      <c r="C770" s="621" t="str">
        <f>Abs!B705</f>
        <v>Supply and fixing of 100 amps TPN sheet double break switch with HRC fuse and neutral on suitable angle iron frame work with MS cable entry boxes and PWD earthing(SR-14-15(p-65)</v>
      </c>
      <c r="D770" s="617">
        <f>Abs!C705</f>
        <v>6950</v>
      </c>
      <c r="E770" s="618" t="str">
        <f>Abs!D705</f>
        <v>Each</v>
      </c>
      <c r="F770" s="617">
        <f t="shared" si="11"/>
        <v>0</v>
      </c>
    </row>
    <row r="771" spans="1:6" s="496" customFormat="1" ht="36.75" hidden="1" customHeight="1">
      <c r="A771" s="614">
        <f>Abs!A706</f>
        <v>0</v>
      </c>
      <c r="B771" s="620">
        <f>Abs!Y706</f>
        <v>0</v>
      </c>
      <c r="C771" s="621" t="str">
        <f>Abs!B706</f>
        <v>Supply and fixing of 200 amps fuse unit 
SRP-66</v>
      </c>
      <c r="D771" s="617">
        <f>Abs!C706</f>
        <v>634</v>
      </c>
      <c r="E771" s="618" t="str">
        <f>Abs!D706</f>
        <v>Each</v>
      </c>
      <c r="F771" s="617">
        <f t="shared" si="11"/>
        <v>0</v>
      </c>
    </row>
    <row r="772" spans="1:6" s="496" customFormat="1" ht="21" hidden="1" customHeight="1">
      <c r="A772" s="614">
        <f>Abs!A707</f>
        <v>0</v>
      </c>
      <c r="B772" s="620">
        <f>Abs!Y707</f>
        <v>0</v>
      </c>
      <c r="C772" s="621" t="str">
        <f>Abs!B707</f>
        <v>Supply and fixing of 200 amps TPN switch with HRC fuses sheet steel double break
SRP-65, 3 ©</v>
      </c>
      <c r="D772" s="617">
        <f>Abs!C707</f>
        <v>9470</v>
      </c>
      <c r="E772" s="618" t="str">
        <f>Abs!D707</f>
        <v>Each</v>
      </c>
      <c r="F772" s="617">
        <f t="shared" si="11"/>
        <v>0</v>
      </c>
    </row>
    <row r="773" spans="1:6" s="496" customFormat="1" ht="21" hidden="1" customHeight="1">
      <c r="A773" s="614">
        <f>Abs!A708</f>
        <v>0</v>
      </c>
      <c r="B773" s="620">
        <f>Abs!Y708</f>
        <v>0</v>
      </c>
      <c r="C773" s="621" t="str">
        <f>Abs!B708</f>
        <v>Supply and fixing of 250 amps cubical type panel board</v>
      </c>
      <c r="D773" s="617">
        <f>Abs!C708</f>
        <v>293</v>
      </c>
      <c r="E773" s="618" t="str">
        <f>Abs!D708</f>
        <v>Each</v>
      </c>
      <c r="F773" s="617">
        <f t="shared" si="11"/>
        <v>0</v>
      </c>
    </row>
    <row r="774" spans="1:6" s="496" customFormat="1" ht="21" hidden="1" customHeight="1">
      <c r="A774" s="614">
        <f>Abs!A709</f>
        <v>0</v>
      </c>
      <c r="B774" s="620">
        <f>Abs!Y709</f>
        <v>0</v>
      </c>
      <c r="C774" s="621" t="str">
        <f>Abs!B709</f>
        <v xml:space="preserve">Supplying and fixing of  SS Soap Tray  including cost of all materials and all labour charges etc complete </v>
      </c>
      <c r="D774" s="617">
        <f>Abs!C709</f>
        <v>704.75</v>
      </c>
      <c r="E774" s="618" t="str">
        <f>Abs!D709</f>
        <v>Each</v>
      </c>
      <c r="F774" s="617">
        <f t="shared" si="11"/>
        <v>0</v>
      </c>
    </row>
    <row r="775" spans="1:6" s="496" customFormat="1" ht="53.25" customHeight="1">
      <c r="A775" s="614">
        <f>Abs!A710</f>
        <v>0</v>
      </c>
      <c r="B775" s="620" t="e">
        <f>Abs!Y710</f>
        <v>#REF!</v>
      </c>
      <c r="C775" s="621" t="str">
        <f>Abs!B710</f>
        <v>Supplying and fixing of CP Angle cock  including cost of all materials and all labour charges etc complete (SR P-49 2021-2022)</v>
      </c>
      <c r="D775" s="617">
        <f>Abs!C710</f>
        <v>769</v>
      </c>
      <c r="E775" s="618" t="str">
        <f>Abs!D710</f>
        <v>Each</v>
      </c>
      <c r="F775" s="617" t="e">
        <f t="shared" si="11"/>
        <v>#REF!</v>
      </c>
    </row>
    <row r="776" spans="1:6" s="496" customFormat="1" ht="17.25" hidden="1">
      <c r="A776" s="614">
        <f>Abs!A711</f>
        <v>0</v>
      </c>
      <c r="B776" s="620" t="e">
        <f>Abs!Y711</f>
        <v>#REF!</v>
      </c>
      <c r="C776" s="621" t="str">
        <f>Abs!B711</f>
        <v>Supplying and fixing of 25x 3mm  Copper flat</v>
      </c>
      <c r="D776" s="617">
        <f>Abs!C711</f>
        <v>473.5</v>
      </c>
      <c r="E776" s="618" t="str">
        <f>Abs!D711</f>
        <v>Rmt</v>
      </c>
      <c r="F776" s="617" t="e">
        <f t="shared" ref="F776:F839" si="12">D776*B776</f>
        <v>#REF!</v>
      </c>
    </row>
    <row r="777" spans="1:6" s="496" customFormat="1" ht="30" hidden="1">
      <c r="A777" s="614">
        <f>Abs!A712</f>
        <v>0</v>
      </c>
      <c r="B777" s="620" t="e">
        <f>Abs!Y712</f>
        <v>#REF!</v>
      </c>
      <c r="C777" s="621" t="str">
        <f>Abs!B712</f>
        <v xml:space="preserve">Supply and fixing of Health faucet approved quality with ISI mark </v>
      </c>
      <c r="D777" s="617">
        <f>Abs!C712</f>
        <v>994</v>
      </c>
      <c r="E777" s="618" t="str">
        <f>Abs!D712</f>
        <v>Each</v>
      </c>
      <c r="F777" s="617" t="e">
        <f t="shared" si="12"/>
        <v>#REF!</v>
      </c>
    </row>
    <row r="778" spans="1:6" s="496" customFormat="1" ht="17.25" hidden="1">
      <c r="A778" s="614">
        <f>Abs!A713</f>
        <v>0</v>
      </c>
      <c r="B778" s="620" t="e">
        <f>Abs!Y713</f>
        <v>#REF!</v>
      </c>
      <c r="C778" s="621" t="str">
        <f>Abs!B713</f>
        <v>S&amp;F TPN 12 way DB encloser (SR-p-80)</v>
      </c>
      <c r="D778" s="617">
        <f>Abs!C713</f>
        <v>11481.8</v>
      </c>
      <c r="E778" s="618" t="str">
        <f>Abs!D713</f>
        <v>Each</v>
      </c>
      <c r="F778" s="617" t="e">
        <f t="shared" si="12"/>
        <v>#REF!</v>
      </c>
    </row>
    <row r="779" spans="1:6" s="496" customFormat="1" ht="36.6" hidden="1" customHeight="1">
      <c r="A779" s="614">
        <f>Abs!A714</f>
        <v>0</v>
      </c>
      <c r="B779" s="620" t="e">
        <f>Abs!Y714</f>
        <v>#REF!</v>
      </c>
      <c r="C779" s="621" t="str">
        <f>Abs!B714</f>
        <v>S&amp;F TPN 8 way DB encloser 
CER No.178/2013-14</v>
      </c>
      <c r="D779" s="617">
        <f>Abs!C714</f>
        <v>5325.6</v>
      </c>
      <c r="E779" s="618" t="str">
        <f>Abs!D714</f>
        <v>Each</v>
      </c>
      <c r="F779" s="617" t="e">
        <f t="shared" si="12"/>
        <v>#REF!</v>
      </c>
    </row>
    <row r="780" spans="1:6" s="496" customFormat="1" ht="30" hidden="1">
      <c r="A780" s="614">
        <f>Abs!A715</f>
        <v>0</v>
      </c>
      <c r="B780" s="620" t="e">
        <f>Abs!Y715</f>
        <v>#REF!</v>
      </c>
      <c r="C780" s="621" t="str">
        <f>Abs!B715</f>
        <v>S&amp;F TPN 6 way DB encloser
CER No.178/2013-14</v>
      </c>
      <c r="D780" s="617">
        <f>Abs!C715</f>
        <v>8254.6</v>
      </c>
      <c r="E780" s="618" t="str">
        <f>Abs!D715</f>
        <v>Each</v>
      </c>
      <c r="F780" s="617" t="e">
        <f t="shared" si="12"/>
        <v>#REF!</v>
      </c>
    </row>
    <row r="781" spans="1:6" s="496" customFormat="1" ht="30" hidden="1">
      <c r="A781" s="614">
        <f>Abs!A716</f>
        <v>0</v>
      </c>
      <c r="B781" s="620" t="e">
        <f>Abs!Y716</f>
        <v>#REF!</v>
      </c>
      <c r="C781" s="621" t="str">
        <f>Abs!B716</f>
        <v>S&amp;F TPN 4 way DB encloser
CER No.178/2013-14</v>
      </c>
      <c r="D781" s="617">
        <f>Abs!C716</f>
        <v>6588</v>
      </c>
      <c r="E781" s="618" t="str">
        <f>Abs!D716</f>
        <v>Each</v>
      </c>
      <c r="F781" s="617" t="e">
        <f t="shared" si="12"/>
        <v>#REF!</v>
      </c>
    </row>
    <row r="782" spans="1:6" s="496" customFormat="1" hidden="1">
      <c r="A782" s="614">
        <f>Abs!A717</f>
        <v>0</v>
      </c>
      <c r="B782" s="620" t="e">
        <f>Abs!Y717</f>
        <v>#REF!</v>
      </c>
      <c r="C782" s="621" t="str">
        <f>Abs!B717</f>
        <v>Supply and fixing of spot light of approved make and company with ISI CFL bulb  CER No.178/13-14</v>
      </c>
      <c r="D782" s="617">
        <f>Abs!C717</f>
        <v>593</v>
      </c>
      <c r="E782" s="618" t="str">
        <f>Abs!D717</f>
        <v>Each</v>
      </c>
      <c r="F782" s="617" t="e">
        <f t="shared" si="12"/>
        <v>#REF!</v>
      </c>
    </row>
    <row r="783" spans="1:6" s="496" customFormat="1" ht="17.25" hidden="1">
      <c r="A783" s="614">
        <f>Abs!A718</f>
        <v>0</v>
      </c>
      <c r="B783" s="620" t="e">
        <f>Abs!Y718</f>
        <v>#REF!</v>
      </c>
      <c r="C783" s="621" t="str">
        <f>Abs!B718</f>
        <v>S&amp;F OF UPVC  Windows ( Non  Schedule item )</v>
      </c>
      <c r="D783" s="617">
        <f>Abs!C718</f>
        <v>0</v>
      </c>
      <c r="E783" s="618">
        <f>Abs!D718</f>
        <v>0</v>
      </c>
      <c r="F783" s="617" t="e">
        <f t="shared" si="12"/>
        <v>#REF!</v>
      </c>
    </row>
    <row r="784" spans="1:6" s="496" customFormat="1" ht="17.25" hidden="1">
      <c r="A784" s="614">
        <f>Abs!A719</f>
        <v>0</v>
      </c>
      <c r="B784" s="620" t="e">
        <f>Abs!Y719</f>
        <v>#REF!</v>
      </c>
      <c r="C784" s="621" t="str">
        <f>Abs!B719</f>
        <v>a) FW 900 X 2100</v>
      </c>
      <c r="D784" s="617">
        <f>Abs!C719</f>
        <v>6300</v>
      </c>
      <c r="E784" s="618" t="str">
        <f>Abs!D719</f>
        <v>Sqm</v>
      </c>
      <c r="F784" s="617" t="e">
        <f t="shared" si="12"/>
        <v>#REF!</v>
      </c>
    </row>
    <row r="785" spans="1:6" ht="15.75" hidden="1">
      <c r="A785" s="614">
        <f>Abs!A720</f>
        <v>0</v>
      </c>
      <c r="B785" s="620" t="e">
        <f>Abs!Y720</f>
        <v>#REF!</v>
      </c>
      <c r="C785" s="621" t="str">
        <f>Abs!B720</f>
        <v>b) W 1800 X 1650</v>
      </c>
      <c r="D785" s="617">
        <f>Abs!C720</f>
        <v>6300</v>
      </c>
      <c r="E785" s="618" t="str">
        <f>Abs!D720</f>
        <v>Sqm</v>
      </c>
      <c r="F785" s="617" t="e">
        <f t="shared" si="12"/>
        <v>#REF!</v>
      </c>
    </row>
    <row r="786" spans="1:6" ht="15.75" hidden="1">
      <c r="A786" s="614">
        <f>Abs!A721</f>
        <v>0</v>
      </c>
      <c r="B786" s="620" t="e">
        <f>Abs!Y721</f>
        <v>#REF!</v>
      </c>
      <c r="C786" s="621" t="str">
        <f>Abs!B721</f>
        <v>c) W1 1500 X 1650</v>
      </c>
      <c r="D786" s="617">
        <f>Abs!C721</f>
        <v>6300</v>
      </c>
      <c r="E786" s="618" t="str">
        <f>Abs!D721</f>
        <v>Sqm</v>
      </c>
      <c r="F786" s="617" t="e">
        <f t="shared" si="12"/>
        <v>#REF!</v>
      </c>
    </row>
    <row r="787" spans="1:6" ht="15.75" hidden="1">
      <c r="A787" s="614">
        <f>Abs!A722</f>
        <v>0</v>
      </c>
      <c r="B787" s="620" t="e">
        <f>Abs!Y722</f>
        <v>#REF!</v>
      </c>
      <c r="C787" s="621" t="str">
        <f>Abs!B722</f>
        <v>d) W0 2400 X 1650</v>
      </c>
      <c r="D787" s="617">
        <f>Abs!C722</f>
        <v>6300</v>
      </c>
      <c r="E787" s="618" t="str">
        <f>Abs!D722</f>
        <v>Sqm</v>
      </c>
      <c r="F787" s="617" t="e">
        <f t="shared" si="12"/>
        <v>#REF!</v>
      </c>
    </row>
    <row r="788" spans="1:6" ht="64.5" hidden="1" customHeight="1">
      <c r="A788" s="614">
        <f>Abs!A723</f>
        <v>0</v>
      </c>
      <c r="B788" s="620" t="e">
        <f>Abs!Y723</f>
        <v>#REF!</v>
      </c>
      <c r="C788" s="621" t="str">
        <f>Abs!B723</f>
        <v>e) W2 1200 X 1650</v>
      </c>
      <c r="D788" s="617">
        <f>Abs!C723</f>
        <v>6300</v>
      </c>
      <c r="E788" s="618" t="str">
        <f>Abs!D723</f>
        <v>Sqm</v>
      </c>
      <c r="F788" s="617" t="e">
        <f t="shared" si="12"/>
        <v>#REF!</v>
      </c>
    </row>
    <row r="789" spans="1:6" ht="58.5" hidden="1" customHeight="1">
      <c r="A789" s="614">
        <f>Abs!A724</f>
        <v>0</v>
      </c>
      <c r="B789" s="620" t="e">
        <f>Abs!Y724</f>
        <v>#REF!</v>
      </c>
      <c r="C789" s="621">
        <f>Abs!B724</f>
        <v>0</v>
      </c>
      <c r="D789" s="617">
        <f>Abs!C724</f>
        <v>6300</v>
      </c>
      <c r="E789" s="618" t="str">
        <f>Abs!D724</f>
        <v>Sqm</v>
      </c>
      <c r="F789" s="617" t="e">
        <f t="shared" si="12"/>
        <v>#REF!</v>
      </c>
    </row>
    <row r="790" spans="1:6" s="496" customFormat="1" ht="17.25" hidden="1">
      <c r="A790" s="614">
        <f>Abs!A725</f>
        <v>0</v>
      </c>
      <c r="B790" s="620" t="e">
        <f>Abs!Y725</f>
        <v>#REF!</v>
      </c>
      <c r="C790" s="621" t="str">
        <f>Abs!B725</f>
        <v>g) FW1 4800 X 2300</v>
      </c>
      <c r="D790" s="617">
        <f>Abs!C725</f>
        <v>6300</v>
      </c>
      <c r="E790" s="618" t="str">
        <f>Abs!D725</f>
        <v>Sqm</v>
      </c>
      <c r="F790" s="617" t="e">
        <f t="shared" si="12"/>
        <v>#REF!</v>
      </c>
    </row>
    <row r="791" spans="1:6" s="496" customFormat="1" ht="46.9" hidden="1" customHeight="1">
      <c r="A791" s="614">
        <f>Abs!A726</f>
        <v>0</v>
      </c>
      <c r="B791" s="620" t="e">
        <f>Abs!Y726</f>
        <v>#REF!</v>
      </c>
      <c r="C791" s="621" t="str">
        <f>Abs!B726</f>
        <v>h) FW2 4200 X 2300</v>
      </c>
      <c r="D791" s="617">
        <f>Abs!C726</f>
        <v>6300</v>
      </c>
      <c r="E791" s="618" t="str">
        <f>Abs!D726</f>
        <v>Sqm</v>
      </c>
      <c r="F791" s="617" t="e">
        <f t="shared" si="12"/>
        <v>#REF!</v>
      </c>
    </row>
    <row r="792" spans="1:6" s="496" customFormat="1" ht="41.25" hidden="1" customHeight="1">
      <c r="A792" s="614">
        <f>Abs!A727</f>
        <v>0</v>
      </c>
      <c r="B792" s="620" t="e">
        <f>Abs!Y727</f>
        <v>#REF!</v>
      </c>
      <c r="C792" s="621" t="str">
        <f>Abs!B727</f>
        <v>S &amp; F of sodium vapour lamp with fitting 250watts</v>
      </c>
      <c r="D792" s="617">
        <f>Abs!C727</f>
        <v>5654</v>
      </c>
      <c r="E792" s="618" t="str">
        <f>Abs!D727</f>
        <v xml:space="preserve">Each </v>
      </c>
      <c r="F792" s="617" t="e">
        <f t="shared" si="12"/>
        <v>#REF!</v>
      </c>
    </row>
    <row r="793" spans="1:6" s="496" customFormat="1" ht="60" customHeight="1">
      <c r="A793" s="614">
        <f>Abs!A728</f>
        <v>0</v>
      </c>
      <c r="B793" s="620" t="e">
        <f>Abs!Y728</f>
        <v>#REF!</v>
      </c>
      <c r="C793" s="621" t="str">
        <f>Abs!B728</f>
        <v>Supplying and fixing in position of UPVC Ventilator louvered ventilator  type for all sizes 
 SR 2021-2022 p-66</v>
      </c>
      <c r="D793" s="617">
        <f>Abs!C728</f>
        <v>7720</v>
      </c>
      <c r="E793" s="618" t="str">
        <f>Abs!D728</f>
        <v>Sqm</v>
      </c>
      <c r="F793" s="617" t="e">
        <f t="shared" si="12"/>
        <v>#REF!</v>
      </c>
    </row>
    <row r="794" spans="1:6" s="496" customFormat="1" ht="74.25" customHeight="1">
      <c r="A794" s="614">
        <f>Abs!A729</f>
        <v>0</v>
      </c>
      <c r="B794" s="620" t="e">
        <f>Abs!Y729</f>
        <v>#REF!</v>
      </c>
      <c r="C794" s="621" t="str">
        <f>Abs!B729</f>
        <v>Supplying and fixing in position of UPVC window of casement type( open) for all sizes SR 2021-2022 p-65</v>
      </c>
      <c r="D794" s="617">
        <f>Abs!C729</f>
        <v>7126</v>
      </c>
      <c r="E794" s="618" t="str">
        <f>Abs!D729</f>
        <v>Sqm</v>
      </c>
      <c r="F794" s="617" t="e">
        <f t="shared" si="12"/>
        <v>#REF!</v>
      </c>
    </row>
    <row r="795" spans="1:6" s="496" customFormat="1" ht="30" hidden="1">
      <c r="A795" s="614">
        <f>Abs!A730</f>
        <v>0</v>
      </c>
      <c r="B795" s="620">
        <f>Abs!Y730</f>
        <v>0</v>
      </c>
      <c r="C795" s="621" t="str">
        <f>Abs!B730</f>
        <v>Supply and fixing of colour wash basin oval shape CER No.178/2013-14</v>
      </c>
      <c r="D795" s="617">
        <f>Abs!C730</f>
        <v>2286.4499999999998</v>
      </c>
      <c r="E795" s="618" t="str">
        <f>Abs!D730</f>
        <v>Each</v>
      </c>
      <c r="F795" s="617">
        <f t="shared" si="12"/>
        <v>0</v>
      </c>
    </row>
    <row r="796" spans="1:6" s="496" customFormat="1" ht="26.25" hidden="1" customHeight="1">
      <c r="A796" s="614">
        <f>Abs!A731</f>
        <v>0</v>
      </c>
      <c r="B796" s="620">
        <f>Abs!Y731</f>
        <v>0</v>
      </c>
      <c r="C796" s="621" t="str">
        <f>Abs!B731</f>
        <v xml:space="preserve">Supplying and Fixing of Rolling shutters of all sizes (under 8m2) PWD SR </v>
      </c>
      <c r="D796" s="617">
        <f>Abs!C731</f>
        <v>2131</v>
      </c>
      <c r="E796" s="618" t="str">
        <f>Abs!D731</f>
        <v>Sqm</v>
      </c>
      <c r="F796" s="617">
        <f t="shared" si="12"/>
        <v>0</v>
      </c>
    </row>
    <row r="797" spans="1:6" s="496" customFormat="1" ht="41.25" customHeight="1">
      <c r="A797" s="614">
        <f>Abs!A732</f>
        <v>0</v>
      </c>
      <c r="B797" s="615" t="e">
        <f>Abs!Y732</f>
        <v>#REF!</v>
      </c>
      <c r="C797" s="616" t="str">
        <f>Abs!B732</f>
        <v>Supplying and fixing of solid core flush door shutter of thickness 35mm</v>
      </c>
      <c r="D797" s="617">
        <f>Abs!C732</f>
        <v>0</v>
      </c>
      <c r="E797" s="618">
        <f>Abs!D732</f>
        <v>0</v>
      </c>
      <c r="F797" s="617"/>
    </row>
    <row r="798" spans="1:6" s="496" customFormat="1" ht="17.25" hidden="1">
      <c r="A798" s="614">
        <f>Abs!A733</f>
        <v>0</v>
      </c>
      <c r="B798" s="620">
        <f>Abs!Y733</f>
        <v>0</v>
      </c>
      <c r="C798" s="621" t="str">
        <f>Abs!B733</f>
        <v>a) door size 1.80 m x 2.40 (Double leaf)</v>
      </c>
      <c r="D798" s="617">
        <f>Abs!C733</f>
        <v>2963.85</v>
      </c>
      <c r="E798" s="618" t="str">
        <f>Abs!D733</f>
        <v>Sqm</v>
      </c>
      <c r="F798" s="617">
        <f t="shared" si="12"/>
        <v>0</v>
      </c>
    </row>
    <row r="799" spans="1:6" s="496" customFormat="1" ht="17.25" hidden="1">
      <c r="A799" s="614">
        <f>Abs!A734</f>
        <v>0</v>
      </c>
      <c r="B799" s="620">
        <f>Abs!Y734</f>
        <v>0</v>
      </c>
      <c r="C799" s="621" t="str">
        <f>Abs!B734</f>
        <v>b) door size 1.80 m x 2.10 (Double leaf)</v>
      </c>
      <c r="D799" s="617">
        <f>Abs!C734</f>
        <v>2979.58</v>
      </c>
      <c r="E799" s="618" t="str">
        <f>Abs!D734</f>
        <v>Sqm</v>
      </c>
      <c r="F799" s="617">
        <f t="shared" si="12"/>
        <v>0</v>
      </c>
    </row>
    <row r="800" spans="1:6" s="496" customFormat="1" ht="17.25" hidden="1">
      <c r="A800" s="614">
        <f>Abs!A735</f>
        <v>0</v>
      </c>
      <c r="B800" s="620">
        <f>Abs!Y735</f>
        <v>0</v>
      </c>
      <c r="C800" s="621" t="str">
        <f>Abs!B735</f>
        <v>c) door size 1.50 m x 2.40 (Double leaf)</v>
      </c>
      <c r="D800" s="617">
        <f>Abs!C735</f>
        <v>3004.28</v>
      </c>
      <c r="E800" s="618" t="str">
        <f>Abs!D735</f>
        <v>Sqm</v>
      </c>
      <c r="F800" s="617">
        <f t="shared" si="12"/>
        <v>0</v>
      </c>
    </row>
    <row r="801" spans="1:6" s="496" customFormat="1" ht="17.25" hidden="1">
      <c r="A801" s="614">
        <f>Abs!A736</f>
        <v>0</v>
      </c>
      <c r="B801" s="620">
        <f>Abs!Y736</f>
        <v>0</v>
      </c>
      <c r="C801" s="621" t="str">
        <f>Abs!B736</f>
        <v>d).  door size 1.50 m x 2.100 (Double leaf)</v>
      </c>
      <c r="D801" s="617">
        <f>Abs!C736</f>
        <v>3074.09</v>
      </c>
      <c r="E801" s="618" t="str">
        <f>Abs!D736</f>
        <v>Sqm</v>
      </c>
      <c r="F801" s="617">
        <f t="shared" si="12"/>
        <v>0</v>
      </c>
    </row>
    <row r="802" spans="1:6" s="496" customFormat="1" ht="17.25" hidden="1">
      <c r="A802" s="614">
        <f>Abs!A737</f>
        <v>0</v>
      </c>
      <c r="B802" s="620">
        <f>Abs!Y737</f>
        <v>0</v>
      </c>
      <c r="C802" s="621" t="str">
        <f>Abs!B737</f>
        <v>e). door size 1.200 m x 2.400 (double Leaf)</v>
      </c>
      <c r="D802" s="617">
        <f>Abs!C737</f>
        <v>3198.2</v>
      </c>
      <c r="E802" s="618" t="str">
        <f>Abs!D737</f>
        <v>Sqm</v>
      </c>
      <c r="F802" s="617">
        <f t="shared" si="12"/>
        <v>0</v>
      </c>
    </row>
    <row r="803" spans="1:6" s="496" customFormat="1" ht="17.25" hidden="1">
      <c r="A803" s="614">
        <f>Abs!A738</f>
        <v>0</v>
      </c>
      <c r="B803" s="620">
        <f>Abs!Y738</f>
        <v>0</v>
      </c>
      <c r="C803" s="621" t="str">
        <f>Abs!B738</f>
        <v>f). door size 1.200m x 2.100 (Double leaf)</v>
      </c>
      <c r="D803" s="617">
        <f>Abs!C738</f>
        <v>3222.3</v>
      </c>
      <c r="E803" s="618" t="str">
        <f>Abs!D738</f>
        <v>Sqm</v>
      </c>
      <c r="F803" s="617">
        <f t="shared" si="12"/>
        <v>0</v>
      </c>
    </row>
    <row r="804" spans="1:6" s="496" customFormat="1" ht="33" customHeight="1">
      <c r="A804" s="614">
        <f>Abs!A739</f>
        <v>0</v>
      </c>
      <c r="B804" s="620" t="e">
        <f>Abs!Y739</f>
        <v>#REF!</v>
      </c>
      <c r="C804" s="621" t="str">
        <f>Abs!B739</f>
        <v>g).  door size 1.000 m x 2.100 (Single Leaf)</v>
      </c>
      <c r="D804" s="617">
        <f>Abs!C739</f>
        <v>2939.38</v>
      </c>
      <c r="E804" s="618" t="str">
        <f>Abs!D739</f>
        <v>Sqm</v>
      </c>
      <c r="F804" s="617" t="e">
        <f t="shared" si="12"/>
        <v>#REF!</v>
      </c>
    </row>
    <row r="805" spans="1:6" s="496" customFormat="1" ht="38.25" hidden="1" customHeight="1">
      <c r="A805" s="614">
        <f>Abs!A740</f>
        <v>0</v>
      </c>
      <c r="B805" s="620" t="e">
        <f>Abs!Y740</f>
        <v>#REF!</v>
      </c>
      <c r="C805" s="621" t="str">
        <f>Abs!B740</f>
        <v>h).  door size 1.00 m x 2.400 (Single Leaf)</v>
      </c>
      <c r="D805" s="617">
        <f>Abs!C740</f>
        <v>2912.93</v>
      </c>
      <c r="E805" s="618" t="str">
        <f>Abs!D740</f>
        <v>Sqm</v>
      </c>
      <c r="F805" s="617" t="e">
        <f t="shared" si="12"/>
        <v>#REF!</v>
      </c>
    </row>
    <row r="806" spans="1:6" s="496" customFormat="1" ht="25.5" hidden="1" customHeight="1">
      <c r="A806" s="614">
        <f>Abs!A741</f>
        <v>0</v>
      </c>
      <c r="B806" s="620" t="e">
        <f>Abs!Y741</f>
        <v>#REF!</v>
      </c>
      <c r="C806" s="621" t="str">
        <f>Abs!B741</f>
        <v>i.  door size 0.900 m x 2.100 (Single Leaf)</v>
      </c>
      <c r="D806" s="617">
        <f>Abs!C741</f>
        <v>3002.61</v>
      </c>
      <c r="E806" s="618" t="str">
        <f>Abs!D741</f>
        <v>Sqm</v>
      </c>
      <c r="F806" s="617" t="e">
        <f t="shared" si="12"/>
        <v>#REF!</v>
      </c>
    </row>
    <row r="807" spans="1:6" s="496" customFormat="1" ht="25.5" hidden="1" customHeight="1">
      <c r="A807" s="614">
        <f>Abs!A742</f>
        <v>0</v>
      </c>
      <c r="B807" s="620" t="e">
        <f>Abs!Y742</f>
        <v>#REF!</v>
      </c>
      <c r="C807" s="621" t="str">
        <f>Abs!B742</f>
        <v>i.  door size 0.900 m x 2.400 (Single Leaf)</v>
      </c>
      <c r="D807" s="617">
        <f>Abs!C742</f>
        <v>2972.99</v>
      </c>
      <c r="E807" s="618" t="str">
        <f>Abs!D742</f>
        <v>Sqm</v>
      </c>
      <c r="F807" s="617" t="e">
        <f t="shared" si="12"/>
        <v>#REF!</v>
      </c>
    </row>
    <row r="808" spans="1:6" s="496" customFormat="1" ht="26.25" hidden="1" customHeight="1">
      <c r="A808" s="614">
        <f>Abs!A743</f>
        <v>0</v>
      </c>
      <c r="B808" s="620" t="e">
        <f>Abs!Y743</f>
        <v>#REF!</v>
      </c>
      <c r="C808" s="621" t="str">
        <f>Abs!B743</f>
        <v>Providing additional strutting to centering of plain surface.</v>
      </c>
      <c r="D808" s="617">
        <f>Abs!C743</f>
        <v>30.62</v>
      </c>
      <c r="E808" s="618" t="str">
        <f>Abs!D743</f>
        <v>Sqm</v>
      </c>
      <c r="F808" s="617" t="e">
        <f t="shared" si="12"/>
        <v>#REF!</v>
      </c>
    </row>
    <row r="809" spans="1:6" s="496" customFormat="1" ht="63" customHeight="1">
      <c r="A809" s="614">
        <f>Abs!A744</f>
        <v>0</v>
      </c>
      <c r="B809" s="615" t="e">
        <f>Abs!Y744</f>
        <v>#REF!</v>
      </c>
      <c r="C809" s="616" t="str">
        <f>Abs!B744</f>
        <v>S &amp; F of Granite slab of size 4'x2', 18 to 20mm Thick For kitchen arrangements (jet black)</v>
      </c>
      <c r="D809" s="617">
        <f>Abs!C744</f>
        <v>0</v>
      </c>
      <c r="E809" s="618">
        <f>Abs!D744</f>
        <v>0</v>
      </c>
      <c r="F809" s="617"/>
    </row>
    <row r="810" spans="1:6" s="496" customFormat="1" ht="38.25" hidden="1" customHeight="1">
      <c r="A810" s="614">
        <f>Abs!A745</f>
        <v>0</v>
      </c>
      <c r="B810" s="620">
        <f>Abs!Y745</f>
        <v>0</v>
      </c>
      <c r="C810" s="621" t="str">
        <f>Abs!B745</f>
        <v>a. In Ground floor</v>
      </c>
      <c r="D810" s="617">
        <f>Abs!C745</f>
        <v>1918.17</v>
      </c>
      <c r="E810" s="618" t="str">
        <f>Abs!D745</f>
        <v>Sqm</v>
      </c>
      <c r="F810" s="617">
        <f t="shared" si="12"/>
        <v>0</v>
      </c>
    </row>
    <row r="811" spans="1:6" s="496" customFormat="1" ht="27.95" customHeight="1">
      <c r="A811" s="614">
        <f>Abs!A746</f>
        <v>0</v>
      </c>
      <c r="B811" s="620" t="e">
        <f>Abs!Y746</f>
        <v>#REF!</v>
      </c>
      <c r="C811" s="621" t="str">
        <f>Abs!B746</f>
        <v>b. In First floor</v>
      </c>
      <c r="D811" s="617">
        <f>Abs!C746</f>
        <v>1922.44</v>
      </c>
      <c r="E811" s="618" t="str">
        <f>Abs!D746</f>
        <v>Sqm</v>
      </c>
      <c r="F811" s="617" t="e">
        <f t="shared" si="12"/>
        <v>#REF!</v>
      </c>
    </row>
    <row r="812" spans="1:6" s="496" customFormat="1" ht="27.95" customHeight="1">
      <c r="A812" s="614">
        <f>Abs!A747</f>
        <v>0</v>
      </c>
      <c r="B812" s="620" t="e">
        <f>Abs!Y747</f>
        <v>#REF!</v>
      </c>
      <c r="C812" s="621" t="str">
        <f>Abs!B747</f>
        <v>c. In Second floor</v>
      </c>
      <c r="D812" s="617">
        <f>Abs!C747</f>
        <v>1926.71</v>
      </c>
      <c r="E812" s="618" t="str">
        <f>Abs!D747</f>
        <v>Sqm</v>
      </c>
      <c r="F812" s="617" t="e">
        <f t="shared" si="12"/>
        <v>#REF!</v>
      </c>
    </row>
    <row r="813" spans="1:6" s="496" customFormat="1" ht="27.95" hidden="1" customHeight="1">
      <c r="A813" s="614">
        <f>Abs!A748</f>
        <v>0</v>
      </c>
      <c r="B813" s="620" t="e">
        <f>Abs!Y748</f>
        <v>#REF!</v>
      </c>
      <c r="C813" s="621" t="str">
        <f>Abs!B748</f>
        <v>d. In Third floor</v>
      </c>
      <c r="D813" s="617">
        <f>Abs!C748</f>
        <v>1930.98</v>
      </c>
      <c r="E813" s="618" t="str">
        <f>Abs!D748</f>
        <v>Sqm</v>
      </c>
      <c r="F813" s="617" t="e">
        <f t="shared" si="12"/>
        <v>#REF!</v>
      </c>
    </row>
    <row r="814" spans="1:6" s="496" customFormat="1" ht="26.25" hidden="1" customHeight="1">
      <c r="A814" s="614">
        <f>Abs!A749</f>
        <v>0</v>
      </c>
      <c r="B814" s="620" t="e">
        <f>Abs!Y749</f>
        <v>#REF!</v>
      </c>
      <c r="C814" s="621" t="str">
        <f>Abs!B749</f>
        <v>S &amp; F of Granite tile of size 2'x 1', 10mm Thick For  (jet black)</v>
      </c>
      <c r="D814" s="617">
        <f>Abs!C749</f>
        <v>0</v>
      </c>
      <c r="E814" s="618">
        <f>Abs!D749</f>
        <v>0</v>
      </c>
      <c r="F814" s="617" t="e">
        <f t="shared" si="12"/>
        <v>#REF!</v>
      </c>
    </row>
    <row r="815" spans="1:6" s="496" customFormat="1" ht="26.25" hidden="1" customHeight="1">
      <c r="A815" s="614">
        <f>Abs!A750</f>
        <v>0</v>
      </c>
      <c r="B815" s="620" t="e">
        <f>Abs!Y750</f>
        <v>#REF!</v>
      </c>
      <c r="C815" s="621" t="str">
        <f>Abs!B750</f>
        <v>a. In Ground floor</v>
      </c>
      <c r="D815" s="617">
        <f>Abs!C750</f>
        <v>1049.08</v>
      </c>
      <c r="E815" s="618" t="str">
        <f>Abs!D750</f>
        <v>Sqm</v>
      </c>
      <c r="F815" s="617" t="e">
        <f t="shared" si="12"/>
        <v>#REF!</v>
      </c>
    </row>
    <row r="816" spans="1:6" s="496" customFormat="1" ht="26.25" hidden="1" customHeight="1">
      <c r="A816" s="614">
        <f>Abs!A751</f>
        <v>0</v>
      </c>
      <c r="B816" s="620" t="e">
        <f>Abs!Y751</f>
        <v>#REF!</v>
      </c>
      <c r="C816" s="621" t="str">
        <f>Abs!B751</f>
        <v>b. In First floor</v>
      </c>
      <c r="D816" s="617">
        <f>Abs!C751</f>
        <v>1051.22</v>
      </c>
      <c r="E816" s="618" t="str">
        <f>Abs!D751</f>
        <v>Sqm</v>
      </c>
      <c r="F816" s="617" t="e">
        <f t="shared" si="12"/>
        <v>#REF!</v>
      </c>
    </row>
    <row r="817" spans="1:6" ht="15.75" hidden="1">
      <c r="A817" s="614">
        <f>Abs!A752</f>
        <v>0</v>
      </c>
      <c r="B817" s="620" t="e">
        <f>Abs!Y752</f>
        <v>#REF!</v>
      </c>
      <c r="C817" s="621" t="str">
        <f>Abs!B752</f>
        <v>c. In Second floor</v>
      </c>
      <c r="D817" s="617">
        <f>Abs!C752</f>
        <v>1053.3599999999999</v>
      </c>
      <c r="E817" s="618" t="str">
        <f>Abs!D752</f>
        <v>Sqm</v>
      </c>
      <c r="F817" s="617" t="e">
        <f t="shared" si="12"/>
        <v>#REF!</v>
      </c>
    </row>
    <row r="818" spans="1:6" s="496" customFormat="1" ht="33.75" hidden="1" customHeight="1">
      <c r="A818" s="614">
        <f>Abs!A753</f>
        <v>0</v>
      </c>
      <c r="B818" s="620" t="e">
        <f>Abs!Y753</f>
        <v>#REF!</v>
      </c>
      <c r="C818" s="621" t="str">
        <f>Abs!B753</f>
        <v>c. In Third floor</v>
      </c>
      <c r="D818" s="617">
        <f>Abs!C753</f>
        <v>1055.31</v>
      </c>
      <c r="E818" s="618" t="str">
        <f>Abs!D753</f>
        <v>Sqm</v>
      </c>
      <c r="F818" s="617" t="e">
        <f t="shared" si="12"/>
        <v>#REF!</v>
      </c>
    </row>
    <row r="819" spans="1:6" ht="27.6" hidden="1" customHeight="1">
      <c r="A819" s="614">
        <f>Abs!A754</f>
        <v>0</v>
      </c>
      <c r="B819" s="620" t="e">
        <f>Abs!Y754</f>
        <v>#REF!</v>
      </c>
      <c r="C819" s="621" t="str">
        <f>Abs!B754</f>
        <v>Aluminum Louvered ventilators</v>
      </c>
      <c r="D819" s="617">
        <f>Abs!C754</f>
        <v>0</v>
      </c>
      <c r="E819" s="618">
        <f>Abs!D754</f>
        <v>0</v>
      </c>
      <c r="F819" s="617" t="e">
        <f t="shared" si="12"/>
        <v>#REF!</v>
      </c>
    </row>
    <row r="820" spans="1:6" ht="31.9" hidden="1" customHeight="1">
      <c r="A820" s="614">
        <f>Abs!A755</f>
        <v>0</v>
      </c>
      <c r="B820" s="620" t="e">
        <f>Abs!Y755</f>
        <v>#REF!</v>
      </c>
      <c r="C820" s="621" t="str">
        <f>Abs!B755</f>
        <v>a. 1.35 x 0.60 mt ventilators</v>
      </c>
      <c r="D820" s="617">
        <f>Abs!C755</f>
        <v>4633.6899999999996</v>
      </c>
      <c r="E820" s="618" t="str">
        <f>Abs!D755</f>
        <v>Sqm</v>
      </c>
      <c r="F820" s="617" t="e">
        <f t="shared" si="12"/>
        <v>#REF!</v>
      </c>
    </row>
    <row r="821" spans="1:6" ht="31.9" hidden="1" customHeight="1">
      <c r="A821" s="614">
        <f>Abs!A756</f>
        <v>0</v>
      </c>
      <c r="B821" s="620" t="e">
        <f>Abs!Y756</f>
        <v>#REF!</v>
      </c>
      <c r="C821" s="621" t="str">
        <f>Abs!B756</f>
        <v>d. 1.0 x 0.60 mt ventilators</v>
      </c>
      <c r="D821" s="617">
        <f>Abs!C756</f>
        <v>4631</v>
      </c>
      <c r="E821" s="618" t="str">
        <f>Abs!D756</f>
        <v>Sqm</v>
      </c>
      <c r="F821" s="617" t="e">
        <f t="shared" si="12"/>
        <v>#REF!</v>
      </c>
    </row>
    <row r="822" spans="1:6" ht="24" hidden="1" customHeight="1">
      <c r="A822" s="614">
        <f>Abs!A757</f>
        <v>0</v>
      </c>
      <c r="B822" s="620" t="e">
        <f>Abs!Y757</f>
        <v>#REF!</v>
      </c>
      <c r="C822" s="621" t="str">
        <f>Abs!B757</f>
        <v>a. 0.90 x 0.60 mt ventilators</v>
      </c>
      <c r="D822" s="617">
        <f>Abs!C757</f>
        <v>4631</v>
      </c>
      <c r="E822" s="618" t="str">
        <f>Abs!D757</f>
        <v>Sqm</v>
      </c>
      <c r="F822" s="617" t="e">
        <f t="shared" si="12"/>
        <v>#REF!</v>
      </c>
    </row>
    <row r="823" spans="1:6" ht="15.75" hidden="1">
      <c r="A823" s="614">
        <f>Abs!A758</f>
        <v>0</v>
      </c>
      <c r="B823" s="620" t="e">
        <f>Abs!Y758</f>
        <v>#REF!</v>
      </c>
      <c r="C823" s="621" t="str">
        <f>Abs!B758</f>
        <v>c. 0.75 x 0.60 mt ventilators</v>
      </c>
      <c r="D823" s="617">
        <f>Abs!C758</f>
        <v>4843.93</v>
      </c>
      <c r="E823" s="618" t="str">
        <f>Abs!D758</f>
        <v>Sqm</v>
      </c>
      <c r="F823" s="617" t="e">
        <f t="shared" si="12"/>
        <v>#REF!</v>
      </c>
    </row>
    <row r="824" spans="1:6" ht="27.6" hidden="1" customHeight="1">
      <c r="A824" s="614">
        <f>Abs!A759</f>
        <v>0</v>
      </c>
      <c r="B824" s="620" t="e">
        <f>Abs!Y759</f>
        <v>#REF!</v>
      </c>
      <c r="C824" s="621" t="str">
        <f>Abs!B759</f>
        <v>b. 0.60 x 0.60 mt ventilators</v>
      </c>
      <c r="D824" s="617">
        <f>Abs!C759</f>
        <v>5154.1099999999997</v>
      </c>
      <c r="E824" s="618" t="str">
        <f>Abs!D759</f>
        <v>Sqm</v>
      </c>
      <c r="F824" s="617" t="e">
        <f t="shared" si="12"/>
        <v>#REF!</v>
      </c>
    </row>
    <row r="825" spans="1:6" ht="15.75" hidden="1">
      <c r="A825" s="614">
        <f>Abs!A760</f>
        <v>0</v>
      </c>
      <c r="B825" s="620" t="e">
        <f>Abs!Y760</f>
        <v>#REF!</v>
      </c>
      <c r="C825" s="621" t="str">
        <f>Abs!B760</f>
        <v>Supply &amp; Fixing of MS door  (for lockup door )</v>
      </c>
      <c r="D825" s="617">
        <f>Abs!C760</f>
        <v>0</v>
      </c>
      <c r="E825" s="618">
        <f>Abs!D760</f>
        <v>0</v>
      </c>
      <c r="F825" s="617" t="e">
        <f t="shared" si="12"/>
        <v>#REF!</v>
      </c>
    </row>
    <row r="826" spans="1:6" ht="27.6" hidden="1" customHeight="1">
      <c r="A826" s="614">
        <f>Abs!A761</f>
        <v>0</v>
      </c>
      <c r="B826" s="620" t="e">
        <f>Abs!Y761</f>
        <v>#REF!</v>
      </c>
      <c r="C826" s="621" t="str">
        <f>Abs!B761</f>
        <v>MS door of Size 1000 x 2100mm</v>
      </c>
      <c r="D826" s="617">
        <f>Abs!C761</f>
        <v>8458.2000000000007</v>
      </c>
      <c r="E826" s="618" t="str">
        <f>Abs!D761</f>
        <v>each</v>
      </c>
      <c r="F826" s="617" t="e">
        <f t="shared" si="12"/>
        <v>#REF!</v>
      </c>
    </row>
    <row r="827" spans="1:6" ht="15.75" hidden="1">
      <c r="A827" s="614">
        <f>Abs!A762</f>
        <v>0</v>
      </c>
      <c r="B827" s="620" t="e">
        <f>Abs!Y762</f>
        <v>#REF!</v>
      </c>
      <c r="C827" s="621" t="str">
        <f>Abs!B762</f>
        <v>MS door of Size 750 x 1350mm</v>
      </c>
      <c r="D827" s="617">
        <f>Abs!C762</f>
        <v>5510.55</v>
      </c>
      <c r="E827" s="618" t="str">
        <f>Abs!D762</f>
        <v>Each</v>
      </c>
      <c r="F827" s="617" t="e">
        <f t="shared" si="12"/>
        <v>#REF!</v>
      </c>
    </row>
    <row r="828" spans="1:6" ht="31.9" hidden="1" customHeight="1">
      <c r="A828" s="614">
        <f>Abs!A763</f>
        <v>0</v>
      </c>
      <c r="B828" s="620" t="e">
        <f>Abs!Y763</f>
        <v>#REF!</v>
      </c>
      <c r="C828" s="621" t="str">
        <f>Abs!B763</f>
        <v xml:space="preserve">Supply &amp; Fixing of MS ventilator of size 
( lockup)
</v>
      </c>
      <c r="D828" s="617">
        <f>Abs!C763</f>
        <v>0</v>
      </c>
      <c r="E828" s="618">
        <f>Abs!D763</f>
        <v>0</v>
      </c>
      <c r="F828" s="617" t="e">
        <f t="shared" si="12"/>
        <v>#REF!</v>
      </c>
    </row>
    <row r="829" spans="1:6" ht="15.75" hidden="1">
      <c r="A829" s="614">
        <f>Abs!A764</f>
        <v>0</v>
      </c>
      <c r="B829" s="620" t="e">
        <f>Abs!Y764</f>
        <v>#REF!</v>
      </c>
      <c r="C829" s="621" t="str">
        <f>Abs!B764</f>
        <v>MS Ventilator of Size 1350 x 600mm</v>
      </c>
      <c r="D829" s="617">
        <f>Abs!C764</f>
        <v>3840.75</v>
      </c>
      <c r="E829" s="618" t="str">
        <f>Abs!D764</f>
        <v>Sqm</v>
      </c>
      <c r="F829" s="617" t="e">
        <f t="shared" si="12"/>
        <v>#REF!</v>
      </c>
    </row>
    <row r="830" spans="1:6" ht="30" hidden="1">
      <c r="A830" s="614">
        <f>Abs!A765</f>
        <v>0</v>
      </c>
      <c r="B830" s="620" t="e">
        <f>Abs!Y765</f>
        <v>#REF!</v>
      </c>
      <c r="C830" s="621" t="str">
        <f>Abs!B765</f>
        <v xml:space="preserve"> MS ventilator of size  1200 x 800 mm
</v>
      </c>
      <c r="D830" s="617">
        <f>Abs!C765</f>
        <v>4173.82</v>
      </c>
      <c r="E830" s="618" t="str">
        <f>Abs!D765</f>
        <v>Sqm</v>
      </c>
      <c r="F830" s="617" t="e">
        <f t="shared" si="12"/>
        <v>#REF!</v>
      </c>
    </row>
    <row r="831" spans="1:6" s="496" customFormat="1" ht="30" hidden="1">
      <c r="A831" s="614">
        <f>Abs!A766</f>
        <v>0</v>
      </c>
      <c r="B831" s="620" t="e">
        <f>Abs!Y766</f>
        <v>#REF!</v>
      </c>
      <c r="C831" s="621" t="str">
        <f>Abs!B766</f>
        <v xml:space="preserve"> MS ventilator of size  1200 x 600 mm
</v>
      </c>
      <c r="D831" s="617">
        <f>Abs!C766</f>
        <v>3884.75</v>
      </c>
      <c r="E831" s="618" t="str">
        <f>Abs!D766</f>
        <v>Sqm</v>
      </c>
      <c r="F831" s="617" t="e">
        <f t="shared" si="12"/>
        <v>#REF!</v>
      </c>
    </row>
    <row r="832" spans="1:6" s="496" customFormat="1" ht="30" hidden="1">
      <c r="A832" s="614">
        <f>Abs!A767</f>
        <v>0</v>
      </c>
      <c r="B832" s="620" t="e">
        <f>Abs!Y767</f>
        <v>#REF!</v>
      </c>
      <c r="C832" s="621" t="str">
        <f>Abs!B767</f>
        <v xml:space="preserve"> MS ventilator of size  1000 x 800 mm
</v>
      </c>
      <c r="D832" s="617">
        <f>Abs!C767</f>
        <v>4106.45</v>
      </c>
      <c r="E832" s="618" t="str">
        <f>Abs!D767</f>
        <v>Sqm</v>
      </c>
      <c r="F832" s="617" t="e">
        <f t="shared" si="12"/>
        <v>#REF!</v>
      </c>
    </row>
    <row r="833" spans="1:6" s="496" customFormat="1" ht="17.25" hidden="1">
      <c r="A833" s="614">
        <f>Abs!A768</f>
        <v>0</v>
      </c>
      <c r="B833" s="620" t="e">
        <f>Abs!Y768</f>
        <v>#REF!</v>
      </c>
      <c r="C833" s="621" t="str">
        <f>Abs!B768</f>
        <v>MS Ventilator of Size 900 x 600mm</v>
      </c>
      <c r="D833" s="617">
        <f>Abs!C768</f>
        <v>4366.33</v>
      </c>
      <c r="E833" s="618" t="str">
        <f>Abs!D768</f>
        <v>Sqm</v>
      </c>
      <c r="F833" s="617" t="e">
        <f t="shared" si="12"/>
        <v>#REF!</v>
      </c>
    </row>
    <row r="834" spans="1:6" s="496" customFormat="1" ht="17.25" hidden="1">
      <c r="A834" s="614">
        <f>Abs!A769</f>
        <v>0</v>
      </c>
      <c r="B834" s="620" t="e">
        <f>Abs!Y769</f>
        <v>#REF!</v>
      </c>
      <c r="C834" s="621" t="str">
        <f>Abs!B769</f>
        <v>MS Ventilator of Size 600 x 600mm</v>
      </c>
      <c r="D834" s="617">
        <f>Abs!C769</f>
        <v>4626.8100000000004</v>
      </c>
      <c r="E834" s="618" t="str">
        <f>Abs!D769</f>
        <v>Sqm</v>
      </c>
      <c r="F834" s="617" t="e">
        <f t="shared" si="12"/>
        <v>#REF!</v>
      </c>
    </row>
    <row r="835" spans="1:6" s="496" customFormat="1" ht="48" hidden="1" customHeight="1">
      <c r="A835" s="614">
        <f>Abs!A770</f>
        <v>0</v>
      </c>
      <c r="B835" s="620" t="e">
        <f>Abs!Y770</f>
        <v>#REF!</v>
      </c>
      <c r="C835" s="621" t="str">
        <f>Abs!B770</f>
        <v>MS Ventilator of Size 1285 x 600mm</v>
      </c>
      <c r="D835" s="617">
        <f>Abs!C770</f>
        <v>3984.57</v>
      </c>
      <c r="E835" s="618" t="str">
        <f>Abs!D770</f>
        <v>Sqm</v>
      </c>
      <c r="F835" s="617" t="e">
        <f t="shared" si="12"/>
        <v>#REF!</v>
      </c>
    </row>
    <row r="836" spans="1:6" s="496" customFormat="1" ht="54" hidden="1" customHeight="1">
      <c r="A836" s="614">
        <f>Abs!A771</f>
        <v>0</v>
      </c>
      <c r="B836" s="620" t="e">
        <f>Abs!Y771</f>
        <v>#REF!</v>
      </c>
      <c r="C836" s="621" t="str">
        <f>Abs!B771</f>
        <v>Supply and fixing of 19mm dia steam pipe for down rod of fan (SD 106)</v>
      </c>
      <c r="D836" s="617">
        <f>Abs!C771</f>
        <v>61.8</v>
      </c>
      <c r="E836" s="618" t="str">
        <f>Abs!D771</f>
        <v>Each</v>
      </c>
      <c r="F836" s="617" t="e">
        <f t="shared" si="12"/>
        <v>#REF!</v>
      </c>
    </row>
    <row r="837" spans="1:6" s="496" customFormat="1" ht="54" hidden="1" customHeight="1">
      <c r="A837" s="614">
        <f>Abs!A772</f>
        <v>0</v>
      </c>
      <c r="B837" s="620" t="e">
        <f>Abs!Y772</f>
        <v>#REF!</v>
      </c>
      <c r="C837" s="621" t="str">
        <f>Abs!B772</f>
        <v>Supply and fixing of  SS Towel rail (75cm length) CER No.178/13-14</v>
      </c>
      <c r="D837" s="617">
        <f>Abs!C772</f>
        <v>405</v>
      </c>
      <c r="E837" s="618" t="str">
        <f>Abs!D772</f>
        <v>Rmt</v>
      </c>
      <c r="F837" s="617" t="e">
        <f t="shared" si="12"/>
        <v>#REF!</v>
      </c>
    </row>
    <row r="838" spans="1:6" s="496" customFormat="1" ht="45" hidden="1" customHeight="1">
      <c r="A838" s="614">
        <f>Abs!A773</f>
        <v>0</v>
      </c>
      <c r="B838" s="620" t="e">
        <f>Abs!Y773</f>
        <v>#REF!</v>
      </c>
      <c r="C838" s="621" t="str">
        <f>Abs!B773</f>
        <v>Supply and fixing of weld mesh of size 7.5x2.5cmx10gauge</v>
      </c>
      <c r="D838" s="617">
        <f>Abs!C773</f>
        <v>325</v>
      </c>
      <c r="E838" s="618" t="str">
        <f>Abs!D773</f>
        <v>Sqm</v>
      </c>
      <c r="F838" s="617" t="e">
        <f t="shared" si="12"/>
        <v>#REF!</v>
      </c>
    </row>
    <row r="839" spans="1:6" s="496" customFormat="1" ht="57" hidden="1" customHeight="1">
      <c r="A839" s="614">
        <f>Abs!A774</f>
        <v>0</v>
      </c>
      <c r="B839" s="620" t="e">
        <f>Abs!Y774</f>
        <v>#REF!</v>
      </c>
      <c r="C839" s="621" t="str">
        <f>Abs!B774</f>
        <v>Supply and fixing of Chicken mesh</v>
      </c>
      <c r="D839" s="617">
        <f>Abs!C774</f>
        <v>35</v>
      </c>
      <c r="E839" s="618" t="str">
        <f>Abs!D774</f>
        <v>Sqm</v>
      </c>
      <c r="F839" s="617" t="e">
        <f t="shared" si="12"/>
        <v>#REF!</v>
      </c>
    </row>
    <row r="840" spans="1:6" s="496" customFormat="1" ht="47.25" customHeight="1">
      <c r="A840" s="614">
        <f>Abs!A775</f>
        <v>0</v>
      </c>
      <c r="B840" s="620" t="e">
        <f>Abs!Y775</f>
        <v>#REF!</v>
      </c>
      <c r="C840" s="621" t="str">
        <f>Abs!B775</f>
        <v>S &amp; F of 15mm dia CP long body</v>
      </c>
      <c r="D840" s="617">
        <f>Abs!C775</f>
        <v>467</v>
      </c>
      <c r="E840" s="618" t="str">
        <f>Abs!D775</f>
        <v>Each</v>
      </c>
      <c r="F840" s="617" t="e">
        <f t="shared" ref="F840:F903" si="13">D840*B840</f>
        <v>#REF!</v>
      </c>
    </row>
    <row r="841" spans="1:6" s="496" customFormat="1" ht="52.5" customHeight="1">
      <c r="A841" s="614">
        <f>Abs!A776</f>
        <v>0</v>
      </c>
      <c r="B841" s="620" t="e">
        <f>Abs!Y776</f>
        <v>#REF!</v>
      </c>
      <c r="C841" s="621" t="str">
        <f>Abs!B776</f>
        <v>S &amp; F of 15mm dia CP short body</v>
      </c>
      <c r="D841" s="617">
        <f>Abs!C776</f>
        <v>419</v>
      </c>
      <c r="E841" s="618" t="str">
        <f>Abs!D776</f>
        <v>Each</v>
      </c>
      <c r="F841" s="617" t="e">
        <f t="shared" si="13"/>
        <v>#REF!</v>
      </c>
    </row>
    <row r="842" spans="1:6" s="496" customFormat="1" ht="31.9" hidden="1" customHeight="1">
      <c r="A842" s="614">
        <f>Abs!A778</f>
        <v>0</v>
      </c>
      <c r="B842" s="620" t="e">
        <f>Abs!Y778</f>
        <v>#REF!</v>
      </c>
      <c r="C842" s="621" t="str">
        <f>Abs!B778</f>
        <v xml:space="preserve">S &amp; F of CFL road way lighting luminaries suitable for fixing 36w CFL lamp </v>
      </c>
      <c r="D842" s="617">
        <f>Abs!C778</f>
        <v>3190.14</v>
      </c>
      <c r="E842" s="618" t="str">
        <f>Abs!D778</f>
        <v>Each</v>
      </c>
      <c r="F842" s="617" t="e">
        <f t="shared" si="13"/>
        <v>#REF!</v>
      </c>
    </row>
    <row r="843" spans="1:6" s="496" customFormat="1" ht="31.9" hidden="1" customHeight="1">
      <c r="A843" s="614">
        <f>Abs!A779</f>
        <v>0</v>
      </c>
      <c r="B843" s="620" t="e">
        <f>Abs!Y779</f>
        <v>#REF!</v>
      </c>
      <c r="C843" s="621" t="str">
        <f>Abs!B779</f>
        <v>Prviding Augering  30 cm dia for compound wall</v>
      </c>
      <c r="D843" s="617">
        <f>Abs!C779</f>
        <v>343.98</v>
      </c>
      <c r="E843" s="618" t="str">
        <f>Abs!D779</f>
        <v>Rmt</v>
      </c>
      <c r="F843" s="617" t="e">
        <f t="shared" si="13"/>
        <v>#REF!</v>
      </c>
    </row>
    <row r="844" spans="1:6" s="496" customFormat="1" ht="49.5" customHeight="1">
      <c r="A844" s="614">
        <f>Abs!A780</f>
        <v>0</v>
      </c>
      <c r="B844" s="620" t="e">
        <f>Abs!Y780</f>
        <v>#REF!</v>
      </c>
      <c r="C844" s="621" t="str">
        <f>Abs!B780</f>
        <v>Finshing the top of Terrace floor with one course of solar reflective Ceramic tiles without base concrete</v>
      </c>
      <c r="D844" s="617">
        <f>Abs!C780</f>
        <v>1321.58</v>
      </c>
      <c r="E844" s="618" t="str">
        <f>Abs!D780</f>
        <v>Sqm.</v>
      </c>
      <c r="F844" s="617" t="e">
        <f t="shared" si="13"/>
        <v>#REF!</v>
      </c>
    </row>
    <row r="845" spans="1:6" s="496" customFormat="1" ht="51" hidden="1" customHeight="1">
      <c r="A845" s="614" t="str">
        <f>Abs!A781</f>
        <v>51. 1</v>
      </c>
      <c r="B845" s="620" t="e">
        <f>Abs!Y781</f>
        <v>#REF!</v>
      </c>
      <c r="C845" s="621" t="str">
        <f>Abs!B781</f>
        <v>HDPE water tank 200 lit capacity with ISI mark</v>
      </c>
      <c r="D845" s="617">
        <f>Abs!C781</f>
        <v>1920</v>
      </c>
      <c r="E845" s="618" t="str">
        <f>Abs!D781</f>
        <v>Each</v>
      </c>
      <c r="F845" s="617" t="e">
        <f t="shared" si="13"/>
        <v>#REF!</v>
      </c>
    </row>
    <row r="846" spans="1:6" ht="42.75" customHeight="1">
      <c r="A846" s="614">
        <f>Abs!A782</f>
        <v>0</v>
      </c>
      <c r="B846" s="615" t="e">
        <f>Abs!Y782</f>
        <v>#REF!</v>
      </c>
      <c r="C846" s="616" t="str">
        <f>Abs!B782</f>
        <v>UPVC Non Pressure  pipe of SN8 SDR 34
( S 16.5) as per IS 15328/2003</v>
      </c>
      <c r="D846" s="617">
        <f>Abs!C782</f>
        <v>0</v>
      </c>
      <c r="E846" s="618">
        <f>Abs!D782</f>
        <v>0</v>
      </c>
      <c r="F846" s="617"/>
    </row>
    <row r="847" spans="1:6" s="496" customFormat="1" ht="45" customHeight="1">
      <c r="A847" s="614">
        <f>Abs!A783</f>
        <v>0</v>
      </c>
      <c r="B847" s="620" t="e">
        <f>Abs!Y783</f>
        <v>#REF!</v>
      </c>
      <c r="C847" s="621" t="str">
        <f>Abs!B783</f>
        <v>a. 110 mm UPVC Non Pressure  pipe</v>
      </c>
      <c r="D847" s="617">
        <f>Abs!C783</f>
        <v>444.77</v>
      </c>
      <c r="E847" s="618" t="str">
        <f>Abs!D783</f>
        <v>Rmt</v>
      </c>
      <c r="F847" s="617" t="e">
        <f t="shared" si="13"/>
        <v>#REF!</v>
      </c>
    </row>
    <row r="848" spans="1:6" s="496" customFormat="1" ht="37.5" customHeight="1">
      <c r="A848" s="614">
        <f>Abs!A784</f>
        <v>0</v>
      </c>
      <c r="B848" s="620" t="e">
        <f>Abs!Y784</f>
        <v>#REF!</v>
      </c>
      <c r="C848" s="621" t="str">
        <f>Abs!B784</f>
        <v>b. 160 mm UPVC Non Pressure  pipe</v>
      </c>
      <c r="D848" s="617">
        <f>Abs!C784</f>
        <v>755.84</v>
      </c>
      <c r="E848" s="618" t="str">
        <f>Abs!D784</f>
        <v>Rmt</v>
      </c>
      <c r="F848" s="617" t="e">
        <f t="shared" si="13"/>
        <v>#REF!</v>
      </c>
    </row>
    <row r="849" spans="1:6" s="496" customFormat="1" ht="33" customHeight="1">
      <c r="A849" s="614">
        <f>Abs!A785</f>
        <v>0</v>
      </c>
      <c r="B849" s="615" t="e">
        <f>Abs!Y785</f>
        <v>#REF!</v>
      </c>
      <c r="C849" s="616" t="str">
        <f>Abs!B785</f>
        <v>PVC Specials  as per IS 10124/1982 Part II</v>
      </c>
      <c r="D849" s="617">
        <f>Abs!C785</f>
        <v>0</v>
      </c>
      <c r="E849" s="618">
        <f>Abs!D785</f>
        <v>0</v>
      </c>
      <c r="F849" s="617"/>
    </row>
    <row r="850" spans="1:6" s="496" customFormat="1" ht="47.25" customHeight="1">
      <c r="A850" s="614">
        <f>Abs!A786</f>
        <v>0</v>
      </c>
      <c r="B850" s="620" t="e">
        <f>Abs!Y786</f>
        <v>#REF!</v>
      </c>
      <c r="C850" s="621" t="str">
        <f>Abs!B786</f>
        <v>a. 110 mm dia PVC bend (TWAD SR 19-20  P-19 S.No-4 )</v>
      </c>
      <c r="D850" s="617">
        <f>Abs!C786</f>
        <v>173</v>
      </c>
      <c r="E850" s="618" t="str">
        <f>Abs!D786</f>
        <v>Each</v>
      </c>
      <c r="F850" s="617" t="e">
        <f t="shared" si="13"/>
        <v>#REF!</v>
      </c>
    </row>
    <row r="851" spans="1:6" ht="45.75" customHeight="1">
      <c r="A851" s="614">
        <f>Abs!A787</f>
        <v>0</v>
      </c>
      <c r="B851" s="620" t="e">
        <f>Abs!Y787</f>
        <v>#REF!</v>
      </c>
      <c r="C851" s="621" t="str">
        <f>Abs!B787</f>
        <v>b. 160 mm dia PVC bend (TWAD SR 19-20 P-19 it-1.5, S.No-4 )</v>
      </c>
      <c r="D851" s="617">
        <f>Abs!C787</f>
        <v>553</v>
      </c>
      <c r="E851" s="618" t="str">
        <f>Abs!D787</f>
        <v>Each</v>
      </c>
      <c r="F851" s="617" t="e">
        <f t="shared" si="13"/>
        <v>#REF!</v>
      </c>
    </row>
    <row r="852" spans="1:6" s="496" customFormat="1" ht="34.5" customHeight="1">
      <c r="A852" s="614">
        <f>Abs!A788</f>
        <v>0</v>
      </c>
      <c r="B852" s="615" t="e">
        <f>Abs!Y788</f>
        <v>#REF!</v>
      </c>
      <c r="C852" s="616" t="str">
        <f>Abs!B788</f>
        <v xml:space="preserve">PVC Equal Tee  as per  BIS 7834/1975 </v>
      </c>
      <c r="D852" s="617">
        <f>Abs!C788</f>
        <v>0</v>
      </c>
      <c r="E852" s="618">
        <f>Abs!D788</f>
        <v>0</v>
      </c>
      <c r="F852" s="617"/>
    </row>
    <row r="853" spans="1:6" ht="48.75" customHeight="1">
      <c r="A853" s="614">
        <f>Abs!A789</f>
        <v>0</v>
      </c>
      <c r="B853" s="620" t="e">
        <f>Abs!Y789</f>
        <v>#REF!</v>
      </c>
      <c r="C853" s="621" t="str">
        <f>Abs!B789</f>
        <v>a. 110 mm dia PVC Equal tee(TWAD SR 19-20 P-19 S.No-9 )</v>
      </c>
      <c r="D853" s="617">
        <f>Abs!C789</f>
        <v>195</v>
      </c>
      <c r="E853" s="618" t="str">
        <f>Abs!D789</f>
        <v>Each</v>
      </c>
      <c r="F853" s="617" t="e">
        <f t="shared" si="13"/>
        <v>#REF!</v>
      </c>
    </row>
    <row r="854" spans="1:6" ht="52.5" customHeight="1">
      <c r="A854" s="614">
        <f>Abs!A790</f>
        <v>0</v>
      </c>
      <c r="B854" s="620" t="e">
        <f>Abs!Y790</f>
        <v>#REF!</v>
      </c>
      <c r="C854" s="621" t="str">
        <f>Abs!B790</f>
        <v>b. 160 mm dia PVC Equal tee(TWAD SR 19-20 P-19 S.No-9 )</v>
      </c>
      <c r="D854" s="617">
        <f>Abs!C790</f>
        <v>367</v>
      </c>
      <c r="E854" s="618" t="str">
        <f>Abs!D790</f>
        <v>Each</v>
      </c>
      <c r="F854" s="617" t="e">
        <f t="shared" si="13"/>
        <v>#REF!</v>
      </c>
    </row>
    <row r="855" spans="1:6" s="496" customFormat="1" ht="54.75" hidden="1" customHeight="1">
      <c r="A855" s="614">
        <f>Abs!A791</f>
        <v>0</v>
      </c>
      <c r="B855" s="620" t="e">
        <f>Abs!Y791</f>
        <v>#REF!</v>
      </c>
      <c r="C855" s="621" t="str">
        <f>Abs!B791</f>
        <v xml:space="preserve">S &amp; F of Indian Water closet white glazed (Oriya type) of size 580 x 440mm with PVC SWR grade ' P' or "S' trap   - in G.F.  </v>
      </c>
      <c r="D855" s="617">
        <f>Abs!C791</f>
        <v>3041.71</v>
      </c>
      <c r="E855" s="618" t="str">
        <f>Abs!D791</f>
        <v>Each</v>
      </c>
      <c r="F855" s="617" t="e">
        <f t="shared" si="13"/>
        <v>#REF!</v>
      </c>
    </row>
    <row r="856" spans="1:6" s="496" customFormat="1" ht="54.75" customHeight="1">
      <c r="A856" s="614">
        <f>Abs!A792</f>
        <v>0</v>
      </c>
      <c r="B856" s="620" t="e">
        <f>Abs!Y792</f>
        <v>#REF!</v>
      </c>
      <c r="C856" s="621" t="str">
        <f>Abs!B792</f>
        <v xml:space="preserve">S &amp; F of Indian Water closet white glazed (Oriya type) of size 580 x 440mm  with PVC SWR grade ' P' or "S' trap- Other than  G.F.  </v>
      </c>
      <c r="D856" s="617">
        <f>Abs!C792</f>
        <v>4781.04</v>
      </c>
      <c r="E856" s="618" t="str">
        <f>Abs!D792</f>
        <v>Each</v>
      </c>
      <c r="F856" s="617" t="e">
        <f t="shared" si="13"/>
        <v>#REF!</v>
      </c>
    </row>
    <row r="857" spans="1:6" s="496" customFormat="1" ht="62.25" customHeight="1">
      <c r="A857" s="614">
        <f>Abs!A793</f>
        <v>0</v>
      </c>
      <c r="B857" s="620" t="e">
        <f>Abs!Y793</f>
        <v>#REF!</v>
      </c>
      <c r="C857" s="621" t="str">
        <f>Abs!B793</f>
        <v xml:space="preserve">S &amp; F of E.W.C.(White) 500 mm with PVC SWR grade "P" or "S" TRAP </v>
      </c>
      <c r="D857" s="617">
        <f>Abs!C793</f>
        <v>6501.3</v>
      </c>
      <c r="E857" s="618" t="str">
        <f>Abs!D793</f>
        <v>Each</v>
      </c>
      <c r="F857" s="617" t="e">
        <f t="shared" si="13"/>
        <v>#REF!</v>
      </c>
    </row>
    <row r="858" spans="1:6" s="496" customFormat="1" ht="30" hidden="1">
      <c r="A858" s="614">
        <f>Abs!A794</f>
        <v>0</v>
      </c>
      <c r="B858" s="620">
        <f>Abs!Y794</f>
        <v>0</v>
      </c>
      <c r="C858" s="621" t="str">
        <f>Abs!B794</f>
        <v xml:space="preserve">S &amp; F of E.W.C.( Colour) 500 mm with PVC SWR grade "P" or "S" TRAP </v>
      </c>
      <c r="D858" s="617">
        <f>Abs!C794</f>
        <v>6891.3</v>
      </c>
      <c r="E858" s="618" t="str">
        <f>Abs!D794</f>
        <v>Each</v>
      </c>
      <c r="F858" s="617">
        <f t="shared" si="13"/>
        <v>0</v>
      </c>
    </row>
    <row r="859" spans="1:6" s="496" customFormat="1" ht="30.6" hidden="1" customHeight="1">
      <c r="A859" s="614">
        <f>Abs!A795</f>
        <v>0</v>
      </c>
      <c r="B859" s="620">
        <f>Abs!Y795</f>
        <v>0</v>
      </c>
      <c r="C859" s="621" t="str">
        <f>Abs!B795</f>
        <v>French window  ( SP Perambalur)</v>
      </c>
      <c r="D859" s="617">
        <f>Abs!C795</f>
        <v>0</v>
      </c>
      <c r="E859" s="618">
        <f>Abs!D795</f>
        <v>0</v>
      </c>
      <c r="F859" s="617">
        <f t="shared" si="13"/>
        <v>0</v>
      </c>
    </row>
    <row r="860" spans="1:6" s="496" customFormat="1" ht="17.25" hidden="1">
      <c r="A860" s="614">
        <f>Abs!A796</f>
        <v>0</v>
      </c>
      <c r="B860" s="620">
        <f>Abs!Y796</f>
        <v>0</v>
      </c>
      <c r="C860" s="621" t="str">
        <f>Abs!B796</f>
        <v xml:space="preserve">a. FW  (2.1 x 2.0 m ) 3 bay openable </v>
      </c>
      <c r="D860" s="617">
        <f>Abs!C796</f>
        <v>3349.83</v>
      </c>
      <c r="E860" s="618" t="str">
        <f>Abs!D796</f>
        <v>Sqm</v>
      </c>
      <c r="F860" s="617">
        <f t="shared" si="13"/>
        <v>0</v>
      </c>
    </row>
    <row r="861" spans="1:6" s="496" customFormat="1" ht="98.25" hidden="1" customHeight="1">
      <c r="A861" s="614">
        <f>Abs!A797</f>
        <v>0</v>
      </c>
      <c r="B861" s="620">
        <f>Abs!Y797</f>
        <v>0</v>
      </c>
      <c r="C861" s="621" t="str">
        <f>Abs!B797</f>
        <v xml:space="preserve">b.FW 1 (1.80 x 2.0 m )3 bay openable </v>
      </c>
      <c r="D861" s="617">
        <f>Abs!C797</f>
        <v>3651.05</v>
      </c>
      <c r="E861" s="618" t="str">
        <f>Abs!D797</f>
        <v>Sqm</v>
      </c>
      <c r="F861" s="617">
        <f t="shared" si="13"/>
        <v>0</v>
      </c>
    </row>
    <row r="862" spans="1:6" s="496" customFormat="1" ht="34.5" hidden="1" customHeight="1">
      <c r="A862" s="614">
        <f>Abs!A798</f>
        <v>0</v>
      </c>
      <c r="B862" s="620">
        <f>Abs!Y798</f>
        <v>0</v>
      </c>
      <c r="C862" s="621" t="str">
        <f>Abs!B798</f>
        <v xml:space="preserve">c. FW 2  (1.20 x 2.0 m ) 2 bay openable </v>
      </c>
      <c r="D862" s="617">
        <f>Abs!C798</f>
        <v>3651.06</v>
      </c>
      <c r="E862" s="618" t="str">
        <f>Abs!D798</f>
        <v>Sqm</v>
      </c>
      <c r="F862" s="617">
        <f t="shared" si="13"/>
        <v>0</v>
      </c>
    </row>
    <row r="863" spans="1:6" s="496" customFormat="1" ht="33" hidden="1" customHeight="1">
      <c r="A863" s="614">
        <f>Abs!A799</f>
        <v>0</v>
      </c>
      <c r="B863" s="620">
        <f>Abs!Y799</f>
        <v>0</v>
      </c>
      <c r="C863" s="621" t="str">
        <f>Abs!B799</f>
        <v xml:space="preserve">d.FW 3 (0.75 x 2.0 m ) Single  bay openable </v>
      </c>
      <c r="D863" s="617">
        <f>Abs!C799</f>
        <v>4099.2</v>
      </c>
      <c r="E863" s="618" t="str">
        <f>Abs!D799</f>
        <v>Sqm</v>
      </c>
      <c r="F863" s="617">
        <f t="shared" si="13"/>
        <v>0</v>
      </c>
    </row>
    <row r="864" spans="1:6" s="496" customFormat="1" ht="27.75" hidden="1" customHeight="1">
      <c r="A864" s="614">
        <f>Abs!A800</f>
        <v>0</v>
      </c>
      <c r="B864" s="620">
        <f>Abs!Y800</f>
        <v>0</v>
      </c>
      <c r="C864" s="621" t="str">
        <f>Abs!B800</f>
        <v>e. FD/ FW  (0.57 x 2.0 m )Single  bay openable</v>
      </c>
      <c r="D864" s="617">
        <f>Abs!C800</f>
        <v>4954.1000000000004</v>
      </c>
      <c r="E864" s="618" t="str">
        <f>Abs!D800</f>
        <v>Sqm</v>
      </c>
      <c r="F864" s="617">
        <f t="shared" si="13"/>
        <v>0</v>
      </c>
    </row>
    <row r="865" spans="1:6" s="496" customFormat="1" ht="72.75" hidden="1" customHeight="1">
      <c r="A865" s="614">
        <f>Abs!A801</f>
        <v>0</v>
      </c>
      <c r="B865" s="620">
        <f>Abs!Y801</f>
        <v>0</v>
      </c>
      <c r="C865" s="621" t="str">
        <f>Abs!B801</f>
        <v xml:space="preserve">f. 1.50 x 2.00 mt.window  sankar nagar DSP </v>
      </c>
      <c r="D865" s="617">
        <f>Abs!C801</f>
        <v>3281.18</v>
      </c>
      <c r="E865" s="618" t="str">
        <f>Abs!D801</f>
        <v>Sqm</v>
      </c>
      <c r="F865" s="617">
        <f t="shared" si="13"/>
        <v>0</v>
      </c>
    </row>
    <row r="866" spans="1:6" s="496" customFormat="1" ht="102.75" customHeight="1">
      <c r="A866" s="614">
        <f>Abs!A802</f>
        <v>0</v>
      </c>
      <c r="B866" s="615" t="e">
        <f>Abs!Y802</f>
        <v>#REF!</v>
      </c>
      <c r="C866" s="616" t="str">
        <f>Abs!B802</f>
        <v>Wiring with 1.5 sqmm PVC insulated single core multi strand fire retardant flexible copper cable with ISI mark confirming IS: 694:1990.
( PVC Box , Fire Retarded Box) For Coastal only</v>
      </c>
      <c r="D866" s="617">
        <f>Abs!C802</f>
        <v>0</v>
      </c>
      <c r="E866" s="618">
        <f>Abs!D802</f>
        <v>0</v>
      </c>
      <c r="F866" s="617"/>
    </row>
    <row r="867" spans="1:6" s="496" customFormat="1" ht="46.5" customHeight="1">
      <c r="A867" s="614">
        <f>Abs!A803</f>
        <v>0</v>
      </c>
      <c r="B867" s="620" t="e">
        <f>Abs!Y803</f>
        <v>#REF!</v>
      </c>
      <c r="C867" s="621" t="str">
        <f>Abs!B803</f>
        <v>a. Light point with ceiling rose</v>
      </c>
      <c r="D867" s="617">
        <f>Abs!C803</f>
        <v>1493.17</v>
      </c>
      <c r="E867" s="618" t="str">
        <f>Abs!D803</f>
        <v>Each</v>
      </c>
      <c r="F867" s="617" t="e">
        <f t="shared" si="13"/>
        <v>#REF!</v>
      </c>
    </row>
    <row r="868" spans="1:6" ht="32.25" customHeight="1">
      <c r="A868" s="614">
        <f>Abs!A804</f>
        <v>0</v>
      </c>
      <c r="B868" s="620" t="e">
        <f>Abs!Y804</f>
        <v>#REF!</v>
      </c>
      <c r="C868" s="621" t="str">
        <f>Abs!B804</f>
        <v>b. Light point without ceiling rose</v>
      </c>
      <c r="D868" s="617">
        <f>Abs!C804</f>
        <v>1496.32</v>
      </c>
      <c r="E868" s="618" t="str">
        <f>Abs!D804</f>
        <v>Each</v>
      </c>
      <c r="F868" s="617" t="e">
        <f t="shared" si="13"/>
        <v>#REF!</v>
      </c>
    </row>
    <row r="869" spans="1:6" s="496" customFormat="1" ht="45" customHeight="1">
      <c r="A869" s="614">
        <f>Abs!A805</f>
        <v>0</v>
      </c>
      <c r="B869" s="620" t="e">
        <f>Abs!Y805</f>
        <v>#REF!</v>
      </c>
      <c r="C869" s="621" t="str">
        <f>Abs!B805</f>
        <v>c. Calling bell point with Buzzer/Calling bell</v>
      </c>
      <c r="D869" s="617">
        <f>Abs!C805</f>
        <v>1526.05</v>
      </c>
      <c r="E869" s="618" t="str">
        <f>Abs!D805</f>
        <v>Each</v>
      </c>
      <c r="F869" s="617" t="e">
        <f t="shared" si="13"/>
        <v>#REF!</v>
      </c>
    </row>
    <row r="870" spans="1:6" s="496" customFormat="1" ht="78" customHeight="1">
      <c r="A870" s="614">
        <f>Abs!A806</f>
        <v>0</v>
      </c>
      <c r="B870" s="620" t="e">
        <f>Abs!Y806</f>
        <v>#REF!</v>
      </c>
      <c r="C870" s="621" t="str">
        <f>Abs!B806</f>
        <v>Wiring with 1.5 sqmm PVC insulated single core multi strand fire retardant flexible copper cable with ISI mark confirming IS: 694:1990 for Fan point.(PVC Electrical Box )</v>
      </c>
      <c r="D870" s="617">
        <f>Abs!C806</f>
        <v>1547.18</v>
      </c>
      <c r="E870" s="618" t="str">
        <f>Abs!D806</f>
        <v>Each</v>
      </c>
      <c r="F870" s="617" t="e">
        <f t="shared" si="13"/>
        <v>#REF!</v>
      </c>
    </row>
    <row r="871" spans="1:6" s="496" customFormat="1" ht="71.25" customHeight="1">
      <c r="A871" s="614">
        <f>Abs!A807</f>
        <v>0</v>
      </c>
      <c r="B871" s="620" t="e">
        <f>Abs!Y807</f>
        <v>#REF!</v>
      </c>
      <c r="C871" s="621" t="str">
        <f>Abs!B807</f>
        <v>Wiring with 1.5 sqmm PVC insulated single core multi strand fire retardant flexible copper cable with ISI mark confirming IS: 694:1990 for Staircase Light Point.(PVC Electrical Box )</v>
      </c>
      <c r="D871" s="617">
        <f>Abs!C807</f>
        <v>2795.25</v>
      </c>
      <c r="E871" s="618" t="str">
        <f>Abs!D807</f>
        <v>Each</v>
      </c>
      <c r="F871" s="617" t="e">
        <f t="shared" si="13"/>
        <v>#REF!</v>
      </c>
    </row>
    <row r="872" spans="1:6" s="496" customFormat="1" ht="87.75" customHeight="1">
      <c r="A872" s="614">
        <f>Abs!A808</f>
        <v>67.099999999999994</v>
      </c>
      <c r="B872" s="620" t="e">
        <f>Abs!Y808</f>
        <v>#REF!</v>
      </c>
      <c r="C872" s="621" t="str">
        <f>Abs!B808</f>
        <v>Wiring with 1.5 sqmm PVC insulated single core multi strand fire retardant flexible copper cable with ISI mark confirming IS: 694:1990 for 5 amps 5 pin plug socket point @ Switch Board Itself.</v>
      </c>
      <c r="D872" s="617">
        <f>Abs!C808</f>
        <v>764.91</v>
      </c>
      <c r="E872" s="618" t="str">
        <f>Abs!D808</f>
        <v>Each</v>
      </c>
      <c r="F872" s="617" t="e">
        <f t="shared" si="13"/>
        <v>#REF!</v>
      </c>
    </row>
    <row r="873" spans="1:6" s="496" customFormat="1" ht="81.75" customHeight="1">
      <c r="A873" s="614">
        <f>Abs!A809</f>
        <v>0</v>
      </c>
      <c r="B873" s="620" t="e">
        <f>Abs!Y809</f>
        <v>#REF!</v>
      </c>
      <c r="C873" s="621" t="str">
        <f>Abs!B809</f>
        <v>Wiring with 1.5 sqmm PVC insulated single core multi strand fire retardant flexible copper cable with ISI mark confirming IS: 694:1990 for 5 amps 5 pin plug socket point @ Convenient Places.(PVC Electrical Box )</v>
      </c>
      <c r="D873" s="617">
        <f>Abs!C809</f>
        <v>1037.46</v>
      </c>
      <c r="E873" s="618" t="str">
        <f>Abs!D809</f>
        <v>Each</v>
      </c>
      <c r="F873" s="617" t="e">
        <f t="shared" si="13"/>
        <v>#REF!</v>
      </c>
    </row>
    <row r="874" spans="1:6" s="496" customFormat="1" ht="43.5" customHeight="1">
      <c r="A874" s="614">
        <f>Abs!A810</f>
        <v>0</v>
      </c>
      <c r="B874" s="620" t="e">
        <f>Abs!Y810</f>
        <v>#REF!</v>
      </c>
      <c r="C874" s="621" t="str">
        <f>Abs!B810</f>
        <v>Supplying and fixing of 15 Amps 3 pin flush type plug using ( PVC Box , Fire Retarded Box)</v>
      </c>
      <c r="D874" s="617">
        <f>Abs!C810</f>
        <v>133.5</v>
      </c>
      <c r="E874" s="618" t="str">
        <f>Abs!D810</f>
        <v>Each</v>
      </c>
      <c r="F874" s="617" t="e">
        <f t="shared" si="13"/>
        <v>#REF!</v>
      </c>
    </row>
    <row r="875" spans="1:6" s="496" customFormat="1" ht="51" customHeight="1">
      <c r="A875" s="614">
        <f>Abs!A811</f>
        <v>0</v>
      </c>
      <c r="B875" s="620" t="e">
        <f>Abs!Y811</f>
        <v>#REF!</v>
      </c>
      <c r="C875" s="621" t="str">
        <f>Abs!B811</f>
        <v xml:space="preserve">Fabrication of Mild steel / RTS grills (without cement slurry) for all sizes of rods.(BINDING WIRE insulated with PVC)
</v>
      </c>
      <c r="D875" s="617">
        <f>Abs!C811</f>
        <v>77804.3</v>
      </c>
      <c r="E875" s="618" t="str">
        <f>Abs!D811</f>
        <v>MT</v>
      </c>
      <c r="F875" s="617" t="e">
        <f t="shared" si="13"/>
        <v>#REF!</v>
      </c>
    </row>
    <row r="876" spans="1:6" s="496" customFormat="1" ht="56.25" customHeight="1">
      <c r="A876" s="614">
        <f>Abs!A812</f>
        <v>0</v>
      </c>
      <c r="B876" s="620" t="e">
        <f>Abs!Y812</f>
        <v>#REF!</v>
      </c>
      <c r="C876" s="621" t="str">
        <f>Abs!B812</f>
        <v>PVC SWR 110 mm dia with ISI mark type- A for Rain water down fall pipe(UPVC SPECIAL CLAMP )</v>
      </c>
      <c r="D876" s="617">
        <f>Abs!C812</f>
        <v>326.29000000000002</v>
      </c>
      <c r="E876" s="618" t="str">
        <f>Abs!D812</f>
        <v>Rmt</v>
      </c>
      <c r="F876" s="617" t="e">
        <f t="shared" si="13"/>
        <v>#REF!</v>
      </c>
    </row>
    <row r="877" spans="1:6" s="496" customFormat="1" ht="33" hidden="1" customHeight="1">
      <c r="A877" s="614">
        <f>Abs!A813</f>
        <v>0</v>
      </c>
      <c r="B877" s="620">
        <f>Abs!Y813</f>
        <v>0</v>
      </c>
      <c r="C877" s="621" t="str">
        <f>Abs!B813</f>
        <v>Supply and fixing in posistion of 6 rows of 10 guage GI barbed wire 20 guage</v>
      </c>
      <c r="D877" s="617">
        <f>Abs!C813</f>
        <v>33.229999999999997</v>
      </c>
      <c r="E877" s="618">
        <f>Abs!D813</f>
        <v>0</v>
      </c>
      <c r="F877" s="617">
        <f t="shared" si="13"/>
        <v>0</v>
      </c>
    </row>
    <row r="878" spans="1:6" s="496" customFormat="1" ht="66.75" customHeight="1">
      <c r="A878" s="614">
        <f>Abs!A814</f>
        <v>0</v>
      </c>
      <c r="B878" s="615" t="e">
        <f>Abs!Y814</f>
        <v>#REF!</v>
      </c>
      <c r="C878" s="616" t="str">
        <f>Abs!B814</f>
        <v xml:space="preserve">Supply ,laying &amp; jointing the following pipes as per ASTM D 1785 of schedule 40 with  UPVC Specials </v>
      </c>
      <c r="D878" s="617">
        <f>Abs!C814</f>
        <v>0</v>
      </c>
      <c r="E878" s="618">
        <f>Abs!D814</f>
        <v>0</v>
      </c>
      <c r="F878" s="617"/>
    </row>
    <row r="879" spans="1:6" s="496" customFormat="1" ht="31.9" customHeight="1">
      <c r="A879" s="614">
        <f>Abs!A815</f>
        <v>0</v>
      </c>
      <c r="B879" s="620" t="e">
        <f>Abs!Y815</f>
        <v>#REF!</v>
      </c>
      <c r="C879" s="621" t="str">
        <f>Abs!B815</f>
        <v xml:space="preserve">a. 32 mm dia </v>
      </c>
      <c r="D879" s="617">
        <f>Abs!C815</f>
        <v>227.81</v>
      </c>
      <c r="E879" s="618" t="str">
        <f>Abs!D815</f>
        <v>Rmt</v>
      </c>
      <c r="F879" s="617" t="e">
        <f t="shared" si="13"/>
        <v>#REF!</v>
      </c>
    </row>
    <row r="880" spans="1:6" s="496" customFormat="1" ht="27" customHeight="1">
      <c r="A880" s="614">
        <f>Abs!A816</f>
        <v>0</v>
      </c>
      <c r="B880" s="620" t="e">
        <f>Abs!Y816</f>
        <v>#REF!</v>
      </c>
      <c r="C880" s="621" t="str">
        <f>Abs!B816</f>
        <v xml:space="preserve">b. 25 mm dia </v>
      </c>
      <c r="D880" s="617">
        <f>Abs!C816</f>
        <v>208.73</v>
      </c>
      <c r="E880" s="618" t="str">
        <f>Abs!D816</f>
        <v>Rmt</v>
      </c>
      <c r="F880" s="617" t="e">
        <f t="shared" si="13"/>
        <v>#REF!</v>
      </c>
    </row>
    <row r="881" spans="1:6" s="496" customFormat="1" ht="58.9" customHeight="1">
      <c r="A881" s="614">
        <f>Abs!A817</f>
        <v>0</v>
      </c>
      <c r="B881" s="620" t="e">
        <f>Abs!Y817</f>
        <v>#REF!</v>
      </c>
      <c r="C881" s="621" t="str">
        <f>Abs!B817</f>
        <v>c. 20mm dia PVC water supply ASTM pipe (fully consealed in walls)</v>
      </c>
      <c r="D881" s="617">
        <f>Abs!C817</f>
        <v>205.94</v>
      </c>
      <c r="E881" s="618" t="str">
        <f>Abs!D817</f>
        <v>Rmt</v>
      </c>
      <c r="F881" s="617" t="e">
        <f t="shared" si="13"/>
        <v>#REF!</v>
      </c>
    </row>
    <row r="882" spans="1:6" s="496" customFormat="1" ht="69" customHeight="1">
      <c r="A882" s="614">
        <f>Abs!A818</f>
        <v>0</v>
      </c>
      <c r="B882" s="620" t="e">
        <f>Abs!Y818</f>
        <v>#REF!</v>
      </c>
      <c r="C882" s="621" t="str">
        <f>Abs!B818</f>
        <v>Providing Colour Marble chips of size 10mm and below using 70.20Kgs of cement and 15 cum of Colour Marble chips for every 10 sqm over the existing plastered surface  ( For coastal area)</v>
      </c>
      <c r="D882" s="617">
        <f>Abs!C818</f>
        <v>334.22</v>
      </c>
      <c r="E882" s="618" t="str">
        <f>Abs!D818</f>
        <v>Sqm</v>
      </c>
      <c r="F882" s="617" t="e">
        <f t="shared" si="13"/>
        <v>#REF!</v>
      </c>
    </row>
    <row r="883" spans="1:6" s="496" customFormat="1" ht="54" hidden="1" customHeight="1">
      <c r="A883" s="614">
        <f>Abs!A819</f>
        <v>0</v>
      </c>
      <c r="B883" s="620">
        <f>Abs!Y819</f>
        <v>0</v>
      </c>
      <c r="C883" s="621" t="str">
        <f>Abs!B819</f>
        <v>S &amp; F of 15mm dia half turn CP long body tap</v>
      </c>
      <c r="D883" s="617">
        <f>Abs!C819</f>
        <v>467</v>
      </c>
      <c r="E883" s="618" t="str">
        <f>Abs!D819</f>
        <v>Each</v>
      </c>
      <c r="F883" s="617">
        <f t="shared" si="13"/>
        <v>0</v>
      </c>
    </row>
    <row r="884" spans="1:6" s="496" customFormat="1" ht="60" hidden="1" customHeight="1">
      <c r="A884" s="614">
        <f>Abs!A820</f>
        <v>0</v>
      </c>
      <c r="B884" s="620">
        <f>Abs!Y820</f>
        <v>0</v>
      </c>
      <c r="C884" s="621" t="str">
        <f>Abs!B820</f>
        <v>S &amp; F of 15mm dia half turn CP short body tap</v>
      </c>
      <c r="D884" s="617">
        <f>Abs!C820</f>
        <v>419</v>
      </c>
      <c r="E884" s="618" t="str">
        <f>Abs!D820</f>
        <v>Each</v>
      </c>
      <c r="F884" s="617">
        <f t="shared" si="13"/>
        <v>0</v>
      </c>
    </row>
    <row r="885" spans="1:6" ht="45" hidden="1" customHeight="1">
      <c r="A885" s="614">
        <f>Abs!A821</f>
        <v>0</v>
      </c>
      <c r="B885" s="620">
        <f>Abs!Y821</f>
        <v>0</v>
      </c>
      <c r="C885" s="621" t="str">
        <f>Abs!B821</f>
        <v xml:space="preserve">S &amp; F of MS angle of size 50x 50x 5mm </v>
      </c>
      <c r="D885" s="617">
        <f>Abs!C821</f>
        <v>51.4</v>
      </c>
      <c r="E885" s="618" t="str">
        <f>Abs!D821</f>
        <v>Kg</v>
      </c>
      <c r="F885" s="617">
        <f t="shared" si="13"/>
        <v>0</v>
      </c>
    </row>
    <row r="886" spans="1:6" ht="45" hidden="1" customHeight="1">
      <c r="A886" s="614">
        <f>Abs!A822</f>
        <v>0</v>
      </c>
      <c r="B886" s="620">
        <f>Abs!Y822</f>
        <v>0</v>
      </c>
      <c r="C886" s="621" t="str">
        <f>Abs!B822</f>
        <v>Granite Tiles flooring in cm1:3,20mm thk sathali steel/ grey</v>
      </c>
      <c r="D886" s="617">
        <f>Abs!C822</f>
        <v>2176.71</v>
      </c>
      <c r="E886" s="618" t="str">
        <f>Abs!D822</f>
        <v>Sqm</v>
      </c>
      <c r="F886" s="617">
        <f t="shared" si="13"/>
        <v>0</v>
      </c>
    </row>
    <row r="887" spans="1:6" ht="45" hidden="1" customHeight="1">
      <c r="A887" s="614" t="str">
        <f>Abs!A823</f>
        <v>1.9.3.1</v>
      </c>
      <c r="B887" s="620">
        <f>Abs!Y823</f>
        <v>0</v>
      </c>
      <c r="C887" s="621" t="str">
        <f>Abs!B823</f>
        <v>Bored cast sit piles installation of vertical cast in Situ Bored piles of following dia using Standardised concrete  mix M30 Grade) as per nagapattinam data For Coastal area</v>
      </c>
      <c r="D887" s="617">
        <f>Abs!C823</f>
        <v>0</v>
      </c>
      <c r="E887" s="618">
        <f>Abs!D823</f>
        <v>0</v>
      </c>
      <c r="F887" s="617">
        <f t="shared" si="13"/>
        <v>0</v>
      </c>
    </row>
    <row r="888" spans="1:6" ht="45" hidden="1" customHeight="1">
      <c r="A888" s="614">
        <f>Abs!A824</f>
        <v>0</v>
      </c>
      <c r="B888" s="620">
        <f>Abs!Y824</f>
        <v>0</v>
      </c>
      <c r="C888" s="621" t="str">
        <f>Abs!B824</f>
        <v>a.500mm dia pile</v>
      </c>
      <c r="D888" s="617">
        <f>Abs!C824</f>
        <v>3043.23</v>
      </c>
      <c r="E888" s="618" t="str">
        <f>Abs!D824</f>
        <v>Rmt</v>
      </c>
      <c r="F888" s="617">
        <f t="shared" si="13"/>
        <v>0</v>
      </c>
    </row>
    <row r="889" spans="1:6" ht="45" hidden="1" customHeight="1">
      <c r="A889" s="614">
        <f>Abs!A825</f>
        <v>0</v>
      </c>
      <c r="B889" s="620">
        <f>Abs!Y825</f>
        <v>0</v>
      </c>
      <c r="C889" s="621" t="str">
        <f>Abs!B825</f>
        <v>b.450mm dia pile</v>
      </c>
      <c r="D889" s="617">
        <f>Abs!C825</f>
        <v>2697.57</v>
      </c>
      <c r="E889" s="618" t="str">
        <f>Abs!D825</f>
        <v>Rmt</v>
      </c>
      <c r="F889" s="617">
        <f t="shared" si="13"/>
        <v>0</v>
      </c>
    </row>
    <row r="890" spans="1:6" ht="45" hidden="1" customHeight="1">
      <c r="A890" s="614">
        <f>Abs!A826</f>
        <v>0</v>
      </c>
      <c r="B890" s="620">
        <f>Abs!Y826</f>
        <v>0</v>
      </c>
      <c r="C890" s="621" t="str">
        <f>Abs!B826</f>
        <v>c.400mm dia pile</v>
      </c>
      <c r="D890" s="617">
        <f>Abs!C826</f>
        <v>2387.87</v>
      </c>
      <c r="E890" s="618" t="str">
        <f>Abs!D826</f>
        <v>Rmt</v>
      </c>
      <c r="F890" s="617">
        <f t="shared" si="13"/>
        <v>0</v>
      </c>
    </row>
    <row r="891" spans="1:6" ht="45" hidden="1" customHeight="1">
      <c r="A891" s="614">
        <f>Abs!A827</f>
        <v>0</v>
      </c>
      <c r="B891" s="620">
        <f>Abs!Y827</f>
        <v>0</v>
      </c>
      <c r="C891" s="621" t="str">
        <f>Abs!B827</f>
        <v>Removing of clay from pile inlucing  conveyance charges, loading and unloading charges etc.,all complete</v>
      </c>
      <c r="D891" s="617">
        <f>Abs!C827</f>
        <v>0</v>
      </c>
      <c r="E891" s="618">
        <f>Abs!D827</f>
        <v>0</v>
      </c>
      <c r="F891" s="617">
        <f t="shared" si="13"/>
        <v>0</v>
      </c>
    </row>
    <row r="892" spans="1:6" ht="45" hidden="1" customHeight="1">
      <c r="A892" s="614">
        <f>Abs!A828</f>
        <v>0</v>
      </c>
      <c r="B892" s="620">
        <f>Abs!Y828</f>
        <v>0</v>
      </c>
      <c r="C892" s="621" t="str">
        <f>Abs!B828</f>
        <v>Chipping of RCC pile head of 500mm Dia of pile to the required cut off level and clearing away the debris from site with an average lead of 5 km  etc.</v>
      </c>
      <c r="D892" s="617">
        <f>Abs!C828</f>
        <v>0</v>
      </c>
      <c r="E892" s="618">
        <f>Abs!D828</f>
        <v>0</v>
      </c>
      <c r="F892" s="617">
        <f t="shared" si="13"/>
        <v>0</v>
      </c>
    </row>
    <row r="893" spans="1:6" ht="45" hidden="1" customHeight="1">
      <c r="A893" s="614">
        <f>Abs!A829</f>
        <v>0</v>
      </c>
      <c r="B893" s="620">
        <f>Abs!Y829</f>
        <v>0</v>
      </c>
      <c r="C893" s="621" t="str">
        <f>Abs!B829</f>
        <v>a.500mm dia pile</v>
      </c>
      <c r="D893" s="617">
        <f>Abs!C829</f>
        <v>764.05</v>
      </c>
      <c r="E893" s="618" t="str">
        <f>Abs!D829</f>
        <v>Rmt</v>
      </c>
      <c r="F893" s="617">
        <f t="shared" si="13"/>
        <v>0</v>
      </c>
    </row>
    <row r="894" spans="1:6" ht="45" hidden="1" customHeight="1">
      <c r="A894" s="614">
        <f>Abs!A830</f>
        <v>0</v>
      </c>
      <c r="B894" s="620">
        <f>Abs!Y830</f>
        <v>0</v>
      </c>
      <c r="C894" s="621" t="str">
        <f>Abs!B830</f>
        <v>b.450mm dia pile</v>
      </c>
      <c r="D894" s="617">
        <f>Abs!C830</f>
        <v>619.82000000000005</v>
      </c>
      <c r="E894" s="618" t="str">
        <f>Abs!D830</f>
        <v>Rmt</v>
      </c>
      <c r="F894" s="617">
        <f t="shared" si="13"/>
        <v>0</v>
      </c>
    </row>
    <row r="895" spans="1:6" ht="45" hidden="1" customHeight="1">
      <c r="A895" s="614">
        <f>Abs!A831</f>
        <v>0</v>
      </c>
      <c r="B895" s="620">
        <f>Abs!Y831</f>
        <v>0</v>
      </c>
      <c r="C895" s="621" t="str">
        <f>Abs!B831</f>
        <v>c.400mm dia pile</v>
      </c>
      <c r="D895" s="617">
        <f>Abs!C831</f>
        <v>491.17</v>
      </c>
      <c r="E895" s="618" t="str">
        <f>Abs!D831</f>
        <v>Rmt</v>
      </c>
      <c r="F895" s="617">
        <f t="shared" si="13"/>
        <v>0</v>
      </c>
    </row>
    <row r="896" spans="1:6" ht="45" hidden="1" customHeight="1">
      <c r="A896" s="614">
        <f>Abs!A832</f>
        <v>0</v>
      </c>
      <c r="B896" s="620">
        <f>Abs!Y832</f>
        <v>0</v>
      </c>
      <c r="C896" s="621" t="str">
        <f>Abs!B832</f>
        <v>Mobilization Charges inclusive of Transportation to site assembling and Dismantling the rotary pile equipment employed for the works etc.(Qtn)</v>
      </c>
      <c r="D896" s="617">
        <f>Abs!C832</f>
        <v>40000</v>
      </c>
      <c r="E896" s="618" t="str">
        <f>Abs!D832</f>
        <v>No</v>
      </c>
      <c r="F896" s="617">
        <f t="shared" si="13"/>
        <v>0</v>
      </c>
    </row>
    <row r="897" spans="1:6" ht="45" hidden="1" customHeight="1">
      <c r="A897" s="614">
        <f>Abs!A833</f>
        <v>0</v>
      </c>
      <c r="B897" s="620">
        <f>Abs!Y833</f>
        <v>0</v>
      </c>
      <c r="C897" s="621" t="str">
        <f>Abs!B833</f>
        <v>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v>
      </c>
      <c r="D897" s="617">
        <f>Abs!C833</f>
        <v>70000</v>
      </c>
      <c r="E897" s="618" t="str">
        <f>Abs!D833</f>
        <v>No</v>
      </c>
      <c r="F897" s="617">
        <f t="shared" si="13"/>
        <v>0</v>
      </c>
    </row>
    <row r="898" spans="1:6" ht="45" hidden="1" customHeight="1">
      <c r="A898" s="614">
        <f>Abs!A834</f>
        <v>0</v>
      </c>
      <c r="B898" s="620">
        <f>Abs!Y834</f>
        <v>0</v>
      </c>
      <c r="C898" s="621" t="str">
        <f>Abs!B834</f>
        <v>False ceiling with plain gybsum board (as per PWD SR. rate 2017-18, Anx- VI -It- 154 -a)</v>
      </c>
      <c r="D898" s="617">
        <f>Abs!C834</f>
        <v>713.54</v>
      </c>
      <c r="E898" s="618" t="str">
        <f>Abs!D834</f>
        <v>Sqm</v>
      </c>
      <c r="F898" s="617">
        <f t="shared" si="13"/>
        <v>0</v>
      </c>
    </row>
    <row r="899" spans="1:6" ht="45" hidden="1" customHeight="1">
      <c r="A899" s="614">
        <f>Abs!A835</f>
        <v>0</v>
      </c>
      <c r="B899" s="620">
        <f>Abs!Y835</f>
        <v>0</v>
      </c>
      <c r="C899" s="621" t="str">
        <f>Abs!B835</f>
        <v>Wiring with 1.5 sqmm PVC insulated single core multi strand fire retardant flexible copper cable with ISI mark confirming IS: 694:1990. (Open wiring)</v>
      </c>
      <c r="D899" s="617">
        <f>Abs!C835</f>
        <v>0</v>
      </c>
      <c r="E899" s="618">
        <f>Abs!D835</f>
        <v>0</v>
      </c>
      <c r="F899" s="617">
        <f t="shared" si="13"/>
        <v>0</v>
      </c>
    </row>
    <row r="900" spans="1:6" ht="45" hidden="1" customHeight="1">
      <c r="A900" s="614">
        <f>Abs!A836</f>
        <v>0</v>
      </c>
      <c r="B900" s="620">
        <f>Abs!Y836</f>
        <v>0</v>
      </c>
      <c r="C900" s="621" t="str">
        <f>Abs!B836</f>
        <v>a. Light point with ceiling rose</v>
      </c>
      <c r="D900" s="617">
        <f>Abs!C836</f>
        <v>830.01</v>
      </c>
      <c r="E900" s="618" t="str">
        <f>Abs!D836</f>
        <v>Each</v>
      </c>
      <c r="F900" s="617">
        <f t="shared" si="13"/>
        <v>0</v>
      </c>
    </row>
    <row r="901" spans="1:6" ht="45" hidden="1" customHeight="1">
      <c r="A901" s="614">
        <f>Abs!A837</f>
        <v>0</v>
      </c>
      <c r="B901" s="620">
        <f>Abs!Y837</f>
        <v>0</v>
      </c>
      <c r="C901" s="621" t="str">
        <f>Abs!B837</f>
        <v>b. Light point without ceiling rose</v>
      </c>
      <c r="D901" s="617">
        <f>Abs!C837</f>
        <v>833.16</v>
      </c>
      <c r="E901" s="618" t="str">
        <f>Abs!D837</f>
        <v>Each</v>
      </c>
      <c r="F901" s="617">
        <f t="shared" si="13"/>
        <v>0</v>
      </c>
    </row>
    <row r="902" spans="1:6" ht="45" hidden="1" customHeight="1">
      <c r="A902" s="614">
        <f>Abs!A838</f>
        <v>0</v>
      </c>
      <c r="B902" s="620">
        <f>Abs!Y838</f>
        <v>0</v>
      </c>
      <c r="C902" s="621" t="str">
        <f>Abs!B838</f>
        <v>calling bell</v>
      </c>
      <c r="D902" s="617">
        <f>Abs!C838</f>
        <v>871.29</v>
      </c>
      <c r="E902" s="618">
        <f>Abs!D838</f>
        <v>0</v>
      </c>
      <c r="F902" s="617">
        <f t="shared" si="13"/>
        <v>0</v>
      </c>
    </row>
    <row r="903" spans="1:6" ht="99" hidden="1" customHeight="1">
      <c r="A903" s="614">
        <f>Abs!A839</f>
        <v>0</v>
      </c>
      <c r="B903" s="620">
        <f>Abs!Y839</f>
        <v>0</v>
      </c>
      <c r="C903" s="621" t="str">
        <f>Abs!B839</f>
        <v>Wiring with 1.5 sqmm PVC insulated single core multi strand fire retardant flexible copper cable with ISI mark confirming IS: 694:1990 for 5 amps 5 pin  plug socket point @ Convenient Places.(Open wiring)</v>
      </c>
      <c r="D903" s="617">
        <f>Abs!C839</f>
        <v>638.45000000000005</v>
      </c>
      <c r="E903" s="618" t="str">
        <f>Abs!D839</f>
        <v>Each</v>
      </c>
      <c r="F903" s="617">
        <f t="shared" si="13"/>
        <v>0</v>
      </c>
    </row>
    <row r="904" spans="1:6" ht="45" hidden="1" customHeight="1">
      <c r="A904" s="614">
        <f>Abs!A840</f>
        <v>0</v>
      </c>
      <c r="B904" s="620">
        <f>Abs!Y840</f>
        <v>0</v>
      </c>
      <c r="C904" s="621" t="str">
        <f>Abs!B840</f>
        <v>Wiring with 1.5 sqmm PVC insulated single core multi strand fire retardant flexible copper cable with ISI mark confirming IS: 694:1990 for 5 amps 5 pin  plug socket point @ Switch Board Itself.(Open wiring)</v>
      </c>
      <c r="D904" s="617">
        <f>Abs!C840</f>
        <v>764.91</v>
      </c>
      <c r="E904" s="618" t="str">
        <f>Abs!D840</f>
        <v>Each</v>
      </c>
      <c r="F904" s="617">
        <f t="shared" ref="F904:F967" si="14">D904*B904</f>
        <v>0</v>
      </c>
    </row>
    <row r="905" spans="1:6" ht="45" hidden="1" customHeight="1">
      <c r="A905" s="614">
        <f>Abs!A841</f>
        <v>0</v>
      </c>
      <c r="B905" s="620">
        <f>Abs!Y841</f>
        <v>0</v>
      </c>
      <c r="C905" s="621" t="str">
        <f>Abs!B841</f>
        <v>Wiring with 1.5 sqmm PVC insulated single core multi strand fire retardant flexible copper cable with ISI mark confirming IS: 694:1990 for Fan point .(Open wiring)</v>
      </c>
      <c r="D905" s="617">
        <f>Abs!C841</f>
        <v>917.36</v>
      </c>
      <c r="E905" s="618" t="str">
        <f>Abs!D841</f>
        <v>RMT</v>
      </c>
      <c r="F905" s="617">
        <f t="shared" si="14"/>
        <v>0</v>
      </c>
    </row>
    <row r="906" spans="1:6" ht="102.6" hidden="1" customHeight="1">
      <c r="A906" s="614">
        <f>Abs!A842</f>
        <v>0</v>
      </c>
      <c r="B906" s="620">
        <f>Abs!Y842</f>
        <v>0</v>
      </c>
      <c r="C906" s="621" t="str">
        <f>Abs!B842</f>
        <v>Aluminium Partition wall 1/3 5.5mm thick glass &amp; 2/3 Novapan sheet 12mm thick outer top and bottom</v>
      </c>
      <c r="D906" s="617">
        <f>Abs!C842</f>
        <v>3734.46</v>
      </c>
      <c r="E906" s="618" t="str">
        <f>Abs!D842</f>
        <v>Sqm</v>
      </c>
      <c r="F906" s="617">
        <f t="shared" si="14"/>
        <v>0</v>
      </c>
    </row>
    <row r="907" spans="1:6" ht="84.75" hidden="1" customHeight="1">
      <c r="A907" s="614">
        <f>Abs!A843</f>
        <v>0</v>
      </c>
      <c r="B907" s="620">
        <f>Abs!Y843</f>
        <v>0</v>
      </c>
      <c r="C907" s="621" t="str">
        <f>Abs!B843</f>
        <v>Supply and fixing of colour matt finish door 15 microns double leaf door ( 1500 x 2100 mm)</v>
      </c>
      <c r="D907" s="617">
        <f>Abs!C843</f>
        <v>5581.27</v>
      </c>
      <c r="E907" s="618" t="str">
        <f>Abs!D843</f>
        <v>Sqm</v>
      </c>
      <c r="F907" s="617">
        <f t="shared" si="14"/>
        <v>0</v>
      </c>
    </row>
    <row r="908" spans="1:6" ht="45" hidden="1" customHeight="1">
      <c r="A908" s="614">
        <f>Abs!A844</f>
        <v>0</v>
      </c>
      <c r="B908" s="620">
        <f>Abs!Y844</f>
        <v>0</v>
      </c>
      <c r="C908" s="621" t="str">
        <f>Abs!B844</f>
        <v>Supply and fixing of colour matt finish door 15 microns double leaf door ( 1000 x 2100 mm)</v>
      </c>
      <c r="D908" s="617">
        <f>Abs!C844</f>
        <v>7223.65</v>
      </c>
      <c r="E908" s="618" t="str">
        <f>Abs!D844</f>
        <v>Sqm</v>
      </c>
      <c r="F908" s="617">
        <f t="shared" si="14"/>
        <v>0</v>
      </c>
    </row>
    <row r="909" spans="1:6" ht="36.6" hidden="1" customHeight="1">
      <c r="A909" s="614">
        <f>Abs!A845</f>
        <v>0</v>
      </c>
      <c r="B909" s="620">
        <f>Abs!Y845</f>
        <v>0</v>
      </c>
      <c r="C909" s="621" t="str">
        <f>Abs!B845</f>
        <v>supplying and fixing of colour matt finish floor tiles of size 12"x12" floor tiles</v>
      </c>
      <c r="D909" s="617">
        <f>Abs!C845</f>
        <v>1266.92</v>
      </c>
      <c r="E909" s="618" t="str">
        <f>Abs!D845</f>
        <v>Sqm</v>
      </c>
      <c r="F909" s="617">
        <f t="shared" si="14"/>
        <v>0</v>
      </c>
    </row>
    <row r="910" spans="1:6" ht="36.6" hidden="1" customHeight="1">
      <c r="A910" s="614">
        <f>Abs!A846</f>
        <v>0</v>
      </c>
      <c r="B910" s="620">
        <f>Abs!Y846</f>
        <v>0</v>
      </c>
      <c r="C910" s="621" t="str">
        <f>Abs!B846</f>
        <v>supplying and fixing of colour matt finish floor tiles of size 12"x18" for wall tiles</v>
      </c>
      <c r="D910" s="617">
        <f>Abs!C846</f>
        <v>1535.68</v>
      </c>
      <c r="E910" s="618" t="str">
        <f>Abs!D846</f>
        <v>Sqm</v>
      </c>
      <c r="F910" s="617">
        <f t="shared" si="14"/>
        <v>0</v>
      </c>
    </row>
    <row r="911" spans="1:6" ht="93.75" customHeight="1">
      <c r="A911" s="614">
        <f>Abs!A847</f>
        <v>0</v>
      </c>
      <c r="B911" s="620" t="e">
        <f>Abs!Y847</f>
        <v>#REF!</v>
      </c>
      <c r="C911" s="621" t="str">
        <f>Abs!B847</f>
        <v>Supply and fixing of 20 Amps DP plug and socket in sheet enclosure with 32 A DP MCB  in Flush with wall with earth connection ( For AC Plug ) Legrand ( MDS) / Hager( L&amp; T) Equivalent/ Superior variety  
Ele SD -140 /2020-2021</v>
      </c>
      <c r="D911" s="617">
        <f>Abs!C847</f>
        <v>1830</v>
      </c>
      <c r="E911" s="618" t="str">
        <f>Abs!D847</f>
        <v>Each</v>
      </c>
      <c r="F911" s="617" t="e">
        <f t="shared" si="14"/>
        <v>#REF!</v>
      </c>
    </row>
    <row r="912" spans="1:6" ht="34.5" hidden="1" customHeight="1">
      <c r="A912" s="614">
        <f>Abs!A848</f>
        <v>0</v>
      </c>
      <c r="B912" s="620">
        <f>Abs!Y848</f>
        <v>0</v>
      </c>
      <c r="C912" s="621" t="str">
        <f>Abs!B848</f>
        <v>Supplying nd laying of 1000 x 1000 x 300mm size ms 16 swg powder coated cable terminal box with two compartment with necessary bus bar connected with TNEB etc.,</v>
      </c>
      <c r="D912" s="617">
        <f>Abs!C848</f>
        <v>34310</v>
      </c>
      <c r="E912" s="618" t="str">
        <f>Abs!D848</f>
        <v>Each</v>
      </c>
      <c r="F912" s="617">
        <f t="shared" si="14"/>
        <v>0</v>
      </c>
    </row>
    <row r="913" spans="1:6" ht="33" hidden="1" customHeight="1">
      <c r="A913" s="614">
        <f>Abs!A849</f>
        <v>0</v>
      </c>
      <c r="B913" s="620">
        <f>Abs!Y849</f>
        <v>0</v>
      </c>
      <c r="C913" s="621" t="str">
        <f>Abs!B849</f>
        <v>Supplying and fixing of 200 Amps metal clad switch with rewirable fuse units, (Revised PWD SR 18-19Pg.no.80 it-J Part c)</v>
      </c>
      <c r="D913" s="617">
        <f>Abs!C849</f>
        <v>8100</v>
      </c>
      <c r="E913" s="618" t="str">
        <f>Abs!D849</f>
        <v>Each</v>
      </c>
      <c r="F913" s="617">
        <f t="shared" si="14"/>
        <v>0</v>
      </c>
    </row>
    <row r="914" spans="1:6" ht="33" hidden="1" customHeight="1">
      <c r="A914" s="614">
        <f>Abs!A850</f>
        <v>0</v>
      </c>
      <c r="B914" s="620">
        <f>Abs!Y850</f>
        <v>0</v>
      </c>
      <c r="C914" s="621" t="str">
        <f>Abs!B850</f>
        <v>Supply and Laying Rubber Moulded Hyraulic Pressed Paver Block 83 mm thick including labour charges for laying etc ( as per DB/1469/2018)</v>
      </c>
      <c r="D914" s="617">
        <f>Abs!C850</f>
        <v>829</v>
      </c>
      <c r="E914" s="618" t="str">
        <f>Abs!D850</f>
        <v>Each</v>
      </c>
      <c r="F914" s="617">
        <f t="shared" si="14"/>
        <v>0</v>
      </c>
    </row>
    <row r="915" spans="1:6" ht="48" customHeight="1">
      <c r="A915" s="614">
        <f>Abs!A851</f>
        <v>0</v>
      </c>
      <c r="B915" s="620" t="e">
        <f>Abs!Y851</f>
        <v>#REF!</v>
      </c>
      <c r="C915" s="621" t="str">
        <f>Abs!B851</f>
        <v>Supplying and fixing of 250 Watts Metal halide Flood light etc., CER.No.28/2020-2021</v>
      </c>
      <c r="D915" s="617">
        <f>Abs!C851</f>
        <v>8460</v>
      </c>
      <c r="E915" s="618" t="str">
        <f>Abs!D851</f>
        <v>Each</v>
      </c>
      <c r="F915" s="617" t="e">
        <f t="shared" si="14"/>
        <v>#REF!</v>
      </c>
    </row>
    <row r="916" spans="1:6" ht="31.5" hidden="1" customHeight="1">
      <c r="A916" s="614">
        <f>Abs!A852</f>
        <v>21.6</v>
      </c>
      <c r="B916" s="620">
        <f>Abs!Y852</f>
        <v>0</v>
      </c>
      <c r="C916" s="621" t="str">
        <f>Abs!B852</f>
        <v>R.C.C.Door frames of size 100 x 75mm with one edge grooves size 't' x 20 mm  ( with out  M20 or M30 grade old  data )</v>
      </c>
      <c r="D916" s="617">
        <f>Abs!C852</f>
        <v>0</v>
      </c>
      <c r="E916" s="618">
        <f>Abs!D852</f>
        <v>0</v>
      </c>
      <c r="F916" s="617">
        <f t="shared" si="14"/>
        <v>0</v>
      </c>
    </row>
    <row r="917" spans="1:6" ht="41.25" hidden="1" customHeight="1">
      <c r="A917" s="614">
        <f>Abs!A853</f>
        <v>0</v>
      </c>
      <c r="B917" s="620">
        <f>Abs!Y853</f>
        <v>0</v>
      </c>
      <c r="C917" s="621" t="str">
        <f>Abs!B853</f>
        <v>a. 900 x 2100 mm</v>
      </c>
      <c r="D917" s="617">
        <f>Abs!C853</f>
        <v>2455.4699999999998</v>
      </c>
      <c r="E917" s="618" t="str">
        <f>Abs!D853</f>
        <v>Each</v>
      </c>
      <c r="F917" s="617">
        <f t="shared" si="14"/>
        <v>0</v>
      </c>
    </row>
    <row r="918" spans="1:6" ht="37.15" hidden="1" customHeight="1">
      <c r="A918" s="614">
        <f>Abs!A854</f>
        <v>0</v>
      </c>
      <c r="B918" s="620">
        <f>Abs!Y854</f>
        <v>0</v>
      </c>
      <c r="C918" s="621" t="str">
        <f>Abs!B854</f>
        <v>c. 1200 x 2100 mm</v>
      </c>
      <c r="D918" s="617">
        <f>Abs!C854</f>
        <v>2957.3</v>
      </c>
      <c r="E918" s="618" t="str">
        <f>Abs!D854</f>
        <v>Each</v>
      </c>
      <c r="F918" s="617">
        <f t="shared" si="14"/>
        <v>0</v>
      </c>
    </row>
    <row r="919" spans="1:6" ht="32.25" hidden="1" customHeight="1">
      <c r="A919" s="614">
        <f>Abs!A855</f>
        <v>0</v>
      </c>
      <c r="B919" s="620">
        <f>Abs!Y855</f>
        <v>0</v>
      </c>
      <c r="C919" s="621" t="str">
        <f>Abs!B855</f>
        <v>d. 750 x 2100 mm</v>
      </c>
      <c r="D919" s="617">
        <f>Abs!C855</f>
        <v>2421.2399999999998</v>
      </c>
      <c r="E919" s="618">
        <f>Abs!D855</f>
        <v>0</v>
      </c>
      <c r="F919" s="617">
        <f t="shared" si="14"/>
        <v>0</v>
      </c>
    </row>
    <row r="920" spans="1:6" ht="38.25" hidden="1" customHeight="1">
      <c r="A920" s="614">
        <f>Abs!A856</f>
        <v>0</v>
      </c>
      <c r="B920" s="620">
        <f>Abs!Y856</f>
        <v>0</v>
      </c>
      <c r="C920" s="621" t="str">
        <f>Abs!B856</f>
        <v>c. 1000 x 2100 mm</v>
      </c>
      <c r="D920" s="617">
        <f>Abs!C856</f>
        <v>2475.81</v>
      </c>
      <c r="E920" s="618" t="str">
        <f>Abs!D856</f>
        <v>Each</v>
      </c>
      <c r="F920" s="617">
        <f t="shared" si="14"/>
        <v>0</v>
      </c>
    </row>
    <row r="921" spans="1:6" ht="28.15" customHeight="1">
      <c r="A921" s="614">
        <f>Abs!A857</f>
        <v>0</v>
      </c>
      <c r="B921" s="620" t="e">
        <f>Abs!Y857</f>
        <v>#REF!</v>
      </c>
      <c r="C921" s="621" t="str">
        <f>Abs!B857</f>
        <v>Supply and fixing of 9 watts  LED bulb  
PWD SR P-115</v>
      </c>
      <c r="D921" s="617">
        <f>Abs!C857</f>
        <v>134</v>
      </c>
      <c r="E921" s="618" t="str">
        <f>Abs!D857</f>
        <v>Each</v>
      </c>
      <c r="F921" s="617" t="e">
        <f t="shared" si="14"/>
        <v>#REF!</v>
      </c>
    </row>
    <row r="922" spans="1:6" ht="26.25" customHeight="1">
      <c r="A922" s="614">
        <f>Abs!A858</f>
        <v>0</v>
      </c>
      <c r="B922" s="620" t="e">
        <f>Abs!Y858</f>
        <v>#REF!</v>
      </c>
      <c r="C922" s="621" t="str">
        <f>Abs!B858</f>
        <v>Supply and fixing of 4' 18 watts  LED  Tube Light
PWD SR P-114</v>
      </c>
      <c r="D922" s="617">
        <f>Abs!C858</f>
        <v>635</v>
      </c>
      <c r="E922" s="618" t="str">
        <f>Abs!D858</f>
        <v>Each</v>
      </c>
      <c r="F922" s="617" t="e">
        <f t="shared" si="14"/>
        <v>#REF!</v>
      </c>
    </row>
    <row r="923" spans="1:6" ht="49.5" customHeight="1">
      <c r="A923" s="614">
        <f>Abs!A859</f>
        <v>0</v>
      </c>
      <c r="B923" s="620" t="e">
        <f>Abs!Y859</f>
        <v>#REF!</v>
      </c>
      <c r="C923" s="621" t="str">
        <f>Abs!B859</f>
        <v>Supply and fixing of  Bulk Head fitting suitable for  12W LED Bulb</v>
      </c>
      <c r="D923" s="617">
        <f>Abs!C859</f>
        <v>462</v>
      </c>
      <c r="E923" s="618" t="str">
        <f>Abs!D859</f>
        <v>Each</v>
      </c>
      <c r="F923" s="617" t="e">
        <f t="shared" si="14"/>
        <v>#REF!</v>
      </c>
    </row>
    <row r="924" spans="1:6" ht="35.25" customHeight="1">
      <c r="A924" s="614">
        <f>Abs!A860</f>
        <v>0</v>
      </c>
      <c r="B924" s="620" t="e">
        <f>Abs!Y860</f>
        <v>#REF!</v>
      </c>
      <c r="C924" s="621" t="str">
        <f>Abs!B860</f>
        <v>Supply, fiing of 25W LED street light etc.,</v>
      </c>
      <c r="D924" s="617">
        <f>Abs!C860</f>
        <v>2991</v>
      </c>
      <c r="E924" s="618" t="str">
        <f>Abs!D860</f>
        <v>Each</v>
      </c>
      <c r="F924" s="617" t="e">
        <f t="shared" si="14"/>
        <v>#REF!</v>
      </c>
    </row>
    <row r="925" spans="1:6" s="498" customFormat="1" ht="46.9" customHeight="1">
      <c r="A925" s="614">
        <f>Abs!A861</f>
        <v>0</v>
      </c>
      <c r="B925" s="620" t="e">
        <f>Abs!Y861</f>
        <v>#REF!</v>
      </c>
      <c r="C925" s="621" t="str">
        <f>Abs!B861</f>
        <v>Supply and fixing of 12 watts  LED bulb  (qtn)</v>
      </c>
      <c r="D925" s="617">
        <f>Abs!C861</f>
        <v>170</v>
      </c>
      <c r="E925" s="618" t="str">
        <f>Abs!D861</f>
        <v>Each</v>
      </c>
      <c r="F925" s="617" t="e">
        <f t="shared" si="14"/>
        <v>#REF!</v>
      </c>
    </row>
    <row r="926" spans="1:6" s="498" customFormat="1" ht="58.9" hidden="1" customHeight="1">
      <c r="A926" s="614">
        <f>Abs!A862</f>
        <v>0</v>
      </c>
      <c r="B926" s="620">
        <f>Abs!Y862</f>
        <v>0</v>
      </c>
      <c r="C926" s="621" t="str">
        <f>Abs!B862</f>
        <v>Supply and fixing of Prepainting G.I. Window/ Ventilator  with Grill( PWDSR-18-19)P-56 it-190</v>
      </c>
      <c r="D926" s="617">
        <f>Abs!C862</f>
        <v>5350</v>
      </c>
      <c r="E926" s="618" t="str">
        <f>Abs!D862</f>
        <v>Sqm</v>
      </c>
      <c r="F926" s="617">
        <f t="shared" si="14"/>
        <v>0</v>
      </c>
    </row>
    <row r="927" spans="1:6" s="498" customFormat="1" ht="54.6" hidden="1" customHeight="1">
      <c r="A927" s="614">
        <f>Abs!A863</f>
        <v>0</v>
      </c>
      <c r="B927" s="620">
        <f>Abs!Y863</f>
        <v>0</v>
      </c>
      <c r="C927" s="621" t="str">
        <f>Abs!B863</f>
        <v>Wallputty ( one coat)</v>
      </c>
      <c r="D927" s="617">
        <f>Abs!C863</f>
        <v>84.17</v>
      </c>
      <c r="E927" s="618" t="str">
        <f>Abs!D863</f>
        <v>Sqm</v>
      </c>
      <c r="F927" s="617">
        <f t="shared" si="14"/>
        <v>0</v>
      </c>
    </row>
    <row r="928" spans="1:6" ht="69" hidden="1" customHeight="1">
      <c r="A928" s="614">
        <f>Abs!A864</f>
        <v>0</v>
      </c>
      <c r="B928" s="620">
        <f>Abs!Y864</f>
        <v>0</v>
      </c>
      <c r="C928" s="621" t="str">
        <f>Abs!B864</f>
        <v>External electrical arrangements</v>
      </c>
      <c r="D928" s="617">
        <f>Abs!C864</f>
        <v>0</v>
      </c>
      <c r="E928" s="618">
        <f>Abs!D864</f>
        <v>0</v>
      </c>
      <c r="F928" s="617">
        <f t="shared" si="14"/>
        <v>0</v>
      </c>
    </row>
    <row r="929" spans="1:6" ht="38.25" customHeight="1">
      <c r="A929" s="614">
        <f>Abs!A865</f>
        <v>0</v>
      </c>
      <c r="B929" s="620" t="e">
        <f>Abs!Y865</f>
        <v>#REF!</v>
      </c>
      <c r="C929" s="621" t="str">
        <f>Abs!B865</f>
        <v>Supply and erection of 125 Amps capacity floor mounting panel board (Cubical type)</v>
      </c>
      <c r="D929" s="617">
        <f>Abs!C865</f>
        <v>34607</v>
      </c>
      <c r="E929" s="618" t="str">
        <f>Abs!D865</f>
        <v>Each</v>
      </c>
      <c r="F929" s="617" t="e">
        <f t="shared" si="14"/>
        <v>#REF!</v>
      </c>
    </row>
    <row r="930" spans="1:6" ht="53.45" customHeight="1">
      <c r="A930" s="614">
        <f>Abs!A866</f>
        <v>0</v>
      </c>
      <c r="B930" s="620" t="e">
        <f>Abs!Y866</f>
        <v>#REF!</v>
      </c>
      <c r="C930" s="621" t="str">
        <f>Abs!B866</f>
        <v>Supplying of 4x16 sqmm PVC armoured LTUG cable (SD 203) (below ground level)</v>
      </c>
      <c r="D930" s="617">
        <f>Abs!C866</f>
        <v>410</v>
      </c>
      <c r="E930" s="618" t="str">
        <f>Abs!D866</f>
        <v>Rmt</v>
      </c>
      <c r="F930" s="617" t="e">
        <f t="shared" si="14"/>
        <v>#REF!</v>
      </c>
    </row>
    <row r="931" spans="1:6" ht="56.25" customHeight="1">
      <c r="A931" s="614">
        <f>Abs!A931</f>
        <v>0</v>
      </c>
      <c r="B931" s="620" t="e">
        <f>Abs!Y931</f>
        <v>#REF!</v>
      </c>
      <c r="C931" s="621">
        <f>Abs!B931</f>
        <v>0</v>
      </c>
      <c r="D931" s="617">
        <f>Abs!C931</f>
        <v>0</v>
      </c>
      <c r="E931" s="618">
        <f>Abs!D931</f>
        <v>0</v>
      </c>
      <c r="F931" s="617" t="e">
        <f t="shared" si="14"/>
        <v>#REF!</v>
      </c>
    </row>
    <row r="932" spans="1:6" ht="169.15" hidden="1" customHeight="1">
      <c r="A932" s="614">
        <f>Abs!A932</f>
        <v>0</v>
      </c>
      <c r="B932" s="620" t="e">
        <f>Abs!Y932</f>
        <v>#REF!</v>
      </c>
      <c r="C932" s="621" t="str">
        <f>Abs!B932</f>
        <v>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v>
      </c>
      <c r="D932" s="617">
        <f>Abs!C932</f>
        <v>457.07</v>
      </c>
      <c r="E932" s="618" t="str">
        <f>Abs!D932</f>
        <v>Rmt</v>
      </c>
      <c r="F932" s="617" t="e">
        <f t="shared" si="14"/>
        <v>#REF!</v>
      </c>
    </row>
    <row r="933" spans="1:6" ht="160.15" hidden="1" customHeight="1">
      <c r="A933" s="614">
        <f>Abs!A933</f>
        <v>0</v>
      </c>
      <c r="B933" s="620" t="e">
        <f>Abs!Y933</f>
        <v>#REF!</v>
      </c>
      <c r="C933" s="621">
        <f>Abs!B933</f>
        <v>0</v>
      </c>
      <c r="D933" s="617">
        <f>Abs!C933</f>
        <v>0</v>
      </c>
      <c r="E933" s="618">
        <f>Abs!D933</f>
        <v>0</v>
      </c>
      <c r="F933" s="617" t="e">
        <f t="shared" si="14"/>
        <v>#REF!</v>
      </c>
    </row>
    <row r="934" spans="1:6" ht="124.9" hidden="1" customHeight="1">
      <c r="A934" s="614">
        <f>Abs!A934</f>
        <v>0</v>
      </c>
      <c r="B934" s="620" t="e">
        <f>Abs!Y934</f>
        <v>#REF!</v>
      </c>
      <c r="C934" s="621" t="str">
        <f>Abs!B934</f>
        <v>Labour charge for laying of  3.5 core 35 sq.mm approved quality excluding civil works such as providing trench below G.L</v>
      </c>
      <c r="D934" s="617">
        <f>Abs!C934</f>
        <v>245.46</v>
      </c>
      <c r="E934" s="618" t="str">
        <f>Abs!D934</f>
        <v>Rmt</v>
      </c>
      <c r="F934" s="617" t="e">
        <f t="shared" si="14"/>
        <v>#REF!</v>
      </c>
    </row>
    <row r="935" spans="1:6" ht="302.45" hidden="1" customHeight="1">
      <c r="A935" s="614">
        <f>Abs!A935</f>
        <v>0</v>
      </c>
      <c r="B935" s="620" t="e">
        <f>Abs!Y935</f>
        <v>#REF!</v>
      </c>
      <c r="C935" s="621">
        <f>Abs!B935</f>
        <v>0</v>
      </c>
      <c r="D935" s="617">
        <f>Abs!C935</f>
        <v>0</v>
      </c>
      <c r="E935" s="618">
        <f>Abs!D935</f>
        <v>0</v>
      </c>
      <c r="F935" s="617" t="e">
        <f t="shared" si="14"/>
        <v>#REF!</v>
      </c>
    </row>
    <row r="936" spans="1:6" ht="154.15" hidden="1" customHeight="1">
      <c r="A936" s="614">
        <f>Abs!A936</f>
        <v>0</v>
      </c>
      <c r="B936" s="620" t="e">
        <f>Abs!Y936</f>
        <v>#REF!</v>
      </c>
      <c r="C936" s="621">
        <f>Abs!B936</f>
        <v>0</v>
      </c>
      <c r="D936" s="617">
        <f>Abs!C936</f>
        <v>0</v>
      </c>
      <c r="E936" s="618">
        <f>Abs!D936</f>
        <v>0</v>
      </c>
      <c r="F936" s="617" t="e">
        <f t="shared" si="14"/>
        <v>#REF!</v>
      </c>
    </row>
    <row r="937" spans="1:6" ht="248.45" hidden="1" customHeight="1">
      <c r="A937" s="614">
        <f>Abs!A937</f>
        <v>0</v>
      </c>
      <c r="B937" s="620" t="e">
        <f>Abs!Y937</f>
        <v>#REF!</v>
      </c>
      <c r="C937" s="621" t="str">
        <f>Abs!B937</f>
        <v>Labour charge for laying of  3.5 core 35 sq.mm approved quality excluding fixing vertical wall above ground level</v>
      </c>
      <c r="D937" s="617">
        <f>Abs!C937</f>
        <v>150.69</v>
      </c>
      <c r="E937" s="618" t="str">
        <f>Abs!D937</f>
        <v>Rmt</v>
      </c>
      <c r="F937" s="617" t="e">
        <f t="shared" si="14"/>
        <v>#REF!</v>
      </c>
    </row>
    <row r="938" spans="1:6" ht="269.45" hidden="1" customHeight="1">
      <c r="A938" s="614">
        <f>Abs!A938</f>
        <v>0</v>
      </c>
      <c r="B938" s="620" t="e">
        <f>Abs!Y938</f>
        <v>#REF!</v>
      </c>
      <c r="C938" s="621">
        <f>Abs!B938</f>
        <v>0</v>
      </c>
      <c r="D938" s="617">
        <f>Abs!C938</f>
        <v>0</v>
      </c>
      <c r="E938" s="618">
        <f>Abs!D938</f>
        <v>0</v>
      </c>
      <c r="F938" s="617" t="e">
        <f t="shared" si="14"/>
        <v>#REF!</v>
      </c>
    </row>
    <row r="939" spans="1:6" ht="74.45" hidden="1" customHeight="1">
      <c r="A939" s="614">
        <f>Abs!A939</f>
        <v>0</v>
      </c>
      <c r="B939" s="620" t="e">
        <f>Abs!Y939</f>
        <v>#REF!</v>
      </c>
      <c r="C939" s="621">
        <f>Abs!B939</f>
        <v>0</v>
      </c>
      <c r="D939" s="617">
        <f>Abs!C939</f>
        <v>0</v>
      </c>
      <c r="E939" s="618">
        <f>Abs!D939</f>
        <v>0</v>
      </c>
      <c r="F939" s="617" t="e">
        <f t="shared" si="14"/>
        <v>#REF!</v>
      </c>
    </row>
    <row r="940" spans="1:6" ht="94.15" hidden="1" customHeight="1">
      <c r="A940" s="614" t="e">
        <f>Abs!#REF!</f>
        <v>#REF!</v>
      </c>
      <c r="B940" s="620" t="e">
        <f>Abs!#REF!</f>
        <v>#REF!</v>
      </c>
      <c r="C940" s="621" t="e">
        <f>Abs!#REF!</f>
        <v>#REF!</v>
      </c>
      <c r="D940" s="617" t="e">
        <f>Abs!#REF!</f>
        <v>#REF!</v>
      </c>
      <c r="E940" s="618" t="e">
        <f>Abs!#REF!</f>
        <v>#REF!</v>
      </c>
      <c r="F940" s="617" t="e">
        <f t="shared" si="14"/>
        <v>#REF!</v>
      </c>
    </row>
    <row r="941" spans="1:6" ht="129.75" customHeight="1">
      <c r="A941" s="614" t="e">
        <f>Abs!#REF!</f>
        <v>#REF!</v>
      </c>
      <c r="B941" s="620" t="e">
        <f>Abs!#REF!</f>
        <v>#REF!</v>
      </c>
      <c r="C941" s="621" t="e">
        <f>Abs!#REF!</f>
        <v>#REF!</v>
      </c>
      <c r="D941" s="617" t="e">
        <f>Abs!#REF!</f>
        <v>#REF!</v>
      </c>
      <c r="E941" s="618" t="e">
        <f>Abs!#REF!</f>
        <v>#REF!</v>
      </c>
      <c r="F941" s="617" t="e">
        <f t="shared" si="14"/>
        <v>#REF!</v>
      </c>
    </row>
    <row r="942" spans="1:6" ht="132.6" hidden="1" customHeight="1">
      <c r="A942" s="614" t="e">
        <f>Abs!#REF!</f>
        <v>#REF!</v>
      </c>
      <c r="B942" s="620" t="e">
        <f>Abs!#REF!</f>
        <v>#REF!</v>
      </c>
      <c r="C942" s="621" t="e">
        <f>Abs!#REF!</f>
        <v>#REF!</v>
      </c>
      <c r="D942" s="617" t="e">
        <f>Abs!#REF!</f>
        <v>#REF!</v>
      </c>
      <c r="E942" s="618" t="e">
        <f>Abs!#REF!</f>
        <v>#REF!</v>
      </c>
      <c r="F942" s="617" t="e">
        <f t="shared" si="14"/>
        <v>#REF!</v>
      </c>
    </row>
    <row r="943" spans="1:6" ht="91.15" hidden="1" customHeight="1">
      <c r="A943" s="614">
        <f>Abs!A940</f>
        <v>0</v>
      </c>
      <c r="B943" s="620" t="e">
        <f>Abs!Y940</f>
        <v>#REF!</v>
      </c>
      <c r="C943" s="621" t="str">
        <f>Abs!B940</f>
        <v>Supplying and fixing of 50mm dia G.I pipe of approved brand with ISI mark</v>
      </c>
      <c r="D943" s="617">
        <f>Abs!C940</f>
        <v>209</v>
      </c>
      <c r="E943" s="618" t="str">
        <f>Abs!D940</f>
        <v>Rmt</v>
      </c>
      <c r="F943" s="617" t="e">
        <f t="shared" si="14"/>
        <v>#REF!</v>
      </c>
    </row>
    <row r="944" spans="1:6" ht="48" hidden="1" customHeight="1">
      <c r="A944" s="614">
        <f>Abs!A941</f>
        <v>0</v>
      </c>
      <c r="B944" s="620" t="e">
        <f>Abs!Y941</f>
        <v>#REF!</v>
      </c>
      <c r="C944" s="621">
        <f>Abs!B941</f>
        <v>0</v>
      </c>
      <c r="D944" s="617">
        <f>Abs!C941</f>
        <v>0</v>
      </c>
      <c r="E944" s="618" t="str">
        <f>Abs!D941</f>
        <v>PWD SR 2020-21 P.No: 51</v>
      </c>
      <c r="F944" s="617" t="e">
        <f t="shared" si="14"/>
        <v>#REF!</v>
      </c>
    </row>
    <row r="945" spans="1:6" ht="66" customHeight="1">
      <c r="A945" s="614">
        <f>Abs!A942</f>
        <v>0</v>
      </c>
      <c r="B945" s="620" t="e">
        <f>Abs!Y942</f>
        <v>#REF!</v>
      </c>
      <c r="C945" s="621">
        <f>Abs!B942</f>
        <v>0</v>
      </c>
      <c r="D945" s="617">
        <f>Abs!C942</f>
        <v>0</v>
      </c>
      <c r="E945" s="618">
        <f>Abs!D942</f>
        <v>0</v>
      </c>
      <c r="F945" s="617" t="e">
        <f t="shared" si="14"/>
        <v>#REF!</v>
      </c>
    </row>
    <row r="946" spans="1:6" ht="35.450000000000003" hidden="1" customHeight="1">
      <c r="A946" s="614">
        <f>Abs!A943</f>
        <v>0</v>
      </c>
      <c r="B946" s="620" t="e">
        <f>Abs!Y943</f>
        <v>#REF!</v>
      </c>
      <c r="C946" s="621" t="str">
        <f>Abs!B943</f>
        <v>Supplying and delivery of GI specials of approved brand confirming to IS specification</v>
      </c>
      <c r="D946" s="617">
        <f>Abs!C943</f>
        <v>0</v>
      </c>
      <c r="E946" s="618" t="str">
        <f>Abs!D943</f>
        <v>TWAD 20-21</v>
      </c>
      <c r="F946" s="617" t="e">
        <f t="shared" si="14"/>
        <v>#REF!</v>
      </c>
    </row>
    <row r="947" spans="1:6" ht="35.450000000000003" hidden="1" customHeight="1">
      <c r="A947" s="614" t="e">
        <f>Abs!#REF!</f>
        <v>#REF!</v>
      </c>
      <c r="B947" s="620" t="e">
        <f>Abs!#REF!</f>
        <v>#REF!</v>
      </c>
      <c r="C947" s="621" t="e">
        <f>Abs!#REF!</f>
        <v>#REF!</v>
      </c>
      <c r="D947" s="617" t="e">
        <f>Abs!#REF!</f>
        <v>#REF!</v>
      </c>
      <c r="E947" s="618" t="e">
        <f>Abs!#REF!</f>
        <v>#REF!</v>
      </c>
      <c r="F947" s="617" t="e">
        <f t="shared" si="14"/>
        <v>#REF!</v>
      </c>
    </row>
    <row r="948" spans="1:6" ht="87" hidden="1" customHeight="1">
      <c r="A948" s="614" t="e">
        <f>Abs!#REF!</f>
        <v>#REF!</v>
      </c>
      <c r="B948" s="620" t="e">
        <f>Abs!#REF!</f>
        <v>#REF!</v>
      </c>
      <c r="C948" s="621" t="e">
        <f>Abs!#REF!</f>
        <v>#REF!</v>
      </c>
      <c r="D948" s="617" t="e">
        <f>Abs!#REF!</f>
        <v>#REF!</v>
      </c>
      <c r="E948" s="618" t="e">
        <f>Abs!#REF!</f>
        <v>#REF!</v>
      </c>
      <c r="F948" s="617" t="e">
        <f t="shared" si="14"/>
        <v>#REF!</v>
      </c>
    </row>
    <row r="949" spans="1:6" ht="43.15" hidden="1" customHeight="1">
      <c r="A949" s="614" t="e">
        <f>Abs!#REF!</f>
        <v>#REF!</v>
      </c>
      <c r="B949" s="620" t="e">
        <f>Abs!#REF!</f>
        <v>#REF!</v>
      </c>
      <c r="C949" s="621" t="e">
        <f>Abs!#REF!</f>
        <v>#REF!</v>
      </c>
      <c r="D949" s="617" t="e">
        <f>Abs!#REF!</f>
        <v>#REF!</v>
      </c>
      <c r="E949" s="618" t="e">
        <f>Abs!#REF!</f>
        <v>#REF!</v>
      </c>
      <c r="F949" s="617" t="e">
        <f t="shared" si="14"/>
        <v>#REF!</v>
      </c>
    </row>
    <row r="950" spans="1:6" ht="43.15" hidden="1" customHeight="1">
      <c r="A950" s="614">
        <f>Abs!A944</f>
        <v>0</v>
      </c>
      <c r="B950" s="620" t="e">
        <f>Abs!Y944</f>
        <v>#REF!</v>
      </c>
      <c r="C950" s="621" t="str">
        <f>Abs!B944</f>
        <v xml:space="preserve">e. 50mm dia Bend </v>
      </c>
      <c r="D950" s="617">
        <f>Abs!C944</f>
        <v>116.3</v>
      </c>
      <c r="E950" s="618" t="str">
        <f>Abs!D944</f>
        <v>Each</v>
      </c>
      <c r="F950" s="617" t="e">
        <f t="shared" si="14"/>
        <v>#REF!</v>
      </c>
    </row>
    <row r="951" spans="1:6" ht="43.15" hidden="1" customHeight="1">
      <c r="A951" s="614">
        <f>Abs!A945</f>
        <v>0</v>
      </c>
      <c r="B951" s="620" t="e">
        <f>Abs!Y945</f>
        <v>#REF!</v>
      </c>
      <c r="C951" s="621" t="str">
        <f>Abs!B945</f>
        <v>f. 50mm dia Coupling</v>
      </c>
      <c r="D951" s="617">
        <f>Abs!C945</f>
        <v>69.8</v>
      </c>
      <c r="E951" s="618" t="str">
        <f>Abs!D945</f>
        <v>Each</v>
      </c>
      <c r="F951" s="617" t="e">
        <f t="shared" si="14"/>
        <v>#REF!</v>
      </c>
    </row>
    <row r="952" spans="1:6" ht="43.15" hidden="1" customHeight="1">
      <c r="A952" s="614">
        <f>Abs!A946</f>
        <v>0</v>
      </c>
      <c r="B952" s="620" t="e">
        <f>Abs!Y946</f>
        <v>#REF!</v>
      </c>
      <c r="C952" s="621">
        <f>Abs!B946</f>
        <v>0</v>
      </c>
      <c r="D952" s="617">
        <f>Abs!C946</f>
        <v>0</v>
      </c>
      <c r="E952" s="618">
        <f>Abs!D946</f>
        <v>0</v>
      </c>
      <c r="F952" s="617" t="e">
        <f t="shared" si="14"/>
        <v>#REF!</v>
      </c>
    </row>
    <row r="953" spans="1:6" ht="93.75" customHeight="1">
      <c r="A953" s="614">
        <f>Abs!A947</f>
        <v>0</v>
      </c>
      <c r="B953" s="615" t="e">
        <f>Abs!Y947</f>
        <v>#REF!</v>
      </c>
      <c r="C953" s="616" t="str">
        <f>Abs!B947</f>
        <v>Supplying and fixing of three phase DB box hylin sheet steel encloser with detabased gland plates for flush/surface mounting with bus bar neutral lines and earth bus bar ( without Mcb's ) etc.,</v>
      </c>
      <c r="D953" s="617">
        <f>Abs!C947</f>
        <v>3590</v>
      </c>
      <c r="E953" s="618" t="str">
        <f>Abs!D947</f>
        <v>Each/ SOR 21-22 P.119</v>
      </c>
      <c r="F953" s="617"/>
    </row>
    <row r="954" spans="1:6" ht="43.15" hidden="1" customHeight="1">
      <c r="A954" s="614">
        <f>Abs!A948</f>
        <v>0</v>
      </c>
      <c r="B954" s="620" t="e">
        <f>Abs!Y948</f>
        <v>#REF!</v>
      </c>
      <c r="C954" s="621">
        <f>Abs!B948</f>
        <v>0</v>
      </c>
      <c r="D954" s="617">
        <f>Abs!C948</f>
        <v>0</v>
      </c>
      <c r="E954" s="618">
        <f>Abs!D948</f>
        <v>0</v>
      </c>
      <c r="F954" s="617" t="e">
        <f t="shared" si="14"/>
        <v>#REF!</v>
      </c>
    </row>
    <row r="955" spans="1:6" ht="43.15" customHeight="1">
      <c r="A955" s="614">
        <f>Abs!A949</f>
        <v>0</v>
      </c>
      <c r="B955" s="620" t="e">
        <f>Abs!Y949</f>
        <v>#REF!</v>
      </c>
      <c r="C955" s="621" t="str">
        <f>Abs!B949</f>
        <v>Supplying and Fixing of Power shell double door TPN sheet enclosers</v>
      </c>
      <c r="D955" s="617">
        <f>Abs!C949</f>
        <v>3590</v>
      </c>
      <c r="E955" s="618" t="str">
        <f>Abs!D949</f>
        <v>Each</v>
      </c>
      <c r="F955" s="617" t="e">
        <f t="shared" si="14"/>
        <v>#REF!</v>
      </c>
    </row>
    <row r="956" spans="1:6" ht="48.6" hidden="1" customHeight="1">
      <c r="A956" s="614">
        <f>Abs!A950</f>
        <v>0</v>
      </c>
      <c r="B956" s="620" t="e">
        <f>Abs!Y950</f>
        <v>#REF!</v>
      </c>
      <c r="C956" s="621">
        <f>Abs!B950</f>
        <v>0</v>
      </c>
      <c r="D956" s="617">
        <f>Abs!C950</f>
        <v>0</v>
      </c>
      <c r="E956" s="618">
        <f>Abs!D950</f>
        <v>0</v>
      </c>
      <c r="F956" s="617" t="e">
        <f t="shared" si="14"/>
        <v>#REF!</v>
      </c>
    </row>
    <row r="957" spans="1:6" ht="48.6" hidden="1" customHeight="1">
      <c r="A957" s="614">
        <f>Abs!A951</f>
        <v>0</v>
      </c>
      <c r="B957" s="620" t="e">
        <f>Abs!Y951</f>
        <v>#REF!</v>
      </c>
      <c r="C957" s="621" t="str">
        <f>Abs!B951</f>
        <v>Supplying and fixing of  4 pole 40 amps 30ml ELCB etc.,</v>
      </c>
      <c r="D957" s="617">
        <f>Abs!C951</f>
        <v>2743</v>
      </c>
      <c r="E957" s="618" t="str">
        <f>Abs!D951</f>
        <v>Each</v>
      </c>
      <c r="F957" s="617" t="e">
        <f t="shared" si="14"/>
        <v>#REF!</v>
      </c>
    </row>
    <row r="958" spans="1:6" ht="33.75" customHeight="1">
      <c r="A958" s="614">
        <f>Abs!A952</f>
        <v>0</v>
      </c>
      <c r="B958" s="620" t="e">
        <f>Abs!Y952</f>
        <v>#REF!</v>
      </c>
      <c r="C958" s="621">
        <f>Abs!B952</f>
        <v>0</v>
      </c>
      <c r="D958" s="617">
        <f>Abs!C952</f>
        <v>0</v>
      </c>
      <c r="E958" s="618">
        <f>Abs!D952</f>
        <v>0</v>
      </c>
      <c r="F958" s="617" t="e">
        <f t="shared" si="14"/>
        <v>#REF!</v>
      </c>
    </row>
    <row r="959" spans="1:6" ht="30" hidden="1" customHeight="1">
      <c r="A959" s="614">
        <f>Abs!A953</f>
        <v>0</v>
      </c>
      <c r="B959" s="620" t="e">
        <f>Abs!Y953</f>
        <v>#REF!</v>
      </c>
      <c r="C959" s="621" t="str">
        <f>Abs!B953</f>
        <v>Supplying and fixing of single pole to 32 A 10 KA MCB's etc.,</v>
      </c>
      <c r="D959" s="617">
        <f>Abs!C953</f>
        <v>374</v>
      </c>
      <c r="E959" s="618" t="str">
        <f>Abs!D953</f>
        <v>Each</v>
      </c>
      <c r="F959" s="617" t="e">
        <f t="shared" si="14"/>
        <v>#REF!</v>
      </c>
    </row>
    <row r="960" spans="1:6" ht="48.6" customHeight="1">
      <c r="A960" s="614">
        <f>Abs!A954</f>
        <v>0</v>
      </c>
      <c r="B960" s="620" t="e">
        <f>Abs!Y954</f>
        <v>#REF!</v>
      </c>
      <c r="C960" s="621">
        <f>Abs!B954</f>
        <v>0</v>
      </c>
      <c r="D960" s="617">
        <f>Abs!C954</f>
        <v>0</v>
      </c>
      <c r="E960" s="618">
        <f>Abs!D954</f>
        <v>0</v>
      </c>
      <c r="F960" s="617" t="e">
        <f t="shared" si="14"/>
        <v>#REF!</v>
      </c>
    </row>
    <row r="961" spans="1:6" ht="108" hidden="1" customHeight="1">
      <c r="A961" s="614">
        <f>Abs!A955</f>
        <v>0</v>
      </c>
      <c r="B961" s="620" t="e">
        <f>Abs!Y955</f>
        <v>#REF!</v>
      </c>
      <c r="C961" s="621" t="str">
        <f>Abs!B955</f>
        <v>Supplying and fixing of 32 AMPS Triple pole main switch</v>
      </c>
      <c r="D961" s="617">
        <f>Abs!C955</f>
        <v>2083.67</v>
      </c>
      <c r="E961" s="618" t="str">
        <f>Abs!D955</f>
        <v>Each</v>
      </c>
      <c r="F961" s="617" t="e">
        <f t="shared" si="14"/>
        <v>#REF!</v>
      </c>
    </row>
    <row r="962" spans="1:6" ht="45" hidden="1" customHeight="1">
      <c r="A962" s="614">
        <f>Abs!A956</f>
        <v>0</v>
      </c>
      <c r="B962" s="620" t="e">
        <f>Abs!Y956</f>
        <v>#REF!</v>
      </c>
      <c r="C962" s="621">
        <f>Abs!B956</f>
        <v>0</v>
      </c>
      <c r="D962" s="617">
        <f>Abs!C956</f>
        <v>0</v>
      </c>
      <c r="E962" s="618">
        <f>Abs!D956</f>
        <v>0</v>
      </c>
      <c r="F962" s="617" t="e">
        <f t="shared" si="14"/>
        <v>#REF!</v>
      </c>
    </row>
    <row r="963" spans="1:6" ht="45" hidden="1" customHeight="1">
      <c r="A963" s="614" t="e">
        <f>Abs!#REF!</f>
        <v>#REF!</v>
      </c>
      <c r="B963" s="620" t="e">
        <f>Abs!#REF!</f>
        <v>#REF!</v>
      </c>
      <c r="C963" s="621" t="e">
        <f>Abs!#REF!</f>
        <v>#REF!</v>
      </c>
      <c r="D963" s="617" t="e">
        <f>Abs!#REF!</f>
        <v>#REF!</v>
      </c>
      <c r="E963" s="618" t="e">
        <f>Abs!#REF!</f>
        <v>#REF!</v>
      </c>
      <c r="F963" s="617" t="e">
        <f t="shared" si="14"/>
        <v>#REF!</v>
      </c>
    </row>
    <row r="964" spans="1:6" ht="45" hidden="1" customHeight="1">
      <c r="A964" s="614" t="e">
        <f>Abs!#REF!</f>
        <v>#REF!</v>
      </c>
      <c r="B964" s="620" t="e">
        <f>Abs!#REF!</f>
        <v>#REF!</v>
      </c>
      <c r="C964" s="621" t="e">
        <f>Abs!#REF!</f>
        <v>#REF!</v>
      </c>
      <c r="D964" s="617" t="e">
        <f>Abs!#REF!</f>
        <v>#REF!</v>
      </c>
      <c r="E964" s="618" t="e">
        <f>Abs!#REF!</f>
        <v>#REF!</v>
      </c>
      <c r="F964" s="617" t="e">
        <f t="shared" si="14"/>
        <v>#REF!</v>
      </c>
    </row>
    <row r="965" spans="1:6" ht="45" hidden="1" customHeight="1">
      <c r="A965" s="614">
        <f>Abs!A957</f>
        <v>0</v>
      </c>
      <c r="B965" s="620" t="e">
        <f>Abs!Y957</f>
        <v>#REF!</v>
      </c>
      <c r="C965" s="621" t="str">
        <f>Abs!B957</f>
        <v>Supplying and fixing of rotary switch  etc.,</v>
      </c>
      <c r="D965" s="617">
        <f>Abs!C957</f>
        <v>885</v>
      </c>
      <c r="E965" s="618" t="str">
        <f>Abs!D957</f>
        <v>Each/ SOR 21-22 P.134</v>
      </c>
      <c r="F965" s="617" t="e">
        <f t="shared" si="14"/>
        <v>#REF!</v>
      </c>
    </row>
    <row r="966" spans="1:6" ht="45" hidden="1" customHeight="1">
      <c r="A966" s="614" t="e">
        <f>Abs!#REF!</f>
        <v>#REF!</v>
      </c>
      <c r="B966" s="620" t="e">
        <f>Abs!#REF!</f>
        <v>#REF!</v>
      </c>
      <c r="C966" s="621" t="e">
        <f>Abs!#REF!</f>
        <v>#REF!</v>
      </c>
      <c r="D966" s="617" t="e">
        <f>Abs!#REF!</f>
        <v>#REF!</v>
      </c>
      <c r="E966" s="618" t="e">
        <f>Abs!#REF!</f>
        <v>#REF!</v>
      </c>
      <c r="F966" s="617" t="e">
        <f t="shared" si="14"/>
        <v>#REF!</v>
      </c>
    </row>
    <row r="967" spans="1:6" ht="45" hidden="1" customHeight="1">
      <c r="A967" s="614" t="e">
        <f>Abs!#REF!</f>
        <v>#REF!</v>
      </c>
      <c r="B967" s="620" t="e">
        <f>Abs!#REF!</f>
        <v>#REF!</v>
      </c>
      <c r="C967" s="621" t="e">
        <f>Abs!#REF!</f>
        <v>#REF!</v>
      </c>
      <c r="D967" s="617" t="e">
        <f>Abs!#REF!</f>
        <v>#REF!</v>
      </c>
      <c r="E967" s="618" t="e">
        <f>Abs!#REF!</f>
        <v>#REF!</v>
      </c>
      <c r="F967" s="617" t="e">
        <f t="shared" si="14"/>
        <v>#REF!</v>
      </c>
    </row>
    <row r="968" spans="1:6" ht="60" hidden="1" customHeight="1">
      <c r="A968" s="614" t="e">
        <f>Abs!#REF!</f>
        <v>#REF!</v>
      </c>
      <c r="B968" s="620" t="e">
        <f>Abs!#REF!</f>
        <v>#REF!</v>
      </c>
      <c r="C968" s="621" t="e">
        <f>Abs!#REF!</f>
        <v>#REF!</v>
      </c>
      <c r="D968" s="617" t="e">
        <f>Abs!#REF!</f>
        <v>#REF!</v>
      </c>
      <c r="E968" s="618" t="e">
        <f>Abs!#REF!</f>
        <v>#REF!</v>
      </c>
      <c r="F968" s="617" t="e">
        <f t="shared" ref="F968:F1031" si="15">D968*B968</f>
        <v>#REF!</v>
      </c>
    </row>
    <row r="969" spans="1:6" ht="47.45" hidden="1" customHeight="1">
      <c r="A969" s="614" t="e">
        <f>Abs!#REF!</f>
        <v>#REF!</v>
      </c>
      <c r="B969" s="620" t="e">
        <f>Abs!#REF!</f>
        <v>#REF!</v>
      </c>
      <c r="C969" s="621" t="e">
        <f>Abs!#REF!</f>
        <v>#REF!</v>
      </c>
      <c r="D969" s="617" t="e">
        <f>Abs!#REF!</f>
        <v>#REF!</v>
      </c>
      <c r="E969" s="618" t="e">
        <f>Abs!#REF!</f>
        <v>#REF!</v>
      </c>
      <c r="F969" s="617" t="e">
        <f t="shared" si="15"/>
        <v>#REF!</v>
      </c>
    </row>
    <row r="970" spans="1:6" ht="43.9" hidden="1" customHeight="1">
      <c r="A970" s="614" t="e">
        <f>Abs!#REF!</f>
        <v>#REF!</v>
      </c>
      <c r="B970" s="620" t="e">
        <f>Abs!#REF!</f>
        <v>#REF!</v>
      </c>
      <c r="C970" s="621" t="e">
        <f>Abs!#REF!</f>
        <v>#REF!</v>
      </c>
      <c r="D970" s="617" t="e">
        <f>Abs!#REF!</f>
        <v>#REF!</v>
      </c>
      <c r="E970" s="618" t="e">
        <f>Abs!#REF!</f>
        <v>#REF!</v>
      </c>
      <c r="F970" s="617" t="e">
        <f t="shared" si="15"/>
        <v>#REF!</v>
      </c>
    </row>
    <row r="971" spans="1:6" ht="35.450000000000003" hidden="1" customHeight="1">
      <c r="A971" s="614" t="e">
        <f>Abs!#REF!</f>
        <v>#REF!</v>
      </c>
      <c r="B971" s="620" t="e">
        <f>Abs!#REF!</f>
        <v>#REF!</v>
      </c>
      <c r="C971" s="621" t="e">
        <f>Abs!#REF!</f>
        <v>#REF!</v>
      </c>
      <c r="D971" s="617" t="e">
        <f>Abs!#REF!</f>
        <v>#REF!</v>
      </c>
      <c r="E971" s="618" t="e">
        <f>Abs!#REF!</f>
        <v>#REF!</v>
      </c>
      <c r="F971" s="617" t="e">
        <f t="shared" si="15"/>
        <v>#REF!</v>
      </c>
    </row>
    <row r="972" spans="1:6" ht="32.450000000000003" hidden="1" customHeight="1">
      <c r="A972" s="614" t="e">
        <f>Abs!#REF!</f>
        <v>#REF!</v>
      </c>
      <c r="B972" s="620" t="e">
        <f>Abs!#REF!</f>
        <v>#REF!</v>
      </c>
      <c r="C972" s="621" t="e">
        <f>Abs!#REF!</f>
        <v>#REF!</v>
      </c>
      <c r="D972" s="617" t="e">
        <f>Abs!#REF!</f>
        <v>#REF!</v>
      </c>
      <c r="E972" s="618" t="e">
        <f>Abs!#REF!</f>
        <v>#REF!</v>
      </c>
      <c r="F972" s="617" t="e">
        <f t="shared" si="15"/>
        <v>#REF!</v>
      </c>
    </row>
    <row r="973" spans="1:6" ht="32.450000000000003" hidden="1" customHeight="1">
      <c r="A973" s="614" t="e">
        <f>Abs!#REF!</f>
        <v>#REF!</v>
      </c>
      <c r="B973" s="620" t="e">
        <f>Abs!#REF!</f>
        <v>#REF!</v>
      </c>
      <c r="C973" s="621" t="e">
        <f>Abs!#REF!</f>
        <v>#REF!</v>
      </c>
      <c r="D973" s="617" t="e">
        <f>Abs!#REF!</f>
        <v>#REF!</v>
      </c>
      <c r="E973" s="618" t="e">
        <f>Abs!#REF!</f>
        <v>#REF!</v>
      </c>
      <c r="F973" s="617" t="e">
        <f t="shared" si="15"/>
        <v>#REF!</v>
      </c>
    </row>
    <row r="974" spans="1:6" ht="51" customHeight="1">
      <c r="A974" s="614" t="e">
        <f>Abs!#REF!</f>
        <v>#REF!</v>
      </c>
      <c r="B974" s="615" t="e">
        <f>Abs!#REF!</f>
        <v>#REF!</v>
      </c>
      <c r="C974" s="616" t="e">
        <f>Abs!#REF!</f>
        <v>#REF!</v>
      </c>
      <c r="D974" s="617" t="e">
        <f>Abs!#REF!</f>
        <v>#REF!</v>
      </c>
      <c r="E974" s="618" t="e">
        <f>Abs!#REF!</f>
        <v>#REF!</v>
      </c>
      <c r="F974" s="617"/>
    </row>
    <row r="975" spans="1:6" ht="45.75" customHeight="1">
      <c r="A975" s="614" t="e">
        <f>Abs!#REF!</f>
        <v>#REF!</v>
      </c>
      <c r="B975" s="620" t="e">
        <f>Abs!#REF!</f>
        <v>#REF!</v>
      </c>
      <c r="C975" s="621" t="e">
        <f>Abs!#REF!</f>
        <v>#REF!</v>
      </c>
      <c r="D975" s="617" t="e">
        <f>Abs!#REF!</f>
        <v>#REF!</v>
      </c>
      <c r="E975" s="618" t="e">
        <f>Abs!#REF!</f>
        <v>#REF!</v>
      </c>
      <c r="F975" s="617" t="e">
        <f t="shared" si="15"/>
        <v>#REF!</v>
      </c>
    </row>
    <row r="976" spans="1:6" ht="37.5" customHeight="1">
      <c r="A976" s="614" t="e">
        <f>Abs!#REF!</f>
        <v>#REF!</v>
      </c>
      <c r="B976" s="620" t="e">
        <f>Abs!#REF!</f>
        <v>#REF!</v>
      </c>
      <c r="C976" s="621" t="e">
        <f>Abs!#REF!</f>
        <v>#REF!</v>
      </c>
      <c r="D976" s="617" t="e">
        <f>Abs!#REF!</f>
        <v>#REF!</v>
      </c>
      <c r="E976" s="618" t="e">
        <f>Abs!#REF!</f>
        <v>#REF!</v>
      </c>
      <c r="F976" s="617" t="e">
        <f t="shared" si="15"/>
        <v>#REF!</v>
      </c>
    </row>
    <row r="977" spans="1:6" ht="37.5" customHeight="1">
      <c r="A977" s="614" t="e">
        <f>Abs!#REF!</f>
        <v>#REF!</v>
      </c>
      <c r="B977" s="620" t="e">
        <f>Abs!#REF!</f>
        <v>#REF!</v>
      </c>
      <c r="C977" s="621" t="e">
        <f>Abs!#REF!</f>
        <v>#REF!</v>
      </c>
      <c r="D977" s="617" t="e">
        <f>Abs!#REF!</f>
        <v>#REF!</v>
      </c>
      <c r="E977" s="618" t="e">
        <f>Abs!#REF!</f>
        <v>#REF!</v>
      </c>
      <c r="F977" s="617" t="e">
        <f t="shared" si="15"/>
        <v>#REF!</v>
      </c>
    </row>
    <row r="978" spans="1:6" ht="55.5" customHeight="1">
      <c r="A978" s="614" t="e">
        <f>Abs!#REF!</f>
        <v>#REF!</v>
      </c>
      <c r="B978" s="620" t="e">
        <f>Abs!#REF!</f>
        <v>#REF!</v>
      </c>
      <c r="C978" s="621" t="e">
        <f>Abs!#REF!</f>
        <v>#REF!</v>
      </c>
      <c r="D978" s="617" t="e">
        <f>Abs!#REF!</f>
        <v>#REF!</v>
      </c>
      <c r="E978" s="618" t="e">
        <f>Abs!#REF!</f>
        <v>#REF!</v>
      </c>
      <c r="F978" s="617" t="e">
        <f t="shared" si="15"/>
        <v>#REF!</v>
      </c>
    </row>
    <row r="979" spans="1:6" ht="58.15" customHeight="1">
      <c r="A979" s="614" t="e">
        <f>Abs!#REF!</f>
        <v>#REF!</v>
      </c>
      <c r="B979" s="620" t="e">
        <f>Abs!#REF!</f>
        <v>#REF!</v>
      </c>
      <c r="C979" s="621" t="e">
        <f>Abs!#REF!</f>
        <v>#REF!</v>
      </c>
      <c r="D979" s="617" t="e">
        <f>Abs!#REF!</f>
        <v>#REF!</v>
      </c>
      <c r="E979" s="618" t="e">
        <f>Abs!#REF!</f>
        <v>#REF!</v>
      </c>
      <c r="F979" s="617" t="e">
        <f t="shared" si="15"/>
        <v>#REF!</v>
      </c>
    </row>
    <row r="980" spans="1:6" ht="57" customHeight="1">
      <c r="A980" s="614" t="e">
        <f>Abs!#REF!</f>
        <v>#REF!</v>
      </c>
      <c r="B980" s="620" t="e">
        <f>Abs!#REF!</f>
        <v>#REF!</v>
      </c>
      <c r="C980" s="621" t="e">
        <f>Abs!#REF!</f>
        <v>#REF!</v>
      </c>
      <c r="D980" s="617" t="e">
        <f>Abs!#REF!</f>
        <v>#REF!</v>
      </c>
      <c r="E980" s="618" t="e">
        <f>Abs!#REF!</f>
        <v>#REF!</v>
      </c>
      <c r="F980" s="617" t="e">
        <f t="shared" si="15"/>
        <v>#REF!</v>
      </c>
    </row>
    <row r="981" spans="1:6" ht="43.5" customHeight="1">
      <c r="A981" s="614" t="e">
        <f>Abs!#REF!</f>
        <v>#REF!</v>
      </c>
      <c r="B981" s="615" t="e">
        <f>Abs!#REF!</f>
        <v>#REF!</v>
      </c>
      <c r="C981" s="616" t="e">
        <f>Abs!#REF!</f>
        <v>#REF!</v>
      </c>
      <c r="D981" s="617" t="e">
        <f>Abs!#REF!</f>
        <v>#REF!</v>
      </c>
      <c r="E981" s="618" t="e">
        <f>Abs!#REF!</f>
        <v>#REF!</v>
      </c>
      <c r="F981" s="617"/>
    </row>
    <row r="982" spans="1:6" ht="34.5" customHeight="1">
      <c r="A982" s="614" t="e">
        <f>Abs!#REF!</f>
        <v>#REF!</v>
      </c>
      <c r="B982" s="620" t="e">
        <f>Abs!#REF!</f>
        <v>#REF!</v>
      </c>
      <c r="C982" s="621" t="e">
        <f>Abs!#REF!</f>
        <v>#REF!</v>
      </c>
      <c r="D982" s="617" t="e">
        <f>Abs!#REF!</f>
        <v>#REF!</v>
      </c>
      <c r="E982" s="618" t="e">
        <f>Abs!#REF!</f>
        <v>#REF!</v>
      </c>
      <c r="F982" s="617" t="e">
        <f t="shared" si="15"/>
        <v>#REF!</v>
      </c>
    </row>
    <row r="983" spans="1:6" ht="51" hidden="1" customHeight="1">
      <c r="A983" s="614" t="e">
        <f>Abs!#REF!</f>
        <v>#REF!</v>
      </c>
      <c r="B983" s="620" t="e">
        <f>Abs!#REF!</f>
        <v>#REF!</v>
      </c>
      <c r="C983" s="621" t="e">
        <f>Abs!#REF!</f>
        <v>#REF!</v>
      </c>
      <c r="D983" s="617" t="e">
        <f>Abs!#REF!</f>
        <v>#REF!</v>
      </c>
      <c r="E983" s="618" t="e">
        <f>Abs!#REF!</f>
        <v>#REF!</v>
      </c>
      <c r="F983" s="617" t="e">
        <f t="shared" si="15"/>
        <v>#REF!</v>
      </c>
    </row>
    <row r="984" spans="1:6" ht="36" customHeight="1">
      <c r="A984" s="614" t="e">
        <f>Abs!#REF!</f>
        <v>#REF!</v>
      </c>
      <c r="B984" s="620" t="e">
        <f>Abs!#REF!</f>
        <v>#REF!</v>
      </c>
      <c r="C984" s="621" t="e">
        <f>Abs!#REF!</f>
        <v>#REF!</v>
      </c>
      <c r="D984" s="617" t="e">
        <f>Abs!#REF!</f>
        <v>#REF!</v>
      </c>
      <c r="E984" s="618" t="e">
        <f>Abs!#REF!</f>
        <v>#REF!</v>
      </c>
      <c r="F984" s="617" t="e">
        <f t="shared" si="15"/>
        <v>#REF!</v>
      </c>
    </row>
    <row r="985" spans="1:6" ht="38.25" customHeight="1">
      <c r="A985" s="614" t="e">
        <f>Abs!#REF!</f>
        <v>#REF!</v>
      </c>
      <c r="B985" s="620" t="e">
        <f>Abs!#REF!</f>
        <v>#REF!</v>
      </c>
      <c r="C985" s="621" t="e">
        <f>Abs!#REF!</f>
        <v>#REF!</v>
      </c>
      <c r="D985" s="617" t="e">
        <f>Abs!#REF!</f>
        <v>#REF!</v>
      </c>
      <c r="E985" s="618" t="e">
        <f>Abs!#REF!</f>
        <v>#REF!</v>
      </c>
      <c r="F985" s="617" t="e">
        <f t="shared" si="15"/>
        <v>#REF!</v>
      </c>
    </row>
    <row r="986" spans="1:6" ht="45" customHeight="1">
      <c r="A986" s="614" t="e">
        <f>Abs!#REF!</f>
        <v>#REF!</v>
      </c>
      <c r="B986" s="620" t="e">
        <f>Abs!#REF!</f>
        <v>#REF!</v>
      </c>
      <c r="C986" s="621" t="e">
        <f>Abs!#REF!</f>
        <v>#REF!</v>
      </c>
      <c r="D986" s="617" t="e">
        <f>Abs!#REF!</f>
        <v>#REF!</v>
      </c>
      <c r="E986" s="618" t="e">
        <f>Abs!#REF!</f>
        <v>#REF!</v>
      </c>
      <c r="F986" s="617" t="e">
        <f t="shared" si="15"/>
        <v>#REF!</v>
      </c>
    </row>
    <row r="987" spans="1:6" ht="66.75" hidden="1" customHeight="1">
      <c r="A987" s="614" t="e">
        <f>Abs!#REF!</f>
        <v>#REF!</v>
      </c>
      <c r="B987" s="620" t="e">
        <f>Abs!#REF!</f>
        <v>#REF!</v>
      </c>
      <c r="C987" s="621" t="e">
        <f>Abs!#REF!</f>
        <v>#REF!</v>
      </c>
      <c r="D987" s="617" t="e">
        <f>Abs!#REF!</f>
        <v>#REF!</v>
      </c>
      <c r="E987" s="618" t="e">
        <f>Abs!#REF!</f>
        <v>#REF!</v>
      </c>
      <c r="F987" s="617" t="e">
        <f t="shared" si="15"/>
        <v>#REF!</v>
      </c>
    </row>
    <row r="988" spans="1:6" ht="54" hidden="1" customHeight="1">
      <c r="A988" s="614" t="e">
        <f>Abs!#REF!</f>
        <v>#REF!</v>
      </c>
      <c r="B988" s="620" t="e">
        <f>Abs!#REF!</f>
        <v>#REF!</v>
      </c>
      <c r="C988" s="621" t="e">
        <f>Abs!#REF!</f>
        <v>#REF!</v>
      </c>
      <c r="D988" s="617" t="e">
        <f>Abs!#REF!</f>
        <v>#REF!</v>
      </c>
      <c r="E988" s="618" t="e">
        <f>Abs!#REF!</f>
        <v>#REF!</v>
      </c>
      <c r="F988" s="617" t="e">
        <f t="shared" si="15"/>
        <v>#REF!</v>
      </c>
    </row>
    <row r="989" spans="1:6" ht="70.5" hidden="1" customHeight="1">
      <c r="A989" s="614" t="e">
        <f>Abs!#REF!</f>
        <v>#REF!</v>
      </c>
      <c r="B989" s="620" t="e">
        <f>Abs!#REF!</f>
        <v>#REF!</v>
      </c>
      <c r="C989" s="621" t="e">
        <f>Abs!#REF!</f>
        <v>#REF!</v>
      </c>
      <c r="D989" s="617" t="e">
        <f>Abs!#REF!</f>
        <v>#REF!</v>
      </c>
      <c r="E989" s="618" t="e">
        <f>Abs!#REF!</f>
        <v>#REF!</v>
      </c>
      <c r="F989" s="617" t="e">
        <f t="shared" si="15"/>
        <v>#REF!</v>
      </c>
    </row>
    <row r="990" spans="1:6" ht="78.75" customHeight="1">
      <c r="A990" s="614" t="e">
        <f>Abs!#REF!</f>
        <v>#REF!</v>
      </c>
      <c r="B990" s="615" t="e">
        <f>Abs!#REF!</f>
        <v>#REF!</v>
      </c>
      <c r="C990" s="616" t="e">
        <f>Abs!#REF!</f>
        <v>#REF!</v>
      </c>
      <c r="D990" s="617" t="e">
        <f>Abs!#REF!</f>
        <v>#REF!</v>
      </c>
      <c r="E990" s="618" t="e">
        <f>Abs!#REF!</f>
        <v>#REF!</v>
      </c>
      <c r="F990" s="617"/>
    </row>
    <row r="991" spans="1:6" ht="38.25" customHeight="1">
      <c r="A991" s="614" t="e">
        <f>Abs!#REF!</f>
        <v>#REF!</v>
      </c>
      <c r="B991" s="620" t="e">
        <f>Abs!#REF!</f>
        <v>#REF!</v>
      </c>
      <c r="C991" s="621" t="e">
        <f>Abs!#REF!</f>
        <v>#REF!</v>
      </c>
      <c r="D991" s="617" t="e">
        <f>Abs!#REF!</f>
        <v>#REF!</v>
      </c>
      <c r="E991" s="618" t="e">
        <f>Abs!#REF!</f>
        <v>#REF!</v>
      </c>
      <c r="F991" s="617" t="e">
        <f t="shared" si="15"/>
        <v>#REF!</v>
      </c>
    </row>
    <row r="992" spans="1:6" ht="66" customHeight="1">
      <c r="A992" s="614" t="e">
        <f>Abs!#REF!</f>
        <v>#REF!</v>
      </c>
      <c r="B992" s="615" t="e">
        <f>Abs!#REF!</f>
        <v>#REF!</v>
      </c>
      <c r="C992" s="616" t="e">
        <f>Abs!#REF!</f>
        <v>#REF!</v>
      </c>
      <c r="D992" s="617" t="e">
        <f>Abs!#REF!</f>
        <v>#REF!</v>
      </c>
      <c r="E992" s="618" t="e">
        <f>Abs!#REF!</f>
        <v>#REF!</v>
      </c>
      <c r="F992" s="617"/>
    </row>
    <row r="993" spans="1:6" ht="56.25" customHeight="1">
      <c r="A993" s="614" t="e">
        <f>Abs!#REF!</f>
        <v>#REF!</v>
      </c>
      <c r="B993" s="620" t="e">
        <f>Abs!#REF!</f>
        <v>#REF!</v>
      </c>
      <c r="C993" s="621" t="e">
        <f>Abs!#REF!</f>
        <v>#REF!</v>
      </c>
      <c r="D993" s="617" t="e">
        <f>Abs!#REF!</f>
        <v>#REF!</v>
      </c>
      <c r="E993" s="618" t="e">
        <f>Abs!#REF!</f>
        <v>#REF!</v>
      </c>
      <c r="F993" s="617" t="e">
        <f t="shared" si="15"/>
        <v>#REF!</v>
      </c>
    </row>
    <row r="994" spans="1:6" ht="36.75" customHeight="1">
      <c r="A994" s="614" t="e">
        <f>Abs!#REF!</f>
        <v>#REF!</v>
      </c>
      <c r="B994" s="615" t="e">
        <f>Abs!#REF!</f>
        <v>#REF!</v>
      </c>
      <c r="C994" s="616" t="e">
        <f>Abs!#REF!</f>
        <v>#REF!</v>
      </c>
      <c r="D994" s="617" t="e">
        <f>Abs!#REF!</f>
        <v>#REF!</v>
      </c>
      <c r="E994" s="618" t="e">
        <f>Abs!#REF!</f>
        <v>#REF!</v>
      </c>
      <c r="F994" s="617"/>
    </row>
    <row r="995" spans="1:6" ht="45" customHeight="1">
      <c r="A995" s="614" t="e">
        <f>Abs!#REF!</f>
        <v>#REF!</v>
      </c>
      <c r="B995" s="620" t="e">
        <f>Abs!#REF!</f>
        <v>#REF!</v>
      </c>
      <c r="C995" s="621" t="e">
        <f>Abs!#REF!</f>
        <v>#REF!</v>
      </c>
      <c r="D995" s="617" t="e">
        <f>Abs!#REF!</f>
        <v>#REF!</v>
      </c>
      <c r="E995" s="618" t="e">
        <f>Abs!#REF!</f>
        <v>#REF!</v>
      </c>
      <c r="F995" s="617" t="e">
        <f t="shared" si="15"/>
        <v>#REF!</v>
      </c>
    </row>
    <row r="996" spans="1:6" ht="38.450000000000003" customHeight="1">
      <c r="A996" s="614" t="e">
        <f>Abs!#REF!</f>
        <v>#REF!</v>
      </c>
      <c r="B996" s="620" t="e">
        <f>Abs!#REF!</f>
        <v>#REF!</v>
      </c>
      <c r="C996" s="621" t="e">
        <f>Abs!#REF!</f>
        <v>#REF!</v>
      </c>
      <c r="D996" s="617" t="e">
        <f>Abs!#REF!</f>
        <v>#REF!</v>
      </c>
      <c r="E996" s="618" t="e">
        <f>Abs!#REF!</f>
        <v>#REF!</v>
      </c>
      <c r="F996" s="617" t="e">
        <f t="shared" si="15"/>
        <v>#REF!</v>
      </c>
    </row>
    <row r="997" spans="1:6" ht="64.5" customHeight="1">
      <c r="A997" s="614" t="e">
        <f>Abs!#REF!</f>
        <v>#REF!</v>
      </c>
      <c r="B997" s="620" t="e">
        <f>Abs!#REF!</f>
        <v>#REF!</v>
      </c>
      <c r="C997" s="621" t="e">
        <f>Abs!#REF!</f>
        <v>#REF!</v>
      </c>
      <c r="D997" s="617" t="e">
        <f>Abs!#REF!</f>
        <v>#REF!</v>
      </c>
      <c r="E997" s="618" t="e">
        <f>Abs!#REF!</f>
        <v>#REF!</v>
      </c>
      <c r="F997" s="617" t="e">
        <f t="shared" si="15"/>
        <v>#REF!</v>
      </c>
    </row>
    <row r="998" spans="1:6" ht="85.5" customHeight="1">
      <c r="A998" s="614" t="e">
        <f>Abs!#REF!</f>
        <v>#REF!</v>
      </c>
      <c r="B998" s="620" t="e">
        <f>Abs!#REF!</f>
        <v>#REF!</v>
      </c>
      <c r="C998" s="621" t="e">
        <f>Abs!#REF!</f>
        <v>#REF!</v>
      </c>
      <c r="D998" s="617" t="e">
        <f>Abs!#REF!</f>
        <v>#REF!</v>
      </c>
      <c r="E998" s="618" t="e">
        <f>Abs!#REF!</f>
        <v>#REF!</v>
      </c>
      <c r="F998" s="617" t="e">
        <f t="shared" si="15"/>
        <v>#REF!</v>
      </c>
    </row>
    <row r="999" spans="1:6" ht="54.75" customHeight="1">
      <c r="A999" s="614" t="e">
        <f>Abs!#REF!</f>
        <v>#REF!</v>
      </c>
      <c r="B999" s="620" t="e">
        <f>Abs!#REF!</f>
        <v>#REF!</v>
      </c>
      <c r="C999" s="621" t="e">
        <f>Abs!#REF!</f>
        <v>#REF!</v>
      </c>
      <c r="D999" s="617" t="e">
        <f>Abs!#REF!</f>
        <v>#REF!</v>
      </c>
      <c r="E999" s="618" t="e">
        <f>Abs!#REF!</f>
        <v>#REF!</v>
      </c>
      <c r="F999" s="617" t="e">
        <f t="shared" si="15"/>
        <v>#REF!</v>
      </c>
    </row>
    <row r="1000" spans="1:6" ht="66.75" customHeight="1">
      <c r="A1000" s="614" t="e">
        <f>Abs!#REF!</f>
        <v>#REF!</v>
      </c>
      <c r="B1000" s="620" t="e">
        <f>Abs!#REF!</f>
        <v>#REF!</v>
      </c>
      <c r="C1000" s="621" t="e">
        <f>Abs!#REF!</f>
        <v>#REF!</v>
      </c>
      <c r="D1000" s="617" t="e">
        <f>Abs!#REF!</f>
        <v>#REF!</v>
      </c>
      <c r="E1000" s="618" t="e">
        <f>Abs!#REF!</f>
        <v>#REF!</v>
      </c>
      <c r="F1000" s="617" t="e">
        <f t="shared" si="15"/>
        <v>#REF!</v>
      </c>
    </row>
    <row r="1001" spans="1:6" ht="60" customHeight="1">
      <c r="A1001" s="614" t="e">
        <f>Abs!#REF!</f>
        <v>#REF!</v>
      </c>
      <c r="B1001" s="620" t="e">
        <f>Abs!#REF!</f>
        <v>#REF!</v>
      </c>
      <c r="C1001" s="621" t="e">
        <f>Abs!#REF!</f>
        <v>#REF!</v>
      </c>
      <c r="D1001" s="617" t="e">
        <f>Abs!#REF!</f>
        <v>#REF!</v>
      </c>
      <c r="E1001" s="618" t="e">
        <f>Abs!#REF!</f>
        <v>#REF!</v>
      </c>
      <c r="F1001" s="617" t="e">
        <f t="shared" si="15"/>
        <v>#REF!</v>
      </c>
    </row>
    <row r="1002" spans="1:6" ht="45" customHeight="1">
      <c r="A1002" s="614" t="e">
        <f>Abs!#REF!</f>
        <v>#REF!</v>
      </c>
      <c r="B1002" s="615" t="e">
        <f>Abs!#REF!</f>
        <v>#REF!</v>
      </c>
      <c r="C1002" s="616" t="e">
        <f>Abs!#REF!</f>
        <v>#REF!</v>
      </c>
      <c r="D1002" s="617" t="e">
        <f>Abs!#REF!</f>
        <v>#REF!</v>
      </c>
      <c r="E1002" s="618" t="e">
        <f>Abs!#REF!</f>
        <v>#REF!</v>
      </c>
      <c r="F1002" s="617"/>
    </row>
    <row r="1003" spans="1:6" ht="45" hidden="1" customHeight="1">
      <c r="A1003" s="614" t="e">
        <f>Abs!#REF!</f>
        <v>#REF!</v>
      </c>
      <c r="B1003" s="620" t="e">
        <f>Abs!#REF!</f>
        <v>#REF!</v>
      </c>
      <c r="C1003" s="621" t="e">
        <f>Abs!#REF!</f>
        <v>#REF!</v>
      </c>
      <c r="D1003" s="617" t="e">
        <f>Abs!#REF!</f>
        <v>#REF!</v>
      </c>
      <c r="E1003" s="618" t="e">
        <f>Abs!#REF!</f>
        <v>#REF!</v>
      </c>
      <c r="F1003" s="617" t="e">
        <f t="shared" si="15"/>
        <v>#REF!</v>
      </c>
    </row>
    <row r="1004" spans="1:6" ht="45" customHeight="1">
      <c r="A1004" s="614" t="e">
        <f>Abs!#REF!</f>
        <v>#REF!</v>
      </c>
      <c r="B1004" s="620" t="e">
        <f>Abs!#REF!</f>
        <v>#REF!</v>
      </c>
      <c r="C1004" s="621" t="e">
        <f>Abs!#REF!</f>
        <v>#REF!</v>
      </c>
      <c r="D1004" s="617" t="e">
        <f>Abs!#REF!</f>
        <v>#REF!</v>
      </c>
      <c r="E1004" s="618" t="e">
        <f>Abs!#REF!</f>
        <v>#REF!</v>
      </c>
      <c r="F1004" s="617" t="e">
        <f t="shared" si="15"/>
        <v>#REF!</v>
      </c>
    </row>
    <row r="1005" spans="1:6" ht="45" customHeight="1">
      <c r="A1005" s="614" t="e">
        <f>Abs!#REF!</f>
        <v>#REF!</v>
      </c>
      <c r="B1005" s="620" t="e">
        <f>Abs!#REF!</f>
        <v>#REF!</v>
      </c>
      <c r="C1005" s="621" t="e">
        <f>Abs!#REF!</f>
        <v>#REF!</v>
      </c>
      <c r="D1005" s="617" t="e">
        <f>Abs!#REF!</f>
        <v>#REF!</v>
      </c>
      <c r="E1005" s="618" t="e">
        <f>Abs!#REF!</f>
        <v>#REF!</v>
      </c>
      <c r="F1005" s="617" t="e">
        <f t="shared" si="15"/>
        <v>#REF!</v>
      </c>
    </row>
    <row r="1006" spans="1:6" ht="45" hidden="1" customHeight="1">
      <c r="A1006" s="614" t="e">
        <f>Abs!#REF!</f>
        <v>#REF!</v>
      </c>
      <c r="B1006" s="620" t="e">
        <f>Abs!#REF!</f>
        <v>#REF!</v>
      </c>
      <c r="C1006" s="621" t="e">
        <f>Abs!#REF!</f>
        <v>#REF!</v>
      </c>
      <c r="D1006" s="617" t="e">
        <f>Abs!#REF!</f>
        <v>#REF!</v>
      </c>
      <c r="E1006" s="618" t="e">
        <f>Abs!#REF!</f>
        <v>#REF!</v>
      </c>
      <c r="F1006" s="617" t="e">
        <f t="shared" si="15"/>
        <v>#REF!</v>
      </c>
    </row>
    <row r="1007" spans="1:6" ht="45" hidden="1" customHeight="1">
      <c r="A1007" s="614" t="e">
        <f>Abs!#REF!</f>
        <v>#REF!</v>
      </c>
      <c r="B1007" s="620" t="e">
        <f>Abs!#REF!</f>
        <v>#REF!</v>
      </c>
      <c r="C1007" s="621" t="e">
        <f>Abs!#REF!</f>
        <v>#REF!</v>
      </c>
      <c r="D1007" s="617" t="e">
        <f>Abs!#REF!</f>
        <v>#REF!</v>
      </c>
      <c r="E1007" s="618" t="e">
        <f>Abs!#REF!</f>
        <v>#REF!</v>
      </c>
      <c r="F1007" s="617" t="e">
        <f t="shared" si="15"/>
        <v>#REF!</v>
      </c>
    </row>
    <row r="1008" spans="1:6" ht="45" customHeight="1">
      <c r="A1008" s="614" t="e">
        <f>Abs!#REF!</f>
        <v>#REF!</v>
      </c>
      <c r="B1008" s="620" t="e">
        <f>Abs!#REF!</f>
        <v>#REF!</v>
      </c>
      <c r="C1008" s="621" t="e">
        <f>Abs!#REF!</f>
        <v>#REF!</v>
      </c>
      <c r="D1008" s="617" t="e">
        <f>Abs!#REF!</f>
        <v>#REF!</v>
      </c>
      <c r="E1008" s="618" t="e">
        <f>Abs!#REF!</f>
        <v>#REF!</v>
      </c>
      <c r="F1008" s="617" t="e">
        <f t="shared" si="15"/>
        <v>#REF!</v>
      </c>
    </row>
    <row r="1009" spans="1:6" ht="45" customHeight="1">
      <c r="A1009" s="614" t="e">
        <f>Abs!#REF!</f>
        <v>#REF!</v>
      </c>
      <c r="B1009" s="620" t="e">
        <f>Abs!#REF!</f>
        <v>#REF!</v>
      </c>
      <c r="C1009" s="621" t="e">
        <f>Abs!#REF!</f>
        <v>#REF!</v>
      </c>
      <c r="D1009" s="617" t="e">
        <f>Abs!#REF!</f>
        <v>#REF!</v>
      </c>
      <c r="E1009" s="618" t="e">
        <f>Abs!#REF!</f>
        <v>#REF!</v>
      </c>
      <c r="F1009" s="617" t="e">
        <f t="shared" si="15"/>
        <v>#REF!</v>
      </c>
    </row>
    <row r="1010" spans="1:6" ht="45" customHeight="1">
      <c r="A1010" s="614" t="e">
        <f>Abs!#REF!</f>
        <v>#REF!</v>
      </c>
      <c r="B1010" s="620" t="e">
        <f>Abs!#REF!</f>
        <v>#REF!</v>
      </c>
      <c r="C1010" s="621" t="e">
        <f>Abs!#REF!</f>
        <v>#REF!</v>
      </c>
      <c r="D1010" s="617" t="e">
        <f>Abs!#REF!</f>
        <v>#REF!</v>
      </c>
      <c r="E1010" s="618" t="e">
        <f>Abs!#REF!</f>
        <v>#REF!</v>
      </c>
      <c r="F1010" s="617" t="e">
        <f t="shared" si="15"/>
        <v>#REF!</v>
      </c>
    </row>
    <row r="1011" spans="1:6" ht="45" customHeight="1">
      <c r="A1011" s="614" t="e">
        <f>Abs!#REF!</f>
        <v>#REF!</v>
      </c>
      <c r="B1011" s="620" t="e">
        <f>Abs!#REF!</f>
        <v>#REF!</v>
      </c>
      <c r="C1011" s="621" t="e">
        <f>Abs!#REF!</f>
        <v>#REF!</v>
      </c>
      <c r="D1011" s="617" t="e">
        <f>Abs!#REF!</f>
        <v>#REF!</v>
      </c>
      <c r="E1011" s="618" t="e">
        <f>Abs!#REF!</f>
        <v>#REF!</v>
      </c>
      <c r="F1011" s="617" t="e">
        <f t="shared" si="15"/>
        <v>#REF!</v>
      </c>
    </row>
    <row r="1012" spans="1:6" ht="75.75" customHeight="1">
      <c r="A1012" s="614" t="e">
        <f>Abs!#REF!</f>
        <v>#REF!</v>
      </c>
      <c r="B1012" s="620" t="e">
        <f>Abs!#REF!</f>
        <v>#REF!</v>
      </c>
      <c r="C1012" s="621" t="e">
        <f>Abs!#REF!</f>
        <v>#REF!</v>
      </c>
      <c r="D1012" s="617" t="e">
        <f>Abs!#REF!</f>
        <v>#REF!</v>
      </c>
      <c r="E1012" s="618" t="e">
        <f>Abs!#REF!</f>
        <v>#REF!</v>
      </c>
      <c r="F1012" s="617" t="e">
        <f t="shared" si="15"/>
        <v>#REF!</v>
      </c>
    </row>
    <row r="1013" spans="1:6" ht="66" customHeight="1">
      <c r="A1013" s="614" t="e">
        <f>Abs!#REF!</f>
        <v>#REF!</v>
      </c>
      <c r="B1013" s="620" t="e">
        <f>Abs!#REF!</f>
        <v>#REF!</v>
      </c>
      <c r="C1013" s="621" t="e">
        <f>Abs!#REF!</f>
        <v>#REF!</v>
      </c>
      <c r="D1013" s="617" t="e">
        <f>Abs!#REF!</f>
        <v>#REF!</v>
      </c>
      <c r="E1013" s="618" t="e">
        <f>Abs!#REF!</f>
        <v>#REF!</v>
      </c>
      <c r="F1013" s="617" t="e">
        <f t="shared" si="15"/>
        <v>#REF!</v>
      </c>
    </row>
    <row r="1014" spans="1:6" ht="45" hidden="1" customHeight="1">
      <c r="A1014" s="614" t="e">
        <f>Abs!#REF!</f>
        <v>#REF!</v>
      </c>
      <c r="B1014" s="620" t="e">
        <f>Abs!#REF!</f>
        <v>#REF!</v>
      </c>
      <c r="C1014" s="621" t="e">
        <f>Abs!#REF!</f>
        <v>#REF!</v>
      </c>
      <c r="D1014" s="617" t="e">
        <f>Abs!#REF!</f>
        <v>#REF!</v>
      </c>
      <c r="E1014" s="618" t="e">
        <f>Abs!#REF!</f>
        <v>#REF!</v>
      </c>
      <c r="F1014" s="617" t="e">
        <f t="shared" si="15"/>
        <v>#REF!</v>
      </c>
    </row>
    <row r="1015" spans="1:6" ht="45" hidden="1" customHeight="1">
      <c r="A1015" s="614" t="e">
        <f>Abs!#REF!</f>
        <v>#REF!</v>
      </c>
      <c r="B1015" s="620" t="e">
        <f>Abs!#REF!</f>
        <v>#REF!</v>
      </c>
      <c r="C1015" s="621" t="e">
        <f>Abs!#REF!</f>
        <v>#REF!</v>
      </c>
      <c r="D1015" s="617" t="e">
        <f>Abs!#REF!</f>
        <v>#REF!</v>
      </c>
      <c r="E1015" s="618" t="e">
        <f>Abs!#REF!</f>
        <v>#REF!</v>
      </c>
      <c r="F1015" s="617" t="e">
        <f t="shared" si="15"/>
        <v>#REF!</v>
      </c>
    </row>
    <row r="1016" spans="1:6" ht="45" customHeight="1">
      <c r="A1016" s="614" t="e">
        <f>Abs!#REF!</f>
        <v>#REF!</v>
      </c>
      <c r="B1016" s="615" t="e">
        <f>Abs!#REF!</f>
        <v>#REF!</v>
      </c>
      <c r="C1016" s="616" t="e">
        <f>Abs!#REF!</f>
        <v>#REF!</v>
      </c>
      <c r="D1016" s="617" t="e">
        <f>Abs!#REF!</f>
        <v>#REF!</v>
      </c>
      <c r="E1016" s="618" t="e">
        <f>Abs!#REF!</f>
        <v>#REF!</v>
      </c>
      <c r="F1016" s="617"/>
    </row>
    <row r="1017" spans="1:6" ht="45" customHeight="1">
      <c r="A1017" s="614" t="e">
        <f>Abs!#REF!</f>
        <v>#REF!</v>
      </c>
      <c r="B1017" s="620" t="e">
        <f>Abs!#REF!</f>
        <v>#REF!</v>
      </c>
      <c r="C1017" s="621" t="e">
        <f>Abs!#REF!</f>
        <v>#REF!</v>
      </c>
      <c r="D1017" s="617" t="e">
        <f>Abs!#REF!</f>
        <v>#REF!</v>
      </c>
      <c r="E1017" s="618" t="e">
        <f>Abs!#REF!</f>
        <v>#REF!</v>
      </c>
      <c r="F1017" s="617" t="e">
        <f t="shared" si="15"/>
        <v>#REF!</v>
      </c>
    </row>
    <row r="1018" spans="1:6" ht="45" customHeight="1">
      <c r="A1018" s="614" t="e">
        <f>Abs!#REF!</f>
        <v>#REF!</v>
      </c>
      <c r="B1018" s="620" t="e">
        <f>Abs!#REF!</f>
        <v>#REF!</v>
      </c>
      <c r="C1018" s="621" t="e">
        <f>Abs!#REF!</f>
        <v>#REF!</v>
      </c>
      <c r="D1018" s="617" t="e">
        <f>Abs!#REF!</f>
        <v>#REF!</v>
      </c>
      <c r="E1018" s="618" t="e">
        <f>Abs!#REF!</f>
        <v>#REF!</v>
      </c>
      <c r="F1018" s="617" t="e">
        <f t="shared" si="15"/>
        <v>#REF!</v>
      </c>
    </row>
    <row r="1019" spans="1:6" ht="45" customHeight="1">
      <c r="A1019" s="614" t="e">
        <f>Abs!#REF!</f>
        <v>#REF!</v>
      </c>
      <c r="B1019" s="620" t="e">
        <f>Abs!#REF!</f>
        <v>#REF!</v>
      </c>
      <c r="C1019" s="621" t="e">
        <f>Abs!#REF!</f>
        <v>#REF!</v>
      </c>
      <c r="D1019" s="617" t="e">
        <f>Abs!#REF!</f>
        <v>#REF!</v>
      </c>
      <c r="E1019" s="618" t="e">
        <f>Abs!#REF!</f>
        <v>#REF!</v>
      </c>
      <c r="F1019" s="617" t="e">
        <f t="shared" si="15"/>
        <v>#REF!</v>
      </c>
    </row>
    <row r="1020" spans="1:6" ht="45" customHeight="1">
      <c r="A1020" s="614" t="e">
        <f>Abs!#REF!</f>
        <v>#REF!</v>
      </c>
      <c r="B1020" s="620" t="e">
        <f>Abs!#REF!</f>
        <v>#REF!</v>
      </c>
      <c r="C1020" s="621" t="e">
        <f>Abs!#REF!</f>
        <v>#REF!</v>
      </c>
      <c r="D1020" s="617" t="e">
        <f>Abs!#REF!</f>
        <v>#REF!</v>
      </c>
      <c r="E1020" s="618" t="e">
        <f>Abs!#REF!</f>
        <v>#REF!</v>
      </c>
      <c r="F1020" s="617" t="e">
        <f t="shared" si="15"/>
        <v>#REF!</v>
      </c>
    </row>
    <row r="1021" spans="1:6" ht="45" customHeight="1">
      <c r="A1021" s="614" t="e">
        <f>Abs!#REF!</f>
        <v>#REF!</v>
      </c>
      <c r="B1021" s="620" t="e">
        <f>Abs!#REF!</f>
        <v>#REF!</v>
      </c>
      <c r="C1021" s="621" t="e">
        <f>Abs!#REF!</f>
        <v>#REF!</v>
      </c>
      <c r="D1021" s="617" t="e">
        <f>Abs!#REF!</f>
        <v>#REF!</v>
      </c>
      <c r="E1021" s="618" t="e">
        <f>Abs!#REF!</f>
        <v>#REF!</v>
      </c>
      <c r="F1021" s="617" t="e">
        <f t="shared" si="15"/>
        <v>#REF!</v>
      </c>
    </row>
    <row r="1022" spans="1:6" ht="45" customHeight="1">
      <c r="A1022" s="614" t="e">
        <f>Abs!#REF!</f>
        <v>#REF!</v>
      </c>
      <c r="B1022" s="620" t="e">
        <f>Abs!#REF!</f>
        <v>#REF!</v>
      </c>
      <c r="C1022" s="621" t="e">
        <f>Abs!#REF!</f>
        <v>#REF!</v>
      </c>
      <c r="D1022" s="617" t="e">
        <f>Abs!#REF!</f>
        <v>#REF!</v>
      </c>
      <c r="E1022" s="618" t="e">
        <f>Abs!#REF!</f>
        <v>#REF!</v>
      </c>
      <c r="F1022" s="617" t="e">
        <f t="shared" si="15"/>
        <v>#REF!</v>
      </c>
    </row>
    <row r="1023" spans="1:6" ht="45" hidden="1" customHeight="1">
      <c r="A1023" s="614" t="e">
        <f>Abs!#REF!</f>
        <v>#REF!</v>
      </c>
      <c r="B1023" s="620" t="e">
        <f>Abs!#REF!</f>
        <v>#REF!</v>
      </c>
      <c r="C1023" s="621" t="e">
        <f>Abs!#REF!</f>
        <v>#REF!</v>
      </c>
      <c r="D1023" s="617" t="e">
        <f>Abs!#REF!</f>
        <v>#REF!</v>
      </c>
      <c r="E1023" s="618" t="e">
        <f>Abs!#REF!</f>
        <v>#REF!</v>
      </c>
      <c r="F1023" s="617" t="e">
        <f t="shared" si="15"/>
        <v>#REF!</v>
      </c>
    </row>
    <row r="1024" spans="1:6" ht="45" hidden="1" customHeight="1">
      <c r="A1024" s="614" t="e">
        <f>Abs!#REF!</f>
        <v>#REF!</v>
      </c>
      <c r="B1024" s="620" t="e">
        <f>Abs!#REF!</f>
        <v>#REF!</v>
      </c>
      <c r="C1024" s="621" t="e">
        <f>Abs!#REF!</f>
        <v>#REF!</v>
      </c>
      <c r="D1024" s="617" t="e">
        <f>Abs!#REF!</f>
        <v>#REF!</v>
      </c>
      <c r="E1024" s="618" t="e">
        <f>Abs!#REF!</f>
        <v>#REF!</v>
      </c>
      <c r="F1024" s="617" t="e">
        <f t="shared" si="15"/>
        <v>#REF!</v>
      </c>
    </row>
    <row r="1025" spans="1:6" ht="45" hidden="1" customHeight="1">
      <c r="A1025" s="614">
        <f>Abs!A958</f>
        <v>0</v>
      </c>
      <c r="B1025" s="620" t="e">
        <f>Abs!Y958</f>
        <v>#REF!</v>
      </c>
      <c r="C1025" s="621">
        <f>Abs!B958</f>
        <v>0</v>
      </c>
      <c r="D1025" s="617">
        <f>Abs!C958</f>
        <v>0</v>
      </c>
      <c r="E1025" s="618">
        <f>Abs!D958</f>
        <v>0</v>
      </c>
      <c r="F1025" s="617" t="e">
        <f t="shared" si="15"/>
        <v>#REF!</v>
      </c>
    </row>
    <row r="1026" spans="1:6" ht="45" customHeight="1">
      <c r="A1026" s="614">
        <f>Abs!A959</f>
        <v>0</v>
      </c>
      <c r="B1026" s="615" t="str">
        <f>Abs!Y959</f>
        <v>*</v>
      </c>
      <c r="C1026" s="616" t="str">
        <f>Abs!B959</f>
        <v>Total</v>
      </c>
      <c r="D1026" s="617">
        <f>Abs!C959</f>
        <v>0</v>
      </c>
      <c r="E1026" s="618">
        <f>Abs!D959</f>
        <v>0</v>
      </c>
      <c r="F1026" s="622" t="e">
        <f>SUM(F7:F1023)</f>
        <v>#REF!</v>
      </c>
    </row>
    <row r="1027" spans="1:6" ht="45" hidden="1" customHeight="1">
      <c r="A1027" s="614">
        <f>Abs!A960</f>
        <v>0</v>
      </c>
      <c r="B1027" s="620">
        <f>Abs!Y960</f>
        <v>0</v>
      </c>
      <c r="C1027" s="621">
        <f>Abs!B960</f>
        <v>0</v>
      </c>
      <c r="D1027" s="617">
        <f>Abs!C960</f>
        <v>0</v>
      </c>
      <c r="E1027" s="618">
        <f>Abs!D960</f>
        <v>0</v>
      </c>
      <c r="F1027" s="617">
        <f t="shared" si="15"/>
        <v>0</v>
      </c>
    </row>
    <row r="1028" spans="1:6" ht="45" hidden="1" customHeight="1">
      <c r="A1028" s="614">
        <f>Abs!A961</f>
        <v>0</v>
      </c>
      <c r="B1028" s="620">
        <f>Abs!Y961</f>
        <v>0</v>
      </c>
      <c r="C1028" s="621" t="str">
        <f>Abs!B961</f>
        <v>MS door of Size 1000 x 2100mm</v>
      </c>
      <c r="D1028" s="617">
        <f>Abs!C961</f>
        <v>0</v>
      </c>
      <c r="E1028" s="618" t="str">
        <f>Abs!D961</f>
        <v>Each</v>
      </c>
      <c r="F1028" s="617">
        <f t="shared" si="15"/>
        <v>0</v>
      </c>
    </row>
    <row r="1029" spans="1:6" ht="45" hidden="1" customHeight="1">
      <c r="A1029" s="614">
        <f>Abs!A962</f>
        <v>0</v>
      </c>
      <c r="B1029" s="620">
        <f>Abs!Y962</f>
        <v>0</v>
      </c>
      <c r="C1029" s="621" t="str">
        <f>Abs!B962</f>
        <v>MS door of Size 750 x 1350mm</v>
      </c>
      <c r="D1029" s="617">
        <f>Abs!C962</f>
        <v>0</v>
      </c>
      <c r="E1029" s="618" t="str">
        <f>Abs!D962</f>
        <v>Each</v>
      </c>
      <c r="F1029" s="617">
        <f t="shared" si="15"/>
        <v>0</v>
      </c>
    </row>
    <row r="1030" spans="1:6" ht="45" hidden="1" customHeight="1">
      <c r="A1030" s="614">
        <f>Abs!A963</f>
        <v>0</v>
      </c>
      <c r="B1030" s="620">
        <f>Abs!Y963</f>
        <v>0</v>
      </c>
      <c r="C1030" s="621" t="str">
        <f>Abs!B963</f>
        <v>MS Ventilator of Size 900 x 600mm</v>
      </c>
      <c r="D1030" s="617">
        <f>Abs!C963</f>
        <v>4366.33</v>
      </c>
      <c r="E1030" s="618" t="str">
        <f>Abs!D963</f>
        <v>Sqm</v>
      </c>
      <c r="F1030" s="617">
        <f t="shared" si="15"/>
        <v>0</v>
      </c>
    </row>
    <row r="1031" spans="1:6" ht="45" hidden="1" customHeight="1">
      <c r="A1031" s="614">
        <f>Abs!A964</f>
        <v>0</v>
      </c>
      <c r="B1031" s="620">
        <f>Abs!Y964</f>
        <v>0</v>
      </c>
      <c r="C1031" s="621" t="str">
        <f>Abs!B964</f>
        <v>MS Ventilator of Size 600 x 600mm</v>
      </c>
      <c r="D1031" s="617">
        <f>Abs!C964</f>
        <v>4626.8100000000004</v>
      </c>
      <c r="E1031" s="618" t="str">
        <f>Abs!D964</f>
        <v>Sqm</v>
      </c>
      <c r="F1031" s="617">
        <f t="shared" si="15"/>
        <v>0</v>
      </c>
    </row>
    <row r="1032" spans="1:6" ht="45" hidden="1" customHeight="1">
      <c r="A1032" s="614">
        <f>Abs!A965</f>
        <v>0</v>
      </c>
      <c r="B1032" s="620">
        <f>Abs!Y965</f>
        <v>0</v>
      </c>
      <c r="C1032" s="621" t="str">
        <f>Abs!B965</f>
        <v>MS Ventilator of Size 1285 x 600mm</v>
      </c>
      <c r="D1032" s="617">
        <f>Abs!C965</f>
        <v>3984.57</v>
      </c>
      <c r="E1032" s="618" t="str">
        <f>Abs!D965</f>
        <v>Sqm</v>
      </c>
      <c r="F1032" s="617">
        <f t="shared" ref="F1032:F1066" si="16">D1032*B1032</f>
        <v>0</v>
      </c>
    </row>
    <row r="1033" spans="1:6" ht="45" hidden="1" customHeight="1">
      <c r="A1033" s="614">
        <f>Abs!A966</f>
        <v>0</v>
      </c>
      <c r="B1033" s="620">
        <f>Abs!Y966</f>
        <v>0</v>
      </c>
      <c r="C1033" s="621" t="str">
        <f>Abs!B966</f>
        <v>MS Ventilator of Size 1350 x 600mm</v>
      </c>
      <c r="D1033" s="617">
        <f>Abs!C966</f>
        <v>0</v>
      </c>
      <c r="E1033" s="618" t="str">
        <f>Abs!D966</f>
        <v>Sqm</v>
      </c>
      <c r="F1033" s="617">
        <f t="shared" si="16"/>
        <v>0</v>
      </c>
    </row>
    <row r="1034" spans="1:6" ht="45" hidden="1" customHeight="1">
      <c r="A1034" s="614">
        <f>Abs!A967</f>
        <v>0</v>
      </c>
      <c r="B1034" s="620">
        <f>Abs!Y967</f>
        <v>0</v>
      </c>
      <c r="C1034" s="621" t="str">
        <f>Abs!B967</f>
        <v>TW double leaves shutter of size 1800 x 2100mm</v>
      </c>
      <c r="D1034" s="617">
        <f>Abs!C967</f>
        <v>0</v>
      </c>
      <c r="E1034" s="618" t="str">
        <f>Abs!D967</f>
        <v>Sqm</v>
      </c>
      <c r="F1034" s="617">
        <f t="shared" si="16"/>
        <v>0</v>
      </c>
    </row>
    <row r="1035" spans="1:6" ht="45" hidden="1" customHeight="1">
      <c r="A1035" s="614">
        <f>Abs!A968</f>
        <v>0</v>
      </c>
      <c r="B1035" s="620">
        <f>Abs!Y968</f>
        <v>0</v>
      </c>
      <c r="C1035" s="621" t="str">
        <f>Abs!B968</f>
        <v>Ornamental TW double leaves panelled shutter of size 1800 x 2100mm</v>
      </c>
      <c r="D1035" s="617">
        <f>Abs!C968</f>
        <v>0</v>
      </c>
      <c r="E1035" s="618" t="str">
        <f>Abs!D968</f>
        <v>Sqm</v>
      </c>
      <c r="F1035" s="617">
        <f t="shared" si="16"/>
        <v>0</v>
      </c>
    </row>
    <row r="1036" spans="1:6" ht="45" hidden="1" customHeight="1">
      <c r="A1036" s="614">
        <f>Abs!A969</f>
        <v>0</v>
      </c>
      <c r="B1036" s="620">
        <f>Abs!Y969</f>
        <v>0</v>
      </c>
      <c r="C1036" s="621" t="str">
        <f>Abs!B969</f>
        <v>Ornamental TW double leaves panelled shutter of size 1800 x 2400mm</v>
      </c>
      <c r="D1036" s="617">
        <f>Abs!C969</f>
        <v>0</v>
      </c>
      <c r="E1036" s="618" t="str">
        <f>Abs!D969</f>
        <v>Sqm</v>
      </c>
      <c r="F1036" s="617">
        <f t="shared" si="16"/>
        <v>0</v>
      </c>
    </row>
    <row r="1037" spans="1:6" ht="45" hidden="1" customHeight="1">
      <c r="A1037" s="614">
        <f>Abs!A970</f>
        <v>0</v>
      </c>
      <c r="B1037" s="620">
        <f>Abs!Y970</f>
        <v>0</v>
      </c>
      <c r="C1037" s="621" t="str">
        <f>Abs!B970</f>
        <v>1500 liters capacity of HDPE Water Tank</v>
      </c>
      <c r="D1037" s="617">
        <f>Abs!C970</f>
        <v>12300</v>
      </c>
      <c r="E1037" s="618" t="str">
        <f>Abs!D970</f>
        <v>Each</v>
      </c>
      <c r="F1037" s="617">
        <f t="shared" si="16"/>
        <v>0</v>
      </c>
    </row>
    <row r="1038" spans="1:6" ht="45" hidden="1" customHeight="1">
      <c r="A1038" s="614">
        <f>Abs!A971</f>
        <v>0</v>
      </c>
      <c r="B1038" s="620">
        <f>Abs!Y971</f>
        <v>0</v>
      </c>
      <c r="C1038" s="621" t="str">
        <f>Abs!B971</f>
        <v>Providing shahabad stone flooring</v>
      </c>
      <c r="D1038" s="617">
        <f>Abs!C971</f>
        <v>1333.59</v>
      </c>
      <c r="E1038" s="618" t="str">
        <f>Abs!D971</f>
        <v>Sqm</v>
      </c>
      <c r="F1038" s="617">
        <f t="shared" si="16"/>
        <v>0</v>
      </c>
    </row>
    <row r="1039" spans="1:6" ht="45" hidden="1" customHeight="1">
      <c r="A1039" s="614">
        <f>Abs!A972</f>
        <v>0</v>
      </c>
      <c r="B1039" s="620">
        <f>Abs!Y972</f>
        <v>0</v>
      </c>
      <c r="C1039" s="621" t="str">
        <f>Abs!B972</f>
        <v xml:space="preserve">Eurocon Tiles flooring </v>
      </c>
      <c r="D1039" s="617">
        <f>Abs!C972</f>
        <v>1354.89</v>
      </c>
      <c r="E1039" s="618" t="str">
        <f>Abs!D972</f>
        <v>Sqm</v>
      </c>
      <c r="F1039" s="617">
        <f t="shared" si="16"/>
        <v>0</v>
      </c>
    </row>
    <row r="1040" spans="1:6" ht="45" hidden="1" customHeight="1">
      <c r="A1040" s="614">
        <f>Abs!A973</f>
        <v>0</v>
      </c>
      <c r="B1040" s="620">
        <f>Abs!Y973</f>
        <v>0</v>
      </c>
      <c r="C1040" s="621" t="str">
        <f>Abs!B973</f>
        <v xml:space="preserve">Vetrified Tiles flooring </v>
      </c>
      <c r="D1040" s="617">
        <f>Abs!C973</f>
        <v>1150.01</v>
      </c>
      <c r="E1040" s="618" t="str">
        <f>Abs!D973</f>
        <v>Sqm</v>
      </c>
      <c r="F1040" s="617">
        <f t="shared" si="16"/>
        <v>0</v>
      </c>
    </row>
    <row r="1041" spans="1:6" ht="45" hidden="1" customHeight="1">
      <c r="A1041" s="614">
        <f>Abs!A974</f>
        <v>0</v>
      </c>
      <c r="B1041" s="620">
        <f>Abs!Y974</f>
        <v>0</v>
      </c>
      <c r="C1041" s="621" t="str">
        <f>Abs!B974</f>
        <v xml:space="preserve">kota stone  flooring </v>
      </c>
      <c r="D1041" s="617">
        <f>Abs!C974</f>
        <v>1506.84</v>
      </c>
      <c r="E1041" s="618" t="str">
        <f>Abs!D974</f>
        <v>Sqm</v>
      </c>
      <c r="F1041" s="617">
        <f t="shared" si="16"/>
        <v>0</v>
      </c>
    </row>
    <row r="1042" spans="1:6" ht="45" hidden="1" customHeight="1">
      <c r="A1042" s="614">
        <f>Abs!A975</f>
        <v>0</v>
      </c>
      <c r="B1042" s="620">
        <f>Abs!Y975</f>
        <v>0</v>
      </c>
      <c r="C1042" s="621" t="str">
        <f>Abs!B975</f>
        <v xml:space="preserve">Granite Tiles flooring </v>
      </c>
      <c r="D1042" s="617">
        <f>Abs!C975</f>
        <v>1491.71</v>
      </c>
      <c r="E1042" s="618" t="str">
        <f>Abs!D975</f>
        <v>Sqm</v>
      </c>
      <c r="F1042" s="617">
        <f t="shared" si="16"/>
        <v>0</v>
      </c>
    </row>
    <row r="1043" spans="1:6" ht="45" hidden="1" customHeight="1">
      <c r="A1043" s="614">
        <f>Abs!A976</f>
        <v>0</v>
      </c>
      <c r="B1043" s="620">
        <f>Abs!Y976</f>
        <v>0</v>
      </c>
      <c r="C1043" s="621" t="str">
        <f>Abs!B976</f>
        <v>Plastering with ccccm 1:3, 12mm mixed with WPC</v>
      </c>
      <c r="D1043" s="617">
        <f>Abs!C976</f>
        <v>244.59</v>
      </c>
      <c r="E1043" s="618" t="str">
        <f>Abs!D976</f>
        <v>Sqm</v>
      </c>
      <c r="F1043" s="617">
        <f t="shared" si="16"/>
        <v>0</v>
      </c>
    </row>
    <row r="1044" spans="1:6" ht="45" hidden="1" customHeight="1">
      <c r="A1044" s="614">
        <f>Abs!A977</f>
        <v>0</v>
      </c>
      <c r="B1044" s="620">
        <f>Abs!Y977</f>
        <v>0</v>
      </c>
      <c r="C1044" s="621" t="str">
        <f>Abs!B977</f>
        <v>HDPE water tank 5000 lit capacity</v>
      </c>
      <c r="D1044" s="617">
        <f>Abs!C977</f>
        <v>41000</v>
      </c>
      <c r="E1044" s="618" t="str">
        <f>Abs!D977</f>
        <v>Each</v>
      </c>
      <c r="F1044" s="617">
        <f t="shared" si="16"/>
        <v>0</v>
      </c>
    </row>
    <row r="1045" spans="1:6" ht="45" hidden="1" customHeight="1">
      <c r="A1045" s="614">
        <f>Abs!A978</f>
        <v>0</v>
      </c>
      <c r="B1045" s="620">
        <f>Abs!Y978</f>
        <v>0</v>
      </c>
      <c r="C1045" s="621" t="str">
        <f>Abs!B978</f>
        <v>T.W DOOR SHUTTER TWO LEAVES(1200 X 2100 mm ) with Brass Fittings</v>
      </c>
      <c r="D1045" s="617">
        <f>Abs!C978</f>
        <v>6199.77</v>
      </c>
      <c r="E1045" s="618" t="str">
        <f>Abs!D978</f>
        <v>Sqm</v>
      </c>
      <c r="F1045" s="617">
        <f t="shared" si="16"/>
        <v>0</v>
      </c>
    </row>
    <row r="1046" spans="1:6" ht="45" hidden="1" customHeight="1">
      <c r="A1046" s="614">
        <f>Abs!A979</f>
        <v>0</v>
      </c>
      <c r="B1046" s="620">
        <f>Abs!Y979</f>
        <v>0</v>
      </c>
      <c r="C1046" s="621" t="str">
        <f>Abs!B979</f>
        <v>TW Panelled Door 1500 X 2100MM (Double leaves)</v>
      </c>
      <c r="D1046" s="617">
        <f>Abs!C979</f>
        <v>5040.1899999999996</v>
      </c>
      <c r="E1046" s="618" t="str">
        <f>Abs!D979</f>
        <v>Sqm</v>
      </c>
      <c r="F1046" s="617">
        <f t="shared" si="16"/>
        <v>0</v>
      </c>
    </row>
    <row r="1047" spans="1:6" ht="45" hidden="1" customHeight="1">
      <c r="A1047" s="614">
        <f>Abs!A980</f>
        <v>0</v>
      </c>
      <c r="B1047" s="620">
        <f>Abs!Y980</f>
        <v>0</v>
      </c>
      <c r="C1047" s="621" t="str">
        <f>Abs!B980</f>
        <v>TW Panelled Door 1500 X 2400MM (Double leaves)</v>
      </c>
      <c r="D1047" s="617">
        <f>Abs!C980</f>
        <v>6182.41</v>
      </c>
      <c r="E1047" s="618" t="str">
        <f>Abs!D980</f>
        <v>Sqm</v>
      </c>
      <c r="F1047" s="617">
        <f t="shared" si="16"/>
        <v>0</v>
      </c>
    </row>
    <row r="1048" spans="1:6" ht="45" hidden="1" customHeight="1">
      <c r="A1048" s="614">
        <f>Abs!A981</f>
        <v>0</v>
      </c>
      <c r="B1048" s="620">
        <f>Abs!Y981</f>
        <v>0</v>
      </c>
      <c r="C1048" s="621" t="str">
        <f>Abs!B981</f>
        <v>TW Panelled Door 1200 X 2400MM (Double leaves)</v>
      </c>
      <c r="D1048" s="617">
        <f>Abs!C981</f>
        <v>6164.11</v>
      </c>
      <c r="E1048" s="618" t="str">
        <f>Abs!D981</f>
        <v>Sqm</v>
      </c>
      <c r="F1048" s="617">
        <f t="shared" si="16"/>
        <v>0</v>
      </c>
    </row>
    <row r="1049" spans="1:6" ht="45" hidden="1" customHeight="1">
      <c r="A1049" s="614">
        <f>Abs!A982</f>
        <v>0</v>
      </c>
      <c r="B1049" s="620">
        <f>Abs!Y982</f>
        <v>0</v>
      </c>
      <c r="C1049" s="621" t="str">
        <f>Abs!B982</f>
        <v>TW Panelled Door 1800 X 2400MM (Double leaves)</v>
      </c>
      <c r="D1049" s="617">
        <f>Abs!C982</f>
        <v>4845.1099999999997</v>
      </c>
      <c r="E1049" s="618" t="str">
        <f>Abs!D982</f>
        <v>Sqm</v>
      </c>
      <c r="F1049" s="617">
        <f t="shared" si="16"/>
        <v>0</v>
      </c>
    </row>
    <row r="1050" spans="1:6" ht="45" hidden="1" customHeight="1">
      <c r="A1050" s="614">
        <f>Abs!A983</f>
        <v>0</v>
      </c>
      <c r="B1050" s="620">
        <f>Abs!Y983</f>
        <v>0</v>
      </c>
      <c r="C1050" s="621" t="str">
        <f>Abs!B983</f>
        <v>Partly glazed and partly BWR panelled door shutter (Double leaves) with brass screws.
a. 1500x2400mm</v>
      </c>
      <c r="D1050" s="617">
        <f>Abs!C983</f>
        <v>5004.07</v>
      </c>
      <c r="E1050" s="618" t="str">
        <f>Abs!D983</f>
        <v>Sqm</v>
      </c>
      <c r="F1050" s="617">
        <f t="shared" si="16"/>
        <v>0</v>
      </c>
    </row>
    <row r="1051" spans="1:6" ht="45" hidden="1" customHeight="1">
      <c r="A1051" s="614">
        <f>Abs!A984</f>
        <v>0</v>
      </c>
      <c r="B1051" s="620">
        <f>Abs!Y984</f>
        <v>0</v>
      </c>
      <c r="C1051" s="621" t="str">
        <f>Abs!B984</f>
        <v>Partly glazed and partly TW panelled door shutter (Double leaves) with brass screws.
a. 1200x2400mm</v>
      </c>
      <c r="D1051" s="617">
        <f>Abs!C984</f>
        <v>5854.27</v>
      </c>
      <c r="E1051" s="618" t="str">
        <f>Abs!D984</f>
        <v>Sqm</v>
      </c>
      <c r="F1051" s="617">
        <f t="shared" si="16"/>
        <v>0</v>
      </c>
    </row>
    <row r="1052" spans="1:6" ht="45" hidden="1" customHeight="1">
      <c r="A1052" s="614">
        <f>Abs!A985</f>
        <v>0</v>
      </c>
      <c r="B1052" s="620">
        <f>Abs!Y985</f>
        <v>0</v>
      </c>
      <c r="C1052" s="621" t="str">
        <f>Abs!B985</f>
        <v>T.W DOOR SHUTTER TWO LEAVES(2000 X 2400 mm) WITH BRASS FITINGS</v>
      </c>
      <c r="D1052" s="617">
        <f>Abs!C985</f>
        <v>5051.6899999999996</v>
      </c>
      <c r="E1052" s="618" t="str">
        <f>Abs!D985</f>
        <v>Sqm</v>
      </c>
      <c r="F1052" s="617">
        <f t="shared" si="16"/>
        <v>0</v>
      </c>
    </row>
    <row r="1053" spans="1:6" ht="45" hidden="1" customHeight="1">
      <c r="A1053" s="614">
        <f>Abs!A986</f>
        <v>0</v>
      </c>
      <c r="B1053" s="620">
        <f>Abs!Y986</f>
        <v>0</v>
      </c>
      <c r="C1053" s="621" t="str">
        <f>Abs!B986</f>
        <v>BWR door 900 x 2400   single leaf</v>
      </c>
      <c r="D1053" s="617">
        <f>Abs!C986</f>
        <v>5584.61</v>
      </c>
      <c r="E1053" s="618" t="str">
        <f>Abs!D986</f>
        <v>Sqm</v>
      </c>
      <c r="F1053" s="617">
        <f t="shared" si="16"/>
        <v>0</v>
      </c>
    </row>
    <row r="1054" spans="1:6" ht="45" hidden="1" customHeight="1">
      <c r="A1054" s="614">
        <f>Abs!A987</f>
        <v>0</v>
      </c>
      <c r="B1054" s="620">
        <f>Abs!Y987</f>
        <v>0</v>
      </c>
      <c r="C1054" s="621" t="str">
        <f>Abs!B987</f>
        <v>BWR door 1050 x 2400   single leaf</v>
      </c>
      <c r="D1054" s="617">
        <f>Abs!C987</f>
        <v>4897.2299999999996</v>
      </c>
      <c r="E1054" s="618" t="str">
        <f>Abs!D987</f>
        <v>Sqm</v>
      </c>
      <c r="F1054" s="617">
        <f t="shared" si="16"/>
        <v>0</v>
      </c>
    </row>
    <row r="1055" spans="1:6" ht="45" hidden="1" customHeight="1">
      <c r="A1055" s="614">
        <f>Abs!A988</f>
        <v>0</v>
      </c>
      <c r="B1055" s="620">
        <f>Abs!Y988</f>
        <v>0</v>
      </c>
      <c r="C1055" s="621" t="str">
        <f>Abs!B988</f>
        <v>BWR door 1200 x 2400   double leaves</v>
      </c>
      <c r="D1055" s="617">
        <f>Abs!C988</f>
        <v>5445.16</v>
      </c>
      <c r="E1055" s="618" t="str">
        <f>Abs!D988</f>
        <v>Sqm</v>
      </c>
      <c r="F1055" s="617">
        <f t="shared" si="16"/>
        <v>0</v>
      </c>
    </row>
    <row r="1056" spans="1:6" ht="45" hidden="1" customHeight="1">
      <c r="A1056" s="614">
        <f>Abs!A989</f>
        <v>0</v>
      </c>
      <c r="B1056" s="620">
        <f>Abs!Y989</f>
        <v>0</v>
      </c>
      <c r="C1056" s="621" t="str">
        <f>Abs!B989</f>
        <v>BWR door 1500 x 2400   double leaves</v>
      </c>
      <c r="D1056" s="617">
        <f>Abs!C989</f>
        <v>5004.07</v>
      </c>
      <c r="E1056" s="618" t="str">
        <f>Abs!D989</f>
        <v>Sqm</v>
      </c>
      <c r="F1056" s="617">
        <f t="shared" si="16"/>
        <v>0</v>
      </c>
    </row>
    <row r="1057" spans="1:6" ht="45" hidden="1" customHeight="1">
      <c r="A1057" s="614">
        <f>Abs!A990</f>
        <v>0</v>
      </c>
      <c r="B1057" s="620">
        <f>Abs!Y990</f>
        <v>0</v>
      </c>
      <c r="C1057" s="621" t="str">
        <f>Abs!B990</f>
        <v>450 x 375 x 20 m   thick TW plank</v>
      </c>
      <c r="D1057" s="617">
        <f>Abs!C990</f>
        <v>1242.21</v>
      </c>
      <c r="E1057" s="618" t="str">
        <f>Abs!D990</f>
        <v>Each</v>
      </c>
      <c r="F1057" s="617">
        <f t="shared" si="16"/>
        <v>0</v>
      </c>
    </row>
    <row r="1058" spans="1:6" ht="45" hidden="1" customHeight="1">
      <c r="A1058" s="614">
        <f>Abs!A991</f>
        <v>0</v>
      </c>
      <c r="B1058" s="620">
        <f>Abs!Y991</f>
        <v>0</v>
      </c>
      <c r="C1058" s="621" t="str">
        <f>Abs!B991</f>
        <v>40 mm dia GI pipe "B"class</v>
      </c>
      <c r="D1058" s="617">
        <f>Abs!C991</f>
        <v>165</v>
      </c>
      <c r="E1058" s="618" t="str">
        <f>Abs!D991</f>
        <v>Rmt</v>
      </c>
      <c r="F1058" s="617">
        <f t="shared" si="16"/>
        <v>0</v>
      </c>
    </row>
    <row r="1059" spans="1:6" ht="45" hidden="1" customHeight="1">
      <c r="A1059" s="614">
        <f>Abs!A992</f>
        <v>0</v>
      </c>
      <c r="B1059" s="620">
        <f>Abs!Y992</f>
        <v>0</v>
      </c>
      <c r="C1059" s="621" t="str">
        <f>Abs!B992</f>
        <v>Supplying and fixing of Three phase ELCB</v>
      </c>
      <c r="D1059" s="617">
        <f>Abs!C992</f>
        <v>2971.6</v>
      </c>
      <c r="E1059" s="618" t="str">
        <f>Abs!D992</f>
        <v>Each</v>
      </c>
      <c r="F1059" s="617">
        <f t="shared" si="16"/>
        <v>0</v>
      </c>
    </row>
    <row r="1060" spans="1:6" ht="45" hidden="1" customHeight="1">
      <c r="A1060" s="614">
        <f>Abs!A993</f>
        <v>0</v>
      </c>
      <c r="B1060" s="620">
        <f>Abs!Y993</f>
        <v>0</v>
      </c>
      <c r="C1060" s="621" t="str">
        <f>Abs!B993</f>
        <v>MDF 900 x 2100 single</v>
      </c>
      <c r="D1060" s="617">
        <f>Abs!C993</f>
        <v>2779.39</v>
      </c>
      <c r="E1060" s="618" t="str">
        <f>Abs!D993</f>
        <v>Sqm</v>
      </c>
      <c r="F1060" s="617">
        <f t="shared" si="16"/>
        <v>0</v>
      </c>
    </row>
    <row r="1061" spans="1:6" ht="45" hidden="1" customHeight="1">
      <c r="A1061" s="614">
        <f>Abs!A994</f>
        <v>0</v>
      </c>
      <c r="B1061" s="620">
        <f>Abs!Y994</f>
        <v>0</v>
      </c>
      <c r="C1061" s="621" t="str">
        <f>Abs!B994</f>
        <v>MDF 1000 x 2100</v>
      </c>
      <c r="D1061" s="617">
        <f>Abs!C994</f>
        <v>2736.83</v>
      </c>
      <c r="E1061" s="618" t="str">
        <f>Abs!D994</f>
        <v>Sqm</v>
      </c>
      <c r="F1061" s="617">
        <f t="shared" si="16"/>
        <v>0</v>
      </c>
    </row>
    <row r="1062" spans="1:6" ht="45" hidden="1" customHeight="1">
      <c r="A1062" s="614">
        <f>Abs!A995</f>
        <v>0</v>
      </c>
      <c r="B1062" s="620">
        <f>Abs!Y995</f>
        <v>0</v>
      </c>
      <c r="C1062" s="621" t="str">
        <f>Abs!B995</f>
        <v>MDF 1200 x 2100</v>
      </c>
      <c r="D1062" s="617">
        <f>Abs!C995</f>
        <v>2663.24</v>
      </c>
      <c r="E1062" s="618" t="str">
        <f>Abs!D995</f>
        <v>Sqm</v>
      </c>
      <c r="F1062" s="617">
        <f t="shared" si="16"/>
        <v>0</v>
      </c>
    </row>
    <row r="1063" spans="1:6" ht="45" hidden="1" customHeight="1">
      <c r="A1063" s="614">
        <f>Abs!A996</f>
        <v>0</v>
      </c>
      <c r="B1063" s="620">
        <f>Abs!Y996</f>
        <v>0</v>
      </c>
      <c r="C1063" s="621" t="str">
        <f>Abs!B996</f>
        <v>MDF 1500 X 2100MM (Double Leaf)</v>
      </c>
      <c r="D1063" s="617">
        <f>Abs!C996</f>
        <v>2886.76</v>
      </c>
      <c r="E1063" s="618" t="str">
        <f>Abs!D996</f>
        <v>Sqm</v>
      </c>
      <c r="F1063" s="617">
        <f t="shared" si="16"/>
        <v>0</v>
      </c>
    </row>
    <row r="1064" spans="1:6" ht="45" hidden="1" customHeight="1">
      <c r="A1064" s="614">
        <f>Abs!A997</f>
        <v>0</v>
      </c>
      <c r="B1064" s="620">
        <f>Abs!Y997</f>
        <v>0</v>
      </c>
      <c r="C1064" s="621" t="str">
        <f>Abs!B997</f>
        <v>MDF 1200 X 2100MM (Double Leaf)</v>
      </c>
      <c r="D1064" s="617">
        <f>Abs!C997</f>
        <v>3009.55</v>
      </c>
      <c r="E1064" s="618" t="str">
        <f>Abs!D997</f>
        <v>Sqm</v>
      </c>
      <c r="F1064" s="617">
        <f t="shared" si="16"/>
        <v>0</v>
      </c>
    </row>
    <row r="1065" spans="1:6" ht="45" hidden="1" customHeight="1">
      <c r="A1065" s="614">
        <f>Abs!A998</f>
        <v>0</v>
      </c>
      <c r="B1065" s="620">
        <f>Abs!Y998</f>
        <v>0</v>
      </c>
      <c r="C1065" s="621" t="str">
        <f>Abs!B998</f>
        <v>MDF 1500 X 2400MM (Double Leaf)</v>
      </c>
      <c r="D1065" s="617">
        <f>Abs!C998</f>
        <v>2831.92</v>
      </c>
      <c r="E1065" s="618" t="str">
        <f>Abs!D998</f>
        <v>Sqm</v>
      </c>
      <c r="F1065" s="617">
        <f t="shared" si="16"/>
        <v>0</v>
      </c>
    </row>
    <row r="1066" spans="1:6" ht="45" hidden="1" customHeight="1">
      <c r="A1066" s="614">
        <f>Abs!A999</f>
        <v>0</v>
      </c>
      <c r="B1066" s="620">
        <f>Abs!Y999</f>
        <v>0</v>
      </c>
      <c r="C1066" s="621" t="str">
        <f>Abs!B999</f>
        <v>MDF  double leaf shutter with TW alround frame for ward robe / cup board</v>
      </c>
      <c r="D1066" s="617">
        <f>Abs!C999</f>
        <v>2124.06</v>
      </c>
      <c r="E1066" s="618" t="str">
        <f>Abs!D999</f>
        <v>Sqm</v>
      </c>
      <c r="F1066" s="617">
        <f t="shared" si="16"/>
        <v>0</v>
      </c>
    </row>
    <row r="1067" spans="1:6" ht="45" hidden="1" customHeight="1">
      <c r="A1067" s="614">
        <f>Abs!A1052</f>
        <v>0</v>
      </c>
      <c r="B1067" s="620">
        <f>Abs!Y1052</f>
        <v>0</v>
      </c>
      <c r="C1067" s="621" t="str">
        <f>Abs!B1052</f>
        <v>Cement paint two coat for old wall</v>
      </c>
      <c r="D1067" s="617">
        <f>Abs!C1052</f>
        <v>119.34</v>
      </c>
      <c r="E1067" s="618">
        <f>Abs!D1052</f>
        <v>0</v>
      </c>
      <c r="F1067" s="617">
        <f t="shared" ref="F1067:F1086" si="17">D1067*B1067</f>
        <v>0</v>
      </c>
    </row>
    <row r="1068" spans="1:6" ht="45" hidden="1" customHeight="1">
      <c r="A1068" s="614">
        <f>Abs!A1053</f>
        <v>0</v>
      </c>
      <c r="B1068" s="620">
        <f>Abs!Y1053</f>
        <v>0</v>
      </c>
      <c r="C1068" s="621" t="str">
        <f>Abs!B1053</f>
        <v>painting one coat for old iron work</v>
      </c>
      <c r="D1068" s="617">
        <f>Abs!C1053</f>
        <v>81.760000000000005</v>
      </c>
      <c r="E1068" s="618">
        <f>Abs!D1053</f>
        <v>0</v>
      </c>
      <c r="F1068" s="617">
        <f t="shared" si="17"/>
        <v>0</v>
      </c>
    </row>
    <row r="1069" spans="1:6" ht="45" hidden="1" customHeight="1">
      <c r="A1069" s="614">
        <f>Abs!A1054</f>
        <v>0</v>
      </c>
      <c r="B1069" s="620">
        <f>Abs!Y1054</f>
        <v>0</v>
      </c>
      <c r="C1069" s="621" t="str">
        <f>Abs!B1054</f>
        <v>painting two coat for old iron work</v>
      </c>
      <c r="D1069" s="617">
        <f>Abs!C1054</f>
        <v>126.77</v>
      </c>
      <c r="E1069" s="618">
        <f>Abs!D1054</f>
        <v>0</v>
      </c>
      <c r="F1069" s="617">
        <f t="shared" si="17"/>
        <v>0</v>
      </c>
    </row>
    <row r="1070" spans="1:6" ht="45" hidden="1" customHeight="1">
      <c r="A1070" s="614">
        <f>Abs!A1055</f>
        <v>0</v>
      </c>
      <c r="B1070" s="620">
        <f>Abs!Y1055</f>
        <v>0</v>
      </c>
      <c r="C1070" s="621" t="str">
        <f>Abs!B1055</f>
        <v>painting one coat for old wood work</v>
      </c>
      <c r="D1070" s="617">
        <f>Abs!C1055</f>
        <v>88.9</v>
      </c>
      <c r="E1070" s="618">
        <f>Abs!D1055</f>
        <v>0</v>
      </c>
      <c r="F1070" s="617">
        <f t="shared" si="17"/>
        <v>0</v>
      </c>
    </row>
    <row r="1071" spans="1:6" ht="45" hidden="1" customHeight="1">
      <c r="A1071" s="614">
        <f>Abs!A1056</f>
        <v>0</v>
      </c>
      <c r="B1071" s="620">
        <f>Abs!Y1056</f>
        <v>0</v>
      </c>
      <c r="C1071" s="621" t="str">
        <f>Abs!B1056</f>
        <v>painting two coat for old wood work</v>
      </c>
      <c r="D1071" s="617">
        <f>Abs!C1056</f>
        <v>144.68</v>
      </c>
      <c r="E1071" s="618">
        <f>Abs!D1056</f>
        <v>0</v>
      </c>
      <c r="F1071" s="617">
        <f t="shared" si="17"/>
        <v>0</v>
      </c>
    </row>
    <row r="1072" spans="1:6" ht="45" hidden="1" customHeight="1">
      <c r="A1072" s="614">
        <f>Abs!A1057</f>
        <v>0</v>
      </c>
      <c r="B1072" s="620">
        <f>Abs!Y1057</f>
        <v>0</v>
      </c>
      <c r="C1072" s="621" t="str">
        <f>Abs!B1057</f>
        <v>Matt paint one coat for old wall</v>
      </c>
      <c r="D1072" s="617">
        <f>Abs!C1057</f>
        <v>81.59</v>
      </c>
      <c r="E1072" s="618">
        <f>Abs!D1057</f>
        <v>0</v>
      </c>
      <c r="F1072" s="617">
        <f t="shared" si="17"/>
        <v>0</v>
      </c>
    </row>
    <row r="1073" spans="1:6" ht="45" hidden="1" customHeight="1">
      <c r="A1073" s="614">
        <f>Abs!A1058</f>
        <v>0</v>
      </c>
      <c r="B1073" s="620">
        <f>Abs!Y1058</f>
        <v>0</v>
      </c>
      <c r="C1073" s="621" t="str">
        <f>Abs!B1058</f>
        <v>Plastic Emulsion PAINT one coat for old wall</v>
      </c>
      <c r="D1073" s="617">
        <f>Abs!C1058</f>
        <v>75.569999999999993</v>
      </c>
      <c r="E1073" s="618">
        <f>Abs!D1058</f>
        <v>0</v>
      </c>
      <c r="F1073" s="617">
        <f t="shared" si="17"/>
        <v>0</v>
      </c>
    </row>
    <row r="1074" spans="1:6" ht="45" hidden="1" customHeight="1">
      <c r="A1074" s="614">
        <f>Abs!A1059</f>
        <v>0</v>
      </c>
      <c r="B1074" s="620">
        <f>Abs!Y1059</f>
        <v>0</v>
      </c>
      <c r="C1074" s="621" t="str">
        <f>Abs!B1059</f>
        <v>Plastic Emulsion PAINT two coat for old wall</v>
      </c>
      <c r="D1074" s="617">
        <f>Abs!C1059</f>
        <v>148.44</v>
      </c>
      <c r="E1074" s="618">
        <f>Abs!D1059</f>
        <v>0</v>
      </c>
      <c r="F1074" s="617">
        <f t="shared" si="17"/>
        <v>0</v>
      </c>
    </row>
    <row r="1075" spans="1:6" ht="45" hidden="1" customHeight="1">
      <c r="A1075" s="614">
        <f>Abs!A1060</f>
        <v>0</v>
      </c>
      <c r="B1075" s="620">
        <f>Abs!Y1060</f>
        <v>0</v>
      </c>
      <c r="C1075" s="621">
        <f>Abs!B1060</f>
        <v>0</v>
      </c>
      <c r="D1075" s="617">
        <f>Abs!C1060</f>
        <v>0</v>
      </c>
      <c r="E1075" s="618">
        <f>Abs!D1060</f>
        <v>0</v>
      </c>
      <c r="F1075" s="617">
        <f t="shared" si="17"/>
        <v>0</v>
      </c>
    </row>
    <row r="1076" spans="1:6" ht="45" hidden="1" customHeight="1">
      <c r="A1076" s="614">
        <f>Abs!A1061</f>
        <v>0</v>
      </c>
      <c r="B1076" s="620">
        <f>Abs!Y1061</f>
        <v>0</v>
      </c>
      <c r="C1076" s="621">
        <f>Abs!B1061</f>
        <v>0</v>
      </c>
      <c r="D1076" s="617">
        <f>Abs!C1061</f>
        <v>0</v>
      </c>
      <c r="E1076" s="618">
        <f>Abs!D1061</f>
        <v>0</v>
      </c>
      <c r="F1076" s="617">
        <f t="shared" si="17"/>
        <v>0</v>
      </c>
    </row>
    <row r="1077" spans="1:6" ht="45" hidden="1" customHeight="1">
      <c r="A1077" s="614">
        <f>Abs!A1062</f>
        <v>0</v>
      </c>
      <c r="B1077" s="620">
        <f>Abs!Y1062</f>
        <v>0</v>
      </c>
      <c r="C1077" s="621">
        <f>Abs!B1062</f>
        <v>0</v>
      </c>
      <c r="D1077" s="617">
        <f>Abs!C1062</f>
        <v>0</v>
      </c>
      <c r="E1077" s="618">
        <f>Abs!D1062</f>
        <v>0</v>
      </c>
      <c r="F1077" s="617">
        <f t="shared" si="17"/>
        <v>0</v>
      </c>
    </row>
    <row r="1078" spans="1:6" ht="45" hidden="1" customHeight="1">
      <c r="A1078" s="614">
        <f>Abs!A1063</f>
        <v>0</v>
      </c>
      <c r="B1078" s="620">
        <f>Abs!Y1063</f>
        <v>0</v>
      </c>
      <c r="C1078" s="621">
        <f>Abs!B1063</f>
        <v>0</v>
      </c>
      <c r="D1078" s="617">
        <f>Abs!C1063</f>
        <v>0</v>
      </c>
      <c r="E1078" s="618">
        <f>Abs!D1063</f>
        <v>0</v>
      </c>
      <c r="F1078" s="617">
        <f t="shared" si="17"/>
        <v>0</v>
      </c>
    </row>
    <row r="1079" spans="1:6" ht="45" hidden="1" customHeight="1">
      <c r="A1079" s="614">
        <f>Abs!A1064</f>
        <v>0</v>
      </c>
      <c r="B1079" s="620">
        <f>Abs!Y1064</f>
        <v>0</v>
      </c>
      <c r="C1079" s="621">
        <f>Abs!B1064</f>
        <v>0</v>
      </c>
      <c r="D1079" s="617">
        <f>Abs!C1064</f>
        <v>0</v>
      </c>
      <c r="E1079" s="618">
        <f>Abs!D1064</f>
        <v>0</v>
      </c>
      <c r="F1079" s="617">
        <f t="shared" si="17"/>
        <v>0</v>
      </c>
    </row>
    <row r="1080" spans="1:6" ht="45" hidden="1" customHeight="1">
      <c r="A1080" s="614">
        <f>Abs!A1065</f>
        <v>0</v>
      </c>
      <c r="B1080" s="620">
        <f>Abs!Y1065</f>
        <v>0</v>
      </c>
      <c r="C1080" s="621">
        <f>Abs!B1065</f>
        <v>0</v>
      </c>
      <c r="D1080" s="617">
        <f>Abs!C1065</f>
        <v>0</v>
      </c>
      <c r="E1080" s="618">
        <f>Abs!D1065</f>
        <v>0</v>
      </c>
      <c r="F1080" s="617">
        <f t="shared" si="17"/>
        <v>0</v>
      </c>
    </row>
    <row r="1081" spans="1:6" ht="45" hidden="1" customHeight="1">
      <c r="A1081" s="614">
        <f>Abs!A1066</f>
        <v>0</v>
      </c>
      <c r="B1081" s="620">
        <f>Abs!Y1066</f>
        <v>0</v>
      </c>
      <c r="C1081" s="621">
        <f>Abs!B1066</f>
        <v>0</v>
      </c>
      <c r="D1081" s="617">
        <f>Abs!C1066</f>
        <v>0</v>
      </c>
      <c r="E1081" s="618">
        <f>Abs!D1066</f>
        <v>0</v>
      </c>
      <c r="F1081" s="617">
        <f t="shared" si="17"/>
        <v>0</v>
      </c>
    </row>
    <row r="1082" spans="1:6" ht="45" hidden="1" customHeight="1">
      <c r="A1082" s="614">
        <f>Abs!A1067</f>
        <v>0</v>
      </c>
      <c r="B1082" s="620">
        <f>Abs!Y1067</f>
        <v>0</v>
      </c>
      <c r="C1082" s="621">
        <f>Abs!B1067</f>
        <v>0</v>
      </c>
      <c r="D1082" s="617">
        <f>Abs!C1067</f>
        <v>0</v>
      </c>
      <c r="E1082" s="618">
        <f>Abs!D1067</f>
        <v>0</v>
      </c>
      <c r="F1082" s="617">
        <f t="shared" si="17"/>
        <v>0</v>
      </c>
    </row>
    <row r="1083" spans="1:6" ht="45" hidden="1" customHeight="1">
      <c r="A1083" s="614">
        <f>Abs!A1068</f>
        <v>0</v>
      </c>
      <c r="B1083" s="620">
        <f>Abs!Y1068</f>
        <v>0</v>
      </c>
      <c r="C1083" s="621">
        <f>Abs!B1068</f>
        <v>0</v>
      </c>
      <c r="D1083" s="617">
        <f>Abs!C1068</f>
        <v>0</v>
      </c>
      <c r="E1083" s="618">
        <f>Abs!D1068</f>
        <v>0</v>
      </c>
      <c r="F1083" s="617">
        <f t="shared" si="17"/>
        <v>0</v>
      </c>
    </row>
    <row r="1084" spans="1:6" ht="45" hidden="1" customHeight="1">
      <c r="A1084" s="614">
        <f>Abs!A1069</f>
        <v>0</v>
      </c>
      <c r="B1084" s="620">
        <f>Abs!Y1069</f>
        <v>0</v>
      </c>
      <c r="C1084" s="621">
        <f>Abs!B1069</f>
        <v>0</v>
      </c>
      <c r="D1084" s="617">
        <f>Abs!C1069</f>
        <v>0</v>
      </c>
      <c r="E1084" s="618">
        <f>Abs!D1069</f>
        <v>0</v>
      </c>
      <c r="F1084" s="617">
        <f t="shared" si="17"/>
        <v>0</v>
      </c>
    </row>
    <row r="1085" spans="1:6" ht="45" hidden="1" customHeight="1">
      <c r="A1085" s="614">
        <f>Abs!A1070</f>
        <v>0</v>
      </c>
      <c r="B1085" s="620">
        <f>Abs!Y1070</f>
        <v>0</v>
      </c>
      <c r="C1085" s="621">
        <f>Abs!B1070</f>
        <v>0</v>
      </c>
      <c r="D1085" s="617">
        <f>Abs!C1070</f>
        <v>0</v>
      </c>
      <c r="E1085" s="618">
        <f>Abs!D1070</f>
        <v>0</v>
      </c>
      <c r="F1085" s="617">
        <f t="shared" si="17"/>
        <v>0</v>
      </c>
    </row>
    <row r="1086" spans="1:6" ht="45" hidden="1" customHeight="1">
      <c r="A1086" s="614">
        <f>Abs!A1071</f>
        <v>0</v>
      </c>
      <c r="B1086" s="620">
        <f>Abs!Y1071</f>
        <v>0</v>
      </c>
      <c r="C1086" s="621">
        <f>Abs!B1071</f>
        <v>0</v>
      </c>
      <c r="D1086" s="617">
        <f>Abs!C1071</f>
        <v>0</v>
      </c>
      <c r="E1086" s="618">
        <f>Abs!D1071</f>
        <v>0</v>
      </c>
      <c r="F1086" s="617">
        <f t="shared" si="17"/>
        <v>0</v>
      </c>
    </row>
    <row r="1087" spans="1:6" ht="45" hidden="1" customHeight="1">
      <c r="A1087" s="614">
        <f>Abs!A1072</f>
        <v>0</v>
      </c>
      <c r="B1087" s="620">
        <f>Abs!Y1072</f>
        <v>0</v>
      </c>
      <c r="C1087" s="621">
        <f>Abs!B1072</f>
        <v>0</v>
      </c>
      <c r="D1087" s="617">
        <f>Abs!C1072</f>
        <v>0</v>
      </c>
      <c r="E1087" s="618">
        <f>Abs!D1072</f>
        <v>0</v>
      </c>
      <c r="F1087" s="617">
        <f t="shared" ref="F1087:F1097" si="18">D1087*B1087</f>
        <v>0</v>
      </c>
    </row>
    <row r="1088" spans="1:6" ht="45" hidden="1" customHeight="1">
      <c r="A1088" s="614">
        <f>Abs!A1073</f>
        <v>0</v>
      </c>
      <c r="B1088" s="620">
        <f>Abs!Y1073</f>
        <v>0</v>
      </c>
      <c r="C1088" s="621">
        <f>Abs!B1073</f>
        <v>0</v>
      </c>
      <c r="D1088" s="617">
        <f>Abs!C1073</f>
        <v>0</v>
      </c>
      <c r="E1088" s="618">
        <f>Abs!D1073</f>
        <v>0</v>
      </c>
      <c r="F1088" s="617">
        <f t="shared" si="18"/>
        <v>0</v>
      </c>
    </row>
    <row r="1089" spans="1:6" ht="45" hidden="1" customHeight="1">
      <c r="A1089" s="614">
        <f>Abs!A1074</f>
        <v>0</v>
      </c>
      <c r="B1089" s="620">
        <f>Abs!Y1074</f>
        <v>0</v>
      </c>
      <c r="C1089" s="621">
        <f>Abs!B1074</f>
        <v>0</v>
      </c>
      <c r="D1089" s="617">
        <f>Abs!C1074</f>
        <v>0</v>
      </c>
      <c r="E1089" s="618">
        <f>Abs!D1074</f>
        <v>0</v>
      </c>
      <c r="F1089" s="617">
        <f t="shared" si="18"/>
        <v>0</v>
      </c>
    </row>
    <row r="1090" spans="1:6" ht="45" hidden="1" customHeight="1">
      <c r="A1090" s="614">
        <f>Abs!A1075</f>
        <v>0</v>
      </c>
      <c r="B1090" s="620">
        <f>Abs!Y1075</f>
        <v>0</v>
      </c>
      <c r="C1090" s="621">
        <f>Abs!B1075</f>
        <v>0</v>
      </c>
      <c r="D1090" s="617">
        <f>Abs!C1075</f>
        <v>0</v>
      </c>
      <c r="E1090" s="618">
        <f>Abs!D1075</f>
        <v>0</v>
      </c>
      <c r="F1090" s="617">
        <f t="shared" si="18"/>
        <v>0</v>
      </c>
    </row>
    <row r="1091" spans="1:6" ht="45" hidden="1" customHeight="1">
      <c r="A1091" s="614">
        <f>Abs!A1076</f>
        <v>0</v>
      </c>
      <c r="B1091" s="620">
        <f>Abs!Y1076</f>
        <v>0</v>
      </c>
      <c r="C1091" s="621">
        <f>Abs!B1076</f>
        <v>0</v>
      </c>
      <c r="D1091" s="617">
        <f>Abs!C1076</f>
        <v>0</v>
      </c>
      <c r="E1091" s="618">
        <f>Abs!D1076</f>
        <v>0</v>
      </c>
      <c r="F1091" s="617">
        <f t="shared" si="18"/>
        <v>0</v>
      </c>
    </row>
    <row r="1092" spans="1:6" ht="45" hidden="1" customHeight="1">
      <c r="A1092" s="614">
        <f>Abs!A1077</f>
        <v>0</v>
      </c>
      <c r="B1092" s="620">
        <f>Abs!Y1077</f>
        <v>0</v>
      </c>
      <c r="C1092" s="621">
        <f>Abs!B1077</f>
        <v>0</v>
      </c>
      <c r="D1092" s="617">
        <f>Abs!C1077</f>
        <v>0</v>
      </c>
      <c r="E1092" s="618">
        <f>Abs!D1077</f>
        <v>0</v>
      </c>
      <c r="F1092" s="617">
        <f t="shared" si="18"/>
        <v>0</v>
      </c>
    </row>
    <row r="1093" spans="1:6" ht="45" hidden="1" customHeight="1">
      <c r="A1093" s="614">
        <f>Abs!A1078</f>
        <v>0</v>
      </c>
      <c r="B1093" s="620">
        <f>Abs!Y1078</f>
        <v>0</v>
      </c>
      <c r="C1093" s="621">
        <f>Abs!B1078</f>
        <v>0</v>
      </c>
      <c r="D1093" s="617">
        <f>Abs!C1078</f>
        <v>0</v>
      </c>
      <c r="E1093" s="618">
        <f>Abs!D1078</f>
        <v>0</v>
      </c>
      <c r="F1093" s="617">
        <f t="shared" si="18"/>
        <v>0</v>
      </c>
    </row>
    <row r="1094" spans="1:6" ht="45" hidden="1" customHeight="1">
      <c r="A1094" s="614">
        <f>Abs!A1079</f>
        <v>0</v>
      </c>
      <c r="B1094" s="620">
        <f>Abs!Y1079</f>
        <v>0</v>
      </c>
      <c r="C1094" s="621">
        <f>Abs!B1079</f>
        <v>0</v>
      </c>
      <c r="D1094" s="617">
        <f>Abs!C1079</f>
        <v>0</v>
      </c>
      <c r="E1094" s="618">
        <f>Abs!D1079</f>
        <v>0</v>
      </c>
      <c r="F1094" s="617">
        <f t="shared" si="18"/>
        <v>0</v>
      </c>
    </row>
    <row r="1095" spans="1:6" ht="45" hidden="1" customHeight="1">
      <c r="A1095" s="614">
        <f>Abs!A1080</f>
        <v>0</v>
      </c>
      <c r="B1095" s="620">
        <f>Abs!Y1080</f>
        <v>0</v>
      </c>
      <c r="C1095" s="621">
        <f>Abs!B1080</f>
        <v>0</v>
      </c>
      <c r="D1095" s="617">
        <f>Abs!C1080</f>
        <v>0</v>
      </c>
      <c r="E1095" s="618">
        <f>Abs!D1080</f>
        <v>0</v>
      </c>
      <c r="F1095" s="617">
        <f t="shared" si="18"/>
        <v>0</v>
      </c>
    </row>
    <row r="1096" spans="1:6" ht="45" hidden="1" customHeight="1">
      <c r="A1096" s="614">
        <f>Abs!A1081</f>
        <v>0</v>
      </c>
      <c r="B1096" s="620">
        <f>Abs!Y1081</f>
        <v>0</v>
      </c>
      <c r="C1096" s="621">
        <f>Abs!B1081</f>
        <v>0</v>
      </c>
      <c r="D1096" s="617">
        <f>Abs!C1081</f>
        <v>0</v>
      </c>
      <c r="E1096" s="618">
        <f>Abs!D1081</f>
        <v>0</v>
      </c>
      <c r="F1096" s="617">
        <f t="shared" si="18"/>
        <v>0</v>
      </c>
    </row>
    <row r="1097" spans="1:6" ht="45" hidden="1" customHeight="1">
      <c r="A1097" s="614">
        <f>Abs!A1082</f>
        <v>0</v>
      </c>
      <c r="B1097" s="620">
        <f>Abs!Y1082</f>
        <v>0</v>
      </c>
      <c r="C1097" s="621">
        <f>Abs!B1082</f>
        <v>0</v>
      </c>
      <c r="D1097" s="617">
        <f>Abs!C1082</f>
        <v>0</v>
      </c>
      <c r="E1097" s="618">
        <f>Abs!D1082</f>
        <v>0</v>
      </c>
      <c r="F1097" s="617">
        <f t="shared" si="18"/>
        <v>0</v>
      </c>
    </row>
    <row r="1098" spans="1:6" ht="45" hidden="1" customHeight="1">
      <c r="A1098" s="614">
        <f>Abs!A1083</f>
        <v>0</v>
      </c>
      <c r="B1098" s="620">
        <f>Abs!Y1083</f>
        <v>0</v>
      </c>
      <c r="C1098" s="621">
        <f>Abs!B1083</f>
        <v>0</v>
      </c>
      <c r="D1098" s="617">
        <f>Abs!C1083</f>
        <v>0</v>
      </c>
      <c r="E1098" s="618">
        <f>Abs!D1083</f>
        <v>0</v>
      </c>
      <c r="F1098" s="617">
        <f t="shared" ref="F1098:F1161" si="19">D1098*B1098</f>
        <v>0</v>
      </c>
    </row>
    <row r="1099" spans="1:6" ht="45" hidden="1" customHeight="1">
      <c r="A1099" s="614">
        <f>Abs!A1084</f>
        <v>0</v>
      </c>
      <c r="B1099" s="620">
        <f>Abs!Y1084</f>
        <v>0</v>
      </c>
      <c r="C1099" s="621">
        <f>Abs!B1084</f>
        <v>0</v>
      </c>
      <c r="D1099" s="617">
        <f>Abs!C1084</f>
        <v>0</v>
      </c>
      <c r="E1099" s="618">
        <f>Abs!D1084</f>
        <v>0</v>
      </c>
      <c r="F1099" s="617">
        <f t="shared" si="19"/>
        <v>0</v>
      </c>
    </row>
    <row r="1100" spans="1:6" ht="45" hidden="1" customHeight="1">
      <c r="A1100" s="614">
        <f>Abs!A1085</f>
        <v>0</v>
      </c>
      <c r="B1100" s="620">
        <f>Abs!Y1085</f>
        <v>0</v>
      </c>
      <c r="C1100" s="621">
        <f>Abs!B1085</f>
        <v>0</v>
      </c>
      <c r="D1100" s="617">
        <f>Abs!C1085</f>
        <v>0</v>
      </c>
      <c r="E1100" s="618">
        <f>Abs!D1085</f>
        <v>0</v>
      </c>
      <c r="F1100" s="617">
        <f t="shared" si="19"/>
        <v>0</v>
      </c>
    </row>
    <row r="1101" spans="1:6" ht="45" hidden="1" customHeight="1">
      <c r="A1101" s="614">
        <f>Abs!A1086</f>
        <v>0</v>
      </c>
      <c r="B1101" s="620">
        <f>Abs!Y1086</f>
        <v>0</v>
      </c>
      <c r="C1101" s="621">
        <f>Abs!B1086</f>
        <v>0</v>
      </c>
      <c r="D1101" s="617">
        <f>Abs!C1086</f>
        <v>0</v>
      </c>
      <c r="E1101" s="618">
        <f>Abs!D1086</f>
        <v>0</v>
      </c>
      <c r="F1101" s="617">
        <f t="shared" si="19"/>
        <v>0</v>
      </c>
    </row>
    <row r="1102" spans="1:6" ht="45" hidden="1" customHeight="1">
      <c r="A1102" s="614">
        <f>Abs!A1087</f>
        <v>0</v>
      </c>
      <c r="B1102" s="620">
        <f>Abs!Y1087</f>
        <v>0</v>
      </c>
      <c r="C1102" s="621">
        <f>Abs!B1087</f>
        <v>0</v>
      </c>
      <c r="D1102" s="617">
        <f>Abs!C1087</f>
        <v>0</v>
      </c>
      <c r="E1102" s="618">
        <f>Abs!D1087</f>
        <v>0</v>
      </c>
      <c r="F1102" s="617">
        <f t="shared" si="19"/>
        <v>0</v>
      </c>
    </row>
    <row r="1103" spans="1:6" ht="45" hidden="1" customHeight="1">
      <c r="A1103" s="614">
        <f>Abs!A1088</f>
        <v>0</v>
      </c>
      <c r="B1103" s="620">
        <f>Abs!Y1088</f>
        <v>0</v>
      </c>
      <c r="C1103" s="621">
        <f>Abs!B1088</f>
        <v>0</v>
      </c>
      <c r="D1103" s="617">
        <f>Abs!C1088</f>
        <v>0</v>
      </c>
      <c r="E1103" s="618">
        <f>Abs!D1088</f>
        <v>0</v>
      </c>
      <c r="F1103" s="617">
        <f t="shared" si="19"/>
        <v>0</v>
      </c>
    </row>
    <row r="1104" spans="1:6" ht="45" hidden="1" customHeight="1">
      <c r="A1104" s="614">
        <f>Abs!A1089</f>
        <v>0</v>
      </c>
      <c r="B1104" s="620">
        <f>Abs!Y1089</f>
        <v>0</v>
      </c>
      <c r="C1104" s="621">
        <f>Abs!B1089</f>
        <v>0</v>
      </c>
      <c r="D1104" s="617">
        <f>Abs!C1089</f>
        <v>0</v>
      </c>
      <c r="E1104" s="618">
        <f>Abs!D1089</f>
        <v>0</v>
      </c>
      <c r="F1104" s="617">
        <f t="shared" si="19"/>
        <v>0</v>
      </c>
    </row>
    <row r="1105" spans="1:6" ht="45" hidden="1" customHeight="1">
      <c r="A1105" s="614">
        <f>Abs!A1090</f>
        <v>0</v>
      </c>
      <c r="B1105" s="620">
        <f>Abs!Y1090</f>
        <v>0</v>
      </c>
      <c r="C1105" s="621">
        <f>Abs!B1090</f>
        <v>0</v>
      </c>
      <c r="D1105" s="617">
        <f>Abs!C1090</f>
        <v>0</v>
      </c>
      <c r="E1105" s="618">
        <f>Abs!D1090</f>
        <v>0</v>
      </c>
      <c r="F1105" s="617">
        <f t="shared" si="19"/>
        <v>0</v>
      </c>
    </row>
    <row r="1106" spans="1:6" ht="45" hidden="1" customHeight="1">
      <c r="A1106" s="614">
        <f>Abs!A1091</f>
        <v>0</v>
      </c>
      <c r="B1106" s="620">
        <f>Abs!Y1091</f>
        <v>0</v>
      </c>
      <c r="C1106" s="621">
        <f>Abs!B1091</f>
        <v>0</v>
      </c>
      <c r="D1106" s="617">
        <f>Abs!C1091</f>
        <v>0</v>
      </c>
      <c r="E1106" s="618">
        <f>Abs!D1091</f>
        <v>0</v>
      </c>
      <c r="F1106" s="617">
        <f t="shared" si="19"/>
        <v>0</v>
      </c>
    </row>
    <row r="1107" spans="1:6" ht="45" hidden="1" customHeight="1">
      <c r="A1107" s="614">
        <f>Abs!A1092</f>
        <v>0</v>
      </c>
      <c r="B1107" s="620">
        <f>Abs!Y1092</f>
        <v>0</v>
      </c>
      <c r="C1107" s="621">
        <f>Abs!B1092</f>
        <v>0</v>
      </c>
      <c r="D1107" s="617">
        <f>Abs!C1092</f>
        <v>0</v>
      </c>
      <c r="E1107" s="618">
        <f>Abs!D1092</f>
        <v>0</v>
      </c>
      <c r="F1107" s="617">
        <f t="shared" si="19"/>
        <v>0</v>
      </c>
    </row>
    <row r="1108" spans="1:6" ht="45" hidden="1" customHeight="1">
      <c r="A1108" s="614">
        <f>'[2]Building (2)'!A1107</f>
        <v>0</v>
      </c>
      <c r="B1108" s="620">
        <f>'[2]Building (2)'!U1107</f>
        <v>0</v>
      </c>
      <c r="C1108" s="621" t="str">
        <f>'[2]Building (2)'!B1107</f>
        <v>painting two coat for old wood work</v>
      </c>
      <c r="D1108" s="617">
        <f>'[2]Building (2)'!C1107</f>
        <v>127.06</v>
      </c>
      <c r="E1108" s="618">
        <f>'[2]Building (2)'!D1107</f>
        <v>0</v>
      </c>
      <c r="F1108" s="617">
        <f t="shared" si="19"/>
        <v>0</v>
      </c>
    </row>
    <row r="1109" spans="1:6" ht="45" hidden="1" customHeight="1">
      <c r="A1109" s="614">
        <f>'[2]Building (2)'!A1108</f>
        <v>0</v>
      </c>
      <c r="B1109" s="620">
        <f>'[2]Building (2)'!U1108</f>
        <v>0</v>
      </c>
      <c r="C1109" s="621" t="str">
        <f>'[2]Building (2)'!B1108</f>
        <v>Matt paint one coat for old wall</v>
      </c>
      <c r="D1109" s="617">
        <f>'[2]Building (2)'!C1108</f>
        <v>72.95</v>
      </c>
      <c r="E1109" s="618">
        <f>'[2]Building (2)'!D1108</f>
        <v>0</v>
      </c>
      <c r="F1109" s="617">
        <f t="shared" si="19"/>
        <v>0</v>
      </c>
    </row>
    <row r="1110" spans="1:6" ht="45" hidden="1" customHeight="1">
      <c r="A1110" s="614">
        <f>'[2]Building (2)'!A1109</f>
        <v>0</v>
      </c>
      <c r="B1110" s="620">
        <f>'[2]Building (2)'!U1109</f>
        <v>0</v>
      </c>
      <c r="C1110" s="621" t="str">
        <f>'[2]Building (2)'!B1109</f>
        <v>Plastic Emulsion PAINT one coat for old wall</v>
      </c>
      <c r="D1110" s="617">
        <f>'[2]Building (2)'!C1109</f>
        <v>66.11</v>
      </c>
      <c r="E1110" s="618">
        <f>'[2]Building (2)'!D1109</f>
        <v>0</v>
      </c>
      <c r="F1110" s="617">
        <f t="shared" si="19"/>
        <v>0</v>
      </c>
    </row>
    <row r="1111" spans="1:6" ht="45" hidden="1" customHeight="1">
      <c r="A1111" s="614">
        <f>'[2]Building (2)'!A1110</f>
        <v>0</v>
      </c>
      <c r="B1111" s="620">
        <f>'[2]Building (2)'!U1110</f>
        <v>0</v>
      </c>
      <c r="C1111" s="621" t="str">
        <f>'[2]Building (2)'!B1110</f>
        <v>Plastic Emulsion PAINT two coat for old wall</v>
      </c>
      <c r="D1111" s="617">
        <f>'[2]Building (2)'!C1110</f>
        <v>129.27000000000001</v>
      </c>
      <c r="E1111" s="618">
        <f>'[2]Building (2)'!D1110</f>
        <v>0</v>
      </c>
      <c r="F1111" s="617">
        <f t="shared" si="19"/>
        <v>0</v>
      </c>
    </row>
    <row r="1112" spans="1:6" ht="45" hidden="1" customHeight="1">
      <c r="A1112" s="614">
        <f>'[2]Building (2)'!A1111</f>
        <v>0</v>
      </c>
      <c r="B1112" s="620">
        <f>'[2]Building (2)'!U1111</f>
        <v>0</v>
      </c>
      <c r="C1112" s="621">
        <f>'[2]Building (2)'!B1111</f>
        <v>0</v>
      </c>
      <c r="D1112" s="617">
        <f>'[2]Building (2)'!C1111</f>
        <v>0</v>
      </c>
      <c r="E1112" s="618">
        <f>'[2]Building (2)'!D1111</f>
        <v>0</v>
      </c>
      <c r="F1112" s="617">
        <f t="shared" si="19"/>
        <v>0</v>
      </c>
    </row>
    <row r="1113" spans="1:6" ht="45" hidden="1" customHeight="1">
      <c r="A1113" s="614">
        <f>'[2]Building (2)'!A1112</f>
        <v>0</v>
      </c>
      <c r="B1113" s="620">
        <f>'[2]Building (2)'!U1112</f>
        <v>0</v>
      </c>
      <c r="C1113" s="621">
        <f>'[2]Building (2)'!B1112</f>
        <v>0</v>
      </c>
      <c r="D1113" s="617">
        <f>'[2]Building (2)'!C1112</f>
        <v>0</v>
      </c>
      <c r="E1113" s="618">
        <f>'[2]Building (2)'!D1112</f>
        <v>0</v>
      </c>
      <c r="F1113" s="617">
        <f t="shared" si="19"/>
        <v>0</v>
      </c>
    </row>
    <row r="1114" spans="1:6" ht="45" hidden="1" customHeight="1">
      <c r="A1114" s="614">
        <f>'[2]Building (2)'!A1113</f>
        <v>0</v>
      </c>
      <c r="B1114" s="620">
        <f>'[2]Building (2)'!U1113</f>
        <v>0</v>
      </c>
      <c r="C1114" s="621">
        <f>'[2]Building (2)'!B1113</f>
        <v>0</v>
      </c>
      <c r="D1114" s="617">
        <f>'[2]Building (2)'!C1113</f>
        <v>0</v>
      </c>
      <c r="E1114" s="618">
        <f>'[2]Building (2)'!D1113</f>
        <v>0</v>
      </c>
      <c r="F1114" s="617">
        <f t="shared" si="19"/>
        <v>0</v>
      </c>
    </row>
    <row r="1115" spans="1:6" ht="45" hidden="1" customHeight="1">
      <c r="A1115" s="614">
        <f>'[2]Building (2)'!A1114</f>
        <v>0</v>
      </c>
      <c r="B1115" s="620">
        <f>'[2]Building (2)'!U1114</f>
        <v>0</v>
      </c>
      <c r="C1115" s="621">
        <f>'[2]Building (2)'!B1114</f>
        <v>0</v>
      </c>
      <c r="D1115" s="617">
        <f>'[2]Building (2)'!C1114</f>
        <v>0</v>
      </c>
      <c r="E1115" s="618">
        <f>'[2]Building (2)'!D1114</f>
        <v>0</v>
      </c>
      <c r="F1115" s="617">
        <f t="shared" si="19"/>
        <v>0</v>
      </c>
    </row>
    <row r="1116" spans="1:6" ht="45" hidden="1" customHeight="1">
      <c r="A1116" s="614">
        <f>'[2]Building (2)'!A1115</f>
        <v>0</v>
      </c>
      <c r="B1116" s="620">
        <f>'[2]Building (2)'!U1115</f>
        <v>0</v>
      </c>
      <c r="C1116" s="621">
        <f>'[2]Building (2)'!B1115</f>
        <v>0</v>
      </c>
      <c r="D1116" s="617">
        <f>'[2]Building (2)'!C1115</f>
        <v>0</v>
      </c>
      <c r="E1116" s="618">
        <f>'[2]Building (2)'!D1115</f>
        <v>0</v>
      </c>
      <c r="F1116" s="617">
        <f t="shared" si="19"/>
        <v>0</v>
      </c>
    </row>
    <row r="1117" spans="1:6" ht="45" hidden="1" customHeight="1">
      <c r="A1117" s="614">
        <f>'[2]Building (2)'!A1116</f>
        <v>0</v>
      </c>
      <c r="B1117" s="620">
        <f>'[2]Building (2)'!U1116</f>
        <v>0</v>
      </c>
      <c r="C1117" s="621">
        <f>'[2]Building (2)'!B1116</f>
        <v>0</v>
      </c>
      <c r="D1117" s="617">
        <f>'[2]Building (2)'!C1116</f>
        <v>0</v>
      </c>
      <c r="E1117" s="618">
        <f>'[2]Building (2)'!D1116</f>
        <v>0</v>
      </c>
      <c r="F1117" s="617">
        <f t="shared" si="19"/>
        <v>0</v>
      </c>
    </row>
    <row r="1118" spans="1:6" ht="45" hidden="1" customHeight="1">
      <c r="A1118" s="614">
        <f>'[2]Building (2)'!A1117</f>
        <v>0</v>
      </c>
      <c r="B1118" s="620">
        <f>'[2]Building (2)'!U1117</f>
        <v>0</v>
      </c>
      <c r="C1118" s="621">
        <f>'[2]Building (2)'!B1117</f>
        <v>0</v>
      </c>
      <c r="D1118" s="617">
        <f>'[2]Building (2)'!C1117</f>
        <v>0</v>
      </c>
      <c r="E1118" s="618">
        <f>'[2]Building (2)'!D1117</f>
        <v>0</v>
      </c>
      <c r="F1118" s="617">
        <f t="shared" si="19"/>
        <v>0</v>
      </c>
    </row>
    <row r="1119" spans="1:6" ht="45" hidden="1" customHeight="1">
      <c r="A1119" s="614">
        <f>'[2]Building (2)'!A1118</f>
        <v>0</v>
      </c>
      <c r="B1119" s="620">
        <f>'[2]Building (2)'!U1118</f>
        <v>0</v>
      </c>
      <c r="C1119" s="621">
        <f>'[2]Building (2)'!B1118</f>
        <v>0</v>
      </c>
      <c r="D1119" s="617">
        <f>'[2]Building (2)'!C1118</f>
        <v>0</v>
      </c>
      <c r="E1119" s="618">
        <f>'[2]Building (2)'!D1118</f>
        <v>0</v>
      </c>
      <c r="F1119" s="617">
        <f t="shared" si="19"/>
        <v>0</v>
      </c>
    </row>
    <row r="1120" spans="1:6" ht="45" hidden="1" customHeight="1">
      <c r="A1120" s="614">
        <f>'[2]Building (2)'!A1119</f>
        <v>0</v>
      </c>
      <c r="B1120" s="620">
        <f>'[2]Building (2)'!U1119</f>
        <v>0</v>
      </c>
      <c r="C1120" s="621">
        <f>'[2]Building (2)'!B1119</f>
        <v>0</v>
      </c>
      <c r="D1120" s="617">
        <f>'[2]Building (2)'!C1119</f>
        <v>0</v>
      </c>
      <c r="E1120" s="618">
        <f>'[2]Building (2)'!D1119</f>
        <v>0</v>
      </c>
      <c r="F1120" s="617">
        <f t="shared" si="19"/>
        <v>0</v>
      </c>
    </row>
    <row r="1121" spans="1:6" ht="45" hidden="1" customHeight="1">
      <c r="A1121" s="614">
        <f>'[2]Building (2)'!A1120</f>
        <v>0</v>
      </c>
      <c r="B1121" s="620">
        <f>'[2]Building (2)'!U1120</f>
        <v>0</v>
      </c>
      <c r="C1121" s="621">
        <f>'[2]Building (2)'!B1120</f>
        <v>0</v>
      </c>
      <c r="D1121" s="617">
        <f>'[2]Building (2)'!C1120</f>
        <v>0</v>
      </c>
      <c r="E1121" s="618">
        <f>'[2]Building (2)'!D1120</f>
        <v>0</v>
      </c>
      <c r="F1121" s="617">
        <f t="shared" si="19"/>
        <v>0</v>
      </c>
    </row>
    <row r="1122" spans="1:6" ht="45" hidden="1" customHeight="1">
      <c r="A1122" s="614">
        <f>'[2]Building (2)'!A1121</f>
        <v>0</v>
      </c>
      <c r="B1122" s="620">
        <f>'[2]Building (2)'!U1121</f>
        <v>0</v>
      </c>
      <c r="C1122" s="621">
        <f>'[2]Building (2)'!B1121</f>
        <v>0</v>
      </c>
      <c r="D1122" s="617">
        <f>'[2]Building (2)'!C1121</f>
        <v>0</v>
      </c>
      <c r="E1122" s="618">
        <f>'[2]Building (2)'!D1121</f>
        <v>0</v>
      </c>
      <c r="F1122" s="617">
        <f t="shared" si="19"/>
        <v>0</v>
      </c>
    </row>
    <row r="1123" spans="1:6" ht="45" hidden="1" customHeight="1">
      <c r="A1123" s="614">
        <f>'[2]Building (2)'!A1122</f>
        <v>0</v>
      </c>
      <c r="B1123" s="620">
        <f>'[2]Building (2)'!U1122</f>
        <v>0</v>
      </c>
      <c r="C1123" s="621">
        <f>'[2]Building (2)'!B1122</f>
        <v>0</v>
      </c>
      <c r="D1123" s="617">
        <f>'[2]Building (2)'!C1122</f>
        <v>0</v>
      </c>
      <c r="E1123" s="618">
        <f>'[2]Building (2)'!D1122</f>
        <v>0</v>
      </c>
      <c r="F1123" s="617">
        <f t="shared" si="19"/>
        <v>0</v>
      </c>
    </row>
    <row r="1124" spans="1:6" ht="45" hidden="1" customHeight="1">
      <c r="A1124" s="614">
        <f>'[2]Building (2)'!A1123</f>
        <v>0</v>
      </c>
      <c r="B1124" s="620">
        <f>'[2]Building (2)'!U1123</f>
        <v>0</v>
      </c>
      <c r="C1124" s="621">
        <f>'[2]Building (2)'!B1123</f>
        <v>0</v>
      </c>
      <c r="D1124" s="617">
        <f>'[2]Building (2)'!C1123</f>
        <v>0</v>
      </c>
      <c r="E1124" s="618">
        <f>'[2]Building (2)'!D1123</f>
        <v>0</v>
      </c>
      <c r="F1124" s="617">
        <f t="shared" si="19"/>
        <v>0</v>
      </c>
    </row>
    <row r="1125" spans="1:6" ht="45" hidden="1" customHeight="1">
      <c r="A1125" s="614">
        <f>'[2]Building (2)'!A1124</f>
        <v>0</v>
      </c>
      <c r="B1125" s="620">
        <f>'[2]Building (2)'!U1124</f>
        <v>0</v>
      </c>
      <c r="C1125" s="621">
        <f>'[2]Building (2)'!B1124</f>
        <v>0</v>
      </c>
      <c r="D1125" s="617">
        <f>'[2]Building (2)'!C1124</f>
        <v>0</v>
      </c>
      <c r="E1125" s="618">
        <f>'[2]Building (2)'!D1124</f>
        <v>0</v>
      </c>
      <c r="F1125" s="617">
        <f t="shared" si="19"/>
        <v>0</v>
      </c>
    </row>
    <row r="1126" spans="1:6" ht="45" hidden="1" customHeight="1">
      <c r="A1126" s="614">
        <f>'[2]Building (2)'!A1125</f>
        <v>0</v>
      </c>
      <c r="B1126" s="620">
        <f>'[2]Building (2)'!U1125</f>
        <v>0</v>
      </c>
      <c r="C1126" s="621">
        <f>'[2]Building (2)'!B1125</f>
        <v>0</v>
      </c>
      <c r="D1126" s="617">
        <f>'[2]Building (2)'!C1125</f>
        <v>0</v>
      </c>
      <c r="E1126" s="618">
        <f>'[2]Building (2)'!D1125</f>
        <v>0</v>
      </c>
      <c r="F1126" s="617">
        <f t="shared" si="19"/>
        <v>0</v>
      </c>
    </row>
    <row r="1127" spans="1:6" ht="45" hidden="1" customHeight="1">
      <c r="A1127" s="614">
        <f>'[2]Building (2)'!A1126</f>
        <v>0</v>
      </c>
      <c r="B1127" s="620">
        <f>'[2]Building (2)'!U1126</f>
        <v>0</v>
      </c>
      <c r="C1127" s="621">
        <f>'[2]Building (2)'!B1126</f>
        <v>0</v>
      </c>
      <c r="D1127" s="617">
        <f>'[2]Building (2)'!C1126</f>
        <v>0</v>
      </c>
      <c r="E1127" s="618">
        <f>'[2]Building (2)'!D1126</f>
        <v>0</v>
      </c>
      <c r="F1127" s="617">
        <f t="shared" si="19"/>
        <v>0</v>
      </c>
    </row>
    <row r="1128" spans="1:6" ht="45" hidden="1" customHeight="1">
      <c r="A1128" s="614">
        <f>'[2]Building (2)'!A1127</f>
        <v>0</v>
      </c>
      <c r="B1128" s="620">
        <f>'[2]Building (2)'!U1127</f>
        <v>0</v>
      </c>
      <c r="C1128" s="621">
        <f>'[2]Building (2)'!B1127</f>
        <v>0</v>
      </c>
      <c r="D1128" s="617">
        <f>'[2]Building (2)'!C1127</f>
        <v>0</v>
      </c>
      <c r="E1128" s="618">
        <f>'[2]Building (2)'!D1127</f>
        <v>0</v>
      </c>
      <c r="F1128" s="617">
        <f t="shared" si="19"/>
        <v>0</v>
      </c>
    </row>
    <row r="1129" spans="1:6" ht="45" hidden="1" customHeight="1">
      <c r="A1129" s="614">
        <f>'[2]Building (2)'!A1128</f>
        <v>0</v>
      </c>
      <c r="B1129" s="620">
        <f>'[2]Building (2)'!U1128</f>
        <v>0</v>
      </c>
      <c r="C1129" s="621">
        <f>'[2]Building (2)'!B1128</f>
        <v>0</v>
      </c>
      <c r="D1129" s="617">
        <f>'[2]Building (2)'!C1128</f>
        <v>0</v>
      </c>
      <c r="E1129" s="618">
        <f>'[2]Building (2)'!D1128</f>
        <v>0</v>
      </c>
      <c r="F1129" s="617">
        <f t="shared" si="19"/>
        <v>0</v>
      </c>
    </row>
    <row r="1130" spans="1:6" ht="45" hidden="1" customHeight="1">
      <c r="A1130" s="614">
        <f>'[2]Building (2)'!A1129</f>
        <v>0</v>
      </c>
      <c r="B1130" s="620">
        <f>'[2]Building (2)'!U1129</f>
        <v>0</v>
      </c>
      <c r="C1130" s="621">
        <f>'[2]Building (2)'!B1129</f>
        <v>0</v>
      </c>
      <c r="D1130" s="617">
        <f>'[2]Building (2)'!C1129</f>
        <v>0</v>
      </c>
      <c r="E1130" s="618">
        <f>'[2]Building (2)'!D1129</f>
        <v>0</v>
      </c>
      <c r="F1130" s="617">
        <f t="shared" si="19"/>
        <v>0</v>
      </c>
    </row>
    <row r="1131" spans="1:6" ht="45" hidden="1" customHeight="1">
      <c r="A1131" s="614">
        <f>'[2]Building (2)'!A1130</f>
        <v>0</v>
      </c>
      <c r="B1131" s="620">
        <f>'[2]Building (2)'!U1130</f>
        <v>0</v>
      </c>
      <c r="C1131" s="621">
        <f>'[2]Building (2)'!B1130</f>
        <v>0</v>
      </c>
      <c r="D1131" s="617">
        <f>'[2]Building (2)'!C1130</f>
        <v>0</v>
      </c>
      <c r="E1131" s="618">
        <f>'[2]Building (2)'!D1130</f>
        <v>0</v>
      </c>
      <c r="F1131" s="617">
        <f t="shared" si="19"/>
        <v>0</v>
      </c>
    </row>
    <row r="1132" spans="1:6" ht="45" hidden="1" customHeight="1">
      <c r="A1132" s="614">
        <f>'[2]Building (2)'!A1131</f>
        <v>0</v>
      </c>
      <c r="B1132" s="620">
        <f>'[2]Building (2)'!U1131</f>
        <v>0</v>
      </c>
      <c r="C1132" s="621">
        <f>'[2]Building (2)'!B1131</f>
        <v>0</v>
      </c>
      <c r="D1132" s="617">
        <f>'[2]Building (2)'!C1131</f>
        <v>0</v>
      </c>
      <c r="E1132" s="618">
        <f>'[2]Building (2)'!D1131</f>
        <v>0</v>
      </c>
      <c r="F1132" s="617">
        <f t="shared" si="19"/>
        <v>0</v>
      </c>
    </row>
    <row r="1133" spans="1:6" ht="45" hidden="1" customHeight="1">
      <c r="A1133" s="614">
        <f>'[2]Building (2)'!A1132</f>
        <v>0</v>
      </c>
      <c r="B1133" s="620">
        <f>'[2]Building (2)'!U1132</f>
        <v>0</v>
      </c>
      <c r="C1133" s="621">
        <f>'[2]Building (2)'!B1132</f>
        <v>0</v>
      </c>
      <c r="D1133" s="617">
        <f>'[2]Building (2)'!C1132</f>
        <v>0</v>
      </c>
      <c r="E1133" s="618">
        <f>'[2]Building (2)'!D1132</f>
        <v>0</v>
      </c>
      <c r="F1133" s="617">
        <f t="shared" si="19"/>
        <v>0</v>
      </c>
    </row>
    <row r="1134" spans="1:6" ht="45" hidden="1" customHeight="1">
      <c r="A1134" s="614">
        <f>'[2]Building (2)'!A1133</f>
        <v>0</v>
      </c>
      <c r="B1134" s="620">
        <f>'[2]Building (2)'!U1133</f>
        <v>0</v>
      </c>
      <c r="C1134" s="621">
        <f>'[2]Building (2)'!B1133</f>
        <v>0</v>
      </c>
      <c r="D1134" s="617">
        <f>'[2]Building (2)'!C1133</f>
        <v>0</v>
      </c>
      <c r="E1134" s="618">
        <f>'[2]Building (2)'!D1133</f>
        <v>0</v>
      </c>
      <c r="F1134" s="617">
        <f t="shared" si="19"/>
        <v>0</v>
      </c>
    </row>
    <row r="1135" spans="1:6" ht="45" hidden="1" customHeight="1">
      <c r="A1135" s="614">
        <f>'[2]Building (2)'!A1134</f>
        <v>0</v>
      </c>
      <c r="B1135" s="620">
        <f>'[2]Building (2)'!U1134</f>
        <v>0</v>
      </c>
      <c r="C1135" s="621">
        <f>'[2]Building (2)'!B1134</f>
        <v>0</v>
      </c>
      <c r="D1135" s="617">
        <f>'[2]Building (2)'!C1134</f>
        <v>0</v>
      </c>
      <c r="E1135" s="618">
        <f>'[2]Building (2)'!D1134</f>
        <v>0</v>
      </c>
      <c r="F1135" s="617">
        <f t="shared" si="19"/>
        <v>0</v>
      </c>
    </row>
    <row r="1136" spans="1:6" ht="45" hidden="1" customHeight="1">
      <c r="A1136" s="614">
        <f>'[2]Building (2)'!A1135</f>
        <v>0</v>
      </c>
      <c r="B1136" s="620">
        <f>'[2]Building (2)'!U1135</f>
        <v>0</v>
      </c>
      <c r="C1136" s="621">
        <f>'[2]Building (2)'!B1135</f>
        <v>0</v>
      </c>
      <c r="D1136" s="617">
        <f>'[2]Building (2)'!C1135</f>
        <v>0</v>
      </c>
      <c r="E1136" s="618">
        <f>'[2]Building (2)'!D1135</f>
        <v>0</v>
      </c>
      <c r="F1136" s="617">
        <f t="shared" si="19"/>
        <v>0</v>
      </c>
    </row>
    <row r="1137" spans="1:6" ht="45" hidden="1" customHeight="1">
      <c r="A1137" s="614">
        <f>'[2]Building (2)'!A1136</f>
        <v>0</v>
      </c>
      <c r="B1137" s="620">
        <f>'[2]Building (2)'!U1136</f>
        <v>0</v>
      </c>
      <c r="C1137" s="621">
        <f>'[2]Building (2)'!B1136</f>
        <v>0</v>
      </c>
      <c r="D1137" s="617">
        <f>'[2]Building (2)'!C1136</f>
        <v>0</v>
      </c>
      <c r="E1137" s="618">
        <f>'[2]Building (2)'!D1136</f>
        <v>0</v>
      </c>
      <c r="F1137" s="617">
        <f t="shared" si="19"/>
        <v>0</v>
      </c>
    </row>
    <row r="1138" spans="1:6" ht="45" hidden="1" customHeight="1">
      <c r="A1138" s="614">
        <f>'[2]Building (2)'!A1137</f>
        <v>0</v>
      </c>
      <c r="B1138" s="620">
        <f>'[2]Building (2)'!U1137</f>
        <v>0</v>
      </c>
      <c r="C1138" s="621">
        <f>'[2]Building (2)'!B1137</f>
        <v>0</v>
      </c>
      <c r="D1138" s="617">
        <f>'[2]Building (2)'!C1137</f>
        <v>0</v>
      </c>
      <c r="E1138" s="618">
        <f>'[2]Building (2)'!D1137</f>
        <v>0</v>
      </c>
      <c r="F1138" s="617">
        <f t="shared" si="19"/>
        <v>0</v>
      </c>
    </row>
    <row r="1139" spans="1:6" ht="45" hidden="1" customHeight="1">
      <c r="A1139" s="614">
        <f>'[2]Building (2)'!A1138</f>
        <v>0</v>
      </c>
      <c r="B1139" s="620">
        <f>'[2]Building (2)'!U1138</f>
        <v>0</v>
      </c>
      <c r="C1139" s="621">
        <f>'[2]Building (2)'!B1138</f>
        <v>0</v>
      </c>
      <c r="D1139" s="617">
        <f>'[2]Building (2)'!C1138</f>
        <v>0</v>
      </c>
      <c r="E1139" s="618">
        <f>'[2]Building (2)'!D1138</f>
        <v>0</v>
      </c>
      <c r="F1139" s="617">
        <f t="shared" si="19"/>
        <v>0</v>
      </c>
    </row>
    <row r="1140" spans="1:6" ht="45" hidden="1" customHeight="1">
      <c r="A1140" s="614">
        <f>'[2]Building (2)'!A1139</f>
        <v>0</v>
      </c>
      <c r="B1140" s="620">
        <f>'[2]Building (2)'!U1139</f>
        <v>0</v>
      </c>
      <c r="C1140" s="621">
        <f>'[2]Building (2)'!B1139</f>
        <v>0</v>
      </c>
      <c r="D1140" s="617">
        <f>'[2]Building (2)'!C1139</f>
        <v>0</v>
      </c>
      <c r="E1140" s="618">
        <f>'[2]Building (2)'!D1139</f>
        <v>0</v>
      </c>
      <c r="F1140" s="617">
        <f t="shared" si="19"/>
        <v>0</v>
      </c>
    </row>
    <row r="1141" spans="1:6" ht="45" hidden="1" customHeight="1">
      <c r="A1141" s="614">
        <f>'[2]Building (2)'!A1140</f>
        <v>0</v>
      </c>
      <c r="B1141" s="620">
        <f>'[2]Building (2)'!U1140</f>
        <v>0</v>
      </c>
      <c r="C1141" s="621">
        <f>'[2]Building (2)'!B1140</f>
        <v>0</v>
      </c>
      <c r="D1141" s="617">
        <f>'[2]Building (2)'!C1140</f>
        <v>0</v>
      </c>
      <c r="E1141" s="618">
        <f>'[2]Building (2)'!D1140</f>
        <v>0</v>
      </c>
      <c r="F1141" s="617">
        <f t="shared" si="19"/>
        <v>0</v>
      </c>
    </row>
    <row r="1142" spans="1:6" ht="45" hidden="1" customHeight="1">
      <c r="A1142" s="614">
        <f>'[2]Building (2)'!A1141</f>
        <v>0</v>
      </c>
      <c r="B1142" s="620">
        <f>'[2]Building (2)'!U1141</f>
        <v>0</v>
      </c>
      <c r="C1142" s="621">
        <f>'[2]Building (2)'!B1141</f>
        <v>0</v>
      </c>
      <c r="D1142" s="617">
        <f>'[2]Building (2)'!C1141</f>
        <v>0</v>
      </c>
      <c r="E1142" s="618">
        <f>'[2]Building (2)'!D1141</f>
        <v>0</v>
      </c>
      <c r="F1142" s="617">
        <f t="shared" si="19"/>
        <v>0</v>
      </c>
    </row>
    <row r="1143" spans="1:6" ht="45" hidden="1" customHeight="1">
      <c r="A1143" s="614">
        <f>'[2]Building (2)'!A1142</f>
        <v>0</v>
      </c>
      <c r="B1143" s="620">
        <f>'[2]Building (2)'!U1142</f>
        <v>0</v>
      </c>
      <c r="C1143" s="621">
        <f>'[2]Building (2)'!B1142</f>
        <v>0</v>
      </c>
      <c r="D1143" s="617">
        <f>'[2]Building (2)'!C1142</f>
        <v>0</v>
      </c>
      <c r="E1143" s="618">
        <f>'[2]Building (2)'!D1142</f>
        <v>0</v>
      </c>
      <c r="F1143" s="617">
        <f t="shared" si="19"/>
        <v>0</v>
      </c>
    </row>
    <row r="1144" spans="1:6" ht="45" hidden="1" customHeight="1">
      <c r="A1144" s="614">
        <f>'[2]Building (2)'!A1143</f>
        <v>0</v>
      </c>
      <c r="B1144" s="620">
        <f>'[2]Building (2)'!U1143</f>
        <v>0</v>
      </c>
      <c r="C1144" s="621">
        <f>'[2]Building (2)'!B1143</f>
        <v>0</v>
      </c>
      <c r="D1144" s="617">
        <f>'[2]Building (2)'!C1143</f>
        <v>0</v>
      </c>
      <c r="E1144" s="618">
        <f>'[2]Building (2)'!D1143</f>
        <v>0</v>
      </c>
      <c r="F1144" s="617">
        <f t="shared" si="19"/>
        <v>0</v>
      </c>
    </row>
    <row r="1145" spans="1:6" ht="45" hidden="1" customHeight="1">
      <c r="A1145" s="614">
        <f>'[2]Building (2)'!A1144</f>
        <v>0</v>
      </c>
      <c r="B1145" s="620">
        <f>'[2]Building (2)'!U1144</f>
        <v>0</v>
      </c>
      <c r="C1145" s="621">
        <f>'[2]Building (2)'!B1144</f>
        <v>0</v>
      </c>
      <c r="D1145" s="617">
        <f>'[2]Building (2)'!C1144</f>
        <v>0</v>
      </c>
      <c r="E1145" s="618">
        <f>'[2]Building (2)'!D1144</f>
        <v>0</v>
      </c>
      <c r="F1145" s="617">
        <f t="shared" si="19"/>
        <v>0</v>
      </c>
    </row>
    <row r="1146" spans="1:6" ht="45" hidden="1" customHeight="1">
      <c r="A1146" s="614">
        <f>'[2]Building (2)'!A1145</f>
        <v>0</v>
      </c>
      <c r="B1146" s="620">
        <f>'[2]Building (2)'!U1145</f>
        <v>0</v>
      </c>
      <c r="C1146" s="621">
        <f>'[2]Building (2)'!B1145</f>
        <v>0</v>
      </c>
      <c r="D1146" s="617">
        <f>'[2]Building (2)'!C1145</f>
        <v>0</v>
      </c>
      <c r="E1146" s="618">
        <f>'[2]Building (2)'!D1145</f>
        <v>0</v>
      </c>
      <c r="F1146" s="617">
        <f t="shared" si="19"/>
        <v>0</v>
      </c>
    </row>
    <row r="1147" spans="1:6" ht="45" hidden="1" customHeight="1">
      <c r="A1147" s="614">
        <f>'[2]Building (2)'!A1146</f>
        <v>0</v>
      </c>
      <c r="B1147" s="620">
        <f>'[2]Building (2)'!U1146</f>
        <v>0</v>
      </c>
      <c r="C1147" s="621">
        <f>'[2]Building (2)'!B1146</f>
        <v>0</v>
      </c>
      <c r="D1147" s="617">
        <f>'[2]Building (2)'!C1146</f>
        <v>0</v>
      </c>
      <c r="E1147" s="618">
        <f>'[2]Building (2)'!D1146</f>
        <v>0</v>
      </c>
      <c r="F1147" s="617">
        <f t="shared" si="19"/>
        <v>0</v>
      </c>
    </row>
    <row r="1148" spans="1:6" ht="45" hidden="1" customHeight="1">
      <c r="A1148" s="614">
        <f>'[2]Building (2)'!A1147</f>
        <v>0</v>
      </c>
      <c r="B1148" s="620">
        <f>'[2]Building (2)'!U1147</f>
        <v>0</v>
      </c>
      <c r="C1148" s="621">
        <f>'[2]Building (2)'!B1147</f>
        <v>0</v>
      </c>
      <c r="D1148" s="617">
        <f>'[2]Building (2)'!C1147</f>
        <v>0</v>
      </c>
      <c r="E1148" s="618">
        <f>'[2]Building (2)'!D1147</f>
        <v>0</v>
      </c>
      <c r="F1148" s="617">
        <f t="shared" si="19"/>
        <v>0</v>
      </c>
    </row>
    <row r="1149" spans="1:6" ht="45" hidden="1" customHeight="1">
      <c r="A1149" s="614">
        <f>'[2]Building (2)'!A1148</f>
        <v>0</v>
      </c>
      <c r="B1149" s="620">
        <f>'[2]Building (2)'!U1148</f>
        <v>0</v>
      </c>
      <c r="C1149" s="621">
        <f>'[2]Building (2)'!B1148</f>
        <v>0</v>
      </c>
      <c r="D1149" s="617">
        <f>'[2]Building (2)'!C1148</f>
        <v>0</v>
      </c>
      <c r="E1149" s="618">
        <f>'[2]Building (2)'!D1148</f>
        <v>0</v>
      </c>
      <c r="F1149" s="617">
        <f t="shared" si="19"/>
        <v>0</v>
      </c>
    </row>
    <row r="1150" spans="1:6" ht="45" hidden="1" customHeight="1">
      <c r="A1150" s="614">
        <f>'[2]Building (2)'!A1149</f>
        <v>0</v>
      </c>
      <c r="B1150" s="620">
        <f>'[2]Building (2)'!U1149</f>
        <v>0</v>
      </c>
      <c r="C1150" s="621">
        <f>'[2]Building (2)'!B1149</f>
        <v>0</v>
      </c>
      <c r="D1150" s="617">
        <f>'[2]Building (2)'!C1149</f>
        <v>0</v>
      </c>
      <c r="E1150" s="618">
        <f>'[2]Building (2)'!D1149</f>
        <v>0</v>
      </c>
      <c r="F1150" s="617">
        <f t="shared" si="19"/>
        <v>0</v>
      </c>
    </row>
    <row r="1151" spans="1:6" ht="45" hidden="1" customHeight="1">
      <c r="A1151" s="614">
        <f>'[2]Building (2)'!A1150</f>
        <v>0</v>
      </c>
      <c r="B1151" s="620">
        <f>'[2]Building (2)'!U1150</f>
        <v>0</v>
      </c>
      <c r="C1151" s="621">
        <f>'[2]Building (2)'!B1150</f>
        <v>0</v>
      </c>
      <c r="D1151" s="617">
        <f>'[2]Building (2)'!C1150</f>
        <v>0</v>
      </c>
      <c r="E1151" s="618">
        <f>'[2]Building (2)'!D1150</f>
        <v>0</v>
      </c>
      <c r="F1151" s="617">
        <f t="shared" si="19"/>
        <v>0</v>
      </c>
    </row>
    <row r="1152" spans="1:6" ht="45" hidden="1" customHeight="1">
      <c r="A1152" s="614">
        <f>'[2]Building (2)'!A1151</f>
        <v>0</v>
      </c>
      <c r="B1152" s="620">
        <f>'[2]Building (2)'!U1151</f>
        <v>0</v>
      </c>
      <c r="C1152" s="621">
        <f>'[2]Building (2)'!B1151</f>
        <v>0</v>
      </c>
      <c r="D1152" s="617">
        <f>'[2]Building (2)'!C1151</f>
        <v>0</v>
      </c>
      <c r="E1152" s="618">
        <f>'[2]Building (2)'!D1151</f>
        <v>0</v>
      </c>
      <c r="F1152" s="617">
        <f t="shared" si="19"/>
        <v>0</v>
      </c>
    </row>
    <row r="1153" spans="1:6" ht="45" hidden="1" customHeight="1">
      <c r="A1153" s="614">
        <f>'[2]Building (2)'!A1152</f>
        <v>0</v>
      </c>
      <c r="B1153" s="620">
        <f>'[2]Building (2)'!U1152</f>
        <v>0</v>
      </c>
      <c r="C1153" s="621">
        <f>'[2]Building (2)'!B1152</f>
        <v>0</v>
      </c>
      <c r="D1153" s="617">
        <f>'[2]Building (2)'!C1152</f>
        <v>0</v>
      </c>
      <c r="E1153" s="618">
        <f>'[2]Building (2)'!D1152</f>
        <v>0</v>
      </c>
      <c r="F1153" s="617">
        <f t="shared" si="19"/>
        <v>0</v>
      </c>
    </row>
    <row r="1154" spans="1:6" ht="45" hidden="1" customHeight="1">
      <c r="A1154" s="614">
        <f>'[2]Building (2)'!A1153</f>
        <v>0</v>
      </c>
      <c r="B1154" s="620">
        <f>'[2]Building (2)'!U1153</f>
        <v>0</v>
      </c>
      <c r="C1154" s="621">
        <f>'[2]Building (2)'!B1153</f>
        <v>0</v>
      </c>
      <c r="D1154" s="617">
        <f>'[2]Building (2)'!C1153</f>
        <v>0</v>
      </c>
      <c r="E1154" s="618">
        <f>'[2]Building (2)'!D1153</f>
        <v>0</v>
      </c>
      <c r="F1154" s="617">
        <f t="shared" si="19"/>
        <v>0</v>
      </c>
    </row>
    <row r="1155" spans="1:6" ht="45" hidden="1" customHeight="1">
      <c r="A1155" s="614">
        <f>'[2]Building (2)'!A1154</f>
        <v>0</v>
      </c>
      <c r="B1155" s="620">
        <f>'[2]Building (2)'!U1154</f>
        <v>0</v>
      </c>
      <c r="C1155" s="621">
        <f>'[2]Building (2)'!B1154</f>
        <v>0</v>
      </c>
      <c r="D1155" s="617">
        <f>'[2]Building (2)'!C1154</f>
        <v>0</v>
      </c>
      <c r="E1155" s="618">
        <f>'[2]Building (2)'!D1154</f>
        <v>0</v>
      </c>
      <c r="F1155" s="617">
        <f t="shared" si="19"/>
        <v>0</v>
      </c>
    </row>
    <row r="1156" spans="1:6" ht="45" hidden="1" customHeight="1">
      <c r="A1156" s="614">
        <f>'[2]Building (2)'!A1155</f>
        <v>0</v>
      </c>
      <c r="B1156" s="620">
        <f>'[2]Building (2)'!U1155</f>
        <v>0</v>
      </c>
      <c r="C1156" s="621">
        <f>'[2]Building (2)'!B1155</f>
        <v>0</v>
      </c>
      <c r="D1156" s="617">
        <f>'[2]Building (2)'!C1155</f>
        <v>0</v>
      </c>
      <c r="E1156" s="618">
        <f>'[2]Building (2)'!D1155</f>
        <v>0</v>
      </c>
      <c r="F1156" s="617">
        <f t="shared" si="19"/>
        <v>0</v>
      </c>
    </row>
    <row r="1157" spans="1:6" ht="45" hidden="1" customHeight="1">
      <c r="A1157" s="614">
        <f>'[2]Building (2)'!A1156</f>
        <v>0</v>
      </c>
      <c r="B1157" s="620">
        <f>'[2]Building (2)'!U1156</f>
        <v>0</v>
      </c>
      <c r="C1157" s="621">
        <f>'[2]Building (2)'!B1156</f>
        <v>0</v>
      </c>
      <c r="D1157" s="617">
        <f>'[2]Building (2)'!C1156</f>
        <v>0</v>
      </c>
      <c r="E1157" s="618">
        <f>'[2]Building (2)'!D1156</f>
        <v>0</v>
      </c>
      <c r="F1157" s="617">
        <f t="shared" si="19"/>
        <v>0</v>
      </c>
    </row>
    <row r="1158" spans="1:6" ht="45" hidden="1" customHeight="1">
      <c r="A1158" s="614">
        <f>'[2]Building (2)'!A1157</f>
        <v>0</v>
      </c>
      <c r="B1158" s="620">
        <f>'[2]Building (2)'!U1157</f>
        <v>0</v>
      </c>
      <c r="C1158" s="621">
        <f>'[2]Building (2)'!B1157</f>
        <v>0</v>
      </c>
      <c r="D1158" s="617">
        <f>'[2]Building (2)'!C1157</f>
        <v>0</v>
      </c>
      <c r="E1158" s="618">
        <f>'[2]Building (2)'!D1157</f>
        <v>0</v>
      </c>
      <c r="F1158" s="617">
        <f t="shared" si="19"/>
        <v>0</v>
      </c>
    </row>
    <row r="1159" spans="1:6" ht="45" hidden="1" customHeight="1">
      <c r="A1159" s="614">
        <f>'[2]Building (2)'!A1158</f>
        <v>0</v>
      </c>
      <c r="B1159" s="620">
        <f>'[2]Building (2)'!U1158</f>
        <v>0</v>
      </c>
      <c r="C1159" s="621">
        <f>'[2]Building (2)'!B1158</f>
        <v>0</v>
      </c>
      <c r="D1159" s="617">
        <f>'[2]Building (2)'!C1158</f>
        <v>0</v>
      </c>
      <c r="E1159" s="618">
        <f>'[2]Building (2)'!D1158</f>
        <v>0</v>
      </c>
      <c r="F1159" s="617">
        <f t="shared" si="19"/>
        <v>0</v>
      </c>
    </row>
    <row r="1160" spans="1:6" ht="45" hidden="1" customHeight="1">
      <c r="A1160" s="614">
        <f>'[2]Building (2)'!A1159</f>
        <v>0</v>
      </c>
      <c r="B1160" s="620">
        <f>'[2]Building (2)'!U1159</f>
        <v>0</v>
      </c>
      <c r="C1160" s="621">
        <f>'[2]Building (2)'!B1159</f>
        <v>0</v>
      </c>
      <c r="D1160" s="617">
        <f>'[2]Building (2)'!C1159</f>
        <v>0</v>
      </c>
      <c r="E1160" s="618">
        <f>'[2]Building (2)'!D1159</f>
        <v>0</v>
      </c>
      <c r="F1160" s="617">
        <f t="shared" si="19"/>
        <v>0</v>
      </c>
    </row>
    <row r="1161" spans="1:6" ht="45" hidden="1" customHeight="1">
      <c r="A1161" s="614">
        <f>'[2]Building (2)'!A1160</f>
        <v>0</v>
      </c>
      <c r="B1161" s="620">
        <f>'[2]Building (2)'!U1160</f>
        <v>0</v>
      </c>
      <c r="C1161" s="621">
        <f>'[2]Building (2)'!B1160</f>
        <v>0</v>
      </c>
      <c r="D1161" s="617">
        <f>'[2]Building (2)'!C1160</f>
        <v>0</v>
      </c>
      <c r="E1161" s="618">
        <f>'[2]Building (2)'!D1160</f>
        <v>0</v>
      </c>
      <c r="F1161" s="617">
        <f t="shared" si="19"/>
        <v>0</v>
      </c>
    </row>
    <row r="1162" spans="1:6" ht="45" hidden="1" customHeight="1">
      <c r="A1162" s="614">
        <f>'[2]Building (2)'!A1161</f>
        <v>0</v>
      </c>
      <c r="B1162" s="620">
        <f>'[2]Building (2)'!U1161</f>
        <v>0</v>
      </c>
      <c r="C1162" s="621">
        <f>'[2]Building (2)'!B1161</f>
        <v>0</v>
      </c>
      <c r="D1162" s="617">
        <f>'[2]Building (2)'!C1161</f>
        <v>0</v>
      </c>
      <c r="E1162" s="618">
        <f>'[2]Building (2)'!D1161</f>
        <v>0</v>
      </c>
      <c r="F1162" s="617">
        <f t="shared" ref="F1162:F1214" si="20">D1162*B1162</f>
        <v>0</v>
      </c>
    </row>
    <row r="1163" spans="1:6" ht="45" hidden="1" customHeight="1">
      <c r="A1163" s="614">
        <f>'[2]Building (2)'!A1162</f>
        <v>0</v>
      </c>
      <c r="B1163" s="620">
        <f>'[2]Building (2)'!U1162</f>
        <v>0</v>
      </c>
      <c r="C1163" s="621">
        <f>'[2]Building (2)'!B1162</f>
        <v>0</v>
      </c>
      <c r="D1163" s="617">
        <f>'[2]Building (2)'!C1162</f>
        <v>0</v>
      </c>
      <c r="E1163" s="618">
        <f>'[2]Building (2)'!D1162</f>
        <v>0</v>
      </c>
      <c r="F1163" s="617">
        <f t="shared" si="20"/>
        <v>0</v>
      </c>
    </row>
    <row r="1164" spans="1:6" ht="45" hidden="1" customHeight="1">
      <c r="A1164" s="614">
        <f>'[2]Building (2)'!A1163</f>
        <v>0</v>
      </c>
      <c r="B1164" s="620">
        <f>'[2]Building (2)'!U1163</f>
        <v>0</v>
      </c>
      <c r="C1164" s="621">
        <f>'[2]Building (2)'!B1163</f>
        <v>0</v>
      </c>
      <c r="D1164" s="617">
        <f>'[2]Building (2)'!C1163</f>
        <v>0</v>
      </c>
      <c r="E1164" s="618">
        <f>'[2]Building (2)'!D1163</f>
        <v>0</v>
      </c>
      <c r="F1164" s="617">
        <f t="shared" si="20"/>
        <v>0</v>
      </c>
    </row>
    <row r="1165" spans="1:6" ht="45" hidden="1" customHeight="1">
      <c r="A1165" s="614">
        <f>'[2]Building (2)'!A1164</f>
        <v>0</v>
      </c>
      <c r="B1165" s="620">
        <f>'[2]Building (2)'!U1164</f>
        <v>0</v>
      </c>
      <c r="C1165" s="621">
        <f>'[2]Building (2)'!B1164</f>
        <v>0</v>
      </c>
      <c r="D1165" s="617">
        <f>'[2]Building (2)'!C1164</f>
        <v>0</v>
      </c>
      <c r="E1165" s="618">
        <f>'[2]Building (2)'!D1164</f>
        <v>0</v>
      </c>
      <c r="F1165" s="617">
        <f t="shared" si="20"/>
        <v>0</v>
      </c>
    </row>
    <row r="1166" spans="1:6" ht="45" hidden="1" customHeight="1">
      <c r="A1166" s="614">
        <f>'[2]Building (2)'!A1165</f>
        <v>0</v>
      </c>
      <c r="B1166" s="620">
        <f>'[2]Building (2)'!U1165</f>
        <v>0</v>
      </c>
      <c r="C1166" s="621">
        <f>'[2]Building (2)'!B1165</f>
        <v>0</v>
      </c>
      <c r="D1166" s="617">
        <f>'[2]Building (2)'!C1165</f>
        <v>0</v>
      </c>
      <c r="E1166" s="618">
        <f>'[2]Building (2)'!D1165</f>
        <v>0</v>
      </c>
      <c r="F1166" s="617">
        <f t="shared" si="20"/>
        <v>0</v>
      </c>
    </row>
    <row r="1167" spans="1:6" ht="45" hidden="1" customHeight="1">
      <c r="A1167" s="614">
        <f>'[2]Building (2)'!A1166</f>
        <v>0</v>
      </c>
      <c r="B1167" s="620">
        <f>'[2]Building (2)'!U1166</f>
        <v>0</v>
      </c>
      <c r="C1167" s="621">
        <f>'[2]Building (2)'!B1166</f>
        <v>0</v>
      </c>
      <c r="D1167" s="617">
        <f>'[2]Building (2)'!C1166</f>
        <v>0</v>
      </c>
      <c r="E1167" s="618">
        <f>'[2]Building (2)'!D1166</f>
        <v>0</v>
      </c>
      <c r="F1167" s="617">
        <f t="shared" si="20"/>
        <v>0</v>
      </c>
    </row>
    <row r="1168" spans="1:6" ht="45" hidden="1" customHeight="1">
      <c r="A1168" s="614">
        <f>'[2]Building (2)'!A1167</f>
        <v>0</v>
      </c>
      <c r="B1168" s="620">
        <f>'[2]Building (2)'!U1167</f>
        <v>0</v>
      </c>
      <c r="C1168" s="621">
        <f>'[2]Building (2)'!B1167</f>
        <v>0</v>
      </c>
      <c r="D1168" s="617">
        <f>'[2]Building (2)'!C1167</f>
        <v>0</v>
      </c>
      <c r="E1168" s="618">
        <f>'[2]Building (2)'!D1167</f>
        <v>0</v>
      </c>
      <c r="F1168" s="617">
        <f t="shared" si="20"/>
        <v>0</v>
      </c>
    </row>
    <row r="1169" spans="1:6" ht="45" hidden="1" customHeight="1">
      <c r="A1169" s="614">
        <f>'[2]Building (2)'!A1168</f>
        <v>0</v>
      </c>
      <c r="B1169" s="620">
        <f>'[2]Building (2)'!U1168</f>
        <v>0</v>
      </c>
      <c r="C1169" s="621">
        <f>'[2]Building (2)'!B1168</f>
        <v>0</v>
      </c>
      <c r="D1169" s="617">
        <f>'[2]Building (2)'!C1168</f>
        <v>0</v>
      </c>
      <c r="E1169" s="618">
        <f>'[2]Building (2)'!D1168</f>
        <v>0</v>
      </c>
      <c r="F1169" s="617">
        <f t="shared" si="20"/>
        <v>0</v>
      </c>
    </row>
    <row r="1170" spans="1:6" ht="45" hidden="1" customHeight="1">
      <c r="A1170" s="614">
        <f>'[2]Building (2)'!A1169</f>
        <v>0</v>
      </c>
      <c r="B1170" s="620">
        <f>'[2]Building (2)'!U1169</f>
        <v>0</v>
      </c>
      <c r="C1170" s="621">
        <f>'[2]Building (2)'!B1169</f>
        <v>0</v>
      </c>
      <c r="D1170" s="617">
        <f>'[2]Building (2)'!C1169</f>
        <v>0</v>
      </c>
      <c r="E1170" s="618">
        <f>'[2]Building (2)'!D1169</f>
        <v>0</v>
      </c>
      <c r="F1170" s="617">
        <f t="shared" si="20"/>
        <v>0</v>
      </c>
    </row>
    <row r="1171" spans="1:6" ht="45" hidden="1" customHeight="1">
      <c r="A1171" s="614">
        <f>'[2]Building (2)'!A1170</f>
        <v>0</v>
      </c>
      <c r="B1171" s="620">
        <f>'[2]Building (2)'!U1170</f>
        <v>0</v>
      </c>
      <c r="C1171" s="621">
        <f>'[2]Building (2)'!B1170</f>
        <v>0</v>
      </c>
      <c r="D1171" s="617">
        <f>'[2]Building (2)'!C1170</f>
        <v>0</v>
      </c>
      <c r="E1171" s="618">
        <f>'[2]Building (2)'!D1170</f>
        <v>0</v>
      </c>
      <c r="F1171" s="617">
        <f t="shared" si="20"/>
        <v>0</v>
      </c>
    </row>
    <row r="1172" spans="1:6" ht="45" hidden="1" customHeight="1">
      <c r="A1172" s="614">
        <f>'[2]Building (2)'!A1171</f>
        <v>0</v>
      </c>
      <c r="B1172" s="620">
        <f>'[2]Building (2)'!U1171</f>
        <v>0</v>
      </c>
      <c r="C1172" s="621">
        <f>'[2]Building (2)'!B1171</f>
        <v>0</v>
      </c>
      <c r="D1172" s="617">
        <f>'[2]Building (2)'!C1171</f>
        <v>0</v>
      </c>
      <c r="E1172" s="618">
        <f>'[2]Building (2)'!D1171</f>
        <v>0</v>
      </c>
      <c r="F1172" s="617">
        <f t="shared" si="20"/>
        <v>0</v>
      </c>
    </row>
    <row r="1173" spans="1:6" ht="45" hidden="1" customHeight="1">
      <c r="A1173" s="614">
        <f>'[2]Building (2)'!A1172</f>
        <v>0</v>
      </c>
      <c r="B1173" s="620">
        <f>'[2]Building (2)'!U1172</f>
        <v>0</v>
      </c>
      <c r="C1173" s="621">
        <f>'[2]Building (2)'!B1172</f>
        <v>0</v>
      </c>
      <c r="D1173" s="617">
        <f>'[2]Building (2)'!C1172</f>
        <v>0</v>
      </c>
      <c r="E1173" s="618">
        <f>'[2]Building (2)'!D1172</f>
        <v>0</v>
      </c>
      <c r="F1173" s="617">
        <f t="shared" si="20"/>
        <v>0</v>
      </c>
    </row>
    <row r="1174" spans="1:6" ht="45" hidden="1" customHeight="1">
      <c r="A1174" s="614">
        <f>'[2]Building (2)'!A1173</f>
        <v>0</v>
      </c>
      <c r="B1174" s="620">
        <f>'[2]Building (2)'!U1173</f>
        <v>0</v>
      </c>
      <c r="C1174" s="621">
        <f>'[2]Building (2)'!B1173</f>
        <v>0</v>
      </c>
      <c r="D1174" s="617">
        <f>'[2]Building (2)'!C1173</f>
        <v>0</v>
      </c>
      <c r="E1174" s="618">
        <f>'[2]Building (2)'!D1173</f>
        <v>0</v>
      </c>
      <c r="F1174" s="617">
        <f t="shared" si="20"/>
        <v>0</v>
      </c>
    </row>
    <row r="1175" spans="1:6" ht="45" hidden="1" customHeight="1">
      <c r="A1175" s="614">
        <f>'[2]Building (2)'!A1174</f>
        <v>0</v>
      </c>
      <c r="B1175" s="620">
        <f>'[2]Building (2)'!U1174</f>
        <v>0</v>
      </c>
      <c r="C1175" s="621">
        <f>'[2]Building (2)'!B1174</f>
        <v>0</v>
      </c>
      <c r="D1175" s="617">
        <f>'[2]Building (2)'!C1174</f>
        <v>0</v>
      </c>
      <c r="E1175" s="618">
        <f>'[2]Building (2)'!D1174</f>
        <v>0</v>
      </c>
      <c r="F1175" s="617">
        <f t="shared" si="20"/>
        <v>0</v>
      </c>
    </row>
    <row r="1176" spans="1:6" ht="45" hidden="1" customHeight="1">
      <c r="A1176" s="614">
        <f>'[2]Building (2)'!A1175</f>
        <v>0</v>
      </c>
      <c r="B1176" s="620">
        <f>'[2]Building (2)'!U1175</f>
        <v>0</v>
      </c>
      <c r="C1176" s="621">
        <f>'[2]Building (2)'!B1175</f>
        <v>0</v>
      </c>
      <c r="D1176" s="617">
        <f>'[2]Building (2)'!C1175</f>
        <v>0</v>
      </c>
      <c r="E1176" s="618">
        <f>'[2]Building (2)'!D1175</f>
        <v>0</v>
      </c>
      <c r="F1176" s="617">
        <f t="shared" si="20"/>
        <v>0</v>
      </c>
    </row>
    <row r="1177" spans="1:6" ht="45" hidden="1" customHeight="1">
      <c r="A1177" s="614">
        <f>'[2]Building (2)'!A1176</f>
        <v>0</v>
      </c>
      <c r="B1177" s="620">
        <f>'[2]Building (2)'!U1176</f>
        <v>0</v>
      </c>
      <c r="C1177" s="621">
        <f>'[2]Building (2)'!B1176</f>
        <v>0</v>
      </c>
      <c r="D1177" s="617">
        <f>'[2]Building (2)'!C1176</f>
        <v>0</v>
      </c>
      <c r="E1177" s="618">
        <f>'[2]Building (2)'!D1176</f>
        <v>0</v>
      </c>
      <c r="F1177" s="617">
        <f t="shared" si="20"/>
        <v>0</v>
      </c>
    </row>
    <row r="1178" spans="1:6" ht="45" hidden="1" customHeight="1">
      <c r="A1178" s="614">
        <f>'[2]Building (2)'!A1177</f>
        <v>0</v>
      </c>
      <c r="B1178" s="620">
        <f>'[2]Building (2)'!U1177</f>
        <v>0</v>
      </c>
      <c r="C1178" s="621">
        <f>'[2]Building (2)'!B1177</f>
        <v>0</v>
      </c>
      <c r="D1178" s="617">
        <f>'[2]Building (2)'!C1177</f>
        <v>0</v>
      </c>
      <c r="E1178" s="618">
        <f>'[2]Building (2)'!D1177</f>
        <v>0</v>
      </c>
      <c r="F1178" s="617">
        <f t="shared" si="20"/>
        <v>0</v>
      </c>
    </row>
    <row r="1179" spans="1:6" ht="45" hidden="1" customHeight="1">
      <c r="A1179" s="614">
        <f>'[2]Building (2)'!A1178</f>
        <v>0</v>
      </c>
      <c r="B1179" s="620">
        <f>'[2]Building (2)'!U1178</f>
        <v>0</v>
      </c>
      <c r="C1179" s="621">
        <f>'[2]Building (2)'!B1178</f>
        <v>0</v>
      </c>
      <c r="D1179" s="617">
        <f>'[2]Building (2)'!C1178</f>
        <v>0</v>
      </c>
      <c r="E1179" s="618">
        <f>'[2]Building (2)'!D1178</f>
        <v>0</v>
      </c>
      <c r="F1179" s="617">
        <f t="shared" si="20"/>
        <v>0</v>
      </c>
    </row>
    <row r="1180" spans="1:6" ht="45" hidden="1" customHeight="1">
      <c r="A1180" s="614">
        <f>'[2]Building (2)'!A1179</f>
        <v>0</v>
      </c>
      <c r="B1180" s="620">
        <f>'[2]Building (2)'!U1179</f>
        <v>0</v>
      </c>
      <c r="C1180" s="621">
        <f>'[2]Building (2)'!B1179</f>
        <v>0</v>
      </c>
      <c r="D1180" s="617">
        <f>'[2]Building (2)'!C1179</f>
        <v>0</v>
      </c>
      <c r="E1180" s="618">
        <f>'[2]Building (2)'!D1179</f>
        <v>0</v>
      </c>
      <c r="F1180" s="617">
        <f t="shared" si="20"/>
        <v>0</v>
      </c>
    </row>
    <row r="1181" spans="1:6" ht="45" hidden="1" customHeight="1">
      <c r="A1181" s="614">
        <f>'[2]Building (2)'!A1180</f>
        <v>0</v>
      </c>
      <c r="B1181" s="620">
        <f>'[2]Building (2)'!U1180</f>
        <v>0</v>
      </c>
      <c r="C1181" s="621">
        <f>'[2]Building (2)'!B1180</f>
        <v>0</v>
      </c>
      <c r="D1181" s="617">
        <f>'[2]Building (2)'!C1180</f>
        <v>0</v>
      </c>
      <c r="E1181" s="618">
        <f>'[2]Building (2)'!D1180</f>
        <v>0</v>
      </c>
      <c r="F1181" s="617">
        <f t="shared" si="20"/>
        <v>0</v>
      </c>
    </row>
    <row r="1182" spans="1:6" ht="45" hidden="1" customHeight="1">
      <c r="A1182" s="614">
        <f>'[2]Building (2)'!A1181</f>
        <v>0</v>
      </c>
      <c r="B1182" s="620">
        <f>'[2]Building (2)'!U1181</f>
        <v>0</v>
      </c>
      <c r="C1182" s="621">
        <f>'[2]Building (2)'!B1181</f>
        <v>0</v>
      </c>
      <c r="D1182" s="617">
        <f>'[2]Building (2)'!C1181</f>
        <v>0</v>
      </c>
      <c r="E1182" s="618">
        <f>'[2]Building (2)'!D1181</f>
        <v>0</v>
      </c>
      <c r="F1182" s="617">
        <f t="shared" si="20"/>
        <v>0</v>
      </c>
    </row>
    <row r="1183" spans="1:6" ht="45" hidden="1" customHeight="1">
      <c r="A1183" s="614">
        <f>'[2]Building (2)'!A1182</f>
        <v>0</v>
      </c>
      <c r="B1183" s="620">
        <f>'[2]Building (2)'!U1182</f>
        <v>0</v>
      </c>
      <c r="C1183" s="621">
        <f>'[2]Building (2)'!B1182</f>
        <v>0</v>
      </c>
      <c r="D1183" s="617">
        <f>'[2]Building (2)'!C1182</f>
        <v>0</v>
      </c>
      <c r="E1183" s="618">
        <f>'[2]Building (2)'!D1182</f>
        <v>0</v>
      </c>
      <c r="F1183" s="617">
        <f t="shared" si="20"/>
        <v>0</v>
      </c>
    </row>
    <row r="1184" spans="1:6" ht="45" hidden="1" customHeight="1">
      <c r="A1184" s="614">
        <f>'[2]Building (2)'!A1183</f>
        <v>0</v>
      </c>
      <c r="B1184" s="620">
        <f>'[2]Building (2)'!U1183</f>
        <v>0</v>
      </c>
      <c r="C1184" s="621">
        <f>'[2]Building (2)'!B1183</f>
        <v>0</v>
      </c>
      <c r="D1184" s="617">
        <f>'[2]Building (2)'!C1183</f>
        <v>0</v>
      </c>
      <c r="E1184" s="618">
        <f>'[2]Building (2)'!D1183</f>
        <v>0</v>
      </c>
      <c r="F1184" s="617">
        <f t="shared" si="20"/>
        <v>0</v>
      </c>
    </row>
    <row r="1185" spans="1:6" ht="45" hidden="1" customHeight="1">
      <c r="A1185" s="614">
        <f>'[2]Building (2)'!A1184</f>
        <v>0</v>
      </c>
      <c r="B1185" s="620">
        <f>'[2]Building (2)'!U1184</f>
        <v>0</v>
      </c>
      <c r="C1185" s="621">
        <f>'[2]Building (2)'!B1184</f>
        <v>0</v>
      </c>
      <c r="D1185" s="617">
        <f>'[2]Building (2)'!C1184</f>
        <v>0</v>
      </c>
      <c r="E1185" s="618">
        <f>'[2]Building (2)'!D1184</f>
        <v>0</v>
      </c>
      <c r="F1185" s="617">
        <f t="shared" si="20"/>
        <v>0</v>
      </c>
    </row>
    <row r="1186" spans="1:6" ht="45" hidden="1" customHeight="1">
      <c r="A1186" s="614">
        <f>'[2]Building (2)'!A1185</f>
        <v>0</v>
      </c>
      <c r="B1186" s="620">
        <f>'[2]Building (2)'!U1185</f>
        <v>0</v>
      </c>
      <c r="C1186" s="621">
        <f>'[2]Building (2)'!B1185</f>
        <v>0</v>
      </c>
      <c r="D1186" s="617">
        <f>'[2]Building (2)'!C1185</f>
        <v>0</v>
      </c>
      <c r="E1186" s="618">
        <f>'[2]Building (2)'!D1185</f>
        <v>0</v>
      </c>
      <c r="F1186" s="617">
        <f t="shared" si="20"/>
        <v>0</v>
      </c>
    </row>
    <row r="1187" spans="1:6" ht="45" hidden="1" customHeight="1">
      <c r="A1187" s="614">
        <f>'[2]Building (2)'!A1186</f>
        <v>0</v>
      </c>
      <c r="B1187" s="620">
        <f>'[2]Building (2)'!U1186</f>
        <v>0</v>
      </c>
      <c r="C1187" s="621">
        <f>'[2]Building (2)'!B1186</f>
        <v>0</v>
      </c>
      <c r="D1187" s="617">
        <f>'[2]Building (2)'!C1186</f>
        <v>0</v>
      </c>
      <c r="E1187" s="618">
        <f>'[2]Building (2)'!D1186</f>
        <v>0</v>
      </c>
      <c r="F1187" s="617">
        <f t="shared" si="20"/>
        <v>0</v>
      </c>
    </row>
    <row r="1188" spans="1:6" ht="45" hidden="1" customHeight="1">
      <c r="A1188" s="614">
        <f>'[2]Building (2)'!A1187</f>
        <v>0</v>
      </c>
      <c r="B1188" s="620">
        <f>'[2]Building (2)'!U1187</f>
        <v>0</v>
      </c>
      <c r="C1188" s="621">
        <f>'[2]Building (2)'!B1187</f>
        <v>0</v>
      </c>
      <c r="D1188" s="617">
        <f>'[2]Building (2)'!C1187</f>
        <v>0</v>
      </c>
      <c r="E1188" s="618">
        <f>'[2]Building (2)'!D1187</f>
        <v>0</v>
      </c>
      <c r="F1188" s="617">
        <f t="shared" si="20"/>
        <v>0</v>
      </c>
    </row>
    <row r="1189" spans="1:6" ht="45" hidden="1" customHeight="1">
      <c r="A1189" s="614">
        <f>'[2]Building (2)'!A1188</f>
        <v>0</v>
      </c>
      <c r="B1189" s="620">
        <f>'[2]Building (2)'!U1188</f>
        <v>0</v>
      </c>
      <c r="C1189" s="621">
        <f>'[2]Building (2)'!B1188</f>
        <v>0</v>
      </c>
      <c r="D1189" s="617">
        <f>'[2]Building (2)'!C1188</f>
        <v>0</v>
      </c>
      <c r="E1189" s="618">
        <f>'[2]Building (2)'!D1188</f>
        <v>0</v>
      </c>
      <c r="F1189" s="617">
        <f t="shared" si="20"/>
        <v>0</v>
      </c>
    </row>
    <row r="1190" spans="1:6" ht="45" hidden="1" customHeight="1">
      <c r="A1190" s="614">
        <f>'[2]Building (2)'!A1189</f>
        <v>0</v>
      </c>
      <c r="B1190" s="620">
        <f>'[2]Building (2)'!U1189</f>
        <v>0</v>
      </c>
      <c r="C1190" s="621">
        <f>'[2]Building (2)'!B1189</f>
        <v>0</v>
      </c>
      <c r="D1190" s="617">
        <f>'[2]Building (2)'!C1189</f>
        <v>0</v>
      </c>
      <c r="E1190" s="618">
        <f>'[2]Building (2)'!D1189</f>
        <v>0</v>
      </c>
      <c r="F1190" s="617">
        <f t="shared" si="20"/>
        <v>0</v>
      </c>
    </row>
    <row r="1191" spans="1:6" ht="45" hidden="1" customHeight="1">
      <c r="A1191" s="614">
        <f>'[2]Building (2)'!A1190</f>
        <v>0</v>
      </c>
      <c r="B1191" s="620">
        <f>'[2]Building (2)'!U1190</f>
        <v>0</v>
      </c>
      <c r="C1191" s="621">
        <f>'[2]Building (2)'!B1190</f>
        <v>0</v>
      </c>
      <c r="D1191" s="617">
        <f>'[2]Building (2)'!C1190</f>
        <v>0</v>
      </c>
      <c r="E1191" s="618">
        <f>'[2]Building (2)'!D1190</f>
        <v>0</v>
      </c>
      <c r="F1191" s="617">
        <f t="shared" si="20"/>
        <v>0</v>
      </c>
    </row>
    <row r="1192" spans="1:6" ht="45" hidden="1" customHeight="1">
      <c r="A1192" s="614">
        <f>'[2]Building (2)'!A1191</f>
        <v>0</v>
      </c>
      <c r="B1192" s="620">
        <f>'[2]Building (2)'!U1191</f>
        <v>0</v>
      </c>
      <c r="C1192" s="621">
        <f>'[2]Building (2)'!B1191</f>
        <v>0</v>
      </c>
      <c r="D1192" s="617">
        <f>'[2]Building (2)'!C1191</f>
        <v>0</v>
      </c>
      <c r="E1192" s="618">
        <f>'[2]Building (2)'!D1191</f>
        <v>0</v>
      </c>
      <c r="F1192" s="617">
        <f t="shared" si="20"/>
        <v>0</v>
      </c>
    </row>
    <row r="1193" spans="1:6" ht="45" hidden="1" customHeight="1">
      <c r="A1193" s="614">
        <f>'[2]Building (2)'!A1192</f>
        <v>0</v>
      </c>
      <c r="B1193" s="620">
        <f>'[2]Building (2)'!U1192</f>
        <v>0</v>
      </c>
      <c r="C1193" s="621">
        <f>'[2]Building (2)'!B1192</f>
        <v>0</v>
      </c>
      <c r="D1193" s="617">
        <f>'[2]Building (2)'!C1192</f>
        <v>0</v>
      </c>
      <c r="E1193" s="618">
        <f>'[2]Building (2)'!D1192</f>
        <v>0</v>
      </c>
      <c r="F1193" s="617">
        <f t="shared" si="20"/>
        <v>0</v>
      </c>
    </row>
    <row r="1194" spans="1:6" ht="45" hidden="1" customHeight="1">
      <c r="A1194" s="614">
        <f>'[2]Building (2)'!A1193</f>
        <v>0</v>
      </c>
      <c r="B1194" s="620">
        <f>'[2]Building (2)'!U1193</f>
        <v>0</v>
      </c>
      <c r="C1194" s="621">
        <f>'[2]Building (2)'!B1193</f>
        <v>0</v>
      </c>
      <c r="D1194" s="617">
        <f>'[2]Building (2)'!C1193</f>
        <v>0</v>
      </c>
      <c r="E1194" s="618">
        <f>'[2]Building (2)'!D1193</f>
        <v>0</v>
      </c>
      <c r="F1194" s="617">
        <f t="shared" si="20"/>
        <v>0</v>
      </c>
    </row>
    <row r="1195" spans="1:6" ht="45" hidden="1" customHeight="1">
      <c r="A1195" s="614">
        <f>'[2]Building (2)'!A1194</f>
        <v>0</v>
      </c>
      <c r="B1195" s="620">
        <f>'[2]Building (2)'!U1194</f>
        <v>0</v>
      </c>
      <c r="C1195" s="621">
        <f>'[2]Building (2)'!B1194</f>
        <v>0</v>
      </c>
      <c r="D1195" s="617">
        <f>'[2]Building (2)'!C1194</f>
        <v>0</v>
      </c>
      <c r="E1195" s="618">
        <f>'[2]Building (2)'!D1194</f>
        <v>0</v>
      </c>
      <c r="F1195" s="617">
        <f t="shared" si="20"/>
        <v>0</v>
      </c>
    </row>
    <row r="1196" spans="1:6" ht="45" hidden="1" customHeight="1">
      <c r="A1196" s="614">
        <f>'[2]Building (2)'!A1195</f>
        <v>0</v>
      </c>
      <c r="B1196" s="620">
        <f>'[2]Building (2)'!U1195</f>
        <v>0</v>
      </c>
      <c r="C1196" s="621">
        <f>'[2]Building (2)'!B1195</f>
        <v>0</v>
      </c>
      <c r="D1196" s="617">
        <f>'[2]Building (2)'!C1195</f>
        <v>0</v>
      </c>
      <c r="E1196" s="618">
        <f>'[2]Building (2)'!D1195</f>
        <v>0</v>
      </c>
      <c r="F1196" s="617">
        <f t="shared" si="20"/>
        <v>0</v>
      </c>
    </row>
    <row r="1197" spans="1:6" ht="45" hidden="1" customHeight="1">
      <c r="A1197" s="614">
        <f>'[2]Building (2)'!A1196</f>
        <v>0</v>
      </c>
      <c r="B1197" s="620">
        <f>'[2]Building (2)'!U1196</f>
        <v>0</v>
      </c>
      <c r="C1197" s="621">
        <f>'[2]Building (2)'!B1196</f>
        <v>0</v>
      </c>
      <c r="D1197" s="617">
        <f>'[2]Building (2)'!C1196</f>
        <v>0</v>
      </c>
      <c r="E1197" s="618">
        <f>'[2]Building (2)'!D1196</f>
        <v>0</v>
      </c>
      <c r="F1197" s="617">
        <f t="shared" si="20"/>
        <v>0</v>
      </c>
    </row>
    <row r="1198" spans="1:6" ht="45" hidden="1" customHeight="1">
      <c r="A1198" s="614">
        <f>'[2]Building (2)'!A1197</f>
        <v>0</v>
      </c>
      <c r="B1198" s="620">
        <f>'[2]Building (2)'!U1197</f>
        <v>0</v>
      </c>
      <c r="C1198" s="621">
        <f>'[2]Building (2)'!B1197</f>
        <v>0</v>
      </c>
      <c r="D1198" s="617">
        <f>'[2]Building (2)'!C1197</f>
        <v>0</v>
      </c>
      <c r="E1198" s="618">
        <f>'[2]Building (2)'!D1197</f>
        <v>0</v>
      </c>
      <c r="F1198" s="617">
        <f t="shared" si="20"/>
        <v>0</v>
      </c>
    </row>
    <row r="1199" spans="1:6" ht="45" hidden="1" customHeight="1">
      <c r="A1199" s="614">
        <f>'[2]Building (2)'!A1198</f>
        <v>0</v>
      </c>
      <c r="B1199" s="620">
        <f>'[2]Building (2)'!U1198</f>
        <v>0</v>
      </c>
      <c r="C1199" s="621">
        <f>'[2]Building (2)'!B1198</f>
        <v>0</v>
      </c>
      <c r="D1199" s="617">
        <f>'[2]Building (2)'!C1198</f>
        <v>0</v>
      </c>
      <c r="E1199" s="618">
        <f>'[2]Building (2)'!D1198</f>
        <v>0</v>
      </c>
      <c r="F1199" s="617">
        <f t="shared" si="20"/>
        <v>0</v>
      </c>
    </row>
    <row r="1200" spans="1:6" ht="45" hidden="1" customHeight="1">
      <c r="A1200" s="614">
        <f>'[2]Building (2)'!A1199</f>
        <v>0</v>
      </c>
      <c r="B1200" s="620">
        <f>'[2]Building (2)'!U1199</f>
        <v>0</v>
      </c>
      <c r="C1200" s="621">
        <f>'[2]Building (2)'!B1199</f>
        <v>0</v>
      </c>
      <c r="D1200" s="617">
        <f>'[2]Building (2)'!C1199</f>
        <v>0</v>
      </c>
      <c r="E1200" s="618">
        <f>'[2]Building (2)'!D1199</f>
        <v>0</v>
      </c>
      <c r="F1200" s="617">
        <f t="shared" si="20"/>
        <v>0</v>
      </c>
    </row>
    <row r="1201" spans="1:6" ht="45" hidden="1" customHeight="1">
      <c r="A1201" s="614">
        <f>'[2]Building (2)'!A1200</f>
        <v>0</v>
      </c>
      <c r="B1201" s="620">
        <f>'[2]Building (2)'!U1200</f>
        <v>0</v>
      </c>
      <c r="C1201" s="621">
        <f>'[2]Building (2)'!B1200</f>
        <v>0</v>
      </c>
      <c r="D1201" s="617">
        <f>'[2]Building (2)'!C1200</f>
        <v>0</v>
      </c>
      <c r="E1201" s="618">
        <f>'[2]Building (2)'!D1200</f>
        <v>0</v>
      </c>
      <c r="F1201" s="617">
        <f t="shared" si="20"/>
        <v>0</v>
      </c>
    </row>
    <row r="1202" spans="1:6" ht="45" hidden="1" customHeight="1">
      <c r="A1202" s="614">
        <f>'[2]Building (2)'!A1201</f>
        <v>0</v>
      </c>
      <c r="B1202" s="620">
        <f>'[2]Building (2)'!U1201</f>
        <v>0</v>
      </c>
      <c r="C1202" s="621">
        <f>'[2]Building (2)'!B1201</f>
        <v>0</v>
      </c>
      <c r="D1202" s="617">
        <f>'[2]Building (2)'!C1201</f>
        <v>0</v>
      </c>
      <c r="E1202" s="618">
        <f>'[2]Building (2)'!D1201</f>
        <v>0</v>
      </c>
      <c r="F1202" s="617">
        <f t="shared" si="20"/>
        <v>0</v>
      </c>
    </row>
    <row r="1203" spans="1:6" ht="45" hidden="1" customHeight="1">
      <c r="A1203" s="614">
        <f>'[2]Building (2)'!A1202</f>
        <v>0</v>
      </c>
      <c r="B1203" s="620">
        <f>'[2]Building (2)'!U1202</f>
        <v>0</v>
      </c>
      <c r="C1203" s="621">
        <f>'[2]Building (2)'!B1202</f>
        <v>0</v>
      </c>
      <c r="D1203" s="617">
        <f>'[2]Building (2)'!C1202</f>
        <v>0</v>
      </c>
      <c r="E1203" s="618">
        <f>'[2]Building (2)'!D1202</f>
        <v>0</v>
      </c>
      <c r="F1203" s="617">
        <f t="shared" si="20"/>
        <v>0</v>
      </c>
    </row>
    <row r="1204" spans="1:6" ht="45" hidden="1" customHeight="1">
      <c r="A1204" s="614">
        <f>'[2]Building (2)'!A1203</f>
        <v>0</v>
      </c>
      <c r="B1204" s="620">
        <f>'[2]Building (2)'!U1203</f>
        <v>0</v>
      </c>
      <c r="C1204" s="621">
        <f>'[2]Building (2)'!B1203</f>
        <v>0</v>
      </c>
      <c r="D1204" s="617">
        <f>'[2]Building (2)'!C1203</f>
        <v>0</v>
      </c>
      <c r="E1204" s="618">
        <f>'[2]Building (2)'!D1203</f>
        <v>0</v>
      </c>
      <c r="F1204" s="617">
        <f t="shared" si="20"/>
        <v>0</v>
      </c>
    </row>
    <row r="1205" spans="1:6" ht="45" hidden="1" customHeight="1">
      <c r="A1205" s="614">
        <f>'[2]Building (2)'!A1204</f>
        <v>0</v>
      </c>
      <c r="B1205" s="620">
        <f>'[2]Building (2)'!U1204</f>
        <v>0</v>
      </c>
      <c r="C1205" s="621">
        <f>'[2]Building (2)'!B1204</f>
        <v>0</v>
      </c>
      <c r="D1205" s="617">
        <f>'[2]Building (2)'!C1204</f>
        <v>0</v>
      </c>
      <c r="E1205" s="618">
        <f>'[2]Building (2)'!D1204</f>
        <v>0</v>
      </c>
      <c r="F1205" s="617">
        <f t="shared" si="20"/>
        <v>0</v>
      </c>
    </row>
    <row r="1206" spans="1:6" ht="45" hidden="1" customHeight="1">
      <c r="A1206" s="614">
        <f>'[2]Building (2)'!A1205</f>
        <v>0</v>
      </c>
      <c r="B1206" s="620">
        <f>'[2]Building (2)'!U1205</f>
        <v>0</v>
      </c>
      <c r="C1206" s="621">
        <f>'[2]Building (2)'!B1205</f>
        <v>0</v>
      </c>
      <c r="D1206" s="617">
        <f>'[2]Building (2)'!C1205</f>
        <v>0</v>
      </c>
      <c r="E1206" s="618">
        <f>'[2]Building (2)'!D1205</f>
        <v>0</v>
      </c>
      <c r="F1206" s="617">
        <f t="shared" si="20"/>
        <v>0</v>
      </c>
    </row>
    <row r="1207" spans="1:6" ht="45" hidden="1" customHeight="1">
      <c r="A1207" s="614">
        <f>'[2]Building (2)'!A1206</f>
        <v>0</v>
      </c>
      <c r="B1207" s="620">
        <f>'[2]Building (2)'!U1206</f>
        <v>0</v>
      </c>
      <c r="C1207" s="621">
        <f>'[2]Building (2)'!B1206</f>
        <v>0</v>
      </c>
      <c r="D1207" s="617">
        <f>'[2]Building (2)'!C1206</f>
        <v>0</v>
      </c>
      <c r="E1207" s="618">
        <f>'[2]Building (2)'!D1206</f>
        <v>0</v>
      </c>
      <c r="F1207" s="617">
        <f t="shared" si="20"/>
        <v>0</v>
      </c>
    </row>
    <row r="1208" spans="1:6" ht="45" hidden="1" customHeight="1">
      <c r="A1208" s="614">
        <f>'[2]Building (2)'!A1249</f>
        <v>0</v>
      </c>
      <c r="B1208" s="620">
        <f>'[2]Building (2)'!U1249</f>
        <v>0</v>
      </c>
      <c r="C1208" s="621">
        <f>'[2]Building (2)'!B1249</f>
        <v>0</v>
      </c>
      <c r="D1208" s="617">
        <f>'[2]Building (2)'!C1249</f>
        <v>0</v>
      </c>
      <c r="E1208" s="618">
        <f>'[2]Building (2)'!D1249</f>
        <v>0</v>
      </c>
      <c r="F1208" s="617">
        <f t="shared" si="20"/>
        <v>0</v>
      </c>
    </row>
    <row r="1209" spans="1:6" ht="45" hidden="1" customHeight="1">
      <c r="A1209" s="614">
        <f>'[2]Building (2)'!A1250</f>
        <v>0</v>
      </c>
      <c r="B1209" s="620">
        <f>'[2]Building (2)'!U1250</f>
        <v>0</v>
      </c>
      <c r="C1209" s="621">
        <f>'[2]Building (2)'!B1250</f>
        <v>0</v>
      </c>
      <c r="D1209" s="617">
        <f>'[2]Building (2)'!C1250</f>
        <v>0</v>
      </c>
      <c r="E1209" s="618">
        <f>'[2]Building (2)'!D1250</f>
        <v>0</v>
      </c>
      <c r="F1209" s="617">
        <f t="shared" si="20"/>
        <v>0</v>
      </c>
    </row>
    <row r="1210" spans="1:6" ht="45" hidden="1" customHeight="1">
      <c r="A1210" s="614">
        <f>'[2]Building (2)'!A1251</f>
        <v>0</v>
      </c>
      <c r="B1210" s="620">
        <f>'[2]Building (2)'!U1251</f>
        <v>0</v>
      </c>
      <c r="C1210" s="621">
        <f>'[2]Building (2)'!B1251</f>
        <v>0</v>
      </c>
      <c r="D1210" s="617">
        <f>'[2]Building (2)'!C1251</f>
        <v>0</v>
      </c>
      <c r="E1210" s="618">
        <f>'[2]Building (2)'!D1251</f>
        <v>0</v>
      </c>
      <c r="F1210" s="617">
        <f t="shared" si="20"/>
        <v>0</v>
      </c>
    </row>
    <row r="1211" spans="1:6" ht="45" hidden="1" customHeight="1">
      <c r="A1211" s="614">
        <f>'[2]Building (2)'!A1252</f>
        <v>0</v>
      </c>
      <c r="B1211" s="620">
        <f>'[2]Building (2)'!U1252</f>
        <v>0</v>
      </c>
      <c r="C1211" s="621">
        <f>'[2]Building (2)'!B1252</f>
        <v>0</v>
      </c>
      <c r="D1211" s="617">
        <f>'[2]Building (2)'!C1252</f>
        <v>0</v>
      </c>
      <c r="E1211" s="618">
        <f>'[2]Building (2)'!D1252</f>
        <v>0</v>
      </c>
      <c r="F1211" s="617">
        <f t="shared" si="20"/>
        <v>0</v>
      </c>
    </row>
    <row r="1212" spans="1:6" ht="45" hidden="1" customHeight="1">
      <c r="A1212" s="614">
        <f>'[2]Building (2)'!A1253</f>
        <v>0</v>
      </c>
      <c r="B1212" s="620">
        <f>'[2]Building (2)'!U1253</f>
        <v>0</v>
      </c>
      <c r="C1212" s="621">
        <f>'[2]Building (2)'!B1253</f>
        <v>0</v>
      </c>
      <c r="D1212" s="617">
        <f>'[2]Building (2)'!C1253</f>
        <v>0</v>
      </c>
      <c r="E1212" s="618">
        <f>'[2]Building (2)'!D1253</f>
        <v>0</v>
      </c>
      <c r="F1212" s="617">
        <f t="shared" si="20"/>
        <v>0</v>
      </c>
    </row>
    <row r="1213" spans="1:6" ht="45" hidden="1" customHeight="1">
      <c r="A1213" s="614">
        <f>'[2]Building (2)'!A1254</f>
        <v>0</v>
      </c>
      <c r="B1213" s="620">
        <f>'[2]Building (2)'!U1254</f>
        <v>0</v>
      </c>
      <c r="C1213" s="621">
        <f>'[2]Building (2)'!B1254</f>
        <v>0</v>
      </c>
      <c r="D1213" s="617">
        <f>'[2]Building (2)'!C1254</f>
        <v>0</v>
      </c>
      <c r="E1213" s="618">
        <f>'[2]Building (2)'!D1254</f>
        <v>0</v>
      </c>
      <c r="F1213" s="617">
        <f t="shared" si="20"/>
        <v>0</v>
      </c>
    </row>
    <row r="1214" spans="1:6" ht="45" hidden="1" customHeight="1">
      <c r="A1214" s="614">
        <f>'[2]Building (2)'!A1255</f>
        <v>0</v>
      </c>
      <c r="B1214" s="620">
        <f>'[2]Building (2)'!U1255</f>
        <v>0</v>
      </c>
      <c r="C1214" s="621">
        <f>'[2]Building (2)'!B1255</f>
        <v>0</v>
      </c>
      <c r="D1214" s="617">
        <f>'[2]Building (2)'!C1255</f>
        <v>0</v>
      </c>
      <c r="E1214" s="618">
        <f>'[2]Building (2)'!D1255</f>
        <v>0</v>
      </c>
      <c r="F1214" s="617">
        <f t="shared" si="20"/>
        <v>0</v>
      </c>
    </row>
    <row r="1215" spans="1:6" ht="45" hidden="1" customHeight="1"/>
    <row r="1216" spans="1:6" ht="45" hidden="1" customHeight="1"/>
  </sheetData>
  <autoFilter ref="A5:F1216">
    <filterColumn colId="1">
      <customFilters and="1">
        <customFilter operator="notEqual" val=" "/>
      </customFilters>
    </filterColumn>
  </autoFilter>
  <mergeCells count="8">
    <mergeCell ref="K4:L4"/>
    <mergeCell ref="M4:N4"/>
    <mergeCell ref="O4:P4"/>
    <mergeCell ref="A1:F1"/>
    <mergeCell ref="A2:F2"/>
    <mergeCell ref="A3:F3"/>
    <mergeCell ref="G4:H4"/>
    <mergeCell ref="I4:J4"/>
  </mergeCells>
  <printOptions horizontalCentered="1"/>
  <pageMargins left="0.67" right="0.37" top="0.84" bottom="0.48" header="0.31496062992125984" footer="0.31496062992125984"/>
  <pageSetup paperSize="9" scale="77" orientation="portrait" r:id="rId1"/>
  <headerFooter>
    <oddHeader>&amp;C&amp;"-,Regular"&amp;8 &amp;R&amp;P</oddHeader>
  </headerFooter>
</worksheet>
</file>

<file path=xl/worksheets/sheet3.xml><?xml version="1.0" encoding="utf-8"?>
<worksheet xmlns="http://schemas.openxmlformats.org/spreadsheetml/2006/main" xmlns:r="http://schemas.openxmlformats.org/officeDocument/2006/relationships">
  <sheetPr>
    <tabColor rgb="FF00B050"/>
  </sheetPr>
  <dimension ref="A1:J25"/>
  <sheetViews>
    <sheetView view="pageBreakPreview" zoomScale="90" zoomScaleNormal="75" zoomScaleSheetLayoutView="90" workbookViewId="0">
      <selection activeCell="C6" sqref="C6"/>
    </sheetView>
  </sheetViews>
  <sheetFormatPr defaultRowHeight="35.1" customHeight="1"/>
  <cols>
    <col min="1" max="1" width="8" customWidth="1"/>
    <col min="2" max="2" width="6.6640625" customWidth="1"/>
    <col min="3" max="3" width="43" customWidth="1"/>
    <col min="4" max="4" width="15.6640625" customWidth="1"/>
    <col min="5" max="5" width="6.44140625" customWidth="1"/>
    <col min="6" max="6" width="18.5546875" customWidth="1"/>
    <col min="7" max="7" width="19.109375" customWidth="1"/>
    <col min="8" max="8" width="19" customWidth="1"/>
    <col min="9" max="9" width="10" bestFit="1" customWidth="1"/>
    <col min="10" max="10" width="34.109375" customWidth="1"/>
  </cols>
  <sheetData>
    <row r="1" spans="1:10" ht="36" customHeight="1">
      <c r="A1" s="1840" t="s">
        <v>4363</v>
      </c>
      <c r="B1" s="1840"/>
      <c r="C1" s="1840"/>
      <c r="D1" s="1840"/>
      <c r="E1" s="1840"/>
      <c r="F1" s="1840"/>
    </row>
    <row r="2" spans="1:10" ht="70.5" customHeight="1">
      <c r="A2" s="1841"/>
      <c r="B2" s="1841"/>
      <c r="C2" s="1841"/>
      <c r="D2" s="1841"/>
      <c r="E2" s="1841"/>
      <c r="F2" s="1841"/>
    </row>
    <row r="3" spans="1:10" s="484" customFormat="1" ht="35.1" customHeight="1">
      <c r="A3" s="602" t="s">
        <v>1054</v>
      </c>
      <c r="B3" s="602" t="s">
        <v>1055</v>
      </c>
      <c r="C3" s="602" t="s">
        <v>1802</v>
      </c>
      <c r="D3" s="602" t="s">
        <v>99</v>
      </c>
      <c r="E3" s="602" t="s">
        <v>225</v>
      </c>
      <c r="F3" s="602" t="s">
        <v>986</v>
      </c>
    </row>
    <row r="4" spans="1:10" s="484" customFormat="1" ht="35.1" customHeight="1">
      <c r="A4" s="602"/>
      <c r="B4" s="602"/>
      <c r="C4" s="602" t="s">
        <v>1056</v>
      </c>
      <c r="D4" s="1837" t="s">
        <v>4848</v>
      </c>
      <c r="E4" s="1837"/>
      <c r="F4" s="1837"/>
    </row>
    <row r="5" spans="1:10" s="484" customFormat="1" ht="54" customHeight="1">
      <c r="A5" s="603">
        <v>1</v>
      </c>
      <c r="B5" s="488">
        <v>1</v>
      </c>
      <c r="C5" s="488"/>
      <c r="D5" s="488" t="e">
        <f>Abs!#REF!</f>
        <v>#REF!</v>
      </c>
      <c r="E5" s="488" t="s">
        <v>4351</v>
      </c>
      <c r="F5" s="488" t="e">
        <f>D5*B5</f>
        <v>#REF!</v>
      </c>
    </row>
    <row r="6" spans="1:10" s="484" customFormat="1" ht="54" customHeight="1">
      <c r="A6" s="603">
        <v>2</v>
      </c>
      <c r="B6" s="488">
        <v>1</v>
      </c>
      <c r="C6" s="488"/>
      <c r="D6" s="488">
        <f>Abs!H959</f>
        <v>223386.48</v>
      </c>
      <c r="E6" s="488" t="s">
        <v>4351</v>
      </c>
      <c r="F6" s="488">
        <f>D6*B6</f>
        <v>223386.48</v>
      </c>
    </row>
    <row r="7" spans="1:10" s="484" customFormat="1" ht="35.1" customHeight="1">
      <c r="A7" s="603"/>
      <c r="B7" s="488"/>
      <c r="C7" s="1837" t="s">
        <v>4352</v>
      </c>
      <c r="D7" s="1837"/>
      <c r="E7" s="1837"/>
      <c r="F7" s="490" t="e">
        <f>SUM(F5:F6)</f>
        <v>#REF!</v>
      </c>
      <c r="G7" s="484" t="e">
        <f>Abs!#REF!+Abs!H959</f>
        <v>#REF!</v>
      </c>
      <c r="H7" s="484" t="e">
        <f>G7-F7</f>
        <v>#REF!</v>
      </c>
    </row>
    <row r="8" spans="1:10" s="484" customFormat="1" ht="35.1" customHeight="1">
      <c r="A8" s="603"/>
      <c r="B8" s="488"/>
      <c r="C8" s="602" t="s">
        <v>4886</v>
      </c>
      <c r="D8" s="602"/>
      <c r="E8" s="602"/>
      <c r="F8" s="490"/>
    </row>
    <row r="9" spans="1:10" s="484" customFormat="1" ht="35.1" customHeight="1">
      <c r="A9" s="603">
        <v>3</v>
      </c>
      <c r="B9" s="488">
        <v>1</v>
      </c>
      <c r="C9" s="488" t="s">
        <v>4887</v>
      </c>
      <c r="D9" s="488">
        <f>Abs!J959</f>
        <v>372420.02</v>
      </c>
      <c r="E9" s="488" t="s">
        <v>4351</v>
      </c>
      <c r="F9" s="488">
        <f>B9*D9</f>
        <v>372420.02</v>
      </c>
    </row>
    <row r="10" spans="1:10" s="484" customFormat="1" ht="35.1" customHeight="1">
      <c r="A10" s="603">
        <v>4</v>
      </c>
      <c r="B10" s="488">
        <v>1</v>
      </c>
      <c r="C10" s="488" t="s">
        <v>4902</v>
      </c>
      <c r="D10" s="488">
        <f>Abs!T959</f>
        <v>169744.96</v>
      </c>
      <c r="E10" s="488" t="s">
        <v>4351</v>
      </c>
      <c r="F10" s="488">
        <f>B10*D10</f>
        <v>169744.96</v>
      </c>
    </row>
    <row r="11" spans="1:10" s="484" customFormat="1" ht="56.25" customHeight="1">
      <c r="A11" s="603">
        <v>5</v>
      </c>
      <c r="B11" s="488">
        <v>1</v>
      </c>
      <c r="C11" s="488" t="s">
        <v>4903</v>
      </c>
      <c r="D11" s="488">
        <f>Abs!V959</f>
        <v>558121.80000000005</v>
      </c>
      <c r="E11" s="488" t="s">
        <v>4351</v>
      </c>
      <c r="F11" s="488">
        <f>B11*D11</f>
        <v>558121.80000000005</v>
      </c>
    </row>
    <row r="12" spans="1:10" s="484" customFormat="1" ht="35.1" customHeight="1">
      <c r="A12" s="604"/>
      <c r="B12" s="462"/>
      <c r="C12" s="1837" t="s">
        <v>4072</v>
      </c>
      <c r="D12" s="1837"/>
      <c r="E12" s="1837"/>
      <c r="F12" s="490" t="e">
        <f>SUM(F7:F11)</f>
        <v>#REF!</v>
      </c>
      <c r="G12" s="484" t="e">
        <f>Abs!Z959</f>
        <v>#REF!</v>
      </c>
      <c r="H12" s="484" t="e">
        <f>G12-F12</f>
        <v>#REF!</v>
      </c>
    </row>
    <row r="13" spans="1:10" s="484" customFormat="1" ht="35.1" customHeight="1">
      <c r="A13" s="603">
        <f>A11+1</f>
        <v>6</v>
      </c>
      <c r="B13" s="487"/>
      <c r="C13" s="491" t="s">
        <v>4362</v>
      </c>
      <c r="D13" s="1837"/>
      <c r="E13" s="1837"/>
      <c r="F13" s="492" t="e">
        <f>F12*12%</f>
        <v>#REF!</v>
      </c>
      <c r="J13" s="605"/>
    </row>
    <row r="14" spans="1:10" s="484" customFormat="1" ht="35.1" customHeight="1">
      <c r="A14" s="603"/>
      <c r="B14" s="487"/>
      <c r="C14" s="1837" t="s">
        <v>4343</v>
      </c>
      <c r="D14" s="1837"/>
      <c r="E14" s="1837"/>
      <c r="F14" s="489" t="e">
        <f>SUM(F12:F13)</f>
        <v>#REF!</v>
      </c>
      <c r="G14" s="484" t="e">
        <f>F14-10964595</f>
        <v>#REF!</v>
      </c>
      <c r="J14" s="605"/>
    </row>
    <row r="15" spans="1:10" s="484" customFormat="1" ht="35.1" customHeight="1">
      <c r="A15" s="603">
        <f>A13+1</f>
        <v>7</v>
      </c>
      <c r="B15" s="487"/>
      <c r="C15" s="606" t="s">
        <v>4904</v>
      </c>
      <c r="D15" s="1838"/>
      <c r="E15" s="1839"/>
      <c r="F15" s="492">
        <v>100000</v>
      </c>
      <c r="J15" s="605"/>
    </row>
    <row r="16" spans="1:10" s="484" customFormat="1" ht="35.1" customHeight="1">
      <c r="A16" s="603"/>
      <c r="B16" s="487"/>
      <c r="C16" s="1837" t="s">
        <v>4343</v>
      </c>
      <c r="D16" s="1837"/>
      <c r="E16" s="1837"/>
      <c r="F16" s="489" t="e">
        <f>SUM(F14:F15)</f>
        <v>#REF!</v>
      </c>
      <c r="J16" s="605"/>
    </row>
    <row r="17" spans="1:8" s="484" customFormat="1" ht="35.1" customHeight="1">
      <c r="A17" s="603">
        <f>A15+1</f>
        <v>8</v>
      </c>
      <c r="B17" s="487"/>
      <c r="C17" s="606" t="s">
        <v>4361</v>
      </c>
      <c r="D17" s="1844" t="s">
        <v>4849</v>
      </c>
      <c r="E17" s="1844"/>
      <c r="F17" s="488" t="e">
        <f>F16*1%</f>
        <v>#REF!</v>
      </c>
      <c r="G17" s="488" t="e">
        <f>#REF!*1/100</f>
        <v>#REF!</v>
      </c>
    </row>
    <row r="18" spans="1:8" s="484" customFormat="1" ht="53.25" customHeight="1">
      <c r="A18" s="603">
        <f>A17+1</f>
        <v>9</v>
      </c>
      <c r="B18" s="487"/>
      <c r="C18" s="606" t="s">
        <v>4470</v>
      </c>
      <c r="D18" s="1845"/>
      <c r="E18" s="1845"/>
      <c r="F18" s="488" t="e">
        <f>F16*7.5%+657.37</f>
        <v>#REF!</v>
      </c>
      <c r="G18" s="488"/>
    </row>
    <row r="19" spans="1:8" s="484" customFormat="1" ht="35.1" customHeight="1">
      <c r="A19" s="607"/>
      <c r="B19" s="487"/>
      <c r="C19" s="1837" t="s">
        <v>4360</v>
      </c>
      <c r="D19" s="1837"/>
      <c r="E19" s="1837"/>
      <c r="F19" s="490" t="e">
        <f>SUM(F16:F18)</f>
        <v>#REF!</v>
      </c>
      <c r="G19" s="488"/>
    </row>
    <row r="20" spans="1:8" s="484" customFormat="1" ht="35.1" customHeight="1">
      <c r="A20" s="603">
        <f>A18+1</f>
        <v>10</v>
      </c>
      <c r="B20" s="487"/>
      <c r="C20" s="606" t="s">
        <v>4359</v>
      </c>
      <c r="D20" s="1843" t="s">
        <v>663</v>
      </c>
      <c r="E20" s="1843"/>
      <c r="F20" s="488">
        <v>100000</v>
      </c>
      <c r="G20" s="490"/>
    </row>
    <row r="21" spans="1:8" s="484" customFormat="1" ht="35.1" customHeight="1">
      <c r="A21" s="603">
        <f>A20+1</f>
        <v>11</v>
      </c>
      <c r="B21" s="487"/>
      <c r="C21" s="606" t="s">
        <v>4358</v>
      </c>
      <c r="D21" s="1842" t="s">
        <v>663</v>
      </c>
      <c r="E21" s="1842"/>
      <c r="F21" s="488">
        <v>250000</v>
      </c>
    </row>
    <row r="22" spans="1:8" s="484" customFormat="1" ht="35.1" customHeight="1">
      <c r="A22" s="603">
        <f>A21+1</f>
        <v>12</v>
      </c>
      <c r="B22" s="487"/>
      <c r="C22" s="606" t="s">
        <v>4478</v>
      </c>
      <c r="D22" s="1842" t="s">
        <v>663</v>
      </c>
      <c r="E22" s="1842"/>
      <c r="F22" s="488">
        <v>348000</v>
      </c>
      <c r="H22" s="484">
        <f>85-43.2</f>
        <v>41.8</v>
      </c>
    </row>
    <row r="23" spans="1:8" s="484" customFormat="1" ht="49.5" customHeight="1">
      <c r="A23" s="603">
        <f>+A22+1</f>
        <v>13</v>
      </c>
      <c r="B23" s="487"/>
      <c r="C23" s="606" t="s">
        <v>4357</v>
      </c>
      <c r="D23" s="1843" t="s">
        <v>663</v>
      </c>
      <c r="E23" s="1843"/>
      <c r="F23" s="488">
        <v>50000</v>
      </c>
    </row>
    <row r="24" spans="1:8" s="484" customFormat="1" ht="38.25" customHeight="1">
      <c r="A24" s="493"/>
      <c r="B24" s="487"/>
      <c r="C24" s="1837" t="s">
        <v>4472</v>
      </c>
      <c r="D24" s="1837"/>
      <c r="E24" s="1837"/>
      <c r="F24" s="490" t="e">
        <f>SUM(F19:F23)</f>
        <v>#REF!</v>
      </c>
      <c r="H24" s="484">
        <f>19734000-2</f>
        <v>19733998</v>
      </c>
    </row>
    <row r="25" spans="1:8" s="484" customFormat="1" ht="38.25" customHeight="1">
      <c r="A25"/>
      <c r="B25"/>
      <c r="C25"/>
      <c r="D25"/>
      <c r="E25"/>
      <c r="F25" t="e">
        <f>24300000-F24</f>
        <v>#REF!</v>
      </c>
      <c r="H25" s="484" t="e">
        <f>F24/100000</f>
        <v>#REF!</v>
      </c>
    </row>
  </sheetData>
  <mergeCells count="17">
    <mergeCell ref="D21:E21"/>
    <mergeCell ref="D22:E22"/>
    <mergeCell ref="D23:E23"/>
    <mergeCell ref="C24:E24"/>
    <mergeCell ref="D17:E17"/>
    <mergeCell ref="D18:E18"/>
    <mergeCell ref="C19:E19"/>
    <mergeCell ref="D20:E20"/>
    <mergeCell ref="C16:E16"/>
    <mergeCell ref="D15:E15"/>
    <mergeCell ref="A1:F1"/>
    <mergeCell ref="A2:F2"/>
    <mergeCell ref="D4:F4"/>
    <mergeCell ref="C12:E12"/>
    <mergeCell ref="D13:E13"/>
    <mergeCell ref="C14:E14"/>
    <mergeCell ref="C7:E7"/>
  </mergeCells>
  <printOptions horizontalCentered="1"/>
  <pageMargins left="0.74803149606299213" right="0.47244094488188981" top="1.0236220472440944" bottom="0.6692913385826772" header="0.43307086614173229" footer="0.27559055118110237"/>
  <pageSetup paperSize="9" scale="75" orientation="portrait" r:id="rId1"/>
  <headerFooter alignWithMargins="0">
    <oddHeader>&amp;R&amp;P</oddHeader>
  </headerFooter>
</worksheet>
</file>

<file path=xl/worksheets/sheet4.xml><?xml version="1.0" encoding="utf-8"?>
<worksheet xmlns="http://schemas.openxmlformats.org/spreadsheetml/2006/main" xmlns:r="http://schemas.openxmlformats.org/officeDocument/2006/relationships">
  <dimension ref="A1:M226"/>
  <sheetViews>
    <sheetView view="pageBreakPreview" topLeftCell="A67" zoomScale="80" zoomScaleSheetLayoutView="80" workbookViewId="0">
      <selection activeCell="E90" sqref="E90"/>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822" t="s">
        <v>4042</v>
      </c>
      <c r="B1" s="1822"/>
      <c r="C1" s="1822"/>
      <c r="D1" s="1822"/>
      <c r="E1" s="1822"/>
      <c r="F1" s="1822"/>
    </row>
    <row r="2" spans="1:7" ht="17.25">
      <c r="A2" s="1822" t="s">
        <v>4041</v>
      </c>
      <c r="B2" s="1822"/>
      <c r="C2" s="1822"/>
      <c r="D2" s="1822"/>
      <c r="E2" s="1822"/>
      <c r="F2" s="1822"/>
    </row>
    <row r="3" spans="1:7" ht="31.5" customHeight="1">
      <c r="A3" s="1823" t="s">
        <v>4235</v>
      </c>
      <c r="B3" s="1823"/>
      <c r="C3" s="1823"/>
      <c r="D3" s="1823"/>
      <c r="E3" s="1823"/>
      <c r="F3" s="1823"/>
    </row>
    <row r="4" spans="1:7" ht="17.25">
      <c r="A4" s="1824" t="s">
        <v>4791</v>
      </c>
      <c r="B4" s="1824"/>
      <c r="C4" s="1824"/>
      <c r="D4" s="1824"/>
      <c r="E4" s="1824"/>
      <c r="F4" s="348"/>
    </row>
    <row r="5" spans="1:7" ht="6" customHeight="1">
      <c r="A5" s="348"/>
      <c r="B5" s="348"/>
      <c r="C5" s="348"/>
      <c r="D5" s="348"/>
      <c r="E5" s="348"/>
      <c r="F5" s="348"/>
    </row>
    <row r="6" spans="1:7" ht="45.75" customHeight="1">
      <c r="B6" s="366"/>
      <c r="C6" s="1825" t="s">
        <v>4793</v>
      </c>
      <c r="D6" s="1825"/>
      <c r="E6" s="1825"/>
      <c r="F6" s="366"/>
      <c r="G6" s="4" t="s">
        <v>2176</v>
      </c>
    </row>
    <row r="7" spans="1:7" ht="24" customHeight="1">
      <c r="A7" s="365"/>
      <c r="B7" s="1826" t="s">
        <v>4792</v>
      </c>
      <c r="C7" s="1826"/>
      <c r="D7" s="1826"/>
      <c r="E7" s="1826"/>
      <c r="F7" s="1826"/>
      <c r="G7" s="35">
        <v>3.53</v>
      </c>
    </row>
    <row r="8" spans="1:7" ht="28.5" customHeight="1">
      <c r="A8" s="357"/>
      <c r="B8" s="357"/>
      <c r="C8" s="364" t="s">
        <v>4037</v>
      </c>
      <c r="D8" s="357"/>
      <c r="E8" s="357"/>
      <c r="F8" s="357"/>
    </row>
    <row r="9" spans="1:7" ht="30.75" customHeight="1">
      <c r="A9" s="359">
        <f>G7</f>
        <v>3.53</v>
      </c>
      <c r="B9" s="357" t="s">
        <v>2176</v>
      </c>
      <c r="C9" s="357" t="s">
        <v>4445</v>
      </c>
      <c r="D9" s="348"/>
      <c r="E9" s="358">
        <f>Data!Y685</f>
        <v>7719.51</v>
      </c>
      <c r="F9" s="358">
        <f>A9*E9</f>
        <v>27249.87</v>
      </c>
    </row>
    <row r="10" spans="1:7" ht="30.75" customHeight="1">
      <c r="A10" s="363">
        <f>A9*10/100</f>
        <v>0.35299999999999998</v>
      </c>
      <c r="B10" s="357" t="s">
        <v>530</v>
      </c>
      <c r="C10" s="357" t="s">
        <v>4035</v>
      </c>
      <c r="D10" s="348"/>
      <c r="E10" s="358">
        <v>4000</v>
      </c>
      <c r="F10" s="358">
        <f>A10*E10</f>
        <v>1412</v>
      </c>
    </row>
    <row r="11" spans="1:7" ht="30.75" customHeight="1">
      <c r="A11" s="358">
        <v>8</v>
      </c>
      <c r="B11" s="357" t="s">
        <v>835</v>
      </c>
      <c r="C11" s="357" t="s">
        <v>2677</v>
      </c>
      <c r="D11" s="348"/>
      <c r="E11" s="358">
        <v>960</v>
      </c>
      <c r="F11" s="358">
        <f>A11*E11</f>
        <v>7680</v>
      </c>
    </row>
    <row r="12" spans="1:7" ht="21" customHeight="1">
      <c r="A12" s="357"/>
      <c r="B12" s="357"/>
      <c r="C12" s="357"/>
      <c r="D12" s="348"/>
      <c r="E12" s="357"/>
      <c r="F12" s="357"/>
    </row>
    <row r="13" spans="1:7" ht="21" customHeight="1">
      <c r="A13" s="357"/>
      <c r="B13" s="357"/>
      <c r="C13" s="357" t="s">
        <v>4034</v>
      </c>
      <c r="D13" s="348"/>
      <c r="E13" s="357"/>
      <c r="F13" s="358">
        <f>SUM(F9:F12)</f>
        <v>36341.870000000003</v>
      </c>
    </row>
    <row r="14" spans="1:7" ht="21" customHeight="1">
      <c r="A14" s="357"/>
      <c r="B14" s="357"/>
      <c r="C14" s="357" t="s">
        <v>1664</v>
      </c>
      <c r="D14" s="348"/>
      <c r="E14" s="357"/>
      <c r="F14" s="358">
        <f>F13/7</f>
        <v>5191.7</v>
      </c>
    </row>
    <row r="15" spans="1:7" ht="21" customHeight="1">
      <c r="A15" s="357"/>
      <c r="B15" s="357"/>
      <c r="C15" s="357" t="s">
        <v>4033</v>
      </c>
      <c r="D15" s="348"/>
      <c r="E15" s="357"/>
      <c r="F15" s="357">
        <f>1000/8</f>
        <v>125</v>
      </c>
    </row>
    <row r="16" spans="1:7" ht="21" customHeight="1">
      <c r="A16" s="357"/>
      <c r="B16" s="357"/>
      <c r="C16" s="357"/>
      <c r="D16" s="348"/>
      <c r="E16" s="357"/>
      <c r="F16" s="357"/>
    </row>
    <row r="17" spans="1:13" ht="21" customHeight="1">
      <c r="A17" s="357"/>
      <c r="B17" s="357"/>
      <c r="C17" s="357" t="s">
        <v>1664</v>
      </c>
      <c r="D17" s="348"/>
      <c r="E17" s="357"/>
      <c r="F17" s="356">
        <f>SUM(F14:F16)</f>
        <v>5316.7</v>
      </c>
    </row>
    <row r="18" spans="1:13" ht="21" customHeight="1">
      <c r="A18" s="357"/>
      <c r="B18" s="357"/>
      <c r="C18" s="357" t="s">
        <v>4032</v>
      </c>
      <c r="D18" s="357"/>
      <c r="E18" s="357"/>
      <c r="F18" s="357"/>
    </row>
    <row r="19" spans="1:13" ht="21" customHeight="1">
      <c r="A19" s="357"/>
      <c r="B19" s="357"/>
      <c r="C19" s="357"/>
      <c r="D19" s="357"/>
      <c r="E19" s="357"/>
      <c r="F19" s="357"/>
    </row>
    <row r="20" spans="1:13" ht="12.75" customHeight="1">
      <c r="A20" s="357"/>
      <c r="B20" s="357"/>
      <c r="C20" s="357"/>
      <c r="D20" s="357"/>
      <c r="E20" s="357"/>
      <c r="F20" s="357"/>
    </row>
    <row r="21" spans="1:13" s="25" customFormat="1" ht="42" customHeight="1">
      <c r="A21" s="362"/>
      <c r="B21" s="362"/>
      <c r="C21" s="1827" t="s">
        <v>4031</v>
      </c>
      <c r="D21" s="1827"/>
      <c r="E21" s="1827"/>
      <c r="F21" s="362"/>
    </row>
    <row r="22" spans="1:13" ht="30.75" customHeight="1">
      <c r="A22" s="361"/>
      <c r="B22" s="1826" t="s">
        <v>4794</v>
      </c>
      <c r="C22" s="1826"/>
      <c r="D22" s="1826"/>
      <c r="E22" s="1826"/>
      <c r="F22" s="1826"/>
      <c r="G22" s="35">
        <v>0.442</v>
      </c>
    </row>
    <row r="23" spans="1:13" ht="30.75" customHeight="1">
      <c r="A23" s="357"/>
      <c r="B23" s="357"/>
      <c r="C23" s="360" t="s">
        <v>4029</v>
      </c>
      <c r="D23" s="357"/>
      <c r="E23" s="357"/>
      <c r="F23" s="357"/>
    </row>
    <row r="24" spans="1:13" ht="30.75" customHeight="1">
      <c r="A24" s="358">
        <f>G22</f>
        <v>0.44</v>
      </c>
      <c r="B24" s="357" t="s">
        <v>2176</v>
      </c>
      <c r="C24" s="357" t="s">
        <v>4426</v>
      </c>
      <c r="D24" s="348"/>
      <c r="E24" s="358">
        <f>5045*1.1</f>
        <v>5549.5</v>
      </c>
      <c r="F24" s="358">
        <f>A24*E24</f>
        <v>2441.7800000000002</v>
      </c>
    </row>
    <row r="25" spans="1:13" ht="42.75" customHeight="1">
      <c r="A25" s="358">
        <f>+A24</f>
        <v>0.44</v>
      </c>
      <c r="B25" s="357" t="s">
        <v>2176</v>
      </c>
      <c r="C25" s="1821" t="s">
        <v>4427</v>
      </c>
      <c r="D25" s="1821"/>
      <c r="E25" s="358">
        <f>10.4*5</f>
        <v>52</v>
      </c>
      <c r="F25" s="358">
        <f>E25*A25</f>
        <v>22.88</v>
      </c>
      <c r="I25">
        <f>8.69*0.125</f>
        <v>1.0900000000000001</v>
      </c>
    </row>
    <row r="26" spans="1:13" ht="36" customHeight="1">
      <c r="A26" s="358">
        <f>+A25</f>
        <v>0.44</v>
      </c>
      <c r="B26" s="357" t="s">
        <v>2176</v>
      </c>
      <c r="C26" s="357" t="s">
        <v>4428</v>
      </c>
      <c r="D26" s="348"/>
      <c r="E26" s="358">
        <v>38</v>
      </c>
      <c r="F26" s="358">
        <f>A26*E26</f>
        <v>16.72</v>
      </c>
      <c r="I26" s="25">
        <f>0.125*26.3</f>
        <v>3.29</v>
      </c>
    </row>
    <row r="27" spans="1:13" ht="17.25">
      <c r="A27" s="358"/>
      <c r="B27" s="357"/>
      <c r="C27" s="357"/>
      <c r="D27" s="348"/>
      <c r="E27" s="358"/>
      <c r="F27" s="358"/>
      <c r="I27">
        <f>26.58/3</f>
        <v>8.86</v>
      </c>
    </row>
    <row r="28" spans="1:13" ht="17.25">
      <c r="A28" s="357"/>
      <c r="B28" s="357"/>
      <c r="C28" s="357" t="s">
        <v>1664</v>
      </c>
      <c r="D28" s="348"/>
      <c r="E28" s="357"/>
      <c r="F28" s="356">
        <f>SUM(F24:F27)</f>
        <v>2481.38</v>
      </c>
    </row>
    <row r="29" spans="1:13" ht="17.25">
      <c r="A29" s="348"/>
      <c r="B29" s="348"/>
      <c r="C29" s="348"/>
      <c r="D29" s="348"/>
      <c r="E29" s="348"/>
      <c r="F29" s="348"/>
    </row>
    <row r="30" spans="1:13" ht="51" customHeight="1">
      <c r="B30" s="355"/>
      <c r="C30" s="1820" t="s">
        <v>4026</v>
      </c>
      <c r="D30" s="1820"/>
      <c r="E30" s="1820"/>
      <c r="F30" s="355"/>
    </row>
    <row r="31" spans="1:13" ht="17.25">
      <c r="A31" s="348"/>
      <c r="B31" s="348"/>
      <c r="C31" s="348"/>
      <c r="D31" s="348"/>
      <c r="E31" s="348"/>
      <c r="F31" s="348"/>
      <c r="M31">
        <f>8.69*3</f>
        <v>26.07</v>
      </c>
    </row>
    <row r="32" spans="1:13" ht="60" customHeight="1">
      <c r="A32" s="351" t="s">
        <v>4024</v>
      </c>
      <c r="B32" s="351">
        <v>3</v>
      </c>
      <c r="C32" s="354" t="s">
        <v>4025</v>
      </c>
      <c r="E32" s="358">
        <v>10.199999999999999</v>
      </c>
      <c r="F32" s="358"/>
      <c r="G32" s="351">
        <f>E32*B32</f>
        <v>30.6</v>
      </c>
    </row>
    <row r="33" spans="1:10" ht="21.75" customHeight="1">
      <c r="A33" s="351" t="s">
        <v>4024</v>
      </c>
      <c r="B33" s="351">
        <v>3</v>
      </c>
      <c r="C33" s="353" t="s">
        <v>4023</v>
      </c>
      <c r="E33" s="358">
        <f>E26</f>
        <v>38</v>
      </c>
      <c r="F33" s="358"/>
      <c r="G33" s="351">
        <f>E33*B33</f>
        <v>114</v>
      </c>
      <c r="J33" t="s">
        <v>4429</v>
      </c>
    </row>
    <row r="34" spans="1:10" ht="17.25">
      <c r="A34" s="351"/>
      <c r="B34" s="351"/>
      <c r="C34" s="352"/>
      <c r="E34" s="358"/>
      <c r="F34" s="358"/>
      <c r="G34" s="351"/>
    </row>
    <row r="35" spans="1:10" ht="17.25">
      <c r="A35" s="351"/>
      <c r="B35" s="351"/>
      <c r="C35" s="352" t="s">
        <v>4022</v>
      </c>
      <c r="E35" s="351"/>
      <c r="F35" s="351"/>
      <c r="G35" s="350">
        <f>SUM(G32:G34)</f>
        <v>144.6</v>
      </c>
    </row>
    <row r="36" spans="1:10" ht="17.25">
      <c r="A36" s="348"/>
      <c r="B36" s="348"/>
      <c r="C36" s="348"/>
      <c r="E36" s="348"/>
      <c r="F36" s="348"/>
      <c r="G36" s="348"/>
    </row>
    <row r="37" spans="1:10" ht="17.25" hidden="1">
      <c r="A37" s="348"/>
      <c r="B37" s="348"/>
      <c r="C37" s="348"/>
      <c r="E37" s="348"/>
      <c r="F37" s="348"/>
      <c r="G37" s="348"/>
    </row>
    <row r="38" spans="1:10" ht="17.25" hidden="1">
      <c r="A38" s="348"/>
      <c r="B38" s="348"/>
      <c r="C38" s="348"/>
      <c r="E38" s="348"/>
      <c r="F38" s="348"/>
      <c r="G38" s="348"/>
    </row>
    <row r="39" spans="1:10" ht="3" customHeight="1">
      <c r="A39" s="349"/>
      <c r="B39" s="348"/>
      <c r="C39" s="349"/>
      <c r="E39" s="348"/>
      <c r="F39" s="348"/>
      <c r="G39" s="348"/>
    </row>
    <row r="40" spans="1:10" ht="24" customHeight="1">
      <c r="A40" s="35"/>
      <c r="C40" s="25" t="s">
        <v>4076</v>
      </c>
    </row>
    <row r="41" spans="1:10" ht="24" customHeight="1">
      <c r="A41" s="35">
        <v>5</v>
      </c>
      <c r="B41" t="s">
        <v>1361</v>
      </c>
      <c r="C41" t="s">
        <v>4083</v>
      </c>
      <c r="D41">
        <f>Data!V702</f>
        <v>1679.5</v>
      </c>
      <c r="F41">
        <f>D41*A41</f>
        <v>8397.5</v>
      </c>
      <c r="H41">
        <f>F41</f>
        <v>8397.5</v>
      </c>
    </row>
    <row r="42" spans="1:10" ht="24" customHeight="1">
      <c r="A42" s="35">
        <v>3.3</v>
      </c>
      <c r="B42" t="s">
        <v>1361</v>
      </c>
      <c r="C42" t="s">
        <v>4084</v>
      </c>
      <c r="D42">
        <f>Data!V703</f>
        <v>1400.5</v>
      </c>
      <c r="F42">
        <f t="shared" ref="F42:F48" si="0">D42*A42</f>
        <v>4621.6499999999996</v>
      </c>
      <c r="H42">
        <f t="shared" ref="H42:H50" si="1">F42</f>
        <v>4621.6499999999996</v>
      </c>
    </row>
    <row r="43" spans="1:10" ht="24" customHeight="1">
      <c r="A43" s="35">
        <v>4.79</v>
      </c>
      <c r="B43" t="s">
        <v>1361</v>
      </c>
      <c r="C43" t="s">
        <v>4085</v>
      </c>
      <c r="D43">
        <f>Data!V704</f>
        <v>1511.1</v>
      </c>
      <c r="F43">
        <f t="shared" si="0"/>
        <v>7238.17</v>
      </c>
      <c r="H43">
        <f t="shared" si="1"/>
        <v>7238.17</v>
      </c>
    </row>
    <row r="44" spans="1:10" ht="24" customHeight="1">
      <c r="A44" s="35">
        <v>3.25</v>
      </c>
      <c r="B44" t="s">
        <v>530</v>
      </c>
      <c r="C44" t="s">
        <v>390</v>
      </c>
      <c r="D44">
        <f>Data!V705</f>
        <v>5960</v>
      </c>
      <c r="F44">
        <f t="shared" si="0"/>
        <v>19370</v>
      </c>
      <c r="H44">
        <f t="shared" si="1"/>
        <v>19370</v>
      </c>
    </row>
    <row r="45" spans="1:10" ht="35.25" customHeight="1">
      <c r="A45" s="35">
        <f>3250*0.6%</f>
        <v>19.5</v>
      </c>
      <c r="B45" t="s">
        <v>1670</v>
      </c>
      <c r="C45" s="196" t="s">
        <v>4086</v>
      </c>
      <c r="D45">
        <f>Data!V706</f>
        <v>42.8</v>
      </c>
      <c r="F45">
        <f t="shared" si="0"/>
        <v>834.6</v>
      </c>
      <c r="H45">
        <f t="shared" si="1"/>
        <v>834.6</v>
      </c>
    </row>
    <row r="46" spans="1:10" ht="24" customHeight="1">
      <c r="A46" s="35">
        <v>3.5</v>
      </c>
      <c r="B46" t="s">
        <v>1452</v>
      </c>
      <c r="C46" t="s">
        <v>466</v>
      </c>
      <c r="D46">
        <f>Data!V707</f>
        <v>804</v>
      </c>
      <c r="F46">
        <f t="shared" si="0"/>
        <v>2814</v>
      </c>
      <c r="H46">
        <f t="shared" si="1"/>
        <v>2814</v>
      </c>
    </row>
    <row r="47" spans="1:10" ht="24" customHeight="1">
      <c r="A47" s="35">
        <v>21.2</v>
      </c>
      <c r="B47" t="s">
        <v>1452</v>
      </c>
      <c r="C47" t="s">
        <v>3523</v>
      </c>
      <c r="D47">
        <f>Data!V708</f>
        <v>562</v>
      </c>
      <c r="F47">
        <f t="shared" si="0"/>
        <v>11914.4</v>
      </c>
      <c r="H47">
        <f t="shared" si="1"/>
        <v>11914.4</v>
      </c>
    </row>
    <row r="48" spans="1:10" ht="24" customHeight="1">
      <c r="A48" s="35">
        <v>35.299999999999997</v>
      </c>
      <c r="B48" t="s">
        <v>1452</v>
      </c>
      <c r="C48" t="s">
        <v>3524</v>
      </c>
      <c r="D48">
        <f>Data!V709</f>
        <v>461</v>
      </c>
      <c r="F48">
        <f t="shared" si="0"/>
        <v>16273.3</v>
      </c>
      <c r="H48">
        <f t="shared" si="1"/>
        <v>16273.3</v>
      </c>
    </row>
    <row r="49" spans="1:8" ht="24" customHeight="1">
      <c r="A49" s="35"/>
      <c r="C49" t="s">
        <v>4087</v>
      </c>
      <c r="D49">
        <f>Data!V710</f>
        <v>0</v>
      </c>
      <c r="F49" s="25">
        <f>SUM(F41:F48)</f>
        <v>71463.62</v>
      </c>
      <c r="H49">
        <f t="shared" si="1"/>
        <v>71463.62</v>
      </c>
    </row>
    <row r="50" spans="1:8" ht="24" customHeight="1">
      <c r="A50" s="35"/>
      <c r="C50" t="s">
        <v>4088</v>
      </c>
      <c r="D50">
        <f>Data!V711</f>
        <v>0</v>
      </c>
      <c r="F50" s="25">
        <f>F49/10</f>
        <v>7146.36</v>
      </c>
      <c r="H50">
        <f t="shared" si="1"/>
        <v>7146.36</v>
      </c>
    </row>
    <row r="51" spans="1:8" ht="24" customHeight="1">
      <c r="A51" s="35">
        <v>1</v>
      </c>
      <c r="B51" t="s">
        <v>1361</v>
      </c>
      <c r="C51" t="s">
        <v>4116</v>
      </c>
      <c r="D51">
        <f>Data!V712</f>
        <v>81.3</v>
      </c>
      <c r="F51">
        <f>D51*A51</f>
        <v>81.3</v>
      </c>
    </row>
    <row r="52" spans="1:8" ht="24" customHeight="1">
      <c r="A52" s="35"/>
      <c r="C52" t="s">
        <v>4089</v>
      </c>
      <c r="D52">
        <f>Data!V713</f>
        <v>0</v>
      </c>
      <c r="F52" s="25">
        <f>SUM(F50:F51)</f>
        <v>7227.66</v>
      </c>
      <c r="H52">
        <f>H50</f>
        <v>7146.36</v>
      </c>
    </row>
    <row r="53" spans="1:8">
      <c r="A53" s="257" t="s">
        <v>663</v>
      </c>
      <c r="C53" t="s">
        <v>4090</v>
      </c>
      <c r="D53" t="str">
        <f>Data!V714</f>
        <v>LS</v>
      </c>
      <c r="F53">
        <f>F52*0.5%</f>
        <v>36.14</v>
      </c>
      <c r="H53">
        <f>H52*0.5/100</f>
        <v>35.729999999999997</v>
      </c>
    </row>
    <row r="54" spans="1:8">
      <c r="A54" s="35"/>
      <c r="B54" s="3"/>
      <c r="C54" s="25" t="s">
        <v>3637</v>
      </c>
      <c r="E54" s="9"/>
      <c r="F54" s="26">
        <f>SUM(F52:F53)</f>
        <v>7263.8</v>
      </c>
      <c r="H54" s="25">
        <f>SUM(H52:H53)</f>
        <v>7182.09</v>
      </c>
    </row>
    <row r="55" spans="1:8">
      <c r="A55" s="35"/>
      <c r="B55" s="3"/>
      <c r="E55" s="9"/>
      <c r="F55" s="5" t="s">
        <v>1609</v>
      </c>
    </row>
    <row r="56" spans="1:8">
      <c r="A56" s="35"/>
      <c r="B56" s="3"/>
      <c r="C56" s="1" t="s">
        <v>386</v>
      </c>
      <c r="E56" s="9"/>
      <c r="F56" s="26">
        <f>F54+Data!C21</f>
        <v>7477.48</v>
      </c>
    </row>
    <row r="57" spans="1:8">
      <c r="A57" s="35"/>
      <c r="B57" s="3"/>
      <c r="C57" s="1" t="s">
        <v>388</v>
      </c>
      <c r="E57" s="9"/>
      <c r="F57" s="400"/>
    </row>
    <row r="58" spans="1:8">
      <c r="A58" s="35"/>
      <c r="B58" s="3"/>
      <c r="C58" s="1" t="s">
        <v>2257</v>
      </c>
      <c r="E58" s="9"/>
      <c r="F58" s="26">
        <f>F56+Data!C23</f>
        <v>7558.78</v>
      </c>
    </row>
    <row r="59" spans="1:8">
      <c r="A59" s="35"/>
      <c r="B59" s="3"/>
      <c r="C59" s="1" t="s">
        <v>380</v>
      </c>
      <c r="E59" s="9"/>
      <c r="F59" s="26"/>
    </row>
    <row r="60" spans="1:8">
      <c r="A60" s="35"/>
      <c r="B60" s="3"/>
      <c r="C60" s="1" t="s">
        <v>1554</v>
      </c>
      <c r="E60" s="9"/>
      <c r="F60" s="26">
        <f>F58+Data!C25</f>
        <v>7588.28</v>
      </c>
    </row>
    <row r="61" spans="1:8" ht="17.25">
      <c r="A61" s="348"/>
      <c r="B61" s="348"/>
      <c r="C61" s="348"/>
      <c r="E61" s="348"/>
      <c r="F61" s="348"/>
      <c r="G61" s="348"/>
    </row>
    <row r="62" spans="1:8" ht="7.5" customHeight="1">
      <c r="A62" s="348"/>
      <c r="B62" s="348"/>
      <c r="C62" s="348"/>
      <c r="E62" s="348"/>
      <c r="F62" s="348"/>
      <c r="G62" s="348"/>
    </row>
    <row r="63" spans="1:8" ht="17.25" hidden="1">
      <c r="A63" s="348"/>
      <c r="B63" s="348"/>
      <c r="C63" s="348"/>
      <c r="E63" s="348"/>
      <c r="F63" s="348"/>
      <c r="G63" s="348"/>
    </row>
    <row r="64" spans="1:8" ht="17.25" hidden="1">
      <c r="A64" s="348"/>
      <c r="B64" s="348"/>
      <c r="C64" s="348"/>
      <c r="E64" s="348"/>
      <c r="F64" s="348"/>
      <c r="G64" s="348"/>
    </row>
    <row r="65" spans="1:7" ht="17.25">
      <c r="A65" s="1822" t="s">
        <v>4042</v>
      </c>
      <c r="B65" s="1822"/>
      <c r="C65" s="1822"/>
      <c r="D65" s="1822"/>
      <c r="E65" s="1822"/>
      <c r="F65" s="1822"/>
    </row>
    <row r="66" spans="1:7" ht="17.25">
      <c r="A66" s="1822" t="s">
        <v>4041</v>
      </c>
      <c r="B66" s="1822"/>
      <c r="C66" s="1822"/>
      <c r="D66" s="1822"/>
      <c r="E66" s="1822"/>
      <c r="F66" s="1822"/>
    </row>
    <row r="67" spans="1:7" ht="17.25">
      <c r="A67" s="1823" t="s">
        <v>4235</v>
      </c>
      <c r="B67" s="1823"/>
      <c r="C67" s="1823"/>
      <c r="D67" s="1823"/>
      <c r="E67" s="1823"/>
      <c r="F67" s="1823"/>
    </row>
    <row r="68" spans="1:7" ht="17.25">
      <c r="A68" s="1824" t="s">
        <v>4040</v>
      </c>
      <c r="B68" s="1824"/>
      <c r="C68" s="1824"/>
      <c r="D68" s="1824"/>
      <c r="E68" s="1824"/>
      <c r="F68" s="348"/>
    </row>
    <row r="69" spans="1:7" ht="17.25">
      <c r="A69" s="348"/>
      <c r="B69" s="348"/>
      <c r="C69" s="348"/>
      <c r="D69" s="348"/>
      <c r="E69" s="348"/>
      <c r="F69" s="348"/>
    </row>
    <row r="70" spans="1:7" ht="19.5">
      <c r="B70" s="366"/>
      <c r="C70" s="1825" t="s">
        <v>4236</v>
      </c>
      <c r="D70" s="1825"/>
      <c r="E70" s="1825"/>
      <c r="F70" s="366"/>
      <c r="G70" s="4" t="s">
        <v>2176</v>
      </c>
    </row>
    <row r="71" spans="1:7" ht="20.25">
      <c r="A71" s="365"/>
      <c r="B71" s="1826" t="s">
        <v>4795</v>
      </c>
      <c r="C71" s="1826"/>
      <c r="D71" s="1826"/>
      <c r="E71" s="1826"/>
      <c r="F71" s="1826"/>
      <c r="G71" s="35">
        <v>2.2599999999999998</v>
      </c>
    </row>
    <row r="72" spans="1:7" ht="31.5" customHeight="1">
      <c r="A72" s="357"/>
      <c r="B72" s="357"/>
      <c r="C72" s="579" t="s">
        <v>4796</v>
      </c>
      <c r="D72" s="357"/>
      <c r="E72" s="357"/>
      <c r="F72" s="357"/>
    </row>
    <row r="73" spans="1:7" ht="36.75" customHeight="1">
      <c r="A73" s="359">
        <f>G71</f>
        <v>2.2599999999999998</v>
      </c>
      <c r="B73" s="357" t="s">
        <v>2176</v>
      </c>
      <c r="C73" s="357" t="s">
        <v>4445</v>
      </c>
      <c r="D73" s="348"/>
      <c r="E73" s="358">
        <f>E9</f>
        <v>7719.51</v>
      </c>
      <c r="F73" s="358">
        <f>A73*E73</f>
        <v>17446.09</v>
      </c>
    </row>
    <row r="74" spans="1:7" ht="17.25">
      <c r="A74" s="363">
        <f>A73*10/100</f>
        <v>0.22600000000000001</v>
      </c>
      <c r="B74" s="357" t="s">
        <v>530</v>
      </c>
      <c r="C74" s="357" t="s">
        <v>4035</v>
      </c>
      <c r="D74" s="348"/>
      <c r="E74" s="358">
        <v>4000</v>
      </c>
      <c r="F74" s="358">
        <f>A74*E74</f>
        <v>904</v>
      </c>
    </row>
    <row r="75" spans="1:7" ht="17.25">
      <c r="A75" s="358">
        <v>8</v>
      </c>
      <c r="B75" s="357" t="s">
        <v>835</v>
      </c>
      <c r="C75" s="357" t="s">
        <v>2677</v>
      </c>
      <c r="D75" s="348"/>
      <c r="E75" s="358">
        <v>960</v>
      </c>
      <c r="F75" s="358">
        <f>A75*E75</f>
        <v>7680</v>
      </c>
    </row>
    <row r="76" spans="1:7" ht="17.25">
      <c r="A76" s="357"/>
      <c r="B76" s="357"/>
      <c r="C76" s="357"/>
      <c r="D76" s="348"/>
      <c r="E76" s="357"/>
      <c r="F76" s="357"/>
    </row>
    <row r="77" spans="1:7" ht="17.25">
      <c r="A77" s="357"/>
      <c r="B77" s="357"/>
      <c r="C77" s="357" t="s">
        <v>4034</v>
      </c>
      <c r="D77" s="348"/>
      <c r="E77" s="357"/>
      <c r="F77" s="358">
        <f>SUM(F73:F76)</f>
        <v>26030.09</v>
      </c>
    </row>
    <row r="78" spans="1:7" ht="17.25">
      <c r="A78" s="357"/>
      <c r="B78" s="357"/>
      <c r="C78" s="357" t="s">
        <v>1664</v>
      </c>
      <c r="D78" s="348"/>
      <c r="E78" s="357"/>
      <c r="F78" s="358">
        <f>F77/7</f>
        <v>3718.58</v>
      </c>
    </row>
    <row r="79" spans="1:7" ht="17.25">
      <c r="A79" s="357"/>
      <c r="B79" s="357"/>
      <c r="C79" s="357" t="s">
        <v>4033</v>
      </c>
      <c r="D79" s="348"/>
      <c r="E79" s="357"/>
      <c r="F79" s="357">
        <f>1000/8</f>
        <v>125</v>
      </c>
    </row>
    <row r="80" spans="1:7" ht="17.25">
      <c r="A80" s="357"/>
      <c r="B80" s="357"/>
      <c r="C80" s="357"/>
      <c r="D80" s="348"/>
      <c r="E80" s="357"/>
      <c r="F80" s="357"/>
    </row>
    <row r="81" spans="1:7" ht="17.25">
      <c r="A81" s="357"/>
      <c r="B81" s="357"/>
      <c r="C81" s="357" t="s">
        <v>1664</v>
      </c>
      <c r="D81" s="348"/>
      <c r="E81" s="357"/>
      <c r="F81" s="356">
        <f>SUM(F78:F80)</f>
        <v>3843.58</v>
      </c>
    </row>
    <row r="82" spans="1:7" ht="17.25">
      <c r="A82" s="357"/>
      <c r="B82" s="357"/>
      <c r="C82" s="357" t="s">
        <v>4032</v>
      </c>
      <c r="D82" s="357"/>
      <c r="E82" s="357"/>
      <c r="F82" s="357"/>
    </row>
    <row r="83" spans="1:7" ht="17.25">
      <c r="A83" s="357"/>
      <c r="B83" s="357"/>
      <c r="C83" s="357"/>
      <c r="D83" s="357"/>
      <c r="E83" s="357"/>
      <c r="F83" s="357"/>
    </row>
    <row r="84" spans="1:7" ht="17.25">
      <c r="A84" s="357"/>
      <c r="B84" s="357"/>
      <c r="C84" s="357"/>
      <c r="D84" s="357"/>
      <c r="E84" s="357"/>
      <c r="F84" s="357"/>
    </row>
    <row r="85" spans="1:7" ht="17.25">
      <c r="A85" s="362"/>
      <c r="B85" s="362"/>
      <c r="C85" s="1827" t="s">
        <v>4031</v>
      </c>
      <c r="D85" s="1827"/>
      <c r="E85" s="1827"/>
      <c r="F85" s="362"/>
      <c r="G85" s="25"/>
    </row>
    <row r="86" spans="1:7" ht="20.25">
      <c r="A86" s="361"/>
      <c r="B86" s="1826" t="s">
        <v>4797</v>
      </c>
      <c r="C86" s="1826"/>
      <c r="D86" s="1826"/>
      <c r="E86" s="1826"/>
      <c r="F86" s="1826"/>
      <c r="G86" s="346">
        <f>3.14*0.6*0.6/4</f>
        <v>0.28000000000000003</v>
      </c>
    </row>
    <row r="87" spans="1:7" ht="39.75" customHeight="1">
      <c r="A87" s="357"/>
      <c r="B87" s="357"/>
      <c r="C87" s="360" t="s">
        <v>4029</v>
      </c>
      <c r="D87" s="357"/>
      <c r="E87" s="357"/>
      <c r="F87" s="357"/>
    </row>
    <row r="88" spans="1:7" ht="17.25">
      <c r="A88" s="359">
        <f>G86</f>
        <v>0.28000000000000003</v>
      </c>
      <c r="B88" s="357" t="s">
        <v>2176</v>
      </c>
      <c r="C88" s="357" t="s">
        <v>4446</v>
      </c>
      <c r="D88" s="348"/>
      <c r="E88" s="358">
        <f>E24</f>
        <v>5549.5</v>
      </c>
      <c r="F88" s="358">
        <f>A88*E88</f>
        <v>1553.86</v>
      </c>
    </row>
    <row r="89" spans="1:7" ht="17.25">
      <c r="A89" s="359">
        <f>+A88</f>
        <v>0.28000000000000003</v>
      </c>
      <c r="B89" s="357" t="s">
        <v>2176</v>
      </c>
      <c r="C89" s="1821" t="s">
        <v>4427</v>
      </c>
      <c r="D89" s="1821"/>
      <c r="E89" s="358">
        <f>E25</f>
        <v>52</v>
      </c>
      <c r="F89" s="358">
        <f>E89*A89</f>
        <v>14.56</v>
      </c>
    </row>
    <row r="90" spans="1:7" ht="17.25">
      <c r="A90" s="359">
        <f>+A89</f>
        <v>0.28000000000000003</v>
      </c>
      <c r="B90" s="357" t="s">
        <v>2176</v>
      </c>
      <c r="C90" s="357" t="s">
        <v>4428</v>
      </c>
      <c r="D90" s="348"/>
      <c r="E90" s="358">
        <f>E26</f>
        <v>38</v>
      </c>
      <c r="F90" s="358">
        <f>A90*E90</f>
        <v>10.64</v>
      </c>
    </row>
    <row r="91" spans="1:7" ht="17.25">
      <c r="A91" s="358"/>
      <c r="B91" s="357"/>
      <c r="C91" s="357"/>
      <c r="D91" s="348"/>
      <c r="E91" s="358"/>
      <c r="F91" s="358"/>
    </row>
    <row r="92" spans="1:7" ht="17.25">
      <c r="A92" s="357"/>
      <c r="B92" s="357"/>
      <c r="C92" s="357" t="s">
        <v>1664</v>
      </c>
      <c r="D92" s="348"/>
      <c r="E92" s="357"/>
      <c r="F92" s="356">
        <f>SUM(F88:F91)</f>
        <v>1579.06</v>
      </c>
    </row>
    <row r="93" spans="1:7" ht="17.25">
      <c r="A93" s="348"/>
      <c r="B93" s="348"/>
      <c r="C93" s="348"/>
      <c r="D93" s="348"/>
      <c r="E93" s="348"/>
      <c r="F93" s="348"/>
    </row>
    <row r="94" spans="1:7" ht="17.25">
      <c r="B94" s="355"/>
      <c r="C94" s="1820" t="s">
        <v>4026</v>
      </c>
      <c r="D94" s="1820"/>
      <c r="E94" s="1820"/>
      <c r="F94" s="355"/>
    </row>
    <row r="95" spans="1:7" ht="17.25">
      <c r="A95" s="348"/>
      <c r="B95" s="348"/>
      <c r="C95" s="348"/>
      <c r="D95" s="348"/>
      <c r="E95" s="348"/>
      <c r="F95" s="348"/>
    </row>
    <row r="96" spans="1:7" ht="34.5">
      <c r="A96" s="351" t="s">
        <v>4024</v>
      </c>
      <c r="B96" s="351">
        <v>3</v>
      </c>
      <c r="C96" s="354" t="s">
        <v>4025</v>
      </c>
      <c r="E96" s="351">
        <f>E32</f>
        <v>10.199999999999999</v>
      </c>
      <c r="F96" s="351" t="s">
        <v>1361</v>
      </c>
      <c r="G96" s="351">
        <f>E96*B96</f>
        <v>30.6</v>
      </c>
    </row>
    <row r="97" spans="1:7" ht="17.25">
      <c r="A97" s="351" t="s">
        <v>4024</v>
      </c>
      <c r="B97" s="351">
        <v>3</v>
      </c>
      <c r="C97" s="353" t="s">
        <v>4023</v>
      </c>
      <c r="E97" s="351">
        <f>E90</f>
        <v>38</v>
      </c>
      <c r="F97" s="351" t="s">
        <v>1361</v>
      </c>
      <c r="G97" s="351">
        <f>E97*B97</f>
        <v>114</v>
      </c>
    </row>
    <row r="98" spans="1:7" ht="17.25">
      <c r="A98" s="351"/>
      <c r="B98" s="351"/>
      <c r="C98" s="352"/>
      <c r="E98" s="351"/>
      <c r="F98" s="351"/>
      <c r="G98" s="351"/>
    </row>
    <row r="99" spans="1:7" ht="17.25">
      <c r="A99" s="351"/>
      <c r="B99" s="351"/>
      <c r="C99" s="352" t="s">
        <v>4022</v>
      </c>
      <c r="E99" s="351"/>
      <c r="F99" s="351"/>
      <c r="G99" s="350">
        <f>SUM(G96:G98)</f>
        <v>144.6</v>
      </c>
    </row>
    <row r="100" spans="1:7" ht="17.25">
      <c r="A100" s="348"/>
      <c r="B100" s="348"/>
      <c r="C100" s="348"/>
      <c r="E100" s="348"/>
      <c r="F100" s="348"/>
      <c r="G100" s="348"/>
    </row>
    <row r="101" spans="1:7" ht="23.25" hidden="1" customHeight="1">
      <c r="A101" s="348"/>
      <c r="B101" s="348"/>
      <c r="C101" s="348"/>
      <c r="E101" s="348"/>
      <c r="F101" s="348"/>
      <c r="G101" s="348"/>
    </row>
    <row r="102" spans="1:7" ht="23.25" hidden="1" customHeight="1">
      <c r="A102" s="348"/>
      <c r="B102" s="348"/>
      <c r="C102" s="348"/>
      <c r="E102" s="348"/>
      <c r="F102" s="348"/>
      <c r="G102" s="348"/>
    </row>
    <row r="103" spans="1:7" ht="29.25" hidden="1" customHeight="1">
      <c r="A103" s="35"/>
      <c r="B103" s="25">
        <v>4.2</v>
      </c>
      <c r="C103" s="25" t="s">
        <v>4075</v>
      </c>
    </row>
    <row r="104" spans="1:7" ht="30" hidden="1" customHeight="1">
      <c r="A104" s="35">
        <v>5</v>
      </c>
      <c r="B104" t="s">
        <v>1361</v>
      </c>
      <c r="C104" t="s">
        <v>4083</v>
      </c>
      <c r="D104">
        <f>D41</f>
        <v>1679.5</v>
      </c>
      <c r="F104">
        <f>D104*A104</f>
        <v>8397.5</v>
      </c>
    </row>
    <row r="105" spans="1:7" ht="30" hidden="1" customHeight="1">
      <c r="A105" s="35">
        <v>3.3</v>
      </c>
      <c r="B105" t="s">
        <v>1361</v>
      </c>
      <c r="C105" t="s">
        <v>4084</v>
      </c>
      <c r="D105">
        <f t="shared" ref="D105:D116" si="2">D42</f>
        <v>1400.5</v>
      </c>
      <c r="F105">
        <f t="shared" ref="F105:F111" si="3">D105*A105</f>
        <v>4621.6499999999996</v>
      </c>
    </row>
    <row r="106" spans="1:7" ht="30" hidden="1" customHeight="1">
      <c r="A106" s="35">
        <v>4.79</v>
      </c>
      <c r="B106" t="s">
        <v>1361</v>
      </c>
      <c r="C106" t="s">
        <v>4085</v>
      </c>
      <c r="D106">
        <f t="shared" si="2"/>
        <v>1511.1</v>
      </c>
      <c r="F106">
        <f t="shared" si="3"/>
        <v>7238.17</v>
      </c>
    </row>
    <row r="107" spans="1:7" ht="30" hidden="1" customHeight="1">
      <c r="A107" s="35">
        <v>4</v>
      </c>
      <c r="B107" t="s">
        <v>530</v>
      </c>
      <c r="C107" t="s">
        <v>390</v>
      </c>
      <c r="D107">
        <f t="shared" si="2"/>
        <v>5960</v>
      </c>
      <c r="F107">
        <f t="shared" si="3"/>
        <v>23840</v>
      </c>
    </row>
    <row r="108" spans="1:7" ht="30" hidden="1" customHeight="1">
      <c r="A108" s="35">
        <v>40</v>
      </c>
      <c r="B108" t="s">
        <v>1670</v>
      </c>
      <c r="C108" t="s">
        <v>4092</v>
      </c>
      <c r="D108">
        <f t="shared" si="2"/>
        <v>42.8</v>
      </c>
      <c r="F108">
        <f t="shared" si="3"/>
        <v>1712</v>
      </c>
    </row>
    <row r="109" spans="1:7" ht="30" hidden="1" customHeight="1">
      <c r="A109" s="35">
        <v>3.5</v>
      </c>
      <c r="B109" t="s">
        <v>1452</v>
      </c>
      <c r="C109" t="s">
        <v>466</v>
      </c>
      <c r="D109">
        <f t="shared" si="2"/>
        <v>804</v>
      </c>
      <c r="F109">
        <f>D109*A109</f>
        <v>2814</v>
      </c>
    </row>
    <row r="110" spans="1:7" ht="30" hidden="1" customHeight="1">
      <c r="A110" s="35">
        <v>21.2</v>
      </c>
      <c r="B110" t="s">
        <v>1452</v>
      </c>
      <c r="C110" t="s">
        <v>3523</v>
      </c>
      <c r="D110">
        <f t="shared" si="2"/>
        <v>562</v>
      </c>
      <c r="F110">
        <f t="shared" si="3"/>
        <v>11914.4</v>
      </c>
    </row>
    <row r="111" spans="1:7" ht="30" hidden="1" customHeight="1">
      <c r="A111" s="35">
        <v>35.299999999999997</v>
      </c>
      <c r="B111" t="s">
        <v>1452</v>
      </c>
      <c r="C111" t="s">
        <v>3524</v>
      </c>
      <c r="D111">
        <f t="shared" si="2"/>
        <v>461</v>
      </c>
      <c r="F111">
        <f t="shared" si="3"/>
        <v>16273.3</v>
      </c>
    </row>
    <row r="112" spans="1:7" ht="30" hidden="1" customHeight="1">
      <c r="A112" s="35"/>
      <c r="C112" s="25" t="s">
        <v>4087</v>
      </c>
      <c r="D112">
        <f t="shared" si="2"/>
        <v>0</v>
      </c>
      <c r="F112" s="25">
        <f>SUM(F104:F111)</f>
        <v>76811.02</v>
      </c>
    </row>
    <row r="113" spans="1:7" ht="30" hidden="1" customHeight="1">
      <c r="A113" s="35"/>
      <c r="C113" s="25" t="s">
        <v>4088</v>
      </c>
      <c r="D113">
        <f t="shared" si="2"/>
        <v>0</v>
      </c>
      <c r="F113" s="25">
        <f>F112/10</f>
        <v>7681.1</v>
      </c>
      <c r="G113">
        <f>F113</f>
        <v>7681.1</v>
      </c>
    </row>
    <row r="114" spans="1:7" ht="30" hidden="1" customHeight="1">
      <c r="A114" s="35">
        <v>1</v>
      </c>
      <c r="B114" t="s">
        <v>1361</v>
      </c>
      <c r="C114" t="s">
        <v>3525</v>
      </c>
      <c r="D114">
        <f t="shared" si="2"/>
        <v>81.3</v>
      </c>
      <c r="F114">
        <f>D114</f>
        <v>81.3</v>
      </c>
    </row>
    <row r="115" spans="1:7" ht="30" hidden="1" customHeight="1">
      <c r="A115" s="35"/>
      <c r="C115" t="s">
        <v>4089</v>
      </c>
      <c r="D115">
        <f t="shared" si="2"/>
        <v>0</v>
      </c>
      <c r="F115" s="25">
        <f>SUM(F113:F114)</f>
        <v>7762.4</v>
      </c>
      <c r="G115">
        <f>SUM(G113:G114)</f>
        <v>7681.1</v>
      </c>
    </row>
    <row r="116" spans="1:7" ht="30" hidden="1" customHeight="1">
      <c r="A116" s="257" t="s">
        <v>663</v>
      </c>
      <c r="C116" t="s">
        <v>4090</v>
      </c>
      <c r="D116" t="str">
        <f t="shared" si="2"/>
        <v>LS</v>
      </c>
      <c r="F116">
        <f>F115*0.5%</f>
        <v>38.81</v>
      </c>
      <c r="G116">
        <f>G115*0.5/100</f>
        <v>38.409999999999997</v>
      </c>
    </row>
    <row r="117" spans="1:7" ht="30" hidden="1" customHeight="1">
      <c r="A117" s="35"/>
      <c r="B117" s="3"/>
      <c r="C117" s="25" t="s">
        <v>3637</v>
      </c>
      <c r="E117" s="9"/>
      <c r="F117" s="26">
        <f>SUM(F115:F116)</f>
        <v>7801.21</v>
      </c>
      <c r="G117" s="25">
        <f>SUM(G115:G116)</f>
        <v>7719.51</v>
      </c>
    </row>
    <row r="118" spans="1:7" ht="17.25" hidden="1">
      <c r="A118" s="348"/>
      <c r="B118" s="348"/>
      <c r="C118" s="348"/>
      <c r="E118" s="348"/>
      <c r="F118" s="348"/>
      <c r="G118" s="348"/>
    </row>
    <row r="119" spans="1:7" ht="17.25" hidden="1">
      <c r="A119" s="348"/>
      <c r="B119" s="348"/>
      <c r="C119" s="348"/>
      <c r="E119" s="348"/>
      <c r="F119" s="348"/>
      <c r="G119" s="348"/>
    </row>
    <row r="120" spans="1:7" ht="17.25" hidden="1">
      <c r="A120" s="348"/>
      <c r="B120" s="348"/>
      <c r="C120" s="348"/>
      <c r="E120" s="348"/>
      <c r="F120" s="348"/>
      <c r="G120" s="348"/>
    </row>
    <row r="121" spans="1:7" ht="17.25" hidden="1">
      <c r="A121" s="348"/>
      <c r="B121" s="348"/>
      <c r="C121" s="348"/>
      <c r="E121" s="348"/>
      <c r="F121" s="348"/>
      <c r="G121" s="349"/>
    </row>
    <row r="122" spans="1:7" ht="17.25" hidden="1">
      <c r="A122" s="348"/>
      <c r="B122" s="348"/>
      <c r="C122" s="348"/>
      <c r="E122" s="348"/>
      <c r="F122" s="348"/>
      <c r="G122" s="348"/>
    </row>
    <row r="123" spans="1:7" ht="17.25" hidden="1">
      <c r="A123" s="348"/>
      <c r="B123" s="348"/>
      <c r="C123" s="348"/>
      <c r="E123" s="348"/>
      <c r="F123" s="348"/>
      <c r="G123" s="348"/>
    </row>
    <row r="124" spans="1:7" ht="17.25" hidden="1">
      <c r="A124" s="348"/>
      <c r="B124" s="348"/>
      <c r="C124" s="348"/>
      <c r="E124" s="348"/>
      <c r="F124" s="348"/>
      <c r="G124" s="348"/>
    </row>
    <row r="125" spans="1:7" ht="17.25">
      <c r="A125" s="1822" t="s">
        <v>4042</v>
      </c>
      <c r="B125" s="1822"/>
      <c r="C125" s="1822"/>
      <c r="D125" s="1822"/>
      <c r="E125" s="1822"/>
      <c r="F125" s="1822"/>
    </row>
    <row r="126" spans="1:7" ht="17.25">
      <c r="A126" s="1822" t="s">
        <v>4041</v>
      </c>
      <c r="B126" s="1822"/>
      <c r="C126" s="1822"/>
      <c r="D126" s="1822"/>
      <c r="E126" s="1822"/>
      <c r="F126" s="1822"/>
    </row>
    <row r="127" spans="1:7" ht="17.25">
      <c r="A127" s="1823" t="s">
        <v>4235</v>
      </c>
      <c r="B127" s="1823"/>
      <c r="C127" s="1823"/>
      <c r="D127" s="1823"/>
      <c r="E127" s="1823"/>
      <c r="F127" s="1823"/>
    </row>
    <row r="128" spans="1:7" ht="17.25">
      <c r="A128" s="1824" t="s">
        <v>4040</v>
      </c>
      <c r="B128" s="1824"/>
      <c r="C128" s="1824"/>
      <c r="D128" s="1824"/>
      <c r="E128" s="1824"/>
      <c r="F128" s="348"/>
    </row>
    <row r="129" spans="1:7" ht="17.25">
      <c r="A129" s="348"/>
      <c r="B129" s="348"/>
      <c r="C129" s="348"/>
      <c r="D129" s="348"/>
      <c r="E129" s="348"/>
      <c r="F129" s="348"/>
    </row>
    <row r="130" spans="1:7" ht="19.5">
      <c r="B130" s="366"/>
      <c r="C130" s="1825" t="s">
        <v>4239</v>
      </c>
      <c r="D130" s="1825"/>
      <c r="E130" s="1825"/>
      <c r="F130" s="366"/>
      <c r="G130" s="4" t="s">
        <v>2176</v>
      </c>
    </row>
    <row r="131" spans="1:7" ht="20.25">
      <c r="A131" s="365"/>
      <c r="B131" s="1826" t="s">
        <v>4240</v>
      </c>
      <c r="C131" s="1826"/>
      <c r="D131" s="1826"/>
      <c r="E131" s="1826"/>
      <c r="F131" s="1826"/>
      <c r="G131" s="35">
        <f>3.14*0.4*0.4*8/4</f>
        <v>1.0049999999999999</v>
      </c>
    </row>
    <row r="132" spans="1:7" ht="34.5" customHeight="1">
      <c r="A132" s="357"/>
      <c r="B132" s="357"/>
      <c r="C132" s="578" t="s">
        <v>4243</v>
      </c>
      <c r="D132" s="357"/>
      <c r="E132" s="357"/>
      <c r="F132" s="357"/>
    </row>
    <row r="133" spans="1:7" ht="17.25">
      <c r="A133" s="359">
        <f>G131</f>
        <v>1.0049999999999999</v>
      </c>
      <c r="B133" s="357" t="s">
        <v>2176</v>
      </c>
      <c r="C133" s="357" t="s">
        <v>4036</v>
      </c>
      <c r="D133" s="348"/>
      <c r="E133" s="358">
        <f>E73</f>
        <v>7719.51</v>
      </c>
      <c r="F133" s="358">
        <f>A133*E133</f>
        <v>7758.11</v>
      </c>
    </row>
    <row r="134" spans="1:7" ht="17.25">
      <c r="A134" s="363">
        <f>A133*10/100</f>
        <v>0.10050000000000001</v>
      </c>
      <c r="B134" s="357" t="s">
        <v>530</v>
      </c>
      <c r="C134" s="357" t="s">
        <v>4035</v>
      </c>
      <c r="D134" s="348"/>
      <c r="E134" s="358">
        <v>4000</v>
      </c>
      <c r="F134" s="358">
        <f>A134*E134</f>
        <v>402</v>
      </c>
    </row>
    <row r="135" spans="1:7" ht="17.25">
      <c r="A135" s="358">
        <v>8</v>
      </c>
      <c r="B135" s="357" t="s">
        <v>835</v>
      </c>
      <c r="C135" s="357" t="s">
        <v>2677</v>
      </c>
      <c r="D135" s="348"/>
      <c r="E135" s="358">
        <v>960</v>
      </c>
      <c r="F135" s="358">
        <f>A135*E135</f>
        <v>7680</v>
      </c>
    </row>
    <row r="136" spans="1:7" ht="17.25">
      <c r="A136" s="357"/>
      <c r="B136" s="357"/>
      <c r="C136" s="357"/>
      <c r="D136" s="348"/>
      <c r="E136" s="357"/>
      <c r="F136" s="357"/>
    </row>
    <row r="137" spans="1:7" ht="17.25">
      <c r="A137" s="357"/>
      <c r="B137" s="357"/>
      <c r="C137" s="357" t="s">
        <v>4034</v>
      </c>
      <c r="D137" s="348"/>
      <c r="E137" s="357"/>
      <c r="F137" s="358">
        <f>SUM(F133:F136)</f>
        <v>15840.11</v>
      </c>
    </row>
    <row r="138" spans="1:7" ht="17.25">
      <c r="A138" s="357"/>
      <c r="B138" s="357"/>
      <c r="C138" s="357" t="s">
        <v>1664</v>
      </c>
      <c r="D138" s="348"/>
      <c r="E138" s="357"/>
      <c r="F138" s="358">
        <f>F137/7</f>
        <v>2262.87</v>
      </c>
    </row>
    <row r="139" spans="1:7" ht="17.25">
      <c r="A139" s="357"/>
      <c r="B139" s="357"/>
      <c r="C139" s="357" t="s">
        <v>4033</v>
      </c>
      <c r="D139" s="348"/>
      <c r="E139" s="357"/>
      <c r="F139" s="357">
        <f>1000/8</f>
        <v>125</v>
      </c>
    </row>
    <row r="140" spans="1:7" ht="17.25">
      <c r="A140" s="357"/>
      <c r="B140" s="357"/>
      <c r="C140" s="357"/>
      <c r="D140" s="348"/>
      <c r="E140" s="357"/>
      <c r="F140" s="357"/>
    </row>
    <row r="141" spans="1:7" ht="17.25">
      <c r="A141" s="357"/>
      <c r="B141" s="357"/>
      <c r="C141" s="357" t="s">
        <v>1664</v>
      </c>
      <c r="D141" s="348"/>
      <c r="E141" s="357"/>
      <c r="F141" s="356">
        <f>SUM(F138:F140)</f>
        <v>2387.87</v>
      </c>
    </row>
    <row r="142" spans="1:7" ht="17.25">
      <c r="A142" s="357"/>
      <c r="B142" s="357"/>
      <c r="C142" s="357" t="s">
        <v>4032</v>
      </c>
      <c r="D142" s="357"/>
      <c r="E142" s="357"/>
      <c r="F142" s="357"/>
    </row>
    <row r="143" spans="1:7" ht="17.25">
      <c r="A143" s="357"/>
      <c r="B143" s="357"/>
      <c r="C143" s="357"/>
      <c r="D143" s="357"/>
      <c r="E143" s="357"/>
      <c r="F143" s="357"/>
    </row>
    <row r="144" spans="1:7" ht="17.25">
      <c r="A144" s="357"/>
      <c r="B144" s="357"/>
      <c r="C144" s="357"/>
      <c r="D144" s="357"/>
      <c r="E144" s="357"/>
      <c r="F144" s="357"/>
    </row>
    <row r="145" spans="1:7" ht="17.25">
      <c r="A145" s="362"/>
      <c r="B145" s="362"/>
      <c r="C145" s="1827" t="s">
        <v>4031</v>
      </c>
      <c r="D145" s="1827"/>
      <c r="E145" s="1827"/>
      <c r="F145" s="362"/>
      <c r="G145" s="25"/>
    </row>
    <row r="146" spans="1:7" ht="20.25">
      <c r="A146" s="361"/>
      <c r="B146" s="1826" t="s">
        <v>4241</v>
      </c>
      <c r="C146" s="1826"/>
      <c r="D146" s="1826"/>
      <c r="E146" s="1826"/>
      <c r="F146" s="1826"/>
      <c r="G146" s="35">
        <f>3.14*0.4*0.4/4</f>
        <v>0.126</v>
      </c>
    </row>
    <row r="147" spans="1:7" ht="17.25">
      <c r="A147" s="357"/>
      <c r="B147" s="357"/>
      <c r="C147" s="360" t="s">
        <v>4244</v>
      </c>
      <c r="D147" s="357"/>
      <c r="E147" s="357"/>
      <c r="F147" s="357"/>
    </row>
    <row r="148" spans="1:7" ht="17.25">
      <c r="A148" s="359">
        <f>G146</f>
        <v>0.126</v>
      </c>
      <c r="B148" s="357" t="s">
        <v>2176</v>
      </c>
      <c r="C148" s="357" t="s">
        <v>4028</v>
      </c>
      <c r="D148" s="348"/>
      <c r="E148" s="358">
        <f>E88</f>
        <v>5549.5</v>
      </c>
      <c r="F148" s="358">
        <f>A148*E148</f>
        <v>699.24</v>
      </c>
    </row>
    <row r="149" spans="1:7" ht="17.25">
      <c r="A149" s="359">
        <f>+A148</f>
        <v>0.126</v>
      </c>
      <c r="B149" s="357" t="s">
        <v>2176</v>
      </c>
      <c r="C149" s="1821" t="s">
        <v>4027</v>
      </c>
      <c r="D149" s="1821"/>
      <c r="E149" s="358">
        <f>E89</f>
        <v>52</v>
      </c>
      <c r="F149" s="358">
        <f>E149*A149</f>
        <v>6.55</v>
      </c>
    </row>
    <row r="150" spans="1:7" ht="17.25">
      <c r="A150" s="359">
        <f>+A149</f>
        <v>0.126</v>
      </c>
      <c r="B150" s="357" t="s">
        <v>2176</v>
      </c>
      <c r="C150" s="357" t="s">
        <v>4023</v>
      </c>
      <c r="D150" s="348"/>
      <c r="E150" s="358">
        <f>E90</f>
        <v>38</v>
      </c>
      <c r="F150" s="358">
        <f>A150*E150</f>
        <v>4.79</v>
      </c>
    </row>
    <row r="151" spans="1:7" ht="17.25">
      <c r="A151" s="358"/>
      <c r="B151" s="357"/>
      <c r="C151" s="357"/>
      <c r="D151" s="348"/>
      <c r="E151" s="358"/>
      <c r="F151" s="358"/>
    </row>
    <row r="152" spans="1:7" ht="17.25">
      <c r="A152" s="357"/>
      <c r="B152" s="357"/>
      <c r="C152" s="357" t="s">
        <v>1664</v>
      </c>
      <c r="D152" s="348"/>
      <c r="E152" s="357"/>
      <c r="F152" s="356">
        <f>SUM(F148:F151)</f>
        <v>710.58</v>
      </c>
    </row>
    <row r="153" spans="1:7" ht="17.25">
      <c r="A153" s="348"/>
      <c r="B153" s="348"/>
      <c r="C153" s="348"/>
      <c r="D153" s="348"/>
      <c r="E153" s="348"/>
      <c r="F153" s="348"/>
    </row>
    <row r="154" spans="1:7" ht="17.25">
      <c r="B154" s="355"/>
      <c r="C154" s="1820" t="s">
        <v>4026</v>
      </c>
      <c r="D154" s="1820"/>
      <c r="E154" s="1820"/>
      <c r="F154" s="355"/>
    </row>
    <row r="155" spans="1:7" ht="17.25">
      <c r="A155" s="348"/>
      <c r="B155" s="348"/>
      <c r="C155" s="348"/>
      <c r="D155" s="348"/>
      <c r="E155" s="348"/>
      <c r="F155" s="348"/>
    </row>
    <row r="156" spans="1:7" ht="34.5">
      <c r="A156" s="351" t="s">
        <v>4024</v>
      </c>
      <c r="B156" s="351">
        <v>3</v>
      </c>
      <c r="C156" s="354" t="s">
        <v>4025</v>
      </c>
      <c r="E156" s="351">
        <f>E96</f>
        <v>10.199999999999999</v>
      </c>
      <c r="F156" s="351" t="s">
        <v>1361</v>
      </c>
      <c r="G156" s="351">
        <f>E156*B156</f>
        <v>30.6</v>
      </c>
    </row>
    <row r="157" spans="1:7" ht="17.25">
      <c r="A157" s="351" t="s">
        <v>4024</v>
      </c>
      <c r="B157" s="351">
        <v>3</v>
      </c>
      <c r="C157" s="353" t="s">
        <v>4023</v>
      </c>
      <c r="E157" s="351">
        <f>E97</f>
        <v>38</v>
      </c>
      <c r="F157" s="351" t="s">
        <v>1361</v>
      </c>
      <c r="G157" s="351">
        <f>E157*B157</f>
        <v>114</v>
      </c>
    </row>
    <row r="158" spans="1:7" ht="17.25">
      <c r="A158" s="351"/>
      <c r="B158" s="351"/>
      <c r="C158" s="352"/>
      <c r="E158" s="351"/>
      <c r="F158" s="351"/>
      <c r="G158" s="351"/>
    </row>
    <row r="159" spans="1:7" ht="17.25">
      <c r="A159" s="351"/>
      <c r="B159" s="351"/>
      <c r="C159" s="352" t="s">
        <v>4022</v>
      </c>
      <c r="E159" s="351"/>
      <c r="F159" s="351"/>
      <c r="G159" s="350">
        <f>SUM(G156:G158)</f>
        <v>144.6</v>
      </c>
    </row>
    <row r="160" spans="1:7" ht="17.25">
      <c r="A160" s="348"/>
      <c r="B160" s="348"/>
      <c r="C160" s="348"/>
      <c r="E160" s="348"/>
      <c r="F160" s="348"/>
      <c r="G160" s="348"/>
    </row>
    <row r="161" spans="1:7" ht="17.25">
      <c r="A161" s="348"/>
      <c r="B161" s="348"/>
      <c r="C161" s="348"/>
      <c r="E161" s="348"/>
      <c r="F161" s="348"/>
      <c r="G161" s="348"/>
    </row>
    <row r="162" spans="1:7">
      <c r="A162" s="20"/>
      <c r="B162" s="7"/>
      <c r="C162" s="1"/>
    </row>
    <row r="163" spans="1:7">
      <c r="B163" s="3"/>
      <c r="C163" s="1"/>
    </row>
    <row r="164" spans="1:7">
      <c r="B164" s="3"/>
      <c r="C164" s="1"/>
    </row>
    <row r="165" spans="1:7">
      <c r="B165" s="3"/>
      <c r="C165" s="5"/>
    </row>
    <row r="166" spans="1:7">
      <c r="A166" s="8"/>
      <c r="B166" s="7"/>
      <c r="C166" s="1"/>
    </row>
    <row r="167" spans="1:7">
      <c r="A167" s="8"/>
      <c r="B167" s="7"/>
      <c r="C167" s="1"/>
    </row>
    <row r="168" spans="1:7">
      <c r="A168" s="8"/>
      <c r="B168" s="7"/>
      <c r="C168" s="1"/>
    </row>
    <row r="169" spans="1:7">
      <c r="A169" s="26"/>
      <c r="B169" s="254"/>
      <c r="C169" s="24"/>
    </row>
    <row r="170" spans="1:7">
      <c r="A170" s="8"/>
      <c r="B170" s="7"/>
      <c r="C170" s="1"/>
    </row>
    <row r="171" spans="1:7">
      <c r="A171" s="8"/>
      <c r="B171" s="7"/>
      <c r="C171" s="1"/>
    </row>
    <row r="172" spans="1:7">
      <c r="B172" s="7"/>
      <c r="C172" s="1"/>
    </row>
    <row r="173" spans="1:7">
      <c r="C173" s="1"/>
    </row>
    <row r="175" spans="1:7">
      <c r="C175" s="1"/>
      <c r="F175" s="25"/>
    </row>
    <row r="177" spans="1:6">
      <c r="B177" s="3"/>
      <c r="E177" s="9"/>
      <c r="F177" s="5"/>
    </row>
    <row r="178" spans="1:6">
      <c r="B178" s="3"/>
      <c r="C178" s="41"/>
      <c r="D178" s="25"/>
      <c r="E178" s="51"/>
      <c r="F178" s="26"/>
    </row>
    <row r="179" spans="1:6">
      <c r="B179" s="3"/>
      <c r="C179" s="1"/>
      <c r="E179" s="9"/>
      <c r="F179" s="5"/>
    </row>
    <row r="184" spans="1:6">
      <c r="A184" s="17"/>
      <c r="B184" s="7"/>
      <c r="C184" s="24"/>
      <c r="E184" s="9"/>
    </row>
    <row r="185" spans="1:6">
      <c r="A185" s="35"/>
      <c r="B185" s="3"/>
      <c r="C185" s="1"/>
      <c r="E185" s="9"/>
    </row>
    <row r="186" spans="1:6">
      <c r="A186" s="35"/>
      <c r="B186" s="3"/>
      <c r="C186" s="1"/>
      <c r="E186" s="9"/>
    </row>
    <row r="187" spans="1:6">
      <c r="A187" s="35"/>
      <c r="B187" s="3"/>
      <c r="C187" s="1"/>
      <c r="E187" s="9"/>
    </row>
    <row r="188" spans="1:6">
      <c r="A188" s="35"/>
      <c r="B188" s="3"/>
      <c r="C188" s="1"/>
      <c r="E188" s="9"/>
    </row>
    <row r="189" spans="1:6">
      <c r="A189" s="35"/>
      <c r="B189" s="3"/>
      <c r="C189" s="1"/>
      <c r="E189" s="9"/>
    </row>
    <row r="190" spans="1:6">
      <c r="A190" s="35"/>
      <c r="B190" s="3"/>
      <c r="C190" s="1"/>
      <c r="E190" s="9"/>
    </row>
    <row r="191" spans="1:6">
      <c r="A191" s="35"/>
      <c r="B191" s="3"/>
      <c r="C191" s="5"/>
      <c r="D191" s="5"/>
      <c r="E191" s="9"/>
    </row>
    <row r="192" spans="1:6">
      <c r="A192" s="35"/>
      <c r="B192" s="7"/>
      <c r="C192" s="1"/>
      <c r="E192" s="9"/>
    </row>
    <row r="193" spans="1:6">
      <c r="A193" s="35"/>
      <c r="B193" s="3"/>
      <c r="C193" s="1"/>
      <c r="E193" s="9"/>
    </row>
    <row r="194" spans="1:6">
      <c r="A194" s="11"/>
      <c r="B194" s="7"/>
      <c r="C194" s="1"/>
      <c r="D194" s="42"/>
      <c r="E194" s="1"/>
      <c r="F194" s="8"/>
    </row>
    <row r="195" spans="1:6">
      <c r="A195" s="11"/>
      <c r="B195" s="7"/>
      <c r="C195" s="1"/>
      <c r="D195" s="42"/>
      <c r="E195" s="1"/>
      <c r="F195" s="8"/>
    </row>
    <row r="196" spans="1:6">
      <c r="A196" s="11"/>
      <c r="B196" s="7"/>
      <c r="C196" s="1"/>
      <c r="D196" s="42"/>
      <c r="E196" s="1"/>
      <c r="F196" s="8"/>
    </row>
    <row r="197" spans="1:6">
      <c r="A197" s="35"/>
      <c r="B197" s="7"/>
      <c r="C197" s="1"/>
      <c r="D197" s="42"/>
      <c r="E197" s="1"/>
      <c r="F197" s="8"/>
    </row>
    <row r="198" spans="1:6">
      <c r="A198" s="35"/>
      <c r="B198" s="3"/>
      <c r="C198" s="1"/>
      <c r="E198" s="9"/>
      <c r="F198" s="5"/>
    </row>
    <row r="199" spans="1:6">
      <c r="A199" s="35"/>
      <c r="B199" s="3"/>
      <c r="C199" s="2"/>
      <c r="E199" s="9"/>
      <c r="F199" s="8"/>
    </row>
    <row r="200" spans="1:6">
      <c r="A200" s="35"/>
      <c r="B200" s="3"/>
      <c r="E200" s="9"/>
      <c r="F200" s="5"/>
    </row>
    <row r="201" spans="1:6">
      <c r="A201" s="35"/>
      <c r="B201" s="3"/>
      <c r="C201" s="2"/>
      <c r="E201" s="9"/>
      <c r="F201" s="8"/>
    </row>
    <row r="202" spans="1:6">
      <c r="A202" s="35"/>
      <c r="B202" s="3"/>
      <c r="C202" s="1"/>
      <c r="D202" s="8"/>
      <c r="E202" s="1"/>
      <c r="F202" s="26"/>
    </row>
    <row r="203" spans="1:6">
      <c r="A203" s="35"/>
      <c r="B203" s="3"/>
      <c r="C203" s="1"/>
      <c r="D203" s="8"/>
      <c r="E203" s="1"/>
      <c r="F203" s="26"/>
    </row>
    <row r="204" spans="1:6">
      <c r="A204" s="35"/>
      <c r="B204" s="3"/>
      <c r="C204" s="1"/>
      <c r="D204" s="8"/>
      <c r="E204" s="1"/>
      <c r="F204" s="26"/>
    </row>
    <row r="205" spans="1:6">
      <c r="A205" s="35"/>
      <c r="B205" s="3"/>
      <c r="C205" s="1"/>
      <c r="D205" s="8"/>
      <c r="E205" s="1"/>
      <c r="F205" s="26"/>
    </row>
    <row r="206" spans="1:6">
      <c r="A206" s="35"/>
      <c r="B206" s="3"/>
      <c r="C206" s="1"/>
      <c r="D206" s="8"/>
      <c r="E206" s="1"/>
      <c r="F206" s="26"/>
    </row>
    <row r="207" spans="1:6">
      <c r="A207" s="17"/>
      <c r="B207" s="7"/>
      <c r="C207" s="1"/>
      <c r="E207" s="9"/>
      <c r="F207" s="26"/>
    </row>
    <row r="208" spans="1:6">
      <c r="A208" s="35"/>
    </row>
    <row r="209" spans="1:13">
      <c r="A209" s="35"/>
    </row>
    <row r="210" spans="1:13">
      <c r="A210" s="35"/>
    </row>
    <row r="212" spans="1:13">
      <c r="J212" s="25"/>
    </row>
    <row r="213" spans="1:13">
      <c r="J213" s="25"/>
    </row>
    <row r="217" spans="1:13">
      <c r="D217" s="270"/>
    </row>
    <row r="218" spans="1:13">
      <c r="D218" s="270"/>
    </row>
    <row r="219" spans="1:13">
      <c r="M219" s="25"/>
    </row>
    <row r="221" spans="1:13">
      <c r="C221" s="275"/>
      <c r="E221" s="275"/>
      <c r="F221" s="275"/>
      <c r="J221" s="275"/>
      <c r="L221" s="325"/>
      <c r="M221" s="325"/>
    </row>
    <row r="222" spans="1:13">
      <c r="C222" s="275"/>
      <c r="D222" s="25"/>
      <c r="E222" s="324"/>
      <c r="F222" s="324"/>
      <c r="J222" s="324"/>
      <c r="K222" s="25"/>
      <c r="L222" s="25"/>
      <c r="M222" s="25"/>
    </row>
    <row r="223" spans="1:13">
      <c r="C223" s="324"/>
      <c r="E223" s="275"/>
      <c r="F223" s="275"/>
      <c r="J223" s="275"/>
      <c r="L223" s="275"/>
      <c r="M223" s="275"/>
    </row>
    <row r="224" spans="1:13">
      <c r="C224" s="275"/>
      <c r="E224" s="275"/>
      <c r="F224" s="275"/>
      <c r="L224" s="275"/>
      <c r="M224" s="275"/>
    </row>
    <row r="225" spans="3:13">
      <c r="C225" s="275"/>
      <c r="J225" s="275"/>
      <c r="L225" s="25"/>
      <c r="M225" s="25"/>
    </row>
    <row r="226" spans="3:13">
      <c r="C226" s="275"/>
      <c r="D226" s="275"/>
      <c r="E226" s="275"/>
      <c r="F226" s="275"/>
    </row>
  </sheetData>
  <mergeCells count="30">
    <mergeCell ref="A125:F125"/>
    <mergeCell ref="A126:F126"/>
    <mergeCell ref="C149:D149"/>
    <mergeCell ref="C154:E154"/>
    <mergeCell ref="A127:F127"/>
    <mergeCell ref="A128:E128"/>
    <mergeCell ref="C130:E130"/>
    <mergeCell ref="B131:F131"/>
    <mergeCell ref="C145:E145"/>
    <mergeCell ref="B146:F146"/>
    <mergeCell ref="B71:F71"/>
    <mergeCell ref="C85:E85"/>
    <mergeCell ref="B86:F86"/>
    <mergeCell ref="C89:D89"/>
    <mergeCell ref="C94:E94"/>
    <mergeCell ref="A65:F65"/>
    <mergeCell ref="A66:F66"/>
    <mergeCell ref="A67:F67"/>
    <mergeCell ref="A68:E68"/>
    <mergeCell ref="C70:E70"/>
    <mergeCell ref="C21:E21"/>
    <mergeCell ref="B22:F22"/>
    <mergeCell ref="C25:D25"/>
    <mergeCell ref="C30:E30"/>
    <mergeCell ref="A1:F1"/>
    <mergeCell ref="A2:F2"/>
    <mergeCell ref="A3:F3"/>
    <mergeCell ref="A4:E4"/>
    <mergeCell ref="C6:E6"/>
    <mergeCell ref="B7:F7"/>
  </mergeCells>
  <pageMargins left="1.0900000000000001" right="0.43" top="0.75" bottom="0.52" header="0.3" footer="0.3"/>
  <pageSetup paperSize="9" scale="57" orientation="portrait" verticalDpi="300" r:id="rId1"/>
  <rowBreaks count="1" manualBreakCount="1">
    <brk id="61" max="7" man="1"/>
  </rowBreaks>
</worksheet>
</file>

<file path=xl/worksheets/sheet5.xml><?xml version="1.0" encoding="utf-8"?>
<worksheet xmlns="http://schemas.openxmlformats.org/spreadsheetml/2006/main" xmlns:r="http://schemas.openxmlformats.org/officeDocument/2006/relationships">
  <sheetPr syncVertical="1" syncRef="F3116" transitionEvaluation="1"/>
  <dimension ref="A1:AK8296"/>
  <sheetViews>
    <sheetView view="pageBreakPreview" topLeftCell="F3116" zoomScale="87" zoomScaleNormal="60" zoomScaleSheetLayoutView="87" workbookViewId="0">
      <selection activeCell="I3174" sqref="I3174"/>
    </sheetView>
  </sheetViews>
  <sheetFormatPr defaultColWidth="7.44140625" defaultRowHeight="15.75"/>
  <cols>
    <col min="1" max="1" width="7.77734375" style="87" hidden="1" customWidth="1"/>
    <col min="2" max="2" width="45.77734375" style="87" hidden="1" customWidth="1"/>
    <col min="3" max="3" width="11.77734375" style="87" hidden="1" customWidth="1"/>
    <col min="4" max="4" width="9.77734375" style="87" hidden="1" customWidth="1"/>
    <col min="5" max="5" width="9.21875" style="87" hidden="1" customWidth="1"/>
    <col min="6" max="6" width="8.88671875" style="87" customWidth="1"/>
    <col min="7" max="7" width="6.5546875" style="85" customWidth="1"/>
    <col min="8" max="8" width="48.6640625" style="87" customWidth="1"/>
    <col min="9" max="9" width="10" style="87" customWidth="1"/>
    <col min="10" max="10" width="11.44140625" style="80" customWidth="1"/>
    <col min="11" max="11" width="11.33203125" style="87" customWidth="1"/>
    <col min="12" max="12" width="9.77734375" style="87" customWidth="1"/>
    <col min="13" max="13" width="9.44140625" style="87" customWidth="1"/>
    <col min="14" max="14" width="10" style="87" bestFit="1" customWidth="1"/>
    <col min="15" max="15" width="32.77734375" style="87" customWidth="1"/>
    <col min="16" max="16" width="12.109375" style="87" customWidth="1"/>
    <col min="17" max="17" width="7.77734375" style="87" customWidth="1"/>
    <col min="18" max="18" width="10.77734375" style="87" customWidth="1"/>
    <col min="19" max="19" width="8.5546875" style="87" bestFit="1" customWidth="1"/>
    <col min="20" max="20" width="7.77734375" style="87" customWidth="1"/>
    <col min="21" max="21" width="49.77734375" style="87" customWidth="1"/>
    <col min="22" max="22" width="7.77734375" style="87" hidden="1" customWidth="1"/>
    <col min="23" max="23" width="16.77734375" style="87" hidden="1" customWidth="1"/>
    <col min="24" max="24" width="9.109375" style="87" customWidth="1"/>
    <col min="25" max="25" width="11.21875" style="87" bestFit="1" customWidth="1"/>
    <col min="26" max="26" width="9.6640625" style="87" customWidth="1"/>
    <col min="27" max="27" width="8.6640625" style="87" customWidth="1"/>
    <col min="28" max="28" width="9.6640625" style="87" customWidth="1"/>
    <col min="29" max="29" width="10.6640625" style="87" customWidth="1"/>
    <col min="30" max="30" width="23.21875" style="87" customWidth="1"/>
    <col min="31" max="31" width="8.77734375" style="87" customWidth="1"/>
    <col min="32" max="32" width="8.109375" style="87" bestFit="1" customWidth="1"/>
    <col min="33" max="33" width="9" style="87" customWidth="1"/>
    <col min="34" max="34" width="8.77734375" style="87" customWidth="1"/>
    <col min="35" max="16384" width="7.44140625" style="87"/>
  </cols>
  <sheetData>
    <row r="1" spans="1:37" ht="19.5" hidden="1">
      <c r="A1" s="86" t="s">
        <v>987</v>
      </c>
      <c r="B1" s="102" t="s">
        <v>2079</v>
      </c>
      <c r="E1" s="86" t="s">
        <v>987</v>
      </c>
      <c r="H1" s="86" t="s">
        <v>247</v>
      </c>
      <c r="O1" s="86" t="s">
        <v>247</v>
      </c>
      <c r="U1" s="103" t="s">
        <v>2079</v>
      </c>
      <c r="V1" s="86" t="s">
        <v>248</v>
      </c>
      <c r="W1" s="86" t="s">
        <v>987</v>
      </c>
    </row>
    <row r="2" spans="1:37" hidden="1">
      <c r="B2" s="89" t="s">
        <v>2080</v>
      </c>
      <c r="E2" s="86" t="s">
        <v>987</v>
      </c>
      <c r="H2" s="102" t="s">
        <v>658</v>
      </c>
      <c r="O2" s="102" t="s">
        <v>658</v>
      </c>
      <c r="U2" s="89" t="s">
        <v>2080</v>
      </c>
    </row>
    <row r="3" spans="1:37" hidden="1">
      <c r="A3" s="86" t="s">
        <v>1608</v>
      </c>
      <c r="B3" s="104" t="s">
        <v>2508</v>
      </c>
      <c r="C3" s="86" t="s">
        <v>2509</v>
      </c>
      <c r="E3" s="86" t="s">
        <v>987</v>
      </c>
      <c r="F3" s="92" t="s">
        <v>1608</v>
      </c>
      <c r="G3" s="90" t="s">
        <v>987</v>
      </c>
      <c r="H3" s="91" t="str">
        <f>B3</f>
        <v>Madurai TSp VIth Bn under 4000 quarters Scheme.</v>
      </c>
      <c r="J3" s="102" t="str">
        <f>C3</f>
        <v>2006-2007</v>
      </c>
      <c r="M3" s="86" t="s">
        <v>1608</v>
      </c>
      <c r="N3" s="86" t="s">
        <v>987</v>
      </c>
      <c r="O3" s="91" t="str">
        <f>B3</f>
        <v>Madurai TSp VIth Bn under 4000 quarters Scheme.</v>
      </c>
      <c r="Q3" s="91" t="str">
        <f>C3</f>
        <v>2006-2007</v>
      </c>
      <c r="T3" s="86" t="s">
        <v>1608</v>
      </c>
      <c r="U3" s="91" t="str">
        <f>B3</f>
        <v>Madurai TSp VIth Bn under 4000 quarters Scheme.</v>
      </c>
      <c r="W3" s="105" t="str">
        <f>C3</f>
        <v>2006-2007</v>
      </c>
      <c r="AA3" s="86" t="s">
        <v>987</v>
      </c>
    </row>
    <row r="4" spans="1:37" hidden="1">
      <c r="F4" s="89" t="s">
        <v>1609</v>
      </c>
      <c r="G4" s="89" t="s">
        <v>1609</v>
      </c>
      <c r="H4" s="89" t="s">
        <v>1609</v>
      </c>
      <c r="I4" s="89" t="s">
        <v>1609</v>
      </c>
      <c r="J4" s="89" t="s">
        <v>1609</v>
      </c>
      <c r="K4" s="89" t="s">
        <v>1609</v>
      </c>
      <c r="M4" s="89" t="s">
        <v>1609</v>
      </c>
      <c r="N4" s="89" t="s">
        <v>1609</v>
      </c>
      <c r="O4" s="89" t="s">
        <v>1609</v>
      </c>
      <c r="P4" s="89" t="s">
        <v>1609</v>
      </c>
      <c r="Q4" s="89" t="s">
        <v>1609</v>
      </c>
      <c r="R4" s="89" t="s">
        <v>1609</v>
      </c>
      <c r="U4" s="86" t="s">
        <v>987</v>
      </c>
      <c r="W4" s="86" t="s">
        <v>987</v>
      </c>
      <c r="X4" s="86" t="s">
        <v>248</v>
      </c>
      <c r="Y4" s="86" t="s">
        <v>987</v>
      </c>
      <c r="AC4" s="86" t="s">
        <v>987</v>
      </c>
      <c r="AG4" s="86" t="s">
        <v>1610</v>
      </c>
    </row>
    <row r="5" spans="1:37" hidden="1">
      <c r="A5" s="89" t="s">
        <v>1609</v>
      </c>
      <c r="B5" s="89" t="s">
        <v>1609</v>
      </c>
      <c r="C5" s="89" t="s">
        <v>1609</v>
      </c>
      <c r="D5" s="89" t="s">
        <v>1609</v>
      </c>
      <c r="E5" s="86" t="s">
        <v>987</v>
      </c>
      <c r="F5" s="92" t="s">
        <v>1611</v>
      </c>
      <c r="G5" s="90" t="s">
        <v>987</v>
      </c>
      <c r="H5" s="102" t="s">
        <v>1612</v>
      </c>
      <c r="I5" s="102" t="s">
        <v>1613</v>
      </c>
      <c r="J5" s="102" t="s">
        <v>1614</v>
      </c>
      <c r="K5" s="102" t="s">
        <v>1615</v>
      </c>
      <c r="M5" s="102" t="s">
        <v>1611</v>
      </c>
      <c r="N5" s="86" t="s">
        <v>987</v>
      </c>
      <c r="O5" s="102" t="s">
        <v>1612</v>
      </c>
      <c r="P5" s="102" t="s">
        <v>1613</v>
      </c>
      <c r="Q5" s="102" t="s">
        <v>1614</v>
      </c>
      <c r="R5" s="102" t="s">
        <v>1615</v>
      </c>
      <c r="T5" s="89" t="s">
        <v>1609</v>
      </c>
      <c r="U5" s="89" t="s">
        <v>1609</v>
      </c>
      <c r="V5" s="89" t="s">
        <v>1609</v>
      </c>
      <c r="W5" s="89" t="s">
        <v>1609</v>
      </c>
      <c r="X5" s="89" t="s">
        <v>1609</v>
      </c>
      <c r="Y5" s="89" t="s">
        <v>1609</v>
      </c>
      <c r="Z5" s="89" t="s">
        <v>1609</v>
      </c>
      <c r="AA5" s="89" t="s">
        <v>1609</v>
      </c>
      <c r="AB5" s="89" t="s">
        <v>1609</v>
      </c>
      <c r="AC5" s="89" t="s">
        <v>1609</v>
      </c>
      <c r="AD5" s="89" t="s">
        <v>1609</v>
      </c>
      <c r="AE5" s="89" t="s">
        <v>1609</v>
      </c>
    </row>
    <row r="6" spans="1:37" hidden="1">
      <c r="A6" s="86" t="s">
        <v>700</v>
      </c>
      <c r="B6" s="86" t="s">
        <v>1612</v>
      </c>
      <c r="C6" s="86" t="s">
        <v>1613</v>
      </c>
      <c r="D6" s="86" t="s">
        <v>1614</v>
      </c>
      <c r="F6" s="89" t="s">
        <v>1609</v>
      </c>
      <c r="G6" s="89" t="s">
        <v>1609</v>
      </c>
      <c r="H6" s="89" t="s">
        <v>1609</v>
      </c>
      <c r="I6" s="89" t="s">
        <v>1609</v>
      </c>
      <c r="J6" s="89" t="s">
        <v>1609</v>
      </c>
      <c r="K6" s="89" t="s">
        <v>1609</v>
      </c>
      <c r="M6" s="89" t="s">
        <v>1609</v>
      </c>
      <c r="N6" s="89" t="s">
        <v>1609</v>
      </c>
      <c r="O6" s="89" t="s">
        <v>1609</v>
      </c>
      <c r="P6" s="89" t="s">
        <v>1609</v>
      </c>
      <c r="Q6" s="89" t="s">
        <v>1609</v>
      </c>
      <c r="R6" s="89" t="s">
        <v>1609</v>
      </c>
      <c r="T6" s="102" t="s">
        <v>700</v>
      </c>
      <c r="U6" s="102" t="s">
        <v>57</v>
      </c>
      <c r="V6" s="102" t="s">
        <v>2268</v>
      </c>
      <c r="W6" s="102" t="s">
        <v>2269</v>
      </c>
      <c r="X6" s="102" t="s">
        <v>2270</v>
      </c>
      <c r="Y6" s="102" t="s">
        <v>2271</v>
      </c>
      <c r="Z6" s="102" t="s">
        <v>2272</v>
      </c>
      <c r="AA6" s="86" t="s">
        <v>2510</v>
      </c>
      <c r="AB6" s="86" t="s">
        <v>2273</v>
      </c>
      <c r="AC6" s="86" t="s">
        <v>2274</v>
      </c>
      <c r="AD6" s="102" t="s">
        <v>2275</v>
      </c>
      <c r="AG6" s="87">
        <f>135*1.1</f>
        <v>148.5</v>
      </c>
    </row>
    <row r="7" spans="1:37" hidden="1">
      <c r="A7" s="89" t="s">
        <v>1609</v>
      </c>
      <c r="B7" s="89" t="s">
        <v>1609</v>
      </c>
      <c r="C7" s="89" t="s">
        <v>1609</v>
      </c>
      <c r="D7" s="89" t="s">
        <v>1609</v>
      </c>
      <c r="G7" s="90" t="s">
        <v>2276</v>
      </c>
      <c r="H7" s="86" t="s">
        <v>2277</v>
      </c>
      <c r="O7" s="86" t="s">
        <v>2278</v>
      </c>
      <c r="X7" s="102" t="s">
        <v>2279</v>
      </c>
      <c r="Y7" s="102" t="s">
        <v>2274</v>
      </c>
      <c r="Z7" s="102" t="s">
        <v>2280</v>
      </c>
      <c r="AA7" s="86" t="s">
        <v>2511</v>
      </c>
      <c r="AB7" s="86" t="s">
        <v>2281</v>
      </c>
      <c r="AC7" s="86" t="s">
        <v>2282</v>
      </c>
    </row>
    <row r="8" spans="1:37" hidden="1">
      <c r="B8" s="86" t="s">
        <v>2283</v>
      </c>
      <c r="C8"/>
      <c r="D8"/>
      <c r="E8"/>
      <c r="H8" s="89" t="s">
        <v>1609</v>
      </c>
      <c r="O8" s="89" t="s">
        <v>1609</v>
      </c>
      <c r="T8" s="89" t="s">
        <v>1609</v>
      </c>
      <c r="U8" s="89" t="s">
        <v>1609</v>
      </c>
      <c r="V8" s="89" t="s">
        <v>1609</v>
      </c>
      <c r="W8" s="89" t="s">
        <v>1609</v>
      </c>
      <c r="X8" s="89" t="s">
        <v>1609</v>
      </c>
      <c r="Y8" s="89" t="s">
        <v>1609</v>
      </c>
      <c r="Z8" s="89" t="s">
        <v>1609</v>
      </c>
      <c r="AA8" s="89" t="s">
        <v>1609</v>
      </c>
      <c r="AB8" s="89" t="s">
        <v>1609</v>
      </c>
      <c r="AC8" s="89" t="s">
        <v>1609</v>
      </c>
      <c r="AD8" s="89" t="s">
        <v>1609</v>
      </c>
      <c r="AE8" s="89" t="s">
        <v>1609</v>
      </c>
      <c r="AG8" s="86" t="s">
        <v>2284</v>
      </c>
      <c r="AI8">
        <v>148.5</v>
      </c>
      <c r="AJ8" s="87">
        <v>1.1000000000000001</v>
      </c>
      <c r="AK8" s="87">
        <f t="shared" ref="AK8:AK36" si="0">AI8*AJ8</f>
        <v>163.35</v>
      </c>
    </row>
    <row r="9" spans="1:37" hidden="1">
      <c r="B9" s="86" t="s">
        <v>869</v>
      </c>
      <c r="C9"/>
      <c r="D9"/>
      <c r="E9"/>
      <c r="F9" s="91">
        <v>0.96</v>
      </c>
      <c r="G9" s="90" t="s">
        <v>870</v>
      </c>
      <c r="H9" s="86" t="s">
        <v>871</v>
      </c>
      <c r="I9" s="8">
        <f>(C67)</f>
        <v>3800</v>
      </c>
      <c r="J9" s="2" t="s">
        <v>870</v>
      </c>
      <c r="K9" s="8">
        <f>(F9*I9)</f>
        <v>3648</v>
      </c>
      <c r="M9" s="91">
        <v>0.5</v>
      </c>
      <c r="N9" s="86" t="s">
        <v>870</v>
      </c>
      <c r="O9" s="86" t="s">
        <v>872</v>
      </c>
      <c r="P9" s="91" t="e">
        <f>(C85)</f>
        <v>#REF!</v>
      </c>
      <c r="Q9" s="86" t="s">
        <v>870</v>
      </c>
      <c r="R9" s="91" t="e">
        <f>(M9*P9)</f>
        <v>#REF!</v>
      </c>
      <c r="T9" s="102" t="s">
        <v>873</v>
      </c>
      <c r="U9" s="86" t="s">
        <v>874</v>
      </c>
      <c r="V9" s="86" t="s">
        <v>875</v>
      </c>
      <c r="W9" s="86" t="s">
        <v>2512</v>
      </c>
      <c r="X9" s="91" t="e">
        <f>#REF!</f>
        <v>#REF!</v>
      </c>
      <c r="Y9" s="8">
        <v>200</v>
      </c>
      <c r="Z9" s="91" t="e">
        <f>#REF!</f>
        <v>#REF!</v>
      </c>
      <c r="AA9" s="102">
        <v>0</v>
      </c>
      <c r="AB9" s="86">
        <v>0</v>
      </c>
      <c r="AC9" s="86" t="e">
        <f t="shared" ref="AC9:AC30" si="1">SUM(Y9+Z9+AA9+AB9)</f>
        <v>#REF!</v>
      </c>
      <c r="AD9" s="86" t="s">
        <v>2539</v>
      </c>
      <c r="AE9" s="8">
        <v>150</v>
      </c>
      <c r="AF9" s="91"/>
      <c r="AG9" s="91"/>
      <c r="AI9">
        <v>126.5</v>
      </c>
      <c r="AJ9" s="87">
        <v>1.1000000000000001</v>
      </c>
      <c r="AK9" s="87">
        <f t="shared" si="0"/>
        <v>139.15</v>
      </c>
    </row>
    <row r="10" spans="1:37" ht="15" hidden="1" customHeight="1">
      <c r="A10" s="106">
        <v>1</v>
      </c>
      <c r="B10" s="86" t="s">
        <v>876</v>
      </c>
      <c r="C10" s="8">
        <f>AE9</f>
        <v>150</v>
      </c>
      <c r="D10" s="1" t="s">
        <v>877</v>
      </c>
      <c r="E10"/>
      <c r="F10" s="91">
        <v>1</v>
      </c>
      <c r="G10" s="90" t="s">
        <v>878</v>
      </c>
      <c r="H10" s="86" t="s">
        <v>879</v>
      </c>
      <c r="I10" s="8" t="e">
        <f>(C78)</f>
        <v>#REF!</v>
      </c>
      <c r="J10" s="2" t="s">
        <v>878</v>
      </c>
      <c r="K10" s="8" t="e">
        <f>(F10*I10)</f>
        <v>#REF!</v>
      </c>
      <c r="M10" s="91">
        <v>1</v>
      </c>
      <c r="N10" s="86" t="s">
        <v>878</v>
      </c>
      <c r="O10" s="86" t="s">
        <v>879</v>
      </c>
      <c r="P10" s="91" t="e">
        <f>(C78)</f>
        <v>#REF!</v>
      </c>
      <c r="Q10" s="86" t="s">
        <v>878</v>
      </c>
      <c r="R10" s="91" t="e">
        <f>(M10*P10)</f>
        <v>#REF!</v>
      </c>
      <c r="T10" s="102" t="s">
        <v>880</v>
      </c>
      <c r="U10" s="86" t="s">
        <v>881</v>
      </c>
      <c r="V10" s="86" t="s">
        <v>875</v>
      </c>
      <c r="W10" s="91" t="str">
        <f>W9</f>
        <v>Nallambakkam</v>
      </c>
      <c r="X10" s="91" t="e">
        <f>+X9</f>
        <v>#REF!</v>
      </c>
      <c r="Y10" s="8">
        <v>300</v>
      </c>
      <c r="Z10" s="91" t="e">
        <f t="shared" ref="Z10:Z15" si="2">+Z9</f>
        <v>#REF!</v>
      </c>
      <c r="AA10" s="80">
        <v>0</v>
      </c>
      <c r="AB10" s="88">
        <v>0</v>
      </c>
      <c r="AC10" s="86" t="e">
        <f t="shared" si="1"/>
        <v>#REF!</v>
      </c>
      <c r="AD10" s="86" t="s">
        <v>2540</v>
      </c>
      <c r="AE10" s="8">
        <v>135</v>
      </c>
      <c r="AF10" s="91"/>
      <c r="AG10" s="91"/>
      <c r="AI10">
        <v>85.5</v>
      </c>
      <c r="AJ10" s="87">
        <v>1.1000000000000001</v>
      </c>
      <c r="AK10" s="87">
        <f t="shared" si="0"/>
        <v>94.05</v>
      </c>
    </row>
    <row r="11" spans="1:37" hidden="1">
      <c r="A11" s="106">
        <f t="shared" ref="A11:A35" si="3">(A10+1)</f>
        <v>2</v>
      </c>
      <c r="B11" s="86" t="s">
        <v>882</v>
      </c>
      <c r="C11" s="8">
        <f>AE10</f>
        <v>135</v>
      </c>
      <c r="D11" s="1" t="s">
        <v>877</v>
      </c>
      <c r="E11"/>
      <c r="F11" s="91">
        <v>1</v>
      </c>
      <c r="G11" s="90" t="s">
        <v>878</v>
      </c>
      <c r="H11" s="86" t="s">
        <v>883</v>
      </c>
      <c r="I11" s="8">
        <f>(C18)</f>
        <v>26</v>
      </c>
      <c r="J11" s="2" t="s">
        <v>878</v>
      </c>
      <c r="K11" s="8">
        <f>(F11*I11)</f>
        <v>26</v>
      </c>
      <c r="M11" s="91">
        <v>1</v>
      </c>
      <c r="N11" s="86" t="s">
        <v>878</v>
      </c>
      <c r="O11" s="86" t="s">
        <v>884</v>
      </c>
      <c r="P11" s="91">
        <f>(C64)</f>
        <v>62.5</v>
      </c>
      <c r="Q11" s="86" t="s">
        <v>878</v>
      </c>
      <c r="R11" s="91">
        <f>(M11*P11)</f>
        <v>62.5</v>
      </c>
      <c r="T11" s="102" t="s">
        <v>885</v>
      </c>
      <c r="U11" s="86" t="s">
        <v>886</v>
      </c>
      <c r="V11" s="86" t="s">
        <v>875</v>
      </c>
      <c r="W11" s="86" t="s">
        <v>2541</v>
      </c>
      <c r="X11" s="91" t="e">
        <f>#REF!</f>
        <v>#REF!</v>
      </c>
      <c r="Y11" s="8">
        <v>333.33</v>
      </c>
      <c r="Z11" s="91" t="e">
        <f t="shared" si="2"/>
        <v>#REF!</v>
      </c>
      <c r="AA11" s="102">
        <v>0</v>
      </c>
      <c r="AB11" s="88">
        <v>0</v>
      </c>
      <c r="AC11" s="86" t="e">
        <f t="shared" si="1"/>
        <v>#REF!</v>
      </c>
      <c r="AD11" s="86" t="s">
        <v>887</v>
      </c>
      <c r="AE11" s="8">
        <v>95</v>
      </c>
      <c r="AF11" s="91"/>
      <c r="AG11" s="91"/>
      <c r="AI11">
        <v>80.5</v>
      </c>
      <c r="AJ11" s="87">
        <v>1.1000000000000001</v>
      </c>
      <c r="AK11" s="87">
        <f t="shared" si="0"/>
        <v>88.55</v>
      </c>
    </row>
    <row r="12" spans="1:37" hidden="1">
      <c r="A12" s="106">
        <f t="shared" si="3"/>
        <v>3</v>
      </c>
      <c r="B12" s="86" t="s">
        <v>449</v>
      </c>
      <c r="C12" s="8">
        <f>AE11</f>
        <v>95</v>
      </c>
      <c r="D12" s="1" t="s">
        <v>877</v>
      </c>
      <c r="E12"/>
      <c r="G12" s="90" t="s">
        <v>450</v>
      </c>
      <c r="H12" s="86" t="s">
        <v>451</v>
      </c>
      <c r="I12" s="1" t="s">
        <v>987</v>
      </c>
      <c r="J12" s="2" t="s">
        <v>450</v>
      </c>
      <c r="K12" s="8">
        <v>0</v>
      </c>
      <c r="N12" s="86" t="s">
        <v>450</v>
      </c>
      <c r="O12" s="86" t="s">
        <v>451</v>
      </c>
      <c r="P12" s="86" t="s">
        <v>987</v>
      </c>
      <c r="Q12" s="86" t="s">
        <v>450</v>
      </c>
      <c r="R12" s="91">
        <v>0</v>
      </c>
      <c r="T12" s="102" t="s">
        <v>452</v>
      </c>
      <c r="U12" s="86" t="s">
        <v>1531</v>
      </c>
      <c r="V12" s="86" t="s">
        <v>875</v>
      </c>
      <c r="W12" s="91" t="str">
        <f>W11</f>
        <v>Pallavaram</v>
      </c>
      <c r="X12" s="91" t="e">
        <f>+X11</f>
        <v>#REF!</v>
      </c>
      <c r="Y12" s="8">
        <v>425</v>
      </c>
      <c r="Z12" s="91" t="e">
        <f t="shared" si="2"/>
        <v>#REF!</v>
      </c>
      <c r="AA12" s="102">
        <v>0</v>
      </c>
      <c r="AB12" s="88">
        <v>0</v>
      </c>
      <c r="AC12" s="86" t="e">
        <f t="shared" si="1"/>
        <v>#REF!</v>
      </c>
      <c r="AD12" s="86" t="s">
        <v>1532</v>
      </c>
      <c r="AE12" s="8">
        <v>85</v>
      </c>
      <c r="AF12" s="91"/>
      <c r="AG12" s="91"/>
      <c r="AI12">
        <v>114.5</v>
      </c>
      <c r="AJ12" s="87">
        <v>1.1000000000000001</v>
      </c>
      <c r="AK12" s="87">
        <f t="shared" si="0"/>
        <v>125.95</v>
      </c>
    </row>
    <row r="13" spans="1:37" hidden="1">
      <c r="A13" s="106">
        <f t="shared" si="3"/>
        <v>4</v>
      </c>
      <c r="B13" s="86" t="s">
        <v>1533</v>
      </c>
      <c r="C13" s="8">
        <f>AE12</f>
        <v>85</v>
      </c>
      <c r="D13" s="1" t="s">
        <v>877</v>
      </c>
      <c r="E13"/>
      <c r="I13"/>
      <c r="J13" s="4"/>
      <c r="K13" s="5" t="s">
        <v>1609</v>
      </c>
      <c r="R13" s="89" t="s">
        <v>1609</v>
      </c>
      <c r="T13" s="102" t="s">
        <v>1534</v>
      </c>
      <c r="U13" s="86" t="s">
        <v>1535</v>
      </c>
      <c r="V13" s="86" t="s">
        <v>875</v>
      </c>
      <c r="W13" s="91" t="str">
        <f>W11</f>
        <v>Pallavaram</v>
      </c>
      <c r="X13" s="91" t="e">
        <f>+X12</f>
        <v>#REF!</v>
      </c>
      <c r="Y13" s="8">
        <v>630</v>
      </c>
      <c r="Z13" s="91" t="e">
        <f t="shared" si="2"/>
        <v>#REF!</v>
      </c>
      <c r="AA13" s="102">
        <v>0</v>
      </c>
      <c r="AB13" s="88">
        <v>0</v>
      </c>
      <c r="AC13" s="86" t="e">
        <f t="shared" si="1"/>
        <v>#REF!</v>
      </c>
      <c r="AD13" s="86" t="s">
        <v>1536</v>
      </c>
      <c r="AE13" s="8">
        <v>120</v>
      </c>
      <c r="AF13" s="91"/>
      <c r="AG13" s="91"/>
      <c r="AI13">
        <v>106.5</v>
      </c>
      <c r="AJ13" s="87">
        <v>1.1000000000000001</v>
      </c>
      <c r="AK13" s="87">
        <f t="shared" si="0"/>
        <v>117.15</v>
      </c>
    </row>
    <row r="14" spans="1:37" hidden="1">
      <c r="A14" s="106">
        <f t="shared" si="3"/>
        <v>5</v>
      </c>
      <c r="B14" s="86" t="s">
        <v>1537</v>
      </c>
      <c r="C14" s="8">
        <f>AE13</f>
        <v>120</v>
      </c>
      <c r="D14" s="8">
        <f>AE14</f>
        <v>110</v>
      </c>
      <c r="E14"/>
      <c r="H14" s="86" t="s">
        <v>1538</v>
      </c>
      <c r="I14"/>
      <c r="J14" s="4"/>
      <c r="K14" s="8" t="e">
        <f>SUM(K9:K12)</f>
        <v>#REF!</v>
      </c>
      <c r="N14" s="91" t="e">
        <f>SUM(K9:K12)</f>
        <v>#REF!</v>
      </c>
      <c r="O14" s="86" t="s">
        <v>1538</v>
      </c>
      <c r="R14" s="91" t="e">
        <f>SUM(R9:R12)</f>
        <v>#REF!</v>
      </c>
      <c r="T14" s="102" t="s">
        <v>2033</v>
      </c>
      <c r="U14" s="86" t="s">
        <v>114</v>
      </c>
      <c r="V14" s="86" t="s">
        <v>875</v>
      </c>
      <c r="W14" s="91" t="str">
        <f>W11</f>
        <v>Pallavaram</v>
      </c>
      <c r="X14" s="91" t="e">
        <f>+X13</f>
        <v>#REF!</v>
      </c>
      <c r="Y14" s="8">
        <v>685</v>
      </c>
      <c r="Z14" s="91" t="e">
        <f t="shared" si="2"/>
        <v>#REF!</v>
      </c>
      <c r="AA14" s="102">
        <v>0</v>
      </c>
      <c r="AB14" s="88">
        <v>0</v>
      </c>
      <c r="AC14" s="86" t="e">
        <f t="shared" si="1"/>
        <v>#REF!</v>
      </c>
      <c r="AD14" s="86" t="s">
        <v>115</v>
      </c>
      <c r="AE14" s="8">
        <v>110</v>
      </c>
      <c r="AF14" s="91"/>
      <c r="AG14" s="91"/>
      <c r="AI14">
        <v>116.5</v>
      </c>
      <c r="AJ14" s="87">
        <v>1.1000000000000001</v>
      </c>
      <c r="AK14" s="87">
        <f t="shared" si="0"/>
        <v>128.15</v>
      </c>
    </row>
    <row r="15" spans="1:37" hidden="1">
      <c r="A15" s="106">
        <f t="shared" si="3"/>
        <v>6</v>
      </c>
      <c r="B15" s="86" t="s">
        <v>116</v>
      </c>
      <c r="C15" s="8">
        <f>AE15</f>
        <v>130</v>
      </c>
      <c r="D15" s="1" t="s">
        <v>877</v>
      </c>
      <c r="E15"/>
      <c r="I15"/>
      <c r="J15" s="4"/>
      <c r="K15" s="5" t="s">
        <v>1609</v>
      </c>
      <c r="R15" s="89" t="s">
        <v>1609</v>
      </c>
      <c r="T15" s="102" t="s">
        <v>117</v>
      </c>
      <c r="U15" s="86" t="s">
        <v>118</v>
      </c>
      <c r="V15" s="86" t="s">
        <v>875</v>
      </c>
      <c r="W15" s="91" t="str">
        <f>W11</f>
        <v>Pallavaram</v>
      </c>
      <c r="X15" s="91" t="e">
        <f>+X14</f>
        <v>#REF!</v>
      </c>
      <c r="Y15" s="8">
        <v>490</v>
      </c>
      <c r="Z15" s="91" t="e">
        <f t="shared" si="2"/>
        <v>#REF!</v>
      </c>
      <c r="AA15" s="102">
        <v>0</v>
      </c>
      <c r="AB15" s="88">
        <v>0</v>
      </c>
      <c r="AC15" s="86" t="e">
        <f t="shared" si="1"/>
        <v>#REF!</v>
      </c>
      <c r="AD15" s="86" t="s">
        <v>119</v>
      </c>
      <c r="AE15" s="8">
        <v>130</v>
      </c>
      <c r="AF15" s="91"/>
      <c r="AG15" s="91"/>
      <c r="AI15">
        <v>106.5</v>
      </c>
      <c r="AJ15" s="87">
        <v>1.1000000000000001</v>
      </c>
      <c r="AK15" s="87">
        <f t="shared" si="0"/>
        <v>117.15</v>
      </c>
    </row>
    <row r="16" spans="1:37" hidden="1">
      <c r="A16" s="106">
        <f t="shared" si="3"/>
        <v>7</v>
      </c>
      <c r="B16" s="86" t="s">
        <v>120</v>
      </c>
      <c r="C16" s="8">
        <f>AE19</f>
        <v>150</v>
      </c>
      <c r="D16" s="8">
        <f>AE20</f>
        <v>135</v>
      </c>
      <c r="E16"/>
      <c r="G16" s="90" t="s">
        <v>2276</v>
      </c>
      <c r="H16" s="86" t="s">
        <v>121</v>
      </c>
      <c r="I16"/>
      <c r="J16" s="4"/>
      <c r="K16"/>
      <c r="N16" s="86" t="s">
        <v>2276</v>
      </c>
      <c r="O16" s="86" t="s">
        <v>122</v>
      </c>
      <c r="T16" s="102" t="s">
        <v>123</v>
      </c>
      <c r="U16" s="86" t="s">
        <v>124</v>
      </c>
      <c r="V16" s="86" t="s">
        <v>875</v>
      </c>
      <c r="W16" s="86" t="s">
        <v>2542</v>
      </c>
      <c r="X16" s="91" t="e">
        <f>#REF!</f>
        <v>#REF!</v>
      </c>
      <c r="Y16" s="8">
        <v>110</v>
      </c>
      <c r="Z16" s="91" t="e">
        <f>#REF!</f>
        <v>#REF!</v>
      </c>
      <c r="AA16" s="102">
        <v>0</v>
      </c>
      <c r="AB16" s="88">
        <v>0</v>
      </c>
      <c r="AC16" s="86" t="e">
        <f t="shared" si="1"/>
        <v>#REF!</v>
      </c>
      <c r="AD16" s="86" t="s">
        <v>2266</v>
      </c>
      <c r="AE16" s="8">
        <v>120</v>
      </c>
      <c r="AF16" s="91"/>
      <c r="AG16" s="91"/>
      <c r="AI16">
        <v>106.5</v>
      </c>
      <c r="AJ16" s="87">
        <v>1.1000000000000001</v>
      </c>
      <c r="AK16" s="87">
        <f t="shared" si="0"/>
        <v>117.15</v>
      </c>
    </row>
    <row r="17" spans="1:37" hidden="1">
      <c r="A17" s="106">
        <f t="shared" si="3"/>
        <v>8</v>
      </c>
      <c r="B17" s="86" t="s">
        <v>2267</v>
      </c>
      <c r="C17" s="8">
        <f>AE17</f>
        <v>130</v>
      </c>
      <c r="D17" s="8">
        <f>AE18</f>
        <v>120</v>
      </c>
      <c r="E17"/>
      <c r="H17" s="89" t="s">
        <v>1609</v>
      </c>
      <c r="I17"/>
      <c r="J17" s="4"/>
      <c r="K17"/>
      <c r="O17" s="86" t="s">
        <v>1048</v>
      </c>
      <c r="T17" s="102" t="s">
        <v>1049</v>
      </c>
      <c r="U17" s="86" t="s">
        <v>1050</v>
      </c>
      <c r="V17" s="86" t="s">
        <v>875</v>
      </c>
      <c r="W17" s="86" t="s">
        <v>2543</v>
      </c>
      <c r="X17" s="91" t="e">
        <f>X16</f>
        <v>#REF!</v>
      </c>
      <c r="Y17" s="8">
        <v>110</v>
      </c>
      <c r="Z17" s="91" t="e">
        <f>Z16</f>
        <v>#REF!</v>
      </c>
      <c r="AA17" s="102">
        <v>0</v>
      </c>
      <c r="AB17" s="88">
        <v>0</v>
      </c>
      <c r="AC17" s="86" t="e">
        <f t="shared" si="1"/>
        <v>#REF!</v>
      </c>
      <c r="AD17" s="86" t="s">
        <v>1051</v>
      </c>
      <c r="AE17" s="8">
        <v>130</v>
      </c>
      <c r="AF17" s="91"/>
      <c r="AG17" s="91"/>
      <c r="AI17">
        <v>98.5</v>
      </c>
      <c r="AJ17" s="87">
        <v>1.1000000000000001</v>
      </c>
      <c r="AK17" s="87">
        <f t="shared" si="0"/>
        <v>108.35</v>
      </c>
    </row>
    <row r="18" spans="1:37" hidden="1">
      <c r="A18" s="106">
        <f t="shared" si="3"/>
        <v>9</v>
      </c>
      <c r="B18" s="86" t="s">
        <v>1052</v>
      </c>
      <c r="C18" s="8">
        <f>AE24</f>
        <v>26</v>
      </c>
      <c r="D18" s="1" t="s">
        <v>1053</v>
      </c>
      <c r="E18"/>
      <c r="F18" s="91">
        <v>0.72</v>
      </c>
      <c r="G18" s="90" t="s">
        <v>870</v>
      </c>
      <c r="H18" s="86" t="s">
        <v>871</v>
      </c>
      <c r="I18" s="8">
        <f>(C67)</f>
        <v>3800</v>
      </c>
      <c r="J18" s="2" t="s">
        <v>870</v>
      </c>
      <c r="K18" s="8">
        <f>(F18*I18)</f>
        <v>2736</v>
      </c>
      <c r="O18" s="86" t="s">
        <v>1465</v>
      </c>
      <c r="T18" s="102" t="s">
        <v>1466</v>
      </c>
      <c r="U18" s="86" t="s">
        <v>2544</v>
      </c>
      <c r="V18" s="86" t="s">
        <v>1467</v>
      </c>
      <c r="W18" s="86" t="s">
        <v>2545</v>
      </c>
      <c r="X18" s="91" t="e">
        <f>#REF!</f>
        <v>#REF!</v>
      </c>
      <c r="Y18" s="8">
        <v>1950</v>
      </c>
      <c r="Z18" s="91" t="e">
        <f>#REF!</f>
        <v>#REF!</v>
      </c>
      <c r="AA18" s="102">
        <v>0</v>
      </c>
      <c r="AB18" s="88">
        <v>0</v>
      </c>
      <c r="AC18" s="86" t="e">
        <f t="shared" si="1"/>
        <v>#REF!</v>
      </c>
      <c r="AD18" s="86" t="s">
        <v>1468</v>
      </c>
      <c r="AE18" s="8">
        <v>120</v>
      </c>
      <c r="AF18" s="91"/>
      <c r="AG18" s="91"/>
      <c r="AI18">
        <v>148.5</v>
      </c>
      <c r="AJ18" s="87">
        <v>1.1000000000000001</v>
      </c>
      <c r="AK18" s="87">
        <f t="shared" si="0"/>
        <v>163.35</v>
      </c>
    </row>
    <row r="19" spans="1:37" hidden="1">
      <c r="A19" s="106">
        <f t="shared" si="3"/>
        <v>10</v>
      </c>
      <c r="B19" s="86" t="s">
        <v>1469</v>
      </c>
      <c r="C19" s="8">
        <v>17.600000000000001</v>
      </c>
      <c r="D19" s="1" t="s">
        <v>878</v>
      </c>
      <c r="E19"/>
      <c r="F19" s="91">
        <v>1</v>
      </c>
      <c r="G19" s="90" t="s">
        <v>878</v>
      </c>
      <c r="H19" s="86" t="s">
        <v>879</v>
      </c>
      <c r="I19" s="8" t="e">
        <f>(C78)</f>
        <v>#REF!</v>
      </c>
      <c r="J19" s="2" t="s">
        <v>878</v>
      </c>
      <c r="K19" s="8" t="e">
        <f>(F19*I19)</f>
        <v>#REF!</v>
      </c>
      <c r="O19" s="86" t="s">
        <v>73</v>
      </c>
      <c r="T19" s="102" t="s">
        <v>74</v>
      </c>
      <c r="U19" s="86" t="s">
        <v>75</v>
      </c>
      <c r="V19" s="86" t="s">
        <v>878</v>
      </c>
      <c r="W19" s="91" t="str">
        <f>W18</f>
        <v>Nerkundram</v>
      </c>
      <c r="X19" s="91" t="e">
        <f>#REF!</f>
        <v>#REF!</v>
      </c>
      <c r="Y19" s="8">
        <v>260</v>
      </c>
      <c r="Z19" s="91" t="e">
        <f>#REF!</f>
        <v>#REF!</v>
      </c>
      <c r="AA19" s="102">
        <v>0</v>
      </c>
      <c r="AB19" s="88">
        <v>0</v>
      </c>
      <c r="AC19" s="86" t="e">
        <f t="shared" si="1"/>
        <v>#REF!</v>
      </c>
      <c r="AD19" s="86" t="s">
        <v>76</v>
      </c>
      <c r="AE19" s="8">
        <v>150</v>
      </c>
      <c r="AF19" s="91"/>
      <c r="AG19" s="91"/>
      <c r="AI19">
        <v>126.5</v>
      </c>
      <c r="AJ19" s="87">
        <v>1.1000000000000001</v>
      </c>
      <c r="AK19" s="87">
        <f t="shared" si="0"/>
        <v>139.15</v>
      </c>
    </row>
    <row r="20" spans="1:37" hidden="1">
      <c r="A20" s="106">
        <f t="shared" si="3"/>
        <v>11</v>
      </c>
      <c r="B20" s="86" t="s">
        <v>374</v>
      </c>
      <c r="C20" s="8">
        <v>35.200000000000003</v>
      </c>
      <c r="D20" s="1" t="s">
        <v>878</v>
      </c>
      <c r="E20"/>
      <c r="F20" s="91">
        <v>1</v>
      </c>
      <c r="G20" s="90" t="s">
        <v>878</v>
      </c>
      <c r="H20" s="86" t="s">
        <v>883</v>
      </c>
      <c r="I20" s="8">
        <f>(C18)</f>
        <v>26</v>
      </c>
      <c r="J20" s="2" t="s">
        <v>878</v>
      </c>
      <c r="K20" s="8">
        <f>(F20*I20)</f>
        <v>26</v>
      </c>
      <c r="O20" s="86" t="s">
        <v>1062</v>
      </c>
      <c r="T20" s="102" t="s">
        <v>1996</v>
      </c>
      <c r="U20" s="86" t="s">
        <v>1997</v>
      </c>
      <c r="V20" s="86" t="s">
        <v>878</v>
      </c>
      <c r="W20" s="91" t="str">
        <f>W18</f>
        <v>Nerkundram</v>
      </c>
      <c r="X20" s="91" t="e">
        <f>X19</f>
        <v>#REF!</v>
      </c>
      <c r="Y20" s="8">
        <v>280</v>
      </c>
      <c r="Z20" s="91" t="e">
        <f>+Z19</f>
        <v>#REF!</v>
      </c>
      <c r="AA20" s="102">
        <v>0</v>
      </c>
      <c r="AB20" s="88">
        <v>0</v>
      </c>
      <c r="AC20" s="86" t="e">
        <f t="shared" si="1"/>
        <v>#REF!</v>
      </c>
      <c r="AD20" s="86" t="s">
        <v>1998</v>
      </c>
      <c r="AE20" s="8">
        <v>135</v>
      </c>
      <c r="AF20" s="91"/>
      <c r="AG20" s="91"/>
      <c r="AI20">
        <v>116.5</v>
      </c>
      <c r="AJ20" s="87">
        <v>1.1000000000000001</v>
      </c>
      <c r="AK20" s="87">
        <f t="shared" si="0"/>
        <v>128.15</v>
      </c>
    </row>
    <row r="21" spans="1:37" hidden="1">
      <c r="A21" s="106">
        <f t="shared" si="3"/>
        <v>12</v>
      </c>
      <c r="B21" s="86" t="s">
        <v>2287</v>
      </c>
      <c r="C21" s="8">
        <v>35.200000000000003</v>
      </c>
      <c r="D21" s="1" t="s">
        <v>878</v>
      </c>
      <c r="E21"/>
      <c r="G21" s="90" t="s">
        <v>450</v>
      </c>
      <c r="H21" s="86" t="s">
        <v>451</v>
      </c>
      <c r="I21" s="1" t="s">
        <v>987</v>
      </c>
      <c r="J21" s="2" t="s">
        <v>450</v>
      </c>
      <c r="K21" s="8">
        <v>0</v>
      </c>
      <c r="O21" s="89" t="s">
        <v>1609</v>
      </c>
      <c r="T21" s="102" t="s">
        <v>2288</v>
      </c>
      <c r="U21" s="86" t="s">
        <v>2289</v>
      </c>
      <c r="V21" s="86" t="s">
        <v>1467</v>
      </c>
      <c r="W21" s="86" t="s">
        <v>2290</v>
      </c>
      <c r="X21" s="91" t="e">
        <f>#REF!</f>
        <v>#REF!</v>
      </c>
      <c r="Y21" s="8">
        <v>4500</v>
      </c>
      <c r="Z21" s="91">
        <v>0</v>
      </c>
      <c r="AA21" s="102">
        <v>0</v>
      </c>
      <c r="AB21" s="88">
        <v>0</v>
      </c>
      <c r="AC21" s="86">
        <f t="shared" si="1"/>
        <v>4500</v>
      </c>
      <c r="AD21" s="86" t="s">
        <v>2291</v>
      </c>
      <c r="AE21" s="8">
        <v>120</v>
      </c>
      <c r="AF21" s="91"/>
      <c r="AG21" s="91"/>
      <c r="AI21">
        <v>106.5</v>
      </c>
      <c r="AJ21" s="87">
        <v>1.1000000000000001</v>
      </c>
      <c r="AK21" s="87">
        <f t="shared" si="0"/>
        <v>117.15</v>
      </c>
    </row>
    <row r="22" spans="1:37" hidden="1">
      <c r="A22" s="106">
        <f t="shared" si="3"/>
        <v>13</v>
      </c>
      <c r="B22" s="86" t="s">
        <v>1707</v>
      </c>
      <c r="C22" s="8">
        <v>26.45</v>
      </c>
      <c r="D22" s="1" t="s">
        <v>878</v>
      </c>
      <c r="E22"/>
      <c r="I22"/>
      <c r="J22" s="4"/>
      <c r="K22" s="5" t="s">
        <v>1609</v>
      </c>
      <c r="M22" s="91">
        <v>1</v>
      </c>
      <c r="N22" s="86" t="s">
        <v>878</v>
      </c>
      <c r="O22" s="86" t="s">
        <v>2027</v>
      </c>
      <c r="P22" s="91" t="e">
        <f>C78</f>
        <v>#REF!</v>
      </c>
      <c r="Q22" s="86" t="s">
        <v>878</v>
      </c>
      <c r="R22" s="91" t="e">
        <f>(M22*P22)</f>
        <v>#REF!</v>
      </c>
      <c r="T22" s="102" t="s">
        <v>2028</v>
      </c>
      <c r="U22" s="86" t="s">
        <v>2029</v>
      </c>
      <c r="V22" s="86" t="s">
        <v>875</v>
      </c>
      <c r="W22" s="107" t="s">
        <v>2546</v>
      </c>
      <c r="X22" s="91">
        <v>0</v>
      </c>
      <c r="Y22" s="8">
        <v>773</v>
      </c>
      <c r="Z22" s="91">
        <v>0</v>
      </c>
      <c r="AA22" s="102">
        <v>0</v>
      </c>
      <c r="AB22" s="88">
        <v>0</v>
      </c>
      <c r="AC22" s="86">
        <f t="shared" si="1"/>
        <v>773</v>
      </c>
      <c r="AD22" s="86" t="s">
        <v>2030</v>
      </c>
      <c r="AE22" s="8">
        <v>110</v>
      </c>
      <c r="AF22" s="91"/>
      <c r="AG22" s="91"/>
      <c r="AI22">
        <v>106.5</v>
      </c>
      <c r="AJ22" s="87">
        <v>1.1000000000000001</v>
      </c>
      <c r="AK22" s="87">
        <f t="shared" si="0"/>
        <v>117.15</v>
      </c>
    </row>
    <row r="23" spans="1:37" hidden="1">
      <c r="A23" s="106">
        <f t="shared" si="3"/>
        <v>14</v>
      </c>
      <c r="B23" s="86" t="s">
        <v>285</v>
      </c>
      <c r="C23" s="8">
        <v>52.85</v>
      </c>
      <c r="D23" s="1" t="s">
        <v>878</v>
      </c>
      <c r="E23"/>
      <c r="H23" s="86" t="s">
        <v>1538</v>
      </c>
      <c r="I23"/>
      <c r="J23" s="4"/>
      <c r="K23" s="8" t="e">
        <f>SUM(K18:K21)</f>
        <v>#REF!</v>
      </c>
      <c r="M23" s="91">
        <v>1</v>
      </c>
      <c r="N23" s="86" t="s">
        <v>878</v>
      </c>
      <c r="O23" s="86" t="s">
        <v>286</v>
      </c>
      <c r="P23" s="91" t="e">
        <f>C85</f>
        <v>#REF!</v>
      </c>
      <c r="Q23" s="86" t="s">
        <v>878</v>
      </c>
      <c r="R23" s="91" t="e">
        <f>(M23*P23)</f>
        <v>#REF!</v>
      </c>
      <c r="T23" s="102" t="s">
        <v>837</v>
      </c>
      <c r="U23" s="86" t="s">
        <v>838</v>
      </c>
      <c r="V23" s="86" t="s">
        <v>875</v>
      </c>
      <c r="W23" s="107" t="s">
        <v>2546</v>
      </c>
      <c r="X23" s="91" t="e">
        <f>#REF!</f>
        <v>#REF!</v>
      </c>
      <c r="Y23" s="8">
        <v>565</v>
      </c>
      <c r="Z23" s="91" t="e">
        <f>#REF!</f>
        <v>#REF!</v>
      </c>
      <c r="AA23" s="102">
        <v>0</v>
      </c>
      <c r="AB23" s="88">
        <v>0</v>
      </c>
      <c r="AC23" s="86" t="e">
        <f t="shared" si="1"/>
        <v>#REF!</v>
      </c>
      <c r="AD23" s="86" t="s">
        <v>839</v>
      </c>
      <c r="AE23" s="8">
        <v>120</v>
      </c>
      <c r="AF23" s="91"/>
      <c r="AG23" s="91"/>
      <c r="AI23">
        <v>26</v>
      </c>
      <c r="AJ23" s="87">
        <v>1.1000000000000001</v>
      </c>
      <c r="AK23" s="87">
        <f t="shared" si="0"/>
        <v>28.6</v>
      </c>
    </row>
    <row r="24" spans="1:37" hidden="1">
      <c r="A24" s="106">
        <f t="shared" si="3"/>
        <v>15</v>
      </c>
      <c r="B24" s="86" t="s">
        <v>840</v>
      </c>
      <c r="C24" s="8">
        <v>52.85</v>
      </c>
      <c r="D24" s="1" t="s">
        <v>878</v>
      </c>
      <c r="E24"/>
      <c r="I24"/>
      <c r="J24" s="4"/>
      <c r="K24" s="5" t="s">
        <v>1609</v>
      </c>
      <c r="M24" s="91">
        <v>1.5</v>
      </c>
      <c r="N24" s="86" t="s">
        <v>878</v>
      </c>
      <c r="O24" s="86" t="s">
        <v>1817</v>
      </c>
      <c r="P24" s="91">
        <f>C18</f>
        <v>26</v>
      </c>
      <c r="Q24" s="86" t="s">
        <v>878</v>
      </c>
      <c r="R24" s="91">
        <f>(M24*P24)</f>
        <v>39</v>
      </c>
      <c r="T24" s="102" t="s">
        <v>1818</v>
      </c>
      <c r="U24" s="86" t="s">
        <v>3</v>
      </c>
      <c r="V24" s="86" t="s">
        <v>875</v>
      </c>
      <c r="W24" s="86" t="s">
        <v>1819</v>
      </c>
      <c r="X24" s="87">
        <v>0</v>
      </c>
      <c r="Y24" s="8">
        <v>20605</v>
      </c>
      <c r="Z24" s="87">
        <v>0</v>
      </c>
      <c r="AA24" s="80">
        <v>0</v>
      </c>
      <c r="AB24" s="88">
        <v>0</v>
      </c>
      <c r="AC24" s="86">
        <f t="shared" si="1"/>
        <v>20605</v>
      </c>
      <c r="AD24" s="86" t="s">
        <v>1820</v>
      </c>
      <c r="AE24" s="8">
        <v>26</v>
      </c>
      <c r="AF24" s="91"/>
      <c r="AG24" s="91"/>
      <c r="AI24">
        <v>20.7</v>
      </c>
      <c r="AJ24" s="87">
        <v>1.1000000000000001</v>
      </c>
      <c r="AK24" s="87">
        <f t="shared" si="0"/>
        <v>22.77</v>
      </c>
    </row>
    <row r="25" spans="1:37" hidden="1">
      <c r="A25" s="106">
        <f t="shared" si="3"/>
        <v>16</v>
      </c>
      <c r="B25" s="86" t="s">
        <v>1821</v>
      </c>
      <c r="C25" s="8">
        <f>AE25</f>
        <v>20.7</v>
      </c>
      <c r="D25" s="1" t="s">
        <v>878</v>
      </c>
      <c r="E25"/>
      <c r="G25" s="90" t="s">
        <v>2276</v>
      </c>
      <c r="H25" s="86" t="s">
        <v>1373</v>
      </c>
      <c r="I25"/>
      <c r="J25" s="4"/>
      <c r="K25"/>
      <c r="M25" s="91">
        <v>1.5</v>
      </c>
      <c r="N25" s="86" t="s">
        <v>878</v>
      </c>
      <c r="O25" s="86" t="s">
        <v>1374</v>
      </c>
      <c r="P25" s="91">
        <f>C27</f>
        <v>7.8</v>
      </c>
      <c r="Q25" s="86" t="s">
        <v>878</v>
      </c>
      <c r="R25" s="91">
        <f>(M25*P25)</f>
        <v>11.7</v>
      </c>
      <c r="T25" s="102" t="s">
        <v>1375</v>
      </c>
      <c r="U25" s="86" t="s">
        <v>1376</v>
      </c>
      <c r="V25" s="86" t="s">
        <v>875</v>
      </c>
      <c r="W25" s="107" t="s">
        <v>1819</v>
      </c>
      <c r="X25" s="87">
        <v>0</v>
      </c>
      <c r="Y25" s="8">
        <v>23685</v>
      </c>
      <c r="Z25" s="87">
        <v>0</v>
      </c>
      <c r="AA25" s="80">
        <v>0</v>
      </c>
      <c r="AB25" s="88">
        <v>0</v>
      </c>
      <c r="AC25" s="86">
        <f t="shared" si="1"/>
        <v>23685</v>
      </c>
      <c r="AD25" s="86" t="s">
        <v>293</v>
      </c>
      <c r="AE25" s="8">
        <v>20.7</v>
      </c>
      <c r="AF25" s="91"/>
      <c r="AG25" s="91"/>
      <c r="AI25">
        <v>15.6</v>
      </c>
      <c r="AJ25" s="87">
        <v>1.1000000000000001</v>
      </c>
      <c r="AK25" s="87">
        <f t="shared" si="0"/>
        <v>17.16</v>
      </c>
    </row>
    <row r="26" spans="1:37" hidden="1">
      <c r="A26" s="106">
        <f t="shared" si="3"/>
        <v>17</v>
      </c>
      <c r="B26" s="86" t="s">
        <v>1087</v>
      </c>
      <c r="C26" s="8">
        <f>+AE28</f>
        <v>8.8000000000000007</v>
      </c>
      <c r="D26" s="1" t="s">
        <v>2068</v>
      </c>
      <c r="E26"/>
      <c r="H26" s="89" t="s">
        <v>1609</v>
      </c>
      <c r="I26"/>
      <c r="J26" s="4"/>
      <c r="K26"/>
      <c r="N26" s="86" t="s">
        <v>450</v>
      </c>
      <c r="O26" s="86" t="s">
        <v>451</v>
      </c>
      <c r="P26" s="86" t="s">
        <v>987</v>
      </c>
      <c r="Q26" s="86" t="s">
        <v>450</v>
      </c>
      <c r="R26" s="91">
        <v>0</v>
      </c>
      <c r="T26" s="102" t="s">
        <v>2069</v>
      </c>
      <c r="U26" s="86" t="s">
        <v>2547</v>
      </c>
      <c r="V26" s="86" t="s">
        <v>875</v>
      </c>
      <c r="W26" s="107" t="s">
        <v>1819</v>
      </c>
      <c r="X26" s="87">
        <v>0</v>
      </c>
      <c r="Y26" s="8">
        <v>65420</v>
      </c>
      <c r="Z26" s="87">
        <v>0</v>
      </c>
      <c r="AA26" s="80">
        <v>0</v>
      </c>
      <c r="AB26" s="88">
        <v>0</v>
      </c>
      <c r="AC26" s="86">
        <f t="shared" si="1"/>
        <v>65420</v>
      </c>
      <c r="AD26" s="86" t="s">
        <v>1510</v>
      </c>
      <c r="AE26" s="8">
        <v>15.6</v>
      </c>
      <c r="AF26" s="91"/>
      <c r="AG26" s="91"/>
      <c r="AI26">
        <v>7.8</v>
      </c>
      <c r="AJ26" s="87">
        <v>1.1000000000000001</v>
      </c>
      <c r="AK26" s="87">
        <f t="shared" si="0"/>
        <v>8.58</v>
      </c>
    </row>
    <row r="27" spans="1:37" hidden="1">
      <c r="A27" s="106">
        <f t="shared" si="3"/>
        <v>18</v>
      </c>
      <c r="B27" s="86" t="s">
        <v>1511</v>
      </c>
      <c r="C27" s="8">
        <f>+AE27</f>
        <v>7.8</v>
      </c>
      <c r="D27" s="1" t="s">
        <v>2068</v>
      </c>
      <c r="E27"/>
      <c r="F27" s="91">
        <v>0.48</v>
      </c>
      <c r="G27" s="90" t="s">
        <v>870</v>
      </c>
      <c r="H27" s="86" t="s">
        <v>871</v>
      </c>
      <c r="I27" s="8">
        <f>(C67)</f>
        <v>3800</v>
      </c>
      <c r="J27" s="2" t="s">
        <v>870</v>
      </c>
      <c r="K27" s="8">
        <f>(F27*I27)</f>
        <v>1824</v>
      </c>
      <c r="R27" s="89" t="s">
        <v>1609</v>
      </c>
      <c r="T27" s="102" t="s">
        <v>1512</v>
      </c>
      <c r="U27" s="86" t="s">
        <v>2548</v>
      </c>
      <c r="V27" s="86" t="s">
        <v>875</v>
      </c>
      <c r="W27" s="107" t="s">
        <v>1819</v>
      </c>
      <c r="X27" s="87">
        <v>0</v>
      </c>
      <c r="Y27" s="8">
        <v>57165</v>
      </c>
      <c r="Z27" s="87">
        <v>0</v>
      </c>
      <c r="AA27" s="80">
        <v>0</v>
      </c>
      <c r="AB27" s="88">
        <v>0</v>
      </c>
      <c r="AC27" s="86">
        <f t="shared" si="1"/>
        <v>57165</v>
      </c>
      <c r="AD27" s="86" t="s">
        <v>1513</v>
      </c>
      <c r="AE27" s="8">
        <v>7.8</v>
      </c>
      <c r="AF27" s="91"/>
      <c r="AG27" s="91"/>
      <c r="AI27">
        <v>8.8000000000000007</v>
      </c>
      <c r="AJ27" s="87">
        <v>1.1000000000000001</v>
      </c>
      <c r="AK27" s="87">
        <f t="shared" si="0"/>
        <v>9.68</v>
      </c>
    </row>
    <row r="28" spans="1:37" hidden="1">
      <c r="A28" s="106">
        <f t="shared" si="3"/>
        <v>19</v>
      </c>
      <c r="B28" s="86" t="s">
        <v>2549</v>
      </c>
      <c r="C28" s="8">
        <v>58.33</v>
      </c>
      <c r="D28" s="1" t="s">
        <v>450</v>
      </c>
      <c r="E28"/>
      <c r="F28" s="91">
        <v>1</v>
      </c>
      <c r="G28" s="90" t="s">
        <v>878</v>
      </c>
      <c r="H28" s="86" t="s">
        <v>879</v>
      </c>
      <c r="I28" s="8" t="e">
        <f>(C78)</f>
        <v>#REF!</v>
      </c>
      <c r="J28" s="2" t="s">
        <v>878</v>
      </c>
      <c r="K28" s="8" t="e">
        <f>(F28*I28)</f>
        <v>#REF!</v>
      </c>
      <c r="O28" s="86" t="s">
        <v>170</v>
      </c>
      <c r="R28" s="91" t="e">
        <f>SUM(R22:R26)</f>
        <v>#REF!</v>
      </c>
      <c r="T28" s="102" t="s">
        <v>894</v>
      </c>
      <c r="U28" s="86" t="s">
        <v>2550</v>
      </c>
      <c r="V28" s="86" t="s">
        <v>875</v>
      </c>
      <c r="W28" s="107" t="s">
        <v>1819</v>
      </c>
      <c r="X28" s="87">
        <v>0</v>
      </c>
      <c r="Y28" s="8">
        <v>63870</v>
      </c>
      <c r="Z28" s="87">
        <v>0</v>
      </c>
      <c r="AA28" s="80">
        <v>0</v>
      </c>
      <c r="AB28" s="88">
        <v>0</v>
      </c>
      <c r="AC28" s="86">
        <f t="shared" si="1"/>
        <v>63870</v>
      </c>
      <c r="AD28" s="86" t="s">
        <v>2295</v>
      </c>
      <c r="AE28" s="8">
        <v>8.8000000000000007</v>
      </c>
      <c r="AF28" s="91"/>
      <c r="AG28" s="91"/>
      <c r="AI28">
        <v>25</v>
      </c>
      <c r="AJ28" s="87">
        <v>1.1000000000000001</v>
      </c>
      <c r="AK28" s="87">
        <f t="shared" si="0"/>
        <v>27.5</v>
      </c>
    </row>
    <row r="29" spans="1:37" hidden="1">
      <c r="A29" s="106">
        <f t="shared" si="3"/>
        <v>20</v>
      </c>
      <c r="B29" s="86" t="s">
        <v>777</v>
      </c>
      <c r="C29" s="8">
        <f>AE23</f>
        <v>120</v>
      </c>
      <c r="D29" s="1" t="s">
        <v>778</v>
      </c>
      <c r="E29"/>
      <c r="F29" s="91">
        <v>1</v>
      </c>
      <c r="G29" s="90" t="s">
        <v>878</v>
      </c>
      <c r="H29" s="86" t="s">
        <v>883</v>
      </c>
      <c r="I29" s="8">
        <f>(C18)</f>
        <v>26</v>
      </c>
      <c r="J29" s="2" t="s">
        <v>878</v>
      </c>
      <c r="K29" s="8">
        <f>(F29*I29)</f>
        <v>26</v>
      </c>
      <c r="R29" s="89" t="s">
        <v>1609</v>
      </c>
      <c r="T29" s="102" t="s">
        <v>779</v>
      </c>
      <c r="U29" s="86" t="s">
        <v>780</v>
      </c>
      <c r="V29" s="86" t="s">
        <v>1467</v>
      </c>
      <c r="W29" s="91" t="str">
        <f>W18</f>
        <v>Nerkundram</v>
      </c>
      <c r="X29" s="91" t="e">
        <f>X18</f>
        <v>#REF!</v>
      </c>
      <c r="Y29" s="8">
        <v>1470</v>
      </c>
      <c r="Z29" s="91" t="e">
        <f>Z18</f>
        <v>#REF!</v>
      </c>
      <c r="AA29" s="80">
        <v>0</v>
      </c>
      <c r="AB29" s="88">
        <v>0</v>
      </c>
      <c r="AC29" s="86" t="e">
        <f t="shared" si="1"/>
        <v>#REF!</v>
      </c>
      <c r="AD29" s="86" t="s">
        <v>2551</v>
      </c>
      <c r="AE29" s="8">
        <v>25</v>
      </c>
      <c r="AF29" s="91"/>
      <c r="AG29" s="91"/>
      <c r="AI29">
        <v>342</v>
      </c>
      <c r="AJ29" s="87">
        <v>1.1000000000000001</v>
      </c>
      <c r="AK29" s="87">
        <f t="shared" si="0"/>
        <v>376.2</v>
      </c>
    </row>
    <row r="30" spans="1:37" hidden="1">
      <c r="A30" s="106">
        <f t="shared" si="3"/>
        <v>21</v>
      </c>
      <c r="B30" s="86" t="s">
        <v>781</v>
      </c>
      <c r="C30" s="8">
        <f>AE33</f>
        <v>3035</v>
      </c>
      <c r="D30" s="8">
        <f>AE31</f>
        <v>287</v>
      </c>
      <c r="E30"/>
      <c r="G30" s="90" t="s">
        <v>450</v>
      </c>
      <c r="H30" s="86" t="s">
        <v>451</v>
      </c>
      <c r="I30" s="1" t="s">
        <v>987</v>
      </c>
      <c r="J30" s="2" t="s">
        <v>450</v>
      </c>
      <c r="K30" s="8">
        <v>0</v>
      </c>
      <c r="O30" s="86" t="s">
        <v>782</v>
      </c>
      <c r="R30" s="91" t="e">
        <f>(R28/1.5)</f>
        <v>#REF!</v>
      </c>
      <c r="T30" s="102" t="s">
        <v>2193</v>
      </c>
      <c r="U30" s="86" t="s">
        <v>18</v>
      </c>
      <c r="V30" s="86" t="s">
        <v>1467</v>
      </c>
      <c r="W30" s="107" t="s">
        <v>1819</v>
      </c>
      <c r="X30" s="91">
        <v>0</v>
      </c>
      <c r="Y30" s="8">
        <v>8240</v>
      </c>
      <c r="Z30" s="91">
        <v>0</v>
      </c>
      <c r="AA30" s="102">
        <v>0</v>
      </c>
      <c r="AB30" s="88">
        <v>0</v>
      </c>
      <c r="AC30" s="86">
        <f t="shared" si="1"/>
        <v>8240</v>
      </c>
      <c r="AD30" s="86" t="s">
        <v>2552</v>
      </c>
      <c r="AE30" s="8">
        <v>342</v>
      </c>
      <c r="AF30" s="91"/>
      <c r="AG30" s="91"/>
      <c r="AI30">
        <v>287</v>
      </c>
      <c r="AJ30" s="87">
        <v>1.1000000000000001</v>
      </c>
      <c r="AK30" s="87">
        <f t="shared" si="0"/>
        <v>315.7</v>
      </c>
    </row>
    <row r="31" spans="1:37" hidden="1">
      <c r="A31" s="106">
        <f t="shared" si="3"/>
        <v>22</v>
      </c>
      <c r="B31" s="86" t="s">
        <v>19</v>
      </c>
      <c r="C31" s="8">
        <f>AE30</f>
        <v>342</v>
      </c>
      <c r="D31" s="8">
        <f>AE32</f>
        <v>320</v>
      </c>
      <c r="E31"/>
      <c r="I31"/>
      <c r="J31" s="4"/>
      <c r="K31" s="5" t="s">
        <v>1609</v>
      </c>
      <c r="O31" s="86" t="s">
        <v>248</v>
      </c>
      <c r="R31" s="89" t="s">
        <v>2080</v>
      </c>
      <c r="T31" s="102" t="s">
        <v>20</v>
      </c>
      <c r="U31" s="86" t="s">
        <v>21</v>
      </c>
      <c r="V31" s="86" t="s">
        <v>870</v>
      </c>
      <c r="W31" s="86" t="s">
        <v>1819</v>
      </c>
      <c r="X31" s="91">
        <v>0</v>
      </c>
      <c r="Y31" s="8">
        <v>3800</v>
      </c>
      <c r="Z31" s="91">
        <v>0</v>
      </c>
      <c r="AA31" s="102">
        <v>0</v>
      </c>
      <c r="AB31" s="88">
        <v>0</v>
      </c>
      <c r="AC31" s="86">
        <v>3800</v>
      </c>
      <c r="AD31" s="86" t="s">
        <v>2553</v>
      </c>
      <c r="AE31" s="8">
        <v>287</v>
      </c>
      <c r="AF31" s="91"/>
      <c r="AG31" s="91"/>
      <c r="AI31">
        <v>320</v>
      </c>
      <c r="AJ31" s="87">
        <v>1.1000000000000001</v>
      </c>
      <c r="AK31" s="87">
        <f t="shared" si="0"/>
        <v>352</v>
      </c>
    </row>
    <row r="32" spans="1:37" hidden="1">
      <c r="A32" s="106">
        <f t="shared" si="3"/>
        <v>23</v>
      </c>
      <c r="B32" s="86" t="s">
        <v>1822</v>
      </c>
      <c r="C32" s="8">
        <v>2.5</v>
      </c>
      <c r="D32" s="8">
        <f>AE34</f>
        <v>267</v>
      </c>
      <c r="E32"/>
      <c r="H32" s="86" t="s">
        <v>1538</v>
      </c>
      <c r="I32"/>
      <c r="J32" s="4"/>
      <c r="K32" s="8" t="e">
        <f>SUM(K27:K30)</f>
        <v>#REF!</v>
      </c>
      <c r="T32" s="102" t="s">
        <v>1823</v>
      </c>
      <c r="U32" s="86" t="s">
        <v>1824</v>
      </c>
      <c r="V32" s="86" t="s">
        <v>870</v>
      </c>
      <c r="W32" s="86" t="s">
        <v>2290</v>
      </c>
      <c r="X32" s="91">
        <v>0</v>
      </c>
      <c r="Y32" s="8">
        <v>28000</v>
      </c>
      <c r="Z32" s="91">
        <v>0</v>
      </c>
      <c r="AA32" s="102">
        <v>0</v>
      </c>
      <c r="AB32" s="88">
        <v>0</v>
      </c>
      <c r="AC32" s="86">
        <f t="shared" ref="AC32:AC38" si="4">SUM(Y32+Z32+AA32+AB32)</f>
        <v>28000</v>
      </c>
      <c r="AD32" s="86" t="s">
        <v>2554</v>
      </c>
      <c r="AE32" s="8">
        <v>320</v>
      </c>
      <c r="AF32" s="91"/>
      <c r="AG32" s="91"/>
      <c r="AI32">
        <v>3035</v>
      </c>
      <c r="AJ32" s="87">
        <v>1.1000000000000001</v>
      </c>
      <c r="AK32" s="87">
        <f t="shared" si="0"/>
        <v>3338.5</v>
      </c>
    </row>
    <row r="33" spans="1:37" hidden="1">
      <c r="A33" s="106">
        <f t="shared" si="3"/>
        <v>24</v>
      </c>
      <c r="B33" s="86" t="s">
        <v>445</v>
      </c>
      <c r="C33" s="8">
        <v>3.64</v>
      </c>
      <c r="D33" s="8">
        <f>AE35</f>
        <v>240</v>
      </c>
      <c r="E33"/>
      <c r="I33"/>
      <c r="J33" s="4"/>
      <c r="K33" s="5" t="s">
        <v>1609</v>
      </c>
      <c r="T33" s="108" t="s">
        <v>446</v>
      </c>
      <c r="U33" s="86" t="s">
        <v>1438</v>
      </c>
      <c r="V33" s="86" t="s">
        <v>870</v>
      </c>
      <c r="W33" s="86" t="s">
        <v>2290</v>
      </c>
      <c r="X33" s="91">
        <v>0</v>
      </c>
      <c r="Y33" s="8">
        <v>26500</v>
      </c>
      <c r="Z33" s="91">
        <v>0</v>
      </c>
      <c r="AA33" s="102">
        <v>0</v>
      </c>
      <c r="AB33" s="88">
        <v>0</v>
      </c>
      <c r="AC33" s="86">
        <f t="shared" si="4"/>
        <v>26500</v>
      </c>
      <c r="AD33" s="86" t="s">
        <v>2555</v>
      </c>
      <c r="AE33" s="8">
        <v>3035</v>
      </c>
      <c r="AF33" s="91"/>
      <c r="AG33" s="91"/>
      <c r="AI33">
        <v>267</v>
      </c>
      <c r="AJ33" s="87">
        <v>1.1000000000000001</v>
      </c>
      <c r="AK33" s="87">
        <f t="shared" si="0"/>
        <v>293.7</v>
      </c>
    </row>
    <row r="34" spans="1:37" hidden="1">
      <c r="A34" s="106">
        <f t="shared" si="3"/>
        <v>25</v>
      </c>
      <c r="B34" s="86" t="s">
        <v>1439</v>
      </c>
      <c r="C34" s="8">
        <v>30000</v>
      </c>
      <c r="D34" s="8">
        <v>30000</v>
      </c>
      <c r="E34"/>
      <c r="G34" s="90" t="s">
        <v>2276</v>
      </c>
      <c r="H34" s="86" t="s">
        <v>1327</v>
      </c>
      <c r="I34"/>
      <c r="J34" s="4"/>
      <c r="K34"/>
      <c r="T34" s="108" t="s">
        <v>1440</v>
      </c>
      <c r="U34" s="86" t="s">
        <v>1441</v>
      </c>
      <c r="V34" s="86" t="s">
        <v>1467</v>
      </c>
      <c r="W34" s="91" t="str">
        <f>W18</f>
        <v>Nerkundram</v>
      </c>
      <c r="X34" s="91" t="e">
        <f>X18</f>
        <v>#REF!</v>
      </c>
      <c r="Y34" s="8">
        <f>Y29</f>
        <v>1470</v>
      </c>
      <c r="Z34" s="91" t="e">
        <f>Z29</f>
        <v>#REF!</v>
      </c>
      <c r="AA34" s="102">
        <v>0</v>
      </c>
      <c r="AB34" s="88">
        <v>0</v>
      </c>
      <c r="AC34" s="86" t="e">
        <f t="shared" si="4"/>
        <v>#REF!</v>
      </c>
      <c r="AD34" s="86" t="s">
        <v>2556</v>
      </c>
      <c r="AE34" s="8">
        <v>267</v>
      </c>
      <c r="AF34" s="91"/>
      <c r="AG34" s="91"/>
      <c r="AI34">
        <v>240</v>
      </c>
      <c r="AJ34" s="87">
        <v>1.1000000000000001</v>
      </c>
      <c r="AK34" s="87">
        <f t="shared" si="0"/>
        <v>264</v>
      </c>
    </row>
    <row r="35" spans="1:37" hidden="1">
      <c r="A35" s="106">
        <f t="shared" si="3"/>
        <v>26</v>
      </c>
      <c r="B35" s="86" t="s">
        <v>2557</v>
      </c>
      <c r="C35" s="8">
        <f>AC38</f>
        <v>169</v>
      </c>
      <c r="D35"/>
      <c r="E35"/>
      <c r="F35" s="91">
        <v>0.36</v>
      </c>
      <c r="G35" s="90" t="s">
        <v>870</v>
      </c>
      <c r="H35" s="86" t="s">
        <v>871</v>
      </c>
      <c r="I35" s="8">
        <f>C67</f>
        <v>3800</v>
      </c>
      <c r="J35" s="2" t="s">
        <v>870</v>
      </c>
      <c r="K35" s="8">
        <f>(F35*I35)</f>
        <v>1368</v>
      </c>
      <c r="T35" s="102" t="s">
        <v>1442</v>
      </c>
      <c r="U35" s="86" t="s">
        <v>399</v>
      </c>
      <c r="V35" s="86" t="s">
        <v>875</v>
      </c>
      <c r="W35" s="86" t="str">
        <f>W11</f>
        <v>Pallavaram</v>
      </c>
      <c r="X35" s="91">
        <v>18</v>
      </c>
      <c r="Y35" s="109">
        <v>278</v>
      </c>
      <c r="Z35" s="91" t="e">
        <f>Z11</f>
        <v>#REF!</v>
      </c>
      <c r="AA35" s="102">
        <v>0</v>
      </c>
      <c r="AB35" s="88">
        <v>0</v>
      </c>
      <c r="AC35" s="86" t="e">
        <f t="shared" si="4"/>
        <v>#REF!</v>
      </c>
      <c r="AD35" s="86" t="s">
        <v>2558</v>
      </c>
      <c r="AE35" s="8">
        <v>240</v>
      </c>
      <c r="AF35" s="91"/>
      <c r="AG35" s="91"/>
      <c r="AI35">
        <v>37.299999999999997</v>
      </c>
      <c r="AJ35" s="87">
        <v>1.1000000000000001</v>
      </c>
      <c r="AK35" s="87">
        <f t="shared" si="0"/>
        <v>41.03</v>
      </c>
    </row>
    <row r="36" spans="1:37" hidden="1">
      <c r="B36" s="86" t="s">
        <v>756</v>
      </c>
      <c r="C36" s="8">
        <v>2.6</v>
      </c>
      <c r="D36"/>
      <c r="E36"/>
      <c r="F36" s="91">
        <v>1</v>
      </c>
      <c r="G36" s="90" t="s">
        <v>878</v>
      </c>
      <c r="H36" s="86" t="s">
        <v>879</v>
      </c>
      <c r="I36" s="8" t="e">
        <f>C78</f>
        <v>#REF!</v>
      </c>
      <c r="J36" s="2" t="s">
        <v>878</v>
      </c>
      <c r="K36" s="8" t="e">
        <f>(F36*I36)</f>
        <v>#REF!</v>
      </c>
      <c r="T36" s="102" t="s">
        <v>228</v>
      </c>
      <c r="U36" s="86" t="s">
        <v>398</v>
      </c>
      <c r="V36" s="86" t="s">
        <v>875</v>
      </c>
      <c r="W36" s="86" t="str">
        <f>W12</f>
        <v>Pallavaram</v>
      </c>
      <c r="X36" s="91">
        <v>18</v>
      </c>
      <c r="Y36" s="109">
        <v>334.5</v>
      </c>
      <c r="Z36" s="91" t="e">
        <f>Z12</f>
        <v>#REF!</v>
      </c>
      <c r="AA36" s="102">
        <v>0</v>
      </c>
      <c r="AB36" s="88">
        <v>0</v>
      </c>
      <c r="AC36" s="86" t="e">
        <f t="shared" si="4"/>
        <v>#REF!</v>
      </c>
      <c r="AD36" s="86" t="s">
        <v>2559</v>
      </c>
      <c r="AE36" s="6">
        <v>37.299999999999997</v>
      </c>
      <c r="AF36" s="92"/>
      <c r="AG36" s="92"/>
      <c r="AI36">
        <v>95.5</v>
      </c>
      <c r="AJ36" s="87">
        <v>1.1000000000000001</v>
      </c>
      <c r="AK36" s="87">
        <f t="shared" si="0"/>
        <v>105.05</v>
      </c>
    </row>
    <row r="37" spans="1:37" hidden="1">
      <c r="C37"/>
      <c r="D37"/>
      <c r="E37"/>
      <c r="F37" s="91">
        <v>1</v>
      </c>
      <c r="G37" s="90" t="s">
        <v>878</v>
      </c>
      <c r="H37" s="86" t="s">
        <v>883</v>
      </c>
      <c r="I37" s="8">
        <f>C18</f>
        <v>26</v>
      </c>
      <c r="J37" s="2" t="s">
        <v>878</v>
      </c>
      <c r="K37" s="8">
        <f>(F37*I37)</f>
        <v>26</v>
      </c>
      <c r="T37" s="102" t="s">
        <v>1698</v>
      </c>
      <c r="U37" s="86" t="s">
        <v>416</v>
      </c>
      <c r="V37" s="86" t="s">
        <v>875</v>
      </c>
      <c r="W37" s="86" t="str">
        <f>W13</f>
        <v>Pallavaram</v>
      </c>
      <c r="X37" s="91">
        <v>18</v>
      </c>
      <c r="Y37" s="109">
        <v>278.5</v>
      </c>
      <c r="Z37" s="91" t="e">
        <f>Z13</f>
        <v>#REF!</v>
      </c>
      <c r="AA37" s="102">
        <v>0</v>
      </c>
      <c r="AB37" s="88">
        <v>0</v>
      </c>
      <c r="AC37" s="86" t="e">
        <f t="shared" si="4"/>
        <v>#REF!</v>
      </c>
      <c r="AD37" s="86" t="s">
        <v>2560</v>
      </c>
      <c r="AE37" s="8">
        <v>120</v>
      </c>
      <c r="AF37" s="91"/>
      <c r="AG37" s="91"/>
    </row>
    <row r="38" spans="1:37" hidden="1">
      <c r="A38" s="106">
        <f>(A35+1)</f>
        <v>27</v>
      </c>
      <c r="B38" s="86" t="s">
        <v>1699</v>
      </c>
      <c r="C38" s="8">
        <v>40</v>
      </c>
      <c r="D38" s="1" t="s">
        <v>877</v>
      </c>
      <c r="E38"/>
      <c r="G38" s="90" t="s">
        <v>450</v>
      </c>
      <c r="H38" s="86" t="s">
        <v>451</v>
      </c>
      <c r="I38" s="1" t="s">
        <v>987</v>
      </c>
      <c r="J38" s="2" t="s">
        <v>450</v>
      </c>
      <c r="K38" s="8">
        <v>0</v>
      </c>
      <c r="T38" s="102" t="s">
        <v>210</v>
      </c>
      <c r="U38" s="86" t="s">
        <v>211</v>
      </c>
      <c r="V38" s="86" t="s">
        <v>875</v>
      </c>
      <c r="W38" s="86" t="s">
        <v>2561</v>
      </c>
      <c r="X38" s="91">
        <v>20</v>
      </c>
      <c r="Y38" s="6">
        <v>83</v>
      </c>
      <c r="Z38" s="91">
        <v>86</v>
      </c>
      <c r="AA38" s="102">
        <v>0</v>
      </c>
      <c r="AB38" s="88">
        <v>0</v>
      </c>
      <c r="AC38" s="86">
        <f t="shared" si="4"/>
        <v>169</v>
      </c>
      <c r="AD38" s="86" t="s">
        <v>987</v>
      </c>
      <c r="AE38" s="6"/>
      <c r="AG38" s="86" t="s">
        <v>2284</v>
      </c>
    </row>
    <row r="39" spans="1:37" hidden="1">
      <c r="A39" s="106">
        <f t="shared" ref="A39:A58" si="5">(A38+1)</f>
        <v>28</v>
      </c>
      <c r="B39" s="86" t="s">
        <v>212</v>
      </c>
      <c r="C39" s="8">
        <v>41</v>
      </c>
      <c r="D39" s="8">
        <v>500</v>
      </c>
      <c r="E39"/>
      <c r="I39"/>
      <c r="J39" s="4"/>
      <c r="K39" s="5" t="s">
        <v>1609</v>
      </c>
      <c r="T39" s="80"/>
      <c r="AA39" s="80"/>
      <c r="AG39" s="86" t="s">
        <v>2284</v>
      </c>
    </row>
    <row r="40" spans="1:37" hidden="1">
      <c r="A40" s="106">
        <f t="shared" si="5"/>
        <v>29</v>
      </c>
      <c r="B40" s="86" t="s">
        <v>1027</v>
      </c>
      <c r="C40" s="8">
        <v>28</v>
      </c>
      <c r="D40" s="8">
        <f>95+95*0.11</f>
        <v>105.45</v>
      </c>
      <c r="E40"/>
      <c r="H40" s="86" t="s">
        <v>1538</v>
      </c>
      <c r="I40"/>
      <c r="J40" s="4"/>
      <c r="K40" s="8" t="e">
        <f>SUM(K35:K38)</f>
        <v>#REF!</v>
      </c>
      <c r="T40" s="89" t="s">
        <v>1609</v>
      </c>
      <c r="U40" s="89" t="s">
        <v>1609</v>
      </c>
      <c r="V40" s="89" t="s">
        <v>1609</v>
      </c>
      <c r="W40" s="89" t="s">
        <v>1609</v>
      </c>
      <c r="X40" s="89" t="s">
        <v>1609</v>
      </c>
      <c r="Y40" s="89" t="s">
        <v>1609</v>
      </c>
      <c r="Z40" s="89" t="s">
        <v>1609</v>
      </c>
      <c r="AA40" s="89" t="s">
        <v>1609</v>
      </c>
      <c r="AB40" s="89" t="s">
        <v>1609</v>
      </c>
      <c r="AC40" s="89" t="s">
        <v>1609</v>
      </c>
      <c r="AD40" s="89" t="s">
        <v>1609</v>
      </c>
      <c r="AE40" s="89" t="s">
        <v>1609</v>
      </c>
      <c r="AF40" s="89"/>
      <c r="AG40" s="86" t="s">
        <v>2284</v>
      </c>
    </row>
    <row r="41" spans="1:37" ht="47.25" hidden="1" customHeight="1">
      <c r="A41" s="106">
        <f t="shared" si="5"/>
        <v>30</v>
      </c>
      <c r="B41" s="86" t="s">
        <v>1794</v>
      </c>
      <c r="C41" s="8">
        <f>AE22</f>
        <v>110</v>
      </c>
      <c r="D41" s="1" t="s">
        <v>778</v>
      </c>
      <c r="E41"/>
      <c r="I41"/>
      <c r="J41" s="4"/>
      <c r="K41" s="5" t="s">
        <v>1609</v>
      </c>
      <c r="U41" s="110"/>
      <c r="Y41" s="86" t="s">
        <v>987</v>
      </c>
      <c r="AG41" s="86" t="s">
        <v>2284</v>
      </c>
    </row>
    <row r="42" spans="1:37" hidden="1">
      <c r="A42" s="106">
        <f t="shared" si="5"/>
        <v>31</v>
      </c>
      <c r="B42" s="86" t="s">
        <v>1795</v>
      </c>
      <c r="C42" s="8">
        <v>1.75</v>
      </c>
      <c r="D42" s="1" t="s">
        <v>1796</v>
      </c>
      <c r="E42"/>
      <c r="G42" s="90" t="s">
        <v>2276</v>
      </c>
      <c r="H42" s="86" t="s">
        <v>1650</v>
      </c>
      <c r="I42"/>
      <c r="J42" s="4"/>
      <c r="K42"/>
      <c r="U42" s="87" t="s">
        <v>1530</v>
      </c>
      <c r="AG42" s="86" t="s">
        <v>2284</v>
      </c>
    </row>
    <row r="43" spans="1:37" hidden="1">
      <c r="A43" s="106">
        <f t="shared" si="5"/>
        <v>32</v>
      </c>
      <c r="B43" s="86" t="s">
        <v>1651</v>
      </c>
      <c r="C43" s="8">
        <v>2.2000000000000002</v>
      </c>
      <c r="D43" s="1" t="s">
        <v>778</v>
      </c>
      <c r="E43"/>
      <c r="H43" s="89" t="s">
        <v>1609</v>
      </c>
      <c r="I43"/>
      <c r="J43" s="4"/>
      <c r="K43"/>
      <c r="AG43" s="86" t="s">
        <v>2284</v>
      </c>
    </row>
    <row r="44" spans="1:37" hidden="1">
      <c r="A44" s="106">
        <f t="shared" si="5"/>
        <v>33</v>
      </c>
      <c r="B44" s="86" t="s">
        <v>260</v>
      </c>
      <c r="C44" s="8">
        <v>2.2000000000000002</v>
      </c>
      <c r="D44" s="1" t="s">
        <v>778</v>
      </c>
      <c r="E44"/>
      <c r="F44" s="111">
        <v>0.28799999999999998</v>
      </c>
      <c r="G44" s="90" t="s">
        <v>870</v>
      </c>
      <c r="H44" s="86" t="s">
        <v>871</v>
      </c>
      <c r="I44" s="8">
        <f>(C67)</f>
        <v>3800</v>
      </c>
      <c r="J44" s="2" t="s">
        <v>870</v>
      </c>
      <c r="K44" s="8">
        <f>(F44*I44)</f>
        <v>1094.4000000000001</v>
      </c>
      <c r="AG44" s="86" t="s">
        <v>2284</v>
      </c>
    </row>
    <row r="45" spans="1:37" hidden="1">
      <c r="A45" s="106">
        <f t="shared" si="5"/>
        <v>34</v>
      </c>
      <c r="B45" s="86" t="s">
        <v>1937</v>
      </c>
      <c r="C45" s="8">
        <v>2.7</v>
      </c>
      <c r="D45" s="1" t="s">
        <v>778</v>
      </c>
      <c r="E45"/>
      <c r="F45" s="91">
        <v>1</v>
      </c>
      <c r="G45" s="90" t="s">
        <v>878</v>
      </c>
      <c r="H45" s="86" t="s">
        <v>879</v>
      </c>
      <c r="I45" s="8" t="e">
        <f>(C78)</f>
        <v>#REF!</v>
      </c>
      <c r="J45" s="2" t="s">
        <v>878</v>
      </c>
      <c r="K45" s="8" t="e">
        <f>(F45*I45)</f>
        <v>#REF!</v>
      </c>
      <c r="AG45" s="86" t="s">
        <v>2284</v>
      </c>
    </row>
    <row r="46" spans="1:37" hidden="1">
      <c r="A46" s="106">
        <f t="shared" si="5"/>
        <v>35</v>
      </c>
      <c r="B46" s="86" t="s">
        <v>78</v>
      </c>
      <c r="C46" s="8">
        <v>3.2</v>
      </c>
      <c r="D46" s="1" t="s">
        <v>778</v>
      </c>
      <c r="E46"/>
      <c r="F46" s="91">
        <v>1</v>
      </c>
      <c r="G46" s="90" t="s">
        <v>878</v>
      </c>
      <c r="H46" s="86" t="s">
        <v>883</v>
      </c>
      <c r="I46" s="8">
        <f>(C18)</f>
        <v>26</v>
      </c>
      <c r="J46" s="2" t="s">
        <v>878</v>
      </c>
      <c r="K46" s="8">
        <f>(F46*I46)</f>
        <v>26</v>
      </c>
      <c r="W46" s="86" t="s">
        <v>1687</v>
      </c>
      <c r="AA46" s="86" t="s">
        <v>79</v>
      </c>
      <c r="AE46" s="87" t="s">
        <v>2337</v>
      </c>
      <c r="AG46" s="86" t="s">
        <v>2284</v>
      </c>
    </row>
    <row r="47" spans="1:37" hidden="1">
      <c r="A47" s="106">
        <f t="shared" si="5"/>
        <v>36</v>
      </c>
      <c r="B47" s="86" t="s">
        <v>80</v>
      </c>
      <c r="C47" s="8">
        <v>4.2</v>
      </c>
      <c r="D47" s="1" t="s">
        <v>778</v>
      </c>
      <c r="E47"/>
      <c r="G47" s="90" t="s">
        <v>450</v>
      </c>
      <c r="H47" s="86" t="s">
        <v>451</v>
      </c>
      <c r="I47" s="1" t="s">
        <v>987</v>
      </c>
      <c r="J47" s="2" t="s">
        <v>450</v>
      </c>
      <c r="K47" s="8">
        <v>0</v>
      </c>
      <c r="N47" s="86" t="s">
        <v>2276</v>
      </c>
      <c r="O47" s="86" t="s">
        <v>1273</v>
      </c>
      <c r="AG47" s="86" t="s">
        <v>2284</v>
      </c>
    </row>
    <row r="48" spans="1:37" hidden="1">
      <c r="A48" s="106">
        <f t="shared" si="5"/>
        <v>37</v>
      </c>
      <c r="B48" s="86" t="s">
        <v>1274</v>
      </c>
      <c r="C48" s="8">
        <v>5.35</v>
      </c>
      <c r="D48" s="8">
        <v>10.65</v>
      </c>
      <c r="E48"/>
      <c r="I48"/>
      <c r="J48" s="4"/>
      <c r="K48" s="5" t="s">
        <v>1609</v>
      </c>
      <c r="O48" s="86" t="s">
        <v>649</v>
      </c>
      <c r="AG48" s="86" t="s">
        <v>2284</v>
      </c>
    </row>
    <row r="49" spans="1:33" hidden="1">
      <c r="A49" s="106">
        <f t="shared" si="5"/>
        <v>38</v>
      </c>
      <c r="B49" s="86" t="s">
        <v>1731</v>
      </c>
      <c r="C49" s="8">
        <v>5.85</v>
      </c>
      <c r="D49" s="8">
        <v>7.45</v>
      </c>
      <c r="E49"/>
      <c r="H49" s="86" t="s">
        <v>1538</v>
      </c>
      <c r="I49"/>
      <c r="J49" s="4"/>
      <c r="K49" s="8" t="e">
        <f>SUM(K44:K47)</f>
        <v>#REF!</v>
      </c>
      <c r="O49" s="89" t="s">
        <v>1609</v>
      </c>
      <c r="AG49" s="86" t="s">
        <v>2284</v>
      </c>
    </row>
    <row r="50" spans="1:33" hidden="1">
      <c r="A50" s="106">
        <f t="shared" si="5"/>
        <v>39</v>
      </c>
      <c r="B50" s="86" t="s">
        <v>1654</v>
      </c>
      <c r="C50" s="8">
        <v>3.2</v>
      </c>
      <c r="D50" s="1" t="s">
        <v>778</v>
      </c>
      <c r="E50"/>
      <c r="I50"/>
      <c r="J50" s="4"/>
      <c r="K50" s="5" t="s">
        <v>1609</v>
      </c>
      <c r="M50" s="91">
        <v>9</v>
      </c>
      <c r="N50" s="86" t="s">
        <v>878</v>
      </c>
      <c r="O50" s="86" t="s">
        <v>649</v>
      </c>
      <c r="P50" s="91" t="e">
        <f>(C81)</f>
        <v>#REF!</v>
      </c>
      <c r="Q50" s="86" t="s">
        <v>878</v>
      </c>
      <c r="R50" s="91" t="e">
        <f>(M50*P50)</f>
        <v>#REF!</v>
      </c>
      <c r="AG50" s="86" t="s">
        <v>2284</v>
      </c>
    </row>
    <row r="51" spans="1:33" hidden="1">
      <c r="A51" s="106">
        <f t="shared" si="5"/>
        <v>40</v>
      </c>
      <c r="B51" s="86" t="s">
        <v>1655</v>
      </c>
      <c r="C51" s="8">
        <v>3.2</v>
      </c>
      <c r="D51" s="1" t="s">
        <v>778</v>
      </c>
      <c r="E51"/>
      <c r="G51" s="90" t="s">
        <v>2276</v>
      </c>
      <c r="H51" s="86" t="s">
        <v>1656</v>
      </c>
      <c r="I51"/>
      <c r="J51" s="4"/>
      <c r="K51"/>
      <c r="M51" s="91">
        <v>4.5</v>
      </c>
      <c r="N51" s="86" t="s">
        <v>878</v>
      </c>
      <c r="O51" s="86" t="s">
        <v>1657</v>
      </c>
      <c r="P51" s="91" t="e">
        <f>(K77)</f>
        <v>#REF!</v>
      </c>
      <c r="Q51" s="86" t="s">
        <v>878</v>
      </c>
      <c r="R51" s="91" t="e">
        <f>(M51*P51)</f>
        <v>#REF!</v>
      </c>
      <c r="AG51" s="86" t="s">
        <v>2284</v>
      </c>
    </row>
    <row r="52" spans="1:33" hidden="1">
      <c r="A52" s="106">
        <f t="shared" si="5"/>
        <v>41</v>
      </c>
      <c r="B52" s="86" t="s">
        <v>1736</v>
      </c>
      <c r="C52" s="8">
        <v>6.4</v>
      </c>
      <c r="D52" s="1" t="s">
        <v>778</v>
      </c>
      <c r="E52"/>
      <c r="H52" s="89" t="s">
        <v>1609</v>
      </c>
      <c r="I52"/>
      <c r="J52" s="4"/>
      <c r="K52"/>
      <c r="M52" s="91">
        <v>1.8</v>
      </c>
      <c r="N52" s="86" t="s">
        <v>877</v>
      </c>
      <c r="O52" s="86" t="s">
        <v>1737</v>
      </c>
      <c r="P52" s="91">
        <f>(C11)</f>
        <v>135</v>
      </c>
      <c r="Q52" s="86" t="s">
        <v>877</v>
      </c>
      <c r="R52" s="91">
        <f>(M52*P52)</f>
        <v>243</v>
      </c>
      <c r="AG52" s="86" t="s">
        <v>2284</v>
      </c>
    </row>
    <row r="53" spans="1:33" hidden="1">
      <c r="A53" s="106">
        <f t="shared" si="5"/>
        <v>42</v>
      </c>
      <c r="B53" s="86" t="s">
        <v>1926</v>
      </c>
      <c r="C53" s="8">
        <v>8.5500000000000007</v>
      </c>
      <c r="D53" s="8">
        <v>21.3</v>
      </c>
      <c r="E53"/>
      <c r="F53" s="91">
        <v>0.24</v>
      </c>
      <c r="G53" s="90" t="s">
        <v>870</v>
      </c>
      <c r="H53" s="86" t="s">
        <v>871</v>
      </c>
      <c r="I53" s="8">
        <f>(C67)</f>
        <v>3800</v>
      </c>
      <c r="J53" s="2" t="s">
        <v>870</v>
      </c>
      <c r="K53" s="8">
        <f>(F53*I53)</f>
        <v>912</v>
      </c>
      <c r="M53" s="91">
        <v>17.7</v>
      </c>
      <c r="N53" s="86" t="s">
        <v>877</v>
      </c>
      <c r="O53" s="86" t="s">
        <v>1927</v>
      </c>
      <c r="P53" s="91">
        <f>(C12)</f>
        <v>95</v>
      </c>
      <c r="Q53" s="86" t="s">
        <v>877</v>
      </c>
      <c r="R53" s="91">
        <f>(M53*P53)</f>
        <v>1681.5</v>
      </c>
      <c r="AG53" s="86" t="s">
        <v>2284</v>
      </c>
    </row>
    <row r="54" spans="1:33" hidden="1">
      <c r="A54" s="106">
        <f t="shared" si="5"/>
        <v>43</v>
      </c>
      <c r="B54" s="86" t="s">
        <v>320</v>
      </c>
      <c r="C54" s="8">
        <v>9.5500000000000007</v>
      </c>
      <c r="D54" s="8">
        <v>16</v>
      </c>
      <c r="E54"/>
      <c r="F54" s="91">
        <v>1</v>
      </c>
      <c r="G54" s="90" t="s">
        <v>878</v>
      </c>
      <c r="H54" s="86" t="s">
        <v>879</v>
      </c>
      <c r="I54" s="8" t="e">
        <f>(C78)</f>
        <v>#REF!</v>
      </c>
      <c r="J54" s="2" t="s">
        <v>878</v>
      </c>
      <c r="K54" s="8" t="e">
        <f>(F54*I54)</f>
        <v>#REF!</v>
      </c>
      <c r="M54" s="91">
        <v>14.1</v>
      </c>
      <c r="N54" s="86" t="s">
        <v>877</v>
      </c>
      <c r="O54" s="86" t="s">
        <v>321</v>
      </c>
      <c r="P54" s="91">
        <f>(C13)</f>
        <v>85</v>
      </c>
      <c r="Q54" s="86" t="s">
        <v>877</v>
      </c>
      <c r="R54" s="91">
        <f>(M54*P54)</f>
        <v>1198.5</v>
      </c>
      <c r="AG54" s="86" t="s">
        <v>322</v>
      </c>
    </row>
    <row r="55" spans="1:33" hidden="1">
      <c r="A55" s="106">
        <f t="shared" si="5"/>
        <v>44</v>
      </c>
      <c r="B55" s="86" t="s">
        <v>323</v>
      </c>
      <c r="C55" s="8">
        <v>10.65</v>
      </c>
      <c r="D55" s="8">
        <v>12.75</v>
      </c>
      <c r="E55"/>
      <c r="F55" s="91">
        <v>1</v>
      </c>
      <c r="G55" s="90" t="s">
        <v>878</v>
      </c>
      <c r="H55" s="86" t="s">
        <v>883</v>
      </c>
      <c r="I55" s="8">
        <f>(C18)</f>
        <v>26</v>
      </c>
      <c r="J55" s="2" t="s">
        <v>878</v>
      </c>
      <c r="K55" s="8">
        <f>(F55*I55)</f>
        <v>26</v>
      </c>
      <c r="N55" s="86" t="s">
        <v>450</v>
      </c>
      <c r="O55" s="86" t="s">
        <v>451</v>
      </c>
      <c r="Q55" s="86" t="s">
        <v>450</v>
      </c>
      <c r="R55" s="91">
        <v>0</v>
      </c>
    </row>
    <row r="56" spans="1:33" hidden="1">
      <c r="A56" s="106">
        <f t="shared" si="5"/>
        <v>45</v>
      </c>
      <c r="B56" s="86" t="s">
        <v>324</v>
      </c>
      <c r="C56" s="8">
        <v>12.1</v>
      </c>
      <c r="D56" s="1" t="s">
        <v>450</v>
      </c>
      <c r="E56"/>
      <c r="G56" s="90" t="s">
        <v>450</v>
      </c>
      <c r="H56" s="86" t="s">
        <v>451</v>
      </c>
      <c r="I56" s="1" t="s">
        <v>987</v>
      </c>
      <c r="J56" s="2" t="s">
        <v>450</v>
      </c>
      <c r="K56" s="8">
        <v>0</v>
      </c>
      <c r="R56" s="89" t="s">
        <v>1609</v>
      </c>
    </row>
    <row r="57" spans="1:33" hidden="1">
      <c r="A57" s="106">
        <f t="shared" si="5"/>
        <v>46</v>
      </c>
      <c r="B57" s="86" t="s">
        <v>619</v>
      </c>
      <c r="C57" s="8">
        <v>35</v>
      </c>
      <c r="D57" s="1" t="s">
        <v>450</v>
      </c>
      <c r="E57"/>
      <c r="I57"/>
      <c r="J57" s="4"/>
      <c r="K57" s="5" t="s">
        <v>1609</v>
      </c>
      <c r="O57" s="86" t="s">
        <v>620</v>
      </c>
      <c r="R57" s="91" t="e">
        <f>SUM(R50:R55)</f>
        <v>#REF!</v>
      </c>
      <c r="AG57" s="86" t="s">
        <v>2284</v>
      </c>
    </row>
    <row r="58" spans="1:33" hidden="1">
      <c r="A58" s="106">
        <f t="shared" si="5"/>
        <v>47</v>
      </c>
      <c r="B58" s="86" t="s">
        <v>621</v>
      </c>
      <c r="C58" s="8">
        <v>15</v>
      </c>
      <c r="D58" s="1" t="s">
        <v>450</v>
      </c>
      <c r="E58"/>
      <c r="H58" s="86" t="s">
        <v>1538</v>
      </c>
      <c r="I58"/>
      <c r="J58" s="4"/>
      <c r="K58" s="8" t="e">
        <f>SUM(K53:K56)</f>
        <v>#REF!</v>
      </c>
      <c r="R58" s="89" t="s">
        <v>1609</v>
      </c>
      <c r="AG58" s="86" t="s">
        <v>2284</v>
      </c>
    </row>
    <row r="59" spans="1:33" hidden="1">
      <c r="C59"/>
      <c r="D59"/>
      <c r="E59"/>
      <c r="F59" s="86" t="s">
        <v>987</v>
      </c>
      <c r="I59"/>
      <c r="J59" s="4"/>
      <c r="K59"/>
    </row>
    <row r="60" spans="1:33" hidden="1">
      <c r="A60" s="106">
        <f>(A58+1)</f>
        <v>48</v>
      </c>
      <c r="B60" s="86" t="s">
        <v>622</v>
      </c>
      <c r="C60" s="8">
        <v>6.55</v>
      </c>
      <c r="D60" s="1" t="s">
        <v>2103</v>
      </c>
      <c r="E60"/>
      <c r="I60"/>
      <c r="J60" s="4"/>
      <c r="K60" s="5" t="s">
        <v>1609</v>
      </c>
      <c r="O60" s="86" t="s">
        <v>782</v>
      </c>
      <c r="R60" s="91" t="e">
        <f>(R57/10)</f>
        <v>#REF!</v>
      </c>
      <c r="AG60" s="86" t="s">
        <v>2284</v>
      </c>
    </row>
    <row r="61" spans="1:33" hidden="1">
      <c r="A61" s="106">
        <f t="shared" ref="A61:A91" si="6">(A60+1)</f>
        <v>49</v>
      </c>
      <c r="B61" s="86" t="s">
        <v>2104</v>
      </c>
      <c r="C61" s="8">
        <f>AE29</f>
        <v>25</v>
      </c>
      <c r="D61" s="8">
        <f>AE36</f>
        <v>37.299999999999997</v>
      </c>
      <c r="E61"/>
      <c r="G61" s="90" t="s">
        <v>2276</v>
      </c>
      <c r="H61" s="86" t="s">
        <v>2105</v>
      </c>
      <c r="I61"/>
      <c r="J61" s="4"/>
      <c r="K61"/>
      <c r="R61" s="89" t="s">
        <v>2080</v>
      </c>
      <c r="AG61" s="86" t="s">
        <v>2284</v>
      </c>
    </row>
    <row r="62" spans="1:33" hidden="1">
      <c r="A62" s="106">
        <f t="shared" si="6"/>
        <v>50</v>
      </c>
      <c r="B62" s="86" t="s">
        <v>2106</v>
      </c>
      <c r="C62" s="8">
        <v>85.5</v>
      </c>
      <c r="D62" s="1" t="s">
        <v>877</v>
      </c>
      <c r="E62"/>
      <c r="H62" s="89" t="s">
        <v>1609</v>
      </c>
      <c r="I62"/>
      <c r="J62" s="4"/>
      <c r="K62"/>
      <c r="N62" s="86" t="s">
        <v>2276</v>
      </c>
      <c r="O62" s="86" t="s">
        <v>1377</v>
      </c>
      <c r="AG62" s="86" t="s">
        <v>2284</v>
      </c>
    </row>
    <row r="63" spans="1:33" hidden="1">
      <c r="A63" s="106">
        <f t="shared" si="6"/>
        <v>51</v>
      </c>
      <c r="B63" s="86" t="s">
        <v>2070</v>
      </c>
      <c r="C63" s="8">
        <v>42</v>
      </c>
      <c r="D63" s="1" t="s">
        <v>450</v>
      </c>
      <c r="E63"/>
      <c r="F63" s="111">
        <v>0.20599999999999999</v>
      </c>
      <c r="G63" s="90" t="s">
        <v>870</v>
      </c>
      <c r="H63" s="86" t="s">
        <v>871</v>
      </c>
      <c r="I63" s="8">
        <f>(C67)</f>
        <v>3800</v>
      </c>
      <c r="J63" s="2" t="s">
        <v>870</v>
      </c>
      <c r="K63" s="8">
        <f>(F63*I63)</f>
        <v>782.8</v>
      </c>
      <c r="O63" s="86" t="s">
        <v>1509</v>
      </c>
      <c r="AG63" s="86" t="s">
        <v>2284</v>
      </c>
    </row>
    <row r="64" spans="1:33" hidden="1">
      <c r="A64" s="106">
        <f t="shared" si="6"/>
        <v>52</v>
      </c>
      <c r="B64" s="86" t="s">
        <v>1569</v>
      </c>
      <c r="C64" s="8">
        <v>62.5</v>
      </c>
      <c r="D64" s="1" t="s">
        <v>878</v>
      </c>
      <c r="E64"/>
      <c r="F64" s="91">
        <v>1</v>
      </c>
      <c r="G64" s="90" t="s">
        <v>878</v>
      </c>
      <c r="H64" s="86" t="s">
        <v>879</v>
      </c>
      <c r="I64" s="8" t="e">
        <f>(C78)</f>
        <v>#REF!</v>
      </c>
      <c r="J64" s="2" t="s">
        <v>878</v>
      </c>
      <c r="K64" s="8" t="e">
        <f>(F64*I64)</f>
        <v>#REF!</v>
      </c>
      <c r="O64" s="89" t="s">
        <v>1609</v>
      </c>
      <c r="AG64" s="86" t="s">
        <v>2284</v>
      </c>
    </row>
    <row r="65" spans="1:33" hidden="1">
      <c r="A65" s="106">
        <f t="shared" si="6"/>
        <v>53</v>
      </c>
      <c r="B65" s="86" t="s">
        <v>1378</v>
      </c>
      <c r="C65" s="8">
        <v>303</v>
      </c>
      <c r="D65" s="1" t="s">
        <v>1379</v>
      </c>
      <c r="E65"/>
      <c r="F65" s="91">
        <v>1</v>
      </c>
      <c r="G65" s="90" t="s">
        <v>878</v>
      </c>
      <c r="H65" s="86" t="s">
        <v>883</v>
      </c>
      <c r="I65" s="8">
        <f>(C18)</f>
        <v>26</v>
      </c>
      <c r="J65" s="2" t="s">
        <v>878</v>
      </c>
      <c r="K65" s="8">
        <f>(F65*I65)</f>
        <v>26</v>
      </c>
      <c r="M65" s="91">
        <v>9</v>
      </c>
      <c r="N65" s="86" t="s">
        <v>878</v>
      </c>
      <c r="O65" s="86" t="s">
        <v>1509</v>
      </c>
      <c r="P65" s="91" t="e">
        <f>(C73)</f>
        <v>#REF!</v>
      </c>
      <c r="Q65" s="86" t="s">
        <v>878</v>
      </c>
      <c r="R65" s="91" t="e">
        <f>(M65*P65)</f>
        <v>#REF!</v>
      </c>
      <c r="AG65" s="86" t="s">
        <v>2284</v>
      </c>
    </row>
    <row r="66" spans="1:33" hidden="1">
      <c r="A66" s="106">
        <f t="shared" si="6"/>
        <v>54</v>
      </c>
      <c r="B66" s="86" t="s">
        <v>1516</v>
      </c>
      <c r="C66" s="8">
        <f>AE18</f>
        <v>120</v>
      </c>
      <c r="D66" s="1" t="s">
        <v>877</v>
      </c>
      <c r="E66"/>
      <c r="G66" s="90" t="s">
        <v>450</v>
      </c>
      <c r="H66" s="86" t="s">
        <v>451</v>
      </c>
      <c r="I66" s="1" t="s">
        <v>987</v>
      </c>
      <c r="J66" s="2" t="s">
        <v>450</v>
      </c>
      <c r="K66" s="8">
        <v>0</v>
      </c>
      <c r="M66" s="91">
        <v>4.5</v>
      </c>
      <c r="N66" s="86" t="s">
        <v>878</v>
      </c>
      <c r="O66" s="86" t="s">
        <v>121</v>
      </c>
      <c r="P66" s="91" t="e">
        <f>(K23)</f>
        <v>#REF!</v>
      </c>
      <c r="Q66" s="86" t="s">
        <v>878</v>
      </c>
      <c r="R66" s="91" t="e">
        <f>(M66*P66)</f>
        <v>#REF!</v>
      </c>
      <c r="AG66" s="86" t="s">
        <v>2284</v>
      </c>
    </row>
    <row r="67" spans="1:33" hidden="1">
      <c r="A67" s="106">
        <f t="shared" si="6"/>
        <v>55</v>
      </c>
      <c r="B67" s="86" t="s">
        <v>871</v>
      </c>
      <c r="C67" s="8">
        <f>AC31</f>
        <v>3800</v>
      </c>
      <c r="D67" s="1" t="s">
        <v>870</v>
      </c>
      <c r="E67"/>
      <c r="I67"/>
      <c r="J67" s="4"/>
      <c r="K67" s="5" t="s">
        <v>1609</v>
      </c>
      <c r="M67" s="91">
        <v>1.8</v>
      </c>
      <c r="N67" s="86" t="s">
        <v>877</v>
      </c>
      <c r="O67" s="86" t="s">
        <v>1737</v>
      </c>
      <c r="P67" s="91">
        <f>(C11)</f>
        <v>135</v>
      </c>
      <c r="Q67" s="86" t="s">
        <v>877</v>
      </c>
      <c r="R67" s="91">
        <f>(M67*P67)</f>
        <v>243</v>
      </c>
      <c r="AG67" s="86" t="s">
        <v>2284</v>
      </c>
    </row>
    <row r="68" spans="1:33" hidden="1">
      <c r="A68" s="106">
        <f t="shared" si="6"/>
        <v>56</v>
      </c>
      <c r="B68" s="86" t="s">
        <v>1517</v>
      </c>
      <c r="C68" s="8" t="e">
        <f t="shared" ref="C68:C74" si="7">AC9</f>
        <v>#REF!</v>
      </c>
      <c r="D68" s="1" t="s">
        <v>878</v>
      </c>
      <c r="E68"/>
      <c r="H68" s="86" t="s">
        <v>1538</v>
      </c>
      <c r="I68"/>
      <c r="J68" s="4"/>
      <c r="K68" s="8" t="e">
        <f>SUM(K63:K66)</f>
        <v>#REF!</v>
      </c>
      <c r="M68" s="91">
        <v>17.7</v>
      </c>
      <c r="N68" s="86" t="s">
        <v>877</v>
      </c>
      <c r="O68" s="86" t="s">
        <v>1927</v>
      </c>
      <c r="P68" s="91">
        <f>(C12)</f>
        <v>95</v>
      </c>
      <c r="Q68" s="86" t="s">
        <v>877</v>
      </c>
      <c r="R68" s="91">
        <f>(M68*P68)</f>
        <v>1681.5</v>
      </c>
      <c r="AG68" s="86" t="s">
        <v>2284</v>
      </c>
    </row>
    <row r="69" spans="1:33" hidden="1">
      <c r="A69" s="106">
        <f t="shared" si="6"/>
        <v>57</v>
      </c>
      <c r="B69" s="86" t="s">
        <v>881</v>
      </c>
      <c r="C69" s="8" t="e">
        <f t="shared" si="7"/>
        <v>#REF!</v>
      </c>
      <c r="D69" s="1" t="s">
        <v>878</v>
      </c>
      <c r="E69"/>
      <c r="I69"/>
      <c r="J69" s="4"/>
      <c r="K69" s="5" t="s">
        <v>1609</v>
      </c>
      <c r="M69" s="91">
        <v>14.1</v>
      </c>
      <c r="N69" s="86" t="s">
        <v>877</v>
      </c>
      <c r="O69" s="86" t="s">
        <v>321</v>
      </c>
      <c r="P69" s="91">
        <f>(C13)</f>
        <v>85</v>
      </c>
      <c r="Q69" s="86" t="s">
        <v>877</v>
      </c>
      <c r="R69" s="91">
        <f>(M69*P69)</f>
        <v>1198.5</v>
      </c>
      <c r="AG69" s="86" t="s">
        <v>2284</v>
      </c>
    </row>
    <row r="70" spans="1:33" hidden="1">
      <c r="A70" s="106">
        <f t="shared" si="6"/>
        <v>58</v>
      </c>
      <c r="B70" s="86" t="s">
        <v>1518</v>
      </c>
      <c r="C70" s="8" t="e">
        <f t="shared" si="7"/>
        <v>#REF!</v>
      </c>
      <c r="D70" s="1" t="s">
        <v>878</v>
      </c>
      <c r="E70"/>
      <c r="G70" s="90" t="s">
        <v>2276</v>
      </c>
      <c r="H70" s="86" t="s">
        <v>1657</v>
      </c>
      <c r="I70"/>
      <c r="J70" s="4"/>
      <c r="K70"/>
      <c r="N70" s="86" t="s">
        <v>450</v>
      </c>
      <c r="O70" s="86" t="s">
        <v>451</v>
      </c>
      <c r="Q70" s="86" t="s">
        <v>450</v>
      </c>
      <c r="R70" s="91">
        <v>0</v>
      </c>
      <c r="AG70" s="86" t="s">
        <v>2284</v>
      </c>
    </row>
    <row r="71" spans="1:33" hidden="1">
      <c r="A71" s="106">
        <f t="shared" si="6"/>
        <v>59</v>
      </c>
      <c r="B71" s="86" t="s">
        <v>1519</v>
      </c>
      <c r="C71" s="8" t="e">
        <f t="shared" si="7"/>
        <v>#REF!</v>
      </c>
      <c r="D71" s="1" t="s">
        <v>878</v>
      </c>
      <c r="E71"/>
      <c r="H71" s="89" t="s">
        <v>1609</v>
      </c>
      <c r="I71"/>
      <c r="J71" s="4"/>
      <c r="K71"/>
      <c r="R71" s="89" t="s">
        <v>1609</v>
      </c>
      <c r="AG71" s="86" t="s">
        <v>2284</v>
      </c>
    </row>
    <row r="72" spans="1:33" hidden="1">
      <c r="A72" s="106">
        <f t="shared" si="6"/>
        <v>60</v>
      </c>
      <c r="B72" s="86" t="s">
        <v>1520</v>
      </c>
      <c r="C72" s="8" t="e">
        <f t="shared" si="7"/>
        <v>#REF!</v>
      </c>
      <c r="D72" s="1" t="s">
        <v>878</v>
      </c>
      <c r="E72"/>
      <c r="F72" s="91">
        <v>0.18</v>
      </c>
      <c r="G72" s="90" t="s">
        <v>870</v>
      </c>
      <c r="H72" s="86" t="s">
        <v>871</v>
      </c>
      <c r="I72" s="8">
        <f>(C67)</f>
        <v>3800</v>
      </c>
      <c r="J72" s="2" t="s">
        <v>870</v>
      </c>
      <c r="K72" s="8">
        <f>(F72*I72)</f>
        <v>684</v>
      </c>
      <c r="O72" s="86" t="s">
        <v>620</v>
      </c>
      <c r="R72" s="91" t="e">
        <f>SUM(R65:R70)</f>
        <v>#REF!</v>
      </c>
      <c r="AG72" s="86" t="s">
        <v>2284</v>
      </c>
    </row>
    <row r="73" spans="1:33" hidden="1">
      <c r="A73" s="106">
        <f t="shared" si="6"/>
        <v>61</v>
      </c>
      <c r="B73" s="86" t="s">
        <v>661</v>
      </c>
      <c r="C73" s="8" t="e">
        <f t="shared" si="7"/>
        <v>#REF!</v>
      </c>
      <c r="D73" s="1" t="s">
        <v>878</v>
      </c>
      <c r="E73"/>
      <c r="F73" s="91">
        <v>1</v>
      </c>
      <c r="G73" s="90" t="s">
        <v>878</v>
      </c>
      <c r="H73" s="86" t="s">
        <v>879</v>
      </c>
      <c r="I73" s="8" t="e">
        <f>(C78)</f>
        <v>#REF!</v>
      </c>
      <c r="J73" s="2" t="s">
        <v>878</v>
      </c>
      <c r="K73" s="8" t="e">
        <f>(F73*I73)</f>
        <v>#REF!</v>
      </c>
      <c r="R73" s="89" t="s">
        <v>1609</v>
      </c>
      <c r="AG73" s="86" t="s">
        <v>2284</v>
      </c>
    </row>
    <row r="74" spans="1:33" hidden="1">
      <c r="A74" s="106">
        <f t="shared" si="6"/>
        <v>62</v>
      </c>
      <c r="B74" s="86" t="s">
        <v>966</v>
      </c>
      <c r="C74" s="8" t="e">
        <f t="shared" si="7"/>
        <v>#REF!</v>
      </c>
      <c r="D74" s="1" t="s">
        <v>878</v>
      </c>
      <c r="E74"/>
      <c r="F74" s="91">
        <v>1</v>
      </c>
      <c r="G74" s="90" t="s">
        <v>878</v>
      </c>
      <c r="H74" s="86" t="s">
        <v>883</v>
      </c>
      <c r="I74" s="8">
        <f>(C18)</f>
        <v>26</v>
      </c>
      <c r="J74" s="2" t="s">
        <v>878</v>
      </c>
      <c r="K74" s="8">
        <f>(F74*I74)</f>
        <v>26</v>
      </c>
      <c r="O74" s="86" t="s">
        <v>782</v>
      </c>
      <c r="R74" s="91" t="e">
        <f>(R72/10)</f>
        <v>#REF!</v>
      </c>
      <c r="AG74" s="86" t="s">
        <v>2284</v>
      </c>
    </row>
    <row r="75" spans="1:33" hidden="1">
      <c r="A75" s="106">
        <f t="shared" si="6"/>
        <v>63</v>
      </c>
      <c r="B75" s="86" t="s">
        <v>967</v>
      </c>
      <c r="C75" s="8">
        <v>20</v>
      </c>
      <c r="D75" s="1" t="s">
        <v>2276</v>
      </c>
      <c r="E75"/>
      <c r="G75" s="90" t="s">
        <v>450</v>
      </c>
      <c r="H75" s="86" t="s">
        <v>451</v>
      </c>
      <c r="I75" s="1" t="s">
        <v>987</v>
      </c>
      <c r="J75" s="2" t="s">
        <v>450</v>
      </c>
      <c r="K75" s="8">
        <v>0</v>
      </c>
      <c r="R75" s="89" t="s">
        <v>2080</v>
      </c>
      <c r="AG75" s="86" t="s">
        <v>2284</v>
      </c>
    </row>
    <row r="76" spans="1:33" hidden="1">
      <c r="A76" s="106">
        <f t="shared" si="6"/>
        <v>64</v>
      </c>
      <c r="B76" s="86" t="s">
        <v>968</v>
      </c>
      <c r="C76" s="8">
        <v>514.62</v>
      </c>
      <c r="D76" s="8">
        <v>240</v>
      </c>
      <c r="E76"/>
      <c r="I76"/>
      <c r="J76" s="4"/>
      <c r="K76" s="5" t="s">
        <v>1609</v>
      </c>
      <c r="N76" s="86" t="s">
        <v>2276</v>
      </c>
      <c r="O76" s="86" t="s">
        <v>969</v>
      </c>
      <c r="AG76" s="86" t="s">
        <v>2284</v>
      </c>
    </row>
    <row r="77" spans="1:33" hidden="1">
      <c r="A77" s="106">
        <f t="shared" si="6"/>
        <v>65</v>
      </c>
      <c r="B77" s="86" t="s">
        <v>2338</v>
      </c>
      <c r="C77" s="8" t="e">
        <f>AC34</f>
        <v>#REF!</v>
      </c>
      <c r="D77" s="1" t="s">
        <v>878</v>
      </c>
      <c r="E77"/>
      <c r="H77" s="86" t="s">
        <v>1538</v>
      </c>
      <c r="I77"/>
      <c r="J77" s="4"/>
      <c r="K77" s="8" t="e">
        <f>SUM(K72:K75)</f>
        <v>#REF!</v>
      </c>
      <c r="O77" s="86" t="s">
        <v>1130</v>
      </c>
      <c r="AG77" s="86" t="s">
        <v>2284</v>
      </c>
    </row>
    <row r="78" spans="1:33" hidden="1">
      <c r="A78" s="106">
        <f t="shared" si="6"/>
        <v>66</v>
      </c>
      <c r="B78" s="86" t="s">
        <v>1443</v>
      </c>
      <c r="C78" s="8" t="e">
        <f t="shared" ref="C78:C91" si="8">AC16</f>
        <v>#REF!</v>
      </c>
      <c r="D78" s="1" t="s">
        <v>878</v>
      </c>
      <c r="E78"/>
      <c r="I78"/>
      <c r="J78" s="4"/>
      <c r="K78" s="5" t="s">
        <v>1609</v>
      </c>
      <c r="O78" s="89" t="s">
        <v>1609</v>
      </c>
      <c r="AG78" s="86" t="s">
        <v>2284</v>
      </c>
    </row>
    <row r="79" spans="1:33" hidden="1">
      <c r="A79" s="106">
        <f t="shared" si="6"/>
        <v>67</v>
      </c>
      <c r="B79" s="86" t="s">
        <v>1050</v>
      </c>
      <c r="C79" s="8" t="e">
        <f t="shared" si="8"/>
        <v>#REF!</v>
      </c>
      <c r="D79" s="1" t="s">
        <v>878</v>
      </c>
      <c r="E79"/>
      <c r="F79" s="112">
        <v>1.1000000000000001</v>
      </c>
      <c r="G79" s="90" t="s">
        <v>987</v>
      </c>
      <c r="H79" s="86" t="s">
        <v>1444</v>
      </c>
      <c r="I79"/>
      <c r="J79" s="4"/>
      <c r="K79"/>
      <c r="M79" s="91">
        <v>4600</v>
      </c>
      <c r="N79" s="86" t="s">
        <v>1445</v>
      </c>
      <c r="O79" s="86" t="s">
        <v>1130</v>
      </c>
      <c r="P79" s="91" t="e">
        <f>(C91)</f>
        <v>#REF!</v>
      </c>
      <c r="Q79" s="86" t="s">
        <v>1617</v>
      </c>
      <c r="R79" s="91" t="e">
        <f>(M79*P79)/1000</f>
        <v>#REF!</v>
      </c>
      <c r="AG79" s="86" t="s">
        <v>2284</v>
      </c>
    </row>
    <row r="80" spans="1:33" hidden="1">
      <c r="A80" s="106">
        <f t="shared" si="6"/>
        <v>68</v>
      </c>
      <c r="B80" s="86" t="s">
        <v>1502</v>
      </c>
      <c r="C80" s="8" t="e">
        <f t="shared" si="8"/>
        <v>#REF!</v>
      </c>
      <c r="D80" s="1" t="s">
        <v>1503</v>
      </c>
      <c r="E80"/>
      <c r="F80" s="113" t="s">
        <v>987</v>
      </c>
      <c r="H80" s="86" t="s">
        <v>1504</v>
      </c>
      <c r="I80"/>
      <c r="J80" s="4"/>
      <c r="K80"/>
      <c r="M80" s="91">
        <v>2.5</v>
      </c>
      <c r="N80" s="86" t="s">
        <v>878</v>
      </c>
      <c r="O80" s="86" t="s">
        <v>1650</v>
      </c>
      <c r="P80" s="91" t="e">
        <f>(K49)</f>
        <v>#REF!</v>
      </c>
      <c r="Q80" s="86" t="s">
        <v>878</v>
      </c>
      <c r="R80" s="91" t="e">
        <f>(M80*P80)</f>
        <v>#REF!</v>
      </c>
      <c r="AG80" s="86" t="s">
        <v>2284</v>
      </c>
    </row>
    <row r="81" spans="1:33" hidden="1">
      <c r="A81" s="106">
        <f t="shared" si="6"/>
        <v>69</v>
      </c>
      <c r="B81" s="86" t="s">
        <v>67</v>
      </c>
      <c r="C81" s="8" t="e">
        <f t="shared" si="8"/>
        <v>#REF!</v>
      </c>
      <c r="D81" s="1" t="s">
        <v>878</v>
      </c>
      <c r="E81"/>
      <c r="F81" s="91">
        <v>10</v>
      </c>
      <c r="G81" s="90" t="s">
        <v>878</v>
      </c>
      <c r="H81" s="86" t="s">
        <v>1195</v>
      </c>
      <c r="I81" s="8">
        <f>(C61)</f>
        <v>25</v>
      </c>
      <c r="J81" s="2" t="s">
        <v>878</v>
      </c>
      <c r="K81" s="8">
        <f>(F81*I81)</f>
        <v>250</v>
      </c>
      <c r="M81" s="91">
        <v>3.5</v>
      </c>
      <c r="N81" s="86" t="s">
        <v>877</v>
      </c>
      <c r="O81" s="86" t="s">
        <v>2034</v>
      </c>
      <c r="P81" s="91">
        <f>(C10)</f>
        <v>150</v>
      </c>
      <c r="Q81" s="86" t="s">
        <v>877</v>
      </c>
      <c r="R81" s="91">
        <f>(M81*P81)</f>
        <v>525</v>
      </c>
      <c r="AG81" s="86" t="s">
        <v>2284</v>
      </c>
    </row>
    <row r="82" spans="1:33" hidden="1">
      <c r="A82" s="106">
        <f t="shared" si="6"/>
        <v>70</v>
      </c>
      <c r="B82" s="86" t="s">
        <v>2035</v>
      </c>
      <c r="C82" s="8" t="e">
        <f t="shared" si="8"/>
        <v>#REF!</v>
      </c>
      <c r="D82" s="1" t="s">
        <v>878</v>
      </c>
      <c r="E82"/>
      <c r="F82" s="91">
        <v>10</v>
      </c>
      <c r="G82" s="90" t="s">
        <v>878</v>
      </c>
      <c r="H82" s="86" t="s">
        <v>2036</v>
      </c>
      <c r="I82" s="8">
        <f>(C61)</f>
        <v>25</v>
      </c>
      <c r="J82" s="2" t="s">
        <v>878</v>
      </c>
      <c r="K82" s="8">
        <f>(F82*I82)</f>
        <v>250</v>
      </c>
      <c r="M82" s="91">
        <v>10.6</v>
      </c>
      <c r="N82" s="86" t="s">
        <v>877</v>
      </c>
      <c r="O82" s="86" t="s">
        <v>1737</v>
      </c>
      <c r="P82" s="91">
        <f>(C11)</f>
        <v>135</v>
      </c>
      <c r="Q82" s="86" t="s">
        <v>877</v>
      </c>
      <c r="R82" s="91">
        <f>(M82*P82)</f>
        <v>1431</v>
      </c>
      <c r="AG82" s="86" t="s">
        <v>2284</v>
      </c>
    </row>
    <row r="83" spans="1:33" hidden="1">
      <c r="A83" s="106">
        <f t="shared" si="6"/>
        <v>71</v>
      </c>
      <c r="B83" s="86" t="s">
        <v>2037</v>
      </c>
      <c r="C83" s="8">
        <f t="shared" si="8"/>
        <v>4500</v>
      </c>
      <c r="D83" s="1" t="s">
        <v>1503</v>
      </c>
      <c r="E83">
        <v>3550</v>
      </c>
      <c r="F83" s="91">
        <v>10</v>
      </c>
      <c r="G83" s="90" t="s">
        <v>878</v>
      </c>
      <c r="H83" s="86" t="s">
        <v>2038</v>
      </c>
      <c r="I83" s="8">
        <f>(C26)/3</f>
        <v>2.93</v>
      </c>
      <c r="J83" s="2" t="s">
        <v>878</v>
      </c>
      <c r="K83" s="8">
        <f>(F83*I83)</f>
        <v>29.3</v>
      </c>
      <c r="M83" s="91">
        <v>7.1</v>
      </c>
      <c r="N83" s="86" t="s">
        <v>877</v>
      </c>
      <c r="O83" s="86" t="s">
        <v>1927</v>
      </c>
      <c r="P83" s="91">
        <f>(C12)</f>
        <v>95</v>
      </c>
      <c r="Q83" s="86" t="s">
        <v>877</v>
      </c>
      <c r="R83" s="91">
        <f>(M83*P83)</f>
        <v>674.5</v>
      </c>
      <c r="AG83" s="86" t="s">
        <v>2284</v>
      </c>
    </row>
    <row r="84" spans="1:33" hidden="1">
      <c r="A84" s="106">
        <f t="shared" si="6"/>
        <v>72</v>
      </c>
      <c r="B84" s="86" t="s">
        <v>2039</v>
      </c>
      <c r="C84" s="8">
        <f t="shared" si="8"/>
        <v>773</v>
      </c>
      <c r="D84" s="1" t="s">
        <v>878</v>
      </c>
      <c r="E84"/>
      <c r="G84" s="90" t="s">
        <v>450</v>
      </c>
      <c r="H84" s="86" t="s">
        <v>451</v>
      </c>
      <c r="I84"/>
      <c r="J84" s="2" t="s">
        <v>450</v>
      </c>
      <c r="K84" s="8">
        <v>0</v>
      </c>
      <c r="M84" s="91">
        <v>21.2</v>
      </c>
      <c r="N84" s="86" t="s">
        <v>877</v>
      </c>
      <c r="O84" s="86" t="s">
        <v>321</v>
      </c>
      <c r="P84" s="91">
        <f>(C13)</f>
        <v>85</v>
      </c>
      <c r="Q84" s="86" t="s">
        <v>877</v>
      </c>
      <c r="R84" s="91">
        <f>(M84*P84)</f>
        <v>1802</v>
      </c>
      <c r="AG84" s="86" t="s">
        <v>2284</v>
      </c>
    </row>
    <row r="85" spans="1:33" hidden="1">
      <c r="A85" s="106">
        <f t="shared" si="6"/>
        <v>73</v>
      </c>
      <c r="B85" s="86" t="s">
        <v>2029</v>
      </c>
      <c r="C85" s="8" t="e">
        <f t="shared" si="8"/>
        <v>#REF!</v>
      </c>
      <c r="D85" s="1" t="s">
        <v>878</v>
      </c>
      <c r="E85"/>
      <c r="I85"/>
      <c r="J85" s="4"/>
      <c r="K85" s="5" t="s">
        <v>1609</v>
      </c>
      <c r="N85" s="86" t="s">
        <v>450</v>
      </c>
      <c r="O85" s="86" t="s">
        <v>451</v>
      </c>
      <c r="Q85" s="86" t="s">
        <v>450</v>
      </c>
      <c r="R85" s="91">
        <v>0</v>
      </c>
      <c r="AG85" s="86" t="s">
        <v>2284</v>
      </c>
    </row>
    <row r="86" spans="1:33" hidden="1">
      <c r="A86" s="106">
        <f t="shared" si="6"/>
        <v>74</v>
      </c>
      <c r="B86" s="86" t="s">
        <v>2040</v>
      </c>
      <c r="C86" s="8">
        <f t="shared" si="8"/>
        <v>20605</v>
      </c>
      <c r="D86" s="1" t="s">
        <v>878</v>
      </c>
      <c r="E86"/>
      <c r="H86" s="86" t="s">
        <v>620</v>
      </c>
      <c r="I86"/>
      <c r="J86" s="4"/>
      <c r="K86" s="8">
        <f>SUM(K81:K84)</f>
        <v>529.29999999999995</v>
      </c>
      <c r="R86" s="89" t="s">
        <v>1609</v>
      </c>
      <c r="AG86" s="86" t="s">
        <v>2284</v>
      </c>
    </row>
    <row r="87" spans="1:33" hidden="1">
      <c r="A87" s="106">
        <f t="shared" si="6"/>
        <v>75</v>
      </c>
      <c r="B87" s="86" t="s">
        <v>2041</v>
      </c>
      <c r="C87" s="8">
        <f t="shared" si="8"/>
        <v>23685</v>
      </c>
      <c r="D87" s="1" t="s">
        <v>878</v>
      </c>
      <c r="E87"/>
      <c r="I87"/>
      <c r="J87" s="4"/>
      <c r="K87" s="5" t="s">
        <v>1609</v>
      </c>
      <c r="O87" s="86" t="s">
        <v>620</v>
      </c>
      <c r="R87" s="91" t="e">
        <f>SUM(R79:R85)</f>
        <v>#REF!</v>
      </c>
      <c r="AG87" s="86" t="s">
        <v>2284</v>
      </c>
    </row>
    <row r="88" spans="1:33" hidden="1">
      <c r="A88" s="106">
        <f t="shared" si="6"/>
        <v>76</v>
      </c>
      <c r="B88" s="86" t="s">
        <v>2042</v>
      </c>
      <c r="C88" s="8">
        <f t="shared" si="8"/>
        <v>65420</v>
      </c>
      <c r="D88" s="1" t="s">
        <v>878</v>
      </c>
      <c r="E88"/>
      <c r="H88" s="114" t="s">
        <v>2074</v>
      </c>
      <c r="I88" s="25" t="s">
        <v>1419</v>
      </c>
      <c r="J88" s="27"/>
      <c r="K88" s="26">
        <f>(K86/10)</f>
        <v>52.93</v>
      </c>
      <c r="R88" s="89" t="s">
        <v>1609</v>
      </c>
      <c r="AG88" s="86" t="s">
        <v>2284</v>
      </c>
    </row>
    <row r="89" spans="1:33" hidden="1">
      <c r="A89" s="106">
        <f t="shared" si="6"/>
        <v>77</v>
      </c>
      <c r="B89" s="86" t="s">
        <v>296</v>
      </c>
      <c r="C89" s="8">
        <f t="shared" si="8"/>
        <v>57165</v>
      </c>
      <c r="D89" s="1" t="s">
        <v>878</v>
      </c>
      <c r="E89"/>
      <c r="I89" s="25" t="s">
        <v>1382</v>
      </c>
      <c r="J89" s="27"/>
      <c r="K89" s="29">
        <f>ROUND(K88+C36,2)</f>
        <v>55.53</v>
      </c>
      <c r="O89" s="86" t="s">
        <v>782</v>
      </c>
      <c r="R89" s="91" t="e">
        <f>(R87/10)</f>
        <v>#REF!</v>
      </c>
      <c r="AG89" s="86" t="s">
        <v>2284</v>
      </c>
    </row>
    <row r="90" spans="1:33" ht="31.5" hidden="1">
      <c r="A90" s="106">
        <f t="shared" si="6"/>
        <v>78</v>
      </c>
      <c r="B90" s="86" t="s">
        <v>2339</v>
      </c>
      <c r="C90" s="8">
        <f t="shared" si="8"/>
        <v>63870</v>
      </c>
      <c r="D90" s="1" t="s">
        <v>878</v>
      </c>
      <c r="E90"/>
      <c r="F90" s="108" t="s">
        <v>1548</v>
      </c>
      <c r="H90" s="115" t="s">
        <v>1966</v>
      </c>
      <c r="I90" s="25" t="s">
        <v>1419</v>
      </c>
      <c r="J90" s="27"/>
      <c r="K90" s="26">
        <f>K88-K83/10</f>
        <v>50</v>
      </c>
      <c r="R90" s="89" t="s">
        <v>2080</v>
      </c>
      <c r="AG90" s="86" t="s">
        <v>2284</v>
      </c>
    </row>
    <row r="91" spans="1:33" hidden="1">
      <c r="A91" s="106">
        <f t="shared" si="6"/>
        <v>79</v>
      </c>
      <c r="B91" s="86" t="s">
        <v>2340</v>
      </c>
      <c r="C91" s="8" t="e">
        <f t="shared" si="8"/>
        <v>#REF!</v>
      </c>
      <c r="D91" s="1" t="s">
        <v>1503</v>
      </c>
      <c r="E91"/>
      <c r="I91" s="25" t="s">
        <v>1382</v>
      </c>
      <c r="J91" s="27"/>
      <c r="K91" s="29">
        <f>ROUND(K90+C36,2)</f>
        <v>52.6</v>
      </c>
      <c r="AG91" s="86" t="s">
        <v>2284</v>
      </c>
    </row>
    <row r="92" spans="1:33" hidden="1">
      <c r="C92"/>
      <c r="D92"/>
      <c r="E92"/>
      <c r="F92" s="108" t="s">
        <v>2122</v>
      </c>
      <c r="G92" s="90" t="s">
        <v>987</v>
      </c>
      <c r="H92" s="86" t="s">
        <v>511</v>
      </c>
      <c r="I92"/>
      <c r="J92" s="4"/>
      <c r="K92"/>
    </row>
    <row r="93" spans="1:33" hidden="1">
      <c r="C93"/>
      <c r="D93"/>
      <c r="E93"/>
      <c r="F93" s="113" t="s">
        <v>987</v>
      </c>
      <c r="H93" s="89" t="s">
        <v>1609</v>
      </c>
      <c r="I93"/>
      <c r="J93" s="4"/>
      <c r="K93"/>
    </row>
    <row r="94" spans="1:33" hidden="1">
      <c r="C94"/>
      <c r="D94"/>
      <c r="E94"/>
      <c r="F94" s="91">
        <v>10</v>
      </c>
      <c r="G94" s="90" t="s">
        <v>878</v>
      </c>
      <c r="H94" s="86" t="s">
        <v>381</v>
      </c>
      <c r="I94" s="8">
        <f>D61</f>
        <v>37.299999999999997</v>
      </c>
      <c r="J94" s="2" t="s">
        <v>878</v>
      </c>
      <c r="K94" s="8">
        <f>(F94*I94)</f>
        <v>373</v>
      </c>
    </row>
    <row r="95" spans="1:33" hidden="1">
      <c r="C95"/>
      <c r="D95"/>
      <c r="E95"/>
      <c r="F95" s="91">
        <v>10</v>
      </c>
      <c r="G95" s="90" t="s">
        <v>878</v>
      </c>
      <c r="H95" s="86" t="s">
        <v>2036</v>
      </c>
      <c r="I95" s="8">
        <f>D61</f>
        <v>37.299999999999997</v>
      </c>
      <c r="J95" s="2" t="s">
        <v>878</v>
      </c>
      <c r="K95" s="8">
        <f>(F95*I95)</f>
        <v>373</v>
      </c>
    </row>
    <row r="96" spans="1:33" hidden="1">
      <c r="C96"/>
      <c r="D96"/>
      <c r="E96"/>
      <c r="F96" s="91">
        <v>10</v>
      </c>
      <c r="G96" s="90" t="s">
        <v>878</v>
      </c>
      <c r="H96" s="86" t="s">
        <v>2038</v>
      </c>
      <c r="I96" s="8">
        <f>I83</f>
        <v>2.93</v>
      </c>
      <c r="J96" s="2" t="s">
        <v>878</v>
      </c>
      <c r="K96" s="8">
        <f>(F96*I96)</f>
        <v>29.3</v>
      </c>
    </row>
    <row r="97" spans="3:11" hidden="1">
      <c r="C97"/>
      <c r="D97"/>
      <c r="E97"/>
      <c r="G97" s="90" t="s">
        <v>450</v>
      </c>
      <c r="H97" s="86" t="s">
        <v>451</v>
      </c>
      <c r="I97"/>
      <c r="J97" s="2" t="s">
        <v>450</v>
      </c>
      <c r="K97" s="8">
        <v>0</v>
      </c>
    </row>
    <row r="98" spans="3:11" hidden="1">
      <c r="C98"/>
      <c r="D98"/>
      <c r="E98"/>
      <c r="I98"/>
      <c r="J98" s="4"/>
      <c r="K98" s="5" t="s">
        <v>1609</v>
      </c>
    </row>
    <row r="99" spans="3:11" hidden="1">
      <c r="C99"/>
      <c r="D99"/>
      <c r="E99"/>
      <c r="H99" s="86" t="s">
        <v>620</v>
      </c>
      <c r="I99"/>
      <c r="J99" s="4"/>
      <c r="K99" s="8">
        <f>SUM(K94:K97)</f>
        <v>775.3</v>
      </c>
    </row>
    <row r="100" spans="3:11" hidden="1">
      <c r="C100"/>
      <c r="D100"/>
      <c r="E100"/>
      <c r="I100"/>
      <c r="J100" s="4"/>
      <c r="K100" s="5" t="s">
        <v>1609</v>
      </c>
    </row>
    <row r="101" spans="3:11" hidden="1">
      <c r="C101"/>
      <c r="D101"/>
      <c r="E101"/>
      <c r="H101" s="114" t="s">
        <v>2074</v>
      </c>
      <c r="I101" s="25" t="s">
        <v>1419</v>
      </c>
      <c r="J101" s="27"/>
      <c r="K101" s="26">
        <f>(K99/10)</f>
        <v>77.53</v>
      </c>
    </row>
    <row r="102" spans="3:11" hidden="1">
      <c r="C102"/>
      <c r="D102"/>
      <c r="E102"/>
      <c r="I102" s="25" t="s">
        <v>1382</v>
      </c>
      <c r="J102" s="27"/>
      <c r="K102" s="29">
        <f>ROUND(K101+C36,2)</f>
        <v>80.13</v>
      </c>
    </row>
    <row r="103" spans="3:11" hidden="1">
      <c r="C103"/>
      <c r="D103"/>
      <c r="E103"/>
      <c r="I103" s="25"/>
      <c r="J103" s="27"/>
      <c r="K103" s="28"/>
    </row>
    <row r="104" spans="3:11" hidden="1">
      <c r="C104"/>
      <c r="D104"/>
      <c r="E104"/>
      <c r="F104" s="112">
        <v>1.7</v>
      </c>
      <c r="H104" s="115" t="s">
        <v>662</v>
      </c>
      <c r="I104" s="25" t="s">
        <v>1419</v>
      </c>
      <c r="J104" s="27"/>
      <c r="K104" s="29">
        <f>ROUND(K101-K96/10,2)</f>
        <v>74.599999999999994</v>
      </c>
    </row>
    <row r="105" spans="3:11" hidden="1">
      <c r="C105"/>
      <c r="D105"/>
      <c r="E105"/>
      <c r="I105" s="25" t="s">
        <v>1382</v>
      </c>
      <c r="J105" s="27"/>
      <c r="K105" s="29">
        <f>ROUND(K104+C36,2)</f>
        <v>77.2</v>
      </c>
    </row>
    <row r="106" spans="3:11" hidden="1">
      <c r="C106"/>
      <c r="D106"/>
      <c r="E106"/>
      <c r="I106"/>
      <c r="J106" s="4"/>
      <c r="K106" s="5"/>
    </row>
    <row r="107" spans="3:11" hidden="1">
      <c r="C107"/>
      <c r="D107"/>
      <c r="E107"/>
      <c r="I107"/>
      <c r="J107" s="4"/>
      <c r="K107" s="5"/>
    </row>
    <row r="108" spans="3:11" ht="31.5" hidden="1">
      <c r="C108"/>
      <c r="D108"/>
      <c r="E108"/>
      <c r="F108" s="112">
        <v>1.5</v>
      </c>
      <c r="G108" s="90" t="s">
        <v>987</v>
      </c>
      <c r="H108" s="116" t="s">
        <v>438</v>
      </c>
      <c r="I108"/>
      <c r="J108" s="4"/>
      <c r="K108"/>
    </row>
    <row r="109" spans="3:11" hidden="1">
      <c r="C109"/>
      <c r="D109"/>
      <c r="E109"/>
      <c r="I109"/>
      <c r="J109" s="4"/>
      <c r="K109"/>
    </row>
    <row r="110" spans="3:11" hidden="1">
      <c r="C110"/>
      <c r="D110"/>
      <c r="E110"/>
      <c r="F110" s="91">
        <v>10</v>
      </c>
      <c r="G110" s="90" t="s">
        <v>878</v>
      </c>
      <c r="H110" s="86" t="s">
        <v>1195</v>
      </c>
      <c r="I110" s="8">
        <f>C61</f>
        <v>25</v>
      </c>
      <c r="J110" s="2" t="s">
        <v>878</v>
      </c>
      <c r="K110" s="8">
        <f>(F110*I110)</f>
        <v>250</v>
      </c>
    </row>
    <row r="111" spans="3:11" hidden="1">
      <c r="C111"/>
      <c r="D111"/>
      <c r="E111"/>
      <c r="F111" s="91">
        <v>10</v>
      </c>
      <c r="G111" s="90" t="s">
        <v>878</v>
      </c>
      <c r="H111" s="86" t="s">
        <v>2038</v>
      </c>
      <c r="I111" s="8">
        <f>I83</f>
        <v>2.93</v>
      </c>
      <c r="J111" s="2" t="s">
        <v>878</v>
      </c>
      <c r="K111" s="8">
        <f>(F111*I111)</f>
        <v>29.3</v>
      </c>
    </row>
    <row r="112" spans="3:11" hidden="1">
      <c r="C112"/>
      <c r="D112"/>
      <c r="E112"/>
      <c r="G112" s="90" t="s">
        <v>450</v>
      </c>
      <c r="H112" s="86" t="s">
        <v>451</v>
      </c>
      <c r="I112"/>
      <c r="J112" s="2" t="s">
        <v>450</v>
      </c>
      <c r="K112" s="8">
        <v>0</v>
      </c>
    </row>
    <row r="113" spans="3:11" hidden="1">
      <c r="C113"/>
      <c r="D113"/>
      <c r="E113"/>
      <c r="I113"/>
      <c r="J113" s="4"/>
      <c r="K113" s="5" t="s">
        <v>1609</v>
      </c>
    </row>
    <row r="114" spans="3:11" hidden="1">
      <c r="C114"/>
      <c r="D114"/>
      <c r="E114"/>
      <c r="H114" s="86" t="s">
        <v>620</v>
      </c>
      <c r="I114"/>
      <c r="J114" s="4"/>
      <c r="K114" s="8">
        <f>SUM(K110:K112)</f>
        <v>279.3</v>
      </c>
    </row>
    <row r="115" spans="3:11" hidden="1">
      <c r="C115"/>
      <c r="D115"/>
      <c r="E115"/>
      <c r="I115"/>
      <c r="J115" s="4"/>
      <c r="K115" s="5" t="s">
        <v>1609</v>
      </c>
    </row>
    <row r="116" spans="3:11" hidden="1">
      <c r="C116"/>
      <c r="D116"/>
      <c r="E116"/>
      <c r="H116" s="86"/>
      <c r="I116"/>
      <c r="J116" s="4"/>
      <c r="K116" s="8">
        <f>(K114/10)</f>
        <v>27.93</v>
      </c>
    </row>
    <row r="117" spans="3:11" hidden="1">
      <c r="C117"/>
      <c r="D117"/>
      <c r="E117"/>
      <c r="I117"/>
      <c r="J117" s="4"/>
      <c r="K117" s="5" t="s">
        <v>2080</v>
      </c>
    </row>
    <row r="118" spans="3:11" hidden="1">
      <c r="C118"/>
      <c r="D118"/>
      <c r="E118"/>
      <c r="F118" s="108"/>
      <c r="H118" s="86" t="s">
        <v>2060</v>
      </c>
      <c r="I118" s="25" t="s">
        <v>1419</v>
      </c>
      <c r="J118" s="4"/>
      <c r="K118" s="26">
        <f>K116-K111/10</f>
        <v>25</v>
      </c>
    </row>
    <row r="119" spans="3:11" hidden="1">
      <c r="C119"/>
      <c r="D119"/>
      <c r="E119"/>
      <c r="I119" s="25" t="s">
        <v>1382</v>
      </c>
      <c r="J119" s="4"/>
      <c r="K119" s="29">
        <f>ROUND(K118+C36,2)</f>
        <v>27.6</v>
      </c>
    </row>
    <row r="120" spans="3:11" hidden="1">
      <c r="C120"/>
      <c r="D120"/>
      <c r="E120"/>
      <c r="I120"/>
      <c r="J120" s="4"/>
      <c r="K120" s="5"/>
    </row>
    <row r="121" spans="3:11" ht="31.5" hidden="1">
      <c r="C121"/>
      <c r="D121"/>
      <c r="E121"/>
      <c r="F121" s="117">
        <v>1.8</v>
      </c>
      <c r="H121" s="116" t="s">
        <v>2094</v>
      </c>
      <c r="I121"/>
      <c r="J121" s="4"/>
      <c r="K121" s="5"/>
    </row>
    <row r="122" spans="3:11" hidden="1">
      <c r="C122"/>
      <c r="D122"/>
      <c r="E122"/>
      <c r="I122"/>
      <c r="J122" s="4"/>
      <c r="K122" s="5"/>
    </row>
    <row r="123" spans="3:11" hidden="1">
      <c r="C123"/>
      <c r="D123"/>
      <c r="E123"/>
      <c r="F123" s="91">
        <v>10</v>
      </c>
      <c r="G123" s="90" t="s">
        <v>878</v>
      </c>
      <c r="H123" s="86" t="s">
        <v>381</v>
      </c>
      <c r="I123">
        <f>D61</f>
        <v>37.299999999999997</v>
      </c>
      <c r="J123" s="2" t="s">
        <v>878</v>
      </c>
      <c r="K123" s="8">
        <f>(F123*I123)</f>
        <v>373</v>
      </c>
    </row>
    <row r="124" spans="3:11" hidden="1">
      <c r="C124"/>
      <c r="D124"/>
      <c r="E124"/>
      <c r="G124" s="85" t="s">
        <v>663</v>
      </c>
      <c r="I124"/>
      <c r="J124" s="4" t="s">
        <v>663</v>
      </c>
      <c r="K124" s="8">
        <v>0</v>
      </c>
    </row>
    <row r="125" spans="3:11" hidden="1">
      <c r="C125"/>
      <c r="D125"/>
      <c r="E125"/>
      <c r="I125"/>
      <c r="J125" s="4"/>
      <c r="K125" s="5" t="s">
        <v>1609</v>
      </c>
    </row>
    <row r="126" spans="3:11" hidden="1">
      <c r="C126"/>
      <c r="D126"/>
      <c r="E126"/>
      <c r="H126" s="86" t="s">
        <v>620</v>
      </c>
      <c r="I126"/>
      <c r="J126" s="4"/>
      <c r="K126" s="8">
        <f>SUM(K123:K124)</f>
        <v>373</v>
      </c>
    </row>
    <row r="127" spans="3:11" hidden="1">
      <c r="C127"/>
      <c r="D127"/>
      <c r="E127"/>
      <c r="I127"/>
      <c r="J127" s="4"/>
      <c r="K127" s="5" t="s">
        <v>1609</v>
      </c>
    </row>
    <row r="128" spans="3:11" ht="31.5" hidden="1">
      <c r="C128"/>
      <c r="D128"/>
      <c r="E128"/>
      <c r="F128" s="118"/>
      <c r="H128" s="119" t="s">
        <v>2172</v>
      </c>
      <c r="I128" s="25" t="s">
        <v>1419</v>
      </c>
      <c r="J128" s="4"/>
      <c r="K128" s="29">
        <f>ROUND(K126/10,2)</f>
        <v>37.299999999999997</v>
      </c>
    </row>
    <row r="129" spans="1:33" hidden="1">
      <c r="C129"/>
      <c r="D129"/>
      <c r="E129"/>
      <c r="I129" s="25" t="s">
        <v>1382</v>
      </c>
      <c r="J129" s="4"/>
      <c r="K129" s="29">
        <f>ROUND(K128+C36,2)</f>
        <v>39.9</v>
      </c>
    </row>
    <row r="130" spans="1:33" hidden="1">
      <c r="C130"/>
      <c r="D130"/>
      <c r="E130"/>
      <c r="I130" s="25"/>
      <c r="J130" s="4"/>
      <c r="K130" s="5"/>
    </row>
    <row r="131" spans="1:33" hidden="1">
      <c r="C131"/>
      <c r="D131"/>
      <c r="E131"/>
      <c r="F131" s="112">
        <v>1.6</v>
      </c>
      <c r="H131" s="86" t="s">
        <v>805</v>
      </c>
      <c r="I131" s="25"/>
      <c r="J131" s="4"/>
      <c r="K131"/>
    </row>
    <row r="132" spans="1:33" hidden="1">
      <c r="C132"/>
      <c r="D132"/>
      <c r="E132"/>
      <c r="H132" s="86" t="s">
        <v>382</v>
      </c>
      <c r="I132" s="25" t="s">
        <v>1419</v>
      </c>
      <c r="J132" s="4"/>
      <c r="K132" s="26">
        <f>C61*1.5</f>
        <v>37.5</v>
      </c>
    </row>
    <row r="133" spans="1:33" hidden="1">
      <c r="C133"/>
      <c r="D133"/>
      <c r="E133"/>
      <c r="F133" s="86" t="s">
        <v>987</v>
      </c>
      <c r="H133" s="86" t="s">
        <v>383</v>
      </c>
      <c r="I133" s="25" t="s">
        <v>1382</v>
      </c>
      <c r="J133" s="4"/>
      <c r="K133" s="29">
        <f>ROUND(K132+C36,2)</f>
        <v>40.1</v>
      </c>
    </row>
    <row r="134" spans="1:33" hidden="1">
      <c r="C134"/>
      <c r="D134"/>
      <c r="E134"/>
      <c r="I134"/>
      <c r="J134" s="4"/>
      <c r="K134" s="5" t="s">
        <v>2080</v>
      </c>
    </row>
    <row r="135" spans="1:33" hidden="1">
      <c r="C135"/>
      <c r="D135"/>
      <c r="E135"/>
      <c r="I135"/>
      <c r="J135" s="4"/>
      <c r="K135"/>
    </row>
    <row r="136" spans="1:33" hidden="1">
      <c r="A136" s="106">
        <f>(A91+1)</f>
        <v>80</v>
      </c>
      <c r="B136" s="86" t="s">
        <v>1570</v>
      </c>
      <c r="C136" s="8">
        <f>AC30</f>
        <v>8240</v>
      </c>
      <c r="D136" s="8">
        <v>13.87</v>
      </c>
      <c r="E136" s="1" t="s">
        <v>987</v>
      </c>
      <c r="F136" s="102" t="s">
        <v>384</v>
      </c>
      <c r="G136" s="90" t="s">
        <v>2276</v>
      </c>
      <c r="H136" s="86" t="s">
        <v>385</v>
      </c>
      <c r="I136"/>
      <c r="J136" s="4"/>
      <c r="K136"/>
      <c r="N136" s="86" t="s">
        <v>2341</v>
      </c>
      <c r="O136" s="86" t="s">
        <v>386</v>
      </c>
      <c r="R136" s="91" t="e">
        <f>(R89+C19)</f>
        <v>#REF!</v>
      </c>
      <c r="AG136" s="86" t="s">
        <v>2284</v>
      </c>
    </row>
    <row r="137" spans="1:33" hidden="1">
      <c r="A137" s="106">
        <f t="shared" ref="A137:A142" si="9">(A136+1)</f>
        <v>81</v>
      </c>
      <c r="B137" s="86" t="s">
        <v>387</v>
      </c>
      <c r="C137" s="8">
        <f>AC33</f>
        <v>26500</v>
      </c>
      <c r="D137" s="1" t="s">
        <v>870</v>
      </c>
      <c r="E137"/>
      <c r="H137" s="86" t="s">
        <v>1041</v>
      </c>
      <c r="I137"/>
      <c r="J137" s="4"/>
      <c r="K137"/>
      <c r="N137" s="86" t="s">
        <v>2342</v>
      </c>
      <c r="O137" s="86" t="s">
        <v>388</v>
      </c>
      <c r="R137" s="91" t="e">
        <f>(R136+C20)</f>
        <v>#REF!</v>
      </c>
      <c r="AG137" s="86" t="s">
        <v>2284</v>
      </c>
    </row>
    <row r="138" spans="1:33" hidden="1">
      <c r="A138" s="106">
        <f t="shared" si="9"/>
        <v>82</v>
      </c>
      <c r="B138" s="86" t="s">
        <v>1827</v>
      </c>
      <c r="C138" s="8">
        <f>AC32</f>
        <v>28000</v>
      </c>
      <c r="D138" s="1" t="s">
        <v>870</v>
      </c>
      <c r="E138"/>
      <c r="H138" s="89" t="s">
        <v>1609</v>
      </c>
      <c r="I138"/>
      <c r="J138" s="4"/>
      <c r="K138"/>
      <c r="N138" s="86" t="s">
        <v>2343</v>
      </c>
      <c r="O138" s="86" t="s">
        <v>2257</v>
      </c>
      <c r="R138" s="91" t="e">
        <f>(R137+C21)</f>
        <v>#REF!</v>
      </c>
      <c r="AG138" s="86" t="s">
        <v>2284</v>
      </c>
    </row>
    <row r="139" spans="1:33" hidden="1">
      <c r="A139" s="106">
        <f t="shared" si="9"/>
        <v>83</v>
      </c>
      <c r="B139" s="86" t="s">
        <v>378</v>
      </c>
      <c r="C139" s="8">
        <f>AC33</f>
        <v>26500</v>
      </c>
      <c r="D139" s="1" t="s">
        <v>870</v>
      </c>
      <c r="E139"/>
      <c r="F139" s="91">
        <v>1</v>
      </c>
      <c r="G139" s="90" t="s">
        <v>878</v>
      </c>
      <c r="H139" s="86" t="s">
        <v>379</v>
      </c>
      <c r="I139" s="8" t="e">
        <f>C79</f>
        <v>#REF!</v>
      </c>
      <c r="J139" s="2" t="s">
        <v>878</v>
      </c>
      <c r="K139" s="8" t="e">
        <f>(F139*I139)</f>
        <v>#REF!</v>
      </c>
      <c r="N139" s="86" t="s">
        <v>2344</v>
      </c>
      <c r="O139" s="86" t="s">
        <v>380</v>
      </c>
      <c r="R139" s="91" t="e">
        <f>(R138+C21)</f>
        <v>#REF!</v>
      </c>
      <c r="AG139" s="86" t="s">
        <v>2284</v>
      </c>
    </row>
    <row r="140" spans="1:33" hidden="1">
      <c r="A140" s="106">
        <f t="shared" si="9"/>
        <v>84</v>
      </c>
      <c r="B140" s="86" t="s">
        <v>1568</v>
      </c>
      <c r="C140" s="8">
        <f>AC38</f>
        <v>169</v>
      </c>
      <c r="D140" s="1" t="s">
        <v>878</v>
      </c>
      <c r="E140"/>
      <c r="F140" s="91">
        <v>1</v>
      </c>
      <c r="G140" s="90" t="s">
        <v>878</v>
      </c>
      <c r="H140" s="86" t="s">
        <v>1374</v>
      </c>
      <c r="I140" s="8">
        <f>C27</f>
        <v>7.8</v>
      </c>
      <c r="J140" s="2" t="s">
        <v>878</v>
      </c>
      <c r="K140" s="8">
        <f>(F140*I140)</f>
        <v>7.8</v>
      </c>
      <c r="O140" s="86" t="s">
        <v>2345</v>
      </c>
      <c r="R140" s="91" t="e">
        <f>(R139+C21)</f>
        <v>#REF!</v>
      </c>
      <c r="AG140" s="86" t="s">
        <v>2284</v>
      </c>
    </row>
    <row r="141" spans="1:33" hidden="1">
      <c r="A141" s="106">
        <f t="shared" si="9"/>
        <v>85</v>
      </c>
      <c r="B141" s="86" t="s">
        <v>193</v>
      </c>
      <c r="C141" s="8">
        <f>I255</f>
        <v>12224.58</v>
      </c>
      <c r="D141" s="1" t="s">
        <v>870</v>
      </c>
      <c r="E141"/>
      <c r="G141" s="90" t="s">
        <v>450</v>
      </c>
      <c r="H141" s="86" t="s">
        <v>451</v>
      </c>
      <c r="I141" s="1" t="s">
        <v>987</v>
      </c>
      <c r="J141" s="2" t="s">
        <v>450</v>
      </c>
      <c r="K141" s="8">
        <v>0</v>
      </c>
      <c r="N141" s="86" t="s">
        <v>2276</v>
      </c>
      <c r="O141" s="86" t="s">
        <v>2346</v>
      </c>
      <c r="AG141" s="86" t="s">
        <v>2284</v>
      </c>
    </row>
    <row r="142" spans="1:33" hidden="1">
      <c r="A142" s="106">
        <f t="shared" si="9"/>
        <v>86</v>
      </c>
      <c r="B142" s="86" t="s">
        <v>194</v>
      </c>
      <c r="C142" s="8">
        <v>30000</v>
      </c>
      <c r="D142" s="1" t="s">
        <v>870</v>
      </c>
      <c r="E142"/>
      <c r="I142"/>
      <c r="J142" s="4"/>
      <c r="K142" s="5" t="s">
        <v>1609</v>
      </c>
      <c r="O142" s="86" t="s">
        <v>1130</v>
      </c>
      <c r="AG142" s="86" t="s">
        <v>2284</v>
      </c>
    </row>
    <row r="143" spans="1:33" hidden="1">
      <c r="B143" s="86" t="s">
        <v>987</v>
      </c>
      <c r="C143"/>
      <c r="D143"/>
      <c r="E143"/>
      <c r="H143" s="86" t="s">
        <v>195</v>
      </c>
      <c r="I143"/>
      <c r="J143" s="4"/>
      <c r="K143" s="8" t="e">
        <f>SUM(K137:K141)</f>
        <v>#REF!</v>
      </c>
      <c r="O143" s="89" t="s">
        <v>1609</v>
      </c>
      <c r="AG143" s="86" t="s">
        <v>2284</v>
      </c>
    </row>
    <row r="144" spans="1:33" hidden="1">
      <c r="A144" s="106">
        <f>(A142+1)</f>
        <v>87</v>
      </c>
      <c r="B144" s="86" t="s">
        <v>196</v>
      </c>
      <c r="C144" s="8">
        <v>7.5</v>
      </c>
      <c r="D144" s="1" t="s">
        <v>450</v>
      </c>
      <c r="E144"/>
      <c r="I144"/>
      <c r="J144" s="4"/>
      <c r="K144" s="5" t="s">
        <v>1609</v>
      </c>
      <c r="M144" s="91">
        <v>4600</v>
      </c>
      <c r="N144" s="86" t="s">
        <v>1445</v>
      </c>
      <c r="O144" s="86" t="s">
        <v>1130</v>
      </c>
      <c r="P144" s="91" t="e">
        <f>(C91)</f>
        <v>#REF!</v>
      </c>
      <c r="Q144" s="86" t="s">
        <v>1617</v>
      </c>
      <c r="R144" s="91" t="e">
        <f>(M144*P144)/1000</f>
        <v>#REF!</v>
      </c>
      <c r="AG144" s="86" t="s">
        <v>2284</v>
      </c>
    </row>
    <row r="145" spans="3:11" hidden="1">
      <c r="C145"/>
      <c r="D145"/>
      <c r="E145"/>
      <c r="F145" s="102" t="s">
        <v>197</v>
      </c>
      <c r="G145" s="90" t="s">
        <v>2276</v>
      </c>
      <c r="H145" s="86" t="s">
        <v>1042</v>
      </c>
      <c r="I145"/>
      <c r="J145" s="4"/>
      <c r="K145"/>
    </row>
    <row r="146" spans="3:11" hidden="1">
      <c r="C146"/>
      <c r="D146"/>
      <c r="E146"/>
      <c r="H146" s="86" t="s">
        <v>1043</v>
      </c>
      <c r="I146"/>
      <c r="J146" s="4"/>
      <c r="K146"/>
    </row>
    <row r="147" spans="3:11" hidden="1">
      <c r="C147"/>
      <c r="D147"/>
      <c r="E147"/>
      <c r="H147" s="86" t="s">
        <v>488</v>
      </c>
      <c r="I147"/>
      <c r="J147" s="4"/>
      <c r="K147"/>
    </row>
    <row r="148" spans="3:11" hidden="1">
      <c r="C148"/>
      <c r="D148"/>
      <c r="E148"/>
      <c r="H148" s="86" t="s">
        <v>525</v>
      </c>
      <c r="I148"/>
      <c r="J148" s="4"/>
      <c r="K148"/>
    </row>
    <row r="149" spans="3:11" hidden="1">
      <c r="C149"/>
      <c r="D149"/>
      <c r="E149"/>
      <c r="H149" s="86" t="s">
        <v>526</v>
      </c>
      <c r="I149"/>
      <c r="J149" s="4"/>
      <c r="K149"/>
    </row>
    <row r="150" spans="3:11" hidden="1">
      <c r="C150"/>
      <c r="D150"/>
      <c r="E150"/>
      <c r="H150" s="89" t="s">
        <v>1609</v>
      </c>
      <c r="I150"/>
      <c r="J150" s="4"/>
      <c r="K150"/>
    </row>
    <row r="151" spans="3:11" hidden="1">
      <c r="C151"/>
      <c r="D151"/>
      <c r="E151"/>
      <c r="F151" s="91">
        <v>0.7</v>
      </c>
      <c r="G151" s="90" t="s">
        <v>878</v>
      </c>
      <c r="H151" s="86" t="s">
        <v>2027</v>
      </c>
      <c r="I151" s="8" t="e">
        <f>C79</f>
        <v>#REF!</v>
      </c>
      <c r="J151" s="2" t="s">
        <v>878</v>
      </c>
      <c r="K151" s="8" t="e">
        <f t="shared" ref="K151:K156" si="10">(F151*I151)</f>
        <v>#REF!</v>
      </c>
    </row>
    <row r="152" spans="3:11" hidden="1">
      <c r="C152"/>
      <c r="D152"/>
      <c r="E152"/>
      <c r="F152" s="91">
        <v>0.7</v>
      </c>
      <c r="G152" s="90" t="s">
        <v>878</v>
      </c>
      <c r="H152" s="86" t="s">
        <v>527</v>
      </c>
      <c r="I152" s="8">
        <f>C783</f>
        <v>3.05</v>
      </c>
      <c r="J152" s="2" t="s">
        <v>878</v>
      </c>
      <c r="K152" s="8">
        <f t="shared" si="10"/>
        <v>2.14</v>
      </c>
    </row>
    <row r="153" spans="3:11" hidden="1">
      <c r="C153"/>
      <c r="D153"/>
      <c r="E153"/>
      <c r="F153" s="91">
        <v>0.72</v>
      </c>
      <c r="G153" s="90" t="s">
        <v>878</v>
      </c>
      <c r="H153" s="86" t="s">
        <v>1666</v>
      </c>
      <c r="I153" s="8">
        <f>C35</f>
        <v>169</v>
      </c>
      <c r="J153" s="2" t="s">
        <v>878</v>
      </c>
      <c r="K153" s="8">
        <f t="shared" si="10"/>
        <v>121.68</v>
      </c>
    </row>
    <row r="154" spans="3:11" hidden="1">
      <c r="C154"/>
      <c r="D154"/>
      <c r="E154"/>
      <c r="F154" s="91">
        <v>0.72</v>
      </c>
      <c r="G154" s="90" t="s">
        <v>878</v>
      </c>
      <c r="H154" s="86" t="s">
        <v>527</v>
      </c>
      <c r="I154" s="8">
        <f>C783</f>
        <v>3.05</v>
      </c>
      <c r="J154" s="2" t="s">
        <v>878</v>
      </c>
      <c r="K154" s="8">
        <f t="shared" si="10"/>
        <v>2.2000000000000002</v>
      </c>
    </row>
    <row r="155" spans="3:11" hidden="1">
      <c r="C155"/>
      <c r="D155"/>
      <c r="E155"/>
      <c r="F155" s="91">
        <v>1</v>
      </c>
      <c r="G155" s="90" t="s">
        <v>878</v>
      </c>
      <c r="H155" s="86" t="s">
        <v>1817</v>
      </c>
      <c r="I155" s="8">
        <f>C18</f>
        <v>26</v>
      </c>
      <c r="J155" s="2" t="s">
        <v>878</v>
      </c>
      <c r="K155" s="8">
        <f t="shared" si="10"/>
        <v>26</v>
      </c>
    </row>
    <row r="156" spans="3:11" hidden="1">
      <c r="C156"/>
      <c r="D156"/>
      <c r="E156"/>
      <c r="F156" s="91">
        <v>1</v>
      </c>
      <c r="G156" s="90" t="s">
        <v>878</v>
      </c>
      <c r="H156" s="86" t="s">
        <v>1667</v>
      </c>
      <c r="I156" s="8">
        <v>6.05</v>
      </c>
      <c r="J156" s="2" t="s">
        <v>878</v>
      </c>
      <c r="K156" s="8">
        <f t="shared" si="10"/>
        <v>6.05</v>
      </c>
    </row>
    <row r="157" spans="3:11" hidden="1">
      <c r="C157"/>
      <c r="D157"/>
      <c r="E157"/>
      <c r="H157" s="86" t="s">
        <v>1668</v>
      </c>
      <c r="I157"/>
      <c r="J157" s="4"/>
      <c r="K157"/>
    </row>
    <row r="158" spans="3:11" hidden="1">
      <c r="C158"/>
      <c r="D158"/>
      <c r="E158"/>
      <c r="G158" s="90" t="s">
        <v>450</v>
      </c>
      <c r="H158" s="86" t="s">
        <v>451</v>
      </c>
      <c r="I158" s="1" t="s">
        <v>987</v>
      </c>
      <c r="J158" s="2" t="s">
        <v>450</v>
      </c>
      <c r="K158" s="8">
        <v>0</v>
      </c>
    </row>
    <row r="159" spans="3:11" hidden="1">
      <c r="C159"/>
      <c r="D159"/>
      <c r="E159"/>
      <c r="I159"/>
      <c r="J159" s="4"/>
      <c r="K159" s="5" t="s">
        <v>1609</v>
      </c>
    </row>
    <row r="160" spans="3:11" hidden="1">
      <c r="C160"/>
      <c r="D160"/>
      <c r="E160"/>
      <c r="H160" s="86" t="s">
        <v>195</v>
      </c>
      <c r="I160"/>
      <c r="J160" s="4"/>
      <c r="K160" s="8" t="e">
        <f>SUM(K151:K158)</f>
        <v>#REF!</v>
      </c>
    </row>
    <row r="161" spans="1:11" hidden="1">
      <c r="C161"/>
      <c r="D161"/>
      <c r="E161"/>
      <c r="I161"/>
      <c r="J161" s="4"/>
      <c r="K161" s="5" t="s">
        <v>1609</v>
      </c>
    </row>
    <row r="162" spans="1:11" hidden="1">
      <c r="C162"/>
      <c r="D162"/>
      <c r="E162"/>
      <c r="H162" s="86" t="s">
        <v>987</v>
      </c>
      <c r="I162"/>
      <c r="J162" s="4"/>
      <c r="K162" s="1" t="s">
        <v>987</v>
      </c>
    </row>
    <row r="163" spans="1:11" hidden="1">
      <c r="C163"/>
      <c r="D163"/>
      <c r="E163"/>
      <c r="I163"/>
      <c r="J163" s="4"/>
      <c r="K163" s="1" t="s">
        <v>987</v>
      </c>
    </row>
    <row r="164" spans="1:11" hidden="1">
      <c r="A164" s="120">
        <v>2.2999999999999998</v>
      </c>
      <c r="B164" s="86" t="s">
        <v>245</v>
      </c>
      <c r="C164" t="e">
        <f>AC19+I167</f>
        <v>#REF!</v>
      </c>
      <c r="D164"/>
      <c r="E164"/>
      <c r="F164" s="112">
        <v>2.6</v>
      </c>
      <c r="G164" s="90" t="s">
        <v>2276</v>
      </c>
      <c r="H164" s="86" t="s">
        <v>1189</v>
      </c>
      <c r="I164"/>
      <c r="J164" s="4"/>
      <c r="K164"/>
    </row>
    <row r="165" spans="1:11" hidden="1">
      <c r="A165" s="120">
        <v>2.4</v>
      </c>
      <c r="B165" s="86" t="s">
        <v>789</v>
      </c>
      <c r="C165" t="e">
        <f>AC20+I167</f>
        <v>#REF!</v>
      </c>
      <c r="D165"/>
      <c r="E165"/>
      <c r="H165" s="89" t="s">
        <v>1609</v>
      </c>
      <c r="I165"/>
      <c r="J165" s="4"/>
      <c r="K165"/>
    </row>
    <row r="166" spans="1:11" hidden="1">
      <c r="C166"/>
      <c r="D166"/>
      <c r="E166"/>
      <c r="F166" s="91">
        <v>1</v>
      </c>
      <c r="G166" s="90" t="s">
        <v>878</v>
      </c>
      <c r="H166" s="86" t="s">
        <v>1108</v>
      </c>
      <c r="I166" s="8" t="e">
        <f>AC15</f>
        <v>#REF!</v>
      </c>
      <c r="J166" s="2" t="s">
        <v>878</v>
      </c>
      <c r="K166" s="8" t="e">
        <f>(F166*I166)</f>
        <v>#REF!</v>
      </c>
    </row>
    <row r="167" spans="1:11" hidden="1">
      <c r="C167"/>
      <c r="D167"/>
      <c r="E167"/>
      <c r="F167" s="91">
        <v>1</v>
      </c>
      <c r="G167" s="90" t="s">
        <v>878</v>
      </c>
      <c r="H167" s="86" t="s">
        <v>1374</v>
      </c>
      <c r="I167" s="8">
        <f>C26</f>
        <v>8.8000000000000007</v>
      </c>
      <c r="J167" s="2" t="s">
        <v>878</v>
      </c>
      <c r="K167" s="8">
        <f>(F167*I167)</f>
        <v>8.8000000000000007</v>
      </c>
    </row>
    <row r="168" spans="1:11" hidden="1">
      <c r="C168"/>
      <c r="D168"/>
      <c r="E168"/>
      <c r="G168" s="90" t="s">
        <v>450</v>
      </c>
      <c r="H168" s="86" t="s">
        <v>451</v>
      </c>
      <c r="I168" s="1" t="s">
        <v>987</v>
      </c>
      <c r="J168" s="2" t="s">
        <v>450</v>
      </c>
      <c r="K168" s="8">
        <v>0</v>
      </c>
    </row>
    <row r="169" spans="1:11" hidden="1">
      <c r="C169"/>
      <c r="D169"/>
      <c r="E169"/>
      <c r="I169"/>
      <c r="J169" s="4"/>
      <c r="K169" s="5" t="s">
        <v>1609</v>
      </c>
    </row>
    <row r="170" spans="1:11" hidden="1">
      <c r="C170"/>
      <c r="D170"/>
      <c r="E170"/>
      <c r="H170" s="86" t="s">
        <v>195</v>
      </c>
      <c r="I170"/>
      <c r="J170" s="4"/>
      <c r="K170" s="8" t="e">
        <f>SUM(K165:K168)</f>
        <v>#REF!</v>
      </c>
    </row>
    <row r="171" spans="1:11" hidden="1">
      <c r="C171"/>
      <c r="D171"/>
      <c r="E171"/>
      <c r="I171"/>
      <c r="J171" s="4"/>
      <c r="K171" s="5" t="s">
        <v>1609</v>
      </c>
    </row>
    <row r="172" spans="1:11" hidden="1">
      <c r="C172"/>
      <c r="D172"/>
      <c r="E172"/>
      <c r="F172" s="112">
        <v>2.7</v>
      </c>
      <c r="G172" s="90" t="s">
        <v>2276</v>
      </c>
      <c r="H172" s="86" t="s">
        <v>2016</v>
      </c>
      <c r="I172"/>
      <c r="J172" s="4"/>
      <c r="K172"/>
    </row>
    <row r="173" spans="1:11" hidden="1">
      <c r="C173"/>
      <c r="D173"/>
      <c r="E173"/>
      <c r="H173" s="89" t="s">
        <v>1609</v>
      </c>
      <c r="I173"/>
      <c r="J173" s="4"/>
      <c r="K173"/>
    </row>
    <row r="174" spans="1:11" hidden="1">
      <c r="C174"/>
      <c r="D174"/>
      <c r="E174"/>
      <c r="F174" s="91">
        <v>1</v>
      </c>
      <c r="G174" s="90" t="s">
        <v>878</v>
      </c>
      <c r="H174" s="86" t="s">
        <v>841</v>
      </c>
      <c r="I174" s="8" t="e">
        <f>AC14</f>
        <v>#REF!</v>
      </c>
      <c r="J174" s="2" t="s">
        <v>878</v>
      </c>
      <c r="K174" s="8" t="e">
        <f>(F174*I174)</f>
        <v>#REF!</v>
      </c>
    </row>
    <row r="175" spans="1:11" hidden="1">
      <c r="C175"/>
      <c r="D175"/>
      <c r="E175"/>
      <c r="F175" s="91">
        <v>1</v>
      </c>
      <c r="G175" s="90" t="s">
        <v>878</v>
      </c>
      <c r="H175" s="86" t="s">
        <v>1374</v>
      </c>
      <c r="I175" s="8">
        <f>C26</f>
        <v>8.8000000000000007</v>
      </c>
      <c r="J175" s="2" t="s">
        <v>878</v>
      </c>
      <c r="K175" s="8">
        <f>(F175*I175)</f>
        <v>8.8000000000000007</v>
      </c>
    </row>
    <row r="176" spans="1:11" hidden="1">
      <c r="C176"/>
      <c r="D176"/>
      <c r="E176"/>
      <c r="G176" s="90" t="s">
        <v>450</v>
      </c>
      <c r="H176" s="86" t="s">
        <v>451</v>
      </c>
      <c r="I176" s="1" t="s">
        <v>987</v>
      </c>
      <c r="J176" s="2" t="s">
        <v>450</v>
      </c>
      <c r="K176" s="8">
        <v>0</v>
      </c>
    </row>
    <row r="177" spans="1:33" hidden="1">
      <c r="C177"/>
      <c r="D177"/>
      <c r="E177"/>
      <c r="I177"/>
      <c r="J177" s="4"/>
      <c r="K177" s="5" t="s">
        <v>1609</v>
      </c>
    </row>
    <row r="178" spans="1:33" hidden="1">
      <c r="C178"/>
      <c r="D178"/>
      <c r="E178"/>
      <c r="H178" s="86" t="s">
        <v>195</v>
      </c>
      <c r="I178"/>
      <c r="J178" s="4"/>
      <c r="K178" s="8" t="e">
        <f>SUM(K173:K176)</f>
        <v>#REF!</v>
      </c>
    </row>
    <row r="179" spans="1:33" hidden="1">
      <c r="A179" s="106">
        <f>(A144+1)</f>
        <v>88</v>
      </c>
      <c r="B179" s="86" t="s">
        <v>1669</v>
      </c>
      <c r="C179" s="8">
        <v>15.25</v>
      </c>
      <c r="D179" s="1" t="s">
        <v>1670</v>
      </c>
      <c r="E179"/>
      <c r="I179"/>
      <c r="J179" s="4"/>
      <c r="K179" s="5" t="s">
        <v>1609</v>
      </c>
      <c r="M179" s="91">
        <v>2.5</v>
      </c>
      <c r="N179" s="86" t="s">
        <v>878</v>
      </c>
      <c r="O179" s="86" t="s">
        <v>1656</v>
      </c>
      <c r="P179" s="91" t="e">
        <f>(K58)</f>
        <v>#REF!</v>
      </c>
      <c r="Q179" s="86" t="s">
        <v>878</v>
      </c>
      <c r="R179" s="91" t="e">
        <f>(M179*P179)</f>
        <v>#REF!</v>
      </c>
      <c r="AG179" s="86" t="s">
        <v>2284</v>
      </c>
    </row>
    <row r="180" spans="1:33" hidden="1">
      <c r="A180" s="106">
        <f>(A179+1)</f>
        <v>89</v>
      </c>
      <c r="B180" s="86" t="s">
        <v>1671</v>
      </c>
      <c r="C180" s="8">
        <v>110</v>
      </c>
      <c r="D180" s="1" t="s">
        <v>1670</v>
      </c>
      <c r="E180"/>
      <c r="H180" s="86" t="s">
        <v>987</v>
      </c>
      <c r="I180"/>
      <c r="J180" s="4"/>
      <c r="K180"/>
      <c r="M180" s="91">
        <v>3.5</v>
      </c>
      <c r="N180" s="86" t="s">
        <v>877</v>
      </c>
      <c r="O180" s="86" t="s">
        <v>2034</v>
      </c>
      <c r="P180" s="91">
        <f>(C10)</f>
        <v>150</v>
      </c>
      <c r="Q180" s="86" t="s">
        <v>877</v>
      </c>
      <c r="R180" s="91">
        <f>(M180*P180)</f>
        <v>525</v>
      </c>
      <c r="AG180" s="86" t="s">
        <v>2284</v>
      </c>
    </row>
    <row r="181" spans="1:33" hidden="1">
      <c r="C181"/>
      <c r="D181"/>
      <c r="E181"/>
      <c r="F181" s="102" t="s">
        <v>1672</v>
      </c>
      <c r="H181" s="86" t="s">
        <v>957</v>
      </c>
      <c r="I181"/>
      <c r="J181" s="4"/>
      <c r="K181"/>
    </row>
    <row r="182" spans="1:33" hidden="1">
      <c r="C182"/>
      <c r="D182"/>
      <c r="E182"/>
      <c r="I182"/>
      <c r="J182" s="4"/>
      <c r="K182"/>
    </row>
    <row r="183" spans="1:33" hidden="1">
      <c r="C183"/>
      <c r="D183"/>
      <c r="E183"/>
      <c r="F183" s="91">
        <v>1</v>
      </c>
      <c r="G183" s="90" t="s">
        <v>878</v>
      </c>
      <c r="H183" s="86" t="s">
        <v>66</v>
      </c>
      <c r="I183" s="8">
        <f>C35</f>
        <v>169</v>
      </c>
      <c r="J183" s="2" t="s">
        <v>878</v>
      </c>
      <c r="K183" s="8">
        <f>(F183*I183)</f>
        <v>169</v>
      </c>
    </row>
    <row r="184" spans="1:33" hidden="1">
      <c r="C184"/>
      <c r="D184"/>
      <c r="E184"/>
      <c r="F184" s="91">
        <v>1</v>
      </c>
      <c r="G184" s="90" t="s">
        <v>878</v>
      </c>
      <c r="H184" s="86" t="s">
        <v>527</v>
      </c>
      <c r="I184" s="8">
        <f>C783</f>
        <v>3.05</v>
      </c>
      <c r="J184" s="2" t="s">
        <v>878</v>
      </c>
      <c r="K184" s="8">
        <f>(F184*I184)</f>
        <v>3.05</v>
      </c>
    </row>
    <row r="185" spans="1:33" hidden="1">
      <c r="C185"/>
      <c r="D185"/>
      <c r="E185"/>
      <c r="F185" s="91">
        <v>1</v>
      </c>
      <c r="G185" s="90" t="s">
        <v>878</v>
      </c>
      <c r="H185" s="86" t="s">
        <v>1667</v>
      </c>
      <c r="I185" s="8">
        <v>6.05</v>
      </c>
      <c r="J185" s="2" t="s">
        <v>878</v>
      </c>
      <c r="K185" s="8">
        <f>(F185*I185)</f>
        <v>6.05</v>
      </c>
    </row>
    <row r="186" spans="1:33" hidden="1">
      <c r="C186"/>
      <c r="D186"/>
      <c r="E186"/>
      <c r="H186" s="86" t="s">
        <v>1668</v>
      </c>
      <c r="I186"/>
      <c r="J186" s="4"/>
      <c r="K186"/>
    </row>
    <row r="187" spans="1:33" hidden="1">
      <c r="C187"/>
      <c r="D187"/>
      <c r="E187"/>
      <c r="I187"/>
      <c r="J187" s="4"/>
      <c r="K187" s="5" t="s">
        <v>1609</v>
      </c>
    </row>
    <row r="188" spans="1:33" hidden="1">
      <c r="C188"/>
      <c r="D188"/>
      <c r="E188"/>
      <c r="H188" s="86" t="s">
        <v>195</v>
      </c>
      <c r="I188"/>
      <c r="J188" s="4"/>
      <c r="K188" s="8">
        <f>SUM(K181:K186)</f>
        <v>178.1</v>
      </c>
    </row>
    <row r="189" spans="1:33" hidden="1">
      <c r="C189"/>
      <c r="D189"/>
      <c r="E189"/>
      <c r="F189" s="86" t="s">
        <v>987</v>
      </c>
      <c r="I189"/>
      <c r="J189" s="4"/>
      <c r="K189" s="5" t="s">
        <v>1609</v>
      </c>
    </row>
    <row r="190" spans="1:33" hidden="1">
      <c r="C190"/>
      <c r="D190"/>
      <c r="E190"/>
      <c r="I190"/>
      <c r="J190" s="4"/>
      <c r="K190" s="1" t="s">
        <v>987</v>
      </c>
    </row>
    <row r="191" spans="1:33" hidden="1">
      <c r="A191" s="106">
        <f>(A180+1)</f>
        <v>90</v>
      </c>
      <c r="B191" s="86" t="s">
        <v>670</v>
      </c>
      <c r="C191" s="8">
        <v>65</v>
      </c>
      <c r="D191" s="1" t="s">
        <v>671</v>
      </c>
      <c r="E191"/>
      <c r="F191" s="102" t="s">
        <v>672</v>
      </c>
      <c r="G191" s="90" t="s">
        <v>2276</v>
      </c>
      <c r="H191" s="86" t="s">
        <v>673</v>
      </c>
      <c r="I191"/>
      <c r="J191" s="4"/>
      <c r="K191"/>
      <c r="M191" s="91">
        <v>10.6</v>
      </c>
      <c r="N191" s="86" t="s">
        <v>877</v>
      </c>
      <c r="O191" s="86" t="s">
        <v>1737</v>
      </c>
      <c r="P191" s="91">
        <f>(C11)</f>
        <v>135</v>
      </c>
      <c r="Q191" s="86" t="s">
        <v>877</v>
      </c>
      <c r="R191" s="91">
        <f>(M191*P191)</f>
        <v>1431</v>
      </c>
      <c r="AG191" s="86" t="s">
        <v>2284</v>
      </c>
    </row>
    <row r="192" spans="1:33" hidden="1">
      <c r="A192" s="106">
        <f t="shared" ref="A192:A207" si="11">(A191+1)</f>
        <v>91</v>
      </c>
      <c r="B192" s="86" t="s">
        <v>674</v>
      </c>
      <c r="C192" s="8">
        <v>25</v>
      </c>
      <c r="D192" s="1" t="s">
        <v>671</v>
      </c>
      <c r="E192"/>
      <c r="H192" s="86" t="s">
        <v>675</v>
      </c>
      <c r="I192"/>
      <c r="J192" s="4"/>
      <c r="K192"/>
      <c r="M192" s="91">
        <v>7.1</v>
      </c>
      <c r="N192" s="86" t="s">
        <v>877</v>
      </c>
      <c r="O192" s="86" t="s">
        <v>1927</v>
      </c>
      <c r="P192" s="91">
        <f>(C12)</f>
        <v>95</v>
      </c>
      <c r="Q192" s="86" t="s">
        <v>877</v>
      </c>
      <c r="R192" s="91">
        <f>(M192*P192)</f>
        <v>674.5</v>
      </c>
      <c r="AG192" s="86" t="s">
        <v>2284</v>
      </c>
    </row>
    <row r="193" spans="1:33" hidden="1">
      <c r="A193" s="106">
        <f t="shared" si="11"/>
        <v>92</v>
      </c>
      <c r="B193" s="86" t="s">
        <v>2347</v>
      </c>
      <c r="C193" s="8">
        <v>210</v>
      </c>
      <c r="D193" s="1" t="s">
        <v>671</v>
      </c>
      <c r="E193"/>
      <c r="H193" s="89" t="s">
        <v>1609</v>
      </c>
      <c r="I193"/>
      <c r="J193" s="4"/>
      <c r="K193"/>
      <c r="M193" s="91">
        <v>21.2</v>
      </c>
      <c r="N193" s="86" t="s">
        <v>877</v>
      </c>
      <c r="O193" s="86" t="s">
        <v>321</v>
      </c>
      <c r="P193" s="91">
        <f>(C13)</f>
        <v>85</v>
      </c>
      <c r="Q193" s="86" t="s">
        <v>877</v>
      </c>
      <c r="R193" s="91">
        <f>(M193*P193)</f>
        <v>1802</v>
      </c>
      <c r="AG193" s="86" t="s">
        <v>2284</v>
      </c>
    </row>
    <row r="194" spans="1:33" hidden="1">
      <c r="A194" s="106">
        <f t="shared" si="11"/>
        <v>93</v>
      </c>
      <c r="B194" s="86" t="s">
        <v>1662</v>
      </c>
      <c r="C194" s="8">
        <v>160</v>
      </c>
      <c r="D194" s="8">
        <v>96.11</v>
      </c>
      <c r="E194"/>
      <c r="F194" s="91">
        <v>9</v>
      </c>
      <c r="G194" s="90" t="s">
        <v>878</v>
      </c>
      <c r="H194" s="86" t="s">
        <v>1663</v>
      </c>
      <c r="I194" s="8" t="e">
        <f>(C74)</f>
        <v>#REF!</v>
      </c>
      <c r="J194" s="2" t="s">
        <v>878</v>
      </c>
      <c r="K194" s="8" t="e">
        <f>(F194*I194)</f>
        <v>#REF!</v>
      </c>
      <c r="N194" s="86" t="s">
        <v>450</v>
      </c>
      <c r="O194" s="86" t="s">
        <v>451</v>
      </c>
      <c r="Q194" s="86" t="s">
        <v>450</v>
      </c>
      <c r="R194" s="91">
        <v>0</v>
      </c>
      <c r="AG194" s="86" t="s">
        <v>2284</v>
      </c>
    </row>
    <row r="195" spans="1:33" hidden="1">
      <c r="A195" s="106">
        <f t="shared" si="11"/>
        <v>94</v>
      </c>
      <c r="B195" s="86" t="s">
        <v>845</v>
      </c>
      <c r="C195" s="8">
        <v>100</v>
      </c>
      <c r="D195" s="1" t="s">
        <v>671</v>
      </c>
      <c r="E195"/>
      <c r="F195" s="91">
        <v>4.5</v>
      </c>
      <c r="G195" s="90" t="s">
        <v>878</v>
      </c>
      <c r="H195" s="86" t="s">
        <v>1650</v>
      </c>
      <c r="I195" s="8" t="e">
        <f>(K49)</f>
        <v>#REF!</v>
      </c>
      <c r="J195" s="2" t="s">
        <v>878</v>
      </c>
      <c r="K195" s="8" t="e">
        <f>(F195*I195)</f>
        <v>#REF!</v>
      </c>
      <c r="R195" s="89" t="s">
        <v>1609</v>
      </c>
      <c r="AG195" s="86" t="s">
        <v>2284</v>
      </c>
    </row>
    <row r="196" spans="1:33" hidden="1">
      <c r="A196" s="106">
        <f t="shared" si="11"/>
        <v>95</v>
      </c>
      <c r="B196" s="86" t="s">
        <v>846</v>
      </c>
      <c r="C196" s="8">
        <v>0.25</v>
      </c>
      <c r="D196" s="1" t="s">
        <v>877</v>
      </c>
      <c r="E196"/>
      <c r="F196" s="91">
        <v>1.8</v>
      </c>
      <c r="G196" s="90" t="s">
        <v>877</v>
      </c>
      <c r="H196" s="86" t="s">
        <v>1737</v>
      </c>
      <c r="I196" s="8">
        <f>(C11)</f>
        <v>135</v>
      </c>
      <c r="J196" s="2" t="s">
        <v>877</v>
      </c>
      <c r="K196" s="8">
        <f>(F196*I196)</f>
        <v>243</v>
      </c>
      <c r="O196" s="86" t="s">
        <v>620</v>
      </c>
      <c r="R196" s="91" t="e">
        <f>SUM(R144:R194)</f>
        <v>#REF!</v>
      </c>
      <c r="AG196" s="86" t="s">
        <v>2284</v>
      </c>
    </row>
    <row r="197" spans="1:33" hidden="1">
      <c r="A197" s="106">
        <f t="shared" si="11"/>
        <v>96</v>
      </c>
      <c r="B197" s="86" t="s">
        <v>614</v>
      </c>
      <c r="C197" s="8">
        <v>22.6</v>
      </c>
      <c r="D197" s="1" t="s">
        <v>615</v>
      </c>
      <c r="E197"/>
      <c r="F197" s="91">
        <v>17.7</v>
      </c>
      <c r="G197" s="90" t="s">
        <v>877</v>
      </c>
      <c r="H197" s="86" t="s">
        <v>1927</v>
      </c>
      <c r="I197" s="8">
        <f>(C12)</f>
        <v>95</v>
      </c>
      <c r="J197" s="2" t="s">
        <v>877</v>
      </c>
      <c r="K197" s="8">
        <f>(F197*I197)</f>
        <v>1681.5</v>
      </c>
      <c r="R197" s="89" t="s">
        <v>1609</v>
      </c>
      <c r="AG197" s="86" t="s">
        <v>2284</v>
      </c>
    </row>
    <row r="198" spans="1:33" hidden="1">
      <c r="A198" s="106">
        <f t="shared" si="11"/>
        <v>97</v>
      </c>
      <c r="B198" s="86" t="s">
        <v>2538</v>
      </c>
      <c r="C198" s="8">
        <v>212</v>
      </c>
      <c r="D198" s="1" t="s">
        <v>615</v>
      </c>
      <c r="E198"/>
      <c r="F198" s="91">
        <v>14.1</v>
      </c>
      <c r="G198" s="90" t="s">
        <v>877</v>
      </c>
      <c r="H198" s="86" t="s">
        <v>321</v>
      </c>
      <c r="I198" s="8">
        <f>(C13)</f>
        <v>85</v>
      </c>
      <c r="J198" s="2" t="s">
        <v>877</v>
      </c>
      <c r="K198" s="8">
        <f>(F198*I198)</f>
        <v>1198.5</v>
      </c>
      <c r="O198" s="86" t="s">
        <v>782</v>
      </c>
      <c r="R198" s="91" t="e">
        <f>(R196/10)</f>
        <v>#REF!</v>
      </c>
      <c r="AG198" s="86" t="s">
        <v>2284</v>
      </c>
    </row>
    <row r="199" spans="1:33" hidden="1">
      <c r="A199" s="106">
        <f t="shared" si="11"/>
        <v>98</v>
      </c>
      <c r="B199" s="86" t="s">
        <v>2124</v>
      </c>
      <c r="C199" s="8">
        <v>85</v>
      </c>
      <c r="D199" s="1" t="s">
        <v>778</v>
      </c>
      <c r="E199"/>
      <c r="G199" s="90" t="s">
        <v>450</v>
      </c>
      <c r="H199" s="86" t="s">
        <v>451</v>
      </c>
      <c r="I199"/>
      <c r="J199" s="2" t="s">
        <v>450</v>
      </c>
      <c r="K199" s="8">
        <v>0</v>
      </c>
      <c r="R199" s="89" t="s">
        <v>2080</v>
      </c>
      <c r="AG199" s="86" t="s">
        <v>2284</v>
      </c>
    </row>
    <row r="200" spans="1:33" hidden="1">
      <c r="A200" s="106">
        <f t="shared" si="11"/>
        <v>99</v>
      </c>
      <c r="B200" s="86" t="s">
        <v>1166</v>
      </c>
      <c r="C200" s="8">
        <v>750</v>
      </c>
      <c r="D200" s="1" t="s">
        <v>778</v>
      </c>
      <c r="E200"/>
      <c r="I200"/>
      <c r="J200" s="4"/>
      <c r="K200" s="5" t="s">
        <v>1609</v>
      </c>
      <c r="AG200" s="86" t="s">
        <v>2284</v>
      </c>
    </row>
    <row r="201" spans="1:33" hidden="1">
      <c r="A201" s="106">
        <f t="shared" si="11"/>
        <v>100</v>
      </c>
      <c r="B201" s="86" t="s">
        <v>1167</v>
      </c>
      <c r="C201" s="8">
        <v>47.2</v>
      </c>
      <c r="D201" s="1" t="s">
        <v>778</v>
      </c>
      <c r="E201"/>
      <c r="I201"/>
      <c r="J201" s="4"/>
      <c r="K201" s="8" t="e">
        <f>SUM(K194:K199)</f>
        <v>#REF!</v>
      </c>
      <c r="N201" s="86" t="s">
        <v>3201</v>
      </c>
      <c r="O201" s="86" t="s">
        <v>386</v>
      </c>
      <c r="R201" s="91" t="e">
        <f>(R198+C19)</f>
        <v>#REF!</v>
      </c>
      <c r="AG201" s="86" t="s">
        <v>2284</v>
      </c>
    </row>
    <row r="202" spans="1:33" hidden="1">
      <c r="A202" s="106">
        <f t="shared" si="11"/>
        <v>101</v>
      </c>
      <c r="B202" s="86" t="s">
        <v>2362</v>
      </c>
      <c r="C202" s="8">
        <v>75</v>
      </c>
      <c r="D202" s="1" t="s">
        <v>778</v>
      </c>
      <c r="E202"/>
      <c r="H202" s="86" t="s">
        <v>620</v>
      </c>
      <c r="I202"/>
      <c r="J202" s="4"/>
      <c r="K202" s="5" t="s">
        <v>1609</v>
      </c>
      <c r="N202" s="86" t="s">
        <v>2363</v>
      </c>
      <c r="O202" s="86" t="s">
        <v>388</v>
      </c>
      <c r="R202" s="91" t="e">
        <f>(R201+C20)</f>
        <v>#REF!</v>
      </c>
      <c r="AG202" s="86" t="s">
        <v>322</v>
      </c>
    </row>
    <row r="203" spans="1:33" hidden="1">
      <c r="A203" s="106">
        <f t="shared" si="11"/>
        <v>102</v>
      </c>
      <c r="B203" s="86" t="s">
        <v>690</v>
      </c>
      <c r="C203" s="8">
        <v>40</v>
      </c>
      <c r="D203" s="1" t="s">
        <v>778</v>
      </c>
      <c r="E203"/>
      <c r="I203"/>
      <c r="J203" s="4"/>
      <c r="K203" s="8" t="e">
        <f>(K201/10)</f>
        <v>#REF!</v>
      </c>
      <c r="N203" s="86" t="s">
        <v>2364</v>
      </c>
      <c r="O203" s="86" t="s">
        <v>2257</v>
      </c>
      <c r="R203" s="91" t="e">
        <f>(R202+C21)</f>
        <v>#REF!</v>
      </c>
    </row>
    <row r="204" spans="1:33" hidden="1">
      <c r="A204" s="106">
        <f t="shared" si="11"/>
        <v>103</v>
      </c>
      <c r="B204" s="86" t="s">
        <v>627</v>
      </c>
      <c r="C204" s="8">
        <v>65</v>
      </c>
      <c r="D204" s="1" t="s">
        <v>778</v>
      </c>
      <c r="E204"/>
      <c r="H204" s="86" t="s">
        <v>782</v>
      </c>
      <c r="I204"/>
      <c r="J204" s="4"/>
      <c r="K204" s="5" t="s">
        <v>2080</v>
      </c>
      <c r="N204" s="86" t="s">
        <v>2365</v>
      </c>
      <c r="O204" s="86" t="s">
        <v>380</v>
      </c>
      <c r="R204" s="91" t="e">
        <f>(R203+C21)</f>
        <v>#REF!</v>
      </c>
    </row>
    <row r="205" spans="1:33" hidden="1">
      <c r="A205" s="106">
        <f t="shared" si="11"/>
        <v>104</v>
      </c>
      <c r="B205" s="86" t="s">
        <v>2366</v>
      </c>
      <c r="C205" s="8">
        <v>65</v>
      </c>
      <c r="D205" s="1" t="s">
        <v>778</v>
      </c>
      <c r="E205"/>
      <c r="I205"/>
      <c r="J205" s="4"/>
      <c r="K205"/>
      <c r="AG205" s="86" t="s">
        <v>2284</v>
      </c>
    </row>
    <row r="206" spans="1:33" hidden="1">
      <c r="A206" s="106">
        <f t="shared" si="11"/>
        <v>105</v>
      </c>
      <c r="B206" s="86" t="s">
        <v>691</v>
      </c>
      <c r="C206" s="8">
        <v>150</v>
      </c>
      <c r="D206" s="1" t="s">
        <v>692</v>
      </c>
      <c r="E206"/>
      <c r="F206" s="102" t="s">
        <v>693</v>
      </c>
      <c r="G206" s="90" t="s">
        <v>2276</v>
      </c>
      <c r="H206" s="86" t="s">
        <v>1001</v>
      </c>
      <c r="I206"/>
      <c r="J206" s="4"/>
      <c r="K206"/>
    </row>
    <row r="207" spans="1:33" hidden="1">
      <c r="A207" s="106">
        <f t="shared" si="11"/>
        <v>106</v>
      </c>
      <c r="B207" s="86" t="s">
        <v>694</v>
      </c>
      <c r="C207" s="8">
        <v>100</v>
      </c>
      <c r="D207" s="1" t="s">
        <v>778</v>
      </c>
      <c r="E207"/>
      <c r="H207" s="86" t="s">
        <v>1509</v>
      </c>
      <c r="I207"/>
      <c r="J207" s="4"/>
      <c r="K207"/>
      <c r="N207" s="86" t="s">
        <v>695</v>
      </c>
      <c r="O207" s="86" t="s">
        <v>696</v>
      </c>
    </row>
    <row r="208" spans="1:33" hidden="1">
      <c r="C208"/>
      <c r="D208"/>
      <c r="E208"/>
      <c r="H208" s="89" t="s">
        <v>1609</v>
      </c>
      <c r="I208"/>
      <c r="J208" s="4"/>
      <c r="K208"/>
      <c r="O208" s="89" t="s">
        <v>1609</v>
      </c>
    </row>
    <row r="209" spans="3:18" hidden="1">
      <c r="C209"/>
      <c r="D209"/>
      <c r="E209"/>
      <c r="F209" s="91">
        <v>9</v>
      </c>
      <c r="G209" s="90" t="s">
        <v>878</v>
      </c>
      <c r="H209" s="86" t="s">
        <v>697</v>
      </c>
      <c r="I209" s="8" t="e">
        <f>C73</f>
        <v>#REF!</v>
      </c>
      <c r="J209" s="2" t="s">
        <v>878</v>
      </c>
      <c r="K209" s="8" t="e">
        <f>(F209*I209)</f>
        <v>#REF!</v>
      </c>
      <c r="M209" s="121">
        <v>1.153E-2</v>
      </c>
      <c r="N209" s="86" t="s">
        <v>878</v>
      </c>
      <c r="O209" s="86" t="s">
        <v>698</v>
      </c>
      <c r="P209" s="91">
        <f>C88</f>
        <v>65420</v>
      </c>
      <c r="Q209" s="86" t="s">
        <v>878</v>
      </c>
      <c r="R209" s="91">
        <f t="shared" ref="R209:R218" si="12">(M209*P209)</f>
        <v>754.29</v>
      </c>
    </row>
    <row r="210" spans="3:18" hidden="1">
      <c r="C210"/>
      <c r="D210"/>
      <c r="E210"/>
      <c r="F210" s="91">
        <v>4.5</v>
      </c>
      <c r="G210" s="90" t="s">
        <v>878</v>
      </c>
      <c r="H210" s="86" t="s">
        <v>121</v>
      </c>
      <c r="I210" s="8" t="e">
        <f>K23</f>
        <v>#REF!</v>
      </c>
      <c r="J210" s="2" t="s">
        <v>878</v>
      </c>
      <c r="K210" s="8" t="e">
        <f>(F210*I210)</f>
        <v>#REF!</v>
      </c>
      <c r="M210" s="121">
        <v>1.013E-2</v>
      </c>
      <c r="N210" s="86" t="s">
        <v>878</v>
      </c>
      <c r="O210" s="86" t="s">
        <v>699</v>
      </c>
      <c r="P210" s="91">
        <f>C89</f>
        <v>57165</v>
      </c>
      <c r="Q210" s="86" t="s">
        <v>878</v>
      </c>
      <c r="R210" s="91">
        <f t="shared" si="12"/>
        <v>579.08000000000004</v>
      </c>
    </row>
    <row r="211" spans="3:18" hidden="1">
      <c r="C211"/>
      <c r="D211"/>
      <c r="E211"/>
      <c r="F211" s="91">
        <v>1.8</v>
      </c>
      <c r="G211" s="90" t="s">
        <v>877</v>
      </c>
      <c r="H211" s="86" t="s">
        <v>1737</v>
      </c>
      <c r="I211" s="8">
        <f>C11</f>
        <v>135</v>
      </c>
      <c r="J211" s="2" t="s">
        <v>877</v>
      </c>
      <c r="K211" s="8">
        <f>(F211*I211)</f>
        <v>243</v>
      </c>
      <c r="M211" s="121">
        <v>0.77780000000000005</v>
      </c>
      <c r="N211" s="86" t="s">
        <v>615</v>
      </c>
      <c r="O211" s="86" t="s">
        <v>2117</v>
      </c>
      <c r="P211" s="91">
        <f>C753</f>
        <v>381.37</v>
      </c>
      <c r="Q211" s="86" t="s">
        <v>615</v>
      </c>
      <c r="R211" s="91">
        <f t="shared" si="12"/>
        <v>296.63</v>
      </c>
    </row>
    <row r="212" spans="3:18" hidden="1">
      <c r="C212"/>
      <c r="D212"/>
      <c r="E212"/>
      <c r="F212" s="91">
        <v>17.7</v>
      </c>
      <c r="G212" s="90" t="s">
        <v>877</v>
      </c>
      <c r="H212" s="86" t="s">
        <v>1927</v>
      </c>
      <c r="I212" s="8">
        <f>C12</f>
        <v>95</v>
      </c>
      <c r="J212" s="2" t="s">
        <v>877</v>
      </c>
      <c r="K212" s="8">
        <f>(F212*I212)</f>
        <v>1681.5</v>
      </c>
      <c r="M212" s="121">
        <v>1.23</v>
      </c>
      <c r="N212" s="86" t="s">
        <v>615</v>
      </c>
      <c r="O212" s="86" t="s">
        <v>2118</v>
      </c>
      <c r="P212" s="91">
        <f>D30</f>
        <v>287</v>
      </c>
      <c r="Q212" s="86" t="s">
        <v>615</v>
      </c>
      <c r="R212" s="91">
        <f t="shared" si="12"/>
        <v>353.01</v>
      </c>
    </row>
    <row r="213" spans="3:18" hidden="1">
      <c r="C213"/>
      <c r="D213"/>
      <c r="E213"/>
      <c r="F213" s="91">
        <v>14.1</v>
      </c>
      <c r="G213" s="90" t="s">
        <v>877</v>
      </c>
      <c r="H213" s="86" t="s">
        <v>321</v>
      </c>
      <c r="I213" s="8">
        <f>C13</f>
        <v>85</v>
      </c>
      <c r="J213" s="2" t="s">
        <v>877</v>
      </c>
      <c r="K213" s="8">
        <f>(F213*I213)</f>
        <v>1198.5</v>
      </c>
      <c r="M213" s="91">
        <v>2</v>
      </c>
      <c r="N213" s="86" t="s">
        <v>877</v>
      </c>
      <c r="O213" s="86" t="s">
        <v>2119</v>
      </c>
      <c r="P213" s="91">
        <f>C283</f>
        <v>30</v>
      </c>
      <c r="Q213" s="86" t="s">
        <v>877</v>
      </c>
      <c r="R213" s="91">
        <f t="shared" si="12"/>
        <v>60</v>
      </c>
    </row>
    <row r="214" spans="3:18" hidden="1">
      <c r="C214"/>
      <c r="D214"/>
      <c r="E214"/>
      <c r="G214" s="90" t="s">
        <v>450</v>
      </c>
      <c r="H214" s="86" t="s">
        <v>451</v>
      </c>
      <c r="I214"/>
      <c r="J214" s="2" t="s">
        <v>450</v>
      </c>
      <c r="K214" s="8">
        <v>0</v>
      </c>
      <c r="M214" s="91">
        <v>3</v>
      </c>
      <c r="N214" s="86" t="s">
        <v>877</v>
      </c>
      <c r="O214" s="86" t="s">
        <v>2120</v>
      </c>
      <c r="P214" s="91">
        <f>C278</f>
        <v>45</v>
      </c>
      <c r="Q214" s="86" t="s">
        <v>877</v>
      </c>
      <c r="R214" s="91">
        <f t="shared" si="12"/>
        <v>135</v>
      </c>
    </row>
    <row r="215" spans="3:18" hidden="1">
      <c r="C215"/>
      <c r="D215"/>
      <c r="E215"/>
      <c r="I215"/>
      <c r="J215" s="4"/>
      <c r="K215" s="5" t="s">
        <v>1609</v>
      </c>
      <c r="M215" s="91">
        <v>1</v>
      </c>
      <c r="N215" s="86" t="s">
        <v>877</v>
      </c>
      <c r="O215" s="86" t="s">
        <v>2004</v>
      </c>
      <c r="P215" s="91">
        <f>C285</f>
        <v>95</v>
      </c>
      <c r="Q215" s="86" t="s">
        <v>877</v>
      </c>
      <c r="R215" s="91">
        <f t="shared" si="12"/>
        <v>95</v>
      </c>
    </row>
    <row r="216" spans="3:18" hidden="1">
      <c r="C216"/>
      <c r="D216"/>
      <c r="E216"/>
      <c r="I216"/>
      <c r="J216" s="4"/>
      <c r="K216" s="8" t="e">
        <f>SUM(K209:K214)</f>
        <v>#REF!</v>
      </c>
      <c r="M216" s="91">
        <v>1</v>
      </c>
      <c r="N216" s="86" t="s">
        <v>877</v>
      </c>
      <c r="O216" s="86" t="s">
        <v>2005</v>
      </c>
      <c r="P216" s="91">
        <f>C287</f>
        <v>8</v>
      </c>
      <c r="Q216" s="86" t="s">
        <v>877</v>
      </c>
      <c r="R216" s="91">
        <f t="shared" si="12"/>
        <v>8</v>
      </c>
    </row>
    <row r="217" spans="3:18" hidden="1">
      <c r="C217"/>
      <c r="D217"/>
      <c r="E217"/>
      <c r="H217" s="86" t="s">
        <v>620</v>
      </c>
      <c r="I217"/>
      <c r="J217" s="4"/>
      <c r="K217" s="5" t="s">
        <v>1609</v>
      </c>
      <c r="M217" s="91">
        <v>1</v>
      </c>
      <c r="N217" s="86" t="s">
        <v>877</v>
      </c>
      <c r="O217" s="86" t="s">
        <v>2006</v>
      </c>
      <c r="P217" s="91">
        <f>C576</f>
        <v>30</v>
      </c>
      <c r="Q217" s="86" t="s">
        <v>877</v>
      </c>
      <c r="R217" s="91">
        <f t="shared" si="12"/>
        <v>30</v>
      </c>
    </row>
    <row r="218" spans="3:18" hidden="1">
      <c r="C218"/>
      <c r="D218"/>
      <c r="E218"/>
      <c r="I218"/>
      <c r="J218" s="4"/>
      <c r="K218" s="8" t="e">
        <f>(K216/10)</f>
        <v>#REF!</v>
      </c>
      <c r="M218" s="91">
        <v>1</v>
      </c>
      <c r="N218" s="86" t="s">
        <v>877</v>
      </c>
      <c r="O218" s="86" t="s">
        <v>2007</v>
      </c>
      <c r="P218" s="91">
        <f>D576</f>
        <v>25</v>
      </c>
      <c r="Q218" s="86" t="s">
        <v>877</v>
      </c>
      <c r="R218" s="91">
        <f t="shared" si="12"/>
        <v>25</v>
      </c>
    </row>
    <row r="219" spans="3:18" hidden="1">
      <c r="C219"/>
      <c r="D219"/>
      <c r="E219"/>
      <c r="H219" s="86" t="s">
        <v>782</v>
      </c>
      <c r="I219"/>
      <c r="J219" s="4"/>
      <c r="K219" s="5" t="s">
        <v>2080</v>
      </c>
      <c r="R219" s="89" t="s">
        <v>1609</v>
      </c>
    </row>
    <row r="220" spans="3:18" hidden="1">
      <c r="C220"/>
      <c r="D220"/>
      <c r="E220"/>
      <c r="I220"/>
      <c r="J220" s="4"/>
      <c r="K220"/>
      <c r="O220" s="102" t="s">
        <v>2008</v>
      </c>
      <c r="R220" s="91">
        <f>SUM(R209:R218)</f>
        <v>2336.0100000000002</v>
      </c>
    </row>
    <row r="221" spans="3:18" hidden="1">
      <c r="C221"/>
      <c r="D221"/>
      <c r="E221"/>
      <c r="F221" s="102" t="s">
        <v>2097</v>
      </c>
      <c r="G221" s="90" t="s">
        <v>2276</v>
      </c>
      <c r="H221" s="86" t="s">
        <v>1002</v>
      </c>
      <c r="I221"/>
      <c r="J221" s="4"/>
      <c r="K221"/>
      <c r="N221" s="86" t="s">
        <v>987</v>
      </c>
      <c r="R221" s="89" t="s">
        <v>1609</v>
      </c>
    </row>
    <row r="222" spans="3:18" hidden="1">
      <c r="C222"/>
      <c r="D222"/>
      <c r="E222"/>
      <c r="H222" s="86" t="s">
        <v>2098</v>
      </c>
      <c r="I222"/>
      <c r="J222" s="4"/>
      <c r="K222"/>
      <c r="M222" s="86" t="s">
        <v>987</v>
      </c>
    </row>
    <row r="223" spans="3:18" hidden="1">
      <c r="C223"/>
      <c r="D223"/>
      <c r="E223"/>
      <c r="H223" s="89" t="s">
        <v>1609</v>
      </c>
      <c r="I223"/>
      <c r="J223" s="4"/>
      <c r="K223"/>
      <c r="O223" s="102" t="s">
        <v>556</v>
      </c>
      <c r="R223" s="91">
        <f>R220/M212</f>
        <v>1899.2</v>
      </c>
    </row>
    <row r="224" spans="3:18" hidden="1">
      <c r="C224"/>
      <c r="D224"/>
      <c r="E224"/>
      <c r="F224" s="91">
        <v>9</v>
      </c>
      <c r="G224" s="90" t="s">
        <v>878</v>
      </c>
      <c r="H224" s="86" t="s">
        <v>1835</v>
      </c>
      <c r="I224" s="8" t="e">
        <f>AC20</f>
        <v>#REF!</v>
      </c>
      <c r="J224" s="2" t="s">
        <v>878</v>
      </c>
      <c r="K224" s="8" t="e">
        <f>(F224*I224)</f>
        <v>#REF!</v>
      </c>
      <c r="M224" s="86" t="s">
        <v>322</v>
      </c>
    </row>
    <row r="225" spans="3:11" hidden="1">
      <c r="C225"/>
      <c r="D225"/>
      <c r="E225"/>
      <c r="F225" s="91">
        <v>4.5</v>
      </c>
      <c r="G225" s="90" t="s">
        <v>878</v>
      </c>
      <c r="H225" s="86" t="s">
        <v>1657</v>
      </c>
      <c r="I225" s="8" t="e">
        <f>K77</f>
        <v>#REF!</v>
      </c>
      <c r="J225" s="2" t="s">
        <v>878</v>
      </c>
      <c r="K225" s="8" t="e">
        <f>(F225*I225)</f>
        <v>#REF!</v>
      </c>
    </row>
    <row r="226" spans="3:11" hidden="1">
      <c r="C226"/>
      <c r="D226"/>
      <c r="E226"/>
      <c r="F226" s="91">
        <v>1.8</v>
      </c>
      <c r="G226" s="90" t="s">
        <v>877</v>
      </c>
      <c r="H226" s="86" t="s">
        <v>1737</v>
      </c>
      <c r="I226" s="8">
        <f>C11</f>
        <v>135</v>
      </c>
      <c r="J226" s="2" t="s">
        <v>877</v>
      </c>
      <c r="K226" s="8">
        <f>(F226*I226)</f>
        <v>243</v>
      </c>
    </row>
    <row r="227" spans="3:11" hidden="1">
      <c r="C227"/>
      <c r="D227"/>
      <c r="E227"/>
      <c r="F227" s="91">
        <v>17.7</v>
      </c>
      <c r="G227" s="90" t="s">
        <v>877</v>
      </c>
      <c r="H227" s="86" t="s">
        <v>1927</v>
      </c>
      <c r="I227" s="8">
        <f>C12</f>
        <v>95</v>
      </c>
      <c r="J227" s="2" t="s">
        <v>877</v>
      </c>
      <c r="K227" s="8">
        <f>(F227*I227)</f>
        <v>1681.5</v>
      </c>
    </row>
    <row r="228" spans="3:11" hidden="1">
      <c r="C228"/>
      <c r="D228"/>
      <c r="E228"/>
      <c r="F228" s="91">
        <v>14.1</v>
      </c>
      <c r="G228" s="90" t="s">
        <v>877</v>
      </c>
      <c r="H228" s="86" t="s">
        <v>321</v>
      </c>
      <c r="I228" s="8">
        <f>C13</f>
        <v>85</v>
      </c>
      <c r="J228" s="2" t="s">
        <v>877</v>
      </c>
      <c r="K228" s="8">
        <f>(F228*I228)</f>
        <v>1198.5</v>
      </c>
    </row>
    <row r="229" spans="3:11" hidden="1">
      <c r="C229"/>
      <c r="D229"/>
      <c r="E229"/>
      <c r="G229" s="90" t="s">
        <v>450</v>
      </c>
      <c r="H229" s="86" t="s">
        <v>451</v>
      </c>
      <c r="I229"/>
      <c r="J229" s="2" t="s">
        <v>450</v>
      </c>
      <c r="K229" s="8">
        <v>0</v>
      </c>
    </row>
    <row r="230" spans="3:11" hidden="1">
      <c r="C230"/>
      <c r="D230"/>
      <c r="E230"/>
      <c r="I230"/>
      <c r="J230" s="4"/>
      <c r="K230" s="5" t="s">
        <v>1609</v>
      </c>
    </row>
    <row r="231" spans="3:11" hidden="1">
      <c r="C231"/>
      <c r="D231"/>
      <c r="E231"/>
      <c r="I231"/>
      <c r="J231" s="4"/>
      <c r="K231" s="8" t="e">
        <f>SUM(K224:K229)</f>
        <v>#REF!</v>
      </c>
    </row>
    <row r="232" spans="3:11" hidden="1">
      <c r="C232"/>
      <c r="D232"/>
      <c r="E232"/>
      <c r="H232" s="86" t="s">
        <v>620</v>
      </c>
      <c r="I232"/>
      <c r="J232" s="4"/>
      <c r="K232" s="5" t="s">
        <v>1609</v>
      </c>
    </row>
    <row r="233" spans="3:11" hidden="1">
      <c r="C233"/>
      <c r="D233"/>
      <c r="E233"/>
      <c r="I233"/>
      <c r="J233" s="4"/>
      <c r="K233" s="8" t="e">
        <f>(K231/10)</f>
        <v>#REF!</v>
      </c>
    </row>
    <row r="234" spans="3:11" hidden="1">
      <c r="C234"/>
      <c r="D234"/>
      <c r="E234"/>
      <c r="H234" s="86" t="s">
        <v>782</v>
      </c>
      <c r="I234"/>
      <c r="J234" s="4"/>
      <c r="K234" s="5" t="s">
        <v>2080</v>
      </c>
    </row>
    <row r="235" spans="3:11" hidden="1">
      <c r="C235"/>
      <c r="D235"/>
      <c r="E235"/>
      <c r="I235"/>
      <c r="J235" s="4"/>
      <c r="K235"/>
    </row>
    <row r="236" spans="3:11" hidden="1">
      <c r="C236"/>
      <c r="D236"/>
      <c r="E236"/>
      <c r="I236"/>
      <c r="J236" s="4"/>
      <c r="K236"/>
    </row>
    <row r="237" spans="3:11" hidden="1">
      <c r="C237"/>
      <c r="D237"/>
      <c r="E237"/>
      <c r="F237" s="112">
        <v>3.6</v>
      </c>
      <c r="H237" s="86" t="s">
        <v>4</v>
      </c>
      <c r="I237"/>
      <c r="J237" s="4"/>
      <c r="K237"/>
    </row>
    <row r="238" spans="3:11" hidden="1">
      <c r="C238"/>
      <c r="D238"/>
      <c r="E238"/>
      <c r="H238" s="86" t="s">
        <v>647</v>
      </c>
      <c r="I238"/>
      <c r="J238" s="4"/>
      <c r="K238"/>
    </row>
    <row r="239" spans="3:11" hidden="1">
      <c r="C239"/>
      <c r="D239"/>
      <c r="E239"/>
      <c r="H239" s="89" t="s">
        <v>2080</v>
      </c>
      <c r="I239"/>
      <c r="J239" s="4"/>
      <c r="K239"/>
    </row>
    <row r="240" spans="3:11" hidden="1">
      <c r="C240"/>
      <c r="D240"/>
      <c r="E240"/>
      <c r="F240" s="91">
        <v>1.25</v>
      </c>
      <c r="G240" s="90" t="s">
        <v>1361</v>
      </c>
      <c r="H240" s="86" t="s">
        <v>1526</v>
      </c>
      <c r="I240" s="8">
        <f>C783</f>
        <v>3.05</v>
      </c>
      <c r="J240" s="2" t="s">
        <v>1361</v>
      </c>
      <c r="K240" s="8">
        <f>(F240*I240)</f>
        <v>3.81</v>
      </c>
    </row>
    <row r="241" spans="3:11" hidden="1">
      <c r="C241"/>
      <c r="D241"/>
      <c r="E241"/>
      <c r="F241" s="91">
        <v>0.75</v>
      </c>
      <c r="G241" s="90" t="s">
        <v>1361</v>
      </c>
      <c r="H241" s="86" t="s">
        <v>2367</v>
      </c>
      <c r="I241" s="8" t="e">
        <f>AC37</f>
        <v>#REF!</v>
      </c>
      <c r="J241" s="2" t="s">
        <v>1361</v>
      </c>
      <c r="K241" s="8" t="e">
        <f>(F241*I241)</f>
        <v>#REF!</v>
      </c>
    </row>
    <row r="242" spans="3:11" hidden="1">
      <c r="C242"/>
      <c r="D242"/>
      <c r="E242"/>
      <c r="F242" s="91">
        <v>0.5</v>
      </c>
      <c r="G242" s="90" t="s">
        <v>1361</v>
      </c>
      <c r="H242" s="86" t="s">
        <v>2125</v>
      </c>
      <c r="I242" s="8" t="e">
        <f>AC36</f>
        <v>#REF!</v>
      </c>
      <c r="J242" s="2" t="s">
        <v>1361</v>
      </c>
      <c r="K242" s="8" t="e">
        <f>(F242*I242)</f>
        <v>#REF!</v>
      </c>
    </row>
    <row r="243" spans="3:11" hidden="1">
      <c r="C243"/>
      <c r="D243"/>
      <c r="E243"/>
      <c r="F243" s="91">
        <v>0.45</v>
      </c>
      <c r="G243" s="90" t="s">
        <v>1361</v>
      </c>
      <c r="H243" s="86" t="s">
        <v>935</v>
      </c>
      <c r="I243" s="8">
        <f>AC38</f>
        <v>169</v>
      </c>
      <c r="J243" s="2" t="s">
        <v>1361</v>
      </c>
      <c r="K243" s="8">
        <f>(F243*I243)</f>
        <v>76.05</v>
      </c>
    </row>
    <row r="244" spans="3:11" hidden="1">
      <c r="C244"/>
      <c r="D244"/>
      <c r="E244"/>
      <c r="F244" s="91">
        <v>10</v>
      </c>
      <c r="G244" s="90" t="s">
        <v>236</v>
      </c>
      <c r="H244" s="86" t="s">
        <v>1940</v>
      </c>
      <c r="I244" s="8">
        <v>17.82</v>
      </c>
      <c r="J244" s="2" t="s">
        <v>236</v>
      </c>
      <c r="K244" s="8">
        <f>(F244*I244)</f>
        <v>178.2</v>
      </c>
    </row>
    <row r="245" spans="3:11" hidden="1">
      <c r="C245"/>
      <c r="D245"/>
      <c r="E245"/>
      <c r="H245" s="86" t="s">
        <v>1941</v>
      </c>
      <c r="I245"/>
      <c r="J245" s="4"/>
      <c r="K245" s="5" t="s">
        <v>1609</v>
      </c>
    </row>
    <row r="246" spans="3:11" hidden="1">
      <c r="C246"/>
      <c r="D246"/>
      <c r="E246"/>
      <c r="H246" s="86" t="s">
        <v>1942</v>
      </c>
      <c r="I246"/>
      <c r="J246" s="4"/>
      <c r="K246" s="8" t="e">
        <f>SUM(K240:K244)</f>
        <v>#REF!</v>
      </c>
    </row>
    <row r="247" spans="3:11" hidden="1">
      <c r="C247"/>
      <c r="D247"/>
      <c r="E247"/>
      <c r="I247"/>
      <c r="J247" s="4"/>
      <c r="K247" s="5" t="s">
        <v>1609</v>
      </c>
    </row>
    <row r="248" spans="3:11" hidden="1">
      <c r="C248"/>
      <c r="D248"/>
      <c r="E248"/>
      <c r="H248" s="86" t="s">
        <v>1943</v>
      </c>
      <c r="I248"/>
      <c r="J248" s="4"/>
      <c r="K248" s="8" t="e">
        <f>K246/10</f>
        <v>#REF!</v>
      </c>
    </row>
    <row r="249" spans="3:11" hidden="1">
      <c r="C249"/>
      <c r="D249"/>
      <c r="E249"/>
      <c r="I249"/>
      <c r="J249" s="4"/>
      <c r="K249" s="5" t="s">
        <v>2080</v>
      </c>
    </row>
    <row r="250" spans="3:11" hidden="1">
      <c r="C250"/>
      <c r="D250"/>
      <c r="E250"/>
      <c r="I250"/>
      <c r="J250" s="4"/>
      <c r="K250"/>
    </row>
    <row r="251" spans="3:11" hidden="1">
      <c r="C251"/>
      <c r="D251"/>
      <c r="E251"/>
      <c r="F251" s="112">
        <v>3.7</v>
      </c>
      <c r="H251" s="86" t="s">
        <v>5</v>
      </c>
      <c r="I251"/>
      <c r="J251" s="4"/>
      <c r="K251"/>
    </row>
    <row r="252" spans="3:11" hidden="1">
      <c r="C252"/>
      <c r="D252"/>
      <c r="E252"/>
      <c r="H252" s="89" t="s">
        <v>1609</v>
      </c>
      <c r="I252"/>
      <c r="J252" s="4"/>
      <c r="K252"/>
    </row>
    <row r="253" spans="3:11" hidden="1">
      <c r="C253"/>
      <c r="D253"/>
      <c r="E253"/>
      <c r="F253" s="91">
        <v>2.7</v>
      </c>
      <c r="G253" s="90" t="s">
        <v>1361</v>
      </c>
      <c r="H253" s="86" t="s">
        <v>154</v>
      </c>
      <c r="I253" s="8" t="e">
        <f>AC35</f>
        <v>#REF!</v>
      </c>
      <c r="J253" s="2" t="s">
        <v>1361</v>
      </c>
      <c r="K253" s="8" t="e">
        <f>(F253*I253)</f>
        <v>#REF!</v>
      </c>
    </row>
    <row r="254" spans="3:11" hidden="1">
      <c r="C254"/>
      <c r="D254"/>
      <c r="E254"/>
      <c r="F254" s="122">
        <v>0.14499999999999999</v>
      </c>
      <c r="G254" s="90" t="s">
        <v>1361</v>
      </c>
      <c r="H254" s="86" t="s">
        <v>921</v>
      </c>
      <c r="I254" s="8" t="e">
        <f>AC17</f>
        <v>#REF!</v>
      </c>
      <c r="J254" s="2" t="s">
        <v>1361</v>
      </c>
      <c r="K254" s="8" t="e">
        <f>(F254*I254)</f>
        <v>#REF!</v>
      </c>
    </row>
    <row r="255" spans="3:11" hidden="1">
      <c r="C255"/>
      <c r="D255"/>
      <c r="E255"/>
      <c r="F255" s="91">
        <v>218.8</v>
      </c>
      <c r="G255" s="90" t="s">
        <v>922</v>
      </c>
      <c r="H255" s="86" t="s">
        <v>923</v>
      </c>
      <c r="I255" s="8">
        <v>12224.58</v>
      </c>
      <c r="J255" s="2" t="s">
        <v>922</v>
      </c>
      <c r="K255" s="8">
        <f>(F255*I255)/1000</f>
        <v>2674.74</v>
      </c>
    </row>
    <row r="256" spans="3:11" hidden="1">
      <c r="C256"/>
      <c r="D256"/>
      <c r="E256"/>
      <c r="F256" s="91">
        <v>100</v>
      </c>
      <c r="G256" s="90" t="s">
        <v>236</v>
      </c>
      <c r="H256" s="86" t="s">
        <v>924</v>
      </c>
      <c r="I256" s="8">
        <v>14.3</v>
      </c>
      <c r="J256" s="2" t="s">
        <v>236</v>
      </c>
      <c r="K256" s="8">
        <f>(F256*I256)</f>
        <v>1430</v>
      </c>
    </row>
    <row r="257" spans="1:33" hidden="1">
      <c r="C257"/>
      <c r="D257"/>
      <c r="E257"/>
      <c r="I257"/>
      <c r="J257" s="4"/>
      <c r="K257" s="5" t="s">
        <v>1609</v>
      </c>
    </row>
    <row r="258" spans="1:33" hidden="1">
      <c r="C258"/>
      <c r="D258"/>
      <c r="E258"/>
      <c r="H258" s="86" t="s">
        <v>925</v>
      </c>
      <c r="I258"/>
      <c r="J258" s="4"/>
      <c r="K258" s="8" t="e">
        <f>SUM(K253:K256)</f>
        <v>#REF!</v>
      </c>
    </row>
    <row r="259" spans="1:33" hidden="1">
      <c r="C259"/>
      <c r="D259"/>
      <c r="E259"/>
      <c r="I259"/>
      <c r="J259" s="4"/>
      <c r="K259" s="5" t="s">
        <v>1609</v>
      </c>
    </row>
    <row r="260" spans="1:33" hidden="1">
      <c r="C260"/>
      <c r="D260"/>
      <c r="E260"/>
      <c r="H260" s="86" t="s">
        <v>1943</v>
      </c>
      <c r="I260"/>
      <c r="J260" s="4"/>
      <c r="K260" s="8" t="e">
        <f>K258/100</f>
        <v>#REF!</v>
      </c>
    </row>
    <row r="261" spans="1:33" hidden="1">
      <c r="C261"/>
      <c r="D261"/>
      <c r="E261"/>
      <c r="F261" s="86" t="s">
        <v>987</v>
      </c>
      <c r="G261" s="90" t="s">
        <v>987</v>
      </c>
      <c r="I261"/>
      <c r="J261" s="4"/>
      <c r="K261" s="5" t="s">
        <v>2080</v>
      </c>
    </row>
    <row r="262" spans="1:33" hidden="1">
      <c r="C262"/>
      <c r="D262"/>
      <c r="E262"/>
      <c r="I262"/>
      <c r="J262" s="4"/>
      <c r="K262"/>
    </row>
    <row r="263" spans="1:33" hidden="1">
      <c r="C263"/>
      <c r="D263"/>
      <c r="E263"/>
      <c r="I263"/>
      <c r="J263" s="4"/>
      <c r="K263"/>
    </row>
    <row r="264" spans="1:33" hidden="1">
      <c r="A264" s="106">
        <f>(A205+1)</f>
        <v>105</v>
      </c>
      <c r="B264" s="86" t="s">
        <v>1836</v>
      </c>
      <c r="C264" s="8">
        <v>50.5</v>
      </c>
      <c r="D264" s="1" t="s">
        <v>778</v>
      </c>
      <c r="E264"/>
      <c r="F264" s="102" t="s">
        <v>680</v>
      </c>
      <c r="H264" s="86" t="s">
        <v>1629</v>
      </c>
      <c r="I264"/>
      <c r="J264" s="4"/>
      <c r="K264"/>
      <c r="N264" s="86" t="s">
        <v>681</v>
      </c>
      <c r="O264" s="86" t="s">
        <v>843</v>
      </c>
      <c r="AG264" s="86" t="s">
        <v>2284</v>
      </c>
    </row>
    <row r="265" spans="1:33" hidden="1">
      <c r="A265" s="106">
        <f t="shared" ref="A265:A279" si="13">(A264+1)</f>
        <v>106</v>
      </c>
      <c r="B265" s="86" t="s">
        <v>844</v>
      </c>
      <c r="C265" s="8">
        <v>115</v>
      </c>
      <c r="D265" s="1" t="s">
        <v>778</v>
      </c>
      <c r="E265"/>
      <c r="H265" s="89" t="s">
        <v>2080</v>
      </c>
      <c r="I265"/>
      <c r="J265" s="4"/>
      <c r="K265"/>
      <c r="O265" s="89" t="s">
        <v>1609</v>
      </c>
      <c r="AG265" s="86" t="s">
        <v>2284</v>
      </c>
    </row>
    <row r="266" spans="1:33" hidden="1">
      <c r="A266" s="106">
        <f t="shared" si="13"/>
        <v>107</v>
      </c>
      <c r="B266" s="86" t="s">
        <v>2368</v>
      </c>
      <c r="C266" s="8">
        <v>63</v>
      </c>
      <c r="D266" s="8">
        <v>90</v>
      </c>
      <c r="E266"/>
      <c r="G266" s="90" t="s">
        <v>2276</v>
      </c>
      <c r="H266" s="86" t="s">
        <v>401</v>
      </c>
      <c r="I266"/>
      <c r="J266" s="4"/>
      <c r="K266"/>
      <c r="M266" s="91">
        <v>1.1399999999999999</v>
      </c>
      <c r="N266" s="86" t="s">
        <v>878</v>
      </c>
      <c r="O266" s="86" t="s">
        <v>2304</v>
      </c>
      <c r="P266" s="91" t="e">
        <f>(K419)</f>
        <v>#REF!</v>
      </c>
      <c r="Q266" s="86" t="s">
        <v>877</v>
      </c>
      <c r="R266" s="91" t="e">
        <f>(M266*P266)</f>
        <v>#REF!</v>
      </c>
      <c r="AG266" s="86" t="s">
        <v>2284</v>
      </c>
    </row>
    <row r="267" spans="1:33" hidden="1">
      <c r="A267" s="106">
        <f t="shared" si="13"/>
        <v>108</v>
      </c>
      <c r="B267" s="86" t="s">
        <v>2369</v>
      </c>
      <c r="C267" s="8">
        <v>10705</v>
      </c>
      <c r="D267" s="1" t="s">
        <v>878</v>
      </c>
      <c r="E267"/>
      <c r="H267" s="86" t="s">
        <v>2294</v>
      </c>
      <c r="I267"/>
      <c r="J267" s="4"/>
      <c r="K267"/>
      <c r="M267" s="91">
        <v>1</v>
      </c>
      <c r="N267" s="86" t="s">
        <v>778</v>
      </c>
      <c r="O267" s="86" t="s">
        <v>2034</v>
      </c>
      <c r="P267" s="91">
        <f>(C10)</f>
        <v>150</v>
      </c>
      <c r="Q267" s="86" t="s">
        <v>877</v>
      </c>
      <c r="R267" s="91">
        <f>(M267*P267)</f>
        <v>150</v>
      </c>
      <c r="AG267" s="86" t="s">
        <v>2284</v>
      </c>
    </row>
    <row r="268" spans="1:33" hidden="1">
      <c r="A268" s="106">
        <f t="shared" si="13"/>
        <v>109</v>
      </c>
      <c r="B268" s="86" t="s">
        <v>3202</v>
      </c>
      <c r="C268" s="8">
        <v>9395</v>
      </c>
      <c r="D268" s="1" t="s">
        <v>878</v>
      </c>
      <c r="E268"/>
      <c r="H268" s="89" t="s">
        <v>1609</v>
      </c>
      <c r="I268"/>
      <c r="J268" s="4"/>
      <c r="K268"/>
      <c r="N268" s="86" t="s">
        <v>450</v>
      </c>
      <c r="O268" s="86" t="s">
        <v>451</v>
      </c>
      <c r="P268" s="86" t="s">
        <v>987</v>
      </c>
      <c r="Q268" s="86" t="s">
        <v>450</v>
      </c>
      <c r="R268" s="91">
        <v>0.05</v>
      </c>
      <c r="AG268" s="86" t="s">
        <v>2284</v>
      </c>
    </row>
    <row r="269" spans="1:33" hidden="1">
      <c r="A269" s="106">
        <f t="shared" si="13"/>
        <v>110</v>
      </c>
      <c r="B269" s="86" t="s">
        <v>3203</v>
      </c>
      <c r="C269" s="8">
        <v>15</v>
      </c>
      <c r="D269" s="1" t="s">
        <v>778</v>
      </c>
      <c r="E269"/>
      <c r="F269" s="91">
        <v>9</v>
      </c>
      <c r="G269" s="90" t="s">
        <v>878</v>
      </c>
      <c r="H269" s="86" t="s">
        <v>440</v>
      </c>
      <c r="I269" s="8" t="e">
        <f>(C73)</f>
        <v>#REF!</v>
      </c>
      <c r="J269" s="2" t="s">
        <v>878</v>
      </c>
      <c r="K269" s="8" t="e">
        <f t="shared" ref="K269:K274" si="14">(F269*I269)</f>
        <v>#REF!</v>
      </c>
      <c r="R269" s="89" t="s">
        <v>1609</v>
      </c>
      <c r="AG269" s="86" t="s">
        <v>2284</v>
      </c>
    </row>
    <row r="270" spans="1:33" hidden="1">
      <c r="A270" s="106">
        <f t="shared" si="13"/>
        <v>111</v>
      </c>
      <c r="B270" s="86" t="s">
        <v>441</v>
      </c>
      <c r="C270" s="8">
        <v>35</v>
      </c>
      <c r="D270" s="1" t="s">
        <v>1670</v>
      </c>
      <c r="E270" s="55">
        <v>120</v>
      </c>
      <c r="F270" s="111">
        <v>3.2309999999999999</v>
      </c>
      <c r="G270" s="90" t="s">
        <v>870</v>
      </c>
      <c r="H270" s="86" t="s">
        <v>871</v>
      </c>
      <c r="I270" s="8">
        <f>(C67)</f>
        <v>3800</v>
      </c>
      <c r="J270" s="2" t="s">
        <v>870</v>
      </c>
      <c r="K270" s="8">
        <f t="shared" si="14"/>
        <v>12277.8</v>
      </c>
      <c r="O270" s="86" t="s">
        <v>442</v>
      </c>
      <c r="R270" s="91" t="e">
        <f>SUM(R266:R268)</f>
        <v>#REF!</v>
      </c>
      <c r="AG270" s="86" t="s">
        <v>2284</v>
      </c>
    </row>
    <row r="271" spans="1:33" hidden="1">
      <c r="A271" s="106">
        <f t="shared" si="13"/>
        <v>112</v>
      </c>
      <c r="B271" s="86" t="s">
        <v>3022</v>
      </c>
      <c r="C271" s="8">
        <v>160</v>
      </c>
      <c r="D271" s="8">
        <v>452.09</v>
      </c>
      <c r="E271"/>
      <c r="F271" s="91">
        <v>4.5</v>
      </c>
      <c r="G271" s="90" t="s">
        <v>878</v>
      </c>
      <c r="H271" s="86" t="s">
        <v>879</v>
      </c>
      <c r="I271" s="8" t="e">
        <f>(C78)</f>
        <v>#REF!</v>
      </c>
      <c r="J271" s="2" t="s">
        <v>878</v>
      </c>
      <c r="K271" s="8" t="e">
        <f t="shared" si="14"/>
        <v>#REF!</v>
      </c>
      <c r="R271" s="89" t="s">
        <v>1609</v>
      </c>
      <c r="AG271" s="86" t="s">
        <v>2284</v>
      </c>
    </row>
    <row r="272" spans="1:33" hidden="1">
      <c r="A272" s="106">
        <f t="shared" si="13"/>
        <v>113</v>
      </c>
      <c r="B272" s="86" t="s">
        <v>1397</v>
      </c>
      <c r="C272" s="8">
        <v>13.5</v>
      </c>
      <c r="D272" s="1" t="s">
        <v>1796</v>
      </c>
      <c r="E272"/>
      <c r="F272" s="91">
        <v>3.5</v>
      </c>
      <c r="G272" s="90" t="s">
        <v>877</v>
      </c>
      <c r="H272" s="86" t="s">
        <v>1737</v>
      </c>
      <c r="I272" s="8">
        <f>(C11)</f>
        <v>135</v>
      </c>
      <c r="J272" s="2" t="s">
        <v>877</v>
      </c>
      <c r="K272" s="8">
        <f t="shared" si="14"/>
        <v>472.5</v>
      </c>
      <c r="O272" s="86" t="s">
        <v>556</v>
      </c>
      <c r="R272" s="91" t="e">
        <f>(R270/10)</f>
        <v>#REF!</v>
      </c>
      <c r="AG272" s="86" t="s">
        <v>2284</v>
      </c>
    </row>
    <row r="273" spans="1:33" hidden="1">
      <c r="A273" s="106">
        <f t="shared" si="13"/>
        <v>114</v>
      </c>
      <c r="B273" s="86" t="s">
        <v>1398</v>
      </c>
      <c r="C273" s="8">
        <v>18.809999999999999</v>
      </c>
      <c r="D273" s="1" t="s">
        <v>778</v>
      </c>
      <c r="E273"/>
      <c r="F273" s="91">
        <v>21.2</v>
      </c>
      <c r="G273" s="90" t="s">
        <v>877</v>
      </c>
      <c r="H273" s="86" t="s">
        <v>1927</v>
      </c>
      <c r="I273" s="8">
        <f>(C12)</f>
        <v>95</v>
      </c>
      <c r="J273" s="2" t="s">
        <v>877</v>
      </c>
      <c r="K273" s="8">
        <f t="shared" si="14"/>
        <v>2014</v>
      </c>
      <c r="R273" s="89" t="s">
        <v>2080</v>
      </c>
      <c r="AG273" s="86" t="s">
        <v>2284</v>
      </c>
    </row>
    <row r="274" spans="1:33" hidden="1">
      <c r="A274" s="106">
        <f t="shared" si="13"/>
        <v>115</v>
      </c>
      <c r="B274" s="86" t="s">
        <v>1399</v>
      </c>
      <c r="C274" s="8">
        <v>14.15</v>
      </c>
      <c r="D274" s="1" t="s">
        <v>778</v>
      </c>
      <c r="E274"/>
      <c r="F274" s="91">
        <v>35.299999999999997</v>
      </c>
      <c r="G274" s="90" t="s">
        <v>877</v>
      </c>
      <c r="H274" s="86" t="s">
        <v>321</v>
      </c>
      <c r="I274" s="8">
        <f>(C13)</f>
        <v>85</v>
      </c>
      <c r="J274" s="2" t="s">
        <v>877</v>
      </c>
      <c r="K274" s="8">
        <f t="shared" si="14"/>
        <v>3000.5</v>
      </c>
      <c r="N274" s="86" t="s">
        <v>1152</v>
      </c>
      <c r="O274" s="86" t="s">
        <v>386</v>
      </c>
      <c r="R274" s="91" t="e">
        <f>(R272+C19/10*M266)</f>
        <v>#REF!</v>
      </c>
      <c r="AG274" s="86" t="s">
        <v>2284</v>
      </c>
    </row>
    <row r="275" spans="1:33" hidden="1">
      <c r="A275" s="106">
        <f t="shared" si="13"/>
        <v>116</v>
      </c>
      <c r="B275" s="86" t="s">
        <v>665</v>
      </c>
      <c r="C275" s="8">
        <v>16.440000000000001</v>
      </c>
      <c r="D275" s="1" t="s">
        <v>778</v>
      </c>
      <c r="E275"/>
      <c r="G275" s="90" t="s">
        <v>450</v>
      </c>
      <c r="H275" s="86" t="s">
        <v>451</v>
      </c>
      <c r="I275" s="1" t="s">
        <v>987</v>
      </c>
      <c r="J275" s="2" t="s">
        <v>450</v>
      </c>
      <c r="K275" s="8">
        <v>0</v>
      </c>
      <c r="N275" s="86" t="s">
        <v>666</v>
      </c>
      <c r="O275" s="86" t="s">
        <v>388</v>
      </c>
      <c r="R275" s="91" t="e">
        <f>(R274+C20/10*M266)</f>
        <v>#REF!</v>
      </c>
      <c r="AG275" s="86" t="s">
        <v>2284</v>
      </c>
    </row>
    <row r="276" spans="1:33" hidden="1">
      <c r="A276" s="106">
        <f t="shared" si="13"/>
        <v>117</v>
      </c>
      <c r="B276" s="86" t="s">
        <v>667</v>
      </c>
      <c r="C276" s="8">
        <v>8</v>
      </c>
      <c r="D276" s="8">
        <v>6.25</v>
      </c>
      <c r="E276"/>
      <c r="I276"/>
      <c r="J276" s="4"/>
      <c r="K276" s="5" t="s">
        <v>1609</v>
      </c>
      <c r="N276" s="86" t="s">
        <v>678</v>
      </c>
      <c r="O276" s="86" t="s">
        <v>2257</v>
      </c>
      <c r="R276" s="91" t="e">
        <f>(R275+C21/10*M266)</f>
        <v>#REF!</v>
      </c>
      <c r="AG276" s="86" t="s">
        <v>2284</v>
      </c>
    </row>
    <row r="277" spans="1:33" hidden="1">
      <c r="A277" s="106">
        <f t="shared" si="13"/>
        <v>118</v>
      </c>
      <c r="B277" s="86" t="s">
        <v>679</v>
      </c>
      <c r="C277" s="8">
        <v>170.39</v>
      </c>
      <c r="D277" s="1" t="s">
        <v>615</v>
      </c>
      <c r="E277"/>
      <c r="H277" s="86" t="s">
        <v>2196</v>
      </c>
      <c r="I277"/>
      <c r="J277" s="4"/>
      <c r="K277" s="8" t="e">
        <f>SUM(K269:K275)</f>
        <v>#REF!</v>
      </c>
      <c r="N277" s="86" t="s">
        <v>2197</v>
      </c>
      <c r="O277" s="86" t="s">
        <v>380</v>
      </c>
      <c r="R277" s="91" t="e">
        <f>(R276+C21/10*M266)</f>
        <v>#REF!</v>
      </c>
      <c r="AG277" s="86" t="s">
        <v>2284</v>
      </c>
    </row>
    <row r="278" spans="1:33" hidden="1">
      <c r="A278" s="106">
        <f t="shared" si="13"/>
        <v>119</v>
      </c>
      <c r="B278" s="86" t="s">
        <v>3023</v>
      </c>
      <c r="C278" s="8">
        <v>45</v>
      </c>
      <c r="D278" s="1" t="s">
        <v>778</v>
      </c>
      <c r="E278"/>
      <c r="I278"/>
      <c r="J278" s="4"/>
      <c r="K278" s="5" t="s">
        <v>1609</v>
      </c>
      <c r="AG278" s="86" t="s">
        <v>2284</v>
      </c>
    </row>
    <row r="279" spans="1:33" hidden="1">
      <c r="A279" s="106">
        <f t="shared" si="13"/>
        <v>120</v>
      </c>
      <c r="B279" s="86" t="s">
        <v>3024</v>
      </c>
      <c r="C279" s="8">
        <v>31.24</v>
      </c>
      <c r="D279" s="1" t="s">
        <v>778</v>
      </c>
      <c r="E279"/>
      <c r="H279" s="86" t="s">
        <v>782</v>
      </c>
      <c r="I279"/>
      <c r="J279" s="4"/>
      <c r="K279" s="8" t="e">
        <f>(K277/10)</f>
        <v>#REF!</v>
      </c>
      <c r="N279" s="86" t="s">
        <v>681</v>
      </c>
      <c r="O279" s="86" t="s">
        <v>2198</v>
      </c>
      <c r="R279" s="86" t="s">
        <v>987</v>
      </c>
      <c r="AG279" s="86" t="s">
        <v>2284</v>
      </c>
    </row>
    <row r="280" spans="1:33" hidden="1">
      <c r="C280"/>
      <c r="D280"/>
      <c r="E280"/>
      <c r="F280" s="86" t="s">
        <v>987</v>
      </c>
      <c r="I280"/>
      <c r="J280" s="4"/>
      <c r="K280"/>
    </row>
    <row r="281" spans="1:33" hidden="1">
      <c r="A281" s="106">
        <f>(A279+1)</f>
        <v>121</v>
      </c>
      <c r="B281" s="86" t="s">
        <v>3025</v>
      </c>
      <c r="C281" s="8">
        <v>25</v>
      </c>
      <c r="D281" s="1" t="s">
        <v>778</v>
      </c>
      <c r="E281"/>
      <c r="I281"/>
      <c r="J281" s="4"/>
      <c r="K281"/>
      <c r="O281" s="86" t="s">
        <v>1606</v>
      </c>
      <c r="AG281" s="86" t="s">
        <v>2284</v>
      </c>
    </row>
    <row r="282" spans="1:33" hidden="1">
      <c r="A282" s="106">
        <f t="shared" ref="A282:A326" si="15">(A281+1)</f>
        <v>122</v>
      </c>
      <c r="B282" s="86" t="s">
        <v>3026</v>
      </c>
      <c r="C282" s="8">
        <v>13</v>
      </c>
      <c r="D282" s="1" t="s">
        <v>778</v>
      </c>
      <c r="E282"/>
      <c r="F282" s="91">
        <v>1</v>
      </c>
      <c r="G282" s="90" t="s">
        <v>878</v>
      </c>
      <c r="H282" s="86" t="s">
        <v>46</v>
      </c>
      <c r="I282"/>
      <c r="J282" s="4"/>
      <c r="K282" s="8">
        <f>(C25)</f>
        <v>20.7</v>
      </c>
      <c r="O282" s="89" t="s">
        <v>1609</v>
      </c>
      <c r="AG282" s="86" t="s">
        <v>2284</v>
      </c>
    </row>
    <row r="283" spans="1:33" hidden="1">
      <c r="A283" s="106">
        <f t="shared" si="15"/>
        <v>123</v>
      </c>
      <c r="B283" s="86" t="s">
        <v>3191</v>
      </c>
      <c r="C283" s="8">
        <v>30</v>
      </c>
      <c r="D283" s="1" t="s">
        <v>778</v>
      </c>
      <c r="E283"/>
      <c r="I283"/>
      <c r="J283" s="4"/>
      <c r="K283" s="5" t="s">
        <v>1609</v>
      </c>
      <c r="M283" s="91">
        <v>10</v>
      </c>
      <c r="N283" s="86" t="s">
        <v>615</v>
      </c>
      <c r="O283" s="86" t="s">
        <v>47</v>
      </c>
      <c r="P283" s="91" t="e">
        <f>(K1191)</f>
        <v>#REF!</v>
      </c>
      <c r="Q283" s="86" t="s">
        <v>615</v>
      </c>
      <c r="R283" s="91" t="e">
        <f>(M283*P283)</f>
        <v>#REF!</v>
      </c>
      <c r="AG283" s="86" t="s">
        <v>2284</v>
      </c>
    </row>
    <row r="284" spans="1:33" hidden="1">
      <c r="A284" s="106">
        <f t="shared" si="15"/>
        <v>124</v>
      </c>
      <c r="B284" s="86" t="s">
        <v>3192</v>
      </c>
      <c r="C284" s="8">
        <v>20</v>
      </c>
      <c r="D284" s="1" t="s">
        <v>778</v>
      </c>
      <c r="E284" s="55">
        <v>25</v>
      </c>
      <c r="H284" s="86" t="s">
        <v>608</v>
      </c>
      <c r="I284"/>
      <c r="J284" s="4"/>
      <c r="K284" s="8" t="e">
        <f>SUM(K279:K282)</f>
        <v>#REF!</v>
      </c>
      <c r="M284" s="91">
        <v>1.1000000000000001</v>
      </c>
      <c r="N284" s="86" t="s">
        <v>877</v>
      </c>
      <c r="O284" s="86" t="s">
        <v>1737</v>
      </c>
      <c r="P284" s="91">
        <f>(C11)</f>
        <v>135</v>
      </c>
      <c r="Q284" s="86" t="s">
        <v>877</v>
      </c>
      <c r="R284" s="91">
        <f>(M284*P284)</f>
        <v>148.5</v>
      </c>
      <c r="AG284" s="86" t="s">
        <v>2284</v>
      </c>
    </row>
    <row r="285" spans="1:33" hidden="1">
      <c r="A285" s="106">
        <f t="shared" si="15"/>
        <v>125</v>
      </c>
      <c r="B285" s="86" t="s">
        <v>609</v>
      </c>
      <c r="C285" s="8">
        <v>95</v>
      </c>
      <c r="D285" s="1" t="s">
        <v>778</v>
      </c>
      <c r="E285"/>
      <c r="I285"/>
      <c r="J285" s="4"/>
      <c r="K285" s="5" t="s">
        <v>1609</v>
      </c>
      <c r="M285" s="91">
        <v>1.1000000000000001</v>
      </c>
      <c r="N285" s="86" t="s">
        <v>877</v>
      </c>
      <c r="O285" s="86" t="s">
        <v>1927</v>
      </c>
      <c r="P285" s="91">
        <f>(C12)</f>
        <v>95</v>
      </c>
      <c r="Q285" s="86" t="s">
        <v>877</v>
      </c>
      <c r="R285" s="91">
        <f>(M285*P285)</f>
        <v>104.5</v>
      </c>
      <c r="AG285" s="86" t="s">
        <v>2284</v>
      </c>
    </row>
    <row r="286" spans="1:33" hidden="1">
      <c r="A286" s="106">
        <f t="shared" si="15"/>
        <v>126</v>
      </c>
      <c r="B286" s="86" t="s">
        <v>444</v>
      </c>
      <c r="C286" s="8">
        <v>80</v>
      </c>
      <c r="D286" s="1" t="s">
        <v>778</v>
      </c>
      <c r="E286"/>
      <c r="H286" s="86" t="s">
        <v>386</v>
      </c>
      <c r="I286"/>
      <c r="J286" s="4"/>
      <c r="K286" s="8" t="e">
        <f>(K284+C22)</f>
        <v>#REF!</v>
      </c>
      <c r="M286" s="91">
        <v>1.1000000000000001</v>
      </c>
      <c r="N286" s="86" t="s">
        <v>877</v>
      </c>
      <c r="O286" s="86" t="s">
        <v>321</v>
      </c>
      <c r="P286" s="91">
        <f>(C13)</f>
        <v>85</v>
      </c>
      <c r="Q286" s="86" t="s">
        <v>877</v>
      </c>
      <c r="R286" s="91">
        <f>(M286*P286)</f>
        <v>93.5</v>
      </c>
      <c r="AG286" s="86" t="s">
        <v>2284</v>
      </c>
    </row>
    <row r="287" spans="1:33" hidden="1">
      <c r="A287" s="106">
        <f t="shared" si="15"/>
        <v>127</v>
      </c>
      <c r="B287" s="86" t="s">
        <v>1830</v>
      </c>
      <c r="C287" s="8">
        <v>8</v>
      </c>
      <c r="D287" s="1" t="s">
        <v>778</v>
      </c>
      <c r="E287"/>
      <c r="H287" s="86" t="s">
        <v>388</v>
      </c>
      <c r="I287"/>
      <c r="J287" s="4"/>
      <c r="K287" s="8" t="e">
        <f>(K286+C23)</f>
        <v>#REF!</v>
      </c>
      <c r="R287" s="89" t="s">
        <v>1609</v>
      </c>
      <c r="AG287" s="86" t="s">
        <v>2284</v>
      </c>
    </row>
    <row r="288" spans="1:33" hidden="1">
      <c r="A288" s="106">
        <f t="shared" si="15"/>
        <v>128</v>
      </c>
      <c r="B288" s="86" t="s">
        <v>1168</v>
      </c>
      <c r="C288" s="8">
        <v>8</v>
      </c>
      <c r="D288" s="1" t="s">
        <v>778</v>
      </c>
      <c r="E288"/>
      <c r="H288" s="86" t="s">
        <v>2257</v>
      </c>
      <c r="I288"/>
      <c r="J288" s="4"/>
      <c r="K288" s="8" t="e">
        <f>(K287+C24)</f>
        <v>#REF!</v>
      </c>
      <c r="O288" s="86" t="s">
        <v>442</v>
      </c>
      <c r="R288" s="91" t="e">
        <f>SUM(R283:R286)</f>
        <v>#REF!</v>
      </c>
      <c r="AG288" s="86" t="s">
        <v>2284</v>
      </c>
    </row>
    <row r="289" spans="1:33" hidden="1">
      <c r="A289" s="106">
        <f t="shared" si="15"/>
        <v>129</v>
      </c>
      <c r="B289" s="86" t="s">
        <v>1169</v>
      </c>
      <c r="C289" s="8">
        <v>2.9</v>
      </c>
      <c r="D289" s="1" t="s">
        <v>1170</v>
      </c>
      <c r="E289"/>
      <c r="H289" s="86" t="s">
        <v>380</v>
      </c>
      <c r="I289"/>
      <c r="J289" s="4"/>
      <c r="K289" s="8" t="e">
        <f>(K288+C24)</f>
        <v>#REF!</v>
      </c>
      <c r="R289" s="89" t="s">
        <v>1609</v>
      </c>
      <c r="AG289" s="86" t="s">
        <v>2284</v>
      </c>
    </row>
    <row r="290" spans="1:33" hidden="1">
      <c r="A290" s="106">
        <f t="shared" si="15"/>
        <v>130</v>
      </c>
      <c r="B290" s="86" t="s">
        <v>1171</v>
      </c>
      <c r="C290" s="8">
        <v>20.6</v>
      </c>
      <c r="D290" s="1" t="s">
        <v>1170</v>
      </c>
      <c r="E290"/>
      <c r="H290" s="86" t="s">
        <v>489</v>
      </c>
      <c r="I290"/>
      <c r="J290" s="4"/>
      <c r="K290" s="8" t="e">
        <f>(K289+C24)</f>
        <v>#REF!</v>
      </c>
      <c r="O290" s="86" t="s">
        <v>556</v>
      </c>
      <c r="R290" s="91" t="e">
        <f>(R288/10)</f>
        <v>#REF!</v>
      </c>
      <c r="AG290" s="86" t="s">
        <v>2284</v>
      </c>
    </row>
    <row r="291" spans="1:33" hidden="1">
      <c r="A291" s="106">
        <f t="shared" si="15"/>
        <v>131</v>
      </c>
      <c r="B291" s="86" t="s">
        <v>490</v>
      </c>
      <c r="C291" s="8">
        <v>15.6</v>
      </c>
      <c r="D291" s="1" t="s">
        <v>778</v>
      </c>
      <c r="E291"/>
      <c r="I291"/>
      <c r="J291" s="4"/>
      <c r="K291"/>
      <c r="R291" s="89" t="s">
        <v>2080</v>
      </c>
      <c r="AG291" s="86" t="s">
        <v>2284</v>
      </c>
    </row>
    <row r="292" spans="1:33" hidden="1">
      <c r="A292" s="106">
        <f t="shared" si="15"/>
        <v>132</v>
      </c>
      <c r="B292" s="86" t="s">
        <v>491</v>
      </c>
      <c r="C292" s="8">
        <v>12.6</v>
      </c>
      <c r="D292" s="1" t="s">
        <v>778</v>
      </c>
      <c r="E292"/>
      <c r="F292" s="102" t="s">
        <v>1534</v>
      </c>
      <c r="G292" s="90" t="s">
        <v>2276</v>
      </c>
      <c r="H292" s="86" t="s">
        <v>492</v>
      </c>
      <c r="I292"/>
      <c r="J292" s="4"/>
      <c r="K292"/>
      <c r="AG292" s="86" t="s">
        <v>2284</v>
      </c>
    </row>
    <row r="293" spans="1:33" hidden="1">
      <c r="A293" s="106">
        <f t="shared" si="15"/>
        <v>133</v>
      </c>
      <c r="B293" s="86" t="s">
        <v>493</v>
      </c>
      <c r="C293" s="8">
        <v>5.75</v>
      </c>
      <c r="D293" s="1" t="s">
        <v>778</v>
      </c>
      <c r="E293"/>
      <c r="H293" s="89" t="s">
        <v>2080</v>
      </c>
      <c r="I293"/>
      <c r="J293" s="4"/>
      <c r="K293"/>
      <c r="N293" s="86" t="s">
        <v>2276</v>
      </c>
      <c r="O293" s="86" t="s">
        <v>1143</v>
      </c>
      <c r="AG293" s="86" t="s">
        <v>2284</v>
      </c>
    </row>
    <row r="294" spans="1:33" hidden="1">
      <c r="A294" s="106">
        <f t="shared" si="15"/>
        <v>134</v>
      </c>
      <c r="B294" s="86" t="s">
        <v>1144</v>
      </c>
      <c r="C294" s="8">
        <v>8.5</v>
      </c>
      <c r="D294" s="1" t="s">
        <v>778</v>
      </c>
      <c r="E294"/>
      <c r="F294" s="91">
        <v>10</v>
      </c>
      <c r="G294" s="90" t="s">
        <v>878</v>
      </c>
      <c r="H294" s="86" t="s">
        <v>874</v>
      </c>
      <c r="I294" s="8" t="e">
        <f>(C68)</f>
        <v>#REF!</v>
      </c>
      <c r="J294" s="2" t="s">
        <v>878</v>
      </c>
      <c r="K294" s="8" t="e">
        <f t="shared" ref="K294:K300" si="16">(F294*I294)</f>
        <v>#REF!</v>
      </c>
      <c r="O294" s="89" t="s">
        <v>1609</v>
      </c>
      <c r="AG294" s="86" t="s">
        <v>2284</v>
      </c>
    </row>
    <row r="295" spans="1:33" hidden="1">
      <c r="A295" s="106">
        <f t="shared" si="15"/>
        <v>135</v>
      </c>
      <c r="B295" s="86" t="s">
        <v>1278</v>
      </c>
      <c r="C295" s="8">
        <v>10</v>
      </c>
      <c r="D295" s="1" t="s">
        <v>778</v>
      </c>
      <c r="E295"/>
      <c r="F295" s="91">
        <v>1</v>
      </c>
      <c r="G295" s="90" t="s">
        <v>878</v>
      </c>
      <c r="H295" s="86" t="s">
        <v>881</v>
      </c>
      <c r="I295" s="8" t="e">
        <f>(C69)</f>
        <v>#REF!</v>
      </c>
      <c r="J295" s="2" t="s">
        <v>878</v>
      </c>
      <c r="K295" s="8" t="e">
        <f t="shared" si="16"/>
        <v>#REF!</v>
      </c>
      <c r="M295" s="91">
        <v>0.14000000000000001</v>
      </c>
      <c r="N295" s="86" t="s">
        <v>878</v>
      </c>
      <c r="O295" s="86" t="s">
        <v>1373</v>
      </c>
      <c r="P295" s="91" t="e">
        <f>(K32)</f>
        <v>#REF!</v>
      </c>
      <c r="Q295" s="86" t="s">
        <v>878</v>
      </c>
      <c r="R295" s="91" t="e">
        <f>(M295*P295)</f>
        <v>#REF!</v>
      </c>
      <c r="AG295" s="86" t="s">
        <v>2284</v>
      </c>
    </row>
    <row r="296" spans="1:33" hidden="1">
      <c r="A296" s="106">
        <f t="shared" si="15"/>
        <v>136</v>
      </c>
      <c r="B296" s="86" t="s">
        <v>1279</v>
      </c>
      <c r="C296" s="8">
        <v>3.25</v>
      </c>
      <c r="D296" s="1" t="s">
        <v>778</v>
      </c>
      <c r="E296"/>
      <c r="F296" s="91">
        <v>3.4</v>
      </c>
      <c r="G296" s="90" t="s">
        <v>878</v>
      </c>
      <c r="H296" s="86" t="s">
        <v>1650</v>
      </c>
      <c r="I296" s="8" t="e">
        <f>(K49)</f>
        <v>#REF!</v>
      </c>
      <c r="J296" s="2" t="s">
        <v>878</v>
      </c>
      <c r="K296" s="8" t="e">
        <f t="shared" si="16"/>
        <v>#REF!</v>
      </c>
      <c r="M296" s="91">
        <v>1.1000000000000001</v>
      </c>
      <c r="N296" s="86" t="s">
        <v>877</v>
      </c>
      <c r="O296" s="86" t="s">
        <v>2034</v>
      </c>
      <c r="P296" s="91">
        <f>(C10)</f>
        <v>150</v>
      </c>
      <c r="Q296" s="86" t="s">
        <v>877</v>
      </c>
      <c r="R296" s="91">
        <f>(M296*P296)</f>
        <v>165</v>
      </c>
      <c r="AG296" s="86" t="s">
        <v>2284</v>
      </c>
    </row>
    <row r="297" spans="1:33" hidden="1">
      <c r="A297" s="106">
        <f t="shared" si="15"/>
        <v>137</v>
      </c>
      <c r="B297" s="86" t="s">
        <v>1280</v>
      </c>
      <c r="C297" s="8">
        <v>2.2000000000000002</v>
      </c>
      <c r="D297" s="1" t="s">
        <v>778</v>
      </c>
      <c r="E297"/>
      <c r="F297" s="91">
        <v>7.1</v>
      </c>
      <c r="G297" s="90" t="s">
        <v>877</v>
      </c>
      <c r="H297" s="86" t="s">
        <v>2034</v>
      </c>
      <c r="I297" s="8">
        <f>(C10)</f>
        <v>150</v>
      </c>
      <c r="J297" s="2" t="s">
        <v>877</v>
      </c>
      <c r="K297" s="8">
        <f t="shared" si="16"/>
        <v>1065</v>
      </c>
      <c r="M297" s="91">
        <v>0.5</v>
      </c>
      <c r="N297" s="86" t="s">
        <v>877</v>
      </c>
      <c r="O297" s="86" t="s">
        <v>1927</v>
      </c>
      <c r="P297" s="91">
        <f>(C12)</f>
        <v>95</v>
      </c>
      <c r="Q297" s="86" t="s">
        <v>877</v>
      </c>
      <c r="R297" s="91">
        <f>(M297*P297)</f>
        <v>47.5</v>
      </c>
      <c r="AG297" s="86" t="s">
        <v>2284</v>
      </c>
    </row>
    <row r="298" spans="1:33" hidden="1">
      <c r="A298" s="106">
        <f t="shared" si="15"/>
        <v>138</v>
      </c>
      <c r="B298" s="86" t="s">
        <v>1471</v>
      </c>
      <c r="C298" s="8">
        <v>10.5</v>
      </c>
      <c r="D298" s="1" t="s">
        <v>778</v>
      </c>
      <c r="E298"/>
      <c r="F298" s="91">
        <v>10.6</v>
      </c>
      <c r="G298" s="90" t="s">
        <v>877</v>
      </c>
      <c r="H298" s="86" t="s">
        <v>1737</v>
      </c>
      <c r="I298" s="8">
        <f>(C11)</f>
        <v>135</v>
      </c>
      <c r="J298" s="2" t="s">
        <v>877</v>
      </c>
      <c r="K298" s="8">
        <f t="shared" si="16"/>
        <v>1431</v>
      </c>
      <c r="M298" s="91">
        <v>1.1000000000000001</v>
      </c>
      <c r="N298" s="86" t="s">
        <v>877</v>
      </c>
      <c r="O298" s="86" t="s">
        <v>321</v>
      </c>
      <c r="P298" s="91">
        <f>(C13)</f>
        <v>85</v>
      </c>
      <c r="Q298" s="86" t="s">
        <v>877</v>
      </c>
      <c r="R298" s="91">
        <f>(M298*P298)</f>
        <v>93.5</v>
      </c>
      <c r="AG298" s="86" t="s">
        <v>2284</v>
      </c>
    </row>
    <row r="299" spans="1:33" hidden="1">
      <c r="A299" s="106">
        <f t="shared" si="15"/>
        <v>139</v>
      </c>
      <c r="B299" s="86" t="s">
        <v>1472</v>
      </c>
      <c r="C299" s="8">
        <v>5.5</v>
      </c>
      <c r="D299" s="1" t="s">
        <v>778</v>
      </c>
      <c r="E299"/>
      <c r="F299" s="91">
        <v>14.1</v>
      </c>
      <c r="G299" s="90" t="s">
        <v>877</v>
      </c>
      <c r="H299" s="86" t="s">
        <v>1927</v>
      </c>
      <c r="I299" s="8">
        <f>(C12)</f>
        <v>95</v>
      </c>
      <c r="J299" s="2" t="s">
        <v>877</v>
      </c>
      <c r="K299" s="8">
        <f t="shared" si="16"/>
        <v>1339.5</v>
      </c>
      <c r="N299" s="86" t="s">
        <v>450</v>
      </c>
      <c r="O299" s="86" t="s">
        <v>451</v>
      </c>
      <c r="P299" s="86" t="s">
        <v>987</v>
      </c>
      <c r="Q299" s="86" t="s">
        <v>450</v>
      </c>
      <c r="R299" s="91">
        <v>0</v>
      </c>
      <c r="AG299" s="86" t="s">
        <v>2284</v>
      </c>
    </row>
    <row r="300" spans="1:33" hidden="1">
      <c r="A300" s="106">
        <f t="shared" si="15"/>
        <v>140</v>
      </c>
      <c r="B300" s="86" t="s">
        <v>495</v>
      </c>
      <c r="C300" s="8">
        <v>21</v>
      </c>
      <c r="D300" s="1" t="s">
        <v>778</v>
      </c>
      <c r="E300"/>
      <c r="F300" s="91">
        <v>14.1</v>
      </c>
      <c r="G300" s="90" t="s">
        <v>877</v>
      </c>
      <c r="H300" s="86" t="s">
        <v>321</v>
      </c>
      <c r="I300" s="8">
        <f>(C13)</f>
        <v>85</v>
      </c>
      <c r="J300" s="2" t="s">
        <v>877</v>
      </c>
      <c r="K300" s="8">
        <f t="shared" si="16"/>
        <v>1198.5</v>
      </c>
      <c r="R300" s="89" t="s">
        <v>1609</v>
      </c>
      <c r="AG300" s="86" t="s">
        <v>2284</v>
      </c>
    </row>
    <row r="301" spans="1:33" hidden="1">
      <c r="A301" s="106">
        <f t="shared" si="15"/>
        <v>141</v>
      </c>
      <c r="B301" s="86" t="s">
        <v>496</v>
      </c>
      <c r="C301" s="8">
        <v>10</v>
      </c>
      <c r="D301" s="1" t="s">
        <v>778</v>
      </c>
      <c r="E301"/>
      <c r="G301" s="90" t="s">
        <v>450</v>
      </c>
      <c r="H301" s="86" t="s">
        <v>451</v>
      </c>
      <c r="I301"/>
      <c r="J301" s="2" t="s">
        <v>450</v>
      </c>
      <c r="K301" s="8">
        <v>0</v>
      </c>
      <c r="O301" s="86" t="s">
        <v>442</v>
      </c>
      <c r="R301" s="91" t="e">
        <f>SUM(R295:R299)</f>
        <v>#REF!</v>
      </c>
      <c r="AG301" s="86" t="s">
        <v>2284</v>
      </c>
    </row>
    <row r="302" spans="1:33" hidden="1">
      <c r="A302" s="106">
        <f t="shared" si="15"/>
        <v>142</v>
      </c>
      <c r="B302" s="86" t="s">
        <v>1830</v>
      </c>
      <c r="C302" s="8">
        <v>4</v>
      </c>
      <c r="D302" s="1" t="s">
        <v>778</v>
      </c>
      <c r="E302"/>
      <c r="I302"/>
      <c r="J302" s="4"/>
      <c r="K302" s="5" t="s">
        <v>1609</v>
      </c>
      <c r="R302" s="89" t="s">
        <v>1609</v>
      </c>
      <c r="AG302" s="86" t="s">
        <v>2284</v>
      </c>
    </row>
    <row r="303" spans="1:33" hidden="1">
      <c r="A303" s="106">
        <f t="shared" si="15"/>
        <v>143</v>
      </c>
      <c r="B303" s="86" t="s">
        <v>1168</v>
      </c>
      <c r="C303" s="8">
        <v>8</v>
      </c>
      <c r="D303" s="1" t="s">
        <v>877</v>
      </c>
      <c r="E303"/>
      <c r="H303" s="86" t="s">
        <v>620</v>
      </c>
      <c r="I303"/>
      <c r="J303" s="4"/>
      <c r="K303" s="8" t="e">
        <f>SUM(K294:K301)</f>
        <v>#REF!</v>
      </c>
      <c r="O303" s="86" t="s">
        <v>556</v>
      </c>
      <c r="R303" s="91" t="e">
        <f>(R301/10)</f>
        <v>#REF!</v>
      </c>
      <c r="AG303" s="86" t="s">
        <v>2284</v>
      </c>
    </row>
    <row r="304" spans="1:33" hidden="1">
      <c r="A304" s="106">
        <f t="shared" si="15"/>
        <v>144</v>
      </c>
      <c r="B304" s="86" t="s">
        <v>1169</v>
      </c>
      <c r="C304" s="8">
        <v>8.5</v>
      </c>
      <c r="D304" s="1" t="s">
        <v>778</v>
      </c>
      <c r="E304"/>
      <c r="I304"/>
      <c r="J304" s="4"/>
      <c r="K304" s="5" t="s">
        <v>1609</v>
      </c>
      <c r="N304" s="86" t="s">
        <v>2276</v>
      </c>
      <c r="O304" s="86" t="s">
        <v>497</v>
      </c>
      <c r="R304" s="89" t="s">
        <v>2080</v>
      </c>
      <c r="AG304" s="86" t="s">
        <v>2284</v>
      </c>
    </row>
    <row r="305" spans="1:33" hidden="1">
      <c r="A305" s="106">
        <f t="shared" si="15"/>
        <v>145</v>
      </c>
      <c r="B305" s="86" t="s">
        <v>610</v>
      </c>
      <c r="C305" s="8">
        <v>20.6</v>
      </c>
      <c r="D305" s="1" t="s">
        <v>778</v>
      </c>
      <c r="E305"/>
      <c r="H305" s="86" t="s">
        <v>782</v>
      </c>
      <c r="I305"/>
      <c r="J305" s="4"/>
      <c r="K305" s="8" t="e">
        <f>(K303/10)</f>
        <v>#REF!</v>
      </c>
      <c r="O305" s="89" t="s">
        <v>1609</v>
      </c>
      <c r="AG305" s="86" t="s">
        <v>2284</v>
      </c>
    </row>
    <row r="306" spans="1:33" hidden="1">
      <c r="A306" s="106">
        <f t="shared" si="15"/>
        <v>146</v>
      </c>
      <c r="B306" s="86" t="s">
        <v>2009</v>
      </c>
      <c r="C306" s="8">
        <v>15.6</v>
      </c>
      <c r="D306" s="1" t="s">
        <v>778</v>
      </c>
      <c r="E306"/>
      <c r="I306"/>
      <c r="J306" s="4"/>
      <c r="K306" s="5" t="s">
        <v>2080</v>
      </c>
      <c r="M306" s="91">
        <v>0.14000000000000001</v>
      </c>
      <c r="N306" s="86" t="s">
        <v>878</v>
      </c>
      <c r="O306" s="86" t="s">
        <v>121</v>
      </c>
      <c r="P306" s="91" t="e">
        <f>(K23)</f>
        <v>#REF!</v>
      </c>
      <c r="Q306" s="86" t="s">
        <v>878</v>
      </c>
      <c r="R306" s="91" t="e">
        <f>(M306*P306)</f>
        <v>#REF!</v>
      </c>
      <c r="AG306" s="86" t="s">
        <v>2284</v>
      </c>
    </row>
    <row r="307" spans="1:33" hidden="1">
      <c r="A307" s="106">
        <f t="shared" si="15"/>
        <v>147</v>
      </c>
      <c r="B307" s="86" t="s">
        <v>2010</v>
      </c>
      <c r="C307" s="8">
        <v>0.9</v>
      </c>
      <c r="D307" s="1" t="s">
        <v>778</v>
      </c>
      <c r="E307"/>
      <c r="F307" s="108">
        <v>6</v>
      </c>
      <c r="G307" s="90" t="s">
        <v>2276</v>
      </c>
      <c r="H307" s="86" t="s">
        <v>3193</v>
      </c>
      <c r="I307"/>
      <c r="J307" s="4"/>
      <c r="K307"/>
      <c r="M307" s="91">
        <v>1.1000000000000001</v>
      </c>
      <c r="N307" s="86" t="s">
        <v>877</v>
      </c>
      <c r="O307" s="86" t="s">
        <v>2034</v>
      </c>
      <c r="P307" s="91">
        <f>(C10)</f>
        <v>150</v>
      </c>
      <c r="Q307" s="86" t="s">
        <v>877</v>
      </c>
      <c r="R307" s="91">
        <f>(M307*P307)</f>
        <v>165</v>
      </c>
      <c r="AG307" s="86" t="s">
        <v>2284</v>
      </c>
    </row>
    <row r="308" spans="1:33" hidden="1">
      <c r="A308" s="106">
        <f t="shared" si="15"/>
        <v>148</v>
      </c>
      <c r="B308" s="86" t="s">
        <v>2011</v>
      </c>
      <c r="C308" s="1" t="s">
        <v>987</v>
      </c>
      <c r="D308"/>
      <c r="E308"/>
      <c r="H308" s="86" t="s">
        <v>2961</v>
      </c>
      <c r="I308"/>
      <c r="J308" s="4"/>
      <c r="K308"/>
      <c r="M308" s="91">
        <v>0.5</v>
      </c>
      <c r="N308" s="86" t="s">
        <v>877</v>
      </c>
      <c r="O308" s="86" t="s">
        <v>1927</v>
      </c>
      <c r="P308" s="91">
        <f>(C12)</f>
        <v>95</v>
      </c>
      <c r="Q308" s="86" t="s">
        <v>877</v>
      </c>
      <c r="R308" s="91">
        <f>(M308*P308)</f>
        <v>47.5</v>
      </c>
      <c r="AG308" s="86" t="s">
        <v>2284</v>
      </c>
    </row>
    <row r="309" spans="1:33" hidden="1">
      <c r="A309" s="106">
        <f t="shared" si="15"/>
        <v>149</v>
      </c>
      <c r="B309" s="86" t="s">
        <v>239</v>
      </c>
      <c r="C309" s="8">
        <v>66.44</v>
      </c>
      <c r="D309" s="1" t="s">
        <v>1796</v>
      </c>
      <c r="E309"/>
      <c r="H309" s="89" t="s">
        <v>1609</v>
      </c>
      <c r="I309"/>
      <c r="J309" s="4"/>
      <c r="K309"/>
      <c r="M309" s="91">
        <v>1.1000000000000001</v>
      </c>
      <c r="N309" s="86" t="s">
        <v>877</v>
      </c>
      <c r="O309" s="86" t="s">
        <v>321</v>
      </c>
      <c r="P309" s="91">
        <f>(C13)</f>
        <v>85</v>
      </c>
      <c r="Q309" s="86" t="s">
        <v>877</v>
      </c>
      <c r="R309" s="91">
        <f>(M309*P309)</f>
        <v>93.5</v>
      </c>
      <c r="AG309" s="86" t="s">
        <v>2284</v>
      </c>
    </row>
    <row r="310" spans="1:33" hidden="1">
      <c r="A310" s="106">
        <f t="shared" si="15"/>
        <v>150</v>
      </c>
      <c r="B310" s="86" t="s">
        <v>240</v>
      </c>
      <c r="C310" s="8">
        <v>83.5</v>
      </c>
      <c r="D310" s="1" t="s">
        <v>1796</v>
      </c>
      <c r="E310"/>
      <c r="F310" s="91">
        <v>4800</v>
      </c>
      <c r="G310" s="90" t="s">
        <v>1445</v>
      </c>
      <c r="H310" s="91" t="str">
        <f>H308</f>
        <v>Bricks of size 22x11x7 cm</v>
      </c>
      <c r="I310" s="8" t="e">
        <f>C80</f>
        <v>#REF!</v>
      </c>
      <c r="J310" s="2" t="s">
        <v>1617</v>
      </c>
      <c r="K310" s="8" t="e">
        <f>(F310*I310)/1000</f>
        <v>#REF!</v>
      </c>
      <c r="N310" s="86" t="s">
        <v>450</v>
      </c>
      <c r="O310" s="86" t="s">
        <v>451</v>
      </c>
      <c r="P310" s="86" t="s">
        <v>987</v>
      </c>
      <c r="Q310" s="86" t="s">
        <v>450</v>
      </c>
      <c r="R310" s="91">
        <v>0</v>
      </c>
      <c r="AG310" s="86" t="s">
        <v>2284</v>
      </c>
    </row>
    <row r="311" spans="1:33" hidden="1">
      <c r="A311" s="106">
        <f t="shared" si="15"/>
        <v>151</v>
      </c>
      <c r="B311" s="86" t="s">
        <v>241</v>
      </c>
      <c r="C311" s="8">
        <v>102.12</v>
      </c>
      <c r="D311" s="1" t="s">
        <v>1796</v>
      </c>
      <c r="E311"/>
      <c r="F311" s="91">
        <v>2.5</v>
      </c>
      <c r="G311" s="90" t="s">
        <v>878</v>
      </c>
      <c r="H311" s="86" t="s">
        <v>1650</v>
      </c>
      <c r="I311" s="8" t="e">
        <f>K49</f>
        <v>#REF!</v>
      </c>
      <c r="J311" s="2" t="s">
        <v>878</v>
      </c>
      <c r="K311" s="8" t="e">
        <f>(F311*I311)</f>
        <v>#REF!</v>
      </c>
      <c r="R311" s="89" t="s">
        <v>1609</v>
      </c>
      <c r="AG311" s="86" t="s">
        <v>2284</v>
      </c>
    </row>
    <row r="312" spans="1:33" hidden="1">
      <c r="A312" s="106">
        <f t="shared" si="15"/>
        <v>152</v>
      </c>
      <c r="B312" s="86" t="s">
        <v>2247</v>
      </c>
      <c r="C312" s="8">
        <v>182.52</v>
      </c>
      <c r="D312" s="1" t="s">
        <v>1796</v>
      </c>
      <c r="E312"/>
      <c r="F312" s="91">
        <v>3.5</v>
      </c>
      <c r="G312" s="90" t="s">
        <v>877</v>
      </c>
      <c r="H312" s="86" t="s">
        <v>2034</v>
      </c>
      <c r="I312" s="8">
        <f>C10</f>
        <v>150</v>
      </c>
      <c r="J312" s="2" t="s">
        <v>877</v>
      </c>
      <c r="K312" s="8">
        <f>(F312*I312)</f>
        <v>525</v>
      </c>
      <c r="O312" s="86" t="s">
        <v>442</v>
      </c>
      <c r="R312" s="91" t="e">
        <f>SUM(R306:R310)</f>
        <v>#REF!</v>
      </c>
      <c r="AG312" s="86" t="s">
        <v>2284</v>
      </c>
    </row>
    <row r="313" spans="1:33" hidden="1">
      <c r="A313" s="106">
        <f t="shared" si="15"/>
        <v>153</v>
      </c>
      <c r="B313" s="86" t="s">
        <v>2248</v>
      </c>
      <c r="C313"/>
      <c r="D313"/>
      <c r="E313"/>
      <c r="F313" s="91">
        <v>10.6</v>
      </c>
      <c r="G313" s="90" t="s">
        <v>877</v>
      </c>
      <c r="H313" s="86" t="s">
        <v>1737</v>
      </c>
      <c r="I313" s="8">
        <f>C11</f>
        <v>135</v>
      </c>
      <c r="J313" s="2" t="s">
        <v>877</v>
      </c>
      <c r="K313" s="8">
        <f>(F313*I313)</f>
        <v>1431</v>
      </c>
      <c r="R313" s="89" t="s">
        <v>1609</v>
      </c>
      <c r="AG313" s="86" t="s">
        <v>2284</v>
      </c>
    </row>
    <row r="314" spans="1:33" hidden="1">
      <c r="A314" s="106">
        <f t="shared" si="15"/>
        <v>154</v>
      </c>
      <c r="B314" s="86" t="s">
        <v>239</v>
      </c>
      <c r="C314" s="8">
        <v>26.62</v>
      </c>
      <c r="D314" s="1" t="s">
        <v>778</v>
      </c>
      <c r="E314"/>
      <c r="F314" s="91">
        <v>7.1</v>
      </c>
      <c r="G314" s="90" t="s">
        <v>877</v>
      </c>
      <c r="H314" s="86" t="s">
        <v>1927</v>
      </c>
      <c r="I314" s="8">
        <f>C12</f>
        <v>95</v>
      </c>
      <c r="J314" s="2" t="s">
        <v>877</v>
      </c>
      <c r="K314" s="8">
        <f>(F314*I314)</f>
        <v>674.5</v>
      </c>
      <c r="O314" s="86" t="s">
        <v>556</v>
      </c>
      <c r="R314" s="91" t="e">
        <f>(R312/10)</f>
        <v>#REF!</v>
      </c>
      <c r="AG314" s="86" t="s">
        <v>2284</v>
      </c>
    </row>
    <row r="315" spans="1:33" hidden="1">
      <c r="A315" s="106">
        <f t="shared" si="15"/>
        <v>155</v>
      </c>
      <c r="B315" s="86" t="s">
        <v>240</v>
      </c>
      <c r="C315" s="8">
        <v>34.869999999999997</v>
      </c>
      <c r="D315" s="1" t="s">
        <v>778</v>
      </c>
      <c r="E315"/>
      <c r="F315" s="91">
        <v>21.2</v>
      </c>
      <c r="G315" s="90" t="s">
        <v>877</v>
      </c>
      <c r="H315" s="86" t="s">
        <v>321</v>
      </c>
      <c r="I315" s="8">
        <f>C13</f>
        <v>85</v>
      </c>
      <c r="J315" s="2" t="s">
        <v>877</v>
      </c>
      <c r="K315" s="8">
        <f>(F315*I315)</f>
        <v>1802</v>
      </c>
      <c r="R315" s="89" t="s">
        <v>2080</v>
      </c>
      <c r="AG315" s="86" t="s">
        <v>2284</v>
      </c>
    </row>
    <row r="316" spans="1:33" hidden="1">
      <c r="A316" s="106">
        <f t="shared" si="15"/>
        <v>156</v>
      </c>
      <c r="B316" s="86" t="s">
        <v>241</v>
      </c>
      <c r="C316" s="8">
        <v>45</v>
      </c>
      <c r="D316" s="1" t="s">
        <v>778</v>
      </c>
      <c r="E316"/>
      <c r="G316" s="90" t="s">
        <v>450</v>
      </c>
      <c r="H316" s="86" t="s">
        <v>451</v>
      </c>
      <c r="I316"/>
      <c r="J316" s="2" t="s">
        <v>450</v>
      </c>
      <c r="K316" s="8">
        <v>0</v>
      </c>
      <c r="N316" s="86" t="s">
        <v>2276</v>
      </c>
      <c r="O316" s="86" t="s">
        <v>2249</v>
      </c>
      <c r="AG316" s="86" t="s">
        <v>2284</v>
      </c>
    </row>
    <row r="317" spans="1:33" hidden="1">
      <c r="A317" s="106">
        <f t="shared" si="15"/>
        <v>157</v>
      </c>
      <c r="B317" s="86" t="s">
        <v>2247</v>
      </c>
      <c r="C317" s="8">
        <v>99.75</v>
      </c>
      <c r="D317" s="1" t="s">
        <v>778</v>
      </c>
      <c r="E317"/>
      <c r="I317"/>
      <c r="J317" s="4"/>
      <c r="K317" s="5" t="s">
        <v>1609</v>
      </c>
      <c r="O317" s="89" t="s">
        <v>1609</v>
      </c>
      <c r="AG317" s="86" t="s">
        <v>2284</v>
      </c>
    </row>
    <row r="318" spans="1:33" hidden="1">
      <c r="A318" s="106">
        <f t="shared" si="15"/>
        <v>158</v>
      </c>
      <c r="B318" s="86" t="s">
        <v>2211</v>
      </c>
      <c r="C318"/>
      <c r="D318"/>
      <c r="E318"/>
      <c r="H318" s="86" t="s">
        <v>620</v>
      </c>
      <c r="I318"/>
      <c r="J318" s="4"/>
      <c r="K318" s="8" t="e">
        <f>SUM(K310:K316)</f>
        <v>#REF!</v>
      </c>
      <c r="M318" s="91">
        <v>0.1</v>
      </c>
      <c r="N318" s="86" t="s">
        <v>878</v>
      </c>
      <c r="O318" s="86" t="s">
        <v>121</v>
      </c>
      <c r="P318" s="91" t="e">
        <f>(K23)</f>
        <v>#REF!</v>
      </c>
      <c r="Q318" s="86" t="s">
        <v>878</v>
      </c>
      <c r="R318" s="91" t="e">
        <f>(M318*P318)</f>
        <v>#REF!</v>
      </c>
      <c r="AG318" s="86" t="s">
        <v>2284</v>
      </c>
    </row>
    <row r="319" spans="1:33" hidden="1">
      <c r="A319" s="106">
        <f t="shared" si="15"/>
        <v>159</v>
      </c>
      <c r="B319" s="86" t="s">
        <v>239</v>
      </c>
      <c r="C319" s="8">
        <v>43.47</v>
      </c>
      <c r="D319" s="1" t="s">
        <v>778</v>
      </c>
      <c r="E319"/>
      <c r="I319"/>
      <c r="J319" s="4"/>
      <c r="K319" s="5" t="s">
        <v>1609</v>
      </c>
      <c r="M319" s="91">
        <v>1.1000000000000001</v>
      </c>
      <c r="N319" s="86" t="s">
        <v>877</v>
      </c>
      <c r="O319" s="86" t="s">
        <v>2034</v>
      </c>
      <c r="P319" s="91">
        <f>(C10)</f>
        <v>150</v>
      </c>
      <c r="Q319" s="86" t="s">
        <v>877</v>
      </c>
      <c r="R319" s="91">
        <f>(M319*P319)</f>
        <v>165</v>
      </c>
      <c r="AG319" s="86" t="s">
        <v>2284</v>
      </c>
    </row>
    <row r="320" spans="1:33" hidden="1">
      <c r="A320" s="106">
        <f t="shared" si="15"/>
        <v>160</v>
      </c>
      <c r="B320" s="86" t="s">
        <v>240</v>
      </c>
      <c r="C320" s="8">
        <v>50.34</v>
      </c>
      <c r="D320" s="1" t="s">
        <v>778</v>
      </c>
      <c r="E320"/>
      <c r="H320" s="86" t="s">
        <v>782</v>
      </c>
      <c r="I320"/>
      <c r="J320" s="4"/>
      <c r="K320" s="8" t="e">
        <f>(K318/10)</f>
        <v>#REF!</v>
      </c>
      <c r="M320" s="91">
        <v>1.1000000000000001</v>
      </c>
      <c r="N320" s="86" t="s">
        <v>877</v>
      </c>
      <c r="O320" s="86" t="s">
        <v>1927</v>
      </c>
      <c r="P320" s="91">
        <f>(C12)</f>
        <v>95</v>
      </c>
      <c r="Q320" s="86" t="s">
        <v>877</v>
      </c>
      <c r="R320" s="91">
        <f>(M320*P320)</f>
        <v>104.5</v>
      </c>
      <c r="AG320" s="86" t="s">
        <v>322</v>
      </c>
    </row>
    <row r="321" spans="1:33" hidden="1">
      <c r="A321" s="106">
        <f t="shared" si="15"/>
        <v>161</v>
      </c>
      <c r="B321" s="86" t="s">
        <v>241</v>
      </c>
      <c r="C321" s="8">
        <v>65.209999999999994</v>
      </c>
      <c r="D321" s="1" t="s">
        <v>778</v>
      </c>
      <c r="E321"/>
      <c r="I321"/>
      <c r="J321" s="4"/>
      <c r="K321" s="5" t="s">
        <v>2080</v>
      </c>
      <c r="M321" s="91">
        <v>1.1000000000000001</v>
      </c>
      <c r="N321" s="86" t="s">
        <v>877</v>
      </c>
      <c r="O321" s="86" t="s">
        <v>321</v>
      </c>
      <c r="P321" s="91">
        <f>(C13)</f>
        <v>85</v>
      </c>
      <c r="Q321" s="86" t="s">
        <v>877</v>
      </c>
      <c r="R321" s="91">
        <f>(M321*P321)</f>
        <v>93.5</v>
      </c>
    </row>
    <row r="322" spans="1:33" hidden="1">
      <c r="A322" s="106">
        <f t="shared" si="15"/>
        <v>162</v>
      </c>
      <c r="B322" s="86" t="s">
        <v>2247</v>
      </c>
      <c r="C322" s="8">
        <v>145.29</v>
      </c>
      <c r="D322" s="1" t="s">
        <v>778</v>
      </c>
      <c r="E322"/>
      <c r="H322" s="86" t="s">
        <v>386</v>
      </c>
      <c r="I322"/>
      <c r="J322" s="4"/>
      <c r="K322" s="8" t="e">
        <f>(K320+C19)</f>
        <v>#REF!</v>
      </c>
      <c r="N322" s="86" t="s">
        <v>450</v>
      </c>
      <c r="O322" s="86" t="s">
        <v>451</v>
      </c>
      <c r="P322" s="86" t="s">
        <v>987</v>
      </c>
      <c r="Q322" s="86" t="s">
        <v>450</v>
      </c>
      <c r="R322" s="91">
        <v>0</v>
      </c>
    </row>
    <row r="323" spans="1:33" hidden="1">
      <c r="A323" s="106">
        <f t="shared" si="15"/>
        <v>163</v>
      </c>
      <c r="B323" s="86" t="s">
        <v>2212</v>
      </c>
      <c r="C323"/>
      <c r="D323"/>
      <c r="E323"/>
      <c r="H323" s="86" t="s">
        <v>388</v>
      </c>
      <c r="I323"/>
      <c r="J323" s="4"/>
      <c r="K323" s="8" t="e">
        <f>(K322+C20)</f>
        <v>#REF!</v>
      </c>
      <c r="R323" s="89" t="s">
        <v>1609</v>
      </c>
      <c r="AG323" s="86" t="s">
        <v>2284</v>
      </c>
    </row>
    <row r="324" spans="1:33" hidden="1">
      <c r="A324" s="106">
        <f t="shared" si="15"/>
        <v>164</v>
      </c>
      <c r="B324" s="86" t="s">
        <v>239</v>
      </c>
      <c r="C324" s="8">
        <v>14.91</v>
      </c>
      <c r="D324" s="1" t="s">
        <v>1796</v>
      </c>
      <c r="E324"/>
      <c r="H324" s="86" t="s">
        <v>2257</v>
      </c>
      <c r="I324"/>
      <c r="J324" s="4"/>
      <c r="K324" s="8" t="e">
        <f>(K323+C21)</f>
        <v>#REF!</v>
      </c>
      <c r="O324" s="86" t="s">
        <v>442</v>
      </c>
      <c r="R324" s="91" t="e">
        <f>SUM(R318:R322)</f>
        <v>#REF!</v>
      </c>
      <c r="AG324" s="86" t="s">
        <v>2284</v>
      </c>
    </row>
    <row r="325" spans="1:33" hidden="1">
      <c r="A325" s="106">
        <f t="shared" si="15"/>
        <v>165</v>
      </c>
      <c r="B325" s="86" t="s">
        <v>240</v>
      </c>
      <c r="C325" s="8">
        <v>19.41</v>
      </c>
      <c r="D325" s="1" t="s">
        <v>1796</v>
      </c>
      <c r="E325"/>
      <c r="H325" s="86" t="s">
        <v>380</v>
      </c>
      <c r="I325"/>
      <c r="J325" s="4"/>
      <c r="K325" s="8" t="e">
        <f>(K324+C21)</f>
        <v>#REF!</v>
      </c>
      <c r="R325" s="89" t="s">
        <v>1609</v>
      </c>
      <c r="AG325" s="86" t="s">
        <v>2284</v>
      </c>
    </row>
    <row r="326" spans="1:33" hidden="1">
      <c r="A326" s="106">
        <f t="shared" si="15"/>
        <v>166</v>
      </c>
      <c r="B326" s="86" t="s">
        <v>241</v>
      </c>
      <c r="C326" s="8">
        <v>22.22</v>
      </c>
      <c r="D326" s="1" t="s">
        <v>1796</v>
      </c>
      <c r="E326"/>
      <c r="H326" s="86" t="s">
        <v>489</v>
      </c>
      <c r="I326"/>
      <c r="J326" s="4"/>
      <c r="K326" s="8" t="e">
        <f>(K325+C21)</f>
        <v>#REF!</v>
      </c>
      <c r="O326" s="86" t="s">
        <v>556</v>
      </c>
      <c r="R326" s="91" t="e">
        <f>(R324/10)</f>
        <v>#REF!</v>
      </c>
      <c r="AG326" s="86" t="s">
        <v>2284</v>
      </c>
    </row>
    <row r="327" spans="1:33" hidden="1">
      <c r="A327" s="106"/>
      <c r="B327" s="86"/>
      <c r="C327" s="8"/>
      <c r="D327" s="1"/>
      <c r="E327"/>
      <c r="H327" s="86"/>
      <c r="I327"/>
      <c r="J327" s="4"/>
      <c r="K327" s="8"/>
      <c r="O327" s="86"/>
      <c r="R327" s="91"/>
      <c r="AG327" s="86"/>
    </row>
    <row r="328" spans="1:33" hidden="1">
      <c r="A328" s="106"/>
      <c r="B328" s="86"/>
      <c r="C328" s="8"/>
      <c r="D328" s="1"/>
      <c r="E328"/>
      <c r="F328" s="102" t="s">
        <v>645</v>
      </c>
      <c r="H328" s="86" t="s">
        <v>1630</v>
      </c>
      <c r="I328"/>
      <c r="J328" s="4"/>
      <c r="K328" s="1" t="s">
        <v>2962</v>
      </c>
      <c r="O328" s="86"/>
      <c r="R328" s="91"/>
      <c r="AG328" s="86"/>
    </row>
    <row r="329" spans="1:33" hidden="1">
      <c r="A329" s="106"/>
      <c r="B329" s="86"/>
      <c r="C329" s="8"/>
      <c r="D329" s="1"/>
      <c r="E329"/>
      <c r="H329" s="86" t="s">
        <v>646</v>
      </c>
      <c r="I329"/>
      <c r="J329" s="4"/>
      <c r="K329" s="5" t="s">
        <v>2080</v>
      </c>
      <c r="O329" s="86"/>
      <c r="R329" s="91"/>
      <c r="AG329" s="86"/>
    </row>
    <row r="330" spans="1:33" hidden="1">
      <c r="A330" s="106"/>
      <c r="B330" s="86"/>
      <c r="C330" s="8"/>
      <c r="D330" s="1"/>
      <c r="E330"/>
      <c r="H330" s="86"/>
      <c r="I330"/>
      <c r="J330" s="4"/>
      <c r="K330" s="8"/>
      <c r="O330" s="86"/>
      <c r="R330" s="91"/>
      <c r="AG330" s="86"/>
    </row>
    <row r="331" spans="1:33" hidden="1">
      <c r="A331" s="106">
        <f>(A326+1)</f>
        <v>167</v>
      </c>
      <c r="B331" s="86" t="s">
        <v>2247</v>
      </c>
      <c r="C331" s="8">
        <v>46.42</v>
      </c>
      <c r="D331" s="1" t="s">
        <v>1796</v>
      </c>
      <c r="E331"/>
      <c r="F331" s="108">
        <v>9</v>
      </c>
      <c r="G331" s="90" t="s">
        <v>2276</v>
      </c>
      <c r="H331" s="86" t="s">
        <v>3152</v>
      </c>
      <c r="I331"/>
      <c r="J331" s="4"/>
      <c r="K331"/>
      <c r="R331" s="89" t="s">
        <v>2080</v>
      </c>
      <c r="AG331" s="86" t="s">
        <v>2284</v>
      </c>
    </row>
    <row r="332" spans="1:33" hidden="1">
      <c r="A332" s="106">
        <f t="shared" ref="A332:A363" si="17">(A331+1)</f>
        <v>168</v>
      </c>
      <c r="B332" s="86" t="s">
        <v>2213</v>
      </c>
      <c r="C332"/>
      <c r="D332"/>
      <c r="E332"/>
      <c r="H332" s="91" t="str">
        <f>H308</f>
        <v>Bricks of size 22x11x7 cm</v>
      </c>
      <c r="I332"/>
      <c r="J332" s="4"/>
      <c r="K332"/>
      <c r="AG332" s="86" t="s">
        <v>2284</v>
      </c>
    </row>
    <row r="333" spans="1:33" hidden="1">
      <c r="A333" s="106">
        <f t="shared" si="17"/>
        <v>169</v>
      </c>
      <c r="B333" s="86" t="s">
        <v>239</v>
      </c>
      <c r="C333" s="8">
        <v>8.58</v>
      </c>
      <c r="D333" s="1" t="s">
        <v>778</v>
      </c>
      <c r="E333"/>
      <c r="H333" s="89" t="s">
        <v>1609</v>
      </c>
      <c r="I333"/>
      <c r="J333" s="4"/>
      <c r="K333"/>
      <c r="N333" s="86" t="s">
        <v>2276</v>
      </c>
      <c r="O333" s="86" t="s">
        <v>2214</v>
      </c>
      <c r="AG333" s="86" t="s">
        <v>2284</v>
      </c>
    </row>
    <row r="334" spans="1:33" hidden="1">
      <c r="A334" s="106">
        <f t="shared" si="17"/>
        <v>170</v>
      </c>
      <c r="B334" s="86" t="s">
        <v>240</v>
      </c>
      <c r="C334" s="8">
        <v>12.26</v>
      </c>
      <c r="D334" s="1" t="s">
        <v>778</v>
      </c>
      <c r="E334"/>
      <c r="F334" s="91">
        <f>F310</f>
        <v>4800</v>
      </c>
      <c r="G334" s="90" t="s">
        <v>1445</v>
      </c>
      <c r="H334" s="91" t="str">
        <f>H308</f>
        <v>Bricks of size 22x11x7 cm</v>
      </c>
      <c r="I334" s="8" t="e">
        <f>C80</f>
        <v>#REF!</v>
      </c>
      <c r="J334" s="2" t="s">
        <v>1617</v>
      </c>
      <c r="K334" s="8" t="e">
        <f>(F334*I334)/1000</f>
        <v>#REF!</v>
      </c>
      <c r="O334" s="89" t="s">
        <v>1609</v>
      </c>
      <c r="AG334" s="86" t="s">
        <v>2284</v>
      </c>
    </row>
    <row r="335" spans="1:33" hidden="1">
      <c r="A335" s="106">
        <f t="shared" si="17"/>
        <v>171</v>
      </c>
      <c r="B335" s="86" t="s">
        <v>241</v>
      </c>
      <c r="C335" s="8">
        <v>13.89</v>
      </c>
      <c r="D335" s="1" t="s">
        <v>778</v>
      </c>
      <c r="E335"/>
      <c r="F335" s="91">
        <f>F311</f>
        <v>2.5</v>
      </c>
      <c r="G335" s="90" t="s">
        <v>878</v>
      </c>
      <c r="H335" s="86" t="s">
        <v>1656</v>
      </c>
      <c r="I335" s="8" t="e">
        <f>K58</f>
        <v>#REF!</v>
      </c>
      <c r="J335" s="2" t="s">
        <v>878</v>
      </c>
      <c r="K335" s="8" t="e">
        <f>(F335*I335)</f>
        <v>#REF!</v>
      </c>
      <c r="M335" s="91">
        <v>0.22</v>
      </c>
      <c r="N335" s="86" t="s">
        <v>878</v>
      </c>
      <c r="O335" s="86" t="s">
        <v>1650</v>
      </c>
      <c r="P335" s="91" t="e">
        <f>(K49)</f>
        <v>#REF!</v>
      </c>
      <c r="Q335" s="86" t="s">
        <v>878</v>
      </c>
      <c r="R335" s="91" t="e">
        <f>(M335*P335)</f>
        <v>#REF!</v>
      </c>
      <c r="AG335" s="86" t="s">
        <v>2284</v>
      </c>
    </row>
    <row r="336" spans="1:33" hidden="1">
      <c r="A336" s="106">
        <f t="shared" si="17"/>
        <v>172</v>
      </c>
      <c r="B336" s="86" t="s">
        <v>2247</v>
      </c>
      <c r="C336" s="8">
        <v>36.25</v>
      </c>
      <c r="D336" s="1" t="s">
        <v>778</v>
      </c>
      <c r="E336"/>
      <c r="F336" s="91">
        <v>3.5</v>
      </c>
      <c r="G336" s="90" t="s">
        <v>877</v>
      </c>
      <c r="H336" s="86" t="s">
        <v>2034</v>
      </c>
      <c r="I336" s="8">
        <f>C10</f>
        <v>150</v>
      </c>
      <c r="J336" s="2" t="s">
        <v>877</v>
      </c>
      <c r="K336" s="8">
        <f>(F336*I336)</f>
        <v>525</v>
      </c>
      <c r="M336" s="91">
        <v>2.2000000000000002</v>
      </c>
      <c r="N336" s="86" t="s">
        <v>877</v>
      </c>
      <c r="O336" s="86" t="s">
        <v>2034</v>
      </c>
      <c r="P336" s="91">
        <f>(C10)</f>
        <v>150</v>
      </c>
      <c r="Q336" s="86" t="s">
        <v>877</v>
      </c>
      <c r="R336" s="91">
        <f>(M336*P336)</f>
        <v>330</v>
      </c>
      <c r="AG336" s="86" t="s">
        <v>2284</v>
      </c>
    </row>
    <row r="337" spans="1:33" hidden="1">
      <c r="A337" s="106">
        <f t="shared" si="17"/>
        <v>173</v>
      </c>
      <c r="B337" s="86" t="s">
        <v>2215</v>
      </c>
      <c r="C337"/>
      <c r="D337"/>
      <c r="E337"/>
      <c r="F337" s="91">
        <v>10.6</v>
      </c>
      <c r="G337" s="90" t="s">
        <v>877</v>
      </c>
      <c r="H337" s="86" t="s">
        <v>1737</v>
      </c>
      <c r="I337" s="8">
        <f>C11</f>
        <v>135</v>
      </c>
      <c r="J337" s="2" t="s">
        <v>877</v>
      </c>
      <c r="K337" s="8">
        <f>(F337*I337)</f>
        <v>1431</v>
      </c>
      <c r="M337" s="91">
        <v>0.5</v>
      </c>
      <c r="N337" s="86" t="s">
        <v>877</v>
      </c>
      <c r="O337" s="86" t="s">
        <v>1927</v>
      </c>
      <c r="P337" s="91">
        <f>(C12)</f>
        <v>95</v>
      </c>
      <c r="Q337" s="86" t="s">
        <v>877</v>
      </c>
      <c r="R337" s="91">
        <f>(M337*P337)</f>
        <v>47.5</v>
      </c>
      <c r="AG337" s="86" t="s">
        <v>2284</v>
      </c>
    </row>
    <row r="338" spans="1:33" hidden="1">
      <c r="A338" s="106">
        <f t="shared" si="17"/>
        <v>174</v>
      </c>
      <c r="B338" s="86" t="s">
        <v>239</v>
      </c>
      <c r="C338" s="8">
        <v>15.7</v>
      </c>
      <c r="D338" s="1" t="s">
        <v>778</v>
      </c>
      <c r="E338"/>
      <c r="F338" s="91">
        <v>7.1</v>
      </c>
      <c r="G338" s="90" t="s">
        <v>877</v>
      </c>
      <c r="H338" s="86" t="s">
        <v>1927</v>
      </c>
      <c r="I338" s="8">
        <f>C12</f>
        <v>95</v>
      </c>
      <c r="J338" s="2" t="s">
        <v>877</v>
      </c>
      <c r="K338" s="8">
        <f>(F338*I338)</f>
        <v>674.5</v>
      </c>
      <c r="M338" s="91">
        <v>3.2</v>
      </c>
      <c r="N338" s="86" t="s">
        <v>877</v>
      </c>
      <c r="O338" s="86" t="s">
        <v>321</v>
      </c>
      <c r="P338" s="91">
        <f>(C13)</f>
        <v>85</v>
      </c>
      <c r="Q338" s="86" t="s">
        <v>877</v>
      </c>
      <c r="R338" s="91">
        <f>(M338*P338)</f>
        <v>272</v>
      </c>
      <c r="AG338" s="86" t="s">
        <v>2284</v>
      </c>
    </row>
    <row r="339" spans="1:33" hidden="1">
      <c r="A339" s="106">
        <f t="shared" si="17"/>
        <v>175</v>
      </c>
      <c r="B339" s="86" t="s">
        <v>240</v>
      </c>
      <c r="C339" s="8">
        <v>22.31</v>
      </c>
      <c r="D339" s="1" t="s">
        <v>778</v>
      </c>
      <c r="E339"/>
      <c r="F339" s="91">
        <v>21.2</v>
      </c>
      <c r="G339" s="90" t="s">
        <v>877</v>
      </c>
      <c r="H339" s="86" t="s">
        <v>321</v>
      </c>
      <c r="I339" s="8">
        <f>C13</f>
        <v>85</v>
      </c>
      <c r="J339" s="2" t="s">
        <v>877</v>
      </c>
      <c r="K339" s="8">
        <f>(F339*I339)</f>
        <v>1802</v>
      </c>
      <c r="N339" s="86" t="s">
        <v>450</v>
      </c>
      <c r="O339" s="86" t="s">
        <v>451</v>
      </c>
      <c r="P339" s="86" t="s">
        <v>987</v>
      </c>
      <c r="Q339" s="86" t="s">
        <v>450</v>
      </c>
      <c r="R339" s="91">
        <v>0</v>
      </c>
      <c r="AG339" s="86" t="s">
        <v>2284</v>
      </c>
    </row>
    <row r="340" spans="1:33" hidden="1">
      <c r="A340" s="106">
        <f t="shared" si="17"/>
        <v>176</v>
      </c>
      <c r="B340" s="86" t="s">
        <v>241</v>
      </c>
      <c r="C340" s="8">
        <v>25.24</v>
      </c>
      <c r="D340" s="1" t="s">
        <v>778</v>
      </c>
      <c r="E340"/>
      <c r="G340" s="90" t="s">
        <v>450</v>
      </c>
      <c r="H340" s="86" t="s">
        <v>451</v>
      </c>
      <c r="I340"/>
      <c r="J340" s="2" t="s">
        <v>450</v>
      </c>
      <c r="K340" s="8">
        <v>0</v>
      </c>
      <c r="R340" s="89" t="s">
        <v>1609</v>
      </c>
      <c r="AG340" s="86" t="s">
        <v>2284</v>
      </c>
    </row>
    <row r="341" spans="1:33" hidden="1">
      <c r="A341" s="106">
        <f t="shared" si="17"/>
        <v>177</v>
      </c>
      <c r="B341" s="86" t="s">
        <v>2247</v>
      </c>
      <c r="C341" s="8">
        <v>52.34</v>
      </c>
      <c r="D341" s="1" t="s">
        <v>778</v>
      </c>
      <c r="E341"/>
      <c r="I341"/>
      <c r="J341" s="4"/>
      <c r="K341" s="5" t="s">
        <v>1609</v>
      </c>
      <c r="O341" s="86" t="s">
        <v>442</v>
      </c>
      <c r="R341" s="91" t="e">
        <f>SUM(R335:R339)</f>
        <v>#REF!</v>
      </c>
      <c r="AG341" s="86" t="s">
        <v>2284</v>
      </c>
    </row>
    <row r="342" spans="1:33" hidden="1">
      <c r="A342" s="106">
        <f t="shared" si="17"/>
        <v>178</v>
      </c>
      <c r="B342" s="86" t="s">
        <v>1057</v>
      </c>
      <c r="C342"/>
      <c r="D342"/>
      <c r="E342"/>
      <c r="H342" s="86" t="s">
        <v>620</v>
      </c>
      <c r="I342"/>
      <c r="J342" s="4"/>
      <c r="K342" s="8" t="e">
        <f>SUM(K334:K340)</f>
        <v>#REF!</v>
      </c>
      <c r="R342" s="89" t="s">
        <v>1609</v>
      </c>
      <c r="AG342" s="86" t="s">
        <v>2284</v>
      </c>
    </row>
    <row r="343" spans="1:33" hidden="1">
      <c r="A343" s="106">
        <f t="shared" si="17"/>
        <v>179</v>
      </c>
      <c r="B343" s="86" t="s">
        <v>239</v>
      </c>
      <c r="C343" s="8">
        <v>13.73</v>
      </c>
      <c r="D343" s="1" t="s">
        <v>778</v>
      </c>
      <c r="E343"/>
      <c r="I343"/>
      <c r="J343" s="4"/>
      <c r="K343" s="5" t="s">
        <v>1609</v>
      </c>
      <c r="O343" s="86" t="s">
        <v>556</v>
      </c>
      <c r="R343" s="91" t="e">
        <f>(R341/10)</f>
        <v>#REF!</v>
      </c>
      <c r="AG343" s="86" t="s">
        <v>2284</v>
      </c>
    </row>
    <row r="344" spans="1:33" hidden="1">
      <c r="A344" s="106">
        <f t="shared" si="17"/>
        <v>180</v>
      </c>
      <c r="B344" s="86" t="s">
        <v>240</v>
      </c>
      <c r="C344" s="8">
        <v>20.16</v>
      </c>
      <c r="D344" s="1" t="s">
        <v>778</v>
      </c>
      <c r="E344"/>
      <c r="H344" s="86" t="s">
        <v>782</v>
      </c>
      <c r="I344"/>
      <c r="J344" s="4"/>
      <c r="K344" s="8" t="e">
        <f>(K342/10)</f>
        <v>#REF!</v>
      </c>
      <c r="R344" s="89" t="s">
        <v>2080</v>
      </c>
      <c r="AG344" s="86" t="s">
        <v>2284</v>
      </c>
    </row>
    <row r="345" spans="1:33" hidden="1">
      <c r="A345" s="106">
        <f t="shared" si="17"/>
        <v>181</v>
      </c>
      <c r="B345" s="86" t="s">
        <v>241</v>
      </c>
      <c r="C345" s="8">
        <v>22.73</v>
      </c>
      <c r="D345" s="1" t="s">
        <v>778</v>
      </c>
      <c r="E345"/>
      <c r="I345"/>
      <c r="J345" s="4"/>
      <c r="K345" s="5" t="s">
        <v>2080</v>
      </c>
      <c r="N345" s="86" t="s">
        <v>2276</v>
      </c>
      <c r="O345" s="86" t="s">
        <v>1058</v>
      </c>
      <c r="AG345" s="86" t="s">
        <v>2284</v>
      </c>
    </row>
    <row r="346" spans="1:33" hidden="1">
      <c r="A346" s="106">
        <f t="shared" si="17"/>
        <v>182</v>
      </c>
      <c r="B346" s="86" t="s">
        <v>2247</v>
      </c>
      <c r="C346" s="8">
        <v>46.98</v>
      </c>
      <c r="D346" s="1" t="s">
        <v>987</v>
      </c>
      <c r="E346"/>
      <c r="H346" s="86" t="s">
        <v>386</v>
      </c>
      <c r="I346"/>
      <c r="J346" s="4"/>
      <c r="K346" s="8" t="e">
        <f>(K344+C19)</f>
        <v>#REF!</v>
      </c>
      <c r="O346" s="89" t="s">
        <v>1609</v>
      </c>
      <c r="AG346" s="86" t="s">
        <v>2284</v>
      </c>
    </row>
    <row r="347" spans="1:33" hidden="1">
      <c r="A347" s="106">
        <f t="shared" si="17"/>
        <v>183</v>
      </c>
      <c r="B347" s="86" t="s">
        <v>1059</v>
      </c>
      <c r="C347"/>
      <c r="D347"/>
      <c r="E347"/>
      <c r="H347" s="86" t="s">
        <v>388</v>
      </c>
      <c r="I347"/>
      <c r="J347" s="4"/>
      <c r="K347" s="8" t="e">
        <f>(K346+C20)</f>
        <v>#REF!</v>
      </c>
      <c r="M347" s="91">
        <v>0.22</v>
      </c>
      <c r="N347" s="86" t="s">
        <v>878</v>
      </c>
      <c r="O347" s="86" t="s">
        <v>1373</v>
      </c>
      <c r="P347" s="91" t="e">
        <f>(K32)</f>
        <v>#REF!</v>
      </c>
      <c r="Q347" s="86" t="s">
        <v>878</v>
      </c>
      <c r="R347" s="91" t="e">
        <f>(M347*P347)</f>
        <v>#REF!</v>
      </c>
      <c r="AG347" s="86" t="s">
        <v>2284</v>
      </c>
    </row>
    <row r="348" spans="1:33" hidden="1">
      <c r="A348" s="106">
        <f t="shared" si="17"/>
        <v>184</v>
      </c>
      <c r="B348" s="86" t="s">
        <v>239</v>
      </c>
      <c r="C348" s="8">
        <v>19.3</v>
      </c>
      <c r="D348" s="1" t="s">
        <v>778</v>
      </c>
      <c r="E348"/>
      <c r="H348" s="86" t="s">
        <v>2257</v>
      </c>
      <c r="I348"/>
      <c r="J348" s="4"/>
      <c r="K348" s="8" t="e">
        <f>(K347+C21)</f>
        <v>#REF!</v>
      </c>
      <c r="M348" s="91">
        <v>2.2000000000000002</v>
      </c>
      <c r="N348" s="86" t="s">
        <v>877</v>
      </c>
      <c r="O348" s="86" t="s">
        <v>2034</v>
      </c>
      <c r="P348" s="91">
        <f>(C10)</f>
        <v>150</v>
      </c>
      <c r="Q348" s="86" t="s">
        <v>877</v>
      </c>
      <c r="R348" s="91">
        <f>(M348*P348)</f>
        <v>330</v>
      </c>
      <c r="AG348" s="86" t="s">
        <v>2284</v>
      </c>
    </row>
    <row r="349" spans="1:33" hidden="1">
      <c r="A349" s="106">
        <f t="shared" si="17"/>
        <v>185</v>
      </c>
      <c r="B349" s="86" t="s">
        <v>241</v>
      </c>
      <c r="C349" s="8">
        <v>33.46</v>
      </c>
      <c r="D349" s="1" t="s">
        <v>778</v>
      </c>
      <c r="E349"/>
      <c r="H349" s="86" t="s">
        <v>380</v>
      </c>
      <c r="I349"/>
      <c r="J349" s="4"/>
      <c r="K349" s="8" t="e">
        <f>(K348+C21)</f>
        <v>#REF!</v>
      </c>
      <c r="M349" s="91">
        <v>0.5</v>
      </c>
      <c r="N349" s="86" t="s">
        <v>877</v>
      </c>
      <c r="O349" s="86" t="s">
        <v>1927</v>
      </c>
      <c r="P349" s="91">
        <f>(C12)</f>
        <v>95</v>
      </c>
      <c r="Q349" s="86" t="s">
        <v>877</v>
      </c>
      <c r="R349" s="91">
        <f>(M349*P349)</f>
        <v>47.5</v>
      </c>
      <c r="AG349" s="86" t="s">
        <v>2284</v>
      </c>
    </row>
    <row r="350" spans="1:33" hidden="1">
      <c r="A350" s="106">
        <f t="shared" si="17"/>
        <v>186</v>
      </c>
      <c r="B350" s="86" t="s">
        <v>2247</v>
      </c>
      <c r="C350" s="8">
        <v>53.62</v>
      </c>
      <c r="D350" s="1" t="s">
        <v>778</v>
      </c>
      <c r="E350"/>
      <c r="F350" s="86" t="s">
        <v>987</v>
      </c>
      <c r="H350" s="86" t="s">
        <v>489</v>
      </c>
      <c r="I350"/>
      <c r="J350" s="4"/>
      <c r="K350" s="8" t="e">
        <f>(K349+C21)</f>
        <v>#REF!</v>
      </c>
      <c r="M350" s="91">
        <v>3.2</v>
      </c>
      <c r="N350" s="86" t="s">
        <v>877</v>
      </c>
      <c r="O350" s="86" t="s">
        <v>321</v>
      </c>
      <c r="P350" s="91">
        <f>(C13)</f>
        <v>85</v>
      </c>
      <c r="Q350" s="86" t="s">
        <v>877</v>
      </c>
      <c r="R350" s="91">
        <f>(M350*P350)</f>
        <v>272</v>
      </c>
      <c r="AG350" s="86" t="s">
        <v>2284</v>
      </c>
    </row>
    <row r="351" spans="1:33" hidden="1">
      <c r="A351" s="106">
        <f t="shared" si="17"/>
        <v>187</v>
      </c>
      <c r="B351" s="86" t="s">
        <v>129</v>
      </c>
      <c r="C351"/>
      <c r="D351"/>
      <c r="E351"/>
      <c r="F351" s="108">
        <v>27</v>
      </c>
      <c r="G351" s="90" t="s">
        <v>2276</v>
      </c>
      <c r="H351" s="86" t="s">
        <v>3153</v>
      </c>
      <c r="I351"/>
      <c r="J351" s="4"/>
      <c r="K351"/>
      <c r="N351" s="86" t="s">
        <v>450</v>
      </c>
      <c r="O351" s="86" t="s">
        <v>451</v>
      </c>
      <c r="P351" s="86" t="s">
        <v>987</v>
      </c>
      <c r="Q351" s="86" t="s">
        <v>450</v>
      </c>
      <c r="R351" s="91">
        <v>0</v>
      </c>
      <c r="AG351" s="86" t="s">
        <v>2284</v>
      </c>
    </row>
    <row r="352" spans="1:33" hidden="1">
      <c r="A352" s="106">
        <f t="shared" si="17"/>
        <v>188</v>
      </c>
      <c r="B352" s="86" t="s">
        <v>239</v>
      </c>
      <c r="C352" s="8">
        <v>13.73</v>
      </c>
      <c r="D352" s="1" t="s">
        <v>778</v>
      </c>
      <c r="E352"/>
      <c r="H352" s="91" t="str">
        <f>H308</f>
        <v>Bricks of size 22x11x7 cm</v>
      </c>
      <c r="I352"/>
      <c r="J352" s="4"/>
      <c r="K352"/>
      <c r="R352" s="89" t="s">
        <v>1609</v>
      </c>
      <c r="AG352" s="86" t="s">
        <v>2284</v>
      </c>
    </row>
    <row r="353" spans="1:33" hidden="1">
      <c r="A353" s="106">
        <f t="shared" si="17"/>
        <v>189</v>
      </c>
      <c r="B353" s="86" t="s">
        <v>240</v>
      </c>
      <c r="C353" s="8">
        <v>20.16</v>
      </c>
      <c r="D353" s="1" t="s">
        <v>778</v>
      </c>
      <c r="E353"/>
      <c r="H353" s="89" t="s">
        <v>1609</v>
      </c>
      <c r="I353"/>
      <c r="J353" s="4"/>
      <c r="K353"/>
      <c r="O353" s="86" t="s">
        <v>442</v>
      </c>
      <c r="R353" s="91" t="e">
        <f>SUM(R347:R351)</f>
        <v>#REF!</v>
      </c>
      <c r="AG353" s="86" t="s">
        <v>2284</v>
      </c>
    </row>
    <row r="354" spans="1:33" hidden="1">
      <c r="A354" s="106">
        <f t="shared" si="17"/>
        <v>190</v>
      </c>
      <c r="B354" s="86" t="s">
        <v>241</v>
      </c>
      <c r="C354" s="8">
        <v>22.73</v>
      </c>
      <c r="D354" s="1" t="s">
        <v>778</v>
      </c>
      <c r="E354"/>
      <c r="F354" s="91">
        <f>F310</f>
        <v>4800</v>
      </c>
      <c r="G354" s="90" t="s">
        <v>1445</v>
      </c>
      <c r="H354" s="91" t="str">
        <f>H308</f>
        <v>Bricks of size 22x11x7 cm</v>
      </c>
      <c r="I354" s="8" t="e">
        <f>C80</f>
        <v>#REF!</v>
      </c>
      <c r="J354" s="2" t="s">
        <v>1617</v>
      </c>
      <c r="K354" s="8" t="e">
        <f>(F354*I354)/1000</f>
        <v>#REF!</v>
      </c>
      <c r="R354" s="89" t="s">
        <v>1609</v>
      </c>
      <c r="AG354" s="86" t="s">
        <v>2284</v>
      </c>
    </row>
    <row r="355" spans="1:33" hidden="1">
      <c r="A355" s="106">
        <f t="shared" si="17"/>
        <v>191</v>
      </c>
      <c r="B355" s="86" t="s">
        <v>2247</v>
      </c>
      <c r="C355" s="8">
        <v>46.98</v>
      </c>
      <c r="D355" s="1" t="s">
        <v>778</v>
      </c>
      <c r="E355"/>
      <c r="F355" s="91">
        <f>F311</f>
        <v>2.5</v>
      </c>
      <c r="G355" s="90" t="s">
        <v>878</v>
      </c>
      <c r="H355" s="86" t="s">
        <v>1327</v>
      </c>
      <c r="I355" s="8" t="e">
        <f>K40</f>
        <v>#REF!</v>
      </c>
      <c r="J355" s="2" t="s">
        <v>878</v>
      </c>
      <c r="K355" s="8" t="e">
        <f>(F355*I355)</f>
        <v>#REF!</v>
      </c>
      <c r="O355" s="86" t="s">
        <v>556</v>
      </c>
      <c r="R355" s="91" t="e">
        <f>(R353/10)</f>
        <v>#REF!</v>
      </c>
      <c r="AG355" s="86" t="s">
        <v>2284</v>
      </c>
    </row>
    <row r="356" spans="1:33" hidden="1">
      <c r="A356" s="106">
        <f t="shared" si="17"/>
        <v>192</v>
      </c>
      <c r="B356" s="86" t="s">
        <v>819</v>
      </c>
      <c r="C356"/>
      <c r="D356"/>
      <c r="E356"/>
      <c r="F356" s="91">
        <v>3.5</v>
      </c>
      <c r="G356" s="90" t="s">
        <v>877</v>
      </c>
      <c r="H356" s="86" t="s">
        <v>2034</v>
      </c>
      <c r="I356" s="8">
        <f>(C10)</f>
        <v>150</v>
      </c>
      <c r="J356" s="2" t="s">
        <v>877</v>
      </c>
      <c r="K356" s="8">
        <f>(F356*I356)</f>
        <v>525</v>
      </c>
      <c r="R356" s="89" t="s">
        <v>2080</v>
      </c>
      <c r="AG356" s="86" t="s">
        <v>2284</v>
      </c>
    </row>
    <row r="357" spans="1:33" hidden="1">
      <c r="A357" s="106">
        <f t="shared" si="17"/>
        <v>193</v>
      </c>
      <c r="B357" s="86" t="s">
        <v>239</v>
      </c>
      <c r="C357" s="8">
        <v>19.3</v>
      </c>
      <c r="D357" s="1" t="s">
        <v>778</v>
      </c>
      <c r="E357"/>
      <c r="F357" s="91">
        <v>10.6</v>
      </c>
      <c r="G357" s="90" t="s">
        <v>877</v>
      </c>
      <c r="H357" s="86" t="s">
        <v>1737</v>
      </c>
      <c r="I357" s="8">
        <f>(C11)</f>
        <v>135</v>
      </c>
      <c r="J357" s="2" t="s">
        <v>877</v>
      </c>
      <c r="K357" s="8">
        <f>(F357*I357)</f>
        <v>1431</v>
      </c>
      <c r="N357" s="86" t="s">
        <v>2276</v>
      </c>
      <c r="O357" s="86" t="s">
        <v>820</v>
      </c>
      <c r="AG357" s="86" t="s">
        <v>2284</v>
      </c>
    </row>
    <row r="358" spans="1:33" hidden="1">
      <c r="A358" s="106">
        <f t="shared" si="17"/>
        <v>194</v>
      </c>
      <c r="B358" s="86" t="s">
        <v>240</v>
      </c>
      <c r="C358" s="8">
        <v>25.74</v>
      </c>
      <c r="D358" s="1" t="s">
        <v>778</v>
      </c>
      <c r="E358"/>
      <c r="F358" s="91">
        <v>7.1</v>
      </c>
      <c r="G358" s="90" t="s">
        <v>877</v>
      </c>
      <c r="H358" s="86" t="s">
        <v>1927</v>
      </c>
      <c r="I358" s="8">
        <f>(C12)</f>
        <v>95</v>
      </c>
      <c r="J358" s="2" t="s">
        <v>877</v>
      </c>
      <c r="K358" s="8">
        <f>(F358*I358)</f>
        <v>674.5</v>
      </c>
      <c r="O358" s="86" t="s">
        <v>821</v>
      </c>
      <c r="AG358" s="86" t="s">
        <v>2284</v>
      </c>
    </row>
    <row r="359" spans="1:33" hidden="1">
      <c r="A359" s="106">
        <f t="shared" si="17"/>
        <v>195</v>
      </c>
      <c r="B359" s="86" t="s">
        <v>241</v>
      </c>
      <c r="C359" s="8">
        <v>33.46</v>
      </c>
      <c r="D359" s="1" t="s">
        <v>778</v>
      </c>
      <c r="E359"/>
      <c r="F359" s="91">
        <v>21.2</v>
      </c>
      <c r="G359" s="90" t="s">
        <v>877</v>
      </c>
      <c r="H359" s="86" t="s">
        <v>321</v>
      </c>
      <c r="I359" s="8">
        <f>(C13)</f>
        <v>85</v>
      </c>
      <c r="J359" s="2" t="s">
        <v>877</v>
      </c>
      <c r="K359" s="8">
        <f>(F359*I359)</f>
        <v>1802</v>
      </c>
      <c r="O359" s="86" t="s">
        <v>822</v>
      </c>
      <c r="AG359" s="86" t="s">
        <v>2284</v>
      </c>
    </row>
    <row r="360" spans="1:33" hidden="1">
      <c r="A360" s="106">
        <f t="shared" si="17"/>
        <v>196</v>
      </c>
      <c r="B360" s="86" t="s">
        <v>2247</v>
      </c>
      <c r="C360" s="8">
        <v>53.62</v>
      </c>
      <c r="D360" s="1" t="s">
        <v>987</v>
      </c>
      <c r="E360"/>
      <c r="G360" s="90" t="s">
        <v>450</v>
      </c>
      <c r="H360" s="86" t="s">
        <v>451</v>
      </c>
      <c r="I360"/>
      <c r="J360" s="2" t="s">
        <v>450</v>
      </c>
      <c r="K360" s="8">
        <v>0</v>
      </c>
      <c r="O360" s="89" t="s">
        <v>1609</v>
      </c>
      <c r="AG360" s="86" t="s">
        <v>2284</v>
      </c>
    </row>
    <row r="361" spans="1:33" hidden="1">
      <c r="A361" s="106">
        <f t="shared" si="17"/>
        <v>197</v>
      </c>
      <c r="B361" s="86" t="s">
        <v>981</v>
      </c>
      <c r="C361"/>
      <c r="D361"/>
      <c r="E361"/>
      <c r="I361"/>
      <c r="J361" s="4"/>
      <c r="K361" s="5" t="s">
        <v>1609</v>
      </c>
      <c r="M361" s="91">
        <v>0.22</v>
      </c>
      <c r="N361" s="86" t="s">
        <v>878</v>
      </c>
      <c r="O361" s="86" t="s">
        <v>1327</v>
      </c>
      <c r="P361" s="91" t="e">
        <f>(K40)</f>
        <v>#REF!</v>
      </c>
      <c r="Q361" s="86" t="s">
        <v>878</v>
      </c>
      <c r="R361" s="91" t="e">
        <f t="shared" ref="R361:R366" si="18">(M361*P361)</f>
        <v>#REF!</v>
      </c>
      <c r="AG361" s="86" t="s">
        <v>2284</v>
      </c>
    </row>
    <row r="362" spans="1:33" hidden="1">
      <c r="A362" s="106">
        <f t="shared" si="17"/>
        <v>198</v>
      </c>
      <c r="B362" s="86" t="s">
        <v>239</v>
      </c>
      <c r="C362" s="8">
        <v>26.16</v>
      </c>
      <c r="D362" s="1" t="s">
        <v>778</v>
      </c>
      <c r="E362"/>
      <c r="H362" s="86" t="s">
        <v>620</v>
      </c>
      <c r="I362"/>
      <c r="J362" s="4"/>
      <c r="K362" s="8" t="e">
        <f>SUM(K354:K360)</f>
        <v>#REF!</v>
      </c>
      <c r="M362" s="91">
        <v>2.2000000000000002</v>
      </c>
      <c r="N362" s="86" t="s">
        <v>877</v>
      </c>
      <c r="O362" s="86" t="s">
        <v>2034</v>
      </c>
      <c r="P362" s="91">
        <f>(C10)</f>
        <v>150</v>
      </c>
      <c r="Q362" s="86" t="s">
        <v>877</v>
      </c>
      <c r="R362" s="91">
        <f t="shared" si="18"/>
        <v>330</v>
      </c>
      <c r="AG362" s="86" t="s">
        <v>2284</v>
      </c>
    </row>
    <row r="363" spans="1:33" hidden="1">
      <c r="A363" s="106">
        <f t="shared" si="17"/>
        <v>199</v>
      </c>
      <c r="B363" s="86" t="s">
        <v>240</v>
      </c>
      <c r="C363" s="8">
        <v>34.32</v>
      </c>
      <c r="D363" s="1" t="s">
        <v>778</v>
      </c>
      <c r="E363"/>
      <c r="I363"/>
      <c r="J363" s="4"/>
      <c r="K363" s="5" t="s">
        <v>1609</v>
      </c>
      <c r="M363" s="91">
        <v>0.5</v>
      </c>
      <c r="N363" s="86" t="s">
        <v>877</v>
      </c>
      <c r="O363" s="86" t="s">
        <v>1927</v>
      </c>
      <c r="P363" s="91">
        <f>(C12)</f>
        <v>95</v>
      </c>
      <c r="Q363" s="86" t="s">
        <v>877</v>
      </c>
      <c r="R363" s="91">
        <f t="shared" si="18"/>
        <v>47.5</v>
      </c>
      <c r="AG363" s="86" t="s">
        <v>2284</v>
      </c>
    </row>
    <row r="364" spans="1:33" hidden="1">
      <c r="A364" s="106">
        <f t="shared" ref="A364:A395" si="19">(A363+1)</f>
        <v>200</v>
      </c>
      <c r="B364" s="86" t="s">
        <v>241</v>
      </c>
      <c r="C364" s="8">
        <v>40.33</v>
      </c>
      <c r="D364" s="1" t="s">
        <v>778</v>
      </c>
      <c r="E364"/>
      <c r="H364" s="86" t="s">
        <v>782</v>
      </c>
      <c r="I364"/>
      <c r="J364" s="4"/>
      <c r="K364" s="8" t="e">
        <f>(K362/10)</f>
        <v>#REF!</v>
      </c>
      <c r="M364" s="91">
        <v>1.1000000000000001</v>
      </c>
      <c r="N364" s="86" t="s">
        <v>982</v>
      </c>
      <c r="O364" s="86" t="s">
        <v>983</v>
      </c>
      <c r="P364" s="91">
        <f>(C10)</f>
        <v>150</v>
      </c>
      <c r="Q364" s="86" t="s">
        <v>877</v>
      </c>
      <c r="R364" s="91">
        <f t="shared" si="18"/>
        <v>165</v>
      </c>
      <c r="AG364" s="86" t="s">
        <v>2284</v>
      </c>
    </row>
    <row r="365" spans="1:33" hidden="1">
      <c r="A365" s="106">
        <f t="shared" si="19"/>
        <v>201</v>
      </c>
      <c r="B365" s="86" t="s">
        <v>984</v>
      </c>
      <c r="C365"/>
      <c r="D365" s="1" t="s">
        <v>987</v>
      </c>
      <c r="E365"/>
      <c r="I365"/>
      <c r="J365" s="4"/>
      <c r="K365" s="5" t="s">
        <v>2080</v>
      </c>
      <c r="M365" s="91">
        <v>3.2</v>
      </c>
      <c r="N365" s="86" t="s">
        <v>877</v>
      </c>
      <c r="O365" s="86" t="s">
        <v>321</v>
      </c>
      <c r="P365" s="91">
        <f>(C13)</f>
        <v>85</v>
      </c>
      <c r="Q365" s="86" t="s">
        <v>877</v>
      </c>
      <c r="R365" s="91">
        <f t="shared" si="18"/>
        <v>272</v>
      </c>
      <c r="AG365" s="86" t="s">
        <v>2284</v>
      </c>
    </row>
    <row r="366" spans="1:33" hidden="1">
      <c r="A366" s="106">
        <f t="shared" si="19"/>
        <v>202</v>
      </c>
      <c r="B366" s="86" t="s">
        <v>239</v>
      </c>
      <c r="C366" s="8">
        <v>20.329999999999998</v>
      </c>
      <c r="D366" s="1" t="s">
        <v>778</v>
      </c>
      <c r="E366"/>
      <c r="H366" s="86" t="s">
        <v>386</v>
      </c>
      <c r="I366"/>
      <c r="J366" s="4"/>
      <c r="K366" s="8" t="e">
        <f>(K364+C19)</f>
        <v>#REF!</v>
      </c>
      <c r="M366" s="91">
        <v>9.8000000000000007</v>
      </c>
      <c r="N366" s="86" t="s">
        <v>1670</v>
      </c>
      <c r="O366" s="86" t="s">
        <v>1671</v>
      </c>
      <c r="P366" s="91">
        <f>(C180)</f>
        <v>110</v>
      </c>
      <c r="Q366" s="86" t="s">
        <v>1670</v>
      </c>
      <c r="R366" s="91">
        <f t="shared" si="18"/>
        <v>1078</v>
      </c>
      <c r="AG366" s="86" t="s">
        <v>2284</v>
      </c>
    </row>
    <row r="367" spans="1:33" hidden="1">
      <c r="A367" s="106">
        <f t="shared" si="19"/>
        <v>203</v>
      </c>
      <c r="B367" s="86" t="s">
        <v>240</v>
      </c>
      <c r="C367" s="8">
        <v>26.6</v>
      </c>
      <c r="D367" s="1" t="s">
        <v>778</v>
      </c>
      <c r="E367"/>
      <c r="H367" s="86" t="s">
        <v>388</v>
      </c>
      <c r="I367"/>
      <c r="J367" s="4"/>
      <c r="K367" s="8" t="e">
        <f>(K366+C20)</f>
        <v>#REF!</v>
      </c>
      <c r="N367" s="86" t="s">
        <v>450</v>
      </c>
      <c r="O367" s="86" t="s">
        <v>451</v>
      </c>
      <c r="P367" s="86" t="s">
        <v>987</v>
      </c>
      <c r="Q367" s="86" t="s">
        <v>450</v>
      </c>
      <c r="R367" s="91">
        <v>0</v>
      </c>
      <c r="AG367" s="86" t="s">
        <v>2284</v>
      </c>
    </row>
    <row r="368" spans="1:33" hidden="1">
      <c r="A368" s="106">
        <f t="shared" si="19"/>
        <v>204</v>
      </c>
      <c r="B368" s="86" t="s">
        <v>241</v>
      </c>
      <c r="C368" s="8">
        <v>33.89</v>
      </c>
      <c r="D368" s="1" t="s">
        <v>778</v>
      </c>
      <c r="E368"/>
      <c r="H368" s="86" t="s">
        <v>2257</v>
      </c>
      <c r="I368"/>
      <c r="J368" s="4"/>
      <c r="K368" s="8" t="e">
        <f>(K367+C21)</f>
        <v>#REF!</v>
      </c>
      <c r="R368" s="89" t="s">
        <v>1609</v>
      </c>
      <c r="AG368" s="86" t="s">
        <v>2284</v>
      </c>
    </row>
    <row r="369" spans="1:33" hidden="1">
      <c r="A369" s="106">
        <f t="shared" si="19"/>
        <v>205</v>
      </c>
      <c r="B369" s="86" t="s">
        <v>985</v>
      </c>
      <c r="C369"/>
      <c r="D369"/>
      <c r="E369"/>
      <c r="H369" s="86" t="s">
        <v>380</v>
      </c>
      <c r="I369"/>
      <c r="J369" s="4"/>
      <c r="K369" s="8" t="e">
        <f>(K368+C21)</f>
        <v>#REF!</v>
      </c>
      <c r="O369" s="86" t="s">
        <v>442</v>
      </c>
      <c r="R369" s="91" t="e">
        <f>SUM(R361:R367)</f>
        <v>#REF!</v>
      </c>
      <c r="AG369" s="86" t="s">
        <v>2284</v>
      </c>
    </row>
    <row r="370" spans="1:33" hidden="1">
      <c r="A370" s="106">
        <f t="shared" si="19"/>
        <v>206</v>
      </c>
      <c r="B370" s="86" t="s">
        <v>239</v>
      </c>
      <c r="C370" s="8">
        <v>13.29</v>
      </c>
      <c r="D370" s="1" t="s">
        <v>778</v>
      </c>
      <c r="E370"/>
      <c r="H370" s="86" t="s">
        <v>489</v>
      </c>
      <c r="I370"/>
      <c r="J370" s="4"/>
      <c r="K370" s="8" t="e">
        <f>(K369+C21)</f>
        <v>#REF!</v>
      </c>
      <c r="R370" s="89" t="s">
        <v>1609</v>
      </c>
      <c r="AG370" s="86" t="s">
        <v>2284</v>
      </c>
    </row>
    <row r="371" spans="1:33" hidden="1">
      <c r="A371" s="106">
        <f t="shared" si="19"/>
        <v>207</v>
      </c>
      <c r="B371" s="86" t="s">
        <v>240</v>
      </c>
      <c r="C371" s="8">
        <v>18.02</v>
      </c>
      <c r="D371" s="1" t="s">
        <v>778</v>
      </c>
      <c r="E371"/>
      <c r="H371" s="86" t="s">
        <v>1856</v>
      </c>
      <c r="I371"/>
      <c r="J371" s="4"/>
      <c r="K371" s="8" t="e">
        <f>(K366+K367+K368)/3</f>
        <v>#REF!</v>
      </c>
      <c r="O371" s="86" t="s">
        <v>556</v>
      </c>
      <c r="R371" s="91" t="e">
        <f>(R369/10)</f>
        <v>#REF!</v>
      </c>
      <c r="AG371" s="86" t="s">
        <v>2284</v>
      </c>
    </row>
    <row r="372" spans="1:33" hidden="1">
      <c r="A372" s="106">
        <f t="shared" si="19"/>
        <v>208</v>
      </c>
      <c r="B372" s="86" t="s">
        <v>241</v>
      </c>
      <c r="C372" s="8">
        <v>23.17</v>
      </c>
      <c r="D372" s="1" t="s">
        <v>778</v>
      </c>
      <c r="E372"/>
      <c r="I372"/>
      <c r="J372" s="4"/>
      <c r="K372"/>
      <c r="R372" s="89" t="s">
        <v>2080</v>
      </c>
      <c r="AG372" s="86" t="s">
        <v>2284</v>
      </c>
    </row>
    <row r="373" spans="1:33" hidden="1">
      <c r="A373" s="106">
        <f t="shared" si="19"/>
        <v>209</v>
      </c>
      <c r="B373" s="86" t="s">
        <v>1857</v>
      </c>
      <c r="C373"/>
      <c r="D373" s="1" t="s">
        <v>987</v>
      </c>
      <c r="E373"/>
      <c r="H373" s="102" t="s">
        <v>1858</v>
      </c>
      <c r="I373"/>
      <c r="J373" s="4"/>
      <c r="K373"/>
      <c r="N373" s="86" t="s">
        <v>2276</v>
      </c>
      <c r="O373" s="86" t="s">
        <v>1859</v>
      </c>
      <c r="AG373" s="86" t="s">
        <v>2284</v>
      </c>
    </row>
    <row r="374" spans="1:33" hidden="1">
      <c r="A374" s="106">
        <f t="shared" si="19"/>
        <v>210</v>
      </c>
      <c r="B374" s="86" t="s">
        <v>239</v>
      </c>
      <c r="C374" s="8">
        <v>9</v>
      </c>
      <c r="D374" s="1" t="s">
        <v>778</v>
      </c>
      <c r="E374"/>
      <c r="H374" s="89" t="s">
        <v>1609</v>
      </c>
      <c r="I374"/>
      <c r="J374" s="4"/>
      <c r="K374"/>
      <c r="O374" s="89" t="s">
        <v>1609</v>
      </c>
      <c r="AG374" s="86" t="s">
        <v>2284</v>
      </c>
    </row>
    <row r="375" spans="1:33" hidden="1">
      <c r="A375" s="106">
        <f t="shared" si="19"/>
        <v>211</v>
      </c>
      <c r="B375" s="86" t="s">
        <v>240</v>
      </c>
      <c r="C375" s="8">
        <v>11.58</v>
      </c>
      <c r="D375" s="1" t="s">
        <v>778</v>
      </c>
      <c r="E375"/>
      <c r="F375" s="108">
        <v>10</v>
      </c>
      <c r="G375" s="90" t="s">
        <v>2276</v>
      </c>
      <c r="H375" s="86" t="s">
        <v>3153</v>
      </c>
      <c r="I375"/>
      <c r="J375" s="4"/>
      <c r="K375"/>
      <c r="M375" s="91">
        <v>0.05</v>
      </c>
      <c r="N375" s="86" t="s">
        <v>878</v>
      </c>
      <c r="O375" s="86" t="s">
        <v>2029</v>
      </c>
      <c r="P375" s="91">
        <f>(C84)</f>
        <v>773</v>
      </c>
      <c r="Q375" s="86" t="s">
        <v>878</v>
      </c>
      <c r="R375" s="91">
        <f>(M375*P375)</f>
        <v>38.65</v>
      </c>
      <c r="AG375" s="86" t="s">
        <v>2284</v>
      </c>
    </row>
    <row r="376" spans="1:33" hidden="1">
      <c r="A376" s="106">
        <f t="shared" si="19"/>
        <v>212</v>
      </c>
      <c r="B376" s="86" t="s">
        <v>241</v>
      </c>
      <c r="C376" s="8">
        <v>14.15</v>
      </c>
      <c r="D376" s="1" t="s">
        <v>778</v>
      </c>
      <c r="E376"/>
      <c r="H376" s="91" t="str">
        <f>H308</f>
        <v>Bricks of size 22x11x7 cm</v>
      </c>
      <c r="I376"/>
      <c r="J376" s="4"/>
      <c r="K376"/>
      <c r="M376" s="91">
        <v>1.1000000000000001</v>
      </c>
      <c r="N376" s="86" t="s">
        <v>877</v>
      </c>
      <c r="O376" s="86" t="s">
        <v>1737</v>
      </c>
      <c r="P376" s="91">
        <f>(C11)</f>
        <v>135</v>
      </c>
      <c r="Q376" s="86" t="s">
        <v>877</v>
      </c>
      <c r="R376" s="91">
        <f>(M376*P376)</f>
        <v>148.5</v>
      </c>
      <c r="AG376" s="86" t="s">
        <v>2284</v>
      </c>
    </row>
    <row r="377" spans="1:33" hidden="1">
      <c r="A377" s="106">
        <f t="shared" si="19"/>
        <v>213</v>
      </c>
      <c r="B377" s="86" t="s">
        <v>1860</v>
      </c>
      <c r="C377"/>
      <c r="D377"/>
      <c r="E377"/>
      <c r="H377" s="89" t="s">
        <v>1609</v>
      </c>
      <c r="I377"/>
      <c r="J377" s="4"/>
      <c r="K377"/>
      <c r="M377" s="91">
        <v>0.3</v>
      </c>
      <c r="N377" s="86" t="s">
        <v>877</v>
      </c>
      <c r="O377" s="86" t="s">
        <v>1927</v>
      </c>
      <c r="P377" s="91">
        <f>(C12)</f>
        <v>95</v>
      </c>
      <c r="Q377" s="86" t="s">
        <v>877</v>
      </c>
      <c r="R377" s="91">
        <f>(M377*P377)</f>
        <v>28.5</v>
      </c>
      <c r="AG377" s="86" t="s">
        <v>2284</v>
      </c>
    </row>
    <row r="378" spans="1:33" hidden="1">
      <c r="A378" s="106">
        <f t="shared" si="19"/>
        <v>214</v>
      </c>
      <c r="B378" s="86" t="s">
        <v>239</v>
      </c>
      <c r="C378" s="8">
        <v>4.29</v>
      </c>
      <c r="D378" s="1" t="s">
        <v>778</v>
      </c>
      <c r="E378"/>
      <c r="F378" s="91">
        <f>F310</f>
        <v>4800</v>
      </c>
      <c r="G378" s="90" t="s">
        <v>1445</v>
      </c>
      <c r="H378" s="91" t="str">
        <f>H308</f>
        <v>Bricks of size 22x11x7 cm</v>
      </c>
      <c r="I378" s="8" t="e">
        <f>(C80)</f>
        <v>#REF!</v>
      </c>
      <c r="J378" s="2" t="s">
        <v>1617</v>
      </c>
      <c r="K378" s="8" t="e">
        <f>(F378*I378)/1000</f>
        <v>#REF!</v>
      </c>
      <c r="M378" s="91">
        <v>1.9</v>
      </c>
      <c r="N378" s="86" t="s">
        <v>877</v>
      </c>
      <c r="O378" s="86" t="s">
        <v>321</v>
      </c>
      <c r="P378" s="91">
        <f>(C13)</f>
        <v>85</v>
      </c>
      <c r="Q378" s="86" t="s">
        <v>877</v>
      </c>
      <c r="R378" s="91">
        <f>(M378*P378)</f>
        <v>161.5</v>
      </c>
      <c r="AG378" s="86" t="s">
        <v>2284</v>
      </c>
    </row>
    <row r="379" spans="1:33" hidden="1">
      <c r="A379" s="106">
        <f t="shared" si="19"/>
        <v>215</v>
      </c>
      <c r="B379" s="86" t="s">
        <v>240</v>
      </c>
      <c r="C379" s="8">
        <v>6.01</v>
      </c>
      <c r="D379" s="1" t="s">
        <v>778</v>
      </c>
      <c r="E379"/>
      <c r="F379" s="91">
        <v>1.59</v>
      </c>
      <c r="G379" s="90" t="s">
        <v>878</v>
      </c>
      <c r="H379" s="86" t="s">
        <v>1327</v>
      </c>
      <c r="I379" s="8" t="e">
        <f>(K40)</f>
        <v>#REF!</v>
      </c>
      <c r="J379" s="2" t="s">
        <v>878</v>
      </c>
      <c r="K379" s="8" t="e">
        <f>(F379*I379)</f>
        <v>#REF!</v>
      </c>
      <c r="N379" s="86" t="s">
        <v>450</v>
      </c>
      <c r="O379" s="86" t="s">
        <v>1861</v>
      </c>
      <c r="P379" s="86" t="s">
        <v>987</v>
      </c>
      <c r="Q379" s="86" t="s">
        <v>450</v>
      </c>
      <c r="R379" s="91">
        <v>1.46</v>
      </c>
      <c r="AG379" s="86" t="s">
        <v>2284</v>
      </c>
    </row>
    <row r="380" spans="1:33" hidden="1">
      <c r="A380" s="106">
        <f t="shared" si="19"/>
        <v>216</v>
      </c>
      <c r="B380" s="86" t="s">
        <v>241</v>
      </c>
      <c r="C380" s="8">
        <v>6.86</v>
      </c>
      <c r="D380" s="1" t="s">
        <v>778</v>
      </c>
      <c r="E380"/>
      <c r="F380" s="91">
        <v>7</v>
      </c>
      <c r="G380" s="90" t="s">
        <v>877</v>
      </c>
      <c r="H380" s="86" t="s">
        <v>2034</v>
      </c>
      <c r="I380" s="8">
        <f>(C10)</f>
        <v>150</v>
      </c>
      <c r="J380" s="2" t="s">
        <v>877</v>
      </c>
      <c r="K380" s="8">
        <f>(F380*I380)</f>
        <v>1050</v>
      </c>
      <c r="R380" s="89" t="s">
        <v>1609</v>
      </c>
      <c r="AG380" s="86" t="s">
        <v>2284</v>
      </c>
    </row>
    <row r="381" spans="1:33" hidden="1">
      <c r="A381" s="106">
        <f t="shared" si="19"/>
        <v>217</v>
      </c>
      <c r="B381" s="86" t="s">
        <v>1862</v>
      </c>
      <c r="C381"/>
      <c r="D381" s="1" t="s">
        <v>987</v>
      </c>
      <c r="E381"/>
      <c r="F381" s="91">
        <v>7.1</v>
      </c>
      <c r="G381" s="90" t="s">
        <v>877</v>
      </c>
      <c r="H381" s="86" t="s">
        <v>1737</v>
      </c>
      <c r="I381" s="8">
        <f>(C11)</f>
        <v>135</v>
      </c>
      <c r="J381" s="2" t="s">
        <v>877</v>
      </c>
      <c r="K381" s="8">
        <f>(F381*I381)</f>
        <v>958.5</v>
      </c>
      <c r="O381" s="86" t="s">
        <v>1863</v>
      </c>
      <c r="R381" s="91">
        <f>SUM(R374:R379)</f>
        <v>378.61</v>
      </c>
      <c r="AG381" s="86" t="s">
        <v>2284</v>
      </c>
    </row>
    <row r="382" spans="1:33" hidden="1">
      <c r="A382" s="106">
        <f t="shared" si="19"/>
        <v>218</v>
      </c>
      <c r="B382" s="86" t="s">
        <v>239</v>
      </c>
      <c r="C382" s="8">
        <v>14.91</v>
      </c>
      <c r="D382" s="1" t="s">
        <v>778</v>
      </c>
      <c r="E382"/>
      <c r="F382" s="91">
        <v>7.1</v>
      </c>
      <c r="G382" s="90" t="s">
        <v>877</v>
      </c>
      <c r="H382" s="86" t="s">
        <v>1927</v>
      </c>
      <c r="I382" s="8">
        <f>(C12)</f>
        <v>95</v>
      </c>
      <c r="J382" s="2" t="s">
        <v>877</v>
      </c>
      <c r="K382" s="8">
        <f>(F382*I382)</f>
        <v>674.5</v>
      </c>
      <c r="R382" s="89" t="s">
        <v>1609</v>
      </c>
      <c r="AG382" s="86" t="s">
        <v>2284</v>
      </c>
    </row>
    <row r="383" spans="1:33" hidden="1">
      <c r="A383" s="106">
        <f t="shared" si="19"/>
        <v>219</v>
      </c>
      <c r="B383" s="86" t="s">
        <v>240</v>
      </c>
      <c r="C383" s="8">
        <v>17.579999999999998</v>
      </c>
      <c r="D383" s="1" t="s">
        <v>778</v>
      </c>
      <c r="E383"/>
      <c r="F383" s="91">
        <v>21.2</v>
      </c>
      <c r="G383" s="90" t="s">
        <v>877</v>
      </c>
      <c r="H383" s="86" t="s">
        <v>321</v>
      </c>
      <c r="I383" s="8">
        <f>(C13)</f>
        <v>85</v>
      </c>
      <c r="J383" s="2" t="s">
        <v>877</v>
      </c>
      <c r="K383" s="8">
        <f>(F383*I383)</f>
        <v>1802</v>
      </c>
      <c r="O383" s="86" t="s">
        <v>556</v>
      </c>
      <c r="R383" s="91">
        <f>(R381/100)</f>
        <v>3.79</v>
      </c>
      <c r="AG383" s="86" t="s">
        <v>2284</v>
      </c>
    </row>
    <row r="384" spans="1:33" hidden="1">
      <c r="A384" s="106">
        <f t="shared" si="19"/>
        <v>220</v>
      </c>
      <c r="B384" s="86" t="s">
        <v>241</v>
      </c>
      <c r="C384" s="8">
        <v>19.3</v>
      </c>
      <c r="D384" s="1" t="s">
        <v>778</v>
      </c>
      <c r="E384"/>
      <c r="G384" s="90" t="s">
        <v>450</v>
      </c>
      <c r="H384" s="86" t="s">
        <v>451</v>
      </c>
      <c r="I384" s="1" t="s">
        <v>987</v>
      </c>
      <c r="J384" s="2" t="s">
        <v>450</v>
      </c>
      <c r="K384" s="8">
        <v>0</v>
      </c>
      <c r="R384" s="89" t="s">
        <v>2080</v>
      </c>
      <c r="AG384" s="86" t="s">
        <v>2284</v>
      </c>
    </row>
    <row r="385" spans="1:33" hidden="1">
      <c r="A385" s="106">
        <f t="shared" si="19"/>
        <v>221</v>
      </c>
      <c r="B385" s="86" t="s">
        <v>1131</v>
      </c>
      <c r="C385"/>
      <c r="D385"/>
      <c r="E385"/>
      <c r="I385"/>
      <c r="J385" s="4"/>
      <c r="K385" s="5" t="s">
        <v>1609</v>
      </c>
      <c r="AG385" s="86" t="s">
        <v>322</v>
      </c>
    </row>
    <row r="386" spans="1:33" hidden="1">
      <c r="A386" s="106">
        <f t="shared" si="19"/>
        <v>222</v>
      </c>
      <c r="B386" s="86" t="s">
        <v>239</v>
      </c>
      <c r="C386" s="8">
        <v>15.87</v>
      </c>
      <c r="D386" s="1" t="s">
        <v>778</v>
      </c>
      <c r="E386"/>
      <c r="H386" s="86" t="s">
        <v>620</v>
      </c>
      <c r="I386"/>
      <c r="J386" s="4"/>
      <c r="K386" s="8" t="e">
        <f>SUM(K378:K384)</f>
        <v>#REF!</v>
      </c>
    </row>
    <row r="387" spans="1:33" hidden="1">
      <c r="A387" s="106">
        <f t="shared" si="19"/>
        <v>223</v>
      </c>
      <c r="B387" s="86" t="s">
        <v>240</v>
      </c>
      <c r="C387" s="8">
        <v>20.16</v>
      </c>
      <c r="D387" s="1" t="s">
        <v>778</v>
      </c>
      <c r="E387"/>
      <c r="I387"/>
      <c r="J387" s="4"/>
      <c r="K387" s="5" t="s">
        <v>1609</v>
      </c>
      <c r="N387" s="86" t="s">
        <v>681</v>
      </c>
      <c r="O387" s="86" t="s">
        <v>1132</v>
      </c>
    </row>
    <row r="388" spans="1:33" hidden="1">
      <c r="A388" s="106">
        <f t="shared" si="19"/>
        <v>224</v>
      </c>
      <c r="B388" s="86" t="s">
        <v>241</v>
      </c>
      <c r="C388" s="8">
        <v>22.31</v>
      </c>
      <c r="D388" s="1" t="s">
        <v>778</v>
      </c>
      <c r="E388"/>
      <c r="H388" s="86" t="s">
        <v>782</v>
      </c>
      <c r="I388"/>
      <c r="J388" s="4"/>
      <c r="K388" s="8" t="e">
        <f>(K386/10)</f>
        <v>#REF!</v>
      </c>
      <c r="O388" s="89" t="s">
        <v>1609</v>
      </c>
      <c r="AG388" s="86" t="s">
        <v>2284</v>
      </c>
    </row>
    <row r="389" spans="1:33" hidden="1">
      <c r="A389" s="106">
        <f t="shared" si="19"/>
        <v>225</v>
      </c>
      <c r="B389" s="86" t="s">
        <v>3154</v>
      </c>
      <c r="C389"/>
      <c r="D389" s="1" t="s">
        <v>987</v>
      </c>
      <c r="E389"/>
      <c r="I389"/>
      <c r="J389" s="4"/>
      <c r="K389" s="5" t="s">
        <v>2080</v>
      </c>
      <c r="M389" s="91">
        <v>7.0000000000000007E-2</v>
      </c>
      <c r="N389" s="86" t="s">
        <v>878</v>
      </c>
      <c r="O389" s="86" t="s">
        <v>2029</v>
      </c>
      <c r="P389" s="91">
        <f>(C84)</f>
        <v>773</v>
      </c>
      <c r="Q389" s="86" t="s">
        <v>878</v>
      </c>
      <c r="R389" s="91">
        <f>(M389*P389)</f>
        <v>54.11</v>
      </c>
      <c r="AG389" s="86" t="s">
        <v>2284</v>
      </c>
    </row>
    <row r="390" spans="1:33" hidden="1">
      <c r="A390" s="106">
        <f t="shared" si="19"/>
        <v>226</v>
      </c>
      <c r="B390" s="86" t="s">
        <v>1133</v>
      </c>
      <c r="C390" s="8">
        <v>26.4</v>
      </c>
      <c r="D390" s="1" t="s">
        <v>1796</v>
      </c>
      <c r="E390"/>
      <c r="I390"/>
      <c r="J390" s="4"/>
      <c r="K390"/>
      <c r="M390" s="91">
        <v>1.6</v>
      </c>
      <c r="N390" s="86" t="s">
        <v>877</v>
      </c>
      <c r="O390" s="86" t="s">
        <v>1737</v>
      </c>
      <c r="P390" s="91">
        <f>(C11)</f>
        <v>135</v>
      </c>
      <c r="Q390" s="86" t="s">
        <v>877</v>
      </c>
      <c r="R390" s="91">
        <f>(M390*P390)</f>
        <v>216</v>
      </c>
      <c r="AG390" s="86" t="s">
        <v>2284</v>
      </c>
    </row>
    <row r="391" spans="1:33" hidden="1">
      <c r="A391" s="106">
        <f t="shared" si="19"/>
        <v>227</v>
      </c>
      <c r="B391" s="86" t="s">
        <v>1134</v>
      </c>
      <c r="C391" s="8">
        <v>35.26</v>
      </c>
      <c r="D391" s="1" t="s">
        <v>1796</v>
      </c>
      <c r="E391"/>
      <c r="G391" s="90" t="s">
        <v>681</v>
      </c>
      <c r="H391" s="86" t="s">
        <v>2964</v>
      </c>
      <c r="I391"/>
      <c r="J391" s="4"/>
      <c r="K391"/>
      <c r="M391" s="91">
        <v>0.5</v>
      </c>
      <c r="N391" s="86" t="s">
        <v>877</v>
      </c>
      <c r="O391" s="86" t="s">
        <v>1927</v>
      </c>
      <c r="P391" s="91">
        <f>(C12)</f>
        <v>95</v>
      </c>
      <c r="Q391" s="86" t="s">
        <v>877</v>
      </c>
      <c r="R391" s="91">
        <f>(M391*P391)</f>
        <v>47.5</v>
      </c>
      <c r="AG391" s="86" t="s">
        <v>2284</v>
      </c>
    </row>
    <row r="392" spans="1:33" hidden="1">
      <c r="A392" s="106">
        <f t="shared" si="19"/>
        <v>228</v>
      </c>
      <c r="B392" s="86" t="s">
        <v>1135</v>
      </c>
      <c r="C392" s="8">
        <v>48.71</v>
      </c>
      <c r="D392" s="1" t="s">
        <v>1796</v>
      </c>
      <c r="E392"/>
      <c r="H392" s="89" t="s">
        <v>1609</v>
      </c>
      <c r="I392"/>
      <c r="J392" s="4"/>
      <c r="K392"/>
      <c r="M392" s="91">
        <v>2.7</v>
      </c>
      <c r="N392" s="86" t="s">
        <v>877</v>
      </c>
      <c r="O392" s="86" t="s">
        <v>321</v>
      </c>
      <c r="P392" s="91">
        <f>(C13)</f>
        <v>85</v>
      </c>
      <c r="Q392" s="86" t="s">
        <v>877</v>
      </c>
      <c r="R392" s="91">
        <f>(M392*P392)</f>
        <v>229.5</v>
      </c>
      <c r="AG392" s="86" t="s">
        <v>2284</v>
      </c>
    </row>
    <row r="393" spans="1:33" hidden="1">
      <c r="A393" s="106">
        <f t="shared" si="19"/>
        <v>229</v>
      </c>
      <c r="B393" s="86" t="s">
        <v>1136</v>
      </c>
      <c r="C393" s="8">
        <v>58.75</v>
      </c>
      <c r="D393" s="1" t="s">
        <v>1796</v>
      </c>
      <c r="E393"/>
      <c r="F393" s="91">
        <v>1.1000000000000001</v>
      </c>
      <c r="G393" s="90" t="s">
        <v>878</v>
      </c>
      <c r="H393" s="86" t="s">
        <v>1137</v>
      </c>
      <c r="I393" s="8" t="e">
        <f>(K388)</f>
        <v>#REF!</v>
      </c>
      <c r="J393" s="2" t="s">
        <v>877</v>
      </c>
      <c r="K393" s="8" t="e">
        <f>(F393*I393)</f>
        <v>#REF!</v>
      </c>
      <c r="N393" s="86" t="s">
        <v>450</v>
      </c>
      <c r="O393" s="86" t="s">
        <v>1861</v>
      </c>
      <c r="P393" s="86" t="s">
        <v>987</v>
      </c>
      <c r="Q393" s="86" t="s">
        <v>450</v>
      </c>
      <c r="R393" s="91">
        <v>2.09</v>
      </c>
      <c r="AG393" s="86" t="s">
        <v>2284</v>
      </c>
    </row>
    <row r="394" spans="1:33" hidden="1">
      <c r="A394" s="106">
        <f t="shared" si="19"/>
        <v>230</v>
      </c>
      <c r="B394" s="86" t="s">
        <v>1138</v>
      </c>
      <c r="C394" s="8">
        <v>70.2</v>
      </c>
      <c r="D394" s="1" t="s">
        <v>1796</v>
      </c>
      <c r="E394"/>
      <c r="F394" s="91">
        <v>1</v>
      </c>
      <c r="G394" s="90" t="s">
        <v>778</v>
      </c>
      <c r="H394" s="86" t="s">
        <v>2034</v>
      </c>
      <c r="I394" s="8">
        <f>(C10)</f>
        <v>150</v>
      </c>
      <c r="J394" s="2" t="s">
        <v>877</v>
      </c>
      <c r="K394" s="8">
        <f>(F394*I394)</f>
        <v>150</v>
      </c>
      <c r="R394" s="89" t="s">
        <v>1609</v>
      </c>
      <c r="AG394" s="86" t="s">
        <v>2284</v>
      </c>
    </row>
    <row r="395" spans="1:33" hidden="1">
      <c r="A395" s="106">
        <f t="shared" si="19"/>
        <v>231</v>
      </c>
      <c r="B395" s="86" t="s">
        <v>239</v>
      </c>
      <c r="C395" s="8">
        <v>91.85</v>
      </c>
      <c r="D395" s="1" t="s">
        <v>1796</v>
      </c>
      <c r="E395"/>
      <c r="G395" s="90" t="s">
        <v>450</v>
      </c>
      <c r="H395" s="86" t="s">
        <v>451</v>
      </c>
      <c r="I395" s="1" t="s">
        <v>987</v>
      </c>
      <c r="J395" s="2" t="s">
        <v>450</v>
      </c>
      <c r="K395" s="8">
        <v>0</v>
      </c>
      <c r="O395" s="86" t="s">
        <v>1863</v>
      </c>
      <c r="R395" s="91">
        <f>SUM(R388:R393)</f>
        <v>549.20000000000005</v>
      </c>
      <c r="AG395" s="86" t="s">
        <v>2284</v>
      </c>
    </row>
    <row r="396" spans="1:33" hidden="1">
      <c r="A396" s="106">
        <f t="shared" ref="A396:A420" si="20">(A395+1)</f>
        <v>232</v>
      </c>
      <c r="B396" s="86" t="s">
        <v>1139</v>
      </c>
      <c r="C396" s="8">
        <v>128</v>
      </c>
      <c r="D396" s="1" t="s">
        <v>1796</v>
      </c>
      <c r="E396"/>
      <c r="I396"/>
      <c r="J396" s="4"/>
      <c r="K396" s="5" t="s">
        <v>1609</v>
      </c>
      <c r="R396" s="89" t="s">
        <v>1609</v>
      </c>
      <c r="AG396" s="86" t="s">
        <v>2284</v>
      </c>
    </row>
    <row r="397" spans="1:33" hidden="1">
      <c r="A397" s="106">
        <f t="shared" si="20"/>
        <v>233</v>
      </c>
      <c r="B397" s="86" t="s">
        <v>2095</v>
      </c>
      <c r="C397"/>
      <c r="D397"/>
      <c r="E397"/>
      <c r="H397" s="86" t="s">
        <v>442</v>
      </c>
      <c r="I397"/>
      <c r="J397" s="4"/>
      <c r="K397" s="8" t="e">
        <f>SUM(K393:K395)</f>
        <v>#REF!</v>
      </c>
      <c r="O397" s="86" t="s">
        <v>556</v>
      </c>
      <c r="R397" s="91">
        <f>(R395/100)</f>
        <v>5.49</v>
      </c>
      <c r="AG397" s="86" t="s">
        <v>2284</v>
      </c>
    </row>
    <row r="398" spans="1:33" hidden="1">
      <c r="A398" s="106">
        <f t="shared" si="20"/>
        <v>234</v>
      </c>
      <c r="B398" s="86" t="s">
        <v>1133</v>
      </c>
      <c r="C398" s="8">
        <v>9</v>
      </c>
      <c r="D398" s="1" t="s">
        <v>877</v>
      </c>
      <c r="E398"/>
      <c r="I398"/>
      <c r="J398" s="4"/>
      <c r="K398" s="5" t="s">
        <v>1609</v>
      </c>
      <c r="R398" s="89" t="s">
        <v>2080</v>
      </c>
      <c r="AG398" s="86" t="s">
        <v>2284</v>
      </c>
    </row>
    <row r="399" spans="1:33" hidden="1">
      <c r="A399" s="106">
        <f t="shared" si="20"/>
        <v>235</v>
      </c>
      <c r="B399" s="86" t="s">
        <v>1134</v>
      </c>
      <c r="C399" s="8">
        <v>11</v>
      </c>
      <c r="D399" s="1" t="s">
        <v>877</v>
      </c>
      <c r="E399"/>
      <c r="H399" s="86" t="s">
        <v>556</v>
      </c>
      <c r="I399"/>
      <c r="J399" s="4"/>
      <c r="K399" s="8" t="e">
        <f>(K397/10)</f>
        <v>#REF!</v>
      </c>
      <c r="N399" s="86" t="s">
        <v>681</v>
      </c>
      <c r="O399" s="86" t="s">
        <v>349</v>
      </c>
      <c r="AG399" s="86" t="s">
        <v>2284</v>
      </c>
    </row>
    <row r="400" spans="1:33" hidden="1">
      <c r="A400" s="106">
        <f t="shared" si="20"/>
        <v>236</v>
      </c>
      <c r="B400" s="86" t="s">
        <v>1135</v>
      </c>
      <c r="C400" s="8">
        <v>18</v>
      </c>
      <c r="D400" s="1" t="s">
        <v>877</v>
      </c>
      <c r="E400"/>
      <c r="I400"/>
      <c r="J400" s="4"/>
      <c r="K400" s="5" t="s">
        <v>2080</v>
      </c>
      <c r="O400" s="89" t="s">
        <v>1609</v>
      </c>
      <c r="AG400" s="86" t="s">
        <v>2284</v>
      </c>
    </row>
    <row r="401" spans="1:33" hidden="1">
      <c r="A401" s="106">
        <f t="shared" si="20"/>
        <v>237</v>
      </c>
      <c r="B401" s="86" t="s">
        <v>1136</v>
      </c>
      <c r="C401" s="8">
        <v>24.6</v>
      </c>
      <c r="D401" s="1" t="s">
        <v>877</v>
      </c>
      <c r="E401"/>
      <c r="H401" s="86" t="s">
        <v>386</v>
      </c>
      <c r="I401"/>
      <c r="J401" s="4"/>
      <c r="K401" s="8" t="e">
        <f>(K399+C19/10*F393)</f>
        <v>#REF!</v>
      </c>
      <c r="M401" s="91">
        <v>10</v>
      </c>
      <c r="N401" s="86" t="s">
        <v>615</v>
      </c>
      <c r="O401" s="86" t="s">
        <v>1132</v>
      </c>
      <c r="P401" s="91">
        <f>(R397)</f>
        <v>5.49</v>
      </c>
      <c r="Q401" s="86" t="s">
        <v>615</v>
      </c>
      <c r="R401" s="91">
        <f>(M401*P401)</f>
        <v>54.9</v>
      </c>
      <c r="AG401" s="86" t="s">
        <v>2284</v>
      </c>
    </row>
    <row r="402" spans="1:33" hidden="1">
      <c r="A402" s="106">
        <f t="shared" si="20"/>
        <v>238</v>
      </c>
      <c r="B402" s="86" t="s">
        <v>1138</v>
      </c>
      <c r="C402" s="8">
        <v>31.46</v>
      </c>
      <c r="D402" s="1" t="s">
        <v>877</v>
      </c>
      <c r="E402"/>
      <c r="H402" s="86" t="s">
        <v>388</v>
      </c>
      <c r="I402"/>
      <c r="J402" s="4"/>
      <c r="K402" s="8" t="e">
        <f>(K401+C20/10*F393)</f>
        <v>#REF!</v>
      </c>
      <c r="M402" s="91">
        <v>10</v>
      </c>
      <c r="N402" s="86" t="s">
        <v>615</v>
      </c>
      <c r="O402" s="86" t="s">
        <v>1551</v>
      </c>
      <c r="P402" s="91">
        <f>(R397/2)</f>
        <v>2.75</v>
      </c>
      <c r="Q402" s="86" t="s">
        <v>615</v>
      </c>
      <c r="R402" s="91">
        <f>(M402*P402)</f>
        <v>27.5</v>
      </c>
      <c r="AG402" s="86" t="s">
        <v>2284</v>
      </c>
    </row>
    <row r="403" spans="1:33" hidden="1">
      <c r="A403" s="106">
        <f t="shared" si="20"/>
        <v>239</v>
      </c>
      <c r="B403" s="86" t="s">
        <v>239</v>
      </c>
      <c r="C403" s="8">
        <v>53.2</v>
      </c>
      <c r="D403" s="1" t="s">
        <v>877</v>
      </c>
      <c r="E403"/>
      <c r="H403" s="86" t="s">
        <v>2257</v>
      </c>
      <c r="I403"/>
      <c r="J403" s="4"/>
      <c r="K403" s="8" t="e">
        <f>(K402+C21/10*F393)</f>
        <v>#REF!</v>
      </c>
      <c r="O403" s="86" t="s">
        <v>1552</v>
      </c>
      <c r="R403" s="89" t="s">
        <v>1609</v>
      </c>
      <c r="AG403" s="86" t="s">
        <v>2284</v>
      </c>
    </row>
    <row r="404" spans="1:33" hidden="1">
      <c r="A404" s="106">
        <f t="shared" si="20"/>
        <v>240</v>
      </c>
      <c r="B404" s="86" t="s">
        <v>1139</v>
      </c>
      <c r="C404" s="8">
        <v>76.36</v>
      </c>
      <c r="D404" s="1" t="s">
        <v>877</v>
      </c>
      <c r="E404"/>
      <c r="H404" s="86" t="s">
        <v>380</v>
      </c>
      <c r="I404"/>
      <c r="J404" s="4"/>
      <c r="K404" s="8" t="e">
        <f>(K403+C21/10*F393)</f>
        <v>#REF!</v>
      </c>
      <c r="R404" s="91">
        <f>SUM(R401:R402)</f>
        <v>82.4</v>
      </c>
      <c r="AG404" s="86" t="s">
        <v>2284</v>
      </c>
    </row>
    <row r="405" spans="1:33" hidden="1">
      <c r="A405" s="106">
        <f t="shared" si="20"/>
        <v>241</v>
      </c>
      <c r="B405" s="86" t="s">
        <v>1553</v>
      </c>
      <c r="C405"/>
      <c r="D405" s="1" t="s">
        <v>987</v>
      </c>
      <c r="E405"/>
      <c r="H405" s="86" t="s">
        <v>1554</v>
      </c>
      <c r="I405"/>
      <c r="J405" s="4"/>
      <c r="K405" s="8" t="e">
        <f>(K404+C21/10*F393)</f>
        <v>#REF!</v>
      </c>
      <c r="O405" s="86" t="s">
        <v>442</v>
      </c>
      <c r="R405" s="89" t="s">
        <v>1609</v>
      </c>
      <c r="AG405" s="86" t="s">
        <v>2284</v>
      </c>
    </row>
    <row r="406" spans="1:33" hidden="1">
      <c r="A406" s="106">
        <f t="shared" si="20"/>
        <v>242</v>
      </c>
      <c r="B406" s="86" t="s">
        <v>1133</v>
      </c>
      <c r="C406" s="8">
        <v>5.5</v>
      </c>
      <c r="D406" s="1" t="s">
        <v>877</v>
      </c>
      <c r="E406"/>
      <c r="F406" s="108">
        <v>11</v>
      </c>
      <c r="G406" s="90" t="s">
        <v>2276</v>
      </c>
      <c r="H406" s="86" t="s">
        <v>3153</v>
      </c>
      <c r="I406"/>
      <c r="J406" s="4"/>
      <c r="K406"/>
      <c r="R406" s="91">
        <f>(R404/10)</f>
        <v>8.24</v>
      </c>
      <c r="AG406" s="86" t="s">
        <v>2284</v>
      </c>
    </row>
    <row r="407" spans="1:33" hidden="1">
      <c r="A407" s="106">
        <f t="shared" si="20"/>
        <v>243</v>
      </c>
      <c r="B407" s="86" t="s">
        <v>1134</v>
      </c>
      <c r="C407" s="8">
        <v>8</v>
      </c>
      <c r="D407" s="1" t="s">
        <v>877</v>
      </c>
      <c r="E407"/>
      <c r="H407" s="91" t="str">
        <f>H308</f>
        <v>Bricks of size 22x11x7 cm</v>
      </c>
      <c r="I407"/>
      <c r="J407" s="4"/>
      <c r="K407"/>
      <c r="O407" s="86" t="s">
        <v>556</v>
      </c>
      <c r="R407" s="89" t="s">
        <v>2080</v>
      </c>
      <c r="AG407" s="86" t="s">
        <v>2284</v>
      </c>
    </row>
    <row r="408" spans="1:33" hidden="1">
      <c r="A408" s="106">
        <f t="shared" si="20"/>
        <v>244</v>
      </c>
      <c r="B408" s="86" t="s">
        <v>1135</v>
      </c>
      <c r="C408" s="8">
        <v>10.4</v>
      </c>
      <c r="D408" s="1" t="s">
        <v>877</v>
      </c>
      <c r="E408"/>
      <c r="H408" s="89" t="s">
        <v>1609</v>
      </c>
      <c r="I408"/>
      <c r="J408" s="4"/>
      <c r="K408"/>
      <c r="AG408" s="86" t="s">
        <v>2284</v>
      </c>
    </row>
    <row r="409" spans="1:33" hidden="1">
      <c r="A409" s="106">
        <f t="shared" si="20"/>
        <v>245</v>
      </c>
      <c r="B409" s="86" t="s">
        <v>1136</v>
      </c>
      <c r="C409" s="8">
        <v>22.06</v>
      </c>
      <c r="D409" s="1" t="s">
        <v>877</v>
      </c>
      <c r="E409"/>
      <c r="F409" s="91">
        <f>F310</f>
        <v>4800</v>
      </c>
      <c r="G409" s="90" t="s">
        <v>1445</v>
      </c>
      <c r="H409" s="91" t="str">
        <f>H308</f>
        <v>Bricks of size 22x11x7 cm</v>
      </c>
      <c r="I409" s="8" t="e">
        <f>(C80)</f>
        <v>#REF!</v>
      </c>
      <c r="J409" s="2" t="s">
        <v>1555</v>
      </c>
      <c r="K409" s="8" t="e">
        <f>(F409*I409)/1000</f>
        <v>#REF!</v>
      </c>
      <c r="N409" s="86" t="s">
        <v>2276</v>
      </c>
      <c r="O409" s="86" t="s">
        <v>1556</v>
      </c>
      <c r="AG409" s="86" t="s">
        <v>2284</v>
      </c>
    </row>
    <row r="410" spans="1:33" hidden="1">
      <c r="A410" s="106">
        <f t="shared" si="20"/>
        <v>246</v>
      </c>
      <c r="B410" s="86" t="s">
        <v>1138</v>
      </c>
      <c r="C410" s="8">
        <v>27.91</v>
      </c>
      <c r="D410" s="1" t="s">
        <v>877</v>
      </c>
      <c r="E410"/>
      <c r="F410" s="91">
        <v>1.59</v>
      </c>
      <c r="G410" s="90" t="s">
        <v>878</v>
      </c>
      <c r="H410" s="86" t="s">
        <v>1327</v>
      </c>
      <c r="I410" s="8" t="e">
        <f>(K40)</f>
        <v>#REF!</v>
      </c>
      <c r="J410" s="2" t="s">
        <v>878</v>
      </c>
      <c r="K410" s="8" t="e">
        <f>(F410*I410)</f>
        <v>#REF!</v>
      </c>
      <c r="O410" s="86" t="s">
        <v>1557</v>
      </c>
      <c r="AG410" s="86" t="s">
        <v>2284</v>
      </c>
    </row>
    <row r="411" spans="1:33" hidden="1">
      <c r="A411" s="106">
        <f t="shared" si="20"/>
        <v>247</v>
      </c>
      <c r="B411" s="86" t="s">
        <v>239</v>
      </c>
      <c r="C411" s="8">
        <v>49.42</v>
      </c>
      <c r="D411" s="1" t="s">
        <v>877</v>
      </c>
      <c r="E411"/>
      <c r="F411" s="91">
        <v>7</v>
      </c>
      <c r="G411" s="90" t="s">
        <v>877</v>
      </c>
      <c r="H411" s="86" t="s">
        <v>2034</v>
      </c>
      <c r="I411" s="8">
        <f>(C10)</f>
        <v>150</v>
      </c>
      <c r="J411" s="2" t="s">
        <v>877</v>
      </c>
      <c r="K411" s="8">
        <f>(F411*I411)</f>
        <v>1050</v>
      </c>
      <c r="O411" s="89" t="s">
        <v>1609</v>
      </c>
      <c r="AG411" s="86" t="s">
        <v>2284</v>
      </c>
    </row>
    <row r="412" spans="1:33" hidden="1">
      <c r="A412" s="106">
        <f t="shared" si="20"/>
        <v>248</v>
      </c>
      <c r="B412" s="86" t="s">
        <v>1139</v>
      </c>
      <c r="C412" s="8">
        <v>86.94</v>
      </c>
      <c r="D412" s="1" t="s">
        <v>877</v>
      </c>
      <c r="E412"/>
      <c r="F412" s="91">
        <v>7.1</v>
      </c>
      <c r="G412" s="90" t="s">
        <v>877</v>
      </c>
      <c r="H412" s="86" t="s">
        <v>1737</v>
      </c>
      <c r="I412" s="8">
        <f>(C11)</f>
        <v>135</v>
      </c>
      <c r="J412" s="2" t="s">
        <v>877</v>
      </c>
      <c r="K412" s="8">
        <f>(F412*I412)</f>
        <v>958.5</v>
      </c>
      <c r="M412" s="91">
        <v>10</v>
      </c>
      <c r="N412" s="86" t="s">
        <v>615</v>
      </c>
      <c r="O412" s="86" t="s">
        <v>1859</v>
      </c>
      <c r="P412" s="91">
        <f>(R383)</f>
        <v>3.79</v>
      </c>
      <c r="Q412" s="86" t="s">
        <v>615</v>
      </c>
      <c r="R412" s="91">
        <f>(M412*P412)</f>
        <v>37.9</v>
      </c>
      <c r="AG412" s="86" t="s">
        <v>2284</v>
      </c>
    </row>
    <row r="413" spans="1:33" hidden="1">
      <c r="A413" s="106">
        <f t="shared" si="20"/>
        <v>249</v>
      </c>
      <c r="B413" s="86" t="s">
        <v>1558</v>
      </c>
      <c r="C413"/>
      <c r="D413" s="1" t="s">
        <v>987</v>
      </c>
      <c r="E413"/>
      <c r="F413" s="91">
        <v>7.1</v>
      </c>
      <c r="G413" s="90" t="s">
        <v>877</v>
      </c>
      <c r="H413" s="86" t="s">
        <v>1927</v>
      </c>
      <c r="I413" s="8">
        <f>(C12)</f>
        <v>95</v>
      </c>
      <c r="J413" s="2" t="s">
        <v>877</v>
      </c>
      <c r="K413" s="8">
        <f>(F413*I413)</f>
        <v>674.5</v>
      </c>
      <c r="M413" s="91">
        <v>10</v>
      </c>
      <c r="N413" s="86" t="s">
        <v>615</v>
      </c>
      <c r="O413" s="86" t="s">
        <v>349</v>
      </c>
      <c r="P413" s="91">
        <f>(R406)</f>
        <v>8.24</v>
      </c>
      <c r="Q413" s="86" t="s">
        <v>615</v>
      </c>
      <c r="R413" s="91">
        <f>(M413*P413)</f>
        <v>82.4</v>
      </c>
      <c r="AG413" s="86" t="s">
        <v>2284</v>
      </c>
    </row>
    <row r="414" spans="1:33" hidden="1">
      <c r="A414" s="106">
        <f t="shared" si="20"/>
        <v>250</v>
      </c>
      <c r="B414" s="86" t="s">
        <v>1133</v>
      </c>
      <c r="C414" s="8">
        <v>5.75</v>
      </c>
      <c r="D414" s="1" t="s">
        <v>877</v>
      </c>
      <c r="E414"/>
      <c r="F414" s="91">
        <v>21.2</v>
      </c>
      <c r="G414" s="90" t="s">
        <v>877</v>
      </c>
      <c r="H414" s="86" t="s">
        <v>321</v>
      </c>
      <c r="I414" s="8">
        <f>(C13)</f>
        <v>85</v>
      </c>
      <c r="J414" s="2" t="s">
        <v>877</v>
      </c>
      <c r="K414" s="8">
        <f>(F414*I414)</f>
        <v>1802</v>
      </c>
      <c r="O414" s="86" t="s">
        <v>987</v>
      </c>
      <c r="R414" s="89" t="s">
        <v>1609</v>
      </c>
      <c r="AG414" s="86" t="s">
        <v>2284</v>
      </c>
    </row>
    <row r="415" spans="1:33" hidden="1">
      <c r="A415" s="106">
        <f t="shared" si="20"/>
        <v>251</v>
      </c>
      <c r="B415" s="86" t="s">
        <v>1134</v>
      </c>
      <c r="C415" s="8">
        <v>8.5</v>
      </c>
      <c r="D415" s="1" t="s">
        <v>877</v>
      </c>
      <c r="E415"/>
      <c r="G415" s="90" t="s">
        <v>450</v>
      </c>
      <c r="H415" s="86" t="s">
        <v>451</v>
      </c>
      <c r="I415" s="1" t="s">
        <v>987</v>
      </c>
      <c r="J415" s="2" t="s">
        <v>450</v>
      </c>
      <c r="K415" s="8">
        <v>0</v>
      </c>
      <c r="R415" s="91">
        <f>SUM(R412:R413)</f>
        <v>120.3</v>
      </c>
      <c r="AG415" s="86" t="s">
        <v>2284</v>
      </c>
    </row>
    <row r="416" spans="1:33" hidden="1">
      <c r="A416" s="106">
        <f t="shared" si="20"/>
        <v>252</v>
      </c>
      <c r="B416" s="86" t="s">
        <v>1135</v>
      </c>
      <c r="C416" s="8">
        <v>14</v>
      </c>
      <c r="D416" s="1" t="s">
        <v>877</v>
      </c>
      <c r="E416"/>
      <c r="I416"/>
      <c r="J416" s="4"/>
      <c r="K416" s="5" t="s">
        <v>1609</v>
      </c>
      <c r="O416" s="86" t="s">
        <v>442</v>
      </c>
      <c r="R416" s="89" t="s">
        <v>1609</v>
      </c>
      <c r="AG416" s="86" t="s">
        <v>2284</v>
      </c>
    </row>
    <row r="417" spans="1:33" hidden="1">
      <c r="A417" s="106">
        <f t="shared" si="20"/>
        <v>253</v>
      </c>
      <c r="B417" s="86" t="s">
        <v>1136</v>
      </c>
      <c r="C417" s="8">
        <v>30.11</v>
      </c>
      <c r="D417" s="1" t="s">
        <v>877</v>
      </c>
      <c r="E417"/>
      <c r="H417" s="86" t="s">
        <v>620</v>
      </c>
      <c r="I417"/>
      <c r="J417" s="4"/>
      <c r="K417" s="8" t="e">
        <f>SUM(K409:K415)</f>
        <v>#REF!</v>
      </c>
      <c r="R417" s="91">
        <f>(R415/10)</f>
        <v>12.03</v>
      </c>
      <c r="AG417" s="86" t="s">
        <v>2284</v>
      </c>
    </row>
    <row r="418" spans="1:33" hidden="1">
      <c r="A418" s="106">
        <f t="shared" si="20"/>
        <v>254</v>
      </c>
      <c r="B418" s="86" t="s">
        <v>1138</v>
      </c>
      <c r="C418" s="8">
        <v>47.25</v>
      </c>
      <c r="D418" s="1" t="s">
        <v>877</v>
      </c>
      <c r="E418"/>
      <c r="I418"/>
      <c r="J418" s="4"/>
      <c r="K418" s="5" t="s">
        <v>1609</v>
      </c>
      <c r="O418" s="86" t="s">
        <v>556</v>
      </c>
      <c r="R418" s="89" t="s">
        <v>2080</v>
      </c>
      <c r="AG418" s="86" t="s">
        <v>2284</v>
      </c>
    </row>
    <row r="419" spans="1:33" hidden="1">
      <c r="A419" s="106">
        <f t="shared" si="20"/>
        <v>255</v>
      </c>
      <c r="B419" s="86" t="s">
        <v>239</v>
      </c>
      <c r="C419" s="8">
        <v>71.16</v>
      </c>
      <c r="D419" s="1" t="s">
        <v>877</v>
      </c>
      <c r="E419"/>
      <c r="H419" s="86" t="s">
        <v>782</v>
      </c>
      <c r="I419"/>
      <c r="J419" s="4"/>
      <c r="K419" s="8" t="e">
        <f>(K417/10)</f>
        <v>#REF!</v>
      </c>
      <c r="AG419" s="86" t="s">
        <v>2284</v>
      </c>
    </row>
    <row r="420" spans="1:33" hidden="1">
      <c r="A420" s="106">
        <f t="shared" si="20"/>
        <v>256</v>
      </c>
      <c r="B420" s="86" t="s">
        <v>1139</v>
      </c>
      <c r="C420" s="8">
        <v>125.84</v>
      </c>
      <c r="D420" s="1" t="s">
        <v>877</v>
      </c>
      <c r="E420"/>
      <c r="I420"/>
      <c r="J420" s="4"/>
      <c r="K420" s="5" t="s">
        <v>2080</v>
      </c>
      <c r="AG420" s="86" t="s">
        <v>2284</v>
      </c>
    </row>
    <row r="421" spans="1:33" hidden="1">
      <c r="C421"/>
      <c r="D421"/>
      <c r="E421"/>
      <c r="F421" s="86" t="s">
        <v>248</v>
      </c>
      <c r="I421"/>
      <c r="J421" s="4"/>
      <c r="K421"/>
    </row>
    <row r="422" spans="1:33" hidden="1">
      <c r="A422" s="106">
        <f>(A420+1)</f>
        <v>257</v>
      </c>
      <c r="B422" s="86" t="s">
        <v>1559</v>
      </c>
      <c r="C422"/>
      <c r="D422" s="1" t="s">
        <v>987</v>
      </c>
      <c r="E422"/>
      <c r="I422"/>
      <c r="J422" s="4"/>
      <c r="K422"/>
      <c r="O422" s="102" t="s">
        <v>1560</v>
      </c>
      <c r="AG422" s="86" t="s">
        <v>2284</v>
      </c>
    </row>
    <row r="423" spans="1:33" hidden="1">
      <c r="A423" s="106">
        <f t="shared" ref="A423:A436" si="21">(A422+1)</f>
        <v>258</v>
      </c>
      <c r="B423" s="86" t="s">
        <v>1133</v>
      </c>
      <c r="C423" s="8">
        <v>17</v>
      </c>
      <c r="D423" s="1" t="s">
        <v>877</v>
      </c>
      <c r="E423"/>
      <c r="G423" s="90" t="s">
        <v>1561</v>
      </c>
      <c r="H423" s="86" t="s">
        <v>431</v>
      </c>
      <c r="I423"/>
      <c r="J423" s="4"/>
      <c r="K423"/>
      <c r="O423" s="89" t="s">
        <v>1609</v>
      </c>
      <c r="AG423" s="86" t="s">
        <v>2284</v>
      </c>
    </row>
    <row r="424" spans="1:33" hidden="1">
      <c r="A424" s="106">
        <f t="shared" si="21"/>
        <v>259</v>
      </c>
      <c r="B424" s="86" t="s">
        <v>1134</v>
      </c>
      <c r="C424" s="8">
        <v>23.4</v>
      </c>
      <c r="D424" s="1" t="s">
        <v>877</v>
      </c>
      <c r="E424"/>
      <c r="H424" s="89" t="s">
        <v>1609</v>
      </c>
      <c r="I424"/>
      <c r="J424" s="4"/>
      <c r="K424"/>
      <c r="N424" s="86" t="s">
        <v>2276</v>
      </c>
      <c r="O424" s="86" t="s">
        <v>2072</v>
      </c>
      <c r="AG424" s="86" t="s">
        <v>2284</v>
      </c>
    </row>
    <row r="425" spans="1:33" hidden="1">
      <c r="A425" s="106">
        <f t="shared" si="21"/>
        <v>260</v>
      </c>
      <c r="B425" s="86" t="s">
        <v>1135</v>
      </c>
      <c r="C425" s="8">
        <v>33</v>
      </c>
      <c r="D425" s="1" t="s">
        <v>877</v>
      </c>
      <c r="E425"/>
      <c r="F425" s="91">
        <v>0.7</v>
      </c>
      <c r="G425" s="90" t="s">
        <v>878</v>
      </c>
      <c r="H425" s="86" t="s">
        <v>2304</v>
      </c>
      <c r="I425" s="8" t="e">
        <f>(K419)</f>
        <v>#REF!</v>
      </c>
      <c r="J425" s="2" t="s">
        <v>877</v>
      </c>
      <c r="K425" s="8" t="e">
        <f>(F425*I425)</f>
        <v>#REF!</v>
      </c>
      <c r="O425" s="86" t="s">
        <v>2073</v>
      </c>
      <c r="AG425" s="86" t="s">
        <v>2284</v>
      </c>
    </row>
    <row r="426" spans="1:33" hidden="1">
      <c r="A426" s="106">
        <f t="shared" si="21"/>
        <v>261</v>
      </c>
      <c r="B426" s="86" t="s">
        <v>1136</v>
      </c>
      <c r="C426" s="8">
        <v>34.22</v>
      </c>
      <c r="D426" s="1" t="s">
        <v>877</v>
      </c>
      <c r="E426"/>
      <c r="F426" s="91">
        <v>1</v>
      </c>
      <c r="G426" s="90" t="s">
        <v>778</v>
      </c>
      <c r="H426" s="86" t="s">
        <v>2034</v>
      </c>
      <c r="I426" s="8">
        <f>(C10)</f>
        <v>150</v>
      </c>
      <c r="J426" s="2" t="s">
        <v>877</v>
      </c>
      <c r="K426" s="8">
        <f>(F426*I426)</f>
        <v>150</v>
      </c>
      <c r="O426" s="86" t="s">
        <v>155</v>
      </c>
      <c r="AG426" s="86" t="s">
        <v>2284</v>
      </c>
    </row>
    <row r="427" spans="1:33" hidden="1">
      <c r="A427" s="106">
        <f t="shared" si="21"/>
        <v>262</v>
      </c>
      <c r="B427" s="86" t="s">
        <v>1138</v>
      </c>
      <c r="C427" s="8">
        <v>75.28</v>
      </c>
      <c r="D427" s="1" t="s">
        <v>877</v>
      </c>
      <c r="E427"/>
      <c r="G427" s="90" t="s">
        <v>450</v>
      </c>
      <c r="H427" s="86" t="s">
        <v>451</v>
      </c>
      <c r="I427" s="1" t="s">
        <v>987</v>
      </c>
      <c r="J427" s="2" t="s">
        <v>450</v>
      </c>
      <c r="K427" s="8">
        <v>0</v>
      </c>
      <c r="O427" s="89" t="s">
        <v>1609</v>
      </c>
      <c r="AG427" s="86" t="s">
        <v>2284</v>
      </c>
    </row>
    <row r="428" spans="1:33" hidden="1">
      <c r="A428" s="106">
        <f t="shared" si="21"/>
        <v>263</v>
      </c>
      <c r="B428" s="86" t="s">
        <v>239</v>
      </c>
      <c r="C428" s="8">
        <v>92.66</v>
      </c>
      <c r="D428" s="1" t="s">
        <v>877</v>
      </c>
      <c r="E428"/>
      <c r="I428"/>
      <c r="J428" s="4"/>
      <c r="K428" s="5" t="s">
        <v>1609</v>
      </c>
      <c r="N428" s="86" t="s">
        <v>156</v>
      </c>
      <c r="O428" s="102" t="s">
        <v>157</v>
      </c>
      <c r="AG428" s="86" t="s">
        <v>2284</v>
      </c>
    </row>
    <row r="429" spans="1:33" hidden="1">
      <c r="A429" s="106">
        <f t="shared" si="21"/>
        <v>264</v>
      </c>
      <c r="B429" s="86" t="s">
        <v>1139</v>
      </c>
      <c r="C429" s="8">
        <v>141.86000000000001</v>
      </c>
      <c r="D429" s="1" t="s">
        <v>877</v>
      </c>
      <c r="E429"/>
      <c r="H429" s="86" t="s">
        <v>442</v>
      </c>
      <c r="I429"/>
      <c r="J429" s="4"/>
      <c r="K429" s="8" t="e">
        <f>SUM(K425:K427)</f>
        <v>#REF!</v>
      </c>
      <c r="O429" s="89" t="s">
        <v>1609</v>
      </c>
      <c r="AG429" s="86" t="s">
        <v>2284</v>
      </c>
    </row>
    <row r="430" spans="1:33" hidden="1">
      <c r="A430" s="106">
        <f t="shared" si="21"/>
        <v>265</v>
      </c>
      <c r="B430" s="86" t="s">
        <v>158</v>
      </c>
      <c r="C430"/>
      <c r="D430" s="1" t="s">
        <v>987</v>
      </c>
      <c r="E430"/>
      <c r="I430"/>
      <c r="J430" s="4"/>
      <c r="K430" s="5" t="s">
        <v>1609</v>
      </c>
      <c r="M430" s="91">
        <v>8.1</v>
      </c>
      <c r="N430" s="86" t="s">
        <v>878</v>
      </c>
      <c r="O430" s="86" t="s">
        <v>623</v>
      </c>
      <c r="P430" s="91">
        <f>(C61)*2</f>
        <v>50</v>
      </c>
      <c r="Q430" s="86" t="s">
        <v>878</v>
      </c>
      <c r="R430" s="91">
        <f>(M430*P430)</f>
        <v>405</v>
      </c>
      <c r="AG430" s="86" t="s">
        <v>2284</v>
      </c>
    </row>
    <row r="431" spans="1:33" hidden="1">
      <c r="A431" s="106">
        <f t="shared" si="21"/>
        <v>266</v>
      </c>
      <c r="B431" s="86" t="s">
        <v>1133</v>
      </c>
      <c r="C431" s="8">
        <v>1.8</v>
      </c>
      <c r="D431" s="1" t="s">
        <v>877</v>
      </c>
      <c r="E431"/>
      <c r="H431" s="86" t="s">
        <v>556</v>
      </c>
      <c r="I431"/>
      <c r="J431" s="4"/>
      <c r="K431" s="8" t="e">
        <f>(K429/10)</f>
        <v>#REF!</v>
      </c>
      <c r="M431" s="91">
        <v>8.1</v>
      </c>
      <c r="N431" s="86" t="s">
        <v>878</v>
      </c>
      <c r="O431" s="86" t="s">
        <v>2182</v>
      </c>
      <c r="P431" s="91">
        <f>(C26)</f>
        <v>8.8000000000000007</v>
      </c>
      <c r="Q431" s="86" t="s">
        <v>878</v>
      </c>
      <c r="R431" s="91">
        <f>(M431*P431)</f>
        <v>71.28</v>
      </c>
      <c r="AG431" s="86" t="s">
        <v>2284</v>
      </c>
    </row>
    <row r="432" spans="1:33" hidden="1">
      <c r="A432" s="106">
        <f t="shared" si="21"/>
        <v>267</v>
      </c>
      <c r="B432" s="86" t="s">
        <v>1134</v>
      </c>
      <c r="C432" s="8">
        <v>2.9</v>
      </c>
      <c r="D432" s="1" t="s">
        <v>877</v>
      </c>
      <c r="E432"/>
      <c r="I432"/>
      <c r="J432" s="4"/>
      <c r="K432" s="5" t="s">
        <v>2080</v>
      </c>
      <c r="M432" s="91">
        <v>30</v>
      </c>
      <c r="N432" s="86" t="s">
        <v>1796</v>
      </c>
      <c r="O432" s="86" t="s">
        <v>2183</v>
      </c>
      <c r="P432" s="91">
        <f>(C42)</f>
        <v>1.75</v>
      </c>
      <c r="Q432" s="86" t="s">
        <v>1796</v>
      </c>
      <c r="R432" s="91">
        <f>(M432*P432)</f>
        <v>52.5</v>
      </c>
      <c r="AG432" s="86" t="s">
        <v>2284</v>
      </c>
    </row>
    <row r="433" spans="1:33" hidden="1">
      <c r="A433" s="106">
        <f t="shared" si="21"/>
        <v>268</v>
      </c>
      <c r="B433" s="86" t="s">
        <v>1135</v>
      </c>
      <c r="C433" s="8">
        <v>4</v>
      </c>
      <c r="D433" s="1" t="s">
        <v>877</v>
      </c>
      <c r="E433"/>
      <c r="H433" s="86" t="s">
        <v>386</v>
      </c>
      <c r="I433"/>
      <c r="J433" s="4"/>
      <c r="K433" s="8" t="e">
        <f>(K431+C19/10*F425)</f>
        <v>#REF!</v>
      </c>
      <c r="O433" s="86" t="s">
        <v>2184</v>
      </c>
      <c r="AG433" s="86" t="s">
        <v>2284</v>
      </c>
    </row>
    <row r="434" spans="1:33" hidden="1">
      <c r="A434" s="106">
        <f t="shared" si="21"/>
        <v>269</v>
      </c>
      <c r="B434" s="86" t="s">
        <v>1136</v>
      </c>
      <c r="C434" s="8">
        <v>6.86</v>
      </c>
      <c r="D434" s="1" t="s">
        <v>877</v>
      </c>
      <c r="E434"/>
      <c r="H434" s="86" t="s">
        <v>388</v>
      </c>
      <c r="I434"/>
      <c r="J434" s="4"/>
      <c r="K434" s="8" t="e">
        <f>(K433+C20/10*F425)</f>
        <v>#REF!</v>
      </c>
      <c r="O434" s="86" t="s">
        <v>2185</v>
      </c>
      <c r="AG434" s="86" t="s">
        <v>2284</v>
      </c>
    </row>
    <row r="435" spans="1:33" hidden="1">
      <c r="A435" s="106">
        <f t="shared" si="21"/>
        <v>270</v>
      </c>
      <c r="B435" s="86" t="s">
        <v>1138</v>
      </c>
      <c r="C435" s="8">
        <v>9.15</v>
      </c>
      <c r="D435" s="1" t="s">
        <v>877</v>
      </c>
      <c r="E435"/>
      <c r="H435" s="86" t="s">
        <v>2257</v>
      </c>
      <c r="I435"/>
      <c r="J435" s="4"/>
      <c r="K435" s="8" t="e">
        <f>(K434+C21/10*F425)</f>
        <v>#REF!</v>
      </c>
      <c r="O435" s="86" t="s">
        <v>2186</v>
      </c>
      <c r="AG435" s="86" t="s">
        <v>2284</v>
      </c>
    </row>
    <row r="436" spans="1:33" hidden="1">
      <c r="A436" s="106">
        <f t="shared" si="21"/>
        <v>271</v>
      </c>
      <c r="B436" s="86" t="s">
        <v>239</v>
      </c>
      <c r="C436" s="8">
        <v>14.59</v>
      </c>
      <c r="D436" s="1" t="s">
        <v>877</v>
      </c>
      <c r="E436"/>
      <c r="H436" s="86" t="s">
        <v>380</v>
      </c>
      <c r="I436"/>
      <c r="J436" s="4"/>
      <c r="K436" s="8" t="e">
        <f>(K435+C21/10*F425)</f>
        <v>#REF!</v>
      </c>
      <c r="O436" s="86" t="s">
        <v>2189</v>
      </c>
      <c r="AG436" s="86" t="s">
        <v>2284</v>
      </c>
    </row>
    <row r="437" spans="1:33" hidden="1">
      <c r="A437" s="106"/>
      <c r="B437" s="86"/>
      <c r="C437" s="8"/>
      <c r="D437" s="1"/>
      <c r="E437"/>
      <c r="H437" s="86" t="s">
        <v>842</v>
      </c>
      <c r="I437"/>
      <c r="J437" s="4"/>
      <c r="K437" s="8" t="e">
        <f>(K436+C22/10*F426)</f>
        <v>#REF!</v>
      </c>
      <c r="O437" s="86"/>
      <c r="AG437" s="86"/>
    </row>
    <row r="438" spans="1:33" hidden="1">
      <c r="A438" s="106">
        <f>(A436+1)</f>
        <v>272</v>
      </c>
      <c r="B438" s="86" t="s">
        <v>1139</v>
      </c>
      <c r="C438" s="8">
        <v>21.74</v>
      </c>
      <c r="D438" s="1" t="s">
        <v>877</v>
      </c>
      <c r="E438"/>
      <c r="H438" s="102" t="s">
        <v>2167</v>
      </c>
      <c r="I438"/>
      <c r="J438" s="4"/>
      <c r="K438"/>
      <c r="M438" s="91">
        <v>8</v>
      </c>
      <c r="N438" s="86" t="s">
        <v>778</v>
      </c>
      <c r="O438" s="86" t="s">
        <v>2168</v>
      </c>
      <c r="P438" s="91">
        <f>(C43)</f>
        <v>2.2000000000000002</v>
      </c>
      <c r="Q438" s="86" t="s">
        <v>778</v>
      </c>
      <c r="R438" s="91">
        <f>(M438*P438)</f>
        <v>17.600000000000001</v>
      </c>
      <c r="AG438" s="86" t="s">
        <v>2284</v>
      </c>
    </row>
    <row r="439" spans="1:33" hidden="1">
      <c r="A439" s="106">
        <f t="shared" ref="A439:A470" si="22">(A438+1)</f>
        <v>273</v>
      </c>
      <c r="B439" s="86" t="s">
        <v>2169</v>
      </c>
      <c r="C439"/>
      <c r="D439" s="1" t="s">
        <v>987</v>
      </c>
      <c r="E439"/>
      <c r="H439" s="102" t="s">
        <v>2146</v>
      </c>
      <c r="I439"/>
      <c r="J439" s="4"/>
      <c r="K439"/>
      <c r="M439" s="91">
        <v>8</v>
      </c>
      <c r="N439" s="86" t="s">
        <v>778</v>
      </c>
      <c r="O439" s="86" t="s">
        <v>468</v>
      </c>
      <c r="P439" s="91">
        <f>(C50)</f>
        <v>3.2</v>
      </c>
      <c r="Q439" s="86" t="s">
        <v>778</v>
      </c>
      <c r="R439" s="91">
        <f>(M439*P439)</f>
        <v>25.6</v>
      </c>
      <c r="AG439" s="86" t="s">
        <v>2284</v>
      </c>
    </row>
    <row r="440" spans="1:33" hidden="1">
      <c r="A440" s="106">
        <f t="shared" si="22"/>
        <v>274</v>
      </c>
      <c r="B440" s="86" t="s">
        <v>1133</v>
      </c>
      <c r="C440" s="8">
        <v>8.85</v>
      </c>
      <c r="D440" s="1" t="s">
        <v>877</v>
      </c>
      <c r="E440"/>
      <c r="F440" s="108">
        <v>12</v>
      </c>
      <c r="G440" s="90" t="s">
        <v>2276</v>
      </c>
      <c r="H440" s="86" t="s">
        <v>469</v>
      </c>
      <c r="I440"/>
      <c r="J440" s="4"/>
      <c r="K440"/>
      <c r="M440" s="91">
        <v>1</v>
      </c>
      <c r="N440" s="86" t="s">
        <v>450</v>
      </c>
      <c r="O440" s="86" t="s">
        <v>1709</v>
      </c>
      <c r="P440" s="91">
        <f>(C56)</f>
        <v>12.1</v>
      </c>
      <c r="Q440" s="86" t="s">
        <v>450</v>
      </c>
      <c r="R440" s="91">
        <f>(M440*P440)</f>
        <v>12.1</v>
      </c>
      <c r="AG440" s="86" t="s">
        <v>2284</v>
      </c>
    </row>
    <row r="441" spans="1:33" hidden="1">
      <c r="A441" s="106">
        <f t="shared" si="22"/>
        <v>275</v>
      </c>
      <c r="B441" s="86" t="s">
        <v>1134</v>
      </c>
      <c r="C441" s="8">
        <v>14</v>
      </c>
      <c r="D441" s="1" t="s">
        <v>877</v>
      </c>
      <c r="E441"/>
      <c r="H441" s="86" t="s">
        <v>1130</v>
      </c>
      <c r="I441"/>
      <c r="J441" s="4"/>
      <c r="K441"/>
      <c r="M441" s="91">
        <v>1</v>
      </c>
      <c r="N441" s="86" t="s">
        <v>450</v>
      </c>
      <c r="O441" s="86" t="s">
        <v>451</v>
      </c>
      <c r="Q441" s="86" t="s">
        <v>450</v>
      </c>
      <c r="R441" s="91">
        <v>0</v>
      </c>
      <c r="AG441" s="86" t="s">
        <v>2284</v>
      </c>
    </row>
    <row r="442" spans="1:33" hidden="1">
      <c r="A442" s="106">
        <f t="shared" si="22"/>
        <v>276</v>
      </c>
      <c r="B442" s="86" t="s">
        <v>1135</v>
      </c>
      <c r="C442" s="8">
        <v>20.7</v>
      </c>
      <c r="D442" s="1" t="s">
        <v>877</v>
      </c>
      <c r="E442"/>
      <c r="H442" s="89" t="s">
        <v>1609</v>
      </c>
      <c r="I442"/>
      <c r="J442" s="4"/>
      <c r="K442"/>
      <c r="R442" s="89" t="s">
        <v>1609</v>
      </c>
      <c r="AG442" s="86" t="s">
        <v>2284</v>
      </c>
    </row>
    <row r="443" spans="1:33" hidden="1">
      <c r="A443" s="106">
        <f t="shared" si="22"/>
        <v>277</v>
      </c>
      <c r="B443" s="86" t="s">
        <v>1136</v>
      </c>
      <c r="C443" s="8">
        <v>41.82</v>
      </c>
      <c r="D443" s="1" t="s">
        <v>877</v>
      </c>
      <c r="E443"/>
      <c r="F443" s="91">
        <v>6570</v>
      </c>
      <c r="G443" s="90" t="s">
        <v>1445</v>
      </c>
      <c r="H443" s="86" t="s">
        <v>1589</v>
      </c>
      <c r="I443" s="8" t="e">
        <f>(C77)</f>
        <v>#REF!</v>
      </c>
      <c r="J443" s="2" t="s">
        <v>1617</v>
      </c>
      <c r="K443" s="8" t="e">
        <f>(F443*I443)/1000</f>
        <v>#REF!</v>
      </c>
      <c r="O443" s="86" t="s">
        <v>1566</v>
      </c>
      <c r="R443" s="91">
        <f>SUM(R430:R441)</f>
        <v>584.08000000000004</v>
      </c>
      <c r="AG443" s="86" t="s">
        <v>322</v>
      </c>
    </row>
    <row r="444" spans="1:33" hidden="1">
      <c r="A444" s="106">
        <f t="shared" si="22"/>
        <v>278</v>
      </c>
      <c r="B444" s="86" t="s">
        <v>1138</v>
      </c>
      <c r="C444" s="8">
        <v>61.78</v>
      </c>
      <c r="D444" s="1" t="s">
        <v>877</v>
      </c>
      <c r="E444"/>
      <c r="F444" s="91">
        <v>1.91</v>
      </c>
      <c r="G444" s="90" t="s">
        <v>878</v>
      </c>
      <c r="H444" s="86" t="s">
        <v>1327</v>
      </c>
      <c r="I444" s="8" t="e">
        <f>(K40)</f>
        <v>#REF!</v>
      </c>
      <c r="J444" s="2" t="s">
        <v>878</v>
      </c>
      <c r="K444" s="8" t="e">
        <f>(F444*I444)</f>
        <v>#REF!</v>
      </c>
      <c r="R444" s="89" t="s">
        <v>1609</v>
      </c>
    </row>
    <row r="445" spans="1:33" hidden="1">
      <c r="A445" s="106">
        <f t="shared" si="22"/>
        <v>279</v>
      </c>
      <c r="B445" s="86" t="s">
        <v>239</v>
      </c>
      <c r="C445" s="8">
        <v>97.93</v>
      </c>
      <c r="D445" s="1" t="s">
        <v>877</v>
      </c>
      <c r="E445"/>
      <c r="F445" s="91">
        <v>7</v>
      </c>
      <c r="G445" s="90" t="s">
        <v>877</v>
      </c>
      <c r="H445" s="86" t="s">
        <v>2034</v>
      </c>
      <c r="I445" s="8">
        <f>(C10)</f>
        <v>150</v>
      </c>
      <c r="J445" s="2" t="s">
        <v>877</v>
      </c>
      <c r="K445" s="8">
        <f>(F445*I445)</f>
        <v>1050</v>
      </c>
      <c r="O445" s="86" t="s">
        <v>1567</v>
      </c>
      <c r="R445" s="91">
        <f>(R443/30)</f>
        <v>19.47</v>
      </c>
    </row>
    <row r="446" spans="1:33" hidden="1">
      <c r="A446" s="106">
        <f t="shared" si="22"/>
        <v>280</v>
      </c>
      <c r="B446" s="86" t="s">
        <v>1139</v>
      </c>
      <c r="C446" s="8">
        <v>156.5</v>
      </c>
      <c r="D446" s="1" t="s">
        <v>877</v>
      </c>
      <c r="E446"/>
      <c r="F446" s="91">
        <v>3.6</v>
      </c>
      <c r="G446" s="90" t="s">
        <v>877</v>
      </c>
      <c r="H446" s="86" t="s">
        <v>1737</v>
      </c>
      <c r="I446" s="8">
        <f>(C11)</f>
        <v>135</v>
      </c>
      <c r="J446" s="2" t="s">
        <v>877</v>
      </c>
      <c r="K446" s="8">
        <f>(F446*I446)</f>
        <v>486</v>
      </c>
      <c r="R446" s="89" t="s">
        <v>1609</v>
      </c>
      <c r="AG446" s="86" t="s">
        <v>2284</v>
      </c>
    </row>
    <row r="447" spans="1:33" hidden="1">
      <c r="A447" s="106">
        <f t="shared" si="22"/>
        <v>281</v>
      </c>
      <c r="B447" s="86" t="s">
        <v>1576</v>
      </c>
      <c r="C447"/>
      <c r="D447" s="1" t="s">
        <v>987</v>
      </c>
      <c r="E447"/>
      <c r="F447" s="91">
        <v>7.1</v>
      </c>
      <c r="G447" s="90" t="s">
        <v>877</v>
      </c>
      <c r="H447" s="86" t="s">
        <v>1927</v>
      </c>
      <c r="I447" s="8">
        <f>(C12)</f>
        <v>95</v>
      </c>
      <c r="J447" s="2" t="s">
        <v>877</v>
      </c>
      <c r="K447" s="8">
        <f>(F447*I447)</f>
        <v>674.5</v>
      </c>
      <c r="N447" s="86" t="s">
        <v>1577</v>
      </c>
      <c r="O447" s="102" t="s">
        <v>1028</v>
      </c>
      <c r="AG447" s="86" t="s">
        <v>2284</v>
      </c>
    </row>
    <row r="448" spans="1:33" hidden="1">
      <c r="A448" s="106">
        <f t="shared" si="22"/>
        <v>282</v>
      </c>
      <c r="B448" s="86" t="s">
        <v>1133</v>
      </c>
      <c r="C448" s="8">
        <v>3.2</v>
      </c>
      <c r="D448" s="1" t="s">
        <v>877</v>
      </c>
      <c r="E448"/>
      <c r="F448" s="91">
        <v>14.1</v>
      </c>
      <c r="G448" s="90" t="s">
        <v>877</v>
      </c>
      <c r="H448" s="86" t="s">
        <v>321</v>
      </c>
      <c r="I448" s="8">
        <f>(C13)</f>
        <v>85</v>
      </c>
      <c r="J448" s="2" t="s">
        <v>877</v>
      </c>
      <c r="K448" s="8">
        <f>(F448*I448)</f>
        <v>1198.5</v>
      </c>
      <c r="O448" s="89" t="s">
        <v>1609</v>
      </c>
      <c r="AG448" s="86" t="s">
        <v>2284</v>
      </c>
    </row>
    <row r="449" spans="1:33" hidden="1">
      <c r="A449" s="106">
        <f t="shared" si="22"/>
        <v>283</v>
      </c>
      <c r="B449" s="86" t="s">
        <v>1134</v>
      </c>
      <c r="C449" s="8">
        <v>4.7</v>
      </c>
      <c r="D449" s="1" t="s">
        <v>877</v>
      </c>
      <c r="E449"/>
      <c r="G449" s="90" t="s">
        <v>450</v>
      </c>
      <c r="H449" s="86" t="s">
        <v>451</v>
      </c>
      <c r="I449" s="1" t="s">
        <v>987</v>
      </c>
      <c r="J449" s="2" t="s">
        <v>450</v>
      </c>
      <c r="K449" s="8">
        <v>0</v>
      </c>
      <c r="M449" s="91">
        <v>8.1</v>
      </c>
      <c r="N449" s="86" t="s">
        <v>878</v>
      </c>
      <c r="O449" s="86" t="s">
        <v>623</v>
      </c>
      <c r="P449" s="91">
        <f>(C61)*2</f>
        <v>50</v>
      </c>
      <c r="Q449" s="86" t="s">
        <v>878</v>
      </c>
      <c r="R449" s="91">
        <f>(M449*P449)</f>
        <v>405</v>
      </c>
      <c r="AG449" s="86" t="s">
        <v>2284</v>
      </c>
    </row>
    <row r="450" spans="1:33" hidden="1">
      <c r="A450" s="106">
        <f t="shared" si="22"/>
        <v>284</v>
      </c>
      <c r="B450" s="86" t="s">
        <v>1135</v>
      </c>
      <c r="C450" s="8">
        <v>7.65</v>
      </c>
      <c r="D450" s="1" t="s">
        <v>877</v>
      </c>
      <c r="E450"/>
      <c r="I450"/>
      <c r="J450" s="4"/>
      <c r="K450" s="5" t="s">
        <v>1609</v>
      </c>
      <c r="M450" s="91">
        <v>8.1</v>
      </c>
      <c r="N450" s="86" t="s">
        <v>878</v>
      </c>
      <c r="O450" s="86" t="s">
        <v>2182</v>
      </c>
      <c r="P450" s="91">
        <f>(C26)</f>
        <v>8.8000000000000007</v>
      </c>
      <c r="Q450" s="86" t="s">
        <v>878</v>
      </c>
      <c r="R450" s="91">
        <f>(M450*P450)</f>
        <v>71.28</v>
      </c>
      <c r="AG450" s="86" t="s">
        <v>2284</v>
      </c>
    </row>
    <row r="451" spans="1:33" hidden="1">
      <c r="A451" s="106">
        <f t="shared" si="22"/>
        <v>285</v>
      </c>
      <c r="B451" s="86" t="s">
        <v>1136</v>
      </c>
      <c r="C451" s="8">
        <v>30.93</v>
      </c>
      <c r="D451" s="1" t="s">
        <v>877</v>
      </c>
      <c r="E451"/>
      <c r="H451" s="86" t="s">
        <v>620</v>
      </c>
      <c r="I451"/>
      <c r="J451" s="4"/>
      <c r="K451" s="8" t="e">
        <f>SUM(K443:K449)</f>
        <v>#REF!</v>
      </c>
      <c r="M451" s="91">
        <v>30</v>
      </c>
      <c r="N451" s="86" t="s">
        <v>1796</v>
      </c>
      <c r="O451" s="86" t="s">
        <v>2183</v>
      </c>
      <c r="P451" s="91">
        <f>(C42)</f>
        <v>1.75</v>
      </c>
      <c r="Q451" s="86" t="s">
        <v>1796</v>
      </c>
      <c r="R451" s="91">
        <f>(M451*P451)</f>
        <v>52.5</v>
      </c>
      <c r="AG451" s="86" t="s">
        <v>2284</v>
      </c>
    </row>
    <row r="452" spans="1:33" hidden="1">
      <c r="A452" s="106">
        <f t="shared" si="22"/>
        <v>286</v>
      </c>
      <c r="B452" s="86" t="s">
        <v>1138</v>
      </c>
      <c r="C452" s="8">
        <v>39.630000000000003</v>
      </c>
      <c r="D452" s="1" t="s">
        <v>877</v>
      </c>
      <c r="E452"/>
      <c r="I452"/>
      <c r="J452" s="4"/>
      <c r="K452" s="5" t="s">
        <v>1609</v>
      </c>
      <c r="O452" s="86" t="s">
        <v>2184</v>
      </c>
      <c r="AG452" s="86" t="s">
        <v>2284</v>
      </c>
    </row>
    <row r="453" spans="1:33" hidden="1">
      <c r="A453" s="106">
        <f t="shared" si="22"/>
        <v>287</v>
      </c>
      <c r="B453" s="86" t="s">
        <v>239</v>
      </c>
      <c r="C453" s="8">
        <v>70.47</v>
      </c>
      <c r="D453" s="1" t="s">
        <v>877</v>
      </c>
      <c r="E453"/>
      <c r="H453" s="86" t="s">
        <v>782</v>
      </c>
      <c r="I453"/>
      <c r="J453" s="4"/>
      <c r="K453" s="8" t="e">
        <f>(K451/10)</f>
        <v>#REF!</v>
      </c>
      <c r="O453" s="86" t="s">
        <v>2185</v>
      </c>
      <c r="AG453" s="86" t="s">
        <v>2284</v>
      </c>
    </row>
    <row r="454" spans="1:33" hidden="1">
      <c r="A454" s="106">
        <f t="shared" si="22"/>
        <v>288</v>
      </c>
      <c r="B454" s="86" t="s">
        <v>1139</v>
      </c>
      <c r="C454" s="8">
        <v>70.47</v>
      </c>
      <c r="D454" s="1" t="s">
        <v>877</v>
      </c>
      <c r="E454"/>
      <c r="I454"/>
      <c r="J454" s="4"/>
      <c r="K454" s="5" t="s">
        <v>2080</v>
      </c>
      <c r="O454" s="86" t="s">
        <v>2186</v>
      </c>
      <c r="AG454" s="86" t="s">
        <v>2284</v>
      </c>
    </row>
    <row r="455" spans="1:33" hidden="1">
      <c r="A455" s="106">
        <f t="shared" si="22"/>
        <v>289</v>
      </c>
      <c r="B455" s="86" t="s">
        <v>2313</v>
      </c>
      <c r="C455"/>
      <c r="D455" s="1" t="s">
        <v>987</v>
      </c>
      <c r="E455"/>
      <c r="I455"/>
      <c r="J455" s="4"/>
      <c r="K455"/>
      <c r="O455" s="86" t="s">
        <v>2189</v>
      </c>
      <c r="AG455" s="86" t="s">
        <v>2284</v>
      </c>
    </row>
    <row r="456" spans="1:33" hidden="1">
      <c r="A456" s="106">
        <f t="shared" si="22"/>
        <v>290</v>
      </c>
      <c r="B456" s="86" t="s">
        <v>1133</v>
      </c>
      <c r="C456" s="8">
        <v>158.91999999999999</v>
      </c>
      <c r="D456" s="1" t="s">
        <v>877</v>
      </c>
      <c r="E456"/>
      <c r="G456" s="90" t="s">
        <v>2276</v>
      </c>
      <c r="H456" s="86" t="s">
        <v>153</v>
      </c>
      <c r="I456"/>
      <c r="J456" s="4"/>
      <c r="K456"/>
      <c r="M456" s="91">
        <v>8</v>
      </c>
      <c r="N456" s="86" t="s">
        <v>778</v>
      </c>
      <c r="O456" s="86" t="s">
        <v>2168</v>
      </c>
      <c r="P456" s="91">
        <f>(C44)</f>
        <v>2.2000000000000002</v>
      </c>
      <c r="Q456" s="86" t="s">
        <v>778</v>
      </c>
      <c r="R456" s="91">
        <f>(M456*P456)</f>
        <v>17.600000000000001</v>
      </c>
      <c r="AG456" s="86" t="s">
        <v>2284</v>
      </c>
    </row>
    <row r="457" spans="1:33" hidden="1">
      <c r="A457" s="106">
        <f t="shared" si="22"/>
        <v>291</v>
      </c>
      <c r="B457" s="86" t="s">
        <v>1134</v>
      </c>
      <c r="C457" s="8">
        <v>263.04000000000002</v>
      </c>
      <c r="D457" s="1" t="s">
        <v>877</v>
      </c>
      <c r="E457"/>
      <c r="H457" s="89" t="s">
        <v>1609</v>
      </c>
      <c r="I457"/>
      <c r="J457" s="4"/>
      <c r="K457"/>
      <c r="M457" s="91">
        <v>8</v>
      </c>
      <c r="N457" s="86" t="s">
        <v>778</v>
      </c>
      <c r="O457" s="86" t="s">
        <v>468</v>
      </c>
      <c r="P457" s="91">
        <f>(C51)</f>
        <v>3.2</v>
      </c>
      <c r="Q457" s="86" t="s">
        <v>778</v>
      </c>
      <c r="R457" s="91">
        <f>(M457*P457)</f>
        <v>25.6</v>
      </c>
      <c r="AG457" s="86" t="s">
        <v>2284</v>
      </c>
    </row>
    <row r="458" spans="1:33" hidden="1">
      <c r="A458" s="106">
        <f t="shared" si="22"/>
        <v>292</v>
      </c>
      <c r="B458" s="86" t="s">
        <v>1135</v>
      </c>
      <c r="C458"/>
      <c r="D458" s="1" t="s">
        <v>987</v>
      </c>
      <c r="E458"/>
      <c r="F458" s="91">
        <v>0.5</v>
      </c>
      <c r="G458" s="90" t="s">
        <v>878</v>
      </c>
      <c r="H458" s="86" t="s">
        <v>2304</v>
      </c>
      <c r="I458" s="8" t="e">
        <f>(K453)</f>
        <v>#REF!</v>
      </c>
      <c r="J458" s="2" t="s">
        <v>877</v>
      </c>
      <c r="K458" s="8" t="e">
        <f>(F458*I458)</f>
        <v>#REF!</v>
      </c>
      <c r="M458" s="91">
        <v>1</v>
      </c>
      <c r="N458" s="86" t="s">
        <v>450</v>
      </c>
      <c r="O458" s="86" t="s">
        <v>1709</v>
      </c>
      <c r="P458" s="91">
        <f>(C56)</f>
        <v>12.1</v>
      </c>
      <c r="Q458" s="86" t="s">
        <v>450</v>
      </c>
      <c r="R458" s="91">
        <f>(M458*P458)</f>
        <v>12.1</v>
      </c>
      <c r="AG458" s="86" t="s">
        <v>2284</v>
      </c>
    </row>
    <row r="459" spans="1:33" hidden="1">
      <c r="A459" s="106">
        <f t="shared" si="22"/>
        <v>293</v>
      </c>
      <c r="B459" s="86" t="s">
        <v>1191</v>
      </c>
      <c r="C459" s="8">
        <v>1.2</v>
      </c>
      <c r="D459" s="1" t="s">
        <v>877</v>
      </c>
      <c r="E459"/>
      <c r="F459" s="91">
        <v>1</v>
      </c>
      <c r="G459" s="90" t="s">
        <v>778</v>
      </c>
      <c r="H459" s="86" t="s">
        <v>2034</v>
      </c>
      <c r="I459" s="8">
        <f>(C10)</f>
        <v>150</v>
      </c>
      <c r="J459" s="2" t="s">
        <v>877</v>
      </c>
      <c r="K459" s="8">
        <f>(F459*I459)</f>
        <v>150</v>
      </c>
      <c r="M459" s="91">
        <v>1</v>
      </c>
      <c r="N459" s="86" t="s">
        <v>450</v>
      </c>
      <c r="O459" s="86" t="s">
        <v>451</v>
      </c>
      <c r="Q459" s="86" t="s">
        <v>450</v>
      </c>
      <c r="R459" s="91">
        <v>0</v>
      </c>
      <c r="AG459" s="86" t="s">
        <v>2284</v>
      </c>
    </row>
    <row r="460" spans="1:33" hidden="1">
      <c r="A460" s="106">
        <f t="shared" si="22"/>
        <v>294</v>
      </c>
      <c r="B460" s="86" t="s">
        <v>1098</v>
      </c>
      <c r="C460" s="8">
        <v>0.85</v>
      </c>
      <c r="D460" s="1" t="s">
        <v>877</v>
      </c>
      <c r="E460"/>
      <c r="G460" s="90" t="s">
        <v>450</v>
      </c>
      <c r="H460" s="86" t="s">
        <v>451</v>
      </c>
      <c r="I460" s="1" t="s">
        <v>987</v>
      </c>
      <c r="J460" s="2" t="s">
        <v>450</v>
      </c>
      <c r="K460" s="8">
        <v>0</v>
      </c>
      <c r="R460" s="89" t="s">
        <v>1609</v>
      </c>
      <c r="AG460" s="86" t="s">
        <v>2284</v>
      </c>
    </row>
    <row r="461" spans="1:33" hidden="1">
      <c r="A461" s="106">
        <f t="shared" si="22"/>
        <v>295</v>
      </c>
      <c r="B461" s="86" t="s">
        <v>1099</v>
      </c>
      <c r="C461" s="8">
        <v>350</v>
      </c>
      <c r="D461" s="8">
        <v>375</v>
      </c>
      <c r="E461"/>
      <c r="I461"/>
      <c r="J461" s="4"/>
      <c r="K461" s="5" t="s">
        <v>1609</v>
      </c>
      <c r="O461" s="86" t="s">
        <v>1566</v>
      </c>
      <c r="R461" s="91">
        <f>SUM(R449:R459)</f>
        <v>584.08000000000004</v>
      </c>
      <c r="AG461" s="86" t="s">
        <v>2284</v>
      </c>
    </row>
    <row r="462" spans="1:33" hidden="1">
      <c r="A462" s="106">
        <f t="shared" si="22"/>
        <v>296</v>
      </c>
      <c r="B462" s="86" t="s">
        <v>2123</v>
      </c>
      <c r="C462" s="8">
        <v>400</v>
      </c>
      <c r="D462" s="8">
        <v>425</v>
      </c>
      <c r="E462"/>
      <c r="H462" s="86" t="s">
        <v>442</v>
      </c>
      <c r="I462"/>
      <c r="J462" s="4"/>
      <c r="K462" s="8" t="e">
        <f>SUM(K458:K460)</f>
        <v>#REF!</v>
      </c>
      <c r="R462" s="89" t="s">
        <v>1609</v>
      </c>
      <c r="AG462" s="86" t="s">
        <v>2284</v>
      </c>
    </row>
    <row r="463" spans="1:33" hidden="1">
      <c r="A463" s="106">
        <f t="shared" si="22"/>
        <v>297</v>
      </c>
      <c r="B463" s="86" t="s">
        <v>1076</v>
      </c>
      <c r="C463" s="8">
        <v>450</v>
      </c>
      <c r="D463" s="8">
        <v>500</v>
      </c>
      <c r="E463"/>
      <c r="I463"/>
      <c r="J463" s="4"/>
      <c r="K463" s="5" t="s">
        <v>1609</v>
      </c>
      <c r="O463" s="86" t="s">
        <v>1567</v>
      </c>
      <c r="R463" s="91">
        <f>(R461/30)</f>
        <v>19.47</v>
      </c>
      <c r="AG463" s="86" t="s">
        <v>2284</v>
      </c>
    </row>
    <row r="464" spans="1:33" hidden="1">
      <c r="A464" s="106">
        <f t="shared" si="22"/>
        <v>298</v>
      </c>
      <c r="B464" s="86" t="s">
        <v>1978</v>
      </c>
      <c r="C464" s="8">
        <v>77.819999999999993</v>
      </c>
      <c r="D464" s="1" t="s">
        <v>877</v>
      </c>
      <c r="E464"/>
      <c r="H464" s="86" t="s">
        <v>556</v>
      </c>
      <c r="I464"/>
      <c r="J464" s="4"/>
      <c r="K464" s="8" t="e">
        <f>(K462/10)</f>
        <v>#REF!</v>
      </c>
      <c r="R464" s="89" t="s">
        <v>1609</v>
      </c>
      <c r="AG464" s="86" t="s">
        <v>2284</v>
      </c>
    </row>
    <row r="465" spans="1:33" hidden="1">
      <c r="A465" s="106">
        <f t="shared" si="22"/>
        <v>299</v>
      </c>
      <c r="B465" s="86" t="s">
        <v>1979</v>
      </c>
      <c r="C465" s="8">
        <v>99.74</v>
      </c>
      <c r="D465" s="1" t="s">
        <v>877</v>
      </c>
      <c r="E465"/>
      <c r="I465"/>
      <c r="J465" s="4"/>
      <c r="K465" s="5" t="s">
        <v>2080</v>
      </c>
      <c r="N465" s="86" t="s">
        <v>1980</v>
      </c>
      <c r="O465" s="102" t="s">
        <v>1981</v>
      </c>
      <c r="AG465" s="86" t="s">
        <v>2284</v>
      </c>
    </row>
    <row r="466" spans="1:33" hidden="1">
      <c r="A466" s="106">
        <f t="shared" si="22"/>
        <v>300</v>
      </c>
      <c r="B466" s="86" t="s">
        <v>1135</v>
      </c>
      <c r="C466" s="8">
        <v>165</v>
      </c>
      <c r="D466" s="1" t="s">
        <v>877</v>
      </c>
      <c r="E466"/>
      <c r="H466" s="86" t="s">
        <v>386</v>
      </c>
      <c r="I466"/>
      <c r="J466" s="4"/>
      <c r="K466" s="8" t="e">
        <f>(K464+C19/10*F458)</f>
        <v>#REF!</v>
      </c>
      <c r="O466" s="89" t="s">
        <v>1609</v>
      </c>
      <c r="AG466" s="86" t="s">
        <v>2284</v>
      </c>
    </row>
    <row r="467" spans="1:33" hidden="1">
      <c r="A467" s="106">
        <f t="shared" si="22"/>
        <v>301</v>
      </c>
      <c r="B467" s="86" t="s">
        <v>1136</v>
      </c>
      <c r="C467" s="8">
        <v>258</v>
      </c>
      <c r="D467" s="1" t="s">
        <v>877</v>
      </c>
      <c r="E467"/>
      <c r="H467" s="86" t="s">
        <v>388</v>
      </c>
      <c r="I467"/>
      <c r="J467" s="4"/>
      <c r="K467" s="8" t="e">
        <f>(K466+C20/10*F458)</f>
        <v>#REF!</v>
      </c>
      <c r="M467" s="91">
        <v>8.1</v>
      </c>
      <c r="N467" s="86" t="s">
        <v>878</v>
      </c>
      <c r="O467" s="86" t="s">
        <v>623</v>
      </c>
      <c r="P467" s="91">
        <f>(C61)*2</f>
        <v>50</v>
      </c>
      <c r="Q467" s="86" t="s">
        <v>878</v>
      </c>
      <c r="R467" s="91">
        <f>(M467*P467)</f>
        <v>405</v>
      </c>
      <c r="AG467" s="86" t="s">
        <v>2284</v>
      </c>
    </row>
    <row r="468" spans="1:33" hidden="1">
      <c r="A468" s="106">
        <f t="shared" si="22"/>
        <v>302</v>
      </c>
      <c r="B468" s="86" t="s">
        <v>1138</v>
      </c>
      <c r="C468" s="8">
        <v>298</v>
      </c>
      <c r="D468" s="1" t="s">
        <v>877</v>
      </c>
      <c r="E468"/>
      <c r="H468" s="86" t="s">
        <v>2257</v>
      </c>
      <c r="I468"/>
      <c r="J468" s="4"/>
      <c r="K468" s="8" t="e">
        <f>(K467+C21/10*F458)</f>
        <v>#REF!</v>
      </c>
      <c r="M468" s="91">
        <v>8.1</v>
      </c>
      <c r="N468" s="86" t="s">
        <v>878</v>
      </c>
      <c r="O468" s="86" t="s">
        <v>2182</v>
      </c>
      <c r="P468" s="91">
        <f>(C26)</f>
        <v>8.8000000000000007</v>
      </c>
      <c r="Q468" s="86" t="s">
        <v>878</v>
      </c>
      <c r="R468" s="91">
        <f>(M468*P468)</f>
        <v>71.28</v>
      </c>
      <c r="AG468" s="86" t="s">
        <v>2284</v>
      </c>
    </row>
    <row r="469" spans="1:33" hidden="1">
      <c r="A469" s="106">
        <f t="shared" si="22"/>
        <v>303</v>
      </c>
      <c r="B469" s="86" t="s">
        <v>239</v>
      </c>
      <c r="C469" s="8">
        <v>398</v>
      </c>
      <c r="D469" s="1" t="s">
        <v>877</v>
      </c>
      <c r="E469"/>
      <c r="H469" s="86" t="s">
        <v>380</v>
      </c>
      <c r="I469"/>
      <c r="J469" s="4"/>
      <c r="K469" s="8" t="e">
        <f>(K468+C21/10*F458)</f>
        <v>#REF!</v>
      </c>
      <c r="M469" s="91">
        <v>30</v>
      </c>
      <c r="N469" s="86" t="s">
        <v>1796</v>
      </c>
      <c r="O469" s="86" t="s">
        <v>2183</v>
      </c>
      <c r="P469" s="91">
        <f>(C42)</f>
        <v>1.75</v>
      </c>
      <c r="Q469" s="86" t="s">
        <v>1796</v>
      </c>
      <c r="R469" s="91">
        <f>(M469*P469)</f>
        <v>52.5</v>
      </c>
      <c r="AG469" s="86" t="s">
        <v>2284</v>
      </c>
    </row>
    <row r="470" spans="1:33" hidden="1">
      <c r="A470" s="106">
        <f t="shared" si="22"/>
        <v>304</v>
      </c>
      <c r="B470" s="86" t="s">
        <v>1139</v>
      </c>
      <c r="C470"/>
      <c r="D470" s="1" t="s">
        <v>877</v>
      </c>
      <c r="E470"/>
      <c r="H470" s="86" t="s">
        <v>1554</v>
      </c>
      <c r="I470"/>
      <c r="J470" s="4"/>
      <c r="K470" s="8" t="e">
        <f>(K469+C22/10*F459)</f>
        <v>#REF!</v>
      </c>
      <c r="O470" s="86" t="s">
        <v>2184</v>
      </c>
      <c r="AG470" s="86" t="s">
        <v>2284</v>
      </c>
    </row>
    <row r="471" spans="1:33" hidden="1">
      <c r="A471" s="106">
        <f t="shared" ref="A471:A489" si="23">(A470+1)</f>
        <v>305</v>
      </c>
      <c r="B471" s="86" t="s">
        <v>2965</v>
      </c>
      <c r="C471"/>
      <c r="D471" s="1" t="s">
        <v>877</v>
      </c>
      <c r="E471"/>
      <c r="F471" s="102" t="s">
        <v>1982</v>
      </c>
      <c r="G471" s="90" t="s">
        <v>2276</v>
      </c>
      <c r="H471" s="86" t="s">
        <v>1983</v>
      </c>
      <c r="I471"/>
      <c r="J471" s="4"/>
      <c r="K471"/>
      <c r="O471" s="86" t="s">
        <v>2185</v>
      </c>
      <c r="AG471" s="86" t="s">
        <v>2284</v>
      </c>
    </row>
    <row r="472" spans="1:33" hidden="1">
      <c r="A472" s="106">
        <f t="shared" si="23"/>
        <v>306</v>
      </c>
      <c r="B472" s="86" t="s">
        <v>1133</v>
      </c>
      <c r="C472" s="8">
        <v>130</v>
      </c>
      <c r="D472" s="1" t="s">
        <v>877</v>
      </c>
      <c r="E472"/>
      <c r="H472" s="86" t="s">
        <v>2263</v>
      </c>
      <c r="I472"/>
      <c r="J472" s="4"/>
      <c r="K472"/>
      <c r="O472" s="86" t="s">
        <v>2186</v>
      </c>
      <c r="AG472" s="86" t="s">
        <v>2284</v>
      </c>
    </row>
    <row r="473" spans="1:33" hidden="1">
      <c r="A473" s="106">
        <f t="shared" si="23"/>
        <v>307</v>
      </c>
      <c r="B473" s="86" t="s">
        <v>1134</v>
      </c>
      <c r="C473" s="8">
        <v>178</v>
      </c>
      <c r="D473" s="1" t="s">
        <v>877</v>
      </c>
      <c r="E473"/>
      <c r="H473" s="89" t="s">
        <v>1609</v>
      </c>
      <c r="I473"/>
      <c r="J473" s="4"/>
      <c r="K473"/>
      <c r="O473" s="86" t="s">
        <v>2189</v>
      </c>
      <c r="AG473" s="86" t="s">
        <v>2284</v>
      </c>
    </row>
    <row r="474" spans="1:33" hidden="1">
      <c r="A474" s="106">
        <f t="shared" si="23"/>
        <v>308</v>
      </c>
      <c r="B474" s="86" t="s">
        <v>1135</v>
      </c>
      <c r="C474" s="8">
        <v>279</v>
      </c>
      <c r="D474" s="1" t="s">
        <v>877</v>
      </c>
      <c r="E474"/>
      <c r="F474" s="91">
        <v>1</v>
      </c>
      <c r="G474" s="90" t="s">
        <v>878</v>
      </c>
      <c r="H474" s="86" t="s">
        <v>2264</v>
      </c>
      <c r="I474" s="8">
        <f>(C26)</f>
        <v>8.8000000000000007</v>
      </c>
      <c r="J474" s="2" t="s">
        <v>878</v>
      </c>
      <c r="K474" s="8">
        <f>(F474*I474)</f>
        <v>8.8000000000000007</v>
      </c>
      <c r="M474" s="91">
        <v>8</v>
      </c>
      <c r="N474" s="86" t="s">
        <v>778</v>
      </c>
      <c r="O474" s="86" t="s">
        <v>2168</v>
      </c>
      <c r="P474" s="91">
        <f>(C45)</f>
        <v>2.7</v>
      </c>
      <c r="Q474" s="86" t="s">
        <v>778</v>
      </c>
      <c r="R474" s="91">
        <f>(M474*P474)</f>
        <v>21.6</v>
      </c>
      <c r="AG474" s="86" t="s">
        <v>2284</v>
      </c>
    </row>
    <row r="475" spans="1:33" hidden="1">
      <c r="A475" s="106">
        <f t="shared" si="23"/>
        <v>309</v>
      </c>
      <c r="B475" s="86" t="s">
        <v>1136</v>
      </c>
      <c r="C475" s="8">
        <v>394</v>
      </c>
      <c r="D475" s="1" t="s">
        <v>877</v>
      </c>
      <c r="E475"/>
      <c r="I475"/>
      <c r="J475" s="4"/>
      <c r="K475" s="5" t="s">
        <v>2080</v>
      </c>
      <c r="M475" s="91">
        <v>8</v>
      </c>
      <c r="N475" s="86" t="s">
        <v>778</v>
      </c>
      <c r="O475" s="86" t="s">
        <v>468</v>
      </c>
      <c r="P475" s="91">
        <f>(C52)</f>
        <v>6.4</v>
      </c>
      <c r="Q475" s="86" t="s">
        <v>778</v>
      </c>
      <c r="R475" s="91">
        <f>(M475*P475)</f>
        <v>51.2</v>
      </c>
      <c r="AG475" s="86" t="s">
        <v>2284</v>
      </c>
    </row>
    <row r="476" spans="1:33" hidden="1">
      <c r="A476" s="106">
        <f t="shared" si="23"/>
        <v>310</v>
      </c>
      <c r="B476" s="86" t="s">
        <v>1138</v>
      </c>
      <c r="C476" s="8">
        <v>508</v>
      </c>
      <c r="D476" s="1" t="s">
        <v>877</v>
      </c>
      <c r="E476"/>
      <c r="F476" s="112">
        <v>7.3</v>
      </c>
      <c r="G476" s="90" t="s">
        <v>2276</v>
      </c>
      <c r="H476" s="86" t="s">
        <v>2265</v>
      </c>
      <c r="I476"/>
      <c r="J476" s="4"/>
      <c r="K476"/>
      <c r="M476" s="91">
        <v>1</v>
      </c>
      <c r="N476" s="86" t="s">
        <v>450</v>
      </c>
      <c r="O476" s="86" t="s">
        <v>1709</v>
      </c>
      <c r="P476" s="91">
        <f>(C56)</f>
        <v>12.1</v>
      </c>
      <c r="Q476" s="86" t="s">
        <v>450</v>
      </c>
      <c r="R476" s="91">
        <f>(M476*P476)</f>
        <v>12.1</v>
      </c>
      <c r="AG476" s="86" t="s">
        <v>2284</v>
      </c>
    </row>
    <row r="477" spans="1:33" hidden="1">
      <c r="A477" s="106">
        <f t="shared" si="23"/>
        <v>311</v>
      </c>
      <c r="B477" s="86" t="s">
        <v>239</v>
      </c>
      <c r="C477" s="8">
        <v>709</v>
      </c>
      <c r="D477" s="1" t="s">
        <v>877</v>
      </c>
      <c r="E477"/>
      <c r="F477" s="86" t="s">
        <v>987</v>
      </c>
      <c r="H477" s="86" t="s">
        <v>975</v>
      </c>
      <c r="I477"/>
      <c r="J477" s="4"/>
      <c r="K477"/>
      <c r="M477" s="91">
        <v>1</v>
      </c>
      <c r="N477" s="86" t="s">
        <v>450</v>
      </c>
      <c r="O477" s="86" t="s">
        <v>451</v>
      </c>
      <c r="Q477" s="86" t="s">
        <v>450</v>
      </c>
      <c r="R477" s="91">
        <v>0</v>
      </c>
      <c r="AG477" s="86" t="s">
        <v>2284</v>
      </c>
    </row>
    <row r="478" spans="1:33" hidden="1">
      <c r="A478" s="106">
        <f t="shared" si="23"/>
        <v>312</v>
      </c>
      <c r="B478" s="86" t="s">
        <v>1139</v>
      </c>
      <c r="C478"/>
      <c r="D478" s="1" t="s">
        <v>877</v>
      </c>
      <c r="E478"/>
      <c r="F478" s="86" t="s">
        <v>987</v>
      </c>
      <c r="H478" s="89" t="s">
        <v>1609</v>
      </c>
      <c r="I478"/>
      <c r="J478" s="4"/>
      <c r="K478"/>
      <c r="R478" s="89" t="s">
        <v>1609</v>
      </c>
      <c r="AG478" s="86" t="s">
        <v>2284</v>
      </c>
    </row>
    <row r="479" spans="1:33" hidden="1">
      <c r="A479" s="106">
        <f t="shared" si="23"/>
        <v>313</v>
      </c>
      <c r="B479" s="86" t="s">
        <v>2966</v>
      </c>
      <c r="C479"/>
      <c r="D479" s="1" t="s">
        <v>877</v>
      </c>
      <c r="E479"/>
      <c r="F479" s="91">
        <v>0.13</v>
      </c>
      <c r="G479" s="90" t="s">
        <v>878</v>
      </c>
      <c r="H479" s="86" t="s">
        <v>1327</v>
      </c>
      <c r="I479" s="8" t="e">
        <f>(K40)</f>
        <v>#REF!</v>
      </c>
      <c r="J479" s="2" t="s">
        <v>878</v>
      </c>
      <c r="K479" s="8" t="e">
        <f t="shared" ref="K479:K484" si="24">(F479*I479)</f>
        <v>#REF!</v>
      </c>
      <c r="O479" s="86" t="s">
        <v>1566</v>
      </c>
      <c r="R479" s="91">
        <f>SUM(R467:R477)</f>
        <v>613.67999999999995</v>
      </c>
      <c r="AG479" s="86" t="s">
        <v>2284</v>
      </c>
    </row>
    <row r="480" spans="1:33" hidden="1">
      <c r="A480" s="106">
        <f t="shared" si="23"/>
        <v>314</v>
      </c>
      <c r="B480" s="86" t="s">
        <v>1133</v>
      </c>
      <c r="C480" s="8">
        <v>77</v>
      </c>
      <c r="D480" s="1" t="s">
        <v>877</v>
      </c>
      <c r="E480"/>
      <c r="F480" s="91">
        <v>0.7</v>
      </c>
      <c r="G480" s="90" t="s">
        <v>778</v>
      </c>
      <c r="H480" s="86" t="s">
        <v>2034</v>
      </c>
      <c r="I480" s="8">
        <f>(C10)</f>
        <v>150</v>
      </c>
      <c r="J480" s="2" t="s">
        <v>778</v>
      </c>
      <c r="K480" s="8">
        <f t="shared" si="24"/>
        <v>105</v>
      </c>
      <c r="R480" s="89" t="s">
        <v>1609</v>
      </c>
      <c r="AG480" s="86" t="s">
        <v>2284</v>
      </c>
    </row>
    <row r="481" spans="1:33" hidden="1">
      <c r="A481" s="106">
        <f t="shared" si="23"/>
        <v>315</v>
      </c>
      <c r="B481" s="86" t="s">
        <v>1134</v>
      </c>
      <c r="C481" s="8">
        <v>119</v>
      </c>
      <c r="D481" s="1" t="s">
        <v>877</v>
      </c>
      <c r="E481"/>
      <c r="F481" s="91">
        <v>0.7</v>
      </c>
      <c r="G481" s="90" t="s">
        <v>778</v>
      </c>
      <c r="H481" s="86" t="s">
        <v>1737</v>
      </c>
      <c r="I481" s="8">
        <f>(C11)</f>
        <v>135</v>
      </c>
      <c r="J481" s="2" t="s">
        <v>778</v>
      </c>
      <c r="K481" s="8">
        <f t="shared" si="24"/>
        <v>94.5</v>
      </c>
      <c r="O481" s="86" t="s">
        <v>1567</v>
      </c>
      <c r="R481" s="91">
        <f>(R479/30)</f>
        <v>20.46</v>
      </c>
      <c r="AG481" s="86" t="s">
        <v>2284</v>
      </c>
    </row>
    <row r="482" spans="1:33" hidden="1">
      <c r="A482" s="106">
        <f t="shared" si="23"/>
        <v>316</v>
      </c>
      <c r="B482" s="86" t="s">
        <v>1135</v>
      </c>
      <c r="C482" s="8">
        <v>175</v>
      </c>
      <c r="D482" s="1" t="s">
        <v>877</v>
      </c>
      <c r="E482"/>
      <c r="F482" s="91">
        <v>1.5</v>
      </c>
      <c r="G482" s="90" t="s">
        <v>778</v>
      </c>
      <c r="H482" s="86" t="s">
        <v>1927</v>
      </c>
      <c r="I482" s="8">
        <f>(C12)</f>
        <v>95</v>
      </c>
      <c r="J482" s="2" t="s">
        <v>778</v>
      </c>
      <c r="K482" s="8">
        <f t="shared" si="24"/>
        <v>142.5</v>
      </c>
      <c r="R482" s="89" t="s">
        <v>1609</v>
      </c>
      <c r="AG482" s="86" t="s">
        <v>2284</v>
      </c>
    </row>
    <row r="483" spans="1:33" hidden="1">
      <c r="A483" s="106">
        <f t="shared" si="23"/>
        <v>317</v>
      </c>
      <c r="B483" s="86" t="s">
        <v>1136</v>
      </c>
      <c r="C483" s="8">
        <v>277</v>
      </c>
      <c r="D483" s="1" t="s">
        <v>877</v>
      </c>
      <c r="E483"/>
      <c r="F483" s="91">
        <v>0.5</v>
      </c>
      <c r="G483" s="90" t="s">
        <v>778</v>
      </c>
      <c r="H483" s="86" t="s">
        <v>321</v>
      </c>
      <c r="I483" s="8">
        <f>(C13)</f>
        <v>85</v>
      </c>
      <c r="J483" s="2" t="s">
        <v>778</v>
      </c>
      <c r="K483" s="8">
        <f t="shared" si="24"/>
        <v>42.5</v>
      </c>
      <c r="M483" s="86" t="s">
        <v>987</v>
      </c>
      <c r="AG483" s="86" t="s">
        <v>2284</v>
      </c>
    </row>
    <row r="484" spans="1:33" hidden="1">
      <c r="A484" s="106">
        <f t="shared" si="23"/>
        <v>318</v>
      </c>
      <c r="B484" s="86" t="s">
        <v>1138</v>
      </c>
      <c r="C484" s="8">
        <v>353</v>
      </c>
      <c r="D484" s="1" t="s">
        <v>877</v>
      </c>
      <c r="E484"/>
      <c r="F484" s="91">
        <v>0.94</v>
      </c>
      <c r="G484" s="90" t="s">
        <v>1670</v>
      </c>
      <c r="H484" s="86" t="s">
        <v>920</v>
      </c>
      <c r="I484" s="8">
        <f>C631</f>
        <v>30</v>
      </c>
      <c r="J484" s="2" t="s">
        <v>1670</v>
      </c>
      <c r="K484" s="8">
        <f t="shared" si="24"/>
        <v>28.2</v>
      </c>
      <c r="N484" s="86" t="s">
        <v>2276</v>
      </c>
      <c r="O484" s="86" t="s">
        <v>2072</v>
      </c>
      <c r="AG484" s="86" t="s">
        <v>2284</v>
      </c>
    </row>
    <row r="485" spans="1:33" hidden="1">
      <c r="A485" s="106">
        <f t="shared" si="23"/>
        <v>319</v>
      </c>
      <c r="B485" s="86" t="s">
        <v>239</v>
      </c>
      <c r="C485" s="8">
        <v>584</v>
      </c>
      <c r="D485" s="1" t="s">
        <v>877</v>
      </c>
      <c r="E485"/>
      <c r="H485" s="86" t="s">
        <v>451</v>
      </c>
      <c r="I485" s="1" t="s">
        <v>987</v>
      </c>
      <c r="J485" s="2" t="s">
        <v>450</v>
      </c>
      <c r="K485" s="8">
        <v>0</v>
      </c>
      <c r="O485" s="86" t="s">
        <v>2073</v>
      </c>
      <c r="AG485" s="86" t="s">
        <v>2284</v>
      </c>
    </row>
    <row r="486" spans="1:33" hidden="1">
      <c r="A486" s="106">
        <f t="shared" si="23"/>
        <v>320</v>
      </c>
      <c r="B486" s="86" t="s">
        <v>1139</v>
      </c>
      <c r="C486"/>
      <c r="D486" s="1" t="s">
        <v>877</v>
      </c>
      <c r="E486"/>
      <c r="I486"/>
      <c r="J486" s="4"/>
      <c r="K486" s="5" t="s">
        <v>1609</v>
      </c>
      <c r="O486" s="86" t="s">
        <v>960</v>
      </c>
      <c r="AG486" s="86" t="s">
        <v>2284</v>
      </c>
    </row>
    <row r="487" spans="1:33" hidden="1">
      <c r="A487" s="106">
        <f t="shared" si="23"/>
        <v>321</v>
      </c>
      <c r="B487" s="86" t="s">
        <v>961</v>
      </c>
      <c r="C487"/>
      <c r="D487" s="1" t="s">
        <v>877</v>
      </c>
      <c r="E487"/>
      <c r="H487" s="86" t="s">
        <v>620</v>
      </c>
      <c r="I487"/>
      <c r="J487" s="4"/>
      <c r="K487" s="8" t="e">
        <f>SUM(K478:K485)</f>
        <v>#REF!</v>
      </c>
      <c r="O487" s="89" t="s">
        <v>1609</v>
      </c>
      <c r="AG487" s="86" t="s">
        <v>2284</v>
      </c>
    </row>
    <row r="488" spans="1:33" hidden="1">
      <c r="A488" s="106">
        <f t="shared" si="23"/>
        <v>322</v>
      </c>
      <c r="B488" s="86" t="s">
        <v>964</v>
      </c>
      <c r="C488" s="8">
        <v>8.75</v>
      </c>
      <c r="D488" s="1" t="s">
        <v>877</v>
      </c>
      <c r="E488"/>
      <c r="I488"/>
      <c r="J488" s="4"/>
      <c r="K488" s="5" t="s">
        <v>1609</v>
      </c>
      <c r="N488" s="86" t="s">
        <v>156</v>
      </c>
      <c r="O488" s="102" t="s">
        <v>965</v>
      </c>
      <c r="AG488" s="86" t="s">
        <v>2284</v>
      </c>
    </row>
    <row r="489" spans="1:33" hidden="1">
      <c r="A489" s="106">
        <f t="shared" si="23"/>
        <v>323</v>
      </c>
      <c r="B489" s="86" t="s">
        <v>752</v>
      </c>
      <c r="C489" s="8">
        <v>11.5</v>
      </c>
      <c r="D489" s="1" t="s">
        <v>877</v>
      </c>
      <c r="E489"/>
      <c r="H489" s="86" t="s">
        <v>782</v>
      </c>
      <c r="I489"/>
      <c r="J489" s="4"/>
      <c r="K489" s="8" t="e">
        <f>(K487/10)</f>
        <v>#REF!</v>
      </c>
      <c r="O489" s="89" t="s">
        <v>1609</v>
      </c>
      <c r="AG489" s="86" t="s">
        <v>2284</v>
      </c>
    </row>
    <row r="490" spans="1:33" hidden="1">
      <c r="C490"/>
      <c r="D490"/>
      <c r="E490"/>
      <c r="F490" s="86" t="s">
        <v>987</v>
      </c>
      <c r="I490"/>
      <c r="J490" s="4"/>
      <c r="K490"/>
    </row>
    <row r="491" spans="1:33" hidden="1">
      <c r="A491" s="106">
        <f>(A489+1)</f>
        <v>324</v>
      </c>
      <c r="B491" s="86" t="s">
        <v>1688</v>
      </c>
      <c r="C491" s="8">
        <v>11.5</v>
      </c>
      <c r="D491" s="1" t="s">
        <v>877</v>
      </c>
      <c r="E491"/>
      <c r="I491"/>
      <c r="J491" s="4"/>
      <c r="K491" s="5" t="s">
        <v>2080</v>
      </c>
      <c r="M491" s="91">
        <v>30</v>
      </c>
      <c r="N491" s="86" t="s">
        <v>1796</v>
      </c>
      <c r="O491" s="86" t="s">
        <v>1689</v>
      </c>
      <c r="P491" s="91">
        <f>(C42)</f>
        <v>1.75</v>
      </c>
      <c r="Q491" s="86" t="s">
        <v>1796</v>
      </c>
      <c r="R491" s="91">
        <f>(M491*P491)</f>
        <v>52.5</v>
      </c>
      <c r="AG491" s="86" t="s">
        <v>2284</v>
      </c>
    </row>
    <row r="492" spans="1:33" hidden="1">
      <c r="A492" s="106">
        <f t="shared" ref="A492:A523" si="25">(A491+1)</f>
        <v>325</v>
      </c>
      <c r="B492" s="86" t="s">
        <v>1690</v>
      </c>
      <c r="C492" s="8">
        <v>56.74</v>
      </c>
      <c r="D492" s="1" t="s">
        <v>877</v>
      </c>
      <c r="E492"/>
      <c r="F492" s="102"/>
      <c r="G492" s="90" t="s">
        <v>2276</v>
      </c>
      <c r="H492" s="86" t="s">
        <v>1691</v>
      </c>
      <c r="I492"/>
      <c r="J492" s="4"/>
      <c r="K492"/>
      <c r="M492" s="86" t="s">
        <v>987</v>
      </c>
      <c r="O492" s="86" t="s">
        <v>1692</v>
      </c>
      <c r="P492" s="86" t="s">
        <v>987</v>
      </c>
      <c r="R492" s="86" t="s">
        <v>987</v>
      </c>
      <c r="AG492" s="86" t="s">
        <v>2284</v>
      </c>
    </row>
    <row r="493" spans="1:33" hidden="1">
      <c r="A493" s="106">
        <f t="shared" si="25"/>
        <v>326</v>
      </c>
      <c r="B493" s="86" t="s">
        <v>1693</v>
      </c>
      <c r="C493" s="8">
        <v>56.74</v>
      </c>
      <c r="D493" s="1" t="s">
        <v>877</v>
      </c>
      <c r="E493"/>
      <c r="H493" s="86" t="s">
        <v>2294</v>
      </c>
      <c r="I493"/>
      <c r="J493" s="4"/>
      <c r="K493"/>
      <c r="M493" s="91">
        <v>8</v>
      </c>
      <c r="N493" s="86" t="s">
        <v>877</v>
      </c>
      <c r="O493" s="86" t="s">
        <v>2168</v>
      </c>
      <c r="P493" s="91">
        <f>(C43)</f>
        <v>2.2000000000000002</v>
      </c>
      <c r="Q493" s="86" t="s">
        <v>877</v>
      </c>
      <c r="R493" s="91">
        <f t="shared" ref="R493:R498" si="26">(M493*P493)</f>
        <v>17.600000000000001</v>
      </c>
      <c r="AG493" s="86" t="s">
        <v>2284</v>
      </c>
    </row>
    <row r="494" spans="1:33" hidden="1">
      <c r="A494" s="106">
        <f t="shared" si="25"/>
        <v>327</v>
      </c>
      <c r="B494" s="86" t="s">
        <v>1694</v>
      </c>
      <c r="C494"/>
      <c r="D494" s="1" t="s">
        <v>987</v>
      </c>
      <c r="E494"/>
      <c r="H494" s="89" t="s">
        <v>1609</v>
      </c>
      <c r="I494"/>
      <c r="J494" s="4"/>
      <c r="K494"/>
      <c r="M494" s="91">
        <v>8</v>
      </c>
      <c r="N494" s="86" t="s">
        <v>877</v>
      </c>
      <c r="O494" s="86" t="s">
        <v>468</v>
      </c>
      <c r="P494" s="91">
        <f>(C50)</f>
        <v>3.2</v>
      </c>
      <c r="Q494" s="86" t="s">
        <v>877</v>
      </c>
      <c r="R494" s="91">
        <f t="shared" si="26"/>
        <v>25.6</v>
      </c>
      <c r="AG494" s="86" t="s">
        <v>2284</v>
      </c>
    </row>
    <row r="495" spans="1:33" hidden="1">
      <c r="A495" s="106">
        <f t="shared" si="25"/>
        <v>328</v>
      </c>
      <c r="B495" s="86" t="s">
        <v>964</v>
      </c>
      <c r="C495" s="8">
        <v>15.6</v>
      </c>
      <c r="D495" s="1" t="s">
        <v>877</v>
      </c>
      <c r="E495"/>
      <c r="F495" s="91">
        <v>9</v>
      </c>
      <c r="G495" s="90" t="s">
        <v>878</v>
      </c>
      <c r="H495" s="86" t="s">
        <v>1695</v>
      </c>
      <c r="I495" s="8" t="e">
        <f>(C70)</f>
        <v>#REF!</v>
      </c>
      <c r="J495" s="2" t="s">
        <v>878</v>
      </c>
      <c r="K495" s="8" t="e">
        <f t="shared" ref="K495:K500" si="27">(F495*I495)</f>
        <v>#REF!</v>
      </c>
      <c r="M495" s="91">
        <v>3</v>
      </c>
      <c r="N495" s="86" t="s">
        <v>877</v>
      </c>
      <c r="O495" s="86" t="s">
        <v>1870</v>
      </c>
      <c r="P495" s="91">
        <f>(C41)</f>
        <v>110</v>
      </c>
      <c r="Q495" s="86" t="s">
        <v>877</v>
      </c>
      <c r="R495" s="91">
        <f t="shared" si="26"/>
        <v>330</v>
      </c>
      <c r="AG495" s="86" t="s">
        <v>2284</v>
      </c>
    </row>
    <row r="496" spans="1:33" hidden="1">
      <c r="A496" s="106">
        <f t="shared" si="25"/>
        <v>329</v>
      </c>
      <c r="B496" s="86" t="s">
        <v>752</v>
      </c>
      <c r="C496" s="8">
        <v>15.6</v>
      </c>
      <c r="D496" s="1" t="s">
        <v>877</v>
      </c>
      <c r="E496"/>
      <c r="F496" s="111">
        <v>3.2309999999999999</v>
      </c>
      <c r="G496" s="90" t="s">
        <v>870</v>
      </c>
      <c r="H496" s="86" t="s">
        <v>871</v>
      </c>
      <c r="I496" s="8">
        <f>(C67)</f>
        <v>3800</v>
      </c>
      <c r="J496" s="2" t="s">
        <v>870</v>
      </c>
      <c r="K496" s="8">
        <f t="shared" si="27"/>
        <v>12277.8</v>
      </c>
      <c r="M496" s="91">
        <v>1</v>
      </c>
      <c r="N496" s="86" t="s">
        <v>877</v>
      </c>
      <c r="O496" s="86" t="s">
        <v>1871</v>
      </c>
      <c r="P496" s="91">
        <f>(C10)</f>
        <v>150</v>
      </c>
      <c r="Q496" s="86" t="s">
        <v>877</v>
      </c>
      <c r="R496" s="91">
        <f t="shared" si="26"/>
        <v>150</v>
      </c>
      <c r="AG496" s="86" t="s">
        <v>2284</v>
      </c>
    </row>
    <row r="497" spans="1:33" hidden="1">
      <c r="A497" s="106">
        <f t="shared" si="25"/>
        <v>330</v>
      </c>
      <c r="B497" s="86" t="s">
        <v>1688</v>
      </c>
      <c r="C497" s="8">
        <v>15.6</v>
      </c>
      <c r="D497" s="1" t="s">
        <v>877</v>
      </c>
      <c r="E497"/>
      <c r="F497" s="91">
        <v>4.5</v>
      </c>
      <c r="G497" s="90" t="s">
        <v>878</v>
      </c>
      <c r="H497" s="86" t="s">
        <v>879</v>
      </c>
      <c r="I497" s="8" t="e">
        <f>(C78)</f>
        <v>#REF!</v>
      </c>
      <c r="J497" s="2" t="s">
        <v>878</v>
      </c>
      <c r="K497" s="8" t="e">
        <f t="shared" si="27"/>
        <v>#REF!</v>
      </c>
      <c r="M497" s="91">
        <v>2</v>
      </c>
      <c r="N497" s="86" t="s">
        <v>877</v>
      </c>
      <c r="O497" s="86" t="s">
        <v>1927</v>
      </c>
      <c r="P497" s="91">
        <f>(C12)</f>
        <v>95</v>
      </c>
      <c r="Q497" s="86" t="s">
        <v>877</v>
      </c>
      <c r="R497" s="91">
        <f t="shared" si="26"/>
        <v>190</v>
      </c>
      <c r="AG497" s="86" t="s">
        <v>2284</v>
      </c>
    </row>
    <row r="498" spans="1:33" hidden="1">
      <c r="A498" s="106">
        <f t="shared" si="25"/>
        <v>331</v>
      </c>
      <c r="B498" s="86" t="s">
        <v>1690</v>
      </c>
      <c r="C498" s="8">
        <v>100.3</v>
      </c>
      <c r="D498" s="1" t="s">
        <v>877</v>
      </c>
      <c r="E498"/>
      <c r="F498" s="91">
        <v>3.5</v>
      </c>
      <c r="G498" s="90" t="s">
        <v>877</v>
      </c>
      <c r="H498" s="86" t="s">
        <v>1737</v>
      </c>
      <c r="I498" s="8">
        <f>(C11)</f>
        <v>135</v>
      </c>
      <c r="J498" s="2" t="s">
        <v>877</v>
      </c>
      <c r="K498" s="8">
        <f t="shared" si="27"/>
        <v>472.5</v>
      </c>
      <c r="M498" s="91">
        <v>1</v>
      </c>
      <c r="N498" s="86" t="s">
        <v>877</v>
      </c>
      <c r="O498" s="86" t="s">
        <v>321</v>
      </c>
      <c r="P498" s="91">
        <f>(C13)</f>
        <v>85</v>
      </c>
      <c r="Q498" s="86" t="s">
        <v>877</v>
      </c>
      <c r="R498" s="91">
        <f t="shared" si="26"/>
        <v>85</v>
      </c>
      <c r="AG498" s="86" t="s">
        <v>322</v>
      </c>
    </row>
    <row r="499" spans="1:33" hidden="1">
      <c r="A499" s="106">
        <f t="shared" si="25"/>
        <v>332</v>
      </c>
      <c r="B499" s="86" t="s">
        <v>1693</v>
      </c>
      <c r="C499" s="8">
        <v>100.3</v>
      </c>
      <c r="D499" s="1" t="s">
        <v>877</v>
      </c>
      <c r="E499"/>
      <c r="F499" s="91">
        <v>21.2</v>
      </c>
      <c r="G499" s="90" t="s">
        <v>877</v>
      </c>
      <c r="H499" s="86" t="s">
        <v>1927</v>
      </c>
      <c r="I499" s="8">
        <f>(C12)</f>
        <v>95</v>
      </c>
      <c r="J499" s="2" t="s">
        <v>877</v>
      </c>
      <c r="K499" s="8">
        <f t="shared" si="27"/>
        <v>2014</v>
      </c>
      <c r="N499" s="86" t="s">
        <v>450</v>
      </c>
      <c r="O499" s="86" t="s">
        <v>1872</v>
      </c>
      <c r="P499" s="86" t="s">
        <v>987</v>
      </c>
      <c r="Q499" s="86" t="s">
        <v>450</v>
      </c>
      <c r="R499" s="91">
        <f>(C56)</f>
        <v>12.1</v>
      </c>
    </row>
    <row r="500" spans="1:33" hidden="1">
      <c r="A500" s="106">
        <f t="shared" si="25"/>
        <v>333</v>
      </c>
      <c r="B500" s="86" t="s">
        <v>1873</v>
      </c>
      <c r="C500"/>
      <c r="D500" s="1" t="s">
        <v>987</v>
      </c>
      <c r="E500"/>
      <c r="F500" s="91">
        <v>35.299999999999997</v>
      </c>
      <c r="G500" s="90" t="s">
        <v>877</v>
      </c>
      <c r="H500" s="86" t="s">
        <v>321</v>
      </c>
      <c r="I500" s="8">
        <f>(C13)</f>
        <v>85</v>
      </c>
      <c r="J500" s="2" t="s">
        <v>877</v>
      </c>
      <c r="K500" s="8">
        <f t="shared" si="27"/>
        <v>3000.5</v>
      </c>
      <c r="O500" s="86" t="s">
        <v>1874</v>
      </c>
      <c r="P500" s="86" t="s">
        <v>987</v>
      </c>
      <c r="R500" s="86" t="s">
        <v>987</v>
      </c>
    </row>
    <row r="501" spans="1:33" hidden="1">
      <c r="A501" s="106">
        <f t="shared" si="25"/>
        <v>334</v>
      </c>
      <c r="B501" s="86" t="s">
        <v>964</v>
      </c>
      <c r="C501" s="8">
        <v>9.4499999999999993</v>
      </c>
      <c r="D501" s="1" t="s">
        <v>877</v>
      </c>
      <c r="E501"/>
      <c r="G501" s="90" t="s">
        <v>450</v>
      </c>
      <c r="H501" s="86" t="s">
        <v>451</v>
      </c>
      <c r="I501" s="1" t="s">
        <v>987</v>
      </c>
      <c r="J501" s="2" t="s">
        <v>450</v>
      </c>
      <c r="K501" s="8">
        <v>0</v>
      </c>
      <c r="N501" s="86" t="s">
        <v>450</v>
      </c>
      <c r="O501" s="86" t="s">
        <v>451</v>
      </c>
      <c r="Q501" s="86" t="s">
        <v>450</v>
      </c>
      <c r="R501" s="91">
        <v>0</v>
      </c>
      <c r="AG501" s="86" t="s">
        <v>2284</v>
      </c>
    </row>
    <row r="502" spans="1:33" hidden="1">
      <c r="A502" s="106">
        <f t="shared" si="25"/>
        <v>335</v>
      </c>
      <c r="B502" s="86" t="s">
        <v>752</v>
      </c>
      <c r="C502" s="8">
        <v>15.6</v>
      </c>
      <c r="D502" s="1" t="s">
        <v>877</v>
      </c>
      <c r="E502"/>
      <c r="I502"/>
      <c r="J502" s="4"/>
      <c r="K502" s="5" t="s">
        <v>1609</v>
      </c>
      <c r="R502" s="89" t="s">
        <v>1609</v>
      </c>
      <c r="AG502" s="86" t="s">
        <v>2284</v>
      </c>
    </row>
    <row r="503" spans="1:33" hidden="1">
      <c r="A503" s="106">
        <f t="shared" si="25"/>
        <v>336</v>
      </c>
      <c r="B503" s="86" t="s">
        <v>1688</v>
      </c>
      <c r="C503" s="8">
        <v>15.6</v>
      </c>
      <c r="D503" s="1" t="s">
        <v>877</v>
      </c>
      <c r="E503"/>
      <c r="H503" s="86" t="s">
        <v>2196</v>
      </c>
      <c r="I503"/>
      <c r="J503" s="4"/>
      <c r="K503" s="8" t="e">
        <f>SUM(K495:K501)</f>
        <v>#REF!</v>
      </c>
      <c r="O503" s="86" t="s">
        <v>1875</v>
      </c>
      <c r="R503" s="91">
        <f>SUM(R491:R501)</f>
        <v>862.8</v>
      </c>
      <c r="AG503" s="86" t="s">
        <v>2284</v>
      </c>
    </row>
    <row r="504" spans="1:33" hidden="1">
      <c r="A504" s="106">
        <f t="shared" si="25"/>
        <v>337</v>
      </c>
      <c r="B504" s="86" t="s">
        <v>1876</v>
      </c>
      <c r="C504" s="8">
        <v>36.61</v>
      </c>
      <c r="D504" s="1" t="s">
        <v>877</v>
      </c>
      <c r="E504"/>
      <c r="I504"/>
      <c r="J504" s="4"/>
      <c r="K504" s="5" t="s">
        <v>1609</v>
      </c>
      <c r="R504" s="89" t="s">
        <v>1609</v>
      </c>
      <c r="AG504" s="86" t="s">
        <v>2284</v>
      </c>
    </row>
    <row r="505" spans="1:33" hidden="1">
      <c r="A505" s="106">
        <f t="shared" si="25"/>
        <v>338</v>
      </c>
      <c r="B505" s="86" t="s">
        <v>1690</v>
      </c>
      <c r="C505" s="8">
        <v>78.709999999999994</v>
      </c>
      <c r="D505" s="1" t="s">
        <v>877</v>
      </c>
      <c r="E505"/>
      <c r="H505" s="86" t="s">
        <v>782</v>
      </c>
      <c r="I505"/>
      <c r="J505" s="4"/>
      <c r="K505" s="8" t="e">
        <f>(K503/10)</f>
        <v>#REF!</v>
      </c>
      <c r="O505" s="86" t="s">
        <v>1567</v>
      </c>
      <c r="R505" s="91">
        <f>(R503/30)</f>
        <v>28.76</v>
      </c>
      <c r="AG505" s="86" t="s">
        <v>2284</v>
      </c>
    </row>
    <row r="506" spans="1:33" hidden="1">
      <c r="A506" s="106">
        <f t="shared" si="25"/>
        <v>339</v>
      </c>
      <c r="B506" s="86" t="s">
        <v>1693</v>
      </c>
      <c r="C506" s="8">
        <v>78.709999999999994</v>
      </c>
      <c r="D506" s="1" t="s">
        <v>877</v>
      </c>
      <c r="E506"/>
      <c r="I506"/>
      <c r="J506" s="4"/>
      <c r="K506"/>
      <c r="R506" s="89" t="s">
        <v>1609</v>
      </c>
      <c r="AG506" s="86" t="s">
        <v>2284</v>
      </c>
    </row>
    <row r="507" spans="1:33" hidden="1">
      <c r="A507" s="106">
        <f t="shared" si="25"/>
        <v>340</v>
      </c>
      <c r="B507" s="86" t="s">
        <v>1877</v>
      </c>
      <c r="C507"/>
      <c r="D507" s="1" t="s">
        <v>219</v>
      </c>
      <c r="E507"/>
      <c r="F507" s="91">
        <v>1</v>
      </c>
      <c r="G507" s="90" t="s">
        <v>878</v>
      </c>
      <c r="H507" s="86" t="s">
        <v>46</v>
      </c>
      <c r="I507"/>
      <c r="J507" s="4"/>
      <c r="K507" s="8">
        <f>(C25)</f>
        <v>20.7</v>
      </c>
      <c r="N507" s="86" t="s">
        <v>1577</v>
      </c>
      <c r="O507" s="102" t="s">
        <v>220</v>
      </c>
      <c r="AG507" s="86" t="s">
        <v>2284</v>
      </c>
    </row>
    <row r="508" spans="1:33" hidden="1">
      <c r="A508" s="106">
        <f t="shared" si="25"/>
        <v>341</v>
      </c>
      <c r="B508" s="86" t="s">
        <v>1086</v>
      </c>
      <c r="C508" s="8">
        <v>20.55</v>
      </c>
      <c r="D508" s="1" t="s">
        <v>1796</v>
      </c>
      <c r="E508"/>
      <c r="I508"/>
      <c r="J508" s="4"/>
      <c r="K508" s="5" t="s">
        <v>1609</v>
      </c>
      <c r="O508" s="89" t="s">
        <v>1609</v>
      </c>
      <c r="AG508" s="86" t="s">
        <v>2284</v>
      </c>
    </row>
    <row r="509" spans="1:33" hidden="1">
      <c r="A509" s="106">
        <f t="shared" si="25"/>
        <v>342</v>
      </c>
      <c r="B509" s="86" t="s">
        <v>1257</v>
      </c>
      <c r="C509" s="8">
        <v>32.9</v>
      </c>
      <c r="D509" s="1" t="s">
        <v>1796</v>
      </c>
      <c r="E509">
        <v>70</v>
      </c>
      <c r="H509" s="86" t="s">
        <v>1258</v>
      </c>
      <c r="I509"/>
      <c r="J509" s="4"/>
      <c r="K509" s="8" t="e">
        <f>SUM(K505:K507)</f>
        <v>#REF!</v>
      </c>
      <c r="M509" s="91">
        <v>30</v>
      </c>
      <c r="N509" s="86" t="s">
        <v>1796</v>
      </c>
      <c r="O509" s="86" t="s">
        <v>1689</v>
      </c>
      <c r="P509" s="91">
        <f>(C42)</f>
        <v>1.75</v>
      </c>
      <c r="Q509" s="86" t="s">
        <v>1796</v>
      </c>
      <c r="R509" s="91">
        <f>(M509*P509)</f>
        <v>52.5</v>
      </c>
      <c r="AG509" s="86" t="s">
        <v>2284</v>
      </c>
    </row>
    <row r="510" spans="1:33" hidden="1">
      <c r="A510" s="106">
        <f t="shared" si="25"/>
        <v>343</v>
      </c>
      <c r="B510" s="86" t="s">
        <v>1259</v>
      </c>
      <c r="C510" s="8">
        <v>48.8</v>
      </c>
      <c r="D510" s="1" t="s">
        <v>1796</v>
      </c>
      <c r="E510"/>
      <c r="I510"/>
      <c r="J510" s="4"/>
      <c r="K510" s="5" t="s">
        <v>1609</v>
      </c>
      <c r="M510" s="86" t="s">
        <v>987</v>
      </c>
      <c r="O510" s="86" t="s">
        <v>1692</v>
      </c>
      <c r="P510" s="86" t="s">
        <v>987</v>
      </c>
      <c r="R510" s="86" t="s">
        <v>987</v>
      </c>
      <c r="AG510" s="86" t="s">
        <v>2284</v>
      </c>
    </row>
    <row r="511" spans="1:33" hidden="1">
      <c r="A511" s="106">
        <f t="shared" si="25"/>
        <v>344</v>
      </c>
      <c r="B511" s="86" t="s">
        <v>1260</v>
      </c>
      <c r="C511" s="8">
        <v>65.7</v>
      </c>
      <c r="D511" s="1" t="s">
        <v>1796</v>
      </c>
      <c r="E511"/>
      <c r="G511" s="90" t="s">
        <v>1261</v>
      </c>
      <c r="H511" s="86" t="s">
        <v>386</v>
      </c>
      <c r="I511"/>
      <c r="J511" s="4"/>
      <c r="K511" s="8" t="e">
        <f>(K509+C22)</f>
        <v>#REF!</v>
      </c>
      <c r="M511" s="91">
        <v>8</v>
      </c>
      <c r="N511" s="86" t="s">
        <v>877</v>
      </c>
      <c r="O511" s="86" t="s">
        <v>2168</v>
      </c>
      <c r="P511" s="91">
        <f>(C44)</f>
        <v>2.2000000000000002</v>
      </c>
      <c r="Q511" s="86" t="s">
        <v>877</v>
      </c>
      <c r="R511" s="91">
        <f t="shared" ref="R511:R516" si="28">(M511*P511)</f>
        <v>17.600000000000001</v>
      </c>
      <c r="AG511" s="86" t="s">
        <v>2284</v>
      </c>
    </row>
    <row r="512" spans="1:33" hidden="1">
      <c r="A512" s="106">
        <f t="shared" si="25"/>
        <v>345</v>
      </c>
      <c r="B512" s="86" t="s">
        <v>1262</v>
      </c>
      <c r="C512" s="8">
        <v>69.099999999999994</v>
      </c>
      <c r="D512" s="8">
        <v>21</v>
      </c>
      <c r="E512"/>
      <c r="G512" s="90" t="s">
        <v>1263</v>
      </c>
      <c r="H512" s="86" t="s">
        <v>388</v>
      </c>
      <c r="I512"/>
      <c r="J512" s="4"/>
      <c r="K512" s="8" t="e">
        <f>(K511+C23)</f>
        <v>#REF!</v>
      </c>
      <c r="M512" s="91">
        <v>8</v>
      </c>
      <c r="N512" s="86" t="s">
        <v>877</v>
      </c>
      <c r="O512" s="86" t="s">
        <v>468</v>
      </c>
      <c r="P512" s="91">
        <f>(C51)</f>
        <v>3.2</v>
      </c>
      <c r="Q512" s="86" t="s">
        <v>877</v>
      </c>
      <c r="R512" s="91">
        <f t="shared" si="28"/>
        <v>25.6</v>
      </c>
      <c r="AG512" s="86" t="s">
        <v>2284</v>
      </c>
    </row>
    <row r="513" spans="1:33" hidden="1">
      <c r="A513" s="106">
        <f t="shared" si="25"/>
        <v>346</v>
      </c>
      <c r="B513" s="86" t="s">
        <v>376</v>
      </c>
      <c r="C513" s="8">
        <v>94.12</v>
      </c>
      <c r="D513" s="8">
        <v>37.15</v>
      </c>
      <c r="E513"/>
      <c r="G513" s="90" t="s">
        <v>426</v>
      </c>
      <c r="H513" s="86" t="s">
        <v>2257</v>
      </c>
      <c r="I513"/>
      <c r="J513" s="4"/>
      <c r="K513" s="8" t="e">
        <f>(K512+C24)</f>
        <v>#REF!</v>
      </c>
      <c r="M513" s="91">
        <v>3</v>
      </c>
      <c r="N513" s="86" t="s">
        <v>877</v>
      </c>
      <c r="O513" s="86" t="s">
        <v>1870</v>
      </c>
      <c r="P513" s="91">
        <f>(C41)</f>
        <v>110</v>
      </c>
      <c r="Q513" s="86" t="s">
        <v>877</v>
      </c>
      <c r="R513" s="91">
        <f t="shared" si="28"/>
        <v>330</v>
      </c>
      <c r="AG513" s="86" t="s">
        <v>2284</v>
      </c>
    </row>
    <row r="514" spans="1:33" hidden="1">
      <c r="A514" s="106">
        <f t="shared" si="25"/>
        <v>347</v>
      </c>
      <c r="B514" s="86" t="s">
        <v>1007</v>
      </c>
      <c r="C514"/>
      <c r="D514" s="1" t="s">
        <v>987</v>
      </c>
      <c r="E514"/>
      <c r="G514" s="90" t="s">
        <v>1008</v>
      </c>
      <c r="H514" s="86" t="s">
        <v>380</v>
      </c>
      <c r="I514"/>
      <c r="J514" s="4"/>
      <c r="K514" s="8" t="e">
        <f>(K513+C24)</f>
        <v>#REF!</v>
      </c>
      <c r="M514" s="91">
        <v>1</v>
      </c>
      <c r="N514" s="86" t="s">
        <v>877</v>
      </c>
      <c r="O514" s="86" t="s">
        <v>1871</v>
      </c>
      <c r="P514" s="91">
        <f>(C10)</f>
        <v>150</v>
      </c>
      <c r="Q514" s="86" t="s">
        <v>877</v>
      </c>
      <c r="R514" s="91">
        <f t="shared" si="28"/>
        <v>150</v>
      </c>
      <c r="AG514" s="86" t="s">
        <v>2284</v>
      </c>
    </row>
    <row r="515" spans="1:33" hidden="1">
      <c r="A515" s="106">
        <f t="shared" si="25"/>
        <v>348</v>
      </c>
      <c r="B515" s="86" t="s">
        <v>1133</v>
      </c>
      <c r="C515" s="8">
        <v>4.1900000000000004</v>
      </c>
      <c r="D515" s="1" t="s">
        <v>877</v>
      </c>
      <c r="E515"/>
      <c r="I515"/>
      <c r="J515" s="4"/>
      <c r="K515"/>
      <c r="M515" s="91">
        <v>2</v>
      </c>
      <c r="N515" s="86" t="s">
        <v>877</v>
      </c>
      <c r="O515" s="86" t="s">
        <v>1927</v>
      </c>
      <c r="P515" s="91">
        <f>(C12)</f>
        <v>95</v>
      </c>
      <c r="Q515" s="86" t="s">
        <v>877</v>
      </c>
      <c r="R515" s="91">
        <f t="shared" si="28"/>
        <v>190</v>
      </c>
      <c r="AG515" s="86" t="s">
        <v>2284</v>
      </c>
    </row>
    <row r="516" spans="1:33" hidden="1">
      <c r="A516" s="106">
        <f t="shared" si="25"/>
        <v>349</v>
      </c>
      <c r="B516" s="86" t="s">
        <v>1134</v>
      </c>
      <c r="C516" s="8">
        <v>5</v>
      </c>
      <c r="D516" s="1" t="s">
        <v>877</v>
      </c>
      <c r="E516"/>
      <c r="F516" s="102" t="s">
        <v>1009</v>
      </c>
      <c r="G516" s="90" t="s">
        <v>2276</v>
      </c>
      <c r="H516" s="86" t="s">
        <v>1010</v>
      </c>
      <c r="I516"/>
      <c r="J516" s="4"/>
      <c r="K516"/>
      <c r="M516" s="91">
        <v>1</v>
      </c>
      <c r="N516" s="86" t="s">
        <v>877</v>
      </c>
      <c r="O516" s="86" t="s">
        <v>321</v>
      </c>
      <c r="P516" s="91">
        <f>(C13)</f>
        <v>85</v>
      </c>
      <c r="Q516" s="86" t="s">
        <v>877</v>
      </c>
      <c r="R516" s="91">
        <f t="shared" si="28"/>
        <v>85</v>
      </c>
      <c r="AG516" s="86" t="s">
        <v>2284</v>
      </c>
    </row>
    <row r="517" spans="1:33" hidden="1">
      <c r="A517" s="106">
        <f t="shared" si="25"/>
        <v>350</v>
      </c>
      <c r="B517" s="86" t="s">
        <v>1135</v>
      </c>
      <c r="C517" s="8">
        <v>8.06</v>
      </c>
      <c r="D517" s="1" t="s">
        <v>877</v>
      </c>
      <c r="E517"/>
      <c r="H517" s="89" t="s">
        <v>1609</v>
      </c>
      <c r="I517"/>
      <c r="J517" s="4"/>
      <c r="K517"/>
      <c r="N517" s="86" t="s">
        <v>450</v>
      </c>
      <c r="O517" s="86" t="s">
        <v>1872</v>
      </c>
      <c r="P517" s="86" t="s">
        <v>987</v>
      </c>
      <c r="Q517" s="86" t="s">
        <v>450</v>
      </c>
      <c r="R517" s="91">
        <f>(C56)</f>
        <v>12.1</v>
      </c>
      <c r="AG517" s="86" t="s">
        <v>2284</v>
      </c>
    </row>
    <row r="518" spans="1:33" hidden="1">
      <c r="A518" s="106">
        <f t="shared" si="25"/>
        <v>351</v>
      </c>
      <c r="B518" s="86" t="s">
        <v>1136</v>
      </c>
      <c r="C518" s="8">
        <v>11.86</v>
      </c>
      <c r="D518" s="1" t="s">
        <v>877</v>
      </c>
      <c r="E518"/>
      <c r="F518" s="111">
        <v>1.4999999999999999E-2</v>
      </c>
      <c r="G518" s="90" t="s">
        <v>878</v>
      </c>
      <c r="H518" s="86" t="s">
        <v>1011</v>
      </c>
      <c r="I518" s="8" t="e">
        <f>(K505)</f>
        <v>#REF!</v>
      </c>
      <c r="J518" s="2" t="s">
        <v>878</v>
      </c>
      <c r="K518" s="8" t="e">
        <f>(F518*I518)</f>
        <v>#REF!</v>
      </c>
      <c r="O518" s="86" t="s">
        <v>1874</v>
      </c>
      <c r="P518" s="86" t="s">
        <v>987</v>
      </c>
      <c r="R518" s="86" t="s">
        <v>987</v>
      </c>
      <c r="AG518" s="86" t="s">
        <v>2284</v>
      </c>
    </row>
    <row r="519" spans="1:33" hidden="1">
      <c r="A519" s="106">
        <f t="shared" si="25"/>
        <v>352</v>
      </c>
      <c r="B519" s="86" t="s">
        <v>1138</v>
      </c>
      <c r="C519" s="8">
        <v>18.88</v>
      </c>
      <c r="D519" s="1" t="s">
        <v>877</v>
      </c>
      <c r="E519"/>
      <c r="F519" s="91">
        <v>0.5</v>
      </c>
      <c r="G519" s="90" t="s">
        <v>778</v>
      </c>
      <c r="H519" s="86" t="s">
        <v>2034</v>
      </c>
      <c r="I519" s="8">
        <f>(C10)</f>
        <v>150</v>
      </c>
      <c r="J519" s="2" t="s">
        <v>778</v>
      </c>
      <c r="K519" s="8">
        <f>(F519*I519)</f>
        <v>75</v>
      </c>
      <c r="N519" s="86" t="s">
        <v>450</v>
      </c>
      <c r="O519" s="86" t="s">
        <v>451</v>
      </c>
      <c r="Q519" s="86" t="s">
        <v>450</v>
      </c>
      <c r="R519" s="91">
        <v>0</v>
      </c>
      <c r="AG519" s="86" t="s">
        <v>2284</v>
      </c>
    </row>
    <row r="520" spans="1:33" hidden="1">
      <c r="A520" s="106">
        <f t="shared" si="25"/>
        <v>353</v>
      </c>
      <c r="B520" s="86" t="s">
        <v>239</v>
      </c>
      <c r="C520" s="8">
        <v>26</v>
      </c>
      <c r="D520" s="1" t="s">
        <v>877</v>
      </c>
      <c r="E520"/>
      <c r="F520" s="91">
        <v>0.75</v>
      </c>
      <c r="G520" s="90" t="s">
        <v>778</v>
      </c>
      <c r="H520" s="86" t="s">
        <v>1927</v>
      </c>
      <c r="I520" s="8">
        <f>(C12)</f>
        <v>95</v>
      </c>
      <c r="J520" s="2" t="s">
        <v>778</v>
      </c>
      <c r="K520" s="8">
        <f>(F520*I520)</f>
        <v>71.25</v>
      </c>
      <c r="R520" s="89" t="s">
        <v>1609</v>
      </c>
      <c r="AG520" s="86" t="s">
        <v>2284</v>
      </c>
    </row>
    <row r="521" spans="1:33" hidden="1">
      <c r="A521" s="106">
        <f t="shared" si="25"/>
        <v>354</v>
      </c>
      <c r="B521" s="86" t="s">
        <v>688</v>
      </c>
      <c r="C521"/>
      <c r="D521" s="1" t="s">
        <v>987</v>
      </c>
      <c r="E521"/>
      <c r="G521" s="90" t="s">
        <v>450</v>
      </c>
      <c r="H521" s="86" t="s">
        <v>451</v>
      </c>
      <c r="I521"/>
      <c r="J521" s="2" t="s">
        <v>450</v>
      </c>
      <c r="K521" s="8">
        <v>0</v>
      </c>
      <c r="O521" s="86" t="s">
        <v>1875</v>
      </c>
      <c r="R521" s="91">
        <f>SUM(R509:R519)</f>
        <v>862.8</v>
      </c>
      <c r="AG521" s="86" t="s">
        <v>2284</v>
      </c>
    </row>
    <row r="522" spans="1:33" hidden="1">
      <c r="A522" s="106">
        <f t="shared" si="25"/>
        <v>355</v>
      </c>
      <c r="B522" s="86" t="s">
        <v>1133</v>
      </c>
      <c r="C522" s="8">
        <v>4.62</v>
      </c>
      <c r="D522" s="1" t="s">
        <v>877</v>
      </c>
      <c r="E522"/>
      <c r="I522"/>
      <c r="J522" s="4"/>
      <c r="K522" s="5" t="s">
        <v>1609</v>
      </c>
      <c r="R522" s="89" t="s">
        <v>1609</v>
      </c>
      <c r="AG522" s="86" t="s">
        <v>2284</v>
      </c>
    </row>
    <row r="523" spans="1:33" hidden="1">
      <c r="A523" s="106">
        <f t="shared" si="25"/>
        <v>356</v>
      </c>
      <c r="B523" s="86" t="s">
        <v>1134</v>
      </c>
      <c r="C523" s="8">
        <v>7.83</v>
      </c>
      <c r="D523" s="1" t="s">
        <v>877</v>
      </c>
      <c r="E523"/>
      <c r="H523" s="86" t="s">
        <v>1773</v>
      </c>
      <c r="I523"/>
      <c r="J523" s="4"/>
      <c r="K523" s="8" t="e">
        <f>SUM(K518:K521)</f>
        <v>#REF!</v>
      </c>
      <c r="O523" s="86" t="s">
        <v>1567</v>
      </c>
      <c r="R523" s="91">
        <f>(R521/30)</f>
        <v>28.76</v>
      </c>
      <c r="AG523" s="86" t="s">
        <v>2284</v>
      </c>
    </row>
    <row r="524" spans="1:33" hidden="1">
      <c r="A524" s="106">
        <f t="shared" ref="A524:A546" si="29">(A523+1)</f>
        <v>357</v>
      </c>
      <c r="B524" s="86" t="s">
        <v>1135</v>
      </c>
      <c r="C524" s="8">
        <v>11.38</v>
      </c>
      <c r="D524" s="1" t="s">
        <v>877</v>
      </c>
      <c r="E524"/>
      <c r="I524"/>
      <c r="J524" s="4"/>
      <c r="K524" s="5" t="s">
        <v>1609</v>
      </c>
      <c r="R524" s="89" t="s">
        <v>1609</v>
      </c>
      <c r="AG524" s="86" t="s">
        <v>2284</v>
      </c>
    </row>
    <row r="525" spans="1:33" hidden="1">
      <c r="A525" s="106">
        <f t="shared" si="29"/>
        <v>358</v>
      </c>
      <c r="B525" s="86" t="s">
        <v>1136</v>
      </c>
      <c r="C525" s="8">
        <v>18.75</v>
      </c>
      <c r="D525" s="1" t="s">
        <v>877</v>
      </c>
      <c r="E525"/>
      <c r="H525" s="86" t="s">
        <v>556</v>
      </c>
      <c r="I525"/>
      <c r="J525" s="4"/>
      <c r="K525" s="8" t="e">
        <f>(K523/0.743)</f>
        <v>#REF!</v>
      </c>
      <c r="AG525" s="86" t="s">
        <v>2284</v>
      </c>
    </row>
    <row r="526" spans="1:33" hidden="1">
      <c r="A526" s="106">
        <f t="shared" si="29"/>
        <v>359</v>
      </c>
      <c r="B526" s="86" t="s">
        <v>1138</v>
      </c>
      <c r="C526" s="8">
        <v>35.1</v>
      </c>
      <c r="D526" s="1" t="s">
        <v>877</v>
      </c>
      <c r="E526"/>
      <c r="I526"/>
      <c r="J526" s="4"/>
      <c r="K526" s="5" t="s">
        <v>2080</v>
      </c>
      <c r="AG526" s="86" t="s">
        <v>2284</v>
      </c>
    </row>
    <row r="527" spans="1:33" hidden="1">
      <c r="A527" s="106">
        <f t="shared" si="29"/>
        <v>360</v>
      </c>
      <c r="B527" s="86" t="s">
        <v>239</v>
      </c>
      <c r="C527" s="8">
        <v>45.57</v>
      </c>
      <c r="D527" s="1" t="s">
        <v>877</v>
      </c>
      <c r="E527"/>
      <c r="H527" s="86" t="s">
        <v>386</v>
      </c>
      <c r="I527" s="8" t="e">
        <f>K525</f>
        <v>#REF!</v>
      </c>
      <c r="J527" s="2">
        <f>C22*0.02</f>
        <v>0.53</v>
      </c>
      <c r="K527" s="8" t="e">
        <f>I527+J527</f>
        <v>#REF!</v>
      </c>
      <c r="N527" s="86" t="s">
        <v>1980</v>
      </c>
      <c r="O527" s="102" t="s">
        <v>1290</v>
      </c>
      <c r="AG527" s="86" t="s">
        <v>2284</v>
      </c>
    </row>
    <row r="528" spans="1:33" hidden="1">
      <c r="A528" s="106">
        <f t="shared" si="29"/>
        <v>361</v>
      </c>
      <c r="B528" s="86" t="s">
        <v>1145</v>
      </c>
      <c r="C528"/>
      <c r="D528" s="1" t="s">
        <v>987</v>
      </c>
      <c r="E528"/>
      <c r="H528" s="86" t="s">
        <v>388</v>
      </c>
      <c r="I528" s="8" t="e">
        <f>K527</f>
        <v>#REF!</v>
      </c>
      <c r="J528" s="2">
        <f>C23*0.02</f>
        <v>1.06</v>
      </c>
      <c r="K528" s="8" t="e">
        <f>I528+J528</f>
        <v>#REF!</v>
      </c>
      <c r="O528" s="89" t="s">
        <v>1609</v>
      </c>
      <c r="AG528" s="86" t="s">
        <v>2284</v>
      </c>
    </row>
    <row r="529" spans="1:33" hidden="1">
      <c r="A529" s="106">
        <f t="shared" si="29"/>
        <v>362</v>
      </c>
      <c r="B529" s="86" t="s">
        <v>1133</v>
      </c>
      <c r="C529" s="8">
        <v>7.8</v>
      </c>
      <c r="D529" s="1" t="s">
        <v>877</v>
      </c>
      <c r="E529"/>
      <c r="H529" s="86" t="s">
        <v>2257</v>
      </c>
      <c r="I529" s="8" t="e">
        <f>K528</f>
        <v>#REF!</v>
      </c>
      <c r="J529" s="2">
        <f>C23*0.02</f>
        <v>1.06</v>
      </c>
      <c r="K529" s="8" t="e">
        <f>I529+J529</f>
        <v>#REF!</v>
      </c>
      <c r="M529" s="91">
        <v>30</v>
      </c>
      <c r="N529" s="86" t="s">
        <v>1796</v>
      </c>
      <c r="O529" s="86" t="s">
        <v>1689</v>
      </c>
      <c r="P529" s="91">
        <f>(C42)</f>
        <v>1.75</v>
      </c>
      <c r="Q529" s="86" t="s">
        <v>1796</v>
      </c>
      <c r="R529" s="91">
        <f>(M529*P529)</f>
        <v>52.5</v>
      </c>
      <c r="AG529" s="86" t="s">
        <v>2284</v>
      </c>
    </row>
    <row r="530" spans="1:33" hidden="1">
      <c r="A530" s="106">
        <f t="shared" si="29"/>
        <v>363</v>
      </c>
      <c r="B530" s="86" t="s">
        <v>1134</v>
      </c>
      <c r="C530" s="8">
        <v>9.49</v>
      </c>
      <c r="D530" s="1" t="s">
        <v>877</v>
      </c>
      <c r="E530"/>
      <c r="H530" s="86" t="s">
        <v>380</v>
      </c>
      <c r="I530" s="8" t="e">
        <f>K529</f>
        <v>#REF!</v>
      </c>
      <c r="J530" s="2">
        <f>C23*0.02</f>
        <v>1.06</v>
      </c>
      <c r="K530" s="8" t="e">
        <f>I530+J530</f>
        <v>#REF!</v>
      </c>
      <c r="M530" s="86" t="s">
        <v>987</v>
      </c>
      <c r="O530" s="86" t="s">
        <v>1692</v>
      </c>
      <c r="P530" s="86" t="s">
        <v>987</v>
      </c>
      <c r="R530" s="86" t="s">
        <v>987</v>
      </c>
      <c r="AG530" s="86" t="s">
        <v>2284</v>
      </c>
    </row>
    <row r="531" spans="1:33" hidden="1">
      <c r="A531" s="106">
        <f t="shared" si="29"/>
        <v>364</v>
      </c>
      <c r="B531" s="86" t="s">
        <v>1135</v>
      </c>
      <c r="C531" s="8">
        <v>13.91</v>
      </c>
      <c r="D531" s="1" t="s">
        <v>877</v>
      </c>
      <c r="E531"/>
      <c r="H531" s="86" t="s">
        <v>388</v>
      </c>
      <c r="I531" s="8" t="e">
        <f>K530</f>
        <v>#REF!</v>
      </c>
      <c r="J531" s="2">
        <f>C24*0.02</f>
        <v>1.06</v>
      </c>
      <c r="K531" s="8" t="e">
        <f>I531+J531</f>
        <v>#REF!</v>
      </c>
      <c r="M531" s="91">
        <v>8</v>
      </c>
      <c r="N531" s="86" t="s">
        <v>877</v>
      </c>
      <c r="O531" s="86" t="s">
        <v>2168</v>
      </c>
      <c r="P531" s="91">
        <f>(C45)</f>
        <v>2.7</v>
      </c>
      <c r="Q531" s="86" t="s">
        <v>877</v>
      </c>
      <c r="R531" s="91">
        <f t="shared" ref="R531:R536" si="30">(M531*P531)</f>
        <v>21.6</v>
      </c>
      <c r="AG531" s="86" t="s">
        <v>2284</v>
      </c>
    </row>
    <row r="532" spans="1:33" hidden="1">
      <c r="A532" s="106">
        <f t="shared" si="29"/>
        <v>365</v>
      </c>
      <c r="B532" s="86" t="s">
        <v>1136</v>
      </c>
      <c r="C532" s="8">
        <v>26.59</v>
      </c>
      <c r="D532" s="1" t="s">
        <v>877</v>
      </c>
      <c r="E532"/>
      <c r="F532" s="102" t="s">
        <v>1146</v>
      </c>
      <c r="G532" s="90" t="s">
        <v>2276</v>
      </c>
      <c r="H532" s="86" t="s">
        <v>256</v>
      </c>
      <c r="I532"/>
      <c r="J532" s="4"/>
      <c r="K532"/>
      <c r="M532" s="91">
        <v>8</v>
      </c>
      <c r="N532" s="86" t="s">
        <v>877</v>
      </c>
      <c r="O532" s="86" t="s">
        <v>468</v>
      </c>
      <c r="P532" s="91">
        <f>(C52)</f>
        <v>6.4</v>
      </c>
      <c r="Q532" s="86" t="s">
        <v>877</v>
      </c>
      <c r="R532" s="91">
        <f t="shared" si="30"/>
        <v>51.2</v>
      </c>
      <c r="AG532" s="86" t="s">
        <v>2284</v>
      </c>
    </row>
    <row r="533" spans="1:33" hidden="1">
      <c r="A533" s="106">
        <f t="shared" si="29"/>
        <v>366</v>
      </c>
      <c r="B533" s="86" t="s">
        <v>1138</v>
      </c>
      <c r="C533" s="8">
        <v>39.909999999999997</v>
      </c>
      <c r="D533" s="1" t="s">
        <v>877</v>
      </c>
      <c r="E533"/>
      <c r="H533" s="89" t="s">
        <v>1609</v>
      </c>
      <c r="I533"/>
      <c r="J533" s="4"/>
      <c r="K533"/>
      <c r="M533" s="91">
        <v>3</v>
      </c>
      <c r="N533" s="86" t="s">
        <v>877</v>
      </c>
      <c r="O533" s="86" t="s">
        <v>1870</v>
      </c>
      <c r="P533" s="91">
        <f>(C41)</f>
        <v>110</v>
      </c>
      <c r="Q533" s="86" t="s">
        <v>877</v>
      </c>
      <c r="R533" s="91">
        <f t="shared" si="30"/>
        <v>330</v>
      </c>
      <c r="AG533" s="86" t="s">
        <v>2284</v>
      </c>
    </row>
    <row r="534" spans="1:33" hidden="1">
      <c r="A534" s="106">
        <f t="shared" si="29"/>
        <v>367</v>
      </c>
      <c r="B534" s="86" t="s">
        <v>239</v>
      </c>
      <c r="C534" s="8">
        <v>66</v>
      </c>
      <c r="D534" s="1" t="s">
        <v>877</v>
      </c>
      <c r="E534"/>
      <c r="F534" s="91">
        <v>0.03</v>
      </c>
      <c r="G534" s="90" t="s">
        <v>878</v>
      </c>
      <c r="H534" s="86" t="s">
        <v>1011</v>
      </c>
      <c r="I534" s="8" t="e">
        <f>(K505)</f>
        <v>#REF!</v>
      </c>
      <c r="J534" s="2" t="s">
        <v>878</v>
      </c>
      <c r="K534" s="8" t="e">
        <f>(F534*I534)</f>
        <v>#REF!</v>
      </c>
      <c r="M534" s="91">
        <v>1</v>
      </c>
      <c r="N534" s="86" t="s">
        <v>877</v>
      </c>
      <c r="O534" s="86" t="s">
        <v>1871</v>
      </c>
      <c r="P534" s="91">
        <f>(C10)</f>
        <v>150</v>
      </c>
      <c r="Q534" s="86" t="s">
        <v>877</v>
      </c>
      <c r="R534" s="91">
        <f t="shared" si="30"/>
        <v>150</v>
      </c>
      <c r="AG534" s="86" t="s">
        <v>2284</v>
      </c>
    </row>
    <row r="535" spans="1:33" hidden="1">
      <c r="A535" s="106">
        <f t="shared" si="29"/>
        <v>368</v>
      </c>
      <c r="B535" s="86" t="s">
        <v>1147</v>
      </c>
      <c r="C535"/>
      <c r="D535" s="1" t="s">
        <v>987</v>
      </c>
      <c r="E535"/>
      <c r="F535" s="91">
        <v>0.5</v>
      </c>
      <c r="G535" s="90" t="s">
        <v>778</v>
      </c>
      <c r="H535" s="86" t="s">
        <v>2034</v>
      </c>
      <c r="I535" s="8">
        <f>(C10)</f>
        <v>150</v>
      </c>
      <c r="J535" s="2" t="s">
        <v>778</v>
      </c>
      <c r="K535" s="8">
        <f>(F535*I535)</f>
        <v>75</v>
      </c>
      <c r="M535" s="91">
        <v>2</v>
      </c>
      <c r="N535" s="86" t="s">
        <v>877</v>
      </c>
      <c r="O535" s="86" t="s">
        <v>1927</v>
      </c>
      <c r="P535" s="91">
        <f>(C12)</f>
        <v>95</v>
      </c>
      <c r="Q535" s="86" t="s">
        <v>877</v>
      </c>
      <c r="R535" s="91">
        <f t="shared" si="30"/>
        <v>190</v>
      </c>
      <c r="AG535" s="86" t="s">
        <v>2284</v>
      </c>
    </row>
    <row r="536" spans="1:33" hidden="1">
      <c r="A536" s="106">
        <f t="shared" si="29"/>
        <v>369</v>
      </c>
      <c r="B536" s="86" t="s">
        <v>964</v>
      </c>
      <c r="C536" s="8">
        <v>4.75</v>
      </c>
      <c r="D536" s="1" t="s">
        <v>877</v>
      </c>
      <c r="E536"/>
      <c r="F536" s="91">
        <v>0.75</v>
      </c>
      <c r="G536" s="90" t="s">
        <v>778</v>
      </c>
      <c r="H536" s="86" t="s">
        <v>1927</v>
      </c>
      <c r="I536" s="8">
        <f>(C12)</f>
        <v>95</v>
      </c>
      <c r="J536" s="2" t="s">
        <v>778</v>
      </c>
      <c r="K536" s="8">
        <f>(F536*I536)</f>
        <v>71.25</v>
      </c>
      <c r="M536" s="91">
        <v>1</v>
      </c>
      <c r="N536" s="86" t="s">
        <v>877</v>
      </c>
      <c r="O536" s="86" t="s">
        <v>321</v>
      </c>
      <c r="P536" s="91">
        <f>(C13)</f>
        <v>85</v>
      </c>
      <c r="Q536" s="86" t="s">
        <v>877</v>
      </c>
      <c r="R536" s="91">
        <f t="shared" si="30"/>
        <v>85</v>
      </c>
      <c r="AG536" s="86" t="s">
        <v>2284</v>
      </c>
    </row>
    <row r="537" spans="1:33" hidden="1">
      <c r="A537" s="106">
        <f t="shared" si="29"/>
        <v>370</v>
      </c>
      <c r="B537" s="86" t="s">
        <v>752</v>
      </c>
      <c r="C537" s="8">
        <v>6.89</v>
      </c>
      <c r="D537" s="1" t="s">
        <v>877</v>
      </c>
      <c r="E537"/>
      <c r="G537" s="90" t="s">
        <v>450</v>
      </c>
      <c r="H537" s="86" t="s">
        <v>451</v>
      </c>
      <c r="I537"/>
      <c r="J537" s="2" t="s">
        <v>450</v>
      </c>
      <c r="K537" s="8">
        <v>0</v>
      </c>
      <c r="N537" s="86" t="s">
        <v>450</v>
      </c>
      <c r="O537" s="86" t="s">
        <v>1872</v>
      </c>
      <c r="P537" s="86" t="s">
        <v>987</v>
      </c>
      <c r="Q537" s="86" t="s">
        <v>450</v>
      </c>
      <c r="R537" s="91">
        <f>(C56)</f>
        <v>12.1</v>
      </c>
      <c r="AG537" s="86" t="s">
        <v>2284</v>
      </c>
    </row>
    <row r="538" spans="1:33" hidden="1">
      <c r="A538" s="106">
        <f t="shared" si="29"/>
        <v>371</v>
      </c>
      <c r="B538" s="86" t="s">
        <v>1688</v>
      </c>
      <c r="C538" s="8">
        <v>6.18</v>
      </c>
      <c r="D538" s="1" t="s">
        <v>877</v>
      </c>
      <c r="E538"/>
      <c r="I538"/>
      <c r="J538" s="4"/>
      <c r="K538" s="5" t="s">
        <v>1609</v>
      </c>
      <c r="O538" s="86" t="s">
        <v>1874</v>
      </c>
      <c r="P538" s="86" t="s">
        <v>987</v>
      </c>
      <c r="R538" s="86" t="s">
        <v>987</v>
      </c>
      <c r="AG538" s="86" t="s">
        <v>2284</v>
      </c>
    </row>
    <row r="539" spans="1:33" hidden="1">
      <c r="A539" s="106">
        <f t="shared" si="29"/>
        <v>372</v>
      </c>
      <c r="B539" s="86" t="s">
        <v>1148</v>
      </c>
      <c r="C539" s="8">
        <v>13.29</v>
      </c>
      <c r="D539" s="1" t="s">
        <v>877</v>
      </c>
      <c r="E539"/>
      <c r="H539" s="86" t="s">
        <v>1773</v>
      </c>
      <c r="I539"/>
      <c r="J539" s="4"/>
      <c r="K539" s="8" t="e">
        <f>SUM(K534:K537)</f>
        <v>#REF!</v>
      </c>
      <c r="N539" s="86" t="s">
        <v>450</v>
      </c>
      <c r="O539" s="86" t="s">
        <v>451</v>
      </c>
      <c r="Q539" s="86" t="s">
        <v>450</v>
      </c>
      <c r="R539" s="91">
        <v>0</v>
      </c>
      <c r="AG539" s="86" t="s">
        <v>2284</v>
      </c>
    </row>
    <row r="540" spans="1:33" hidden="1">
      <c r="A540" s="106">
        <f t="shared" si="29"/>
        <v>373</v>
      </c>
      <c r="B540" s="86" t="s">
        <v>1149</v>
      </c>
      <c r="C540" s="8">
        <v>14.11</v>
      </c>
      <c r="D540" s="1" t="s">
        <v>877</v>
      </c>
      <c r="E540"/>
      <c r="I540"/>
      <c r="J540" s="4"/>
      <c r="K540" s="5" t="s">
        <v>1609</v>
      </c>
      <c r="R540" s="89" t="s">
        <v>1609</v>
      </c>
      <c r="AG540" s="86" t="s">
        <v>2284</v>
      </c>
    </row>
    <row r="541" spans="1:33" hidden="1">
      <c r="A541" s="106">
        <f t="shared" si="29"/>
        <v>374</v>
      </c>
      <c r="B541" s="86" t="s">
        <v>1150</v>
      </c>
      <c r="C541" s="8">
        <v>14.69</v>
      </c>
      <c r="D541" s="1" t="s">
        <v>877</v>
      </c>
      <c r="E541"/>
      <c r="H541" s="86" t="s">
        <v>556</v>
      </c>
      <c r="I541"/>
      <c r="J541" s="4"/>
      <c r="K541" s="8" t="e">
        <f>(K539/0.743)</f>
        <v>#REF!</v>
      </c>
      <c r="O541" s="86" t="s">
        <v>1875</v>
      </c>
      <c r="R541" s="91">
        <f>SUM(R529:R539)</f>
        <v>892.4</v>
      </c>
      <c r="AG541" s="86" t="s">
        <v>2284</v>
      </c>
    </row>
    <row r="542" spans="1:33" hidden="1">
      <c r="A542" s="106">
        <f t="shared" si="29"/>
        <v>375</v>
      </c>
      <c r="B542" s="86" t="s">
        <v>1889</v>
      </c>
      <c r="C542"/>
      <c r="D542" s="1" t="s">
        <v>987</v>
      </c>
      <c r="E542"/>
      <c r="I542"/>
      <c r="J542" s="4"/>
      <c r="K542" s="5" t="s">
        <v>2080</v>
      </c>
      <c r="R542" s="89" t="s">
        <v>1609</v>
      </c>
      <c r="AG542" s="86" t="s">
        <v>2284</v>
      </c>
    </row>
    <row r="543" spans="1:33" hidden="1">
      <c r="A543" s="106">
        <f t="shared" si="29"/>
        <v>376</v>
      </c>
      <c r="B543" s="86" t="s">
        <v>964</v>
      </c>
      <c r="C543" s="8">
        <v>10.3</v>
      </c>
      <c r="D543" s="1" t="s">
        <v>877</v>
      </c>
      <c r="E543"/>
      <c r="H543" s="86" t="s">
        <v>386</v>
      </c>
      <c r="I543" s="8" t="e">
        <f>K541</f>
        <v>#REF!</v>
      </c>
      <c r="J543" s="2">
        <f>C22*0.04</f>
        <v>1.06</v>
      </c>
      <c r="K543" s="8" t="e">
        <f>I543+J543</f>
        <v>#REF!</v>
      </c>
      <c r="O543" s="86" t="s">
        <v>1567</v>
      </c>
      <c r="R543" s="91">
        <f>(R541/30)</f>
        <v>29.75</v>
      </c>
      <c r="AG543" s="86" t="s">
        <v>2284</v>
      </c>
    </row>
    <row r="544" spans="1:33" hidden="1">
      <c r="A544" s="106">
        <f t="shared" si="29"/>
        <v>377</v>
      </c>
      <c r="B544" s="86" t="s">
        <v>752</v>
      </c>
      <c r="C544" s="8">
        <v>19.05</v>
      </c>
      <c r="D544" s="1" t="s">
        <v>877</v>
      </c>
      <c r="E544"/>
      <c r="H544" s="86" t="s">
        <v>388</v>
      </c>
      <c r="I544" s="8" t="e">
        <f>K543</f>
        <v>#REF!</v>
      </c>
      <c r="J544" s="2">
        <f>C23*0.04</f>
        <v>2.11</v>
      </c>
      <c r="K544" s="8" t="e">
        <f>I544+J544</f>
        <v>#REF!</v>
      </c>
      <c r="R544" s="89" t="s">
        <v>1609</v>
      </c>
      <c r="AG544" s="86" t="s">
        <v>2284</v>
      </c>
    </row>
    <row r="545" spans="1:33" hidden="1">
      <c r="A545" s="106">
        <f t="shared" si="29"/>
        <v>378</v>
      </c>
      <c r="B545" s="86" t="s">
        <v>1688</v>
      </c>
      <c r="C545" s="8">
        <v>15.34</v>
      </c>
      <c r="D545" s="1" t="s">
        <v>877</v>
      </c>
      <c r="E545"/>
      <c r="H545" s="86" t="s">
        <v>2257</v>
      </c>
      <c r="I545" s="8" t="e">
        <f>K544</f>
        <v>#REF!</v>
      </c>
      <c r="J545" s="2">
        <f>C23*0.04</f>
        <v>2.11</v>
      </c>
      <c r="K545" s="8" t="e">
        <f>I545+J545</f>
        <v>#REF!</v>
      </c>
      <c r="N545" s="86" t="s">
        <v>2276</v>
      </c>
      <c r="O545" s="86" t="s">
        <v>2072</v>
      </c>
      <c r="AG545" s="86" t="s">
        <v>2284</v>
      </c>
    </row>
    <row r="546" spans="1:33" hidden="1">
      <c r="A546" s="106">
        <f t="shared" si="29"/>
        <v>379</v>
      </c>
      <c r="B546" s="86" t="s">
        <v>1890</v>
      </c>
      <c r="C546" s="8">
        <v>29.41</v>
      </c>
      <c r="D546" s="1" t="s">
        <v>877</v>
      </c>
      <c r="E546"/>
      <c r="H546" s="86" t="s">
        <v>380</v>
      </c>
      <c r="I546" s="8" t="e">
        <f>K545</f>
        <v>#REF!</v>
      </c>
      <c r="J546" s="2">
        <f>C23*0.04</f>
        <v>2.11</v>
      </c>
      <c r="K546" s="8" t="e">
        <f>I546+J546</f>
        <v>#REF!</v>
      </c>
      <c r="O546" s="86" t="s">
        <v>1891</v>
      </c>
      <c r="AG546" s="86" t="s">
        <v>2284</v>
      </c>
    </row>
    <row r="547" spans="1:33" hidden="1">
      <c r="C547"/>
      <c r="D547"/>
      <c r="E547"/>
      <c r="F547" s="86" t="s">
        <v>987</v>
      </c>
      <c r="H547" s="86" t="s">
        <v>388</v>
      </c>
      <c r="I547" s="8" t="e">
        <f>K546</f>
        <v>#REF!</v>
      </c>
      <c r="J547" s="2">
        <f>C24*0.04</f>
        <v>2.11</v>
      </c>
      <c r="K547" s="8" t="e">
        <f>I547+J547</f>
        <v>#REF!</v>
      </c>
    </row>
    <row r="548" spans="1:33" hidden="1">
      <c r="A548" s="106">
        <f>(A546+1)</f>
        <v>380</v>
      </c>
      <c r="B548" s="86" t="s">
        <v>1149</v>
      </c>
      <c r="C548" s="8">
        <v>38.35</v>
      </c>
      <c r="D548" s="1" t="s">
        <v>877</v>
      </c>
      <c r="E548"/>
      <c r="I548"/>
      <c r="J548" s="4"/>
      <c r="K548"/>
      <c r="O548" s="86" t="s">
        <v>155</v>
      </c>
      <c r="AG548" s="86" t="s">
        <v>2284</v>
      </c>
    </row>
    <row r="549" spans="1:33" hidden="1">
      <c r="A549" s="106">
        <f t="shared" ref="A549:A564" si="31">(A548+1)</f>
        <v>381</v>
      </c>
      <c r="B549" s="86" t="s">
        <v>1150</v>
      </c>
      <c r="C549" s="8">
        <v>37.96</v>
      </c>
      <c r="D549" s="1" t="s">
        <v>877</v>
      </c>
      <c r="E549"/>
      <c r="F549" s="112"/>
      <c r="G549" s="90" t="s">
        <v>987</v>
      </c>
      <c r="H549" s="86" t="s">
        <v>135</v>
      </c>
      <c r="I549"/>
      <c r="J549" s="4"/>
      <c r="K549"/>
      <c r="O549" s="89" t="s">
        <v>1609</v>
      </c>
      <c r="AG549" s="86" t="s">
        <v>2284</v>
      </c>
    </row>
    <row r="550" spans="1:33" hidden="1">
      <c r="A550" s="106">
        <f t="shared" si="31"/>
        <v>382</v>
      </c>
      <c r="B550" s="86" t="s">
        <v>136</v>
      </c>
      <c r="C550"/>
      <c r="D550" s="1" t="s">
        <v>987</v>
      </c>
      <c r="E550"/>
      <c r="H550" s="86" t="s">
        <v>1283</v>
      </c>
      <c r="I550"/>
      <c r="J550" s="4"/>
      <c r="K550"/>
      <c r="AG550" s="86" t="s">
        <v>2284</v>
      </c>
    </row>
    <row r="551" spans="1:33" hidden="1">
      <c r="A551" s="106">
        <f t="shared" si="31"/>
        <v>383</v>
      </c>
      <c r="B551" s="86" t="s">
        <v>964</v>
      </c>
      <c r="C551" s="8">
        <v>6.68</v>
      </c>
      <c r="D551" s="1" t="s">
        <v>877</v>
      </c>
      <c r="E551"/>
      <c r="H551" s="86" t="s">
        <v>1284</v>
      </c>
      <c r="I551"/>
      <c r="J551" s="4"/>
      <c r="K551"/>
      <c r="N551" s="86" t="s">
        <v>156</v>
      </c>
      <c r="O551" s="86" t="s">
        <v>1037</v>
      </c>
      <c r="AG551" s="86" t="s">
        <v>2284</v>
      </c>
    </row>
    <row r="552" spans="1:33" hidden="1">
      <c r="A552" s="106">
        <f t="shared" si="31"/>
        <v>384</v>
      </c>
      <c r="B552" s="86" t="s">
        <v>752</v>
      </c>
      <c r="C552" s="8">
        <v>9.4499999999999993</v>
      </c>
      <c r="D552" s="1" t="s">
        <v>877</v>
      </c>
      <c r="E552"/>
      <c r="H552" s="86" t="s">
        <v>1038</v>
      </c>
      <c r="I552"/>
      <c r="J552" s="4"/>
      <c r="K552"/>
      <c r="O552" s="89" t="s">
        <v>1609</v>
      </c>
      <c r="AG552" s="86" t="s">
        <v>2284</v>
      </c>
    </row>
    <row r="553" spans="1:33" hidden="1">
      <c r="A553" s="106">
        <f t="shared" si="31"/>
        <v>385</v>
      </c>
      <c r="B553" s="86" t="s">
        <v>1688</v>
      </c>
      <c r="C553" s="8">
        <v>33.04</v>
      </c>
      <c r="D553" s="1" t="s">
        <v>877</v>
      </c>
      <c r="E553"/>
      <c r="H553" s="86" t="s">
        <v>1039</v>
      </c>
      <c r="I553"/>
      <c r="J553" s="4"/>
      <c r="K553"/>
      <c r="M553" s="91">
        <v>8.1</v>
      </c>
      <c r="N553" s="86" t="s">
        <v>878</v>
      </c>
      <c r="O553" s="86" t="s">
        <v>623</v>
      </c>
      <c r="P553" s="91">
        <f>(C61)*2</f>
        <v>50</v>
      </c>
      <c r="Q553" s="86" t="s">
        <v>878</v>
      </c>
      <c r="R553" s="91">
        <f>(M553*P553)</f>
        <v>405</v>
      </c>
      <c r="AG553" s="86" t="s">
        <v>2284</v>
      </c>
    </row>
    <row r="554" spans="1:33" hidden="1">
      <c r="A554" s="106">
        <f t="shared" si="31"/>
        <v>386</v>
      </c>
      <c r="B554" s="86" t="s">
        <v>1890</v>
      </c>
      <c r="C554" s="8">
        <v>33.04</v>
      </c>
      <c r="D554" s="1" t="s">
        <v>877</v>
      </c>
      <c r="E554"/>
      <c r="H554" s="86" t="s">
        <v>1266</v>
      </c>
      <c r="I554"/>
      <c r="J554" s="4"/>
      <c r="K554"/>
      <c r="M554" s="91">
        <v>8.1</v>
      </c>
      <c r="N554" s="86" t="s">
        <v>878</v>
      </c>
      <c r="O554" s="86" t="s">
        <v>2182</v>
      </c>
      <c r="P554" s="91">
        <f>(C26)</f>
        <v>8.8000000000000007</v>
      </c>
      <c r="Q554" s="86" t="s">
        <v>878</v>
      </c>
      <c r="R554" s="91">
        <f>(M554*P554)</f>
        <v>71.28</v>
      </c>
      <c r="AG554" s="86" t="s">
        <v>2284</v>
      </c>
    </row>
    <row r="555" spans="1:33" hidden="1">
      <c r="A555" s="106">
        <f t="shared" si="31"/>
        <v>387</v>
      </c>
      <c r="B555" s="86" t="s">
        <v>1267</v>
      </c>
      <c r="C555" s="8">
        <v>33.04</v>
      </c>
      <c r="D555" s="1" t="s">
        <v>877</v>
      </c>
      <c r="E555"/>
      <c r="H555" s="86" t="s">
        <v>2450</v>
      </c>
      <c r="I555"/>
      <c r="J555" s="4"/>
      <c r="K555"/>
      <c r="M555" s="91">
        <v>30</v>
      </c>
      <c r="N555" s="86" t="s">
        <v>1796</v>
      </c>
      <c r="O555" s="86" t="s">
        <v>2183</v>
      </c>
      <c r="P555" s="91">
        <f>(C639)</f>
        <v>3</v>
      </c>
      <c r="Q555" s="86" t="s">
        <v>1796</v>
      </c>
      <c r="R555" s="91">
        <f>(M555*P555)</f>
        <v>90</v>
      </c>
      <c r="AG555" s="86" t="s">
        <v>322</v>
      </c>
    </row>
    <row r="556" spans="1:33" hidden="1">
      <c r="A556" s="106">
        <f t="shared" si="31"/>
        <v>388</v>
      </c>
      <c r="B556" s="86" t="s">
        <v>1268</v>
      </c>
      <c r="C556" s="8">
        <v>33.04</v>
      </c>
      <c r="D556" s="1" t="s">
        <v>877</v>
      </c>
      <c r="E556"/>
      <c r="H556" s="89" t="s">
        <v>1609</v>
      </c>
      <c r="I556" s="5" t="s">
        <v>1609</v>
      </c>
      <c r="J556" s="4"/>
      <c r="K556"/>
      <c r="O556" s="86" t="s">
        <v>1269</v>
      </c>
    </row>
    <row r="557" spans="1:33" hidden="1">
      <c r="A557" s="106">
        <f t="shared" si="31"/>
        <v>389</v>
      </c>
      <c r="B557" s="86" t="s">
        <v>616</v>
      </c>
      <c r="C557" s="8">
        <v>538</v>
      </c>
      <c r="D557" s="1" t="s">
        <v>877</v>
      </c>
      <c r="E557"/>
      <c r="G557" s="90" t="s">
        <v>695</v>
      </c>
      <c r="H557" s="86" t="s">
        <v>617</v>
      </c>
      <c r="I557"/>
      <c r="J557" s="4"/>
      <c r="K557"/>
      <c r="O557" s="86" t="s">
        <v>2185</v>
      </c>
    </row>
    <row r="558" spans="1:33" hidden="1">
      <c r="A558" s="106">
        <f t="shared" si="31"/>
        <v>390</v>
      </c>
      <c r="B558" s="86" t="s">
        <v>2305</v>
      </c>
      <c r="C558" s="8">
        <v>340</v>
      </c>
      <c r="D558" s="1" t="s">
        <v>877</v>
      </c>
      <c r="E558"/>
      <c r="H558" s="86" t="s">
        <v>2306</v>
      </c>
      <c r="I558"/>
      <c r="J558" s="4"/>
      <c r="K558"/>
      <c r="O558" s="86" t="s">
        <v>2186</v>
      </c>
      <c r="AG558" s="86" t="s">
        <v>2284</v>
      </c>
    </row>
    <row r="559" spans="1:33" hidden="1">
      <c r="A559" s="106">
        <f t="shared" si="31"/>
        <v>391</v>
      </c>
      <c r="B559" s="86" t="s">
        <v>2307</v>
      </c>
      <c r="C559" s="8">
        <v>1039</v>
      </c>
      <c r="D559" s="1" t="s">
        <v>877</v>
      </c>
      <c r="E559"/>
      <c r="F559" s="91">
        <v>10</v>
      </c>
      <c r="G559" s="90" t="s">
        <v>2308</v>
      </c>
      <c r="H559" s="86" t="s">
        <v>562</v>
      </c>
      <c r="I559" s="8">
        <f>C721</f>
        <v>227</v>
      </c>
      <c r="J559" s="2" t="s">
        <v>2308</v>
      </c>
      <c r="K559" s="8">
        <f>(F559*I559)</f>
        <v>2270</v>
      </c>
      <c r="O559" s="86" t="s">
        <v>2189</v>
      </c>
      <c r="AG559" s="86" t="s">
        <v>2284</v>
      </c>
    </row>
    <row r="560" spans="1:33" hidden="1">
      <c r="A560" s="106">
        <f t="shared" si="31"/>
        <v>392</v>
      </c>
      <c r="B560" s="86" t="s">
        <v>563</v>
      </c>
      <c r="C560" s="8">
        <v>100.44</v>
      </c>
      <c r="D560" s="1" t="s">
        <v>877</v>
      </c>
      <c r="E560"/>
      <c r="F560" s="91">
        <v>1</v>
      </c>
      <c r="G560" s="90" t="s">
        <v>564</v>
      </c>
      <c r="H560" s="86" t="s">
        <v>565</v>
      </c>
      <c r="I560" s="8">
        <f>C10</f>
        <v>150</v>
      </c>
      <c r="J560" s="2" t="s">
        <v>1418</v>
      </c>
      <c r="K560" s="8">
        <f>(F560*I560)</f>
        <v>150</v>
      </c>
      <c r="M560" s="91">
        <v>8</v>
      </c>
      <c r="N560" s="86" t="s">
        <v>778</v>
      </c>
      <c r="O560" s="86" t="s">
        <v>2168</v>
      </c>
      <c r="P560" s="91">
        <f>(C641)</f>
        <v>2.2000000000000002</v>
      </c>
      <c r="Q560" s="86" t="s">
        <v>778</v>
      </c>
      <c r="R560" s="91">
        <f>(M560*P560)</f>
        <v>17.600000000000001</v>
      </c>
      <c r="AG560" s="86" t="s">
        <v>2284</v>
      </c>
    </row>
    <row r="561" spans="1:33" hidden="1">
      <c r="A561" s="106">
        <f t="shared" si="31"/>
        <v>393</v>
      </c>
      <c r="B561" s="86" t="s">
        <v>831</v>
      </c>
      <c r="C561" s="8">
        <v>31</v>
      </c>
      <c r="D561" s="1" t="s">
        <v>1170</v>
      </c>
      <c r="E561"/>
      <c r="F561" s="91">
        <v>1</v>
      </c>
      <c r="G561" s="90" t="s">
        <v>564</v>
      </c>
      <c r="H561" s="86" t="s">
        <v>832</v>
      </c>
      <c r="I561" s="8">
        <f>C12</f>
        <v>95</v>
      </c>
      <c r="J561" s="2" t="s">
        <v>1418</v>
      </c>
      <c r="K561" s="8">
        <f>(F561*I561)</f>
        <v>95</v>
      </c>
      <c r="M561" s="91">
        <v>8</v>
      </c>
      <c r="N561" s="86" t="s">
        <v>778</v>
      </c>
      <c r="O561" s="86" t="s">
        <v>468</v>
      </c>
      <c r="P561" s="91">
        <f>(C642)</f>
        <v>3.2</v>
      </c>
      <c r="Q561" s="86" t="s">
        <v>778</v>
      </c>
      <c r="R561" s="91">
        <f>(M561*P561)</f>
        <v>25.6</v>
      </c>
      <c r="AG561" s="86" t="s">
        <v>2284</v>
      </c>
    </row>
    <row r="562" spans="1:33" hidden="1">
      <c r="A562" s="106">
        <f t="shared" si="31"/>
        <v>394</v>
      </c>
      <c r="B562" s="86" t="s">
        <v>2967</v>
      </c>
      <c r="C562" s="8">
        <v>71.239999999999995</v>
      </c>
      <c r="D562" s="1" t="s">
        <v>877</v>
      </c>
      <c r="E562"/>
      <c r="G562" s="90" t="s">
        <v>450</v>
      </c>
      <c r="H562" s="86" t="s">
        <v>61</v>
      </c>
      <c r="I562"/>
      <c r="J562" s="2" t="s">
        <v>450</v>
      </c>
      <c r="K562" s="8">
        <v>120</v>
      </c>
      <c r="M562" s="91">
        <v>1</v>
      </c>
      <c r="N562" s="86" t="s">
        <v>450</v>
      </c>
      <c r="O562" s="86" t="s">
        <v>1709</v>
      </c>
      <c r="P562" s="91">
        <f>(C643)</f>
        <v>4</v>
      </c>
      <c r="Q562" s="86" t="s">
        <v>450</v>
      </c>
      <c r="R562" s="91">
        <f>(M562*P562)</f>
        <v>4</v>
      </c>
      <c r="AG562" s="86" t="s">
        <v>2284</v>
      </c>
    </row>
    <row r="563" spans="1:33" hidden="1">
      <c r="A563" s="106">
        <f t="shared" si="31"/>
        <v>395</v>
      </c>
      <c r="B563" s="86" t="s">
        <v>62</v>
      </c>
      <c r="C563" s="8">
        <v>82.2</v>
      </c>
      <c r="D563" s="1" t="s">
        <v>877</v>
      </c>
      <c r="E563"/>
      <c r="H563" s="86" t="s">
        <v>941</v>
      </c>
      <c r="I563"/>
      <c r="J563" s="4"/>
      <c r="K563" s="5" t="s">
        <v>1609</v>
      </c>
      <c r="M563" s="91">
        <v>1</v>
      </c>
      <c r="N563" s="86" t="s">
        <v>450</v>
      </c>
      <c r="O563" s="86" t="s">
        <v>451</v>
      </c>
      <c r="Q563" s="86" t="s">
        <v>450</v>
      </c>
      <c r="R563" s="91">
        <v>0</v>
      </c>
      <c r="AG563" s="86" t="s">
        <v>2284</v>
      </c>
    </row>
    <row r="564" spans="1:33" hidden="1">
      <c r="A564" s="106">
        <f t="shared" si="31"/>
        <v>396</v>
      </c>
      <c r="B564" s="86" t="s">
        <v>1077</v>
      </c>
      <c r="C564" s="8">
        <v>57.51</v>
      </c>
      <c r="D564" s="1" t="s">
        <v>877</v>
      </c>
      <c r="E564"/>
      <c r="H564" s="102" t="s">
        <v>1078</v>
      </c>
      <c r="I564"/>
      <c r="J564" s="4"/>
      <c r="K564" s="8">
        <f>SUM(K559:K562)</f>
        <v>2635</v>
      </c>
      <c r="R564" s="89" t="s">
        <v>1609</v>
      </c>
      <c r="AG564" s="86" t="s">
        <v>2284</v>
      </c>
    </row>
    <row r="565" spans="1:33" hidden="1">
      <c r="C565"/>
      <c r="D565"/>
      <c r="E565"/>
      <c r="F565" s="86" t="s">
        <v>987</v>
      </c>
      <c r="I565"/>
      <c r="J565" s="4"/>
      <c r="K565"/>
    </row>
    <row r="566" spans="1:33" hidden="1">
      <c r="A566" s="106">
        <f>(A564+1)</f>
        <v>397</v>
      </c>
      <c r="B566" s="86" t="s">
        <v>926</v>
      </c>
      <c r="C566" s="8">
        <v>28.5</v>
      </c>
      <c r="D566" s="1" t="s">
        <v>877</v>
      </c>
      <c r="E566"/>
      <c r="I566"/>
      <c r="J566" s="4"/>
      <c r="K566" s="5" t="s">
        <v>1609</v>
      </c>
      <c r="O566" s="86" t="s">
        <v>1566</v>
      </c>
      <c r="R566" s="91">
        <f>SUM(R553:R563)</f>
        <v>613.48</v>
      </c>
      <c r="AG566" s="86" t="s">
        <v>2284</v>
      </c>
    </row>
    <row r="567" spans="1:33" hidden="1">
      <c r="A567" s="106">
        <f>(A566+1)</f>
        <v>398</v>
      </c>
      <c r="B567" s="86" t="s">
        <v>503</v>
      </c>
      <c r="C567" s="8">
        <v>57.51</v>
      </c>
      <c r="D567" s="1" t="s">
        <v>877</v>
      </c>
      <c r="E567"/>
      <c r="H567" s="102" t="s">
        <v>504</v>
      </c>
      <c r="I567"/>
      <c r="J567" s="4"/>
      <c r="K567" s="8">
        <f>K564/10</f>
        <v>263.5</v>
      </c>
      <c r="R567" s="89" t="s">
        <v>1609</v>
      </c>
      <c r="AG567" s="86" t="s">
        <v>2284</v>
      </c>
    </row>
    <row r="568" spans="1:33" hidden="1">
      <c r="A568" s="106">
        <f>(A567+1)</f>
        <v>399</v>
      </c>
      <c r="B568" s="86" t="s">
        <v>1934</v>
      </c>
      <c r="C568" s="8">
        <v>20</v>
      </c>
      <c r="D568" s="1" t="s">
        <v>877</v>
      </c>
      <c r="E568"/>
      <c r="H568" s="86" t="s">
        <v>386</v>
      </c>
      <c r="I568" s="8">
        <f>K567</f>
        <v>263.5</v>
      </c>
      <c r="J568" s="2">
        <f>C22*0.02</f>
        <v>0.53</v>
      </c>
      <c r="K568" s="8">
        <f>I568+J568</f>
        <v>264.02999999999997</v>
      </c>
      <c r="O568" s="86" t="s">
        <v>1567</v>
      </c>
      <c r="R568" s="91">
        <f>(R566/30)</f>
        <v>20.45</v>
      </c>
      <c r="AG568" s="86" t="s">
        <v>2284</v>
      </c>
    </row>
    <row r="569" spans="1:33" hidden="1">
      <c r="A569" s="106">
        <f>(A568+1)</f>
        <v>400</v>
      </c>
      <c r="B569" s="86" t="s">
        <v>1935</v>
      </c>
      <c r="C569" s="8">
        <v>21.92</v>
      </c>
      <c r="D569" s="1" t="s">
        <v>877</v>
      </c>
      <c r="E569"/>
      <c r="H569" s="86" t="s">
        <v>388</v>
      </c>
      <c r="I569" s="8">
        <f>K568</f>
        <v>264.02999999999997</v>
      </c>
      <c r="J569" s="2">
        <f>C23*0.02</f>
        <v>1.06</v>
      </c>
      <c r="K569" s="8">
        <f>I569+J569</f>
        <v>265.08999999999997</v>
      </c>
      <c r="N569" s="86" t="s">
        <v>2276</v>
      </c>
      <c r="O569" s="86" t="s">
        <v>1936</v>
      </c>
      <c r="AG569" s="86" t="s">
        <v>2284</v>
      </c>
    </row>
    <row r="570" spans="1:33" hidden="1">
      <c r="A570" s="106">
        <f>(A569+1)</f>
        <v>401</v>
      </c>
      <c r="B570" s="86" t="s">
        <v>237</v>
      </c>
      <c r="C570" s="8">
        <v>28.5</v>
      </c>
      <c r="D570" s="1" t="s">
        <v>877</v>
      </c>
      <c r="E570"/>
      <c r="H570" s="86" t="s">
        <v>2257</v>
      </c>
      <c r="I570" s="8">
        <f>K569</f>
        <v>265.08999999999997</v>
      </c>
      <c r="J570" s="2">
        <f>C23*0.02</f>
        <v>1.06</v>
      </c>
      <c r="K570" s="8">
        <f>I570+J570</f>
        <v>266.14999999999998</v>
      </c>
      <c r="O570" s="86" t="s">
        <v>238</v>
      </c>
      <c r="AG570" s="86" t="s">
        <v>2284</v>
      </c>
    </row>
    <row r="571" spans="1:33" hidden="1">
      <c r="A571" s="106">
        <f>(A570+1)</f>
        <v>402</v>
      </c>
      <c r="B571" s="86" t="s">
        <v>2093</v>
      </c>
      <c r="C571" s="8">
        <v>535</v>
      </c>
      <c r="D571" s="1" t="s">
        <v>877</v>
      </c>
      <c r="E571"/>
      <c r="H571" s="86" t="s">
        <v>380</v>
      </c>
      <c r="I571" s="8">
        <f>K570</f>
        <v>266.14999999999998</v>
      </c>
      <c r="J571" s="2">
        <f>C23*0.02</f>
        <v>1.06</v>
      </c>
      <c r="K571" s="8">
        <f>I571+J571</f>
        <v>267.20999999999998</v>
      </c>
      <c r="O571" s="89" t="s">
        <v>1609</v>
      </c>
      <c r="AG571" s="86" t="s">
        <v>2284</v>
      </c>
    </row>
    <row r="572" spans="1:33" hidden="1">
      <c r="A572" s="106"/>
      <c r="B572" s="86"/>
      <c r="C572" s="8"/>
      <c r="D572" s="1"/>
      <c r="E572"/>
      <c r="H572" s="86" t="s">
        <v>1384</v>
      </c>
      <c r="I572" s="8">
        <f>K571</f>
        <v>267.20999999999998</v>
      </c>
      <c r="J572" s="2">
        <f>C24*0.02</f>
        <v>1.06</v>
      </c>
      <c r="K572" s="8">
        <f>I572+J572</f>
        <v>268.27</v>
      </c>
      <c r="O572" s="89"/>
      <c r="AG572" s="86"/>
    </row>
    <row r="573" spans="1:33" hidden="1">
      <c r="A573" s="106">
        <f>(A571+1)</f>
        <v>403</v>
      </c>
      <c r="B573" s="86" t="s">
        <v>547</v>
      </c>
      <c r="C573" s="8">
        <v>21</v>
      </c>
      <c r="D573" s="1" t="s">
        <v>877</v>
      </c>
      <c r="E573"/>
      <c r="F573" s="112">
        <v>15.2</v>
      </c>
      <c r="G573" s="90" t="s">
        <v>695</v>
      </c>
      <c r="H573" s="86" t="s">
        <v>795</v>
      </c>
      <c r="I573"/>
      <c r="J573" s="4"/>
      <c r="K573"/>
      <c r="M573" s="91">
        <v>1.08</v>
      </c>
      <c r="N573" s="86" t="s">
        <v>878</v>
      </c>
      <c r="O573" s="86" t="s">
        <v>796</v>
      </c>
      <c r="P573" s="91">
        <f>(K88)</f>
        <v>52.93</v>
      </c>
      <c r="Q573" s="86" t="s">
        <v>878</v>
      </c>
      <c r="R573" s="91">
        <f>(M573*P573)</f>
        <v>57.16</v>
      </c>
      <c r="AG573" s="86" t="s">
        <v>2284</v>
      </c>
    </row>
    <row r="574" spans="1:33" hidden="1">
      <c r="A574" s="106">
        <f t="shared" ref="A574:A586" si="32">(A573+1)</f>
        <v>404</v>
      </c>
      <c r="B574" s="86" t="s">
        <v>797</v>
      </c>
      <c r="C574" s="8">
        <v>150</v>
      </c>
      <c r="D574" s="1" t="s">
        <v>877</v>
      </c>
      <c r="E574"/>
      <c r="H574" s="86" t="s">
        <v>2306</v>
      </c>
      <c r="I574"/>
      <c r="J574" s="4"/>
      <c r="K574"/>
      <c r="M574" s="111">
        <v>0.216</v>
      </c>
      <c r="N574" s="86" t="s">
        <v>878</v>
      </c>
      <c r="O574" s="86" t="s">
        <v>798</v>
      </c>
      <c r="P574" s="91" t="e">
        <f>(R60)</f>
        <v>#REF!</v>
      </c>
      <c r="Q574" s="86" t="s">
        <v>878</v>
      </c>
      <c r="R574" s="91" t="e">
        <f>(M574*P574)</f>
        <v>#REF!</v>
      </c>
      <c r="AG574" s="86" t="s">
        <v>2284</v>
      </c>
    </row>
    <row r="575" spans="1:33" hidden="1">
      <c r="A575" s="106">
        <f t="shared" si="32"/>
        <v>405</v>
      </c>
      <c r="B575" s="86" t="s">
        <v>2000</v>
      </c>
      <c r="C575" s="8">
        <v>16.440000000000001</v>
      </c>
      <c r="D575" s="1" t="s">
        <v>877</v>
      </c>
      <c r="E575"/>
      <c r="F575" s="91">
        <v>1</v>
      </c>
      <c r="G575" s="90" t="s">
        <v>2308</v>
      </c>
      <c r="H575" s="86" t="s">
        <v>562</v>
      </c>
      <c r="I575" s="8">
        <f>D721</f>
        <v>247</v>
      </c>
      <c r="J575" s="2" t="s">
        <v>2308</v>
      </c>
      <c r="K575" s="8">
        <f>(F575*I575)</f>
        <v>247</v>
      </c>
      <c r="M575" s="111">
        <v>0.48699999999999999</v>
      </c>
      <c r="N575" s="86" t="s">
        <v>878</v>
      </c>
      <c r="O575" s="86" t="s">
        <v>2001</v>
      </c>
      <c r="P575" s="91" t="e">
        <f>(R89)</f>
        <v>#REF!</v>
      </c>
      <c r="Q575" s="86" t="s">
        <v>878</v>
      </c>
      <c r="R575" s="91" t="e">
        <f>(M575*P575)</f>
        <v>#REF!</v>
      </c>
      <c r="AG575" s="86" t="s">
        <v>2284</v>
      </c>
    </row>
    <row r="576" spans="1:33" hidden="1">
      <c r="A576" s="106">
        <f t="shared" si="32"/>
        <v>406</v>
      </c>
      <c r="B576" s="86" t="s">
        <v>2968</v>
      </c>
      <c r="C576" s="8">
        <v>30</v>
      </c>
      <c r="D576" s="8">
        <v>25</v>
      </c>
      <c r="E576"/>
      <c r="F576" s="91">
        <v>0.75</v>
      </c>
      <c r="G576" s="90" t="s">
        <v>564</v>
      </c>
      <c r="H576" s="86" t="s">
        <v>565</v>
      </c>
      <c r="I576" s="8">
        <f>C10</f>
        <v>150</v>
      </c>
      <c r="J576" s="2" t="s">
        <v>1418</v>
      </c>
      <c r="K576" s="8">
        <f>(F576*I576)</f>
        <v>112.5</v>
      </c>
      <c r="M576" s="111">
        <v>5.36</v>
      </c>
      <c r="N576" s="86" t="s">
        <v>615</v>
      </c>
      <c r="O576" s="86" t="s">
        <v>2002</v>
      </c>
      <c r="P576" s="91" t="e">
        <f>(R303)</f>
        <v>#REF!</v>
      </c>
      <c r="Q576" s="86" t="s">
        <v>615</v>
      </c>
      <c r="R576" s="91" t="e">
        <f>(M576*P576)</f>
        <v>#REF!</v>
      </c>
      <c r="AG576" s="86" t="s">
        <v>2284</v>
      </c>
    </row>
    <row r="577" spans="1:33" hidden="1">
      <c r="A577" s="106">
        <f t="shared" si="32"/>
        <v>407</v>
      </c>
      <c r="B577" s="86" t="s">
        <v>424</v>
      </c>
      <c r="C577" s="8">
        <v>208.5</v>
      </c>
      <c r="D577" s="1" t="s">
        <v>877</v>
      </c>
      <c r="E577"/>
      <c r="F577" s="91">
        <v>0.75</v>
      </c>
      <c r="G577" s="90" t="s">
        <v>564</v>
      </c>
      <c r="H577" s="86" t="s">
        <v>832</v>
      </c>
      <c r="I577" s="8">
        <f>C12</f>
        <v>95</v>
      </c>
      <c r="J577" s="2" t="s">
        <v>1418</v>
      </c>
      <c r="K577" s="8">
        <f>(F577*I577)</f>
        <v>71.25</v>
      </c>
      <c r="M577" s="111">
        <v>3.2000000000000001E-2</v>
      </c>
      <c r="N577" s="86" t="s">
        <v>878</v>
      </c>
      <c r="O577" s="86" t="s">
        <v>788</v>
      </c>
      <c r="P577" s="91" t="e">
        <f>(K614)</f>
        <v>#REF!</v>
      </c>
      <c r="Q577" s="86" t="s">
        <v>878</v>
      </c>
      <c r="R577" s="91" t="e">
        <f>(M577*P577)</f>
        <v>#REF!</v>
      </c>
      <c r="AG577" s="86" t="s">
        <v>2284</v>
      </c>
    </row>
    <row r="578" spans="1:33" hidden="1">
      <c r="A578" s="106">
        <f t="shared" si="32"/>
        <v>408</v>
      </c>
      <c r="B578" s="86" t="s">
        <v>2066</v>
      </c>
      <c r="C578" s="8">
        <v>95</v>
      </c>
      <c r="D578" s="1" t="s">
        <v>877</v>
      </c>
      <c r="E578"/>
      <c r="F578" s="91">
        <v>0.5</v>
      </c>
      <c r="G578" s="90" t="s">
        <v>564</v>
      </c>
      <c r="H578" s="86" t="s">
        <v>2067</v>
      </c>
      <c r="I578" s="8">
        <f>C41</f>
        <v>110</v>
      </c>
      <c r="J578" s="2" t="s">
        <v>1418</v>
      </c>
      <c r="K578" s="8">
        <f>(F578*I578)</f>
        <v>55</v>
      </c>
      <c r="O578" s="86" t="s">
        <v>288</v>
      </c>
      <c r="R578" s="86" t="s">
        <v>987</v>
      </c>
      <c r="AG578" s="86" t="s">
        <v>2284</v>
      </c>
    </row>
    <row r="579" spans="1:33" hidden="1">
      <c r="A579" s="106">
        <f t="shared" si="32"/>
        <v>409</v>
      </c>
      <c r="B579" s="86" t="s">
        <v>2969</v>
      </c>
      <c r="C579" s="6">
        <v>301</v>
      </c>
      <c r="D579" s="1" t="s">
        <v>615</v>
      </c>
      <c r="E579"/>
      <c r="G579" s="90" t="s">
        <v>450</v>
      </c>
      <c r="H579" s="86" t="s">
        <v>61</v>
      </c>
      <c r="I579"/>
      <c r="J579" s="2" t="s">
        <v>450</v>
      </c>
      <c r="K579" s="8">
        <v>53.5</v>
      </c>
      <c r="N579" s="86" t="s">
        <v>450</v>
      </c>
      <c r="O579" s="86" t="s">
        <v>340</v>
      </c>
      <c r="Q579" s="86" t="s">
        <v>450</v>
      </c>
      <c r="R579" s="91">
        <v>2.92</v>
      </c>
      <c r="AG579" s="86" t="s">
        <v>2284</v>
      </c>
    </row>
    <row r="580" spans="1:33" hidden="1">
      <c r="A580" s="106">
        <f t="shared" si="32"/>
        <v>410</v>
      </c>
      <c r="B580" s="86" t="s">
        <v>2970</v>
      </c>
      <c r="C580" s="8">
        <v>325</v>
      </c>
      <c r="D580" s="1" t="s">
        <v>615</v>
      </c>
      <c r="E580" s="1" t="s">
        <v>987</v>
      </c>
      <c r="H580" s="86" t="s">
        <v>941</v>
      </c>
      <c r="I580"/>
      <c r="J580" s="4"/>
      <c r="K580" s="5" t="s">
        <v>1609</v>
      </c>
      <c r="R580" s="89" t="s">
        <v>1609</v>
      </c>
      <c r="AG580" s="86" t="s">
        <v>2284</v>
      </c>
    </row>
    <row r="581" spans="1:33" hidden="1">
      <c r="A581" s="106">
        <f t="shared" si="32"/>
        <v>411</v>
      </c>
      <c r="B581" s="86" t="s">
        <v>341</v>
      </c>
      <c r="C581" s="8">
        <v>75</v>
      </c>
      <c r="D581" s="1" t="s">
        <v>877</v>
      </c>
      <c r="E581"/>
      <c r="H581" s="102" t="s">
        <v>1775</v>
      </c>
      <c r="I581"/>
      <c r="J581" s="4"/>
      <c r="K581" s="8">
        <f>SUM(K575:K579)</f>
        <v>539.25</v>
      </c>
      <c r="O581" s="86" t="s">
        <v>1776</v>
      </c>
      <c r="R581" s="91" t="e">
        <f>SUM(R573:R579)</f>
        <v>#REF!</v>
      </c>
      <c r="AG581" s="86" t="s">
        <v>2284</v>
      </c>
    </row>
    <row r="582" spans="1:33" hidden="1">
      <c r="A582" s="106">
        <f t="shared" si="32"/>
        <v>412</v>
      </c>
      <c r="B582" s="86" t="s">
        <v>1777</v>
      </c>
      <c r="C582" s="8">
        <v>125</v>
      </c>
      <c r="D582" s="1" t="s">
        <v>877</v>
      </c>
      <c r="E582"/>
      <c r="I582"/>
      <c r="J582" s="4"/>
      <c r="K582" s="5" t="s">
        <v>1609</v>
      </c>
      <c r="R582" s="89" t="s">
        <v>1609</v>
      </c>
      <c r="AG582" s="86" t="s">
        <v>2284</v>
      </c>
    </row>
    <row r="583" spans="1:33" hidden="1">
      <c r="A583" s="106">
        <f t="shared" si="32"/>
        <v>413</v>
      </c>
      <c r="B583" s="86" t="s">
        <v>1778</v>
      </c>
      <c r="C583" s="8">
        <v>190</v>
      </c>
      <c r="D583" s="1" t="s">
        <v>877</v>
      </c>
      <c r="E583"/>
      <c r="H583" s="86" t="s">
        <v>386</v>
      </c>
      <c r="I583" s="8">
        <f>K581</f>
        <v>539.25</v>
      </c>
      <c r="J583" s="2">
        <f>C22*0.04</f>
        <v>1.06</v>
      </c>
      <c r="K583" s="8">
        <f>(K581+C22*0.04)</f>
        <v>540.30999999999995</v>
      </c>
      <c r="N583" s="86" t="s">
        <v>2276</v>
      </c>
      <c r="O583" s="86" t="s">
        <v>1936</v>
      </c>
      <c r="AG583" s="86" t="s">
        <v>2284</v>
      </c>
    </row>
    <row r="584" spans="1:33" hidden="1">
      <c r="A584" s="106">
        <f t="shared" si="32"/>
        <v>414</v>
      </c>
      <c r="B584" s="86" t="s">
        <v>1779</v>
      </c>
      <c r="C584" s="8">
        <v>16</v>
      </c>
      <c r="D584" s="1" t="s">
        <v>877</v>
      </c>
      <c r="E584"/>
      <c r="H584" s="86" t="s">
        <v>388</v>
      </c>
      <c r="I584" s="8">
        <f>K583</f>
        <v>540.30999999999995</v>
      </c>
      <c r="J584" s="2">
        <f>C23*0.04</f>
        <v>2.11</v>
      </c>
      <c r="K584" s="8">
        <f>(K583+C23*0.04)</f>
        <v>542.41999999999996</v>
      </c>
      <c r="O584" s="86" t="s">
        <v>1780</v>
      </c>
      <c r="AG584" s="86" t="s">
        <v>2284</v>
      </c>
    </row>
    <row r="585" spans="1:33" hidden="1">
      <c r="A585" s="106">
        <f t="shared" si="32"/>
        <v>415</v>
      </c>
      <c r="B585" s="86" t="s">
        <v>1781</v>
      </c>
      <c r="C585" s="8">
        <v>7</v>
      </c>
      <c r="D585" s="1" t="s">
        <v>1670</v>
      </c>
      <c r="E585"/>
      <c r="H585" s="86" t="s">
        <v>2257</v>
      </c>
      <c r="I585" s="8">
        <f>K584</f>
        <v>542.41999999999996</v>
      </c>
      <c r="J585" s="2">
        <f>C23*0.04</f>
        <v>2.11</v>
      </c>
      <c r="K585" s="8">
        <f>(K584+C24*0.04)</f>
        <v>544.53</v>
      </c>
      <c r="O585" s="89" t="s">
        <v>1609</v>
      </c>
      <c r="AG585" s="86" t="s">
        <v>2284</v>
      </c>
    </row>
    <row r="586" spans="1:33" hidden="1">
      <c r="A586" s="106">
        <f t="shared" si="32"/>
        <v>416</v>
      </c>
      <c r="B586" s="86" t="s">
        <v>2971</v>
      </c>
      <c r="C586" s="8">
        <v>19</v>
      </c>
      <c r="D586" s="1" t="s">
        <v>1670</v>
      </c>
      <c r="E586"/>
      <c r="H586" s="86" t="s">
        <v>380</v>
      </c>
      <c r="I586" s="8">
        <f>K585</f>
        <v>544.53</v>
      </c>
      <c r="J586" s="2">
        <f>C23*0.04</f>
        <v>2.11</v>
      </c>
      <c r="K586" s="8">
        <f>(K585+C24*0.04)</f>
        <v>546.64</v>
      </c>
      <c r="M586" s="91">
        <v>1.3</v>
      </c>
      <c r="N586" s="86" t="s">
        <v>878</v>
      </c>
      <c r="O586" s="86" t="s">
        <v>796</v>
      </c>
      <c r="P586" s="91">
        <f>(K88)</f>
        <v>52.93</v>
      </c>
      <c r="Q586" s="86" t="s">
        <v>878</v>
      </c>
      <c r="R586" s="91">
        <f>(M586*P586)</f>
        <v>68.81</v>
      </c>
      <c r="AG586" s="86" t="s">
        <v>2284</v>
      </c>
    </row>
    <row r="587" spans="1:33" hidden="1">
      <c r="A587" s="106"/>
      <c r="B587" s="86"/>
      <c r="C587" s="8"/>
      <c r="D587" s="1"/>
      <c r="E587"/>
      <c r="H587" s="86" t="s">
        <v>1384</v>
      </c>
      <c r="I587" s="8">
        <f>K586</f>
        <v>546.64</v>
      </c>
      <c r="J587" s="2">
        <f>C24*0.04</f>
        <v>2.11</v>
      </c>
      <c r="K587" s="8">
        <f>(K586+C25*0.04)</f>
        <v>547.47</v>
      </c>
      <c r="M587" s="91"/>
      <c r="N587" s="86"/>
      <c r="O587" s="86"/>
      <c r="P587" s="91"/>
      <c r="Q587" s="86"/>
      <c r="R587" s="91"/>
      <c r="AG587" s="86"/>
    </row>
    <row r="588" spans="1:33" hidden="1">
      <c r="A588" s="106">
        <f>(A586+1)</f>
        <v>417</v>
      </c>
      <c r="B588" s="86" t="s">
        <v>2972</v>
      </c>
      <c r="C588" s="8">
        <v>20</v>
      </c>
      <c r="D588" s="1" t="s">
        <v>1670</v>
      </c>
      <c r="E588"/>
      <c r="F588" s="123">
        <v>15.1</v>
      </c>
      <c r="G588" s="90" t="s">
        <v>1782</v>
      </c>
      <c r="H588" s="86" t="s">
        <v>1631</v>
      </c>
      <c r="I588"/>
      <c r="J588" s="4"/>
      <c r="K588"/>
      <c r="M588" s="111">
        <v>0.216</v>
      </c>
      <c r="N588" s="86" t="s">
        <v>878</v>
      </c>
      <c r="O588" s="86" t="s">
        <v>798</v>
      </c>
      <c r="P588" s="91" t="e">
        <f>(R60)</f>
        <v>#REF!</v>
      </c>
      <c r="Q588" s="86" t="s">
        <v>878</v>
      </c>
      <c r="R588" s="91" t="e">
        <f>(M588*P588)</f>
        <v>#REF!</v>
      </c>
      <c r="AG588" s="86" t="s">
        <v>2284</v>
      </c>
    </row>
    <row r="589" spans="1:33" hidden="1">
      <c r="A589" s="106">
        <f t="shared" ref="A589:A614" si="33">(A588+1)</f>
        <v>418</v>
      </c>
      <c r="B589" s="86" t="s">
        <v>1783</v>
      </c>
      <c r="C589" s="8">
        <v>7.5</v>
      </c>
      <c r="D589" s="1" t="s">
        <v>778</v>
      </c>
      <c r="E589"/>
      <c r="H589" s="86" t="s">
        <v>2306</v>
      </c>
      <c r="I589"/>
      <c r="J589" s="4"/>
      <c r="K589"/>
      <c r="M589" s="111">
        <v>0.60099999999999998</v>
      </c>
      <c r="N589" s="86" t="s">
        <v>878</v>
      </c>
      <c r="O589" s="86" t="s">
        <v>2001</v>
      </c>
      <c r="P589" s="91" t="e">
        <f>(R89)</f>
        <v>#REF!</v>
      </c>
      <c r="Q589" s="86" t="s">
        <v>878</v>
      </c>
      <c r="R589" s="91" t="e">
        <f>(M589*P589)</f>
        <v>#REF!</v>
      </c>
      <c r="AG589" s="86" t="s">
        <v>2284</v>
      </c>
    </row>
    <row r="590" spans="1:33" hidden="1">
      <c r="A590" s="106">
        <f t="shared" si="33"/>
        <v>419</v>
      </c>
      <c r="B590" s="86" t="s">
        <v>790</v>
      </c>
      <c r="C590" s="8">
        <v>16</v>
      </c>
      <c r="D590" s="1" t="s">
        <v>778</v>
      </c>
      <c r="E590" t="s">
        <v>1582</v>
      </c>
      <c r="F590" s="91">
        <v>10</v>
      </c>
      <c r="G590" s="90" t="s">
        <v>2308</v>
      </c>
      <c r="H590" s="86" t="s">
        <v>562</v>
      </c>
      <c r="I590" s="8">
        <f>C721</f>
        <v>227</v>
      </c>
      <c r="J590" s="2" t="s">
        <v>2308</v>
      </c>
      <c r="K590" s="8">
        <f>(F590*I590)</f>
        <v>2270</v>
      </c>
      <c r="M590" s="111">
        <v>6.35</v>
      </c>
      <c r="N590" s="86" t="s">
        <v>615</v>
      </c>
      <c r="O590" s="86" t="s">
        <v>2002</v>
      </c>
      <c r="P590" s="91" t="e">
        <f>(R303)</f>
        <v>#REF!</v>
      </c>
      <c r="Q590" s="86" t="s">
        <v>615</v>
      </c>
      <c r="R590" s="91" t="e">
        <f>(M590*P590)</f>
        <v>#REF!</v>
      </c>
      <c r="AG590" s="86" t="s">
        <v>2284</v>
      </c>
    </row>
    <row r="591" spans="1:33" hidden="1">
      <c r="A591" s="106">
        <f t="shared" si="33"/>
        <v>420</v>
      </c>
      <c r="B591" s="86" t="s">
        <v>791</v>
      </c>
      <c r="C591" s="8">
        <v>1700</v>
      </c>
      <c r="D591" s="1" t="s">
        <v>792</v>
      </c>
      <c r="E591">
        <v>2000</v>
      </c>
      <c r="F591" s="91">
        <v>0.12</v>
      </c>
      <c r="G591" s="90" t="s">
        <v>878</v>
      </c>
      <c r="H591" s="86" t="s">
        <v>793</v>
      </c>
      <c r="I591" s="8" t="e">
        <f>K32</f>
        <v>#REF!</v>
      </c>
      <c r="J591" s="2" t="s">
        <v>878</v>
      </c>
      <c r="K591" s="8" t="e">
        <f>(F591*I591)</f>
        <v>#REF!</v>
      </c>
      <c r="M591" s="111">
        <v>3.2000000000000001E-2</v>
      </c>
      <c r="N591" s="86" t="s">
        <v>878</v>
      </c>
      <c r="O591" s="86" t="s">
        <v>788</v>
      </c>
      <c r="P591" s="91" t="e">
        <f>(K614)</f>
        <v>#REF!</v>
      </c>
      <c r="Q591" s="86" t="s">
        <v>878</v>
      </c>
      <c r="R591" s="91" t="e">
        <f>(M591*P591)</f>
        <v>#REF!</v>
      </c>
      <c r="AG591" s="86" t="s">
        <v>2284</v>
      </c>
    </row>
    <row r="592" spans="1:33" hidden="1">
      <c r="A592" s="106">
        <f t="shared" si="33"/>
        <v>421</v>
      </c>
      <c r="B592" s="86" t="s">
        <v>794</v>
      </c>
      <c r="C592" s="8">
        <v>805</v>
      </c>
      <c r="D592" s="1" t="s">
        <v>792</v>
      </c>
      <c r="E592"/>
      <c r="F592" s="91">
        <v>1</v>
      </c>
      <c r="G592" s="90" t="s">
        <v>564</v>
      </c>
      <c r="H592" s="86" t="s">
        <v>565</v>
      </c>
      <c r="I592" s="8">
        <f>C10</f>
        <v>150</v>
      </c>
      <c r="J592" s="2" t="s">
        <v>1418</v>
      </c>
      <c r="K592" s="8">
        <f>(F592*I592)</f>
        <v>150</v>
      </c>
      <c r="O592" s="86" t="s">
        <v>288</v>
      </c>
      <c r="R592" s="86" t="s">
        <v>987</v>
      </c>
      <c r="AG592" s="86" t="s">
        <v>2284</v>
      </c>
    </row>
    <row r="593" spans="1:33" hidden="1">
      <c r="A593" s="106">
        <f t="shared" si="33"/>
        <v>422</v>
      </c>
      <c r="B593" s="86" t="s">
        <v>2090</v>
      </c>
      <c r="C593" s="8">
        <f>204+53</f>
        <v>257</v>
      </c>
      <c r="D593" s="1" t="s">
        <v>792</v>
      </c>
      <c r="E593"/>
      <c r="F593" s="91">
        <v>1</v>
      </c>
      <c r="G593" s="90" t="s">
        <v>564</v>
      </c>
      <c r="H593" s="86" t="s">
        <v>832</v>
      </c>
      <c r="I593" s="8">
        <f>C12</f>
        <v>95</v>
      </c>
      <c r="J593" s="2" t="s">
        <v>1418</v>
      </c>
      <c r="K593" s="8">
        <f>(F593*I593)</f>
        <v>95</v>
      </c>
      <c r="N593" s="86" t="s">
        <v>450</v>
      </c>
      <c r="O593" s="86" t="s">
        <v>340</v>
      </c>
      <c r="Q593" s="86" t="s">
        <v>450</v>
      </c>
      <c r="R593" s="91">
        <v>2.1</v>
      </c>
      <c r="AG593" s="86" t="s">
        <v>2284</v>
      </c>
    </row>
    <row r="594" spans="1:33" hidden="1">
      <c r="A594" s="106">
        <f t="shared" si="33"/>
        <v>423</v>
      </c>
      <c r="B594" s="86" t="s">
        <v>2973</v>
      </c>
      <c r="C594" s="8">
        <v>53</v>
      </c>
      <c r="D594" s="1" t="s">
        <v>778</v>
      </c>
      <c r="E594"/>
      <c r="G594" s="90" t="s">
        <v>450</v>
      </c>
      <c r="H594" s="86" t="s">
        <v>61</v>
      </c>
      <c r="I594"/>
      <c r="J594" s="2" t="s">
        <v>450</v>
      </c>
      <c r="K594" s="8">
        <v>0.33</v>
      </c>
      <c r="R594" s="89" t="s">
        <v>1609</v>
      </c>
      <c r="AG594" s="86" t="s">
        <v>2284</v>
      </c>
    </row>
    <row r="595" spans="1:33" hidden="1">
      <c r="A595" s="106">
        <f t="shared" si="33"/>
        <v>424</v>
      </c>
      <c r="B595" s="86" t="s">
        <v>307</v>
      </c>
      <c r="C595" s="8">
        <v>1050</v>
      </c>
      <c r="D595" s="1" t="s">
        <v>778</v>
      </c>
      <c r="E595"/>
      <c r="H595" s="86" t="s">
        <v>941</v>
      </c>
      <c r="I595"/>
      <c r="J595" s="4"/>
      <c r="K595" s="5" t="s">
        <v>1609</v>
      </c>
      <c r="O595" s="86" t="s">
        <v>1776</v>
      </c>
      <c r="R595" s="91" t="e">
        <f>SUM(R586:R593)</f>
        <v>#REF!</v>
      </c>
      <c r="AG595" s="86" t="s">
        <v>2284</v>
      </c>
    </row>
    <row r="596" spans="1:33" hidden="1">
      <c r="A596" s="106">
        <f t="shared" si="33"/>
        <v>425</v>
      </c>
      <c r="B596" s="86" t="s">
        <v>406</v>
      </c>
      <c r="C596" s="8">
        <v>196</v>
      </c>
      <c r="D596" s="1" t="s">
        <v>778</v>
      </c>
      <c r="E596"/>
      <c r="H596" s="102" t="s">
        <v>407</v>
      </c>
      <c r="I596"/>
      <c r="J596" s="4"/>
      <c r="K596" s="8" t="e">
        <f>SUM(K590:K594)</f>
        <v>#REF!</v>
      </c>
      <c r="R596" s="89" t="s">
        <v>1609</v>
      </c>
      <c r="AG596" s="86" t="s">
        <v>2284</v>
      </c>
    </row>
    <row r="597" spans="1:33" hidden="1">
      <c r="A597" s="106">
        <f t="shared" si="33"/>
        <v>426</v>
      </c>
      <c r="B597" s="86" t="s">
        <v>408</v>
      </c>
      <c r="C597" s="8">
        <v>206.9</v>
      </c>
      <c r="D597" s="1" t="s">
        <v>778</v>
      </c>
      <c r="E597"/>
      <c r="I597"/>
      <c r="J597" s="4"/>
      <c r="K597" s="5" t="s">
        <v>1609</v>
      </c>
      <c r="N597" s="86" t="s">
        <v>2276</v>
      </c>
      <c r="O597" s="86" t="s">
        <v>409</v>
      </c>
      <c r="AG597" s="86" t="s">
        <v>2284</v>
      </c>
    </row>
    <row r="598" spans="1:33" hidden="1">
      <c r="A598" s="106">
        <f t="shared" si="33"/>
        <v>427</v>
      </c>
      <c r="B598" s="86" t="s">
        <v>410</v>
      </c>
      <c r="C598" s="8">
        <v>120</v>
      </c>
      <c r="D598" s="1" t="s">
        <v>1796</v>
      </c>
      <c r="E598"/>
      <c r="H598" s="102" t="s">
        <v>411</v>
      </c>
      <c r="I598"/>
      <c r="J598" s="4"/>
      <c r="K598" s="8" t="e">
        <f>K596/10</f>
        <v>#REF!</v>
      </c>
      <c r="O598" s="86" t="s">
        <v>412</v>
      </c>
      <c r="AG598" s="86" t="s">
        <v>2284</v>
      </c>
    </row>
    <row r="599" spans="1:33" hidden="1">
      <c r="A599" s="106">
        <f t="shared" si="33"/>
        <v>428</v>
      </c>
      <c r="B599" s="86" t="s">
        <v>413</v>
      </c>
      <c r="C599" s="8">
        <v>80</v>
      </c>
      <c r="D599" s="1" t="s">
        <v>1796</v>
      </c>
      <c r="E599"/>
      <c r="H599" s="86" t="s">
        <v>386</v>
      </c>
      <c r="I599"/>
      <c r="J599" s="4"/>
      <c r="K599" s="8" t="e">
        <f>(K598+C22*0.02)</f>
        <v>#REF!</v>
      </c>
      <c r="O599" s="89" t="s">
        <v>1609</v>
      </c>
      <c r="AG599" s="86" t="s">
        <v>2284</v>
      </c>
    </row>
    <row r="600" spans="1:33" hidden="1">
      <c r="A600" s="106">
        <f t="shared" si="33"/>
        <v>429</v>
      </c>
      <c r="B600" s="86" t="s">
        <v>414</v>
      </c>
      <c r="C600"/>
      <c r="D600" s="1" t="s">
        <v>1796</v>
      </c>
      <c r="E600"/>
      <c r="H600" s="86" t="s">
        <v>388</v>
      </c>
      <c r="I600"/>
      <c r="J600" s="4"/>
      <c r="K600" s="8" t="e">
        <f>(K599+C24*0.02)</f>
        <v>#REF!</v>
      </c>
      <c r="M600" s="91">
        <v>10.37</v>
      </c>
      <c r="N600" s="86" t="s">
        <v>878</v>
      </c>
      <c r="O600" s="86" t="s">
        <v>415</v>
      </c>
      <c r="P600" s="91">
        <f>(C61*2)</f>
        <v>50</v>
      </c>
      <c r="Q600" s="86" t="s">
        <v>878</v>
      </c>
      <c r="R600" s="91">
        <f t="shared" ref="R600:R608" si="34">(M600*P600)</f>
        <v>518.5</v>
      </c>
      <c r="AG600" s="86" t="s">
        <v>2284</v>
      </c>
    </row>
    <row r="601" spans="1:33" hidden="1">
      <c r="A601" s="106">
        <f t="shared" si="33"/>
        <v>430</v>
      </c>
      <c r="B601" s="86" t="s">
        <v>2088</v>
      </c>
      <c r="C601" s="8">
        <v>65</v>
      </c>
      <c r="D601" s="1" t="s">
        <v>877</v>
      </c>
      <c r="E601"/>
      <c r="H601" s="86" t="s">
        <v>2257</v>
      </c>
      <c r="I601"/>
      <c r="J601" s="4"/>
      <c r="K601" s="8" t="e">
        <f>(K600+C24*0.02)</f>
        <v>#REF!</v>
      </c>
      <c r="M601" s="91">
        <v>0.65</v>
      </c>
      <c r="N601" s="86" t="s">
        <v>878</v>
      </c>
      <c r="O601" s="86" t="s">
        <v>2089</v>
      </c>
      <c r="P601" s="91" t="e">
        <f>R60</f>
        <v>#REF!</v>
      </c>
      <c r="Q601" s="86" t="s">
        <v>878</v>
      </c>
      <c r="R601" s="91" t="e">
        <f t="shared" si="34"/>
        <v>#REF!</v>
      </c>
      <c r="AG601" s="86" t="s">
        <v>2284</v>
      </c>
    </row>
    <row r="602" spans="1:33" hidden="1">
      <c r="A602" s="106">
        <f t="shared" si="33"/>
        <v>431</v>
      </c>
      <c r="B602" s="86" t="s">
        <v>1807</v>
      </c>
      <c r="C602" s="8">
        <v>40</v>
      </c>
      <c r="D602" s="1" t="s">
        <v>877</v>
      </c>
      <c r="E602"/>
      <c r="H602" s="86" t="s">
        <v>380</v>
      </c>
      <c r="I602"/>
      <c r="J602" s="4"/>
      <c r="K602" s="8" t="e">
        <f>(K601+C24*0.02)</f>
        <v>#REF!</v>
      </c>
      <c r="M602" s="91">
        <v>1.1399999999999999</v>
      </c>
      <c r="N602" s="86" t="s">
        <v>878</v>
      </c>
      <c r="O602" s="86" t="s">
        <v>327</v>
      </c>
      <c r="P602" s="91" t="e">
        <f>K320</f>
        <v>#REF!</v>
      </c>
      <c r="Q602" s="86" t="s">
        <v>878</v>
      </c>
      <c r="R602" s="91" t="e">
        <f t="shared" si="34"/>
        <v>#REF!</v>
      </c>
      <c r="AG602" s="86" t="s">
        <v>2284</v>
      </c>
    </row>
    <row r="603" spans="1:33" hidden="1">
      <c r="A603" s="106">
        <f t="shared" si="33"/>
        <v>432</v>
      </c>
      <c r="B603" s="86" t="s">
        <v>328</v>
      </c>
      <c r="C603"/>
      <c r="D603" s="1" t="s">
        <v>877</v>
      </c>
      <c r="E603"/>
      <c r="H603" s="86" t="s">
        <v>1384</v>
      </c>
      <c r="I603"/>
      <c r="J603" s="4"/>
      <c r="K603" s="8" t="e">
        <f>(K602+C25*0.02)</f>
        <v>#REF!</v>
      </c>
      <c r="M603" s="91">
        <v>0.85</v>
      </c>
      <c r="N603" s="86" t="s">
        <v>878</v>
      </c>
      <c r="O603" s="86" t="s">
        <v>1633</v>
      </c>
      <c r="P603" s="91" t="e">
        <f>K320-K311/10</f>
        <v>#REF!</v>
      </c>
      <c r="Q603" s="86" t="s">
        <v>878</v>
      </c>
      <c r="R603" s="91" t="e">
        <f t="shared" si="34"/>
        <v>#REF!</v>
      </c>
      <c r="AG603" s="86" t="s">
        <v>2284</v>
      </c>
    </row>
    <row r="604" spans="1:33" hidden="1">
      <c r="A604" s="106">
        <f t="shared" si="33"/>
        <v>433</v>
      </c>
      <c r="B604" s="86" t="s">
        <v>1634</v>
      </c>
      <c r="C604" s="8">
        <v>45</v>
      </c>
      <c r="D604" s="1" t="s">
        <v>877</v>
      </c>
      <c r="E604"/>
      <c r="F604" s="102" t="s">
        <v>1635</v>
      </c>
      <c r="G604" s="90" t="s">
        <v>2276</v>
      </c>
      <c r="H604" s="86" t="s">
        <v>891</v>
      </c>
      <c r="I604"/>
      <c r="J604" s="4"/>
      <c r="K604"/>
      <c r="M604" s="91">
        <v>0.98</v>
      </c>
      <c r="N604" s="86" t="s">
        <v>878</v>
      </c>
      <c r="O604" s="86" t="s">
        <v>2243</v>
      </c>
      <c r="P604" s="91" t="e">
        <f>(C73)</f>
        <v>#REF!</v>
      </c>
      <c r="Q604" s="86" t="s">
        <v>878</v>
      </c>
      <c r="R604" s="91" t="e">
        <f t="shared" si="34"/>
        <v>#REF!</v>
      </c>
      <c r="AG604" s="86" t="s">
        <v>2284</v>
      </c>
    </row>
    <row r="605" spans="1:33" hidden="1">
      <c r="A605" s="106">
        <f t="shared" si="33"/>
        <v>434</v>
      </c>
      <c r="B605" s="86" t="s">
        <v>1112</v>
      </c>
      <c r="C605" s="8">
        <v>36.520000000000003</v>
      </c>
      <c r="D605" s="1" t="s">
        <v>877</v>
      </c>
      <c r="E605"/>
      <c r="H605" s="86" t="s">
        <v>1113</v>
      </c>
      <c r="I605"/>
      <c r="J605" s="4"/>
      <c r="K605"/>
      <c r="M605" s="91">
        <v>2.68</v>
      </c>
      <c r="N605" s="86" t="s">
        <v>878</v>
      </c>
      <c r="O605" s="86" t="s">
        <v>1050</v>
      </c>
      <c r="P605" s="91" t="e">
        <f>(C79)</f>
        <v>#REF!</v>
      </c>
      <c r="Q605" s="86" t="s">
        <v>878</v>
      </c>
      <c r="R605" s="91" t="e">
        <f t="shared" si="34"/>
        <v>#REF!</v>
      </c>
      <c r="AG605" s="86" t="s">
        <v>2284</v>
      </c>
    </row>
    <row r="606" spans="1:33" hidden="1">
      <c r="A606" s="106">
        <f t="shared" si="33"/>
        <v>435</v>
      </c>
      <c r="B606" s="86" t="s">
        <v>1636</v>
      </c>
      <c r="C606"/>
      <c r="D606" s="1" t="s">
        <v>877</v>
      </c>
      <c r="E606"/>
      <c r="H606" s="86" t="s">
        <v>1637</v>
      </c>
      <c r="I606"/>
      <c r="J606" s="4"/>
      <c r="K606"/>
      <c r="M606" s="91">
        <v>7.24</v>
      </c>
      <c r="N606" s="86" t="s">
        <v>615</v>
      </c>
      <c r="O606" s="86" t="s">
        <v>1638</v>
      </c>
      <c r="P606" s="91" t="e">
        <f>(K1332)</f>
        <v>#REF!</v>
      </c>
      <c r="Q606" s="86" t="s">
        <v>615</v>
      </c>
      <c r="R606" s="91" t="e">
        <f t="shared" si="34"/>
        <v>#REF!</v>
      </c>
      <c r="AG606" s="86" t="s">
        <v>2284</v>
      </c>
    </row>
    <row r="607" spans="1:33" hidden="1">
      <c r="A607" s="106">
        <f t="shared" si="33"/>
        <v>436</v>
      </c>
      <c r="B607" s="86" t="s">
        <v>1497</v>
      </c>
      <c r="C607" s="8">
        <v>73.48</v>
      </c>
      <c r="D607" s="8">
        <v>93.72</v>
      </c>
      <c r="E607"/>
      <c r="H607" s="89" t="s">
        <v>1609</v>
      </c>
      <c r="I607"/>
      <c r="J607" s="4"/>
      <c r="K607"/>
      <c r="M607" s="91">
        <v>1</v>
      </c>
      <c r="N607" s="86" t="s">
        <v>877</v>
      </c>
      <c r="O607" s="86" t="s">
        <v>1498</v>
      </c>
      <c r="P607" s="91">
        <f>(C202)</f>
        <v>75</v>
      </c>
      <c r="Q607" s="86" t="s">
        <v>877</v>
      </c>
      <c r="R607" s="91">
        <f t="shared" si="34"/>
        <v>75</v>
      </c>
      <c r="AG607" s="86" t="s">
        <v>2284</v>
      </c>
    </row>
    <row r="608" spans="1:33" hidden="1">
      <c r="A608" s="106">
        <f t="shared" si="33"/>
        <v>437</v>
      </c>
      <c r="B608" s="86" t="s">
        <v>1499</v>
      </c>
      <c r="C608" s="8">
        <v>43.12</v>
      </c>
      <c r="D608" s="1" t="s">
        <v>877</v>
      </c>
      <c r="E608"/>
      <c r="F608" s="91">
        <v>0.01</v>
      </c>
      <c r="G608" s="90" t="s">
        <v>878</v>
      </c>
      <c r="H608" s="86" t="s">
        <v>1500</v>
      </c>
      <c r="I608" s="8" t="e">
        <f>(K279)</f>
        <v>#REF!</v>
      </c>
      <c r="J608" s="2" t="s">
        <v>878</v>
      </c>
      <c r="K608" s="8" t="e">
        <f>(F608*I608)</f>
        <v>#REF!</v>
      </c>
      <c r="M608" s="111">
        <v>0.13600000000000001</v>
      </c>
      <c r="N608" s="86" t="s">
        <v>878</v>
      </c>
      <c r="O608" s="86" t="s">
        <v>995</v>
      </c>
      <c r="P608" s="91" t="e">
        <f>(K614)</f>
        <v>#REF!</v>
      </c>
      <c r="Q608" s="86" t="s">
        <v>878</v>
      </c>
      <c r="R608" s="91" t="e">
        <f t="shared" si="34"/>
        <v>#REF!</v>
      </c>
      <c r="AG608" s="86" t="s">
        <v>2284</v>
      </c>
    </row>
    <row r="609" spans="1:33" hidden="1">
      <c r="A609" s="106">
        <f t="shared" si="33"/>
        <v>438</v>
      </c>
      <c r="B609" s="86" t="s">
        <v>996</v>
      </c>
      <c r="C609"/>
      <c r="D609" s="1" t="s">
        <v>877</v>
      </c>
      <c r="E609"/>
      <c r="F609" s="91">
        <v>0.01</v>
      </c>
      <c r="G609" s="90" t="s">
        <v>878</v>
      </c>
      <c r="H609" s="86" t="s">
        <v>997</v>
      </c>
      <c r="I609"/>
      <c r="J609" s="2" t="s">
        <v>450</v>
      </c>
      <c r="K609" s="8">
        <v>1.1499999999999999</v>
      </c>
      <c r="O609" s="86" t="s">
        <v>130</v>
      </c>
      <c r="AG609" s="86" t="s">
        <v>2284</v>
      </c>
    </row>
    <row r="610" spans="1:33" hidden="1">
      <c r="A610" s="106">
        <f t="shared" si="33"/>
        <v>439</v>
      </c>
      <c r="B610" s="86" t="s">
        <v>131</v>
      </c>
      <c r="C610" s="8">
        <v>121.88</v>
      </c>
      <c r="D610" s="1" t="s">
        <v>877</v>
      </c>
      <c r="E610"/>
      <c r="H610" s="86" t="s">
        <v>132</v>
      </c>
      <c r="I610"/>
      <c r="J610" s="4"/>
      <c r="K610"/>
      <c r="N610" s="86" t="s">
        <v>450</v>
      </c>
      <c r="O610" s="86" t="s">
        <v>340</v>
      </c>
      <c r="Q610" s="86" t="s">
        <v>450</v>
      </c>
      <c r="R610" s="91">
        <v>1.5</v>
      </c>
      <c r="AG610" s="86" t="s">
        <v>2284</v>
      </c>
    </row>
    <row r="611" spans="1:33" hidden="1">
      <c r="A611" s="106">
        <f t="shared" si="33"/>
        <v>440</v>
      </c>
      <c r="B611" s="86" t="s">
        <v>1506</v>
      </c>
      <c r="C611" s="8">
        <v>66</v>
      </c>
      <c r="D611" s="1" t="s">
        <v>877</v>
      </c>
      <c r="E611"/>
      <c r="I611"/>
      <c r="J611" s="4"/>
      <c r="K611" s="5" t="s">
        <v>1609</v>
      </c>
      <c r="R611" s="89" t="s">
        <v>1609</v>
      </c>
      <c r="AG611" s="86" t="s">
        <v>2284</v>
      </c>
    </row>
    <row r="612" spans="1:33" hidden="1">
      <c r="A612" s="106">
        <f t="shared" si="33"/>
        <v>441</v>
      </c>
      <c r="B612" s="86" t="s">
        <v>1507</v>
      </c>
      <c r="C612"/>
      <c r="D612" s="1" t="s">
        <v>877</v>
      </c>
      <c r="E612"/>
      <c r="H612" s="86" t="s">
        <v>1508</v>
      </c>
      <c r="I612"/>
      <c r="J612" s="4"/>
      <c r="K612" s="8" t="e">
        <f>SUM(K608:K610)</f>
        <v>#REF!</v>
      </c>
      <c r="O612" s="86" t="s">
        <v>1776</v>
      </c>
      <c r="R612" s="91" t="e">
        <f>SUM(R600:R610)</f>
        <v>#REF!</v>
      </c>
      <c r="AG612" s="86" t="s">
        <v>322</v>
      </c>
    </row>
    <row r="613" spans="1:33" hidden="1">
      <c r="A613" s="106">
        <f t="shared" si="33"/>
        <v>442</v>
      </c>
      <c r="B613" s="86" t="s">
        <v>434</v>
      </c>
      <c r="C613" s="8">
        <v>149.16</v>
      </c>
      <c r="D613" s="1" t="s">
        <v>877</v>
      </c>
      <c r="E613"/>
      <c r="I613"/>
      <c r="J613" s="4"/>
      <c r="K613" s="5" t="s">
        <v>1609</v>
      </c>
      <c r="R613" s="89" t="s">
        <v>1609</v>
      </c>
    </row>
    <row r="614" spans="1:33" hidden="1">
      <c r="A614" s="106">
        <f t="shared" si="33"/>
        <v>443</v>
      </c>
      <c r="B614" s="86" t="s">
        <v>435</v>
      </c>
      <c r="C614" s="8">
        <v>84.92</v>
      </c>
      <c r="D614" s="1" t="s">
        <v>877</v>
      </c>
      <c r="E614"/>
      <c r="H614" s="86" t="s">
        <v>782</v>
      </c>
      <c r="I614"/>
      <c r="J614" s="4"/>
      <c r="K614" s="8" t="e">
        <f>ROUND(K612*100,0)</f>
        <v>#REF!</v>
      </c>
      <c r="N614" s="86" t="s">
        <v>2276</v>
      </c>
      <c r="O614" s="86" t="s">
        <v>436</v>
      </c>
    </row>
    <row r="615" spans="1:33" hidden="1">
      <c r="C615"/>
      <c r="D615"/>
      <c r="E615"/>
      <c r="F615" s="86" t="s">
        <v>987</v>
      </c>
      <c r="I615"/>
      <c r="J615" s="4"/>
      <c r="K615"/>
    </row>
    <row r="616" spans="1:33" hidden="1">
      <c r="A616" s="106">
        <f>(A614+1)</f>
        <v>444</v>
      </c>
      <c r="B616" s="86" t="s">
        <v>1117</v>
      </c>
      <c r="C616"/>
      <c r="D616" s="1" t="s">
        <v>877</v>
      </c>
      <c r="E616"/>
      <c r="I616"/>
      <c r="J616" s="4"/>
      <c r="K616" s="5" t="s">
        <v>2080</v>
      </c>
      <c r="O616" s="86" t="s">
        <v>1118</v>
      </c>
      <c r="AG616" s="86" t="s">
        <v>2284</v>
      </c>
    </row>
    <row r="617" spans="1:33" hidden="1">
      <c r="A617" s="106">
        <f t="shared" ref="A617:A648" si="35">(A616+1)</f>
        <v>445</v>
      </c>
      <c r="B617" s="86" t="s">
        <v>1003</v>
      </c>
      <c r="C617" s="8">
        <v>195.36</v>
      </c>
      <c r="D617" s="1" t="s">
        <v>877</v>
      </c>
      <c r="E617"/>
      <c r="G617" s="90" t="s">
        <v>681</v>
      </c>
      <c r="H617" s="86" t="s">
        <v>1004</v>
      </c>
      <c r="I617"/>
      <c r="J617" s="4"/>
      <c r="K617"/>
      <c r="O617" s="89" t="s">
        <v>1609</v>
      </c>
      <c r="AG617" s="86" t="s">
        <v>2284</v>
      </c>
    </row>
    <row r="618" spans="1:33" hidden="1">
      <c r="A618" s="106">
        <f t="shared" si="35"/>
        <v>446</v>
      </c>
      <c r="B618" s="86" t="s">
        <v>1677</v>
      </c>
      <c r="C618" s="8">
        <v>137.28</v>
      </c>
      <c r="D618" s="1" t="s">
        <v>877</v>
      </c>
      <c r="E618"/>
      <c r="H618" s="86" t="s">
        <v>1678</v>
      </c>
      <c r="I618"/>
      <c r="J618" s="4"/>
      <c r="K618"/>
      <c r="M618" s="91">
        <v>3</v>
      </c>
      <c r="N618" s="86" t="s">
        <v>878</v>
      </c>
      <c r="O618" s="86" t="s">
        <v>1679</v>
      </c>
      <c r="P618" s="91">
        <f>(C61*2)</f>
        <v>50</v>
      </c>
      <c r="Q618" s="86" t="s">
        <v>878</v>
      </c>
      <c r="R618" s="91">
        <f>(M618*P618)</f>
        <v>150</v>
      </c>
      <c r="AG618" s="86" t="s">
        <v>2284</v>
      </c>
    </row>
    <row r="619" spans="1:33" hidden="1">
      <c r="A619" s="106">
        <f t="shared" si="35"/>
        <v>447</v>
      </c>
      <c r="B619" s="86" t="s">
        <v>628</v>
      </c>
      <c r="C619"/>
      <c r="D619" s="1" t="s">
        <v>877</v>
      </c>
      <c r="E619"/>
      <c r="H619" s="89" t="s">
        <v>1609</v>
      </c>
      <c r="I619"/>
      <c r="J619" s="4"/>
      <c r="K619"/>
      <c r="M619" s="91">
        <v>2.4</v>
      </c>
      <c r="N619" s="86" t="s">
        <v>878</v>
      </c>
      <c r="O619" s="86" t="s">
        <v>1658</v>
      </c>
      <c r="P619" s="91" t="e">
        <f>(C81)</f>
        <v>#REF!</v>
      </c>
      <c r="Q619" s="86" t="s">
        <v>878</v>
      </c>
      <c r="R619" s="91" t="e">
        <f>(M619*P619)</f>
        <v>#REF!</v>
      </c>
      <c r="AG619" s="86" t="s">
        <v>2284</v>
      </c>
    </row>
    <row r="620" spans="1:33" hidden="1">
      <c r="A620" s="106">
        <f t="shared" si="35"/>
        <v>448</v>
      </c>
      <c r="B620" s="86" t="s">
        <v>1458</v>
      </c>
      <c r="C620" s="8">
        <v>97.68</v>
      </c>
      <c r="D620" s="1" t="s">
        <v>877</v>
      </c>
      <c r="E620"/>
      <c r="F620" s="111">
        <v>1.4E-2</v>
      </c>
      <c r="G620" s="90" t="s">
        <v>878</v>
      </c>
      <c r="H620" s="86" t="s">
        <v>1345</v>
      </c>
      <c r="I620" s="8" t="e">
        <f>(K614)</f>
        <v>#REF!</v>
      </c>
      <c r="J620" s="2" t="s">
        <v>878</v>
      </c>
      <c r="K620" s="8" t="e">
        <f>(F620*I620)</f>
        <v>#REF!</v>
      </c>
      <c r="M620" s="91">
        <v>5</v>
      </c>
      <c r="N620" s="86" t="s">
        <v>877</v>
      </c>
      <c r="O620" s="86" t="s">
        <v>613</v>
      </c>
      <c r="P620" s="91">
        <f>(C203)</f>
        <v>40</v>
      </c>
      <c r="Q620" s="86" t="s">
        <v>877</v>
      </c>
      <c r="R620" s="91">
        <f>(M620*P620)</f>
        <v>200</v>
      </c>
      <c r="AG620" s="86" t="s">
        <v>2284</v>
      </c>
    </row>
    <row r="621" spans="1:33" hidden="1">
      <c r="A621" s="106">
        <f t="shared" si="35"/>
        <v>449</v>
      </c>
      <c r="B621" s="86" t="s">
        <v>1798</v>
      </c>
      <c r="C621" s="8">
        <v>54.12</v>
      </c>
      <c r="D621" s="1" t="s">
        <v>877</v>
      </c>
      <c r="E621"/>
      <c r="F621" s="111"/>
      <c r="H621" s="86" t="s">
        <v>1799</v>
      </c>
      <c r="I621"/>
      <c r="J621" s="4"/>
      <c r="K621" s="1" t="s">
        <v>987</v>
      </c>
      <c r="O621" s="86" t="s">
        <v>451</v>
      </c>
      <c r="Q621" s="86" t="s">
        <v>450</v>
      </c>
      <c r="R621" s="91">
        <v>0.08</v>
      </c>
      <c r="AG621" s="86" t="s">
        <v>2284</v>
      </c>
    </row>
    <row r="622" spans="1:33" hidden="1">
      <c r="A622" s="106">
        <f t="shared" si="35"/>
        <v>450</v>
      </c>
      <c r="B622" s="86" t="s">
        <v>1800</v>
      </c>
      <c r="C622"/>
      <c r="D622" s="1" t="s">
        <v>877</v>
      </c>
      <c r="E622"/>
      <c r="F622" s="91">
        <v>0.5</v>
      </c>
      <c r="G622" s="90" t="s">
        <v>778</v>
      </c>
      <c r="H622" s="86" t="s">
        <v>2034</v>
      </c>
      <c r="I622" s="8">
        <f>(C10)</f>
        <v>150</v>
      </c>
      <c r="J622" s="2" t="s">
        <v>778</v>
      </c>
      <c r="K622" s="8">
        <f>(F622*I622)</f>
        <v>75</v>
      </c>
      <c r="R622" s="89" t="s">
        <v>1609</v>
      </c>
      <c r="S622" s="86" t="s">
        <v>987</v>
      </c>
      <c r="AG622" s="86" t="s">
        <v>2284</v>
      </c>
    </row>
    <row r="623" spans="1:33" hidden="1">
      <c r="A623" s="106">
        <f t="shared" si="35"/>
        <v>451</v>
      </c>
      <c r="B623" s="86" t="s">
        <v>1659</v>
      </c>
      <c r="C623" s="8">
        <v>110</v>
      </c>
      <c r="D623" s="1" t="s">
        <v>877</v>
      </c>
      <c r="E623"/>
      <c r="F623" s="91">
        <v>0.75</v>
      </c>
      <c r="G623" s="90" t="s">
        <v>778</v>
      </c>
      <c r="H623" s="86" t="s">
        <v>1927</v>
      </c>
      <c r="I623" s="8">
        <f>(C12)</f>
        <v>95</v>
      </c>
      <c r="J623" s="2" t="s">
        <v>778</v>
      </c>
      <c r="K623" s="8">
        <f>(F623*I623)</f>
        <v>71.25</v>
      </c>
      <c r="O623" s="86" t="s">
        <v>1776</v>
      </c>
      <c r="R623" s="91" t="e">
        <f>SUM(R618:R621)</f>
        <v>#REF!</v>
      </c>
      <c r="AG623" s="86" t="s">
        <v>2284</v>
      </c>
    </row>
    <row r="624" spans="1:33" hidden="1">
      <c r="A624" s="106">
        <f t="shared" si="35"/>
        <v>452</v>
      </c>
      <c r="B624" s="86" t="s">
        <v>1660</v>
      </c>
      <c r="C624" s="8">
        <v>70</v>
      </c>
      <c r="D624" s="1" t="s">
        <v>877</v>
      </c>
      <c r="E624"/>
      <c r="G624" s="90" t="s">
        <v>450</v>
      </c>
      <c r="H624" s="86" t="s">
        <v>451</v>
      </c>
      <c r="I624"/>
      <c r="J624" s="2" t="s">
        <v>450</v>
      </c>
      <c r="K624" s="8">
        <v>0</v>
      </c>
      <c r="R624" s="89" t="s">
        <v>1609</v>
      </c>
      <c r="AG624" s="86" t="s">
        <v>2284</v>
      </c>
    </row>
    <row r="625" spans="1:33" hidden="1">
      <c r="A625" s="106">
        <f t="shared" si="35"/>
        <v>453</v>
      </c>
      <c r="B625" s="86" t="s">
        <v>1661</v>
      </c>
      <c r="C625"/>
      <c r="D625" s="1" t="s">
        <v>877</v>
      </c>
      <c r="E625"/>
      <c r="I625"/>
      <c r="J625" s="4"/>
      <c r="K625" s="5" t="s">
        <v>1609</v>
      </c>
      <c r="AG625" s="86" t="s">
        <v>2284</v>
      </c>
    </row>
    <row r="626" spans="1:33" hidden="1">
      <c r="A626" s="106">
        <f t="shared" si="35"/>
        <v>454</v>
      </c>
      <c r="B626" s="86" t="s">
        <v>103</v>
      </c>
      <c r="C626" s="8">
        <v>12</v>
      </c>
      <c r="D626" s="1" t="s">
        <v>877</v>
      </c>
      <c r="E626"/>
      <c r="H626" s="86" t="s">
        <v>104</v>
      </c>
      <c r="I626"/>
      <c r="J626" s="4"/>
      <c r="K626" s="8" t="e">
        <f>SUM(K620:K624)</f>
        <v>#REF!</v>
      </c>
      <c r="N626" s="86" t="s">
        <v>2276</v>
      </c>
      <c r="O626" s="86" t="s">
        <v>63</v>
      </c>
      <c r="AG626" s="86" t="s">
        <v>2284</v>
      </c>
    </row>
    <row r="627" spans="1:33" hidden="1">
      <c r="A627" s="106">
        <f t="shared" si="35"/>
        <v>455</v>
      </c>
      <c r="B627" s="86" t="s">
        <v>1985</v>
      </c>
      <c r="C627" s="8">
        <v>7.5</v>
      </c>
      <c r="D627" s="1" t="s">
        <v>877</v>
      </c>
      <c r="E627"/>
      <c r="I627"/>
      <c r="J627" s="4"/>
      <c r="K627" s="5" t="s">
        <v>1609</v>
      </c>
      <c r="O627" s="86" t="s">
        <v>1986</v>
      </c>
      <c r="AG627" s="86" t="s">
        <v>2284</v>
      </c>
    </row>
    <row r="628" spans="1:33" hidden="1">
      <c r="A628" s="106">
        <f t="shared" si="35"/>
        <v>456</v>
      </c>
      <c r="B628" s="86" t="s">
        <v>1987</v>
      </c>
      <c r="C628"/>
      <c r="D628" s="1" t="s">
        <v>877</v>
      </c>
      <c r="E628"/>
      <c r="H628" s="86" t="s">
        <v>556</v>
      </c>
      <c r="I628"/>
      <c r="J628" s="4"/>
      <c r="K628" s="8" t="e">
        <f>(K626/0.372)</f>
        <v>#REF!</v>
      </c>
      <c r="O628" s="86" t="s">
        <v>1988</v>
      </c>
      <c r="AG628" s="86" t="s">
        <v>2284</v>
      </c>
    </row>
    <row r="629" spans="1:33" hidden="1">
      <c r="A629" s="106">
        <f t="shared" si="35"/>
        <v>457</v>
      </c>
      <c r="B629" s="86" t="s">
        <v>1989</v>
      </c>
      <c r="C629" s="8">
        <v>155.32</v>
      </c>
      <c r="D629" s="1" t="s">
        <v>877</v>
      </c>
      <c r="E629"/>
      <c r="I629"/>
      <c r="J629" s="4"/>
      <c r="K629" s="5" t="s">
        <v>2080</v>
      </c>
      <c r="O629" s="89" t="s">
        <v>1609</v>
      </c>
      <c r="AG629" s="86" t="s">
        <v>2284</v>
      </c>
    </row>
    <row r="630" spans="1:33" hidden="1">
      <c r="A630" s="106">
        <f t="shared" si="35"/>
        <v>458</v>
      </c>
      <c r="B630" s="86" t="s">
        <v>1792</v>
      </c>
      <c r="C630" s="8">
        <v>91.08</v>
      </c>
      <c r="D630" s="1" t="s">
        <v>877</v>
      </c>
      <c r="E630"/>
      <c r="H630" s="86" t="s">
        <v>386</v>
      </c>
      <c r="I630"/>
      <c r="J630" s="4"/>
      <c r="K630" s="8" t="e">
        <f>(K628+C22*0.014/0.372)</f>
        <v>#REF!</v>
      </c>
      <c r="M630" s="91">
        <v>9.5</v>
      </c>
      <c r="N630" s="86" t="s">
        <v>878</v>
      </c>
      <c r="O630" s="86" t="s">
        <v>1679</v>
      </c>
      <c r="P630" s="91">
        <f>(C61*2)</f>
        <v>50</v>
      </c>
      <c r="Q630" s="86" t="s">
        <v>878</v>
      </c>
      <c r="R630" s="91">
        <f t="shared" ref="R630:R638" si="36">(M630*P630)</f>
        <v>475</v>
      </c>
      <c r="AG630" s="86" t="s">
        <v>2284</v>
      </c>
    </row>
    <row r="631" spans="1:33" hidden="1">
      <c r="A631" s="106">
        <f t="shared" si="35"/>
        <v>459</v>
      </c>
      <c r="B631" s="86" t="s">
        <v>2974</v>
      </c>
      <c r="C631" s="8">
        <v>30</v>
      </c>
      <c r="D631" s="1" t="s">
        <v>1670</v>
      </c>
      <c r="E631"/>
      <c r="H631" s="86" t="s">
        <v>388</v>
      </c>
      <c r="I631"/>
      <c r="J631" s="4"/>
      <c r="K631" s="8" t="e">
        <f>(K630+C23*0.014/0.372)</f>
        <v>#REF!</v>
      </c>
      <c r="M631" s="91">
        <v>0.47</v>
      </c>
      <c r="N631" s="86" t="s">
        <v>878</v>
      </c>
      <c r="O631" s="86" t="s">
        <v>342</v>
      </c>
      <c r="P631" s="91" t="e">
        <f>(R74)</f>
        <v>#REF!</v>
      </c>
      <c r="Q631" s="86" t="s">
        <v>878</v>
      </c>
      <c r="R631" s="91" t="e">
        <f t="shared" si="36"/>
        <v>#REF!</v>
      </c>
      <c r="AG631" s="86" t="s">
        <v>2284</v>
      </c>
    </row>
    <row r="632" spans="1:33" hidden="1">
      <c r="A632" s="106">
        <f t="shared" si="35"/>
        <v>460</v>
      </c>
      <c r="B632" s="86" t="s">
        <v>1868</v>
      </c>
      <c r="C632" s="8">
        <v>0.3</v>
      </c>
      <c r="D632" s="1" t="s">
        <v>877</v>
      </c>
      <c r="E632"/>
      <c r="H632" s="86" t="s">
        <v>2257</v>
      </c>
      <c r="I632"/>
      <c r="J632" s="4"/>
      <c r="K632" s="8" t="e">
        <f>(K631+C24*0.014/0.372)</f>
        <v>#REF!</v>
      </c>
      <c r="M632" s="91">
        <v>1.62</v>
      </c>
      <c r="N632" s="86" t="s">
        <v>878</v>
      </c>
      <c r="O632" s="86" t="s">
        <v>2001</v>
      </c>
      <c r="P632" s="91" t="e">
        <f>(R89)</f>
        <v>#REF!</v>
      </c>
      <c r="Q632" s="86" t="s">
        <v>878</v>
      </c>
      <c r="R632" s="91" t="e">
        <f t="shared" si="36"/>
        <v>#REF!</v>
      </c>
      <c r="AG632" s="86" t="s">
        <v>2284</v>
      </c>
    </row>
    <row r="633" spans="1:33" hidden="1">
      <c r="A633" s="106">
        <f t="shared" si="35"/>
        <v>461</v>
      </c>
      <c r="B633" s="86" t="s">
        <v>2975</v>
      </c>
      <c r="C633" s="8">
        <v>99</v>
      </c>
      <c r="D633" s="1" t="s">
        <v>615</v>
      </c>
      <c r="E633"/>
      <c r="H633" s="86" t="s">
        <v>380</v>
      </c>
      <c r="I633"/>
      <c r="J633" s="4"/>
      <c r="K633" s="8" t="e">
        <f>(K632+C24*0.014/0.372)</f>
        <v>#REF!</v>
      </c>
      <c r="M633" s="91">
        <v>15.22</v>
      </c>
      <c r="N633" s="86" t="s">
        <v>615</v>
      </c>
      <c r="O633" s="86" t="s">
        <v>2159</v>
      </c>
      <c r="P633" s="91" t="e">
        <f>(R303)</f>
        <v>#REF!</v>
      </c>
      <c r="Q633" s="86" t="s">
        <v>615</v>
      </c>
      <c r="R633" s="91" t="e">
        <f t="shared" si="36"/>
        <v>#REF!</v>
      </c>
      <c r="AG633" s="86" t="s">
        <v>2284</v>
      </c>
    </row>
    <row r="634" spans="1:33" hidden="1">
      <c r="A634" s="106">
        <f t="shared" si="35"/>
        <v>462</v>
      </c>
      <c r="B634" s="86" t="s">
        <v>2043</v>
      </c>
      <c r="C634" s="8">
        <v>97.31</v>
      </c>
      <c r="D634" s="1" t="s">
        <v>615</v>
      </c>
      <c r="E634"/>
      <c r="H634" s="86" t="s">
        <v>1384</v>
      </c>
      <c r="I634"/>
      <c r="J634" s="4"/>
      <c r="K634" s="8" t="e">
        <f>(K633+C25*0.014/0.372)</f>
        <v>#REF!</v>
      </c>
      <c r="M634" s="91">
        <v>0.18</v>
      </c>
      <c r="N634" s="86" t="s">
        <v>878</v>
      </c>
      <c r="O634" s="86" t="s">
        <v>1353</v>
      </c>
      <c r="P634" s="91" t="e">
        <f>(K279)</f>
        <v>#REF!</v>
      </c>
      <c r="Q634" s="86" t="s">
        <v>878</v>
      </c>
      <c r="R634" s="91" t="e">
        <f t="shared" si="36"/>
        <v>#REF!</v>
      </c>
      <c r="AG634" s="86" t="s">
        <v>2284</v>
      </c>
    </row>
    <row r="635" spans="1:33" hidden="1">
      <c r="A635" s="106">
        <f t="shared" si="35"/>
        <v>463</v>
      </c>
      <c r="B635" s="86" t="s">
        <v>2976</v>
      </c>
      <c r="C635" s="8">
        <v>105.28</v>
      </c>
      <c r="D635" s="1" t="s">
        <v>1170</v>
      </c>
      <c r="E635"/>
      <c r="F635" s="102" t="s">
        <v>1354</v>
      </c>
      <c r="H635" s="86" t="s">
        <v>768</v>
      </c>
      <c r="I635"/>
      <c r="J635" s="4"/>
      <c r="K635"/>
      <c r="M635" s="91">
        <v>0.36</v>
      </c>
      <c r="N635" s="86" t="s">
        <v>615</v>
      </c>
      <c r="O635" s="86" t="s">
        <v>769</v>
      </c>
      <c r="P635" s="91" t="e">
        <f>(K466)</f>
        <v>#REF!</v>
      </c>
      <c r="Q635" s="86" t="s">
        <v>615</v>
      </c>
      <c r="R635" s="91" t="e">
        <f t="shared" si="36"/>
        <v>#REF!</v>
      </c>
      <c r="AG635" s="86" t="s">
        <v>2284</v>
      </c>
    </row>
    <row r="636" spans="1:33" hidden="1">
      <c r="A636" s="106">
        <f t="shared" si="35"/>
        <v>464</v>
      </c>
      <c r="B636" s="86" t="s">
        <v>2977</v>
      </c>
      <c r="C636" s="8">
        <v>106.75</v>
      </c>
      <c r="D636" s="1" t="s">
        <v>1170</v>
      </c>
      <c r="E636"/>
      <c r="H636" s="86" t="s">
        <v>1429</v>
      </c>
      <c r="I636"/>
      <c r="J636" s="4"/>
      <c r="K636"/>
      <c r="M636" s="91">
        <v>1</v>
      </c>
      <c r="N636" s="86" t="s">
        <v>877</v>
      </c>
      <c r="O636" s="86" t="s">
        <v>1182</v>
      </c>
      <c r="P636" s="91">
        <f>(C202)</f>
        <v>75</v>
      </c>
      <c r="Q636" s="86" t="s">
        <v>877</v>
      </c>
      <c r="R636" s="91">
        <f t="shared" si="36"/>
        <v>75</v>
      </c>
      <c r="AG636" s="86" t="s">
        <v>2284</v>
      </c>
    </row>
    <row r="637" spans="1:33" hidden="1">
      <c r="A637" s="106">
        <f t="shared" si="35"/>
        <v>465</v>
      </c>
      <c r="B637" s="86" t="s">
        <v>1183</v>
      </c>
      <c r="C637" s="8">
        <v>1</v>
      </c>
      <c r="D637" s="1" t="s">
        <v>877</v>
      </c>
      <c r="E637" t="s">
        <v>150</v>
      </c>
      <c r="H637" s="86" t="s">
        <v>334</v>
      </c>
      <c r="I637"/>
      <c r="J637" s="4"/>
      <c r="K637"/>
      <c r="M637" s="91">
        <v>1.8</v>
      </c>
      <c r="N637" s="86" t="s">
        <v>335</v>
      </c>
      <c r="O637" s="86" t="s">
        <v>336</v>
      </c>
      <c r="P637" s="91">
        <f>(C324)</f>
        <v>14.91</v>
      </c>
      <c r="Q637" s="86" t="s">
        <v>335</v>
      </c>
      <c r="R637" s="91">
        <f t="shared" si="36"/>
        <v>26.84</v>
      </c>
      <c r="AG637" s="86" t="s">
        <v>2284</v>
      </c>
    </row>
    <row r="638" spans="1:33" hidden="1">
      <c r="A638" s="106">
        <f t="shared" si="35"/>
        <v>466</v>
      </c>
      <c r="B638" s="86" t="s">
        <v>2978</v>
      </c>
      <c r="C638" s="8">
        <v>37</v>
      </c>
      <c r="D638" s="1" t="s">
        <v>1670</v>
      </c>
      <c r="E638"/>
      <c r="H638" s="86" t="s">
        <v>1525</v>
      </c>
      <c r="I638"/>
      <c r="J638" s="4"/>
      <c r="K638"/>
      <c r="M638" s="91">
        <v>1</v>
      </c>
      <c r="N638" s="86" t="s">
        <v>877</v>
      </c>
      <c r="O638" s="86" t="s">
        <v>1938</v>
      </c>
      <c r="P638" s="91">
        <f>(C370)</f>
        <v>13.29</v>
      </c>
      <c r="Q638" s="86" t="s">
        <v>877</v>
      </c>
      <c r="R638" s="91">
        <f t="shared" si="36"/>
        <v>13.29</v>
      </c>
      <c r="AG638" s="86" t="s">
        <v>2284</v>
      </c>
    </row>
    <row r="639" spans="1:33" hidden="1">
      <c r="A639" s="106">
        <f t="shared" si="35"/>
        <v>467</v>
      </c>
      <c r="B639" s="124" t="s">
        <v>1939</v>
      </c>
      <c r="C639" s="8">
        <v>3</v>
      </c>
      <c r="D639" s="1" t="s">
        <v>1796</v>
      </c>
      <c r="E639">
        <v>5</v>
      </c>
      <c r="H639" s="86" t="s">
        <v>172</v>
      </c>
      <c r="I639"/>
      <c r="J639" s="4"/>
      <c r="K639"/>
      <c r="N639" s="86" t="s">
        <v>450</v>
      </c>
      <c r="O639" s="86" t="s">
        <v>340</v>
      </c>
      <c r="Q639" s="86" t="s">
        <v>450</v>
      </c>
      <c r="R639" s="91">
        <v>1.6</v>
      </c>
      <c r="AG639" s="86" t="s">
        <v>2284</v>
      </c>
    </row>
    <row r="640" spans="1:33" hidden="1">
      <c r="A640" s="106">
        <f t="shared" si="35"/>
        <v>468</v>
      </c>
      <c r="B640" s="124" t="s">
        <v>173</v>
      </c>
      <c r="C640" s="8">
        <v>2.2000000000000002</v>
      </c>
      <c r="D640" s="1" t="s">
        <v>1796</v>
      </c>
      <c r="E640"/>
      <c r="H640" s="86" t="s">
        <v>174</v>
      </c>
      <c r="I640"/>
      <c r="J640" s="4"/>
      <c r="K640"/>
      <c r="R640" s="86" t="s">
        <v>987</v>
      </c>
      <c r="AG640" s="86" t="s">
        <v>2284</v>
      </c>
    </row>
    <row r="641" spans="1:33" hidden="1">
      <c r="A641" s="106">
        <f t="shared" si="35"/>
        <v>469</v>
      </c>
      <c r="B641" s="86" t="s">
        <v>2979</v>
      </c>
      <c r="C641" s="8">
        <v>2.2000000000000002</v>
      </c>
      <c r="D641" s="1">
        <v>2.7</v>
      </c>
      <c r="E641">
        <v>2</v>
      </c>
      <c r="H641" s="86" t="s">
        <v>175</v>
      </c>
      <c r="I641"/>
      <c r="J641" s="4"/>
      <c r="K641"/>
      <c r="R641" s="89" t="s">
        <v>1609</v>
      </c>
      <c r="AG641" s="86" t="s">
        <v>2284</v>
      </c>
    </row>
    <row r="642" spans="1:33" hidden="1">
      <c r="A642" s="106">
        <f t="shared" si="35"/>
        <v>470</v>
      </c>
      <c r="B642" s="86" t="s">
        <v>176</v>
      </c>
      <c r="C642" s="8">
        <v>3.2</v>
      </c>
      <c r="D642" s="8">
        <v>3.2</v>
      </c>
      <c r="E642"/>
      <c r="H642" s="89" t="s">
        <v>1609</v>
      </c>
      <c r="I642" s="5" t="s">
        <v>1609</v>
      </c>
      <c r="J642" s="4"/>
      <c r="K642"/>
      <c r="O642" s="86" t="s">
        <v>1776</v>
      </c>
      <c r="R642" s="91" t="e">
        <f>SUM(R630:R640)</f>
        <v>#REF!</v>
      </c>
      <c r="AG642" s="86" t="s">
        <v>2284</v>
      </c>
    </row>
    <row r="643" spans="1:33" hidden="1">
      <c r="A643" s="106">
        <f t="shared" si="35"/>
        <v>471</v>
      </c>
      <c r="B643" s="86" t="s">
        <v>177</v>
      </c>
      <c r="C643" s="8">
        <v>4</v>
      </c>
      <c r="D643" s="1" t="s">
        <v>450</v>
      </c>
      <c r="E643"/>
      <c r="F643" s="91">
        <v>1</v>
      </c>
      <c r="G643" s="90" t="s">
        <v>615</v>
      </c>
      <c r="H643" s="86" t="s">
        <v>178</v>
      </c>
      <c r="I643" s="8">
        <f>D76</f>
        <v>240</v>
      </c>
      <c r="J643" s="2" t="s">
        <v>615</v>
      </c>
      <c r="K643" s="8">
        <f>(F643*I643)</f>
        <v>240</v>
      </c>
      <c r="R643" s="89" t="s">
        <v>1609</v>
      </c>
      <c r="AG643" s="86" t="s">
        <v>2284</v>
      </c>
    </row>
    <row r="644" spans="1:33" hidden="1">
      <c r="A644" s="106">
        <f t="shared" si="35"/>
        <v>472</v>
      </c>
      <c r="B644" s="86" t="s">
        <v>418</v>
      </c>
      <c r="C644" s="8">
        <v>5</v>
      </c>
      <c r="D644" s="1" t="s">
        <v>450</v>
      </c>
      <c r="E644"/>
      <c r="F644" s="91">
        <v>1</v>
      </c>
      <c r="G644" s="90" t="s">
        <v>615</v>
      </c>
      <c r="H644" s="86" t="s">
        <v>1459</v>
      </c>
      <c r="I644" s="8">
        <f>C75</f>
        <v>20</v>
      </c>
      <c r="J644" s="2" t="s">
        <v>615</v>
      </c>
      <c r="K644" s="8">
        <f>(F644*I644)</f>
        <v>20</v>
      </c>
      <c r="O644" s="86" t="s">
        <v>1460</v>
      </c>
      <c r="AG644" s="86" t="s">
        <v>2284</v>
      </c>
    </row>
    <row r="645" spans="1:33" hidden="1">
      <c r="A645" s="106">
        <f t="shared" si="35"/>
        <v>473</v>
      </c>
      <c r="B645" s="86" t="s">
        <v>1621</v>
      </c>
      <c r="C645" s="8">
        <v>96</v>
      </c>
      <c r="D645" s="1" t="s">
        <v>877</v>
      </c>
      <c r="E645"/>
      <c r="F645" s="91">
        <v>1</v>
      </c>
      <c r="G645" s="90" t="s">
        <v>450</v>
      </c>
      <c r="H645" s="86" t="s">
        <v>1622</v>
      </c>
      <c r="I645" s="8">
        <v>15</v>
      </c>
      <c r="J645" s="2" t="s">
        <v>450</v>
      </c>
      <c r="K645" s="8">
        <f>(F645*I645)</f>
        <v>15</v>
      </c>
      <c r="N645" s="86" t="s">
        <v>2276</v>
      </c>
      <c r="O645" s="86" t="s">
        <v>1623</v>
      </c>
      <c r="AG645" s="86" t="s">
        <v>2284</v>
      </c>
    </row>
    <row r="646" spans="1:33" hidden="1">
      <c r="A646" s="106">
        <f t="shared" si="35"/>
        <v>474</v>
      </c>
      <c r="B646" s="86" t="s">
        <v>1624</v>
      </c>
      <c r="C646" s="8">
        <v>75</v>
      </c>
      <c r="D646" s="1" t="s">
        <v>877</v>
      </c>
      <c r="E646"/>
      <c r="I646"/>
      <c r="J646" s="4"/>
      <c r="K646" s="5" t="s">
        <v>1609</v>
      </c>
      <c r="O646" s="86" t="s">
        <v>1625</v>
      </c>
      <c r="AG646" s="86" t="s">
        <v>2284</v>
      </c>
    </row>
    <row r="647" spans="1:33" hidden="1">
      <c r="A647" s="106">
        <f t="shared" si="35"/>
        <v>475</v>
      </c>
      <c r="B647" s="86" t="s">
        <v>1626</v>
      </c>
      <c r="C647" s="8">
        <v>6.4</v>
      </c>
      <c r="D647" s="8">
        <v>12.65</v>
      </c>
      <c r="E647">
        <v>3</v>
      </c>
      <c r="H647" s="86" t="s">
        <v>556</v>
      </c>
      <c r="I647"/>
      <c r="J647" s="4"/>
      <c r="K647" s="8">
        <f>SUM(K641:K645)</f>
        <v>275</v>
      </c>
      <c r="O647" s="89" t="s">
        <v>1609</v>
      </c>
      <c r="AG647" s="86" t="s">
        <v>2284</v>
      </c>
    </row>
    <row r="648" spans="1:33" hidden="1">
      <c r="A648" s="106">
        <f t="shared" si="35"/>
        <v>476</v>
      </c>
      <c r="B648" s="86" t="s">
        <v>1603</v>
      </c>
      <c r="C648" s="8">
        <v>80</v>
      </c>
      <c r="D648" s="1" t="s">
        <v>877</v>
      </c>
      <c r="E648"/>
      <c r="H648" s="86" t="s">
        <v>1604</v>
      </c>
      <c r="I648"/>
      <c r="J648" s="4"/>
      <c r="K648" s="5" t="s">
        <v>2080</v>
      </c>
      <c r="M648" s="91">
        <v>1</v>
      </c>
      <c r="N648" s="86" t="s">
        <v>877</v>
      </c>
      <c r="O648" s="86" t="s">
        <v>1605</v>
      </c>
      <c r="P648" s="91">
        <f>(C382)</f>
        <v>14.91</v>
      </c>
      <c r="Q648" s="86" t="s">
        <v>877</v>
      </c>
      <c r="R648" s="91">
        <f>(M648*P648)</f>
        <v>14.91</v>
      </c>
      <c r="AG648" s="86" t="s">
        <v>2284</v>
      </c>
    </row>
    <row r="649" spans="1:33" hidden="1">
      <c r="A649" s="106">
        <f t="shared" ref="A649:A673" si="37">(A648+1)</f>
        <v>477</v>
      </c>
      <c r="B649" s="86" t="s">
        <v>137</v>
      </c>
      <c r="C649" s="8">
        <v>64</v>
      </c>
      <c r="D649" s="1" t="s">
        <v>877</v>
      </c>
      <c r="E649"/>
      <c r="H649" s="86" t="s">
        <v>386</v>
      </c>
      <c r="I649"/>
      <c r="J649" s="4"/>
      <c r="K649" s="8">
        <f>(K647+C19*0.05)</f>
        <v>275.88</v>
      </c>
      <c r="N649" s="86" t="s">
        <v>450</v>
      </c>
      <c r="O649" s="86" t="s">
        <v>138</v>
      </c>
      <c r="Q649" s="86" t="s">
        <v>450</v>
      </c>
      <c r="R649" s="91">
        <v>2.09</v>
      </c>
      <c r="AG649" s="86" t="s">
        <v>2284</v>
      </c>
    </row>
    <row r="650" spans="1:33" hidden="1">
      <c r="A650" s="106">
        <f t="shared" si="37"/>
        <v>478</v>
      </c>
      <c r="B650" s="86" t="s">
        <v>139</v>
      </c>
      <c r="C650" s="8">
        <v>40.5</v>
      </c>
      <c r="D650" s="1" t="s">
        <v>877</v>
      </c>
      <c r="E650"/>
      <c r="H650" s="86" t="s">
        <v>388</v>
      </c>
      <c r="I650"/>
      <c r="J650" s="4"/>
      <c r="K650" s="8">
        <f>(K649+C20*0.05)</f>
        <v>277.64</v>
      </c>
      <c r="O650" s="86" t="s">
        <v>140</v>
      </c>
      <c r="R650" s="86" t="s">
        <v>987</v>
      </c>
      <c r="AG650" s="86" t="s">
        <v>2284</v>
      </c>
    </row>
    <row r="651" spans="1:33" hidden="1">
      <c r="A651" s="106">
        <f t="shared" si="37"/>
        <v>479</v>
      </c>
      <c r="B651" s="86" t="s">
        <v>1483</v>
      </c>
      <c r="C651" s="8">
        <v>92</v>
      </c>
      <c r="D651" s="1" t="s">
        <v>877</v>
      </c>
      <c r="E651"/>
      <c r="H651" s="86" t="s">
        <v>2257</v>
      </c>
      <c r="I651"/>
      <c r="J651" s="4"/>
      <c r="K651" s="8">
        <f>(K650+C21*0.05)</f>
        <v>279.39999999999998</v>
      </c>
      <c r="R651" s="89" t="s">
        <v>1609</v>
      </c>
      <c r="AG651" s="86" t="s">
        <v>2284</v>
      </c>
    </row>
    <row r="652" spans="1:33" hidden="1">
      <c r="A652" s="106">
        <f t="shared" si="37"/>
        <v>480</v>
      </c>
      <c r="B652" s="86" t="s">
        <v>1587</v>
      </c>
      <c r="C652" s="8">
        <v>60</v>
      </c>
      <c r="D652" s="1" t="s">
        <v>877</v>
      </c>
      <c r="E652"/>
      <c r="H652" s="86" t="s">
        <v>380</v>
      </c>
      <c r="I652"/>
      <c r="J652" s="4"/>
      <c r="K652" s="8">
        <f>(K651+C21*0.05)</f>
        <v>281.16000000000003</v>
      </c>
      <c r="O652" s="86" t="s">
        <v>1588</v>
      </c>
      <c r="R652" s="91">
        <f>SUM(R648:R650)</f>
        <v>17</v>
      </c>
      <c r="AG652" s="86" t="s">
        <v>2284</v>
      </c>
    </row>
    <row r="653" spans="1:33" hidden="1">
      <c r="A653" s="106">
        <f t="shared" si="37"/>
        <v>481</v>
      </c>
      <c r="B653" s="86" t="s">
        <v>1383</v>
      </c>
      <c r="C653" s="8">
        <v>49.87</v>
      </c>
      <c r="D653" s="1" t="s">
        <v>877</v>
      </c>
      <c r="E653"/>
      <c r="H653" s="86" t="s">
        <v>1384</v>
      </c>
      <c r="I653"/>
      <c r="J653" s="4"/>
      <c r="K653" s="8">
        <f>(K652+C21*0.05)</f>
        <v>282.92</v>
      </c>
      <c r="R653" s="89" t="s">
        <v>1609</v>
      </c>
      <c r="AG653" s="86" t="s">
        <v>2284</v>
      </c>
    </row>
    <row r="654" spans="1:33" hidden="1">
      <c r="A654" s="106">
        <f t="shared" si="37"/>
        <v>482</v>
      </c>
      <c r="B654" s="86" t="s">
        <v>1840</v>
      </c>
      <c r="C654" s="8">
        <v>80</v>
      </c>
      <c r="D654" s="1" t="s">
        <v>877</v>
      </c>
      <c r="E654"/>
      <c r="F654" s="102" t="s">
        <v>1841</v>
      </c>
      <c r="H654" s="86" t="s">
        <v>768</v>
      </c>
      <c r="I654"/>
      <c r="J654" s="4"/>
      <c r="K654"/>
      <c r="AG654" s="86" t="s">
        <v>2284</v>
      </c>
    </row>
    <row r="655" spans="1:33" hidden="1">
      <c r="A655" s="106">
        <f t="shared" si="37"/>
        <v>483</v>
      </c>
      <c r="B655" s="86" t="s">
        <v>1842</v>
      </c>
      <c r="C655" s="8">
        <v>52</v>
      </c>
      <c r="D655" s="1" t="s">
        <v>877</v>
      </c>
      <c r="E655"/>
      <c r="H655" s="86" t="s">
        <v>1843</v>
      </c>
      <c r="I655"/>
      <c r="J655" s="4"/>
      <c r="K655"/>
      <c r="N655" s="86" t="s">
        <v>2276</v>
      </c>
      <c r="O655" s="86" t="s">
        <v>903</v>
      </c>
      <c r="AG655" s="86" t="s">
        <v>2284</v>
      </c>
    </row>
    <row r="656" spans="1:33" hidden="1">
      <c r="A656" s="106">
        <f t="shared" si="37"/>
        <v>484</v>
      </c>
      <c r="B656" s="86" t="s">
        <v>1200</v>
      </c>
      <c r="C656" s="8">
        <v>39</v>
      </c>
      <c r="D656" s="1" t="s">
        <v>877</v>
      </c>
      <c r="E656"/>
      <c r="H656" s="86" t="s">
        <v>334</v>
      </c>
      <c r="I656"/>
      <c r="J656" s="4"/>
      <c r="K656"/>
      <c r="O656" s="86" t="s">
        <v>1625</v>
      </c>
      <c r="AG656" s="86" t="s">
        <v>2284</v>
      </c>
    </row>
    <row r="657" spans="1:33" hidden="1">
      <c r="A657" s="106">
        <f t="shared" si="37"/>
        <v>485</v>
      </c>
      <c r="B657" s="86" t="s">
        <v>1271</v>
      </c>
      <c r="C657" s="8">
        <v>90</v>
      </c>
      <c r="D657" s="1" t="s">
        <v>877</v>
      </c>
      <c r="E657"/>
      <c r="H657" s="86" t="s">
        <v>1525</v>
      </c>
      <c r="I657"/>
      <c r="J657" s="4"/>
      <c r="K657"/>
      <c r="O657" s="89" t="s">
        <v>1609</v>
      </c>
      <c r="AG657" s="86" t="s">
        <v>2284</v>
      </c>
    </row>
    <row r="658" spans="1:33" hidden="1">
      <c r="A658" s="106">
        <f t="shared" si="37"/>
        <v>486</v>
      </c>
      <c r="B658" s="86" t="s">
        <v>1272</v>
      </c>
      <c r="C658" s="8">
        <v>60</v>
      </c>
      <c r="D658" s="1" t="s">
        <v>877</v>
      </c>
      <c r="E658"/>
      <c r="H658" s="86" t="s">
        <v>172</v>
      </c>
      <c r="I658"/>
      <c r="J658" s="4"/>
      <c r="K658"/>
      <c r="M658" s="91">
        <v>1</v>
      </c>
      <c r="N658" s="86" t="s">
        <v>877</v>
      </c>
      <c r="O658" s="86" t="s">
        <v>1102</v>
      </c>
      <c r="P658" s="91">
        <f>(C383)</f>
        <v>17.579999999999998</v>
      </c>
      <c r="Q658" s="86" t="s">
        <v>877</v>
      </c>
      <c r="R658" s="91">
        <f>(M658*P658)</f>
        <v>17.579999999999998</v>
      </c>
      <c r="AG658" s="86" t="s">
        <v>2284</v>
      </c>
    </row>
    <row r="659" spans="1:33" hidden="1">
      <c r="A659" s="106">
        <f t="shared" si="37"/>
        <v>487</v>
      </c>
      <c r="B659" s="86" t="s">
        <v>1103</v>
      </c>
      <c r="C659" s="8">
        <v>43.5</v>
      </c>
      <c r="D659" s="1" t="s">
        <v>877</v>
      </c>
      <c r="E659"/>
      <c r="H659" s="86" t="s">
        <v>174</v>
      </c>
      <c r="I659"/>
      <c r="J659" s="4"/>
      <c r="K659"/>
      <c r="N659" s="86" t="s">
        <v>450</v>
      </c>
      <c r="O659" s="86" t="s">
        <v>138</v>
      </c>
      <c r="Q659" s="86" t="s">
        <v>450</v>
      </c>
      <c r="R659" s="91">
        <v>2.09</v>
      </c>
      <c r="AG659" s="86" t="s">
        <v>2284</v>
      </c>
    </row>
    <row r="660" spans="1:33" hidden="1">
      <c r="A660" s="106">
        <f t="shared" si="37"/>
        <v>488</v>
      </c>
      <c r="B660" s="86" t="s">
        <v>246</v>
      </c>
      <c r="C660" s="8">
        <v>75</v>
      </c>
      <c r="D660" s="1" t="s">
        <v>877</v>
      </c>
      <c r="E660"/>
      <c r="H660" s="86" t="s">
        <v>2096</v>
      </c>
      <c r="I660"/>
      <c r="J660" s="4"/>
      <c r="K660"/>
      <c r="O660" s="86" t="s">
        <v>140</v>
      </c>
      <c r="R660" s="86" t="s">
        <v>987</v>
      </c>
      <c r="AG660" s="86" t="s">
        <v>2284</v>
      </c>
    </row>
    <row r="661" spans="1:33" hidden="1">
      <c r="A661" s="106">
        <f t="shared" si="37"/>
        <v>489</v>
      </c>
      <c r="B661" s="86" t="s">
        <v>2050</v>
      </c>
      <c r="C661" s="8">
        <v>52</v>
      </c>
      <c r="D661" s="1" t="s">
        <v>877</v>
      </c>
      <c r="E661"/>
      <c r="H661" s="89" t="s">
        <v>1609</v>
      </c>
      <c r="I661" s="5" t="s">
        <v>1609</v>
      </c>
      <c r="J661" s="4"/>
      <c r="K661"/>
      <c r="R661" s="89" t="s">
        <v>1609</v>
      </c>
      <c r="AG661" s="86" t="s">
        <v>2284</v>
      </c>
    </row>
    <row r="662" spans="1:33" hidden="1">
      <c r="A662" s="106">
        <f t="shared" si="37"/>
        <v>490</v>
      </c>
      <c r="B662" s="86" t="s">
        <v>1200</v>
      </c>
      <c r="C662" s="8">
        <v>35.25</v>
      </c>
      <c r="D662" s="1" t="s">
        <v>877</v>
      </c>
      <c r="E662"/>
      <c r="F662" s="91">
        <v>1</v>
      </c>
      <c r="G662" s="90" t="s">
        <v>615</v>
      </c>
      <c r="H662" s="86" t="s">
        <v>936</v>
      </c>
      <c r="I662" s="8">
        <f>C76</f>
        <v>514.62</v>
      </c>
      <c r="J662" s="2" t="s">
        <v>615</v>
      </c>
      <c r="K662" s="8">
        <f>(F662*I662)</f>
        <v>514.62</v>
      </c>
      <c r="O662" s="86" t="s">
        <v>1588</v>
      </c>
      <c r="R662" s="91">
        <f>SUM(R658:R660)</f>
        <v>19.670000000000002</v>
      </c>
      <c r="AG662" s="86" t="s">
        <v>2284</v>
      </c>
    </row>
    <row r="663" spans="1:33" hidden="1">
      <c r="A663" s="106">
        <f t="shared" si="37"/>
        <v>491</v>
      </c>
      <c r="B663" s="86" t="s">
        <v>937</v>
      </c>
      <c r="C663" s="8">
        <v>37.5</v>
      </c>
      <c r="D663" s="1" t="s">
        <v>877</v>
      </c>
      <c r="E663"/>
      <c r="F663" s="91">
        <v>1</v>
      </c>
      <c r="G663" s="90" t="s">
        <v>615</v>
      </c>
      <c r="H663" s="86" t="s">
        <v>1459</v>
      </c>
      <c r="I663" s="8">
        <f>C75</f>
        <v>20</v>
      </c>
      <c r="J663" s="2" t="s">
        <v>615</v>
      </c>
      <c r="K663" s="8">
        <f>(F663*I663)</f>
        <v>20</v>
      </c>
      <c r="R663" s="89" t="s">
        <v>1609</v>
      </c>
      <c r="AG663" s="86" t="s">
        <v>2284</v>
      </c>
    </row>
    <row r="664" spans="1:33" hidden="1">
      <c r="A664" s="106">
        <f t="shared" si="37"/>
        <v>492</v>
      </c>
      <c r="B664" s="86" t="s">
        <v>938</v>
      </c>
      <c r="C664" s="8">
        <v>24</v>
      </c>
      <c r="D664" s="1" t="s">
        <v>877</v>
      </c>
      <c r="E664"/>
      <c r="F664" s="91">
        <v>1</v>
      </c>
      <c r="G664" s="90" t="s">
        <v>450</v>
      </c>
      <c r="H664" s="86" t="s">
        <v>1622</v>
      </c>
      <c r="I664" s="8">
        <v>15</v>
      </c>
      <c r="J664" s="2" t="s">
        <v>450</v>
      </c>
      <c r="K664" s="8">
        <f>(F664*I664)</f>
        <v>15</v>
      </c>
      <c r="AG664" s="86" t="s">
        <v>2284</v>
      </c>
    </row>
    <row r="665" spans="1:33" hidden="1">
      <c r="A665" s="106">
        <f t="shared" si="37"/>
        <v>493</v>
      </c>
      <c r="B665" s="86" t="s">
        <v>939</v>
      </c>
      <c r="C665" s="8">
        <v>16</v>
      </c>
      <c r="D665" s="1" t="s">
        <v>877</v>
      </c>
      <c r="E665"/>
      <c r="H665" s="86" t="s">
        <v>451</v>
      </c>
      <c r="I665"/>
      <c r="J665" s="2" t="s">
        <v>450</v>
      </c>
      <c r="K665" s="8">
        <v>0</v>
      </c>
      <c r="N665" s="86" t="s">
        <v>2276</v>
      </c>
      <c r="O665" s="86" t="s">
        <v>482</v>
      </c>
      <c r="AG665" s="86" t="s">
        <v>2284</v>
      </c>
    </row>
    <row r="666" spans="1:33" hidden="1">
      <c r="A666" s="106">
        <f t="shared" si="37"/>
        <v>494</v>
      </c>
      <c r="B666" s="86" t="s">
        <v>483</v>
      </c>
      <c r="C666" s="8">
        <v>18</v>
      </c>
      <c r="D666" s="1" t="s">
        <v>877</v>
      </c>
      <c r="E666"/>
      <c r="I666"/>
      <c r="J666" s="4"/>
      <c r="K666" s="5" t="s">
        <v>1609</v>
      </c>
      <c r="O666" s="86" t="s">
        <v>1625</v>
      </c>
      <c r="AG666" s="86" t="s">
        <v>2284</v>
      </c>
    </row>
    <row r="667" spans="1:33" hidden="1">
      <c r="A667" s="106">
        <f t="shared" si="37"/>
        <v>495</v>
      </c>
      <c r="B667" s="86" t="s">
        <v>484</v>
      </c>
      <c r="C667" s="8">
        <v>6</v>
      </c>
      <c r="D667" s="1" t="s">
        <v>877</v>
      </c>
      <c r="E667"/>
      <c r="H667" s="86" t="s">
        <v>556</v>
      </c>
      <c r="I667"/>
      <c r="J667" s="4"/>
      <c r="K667" s="8">
        <f>SUM(K662:K665)</f>
        <v>549.62</v>
      </c>
      <c r="O667" s="89" t="s">
        <v>1609</v>
      </c>
      <c r="AG667" s="86" t="s">
        <v>2284</v>
      </c>
    </row>
    <row r="668" spans="1:33" hidden="1">
      <c r="A668" s="106">
        <f t="shared" si="37"/>
        <v>496</v>
      </c>
      <c r="B668" s="86" t="s">
        <v>485</v>
      </c>
      <c r="C668" s="8">
        <v>152.5</v>
      </c>
      <c r="D668" s="1" t="s">
        <v>1796</v>
      </c>
      <c r="E668"/>
      <c r="H668" s="86" t="s">
        <v>1604</v>
      </c>
      <c r="I668"/>
      <c r="J668" s="4"/>
      <c r="K668" s="5" t="s">
        <v>2080</v>
      </c>
      <c r="M668" s="91">
        <v>1</v>
      </c>
      <c r="N668" s="86" t="s">
        <v>877</v>
      </c>
      <c r="O668" s="86" t="s">
        <v>486</v>
      </c>
      <c r="P668" s="91">
        <f>(C384)</f>
        <v>19.3</v>
      </c>
      <c r="Q668" s="86" t="s">
        <v>877</v>
      </c>
      <c r="R668" s="91">
        <f>(M668*P668)</f>
        <v>19.3</v>
      </c>
      <c r="AG668" s="86" t="s">
        <v>2284</v>
      </c>
    </row>
    <row r="669" spans="1:33" hidden="1">
      <c r="A669" s="106">
        <f t="shared" si="37"/>
        <v>497</v>
      </c>
      <c r="B669" s="86" t="s">
        <v>1022</v>
      </c>
      <c r="C669" s="8">
        <v>108.68</v>
      </c>
      <c r="D669" s="1" t="s">
        <v>877</v>
      </c>
      <c r="E669"/>
      <c r="H669" s="86" t="s">
        <v>386</v>
      </c>
      <c r="I669"/>
      <c r="J669" s="2" t="s">
        <v>987</v>
      </c>
      <c r="K669" s="8">
        <f>(K667+C19*0.11)</f>
        <v>551.55999999999995</v>
      </c>
      <c r="N669" s="86" t="s">
        <v>450</v>
      </c>
      <c r="O669" s="86" t="s">
        <v>138</v>
      </c>
      <c r="Q669" s="86" t="s">
        <v>450</v>
      </c>
      <c r="R669" s="91">
        <v>2.09</v>
      </c>
      <c r="AG669" s="86" t="s">
        <v>2284</v>
      </c>
    </row>
    <row r="670" spans="1:33" hidden="1">
      <c r="A670" s="106">
        <f t="shared" si="37"/>
        <v>498</v>
      </c>
      <c r="B670" s="86" t="s">
        <v>552</v>
      </c>
      <c r="C670" s="8">
        <v>119.89</v>
      </c>
      <c r="D670" s="1" t="s">
        <v>877</v>
      </c>
      <c r="E670"/>
      <c r="H670" s="86" t="s">
        <v>388</v>
      </c>
      <c r="I670"/>
      <c r="J670" s="4"/>
      <c r="K670" s="8">
        <f>(K669+C20*0.11)</f>
        <v>555.42999999999995</v>
      </c>
      <c r="O670" s="86" t="s">
        <v>140</v>
      </c>
      <c r="R670" s="86" t="s">
        <v>987</v>
      </c>
      <c r="AG670" s="86" t="s">
        <v>2284</v>
      </c>
    </row>
    <row r="671" spans="1:33" hidden="1">
      <c r="A671" s="106">
        <f t="shared" si="37"/>
        <v>499</v>
      </c>
      <c r="B671" s="86" t="s">
        <v>553</v>
      </c>
      <c r="C671" s="8">
        <v>297.44</v>
      </c>
      <c r="D671" s="1" t="s">
        <v>877</v>
      </c>
      <c r="E671"/>
      <c r="H671" s="86" t="s">
        <v>2257</v>
      </c>
      <c r="I671"/>
      <c r="J671" s="4"/>
      <c r="K671" s="8">
        <f>(K670+C21*0.11)</f>
        <v>559.29999999999995</v>
      </c>
      <c r="R671" s="89" t="s">
        <v>1609</v>
      </c>
      <c r="AG671" s="86" t="s">
        <v>322</v>
      </c>
    </row>
    <row r="672" spans="1:33" hidden="1">
      <c r="A672" s="106">
        <f t="shared" si="37"/>
        <v>500</v>
      </c>
      <c r="B672" s="86" t="s">
        <v>554</v>
      </c>
      <c r="C672" s="8">
        <v>28.6</v>
      </c>
      <c r="D672" s="1" t="s">
        <v>877</v>
      </c>
      <c r="E672"/>
      <c r="H672" s="86" t="s">
        <v>380</v>
      </c>
      <c r="I672"/>
      <c r="J672" s="4"/>
      <c r="K672" s="8">
        <f>(K671+C21*0.11)</f>
        <v>563.16999999999996</v>
      </c>
      <c r="O672" s="86" t="s">
        <v>1588</v>
      </c>
      <c r="R672" s="91">
        <f>SUM(R668:R670)</f>
        <v>21.39</v>
      </c>
    </row>
    <row r="673" spans="1:33" hidden="1">
      <c r="A673" s="106">
        <f t="shared" si="37"/>
        <v>501</v>
      </c>
      <c r="B673" s="86" t="s">
        <v>188</v>
      </c>
      <c r="C673" s="8">
        <v>228.86</v>
      </c>
      <c r="D673" s="1" t="s">
        <v>877</v>
      </c>
      <c r="E673"/>
      <c r="H673" s="86" t="s">
        <v>1384</v>
      </c>
      <c r="I673"/>
      <c r="J673" s="4"/>
      <c r="K673" s="8">
        <f>(K672+C21*0.11)</f>
        <v>567.04</v>
      </c>
      <c r="R673" s="89" t="s">
        <v>1609</v>
      </c>
    </row>
    <row r="674" spans="1:33" hidden="1">
      <c r="C674"/>
      <c r="D674"/>
      <c r="E674"/>
      <c r="F674" s="86" t="s">
        <v>987</v>
      </c>
      <c r="I674"/>
      <c r="J674" s="4"/>
      <c r="K674"/>
    </row>
    <row r="675" spans="1:33" hidden="1">
      <c r="A675" s="106">
        <f>(A673+1)</f>
        <v>502</v>
      </c>
      <c r="B675" s="86" t="s">
        <v>189</v>
      </c>
      <c r="C675" s="8">
        <v>70.47</v>
      </c>
      <c r="D675" s="1" t="s">
        <v>877</v>
      </c>
      <c r="E675"/>
      <c r="I675"/>
      <c r="J675" s="4"/>
      <c r="K675"/>
      <c r="AG675" s="86" t="s">
        <v>2284</v>
      </c>
    </row>
    <row r="676" spans="1:33" hidden="1">
      <c r="A676" s="106">
        <f t="shared" ref="A676:A707" si="38">(A675+1)</f>
        <v>503</v>
      </c>
      <c r="B676" s="86" t="s">
        <v>190</v>
      </c>
      <c r="C676" s="8">
        <v>133.62</v>
      </c>
      <c r="D676" s="1" t="s">
        <v>877</v>
      </c>
      <c r="E676"/>
      <c r="F676" s="102" t="s">
        <v>1375</v>
      </c>
      <c r="H676" s="86" t="s">
        <v>191</v>
      </c>
      <c r="I676"/>
      <c r="J676" s="4"/>
      <c r="K676"/>
      <c r="N676" s="86" t="s">
        <v>2276</v>
      </c>
      <c r="O676" s="86" t="s">
        <v>1474</v>
      </c>
      <c r="AG676" s="86" t="s">
        <v>2284</v>
      </c>
    </row>
    <row r="677" spans="1:33" hidden="1">
      <c r="A677" s="106">
        <f t="shared" si="38"/>
        <v>504</v>
      </c>
      <c r="B677" s="86" t="s">
        <v>1475</v>
      </c>
      <c r="C677" s="8">
        <v>133.62</v>
      </c>
      <c r="D677" s="1" t="s">
        <v>877</v>
      </c>
      <c r="E677"/>
      <c r="H677" s="86" t="s">
        <v>1476</v>
      </c>
      <c r="I677"/>
      <c r="J677" s="4"/>
      <c r="K677"/>
      <c r="O677" s="86" t="s">
        <v>1477</v>
      </c>
      <c r="AG677" s="86" t="s">
        <v>2284</v>
      </c>
    </row>
    <row r="678" spans="1:33" hidden="1">
      <c r="A678" s="106">
        <f t="shared" si="38"/>
        <v>505</v>
      </c>
      <c r="B678" s="86" t="s">
        <v>1478</v>
      </c>
      <c r="C678" s="8">
        <v>215</v>
      </c>
      <c r="D678" s="1" t="s">
        <v>877</v>
      </c>
      <c r="E678"/>
      <c r="H678" s="86" t="s">
        <v>1479</v>
      </c>
      <c r="I678"/>
      <c r="J678" s="4"/>
      <c r="K678"/>
      <c r="O678" s="89" t="s">
        <v>1609</v>
      </c>
      <c r="AG678" s="86" t="s">
        <v>2284</v>
      </c>
    </row>
    <row r="679" spans="1:33" hidden="1">
      <c r="A679" s="106">
        <f t="shared" si="38"/>
        <v>506</v>
      </c>
      <c r="B679" s="86" t="s">
        <v>1231</v>
      </c>
      <c r="C679" s="8">
        <v>215</v>
      </c>
      <c r="D679" s="1" t="s">
        <v>877</v>
      </c>
      <c r="E679"/>
      <c r="H679" s="89" t="s">
        <v>1609</v>
      </c>
      <c r="I679"/>
      <c r="J679" s="4"/>
      <c r="K679"/>
      <c r="M679" s="91">
        <v>1</v>
      </c>
      <c r="N679" s="86" t="s">
        <v>877</v>
      </c>
      <c r="O679" s="86" t="s">
        <v>1232</v>
      </c>
      <c r="P679" s="91">
        <f>(C392/1*0.3)</f>
        <v>14.61</v>
      </c>
      <c r="Q679" s="86" t="s">
        <v>877</v>
      </c>
      <c r="R679" s="91">
        <f>(M679*P679)</f>
        <v>14.61</v>
      </c>
      <c r="AG679" s="86" t="s">
        <v>2284</v>
      </c>
    </row>
    <row r="680" spans="1:33" hidden="1">
      <c r="A680" s="106">
        <f t="shared" si="38"/>
        <v>507</v>
      </c>
      <c r="B680" s="86" t="s">
        <v>1233</v>
      </c>
      <c r="C680" s="8">
        <v>107.64</v>
      </c>
      <c r="D680" s="1" t="s">
        <v>615</v>
      </c>
      <c r="E680"/>
      <c r="F680" s="91">
        <v>0.4</v>
      </c>
      <c r="G680" s="90" t="s">
        <v>878</v>
      </c>
      <c r="H680" s="86" t="s">
        <v>1234</v>
      </c>
      <c r="I680" s="8">
        <f>(C267)</f>
        <v>10705</v>
      </c>
      <c r="J680" s="2" t="s">
        <v>878</v>
      </c>
      <c r="K680" s="8">
        <f>(F680*I680)</f>
        <v>4282</v>
      </c>
      <c r="N680" s="86" t="s">
        <v>450</v>
      </c>
      <c r="O680" s="86" t="s">
        <v>138</v>
      </c>
      <c r="Q680" s="86" t="s">
        <v>450</v>
      </c>
      <c r="R680" s="91">
        <v>1.65</v>
      </c>
      <c r="AG680" s="86" t="s">
        <v>2284</v>
      </c>
    </row>
    <row r="681" spans="1:33" hidden="1">
      <c r="A681" s="106">
        <f t="shared" si="38"/>
        <v>508</v>
      </c>
      <c r="B681" s="86" t="s">
        <v>1235</v>
      </c>
      <c r="C681"/>
      <c r="D681"/>
      <c r="E681"/>
      <c r="F681" s="91">
        <v>0.12</v>
      </c>
      <c r="G681" s="90" t="s">
        <v>878</v>
      </c>
      <c r="H681" s="86" t="s">
        <v>1192</v>
      </c>
      <c r="I681" s="8">
        <f>(C268)</f>
        <v>9395</v>
      </c>
      <c r="J681" s="2" t="s">
        <v>878</v>
      </c>
      <c r="K681" s="8">
        <f>(F681*I681)</f>
        <v>1127.4000000000001</v>
      </c>
      <c r="O681" s="86" t="s">
        <v>140</v>
      </c>
      <c r="R681" s="86" t="s">
        <v>987</v>
      </c>
      <c r="AG681" s="86" t="s">
        <v>2284</v>
      </c>
    </row>
    <row r="682" spans="1:33" hidden="1">
      <c r="A682" s="106">
        <f t="shared" si="38"/>
        <v>509</v>
      </c>
      <c r="B682" s="86" t="s">
        <v>2144</v>
      </c>
      <c r="C682" s="8">
        <v>11.55</v>
      </c>
      <c r="D682" s="1" t="s">
        <v>877</v>
      </c>
      <c r="E682"/>
      <c r="H682" s="86" t="s">
        <v>2145</v>
      </c>
      <c r="I682" s="1" t="s">
        <v>987</v>
      </c>
      <c r="J682" s="4"/>
      <c r="K682" s="1" t="s">
        <v>987</v>
      </c>
      <c r="R682" s="89" t="s">
        <v>1609</v>
      </c>
      <c r="AG682" s="86" t="s">
        <v>2284</v>
      </c>
    </row>
    <row r="683" spans="1:33" hidden="1">
      <c r="A683" s="106">
        <f t="shared" si="38"/>
        <v>510</v>
      </c>
      <c r="B683" s="86" t="s">
        <v>1134</v>
      </c>
      <c r="C683" s="8">
        <v>16.399999999999999</v>
      </c>
      <c r="D683" s="1" t="s">
        <v>877</v>
      </c>
      <c r="E683"/>
      <c r="F683" s="91">
        <v>98.5</v>
      </c>
      <c r="G683" s="90" t="s">
        <v>1796</v>
      </c>
      <c r="H683" s="86" t="s">
        <v>1446</v>
      </c>
      <c r="I683" s="8">
        <f>(C269)</f>
        <v>15</v>
      </c>
      <c r="J683" s="2" t="s">
        <v>1796</v>
      </c>
      <c r="K683" s="8">
        <f>(F683*I683)</f>
        <v>1477.5</v>
      </c>
      <c r="O683" s="86" t="s">
        <v>1588</v>
      </c>
      <c r="R683" s="91">
        <f>SUM(R679:R681)</f>
        <v>16.260000000000002</v>
      </c>
      <c r="AG683" s="86" t="s">
        <v>2284</v>
      </c>
    </row>
    <row r="684" spans="1:33" hidden="1">
      <c r="A684" s="106">
        <f t="shared" si="38"/>
        <v>511</v>
      </c>
      <c r="B684" s="86" t="s">
        <v>1135</v>
      </c>
      <c r="C684" s="8">
        <v>27.85</v>
      </c>
      <c r="D684" s="1" t="s">
        <v>877</v>
      </c>
      <c r="E684"/>
      <c r="H684" s="86" t="s">
        <v>312</v>
      </c>
      <c r="I684" s="1" t="s">
        <v>987</v>
      </c>
      <c r="J684" s="4"/>
      <c r="K684" s="1" t="s">
        <v>248</v>
      </c>
      <c r="R684" s="89" t="s">
        <v>1609</v>
      </c>
      <c r="AG684" s="86" t="s">
        <v>2284</v>
      </c>
    </row>
    <row r="685" spans="1:33" hidden="1">
      <c r="A685" s="106">
        <f t="shared" si="38"/>
        <v>512</v>
      </c>
      <c r="B685" s="86" t="s">
        <v>1136</v>
      </c>
      <c r="C685" s="8">
        <v>49.9</v>
      </c>
      <c r="D685" s="1" t="s">
        <v>877</v>
      </c>
      <c r="E685"/>
      <c r="I685"/>
      <c r="J685" s="4"/>
      <c r="K685" s="5" t="s">
        <v>1609</v>
      </c>
      <c r="O685" s="102" t="s">
        <v>668</v>
      </c>
      <c r="R685" s="86" t="s">
        <v>987</v>
      </c>
      <c r="AG685" s="86" t="s">
        <v>2284</v>
      </c>
    </row>
    <row r="686" spans="1:33" hidden="1">
      <c r="A686" s="106">
        <f t="shared" si="38"/>
        <v>513</v>
      </c>
      <c r="B686" s="86" t="s">
        <v>1138</v>
      </c>
      <c r="C686" s="8">
        <v>69.25</v>
      </c>
      <c r="D686" s="1" t="s">
        <v>877</v>
      </c>
      <c r="E686"/>
      <c r="H686" s="86" t="s">
        <v>669</v>
      </c>
      <c r="I686"/>
      <c r="J686" s="4"/>
      <c r="K686" s="8">
        <f>SUM(K680:K684)</f>
        <v>6886.9</v>
      </c>
      <c r="M686" s="122"/>
      <c r="O686" s="102" t="s">
        <v>2110</v>
      </c>
      <c r="AG686" s="86" t="s">
        <v>2284</v>
      </c>
    </row>
    <row r="687" spans="1:33" hidden="1">
      <c r="A687" s="106">
        <f t="shared" si="38"/>
        <v>514</v>
      </c>
      <c r="B687" s="86" t="s">
        <v>1931</v>
      </c>
      <c r="C687"/>
      <c r="D687" s="1" t="s">
        <v>987</v>
      </c>
      <c r="E687"/>
      <c r="H687" s="86" t="s">
        <v>987</v>
      </c>
      <c r="I687"/>
      <c r="J687" s="4"/>
      <c r="K687" s="5" t="s">
        <v>1609</v>
      </c>
      <c r="M687" s="102" t="s">
        <v>1561</v>
      </c>
      <c r="N687" s="86" t="s">
        <v>1932</v>
      </c>
      <c r="O687" s="86" t="s">
        <v>2980</v>
      </c>
      <c r="AG687" s="86" t="s">
        <v>2284</v>
      </c>
    </row>
    <row r="688" spans="1:33" hidden="1">
      <c r="A688" s="106">
        <f t="shared" si="38"/>
        <v>515</v>
      </c>
      <c r="B688" s="86" t="s">
        <v>240</v>
      </c>
      <c r="C688" s="8">
        <v>20</v>
      </c>
      <c r="D688" s="1" t="s">
        <v>877</v>
      </c>
      <c r="E688"/>
      <c r="F688" s="91">
        <v>10</v>
      </c>
      <c r="G688" s="90" t="s">
        <v>615</v>
      </c>
      <c r="H688" s="86" t="s">
        <v>500</v>
      </c>
      <c r="I688" s="8">
        <f>(K686/50)</f>
        <v>137.74</v>
      </c>
      <c r="J688" s="2" t="s">
        <v>615</v>
      </c>
      <c r="K688" s="8">
        <f>(F688*I688)</f>
        <v>1377.4</v>
      </c>
      <c r="O688" s="89" t="s">
        <v>1609</v>
      </c>
      <c r="AG688" s="86" t="s">
        <v>2284</v>
      </c>
    </row>
    <row r="689" spans="1:33" hidden="1">
      <c r="A689" s="106">
        <f t="shared" si="38"/>
        <v>516</v>
      </c>
      <c r="B689" s="86" t="s">
        <v>501</v>
      </c>
      <c r="C689" s="8">
        <v>45</v>
      </c>
      <c r="D689" s="1" t="s">
        <v>877</v>
      </c>
      <c r="E689"/>
      <c r="F689" s="91">
        <v>3.8</v>
      </c>
      <c r="G689" s="90" t="s">
        <v>778</v>
      </c>
      <c r="H689" s="86" t="s">
        <v>502</v>
      </c>
      <c r="I689" s="8">
        <f>(C16)</f>
        <v>150</v>
      </c>
      <c r="J689" s="2" t="s">
        <v>778</v>
      </c>
      <c r="K689" s="8">
        <f>(F689*I689)</f>
        <v>570</v>
      </c>
      <c r="M689" s="122">
        <v>2.69E-2</v>
      </c>
      <c r="N689" s="86" t="s">
        <v>878</v>
      </c>
      <c r="O689" s="86" t="s">
        <v>1334</v>
      </c>
      <c r="P689" s="91">
        <f>C86+2500</f>
        <v>23105</v>
      </c>
      <c r="Q689" s="86" t="s">
        <v>878</v>
      </c>
      <c r="R689" s="91">
        <f t="shared" ref="R689:R695" si="39">M689*P689</f>
        <v>621.52</v>
      </c>
      <c r="AG689" s="86" t="s">
        <v>2284</v>
      </c>
    </row>
    <row r="690" spans="1:33" hidden="1">
      <c r="A690" s="106">
        <f t="shared" si="38"/>
        <v>517</v>
      </c>
      <c r="B690" s="86" t="s">
        <v>1335</v>
      </c>
      <c r="C690"/>
      <c r="D690" s="1" t="s">
        <v>248</v>
      </c>
      <c r="E690"/>
      <c r="F690" s="91">
        <v>5.4</v>
      </c>
      <c r="G690" s="90" t="s">
        <v>778</v>
      </c>
      <c r="H690" s="86" t="s">
        <v>1927</v>
      </c>
      <c r="I690" s="8">
        <f>(C12)</f>
        <v>95</v>
      </c>
      <c r="J690" s="2" t="s">
        <v>778</v>
      </c>
      <c r="K690" s="8">
        <f>(F690*I690)</f>
        <v>513</v>
      </c>
      <c r="M690" s="122">
        <v>1.2949999999999999</v>
      </c>
      <c r="N690" s="86" t="s">
        <v>615</v>
      </c>
      <c r="O690" s="86" t="s">
        <v>1316</v>
      </c>
      <c r="P690" s="91">
        <f>C753</f>
        <v>381.37</v>
      </c>
      <c r="Q690" s="86" t="s">
        <v>615</v>
      </c>
      <c r="R690" s="91">
        <f t="shared" si="39"/>
        <v>493.87</v>
      </c>
      <c r="AG690" s="86" t="s">
        <v>2284</v>
      </c>
    </row>
    <row r="691" spans="1:33" hidden="1">
      <c r="A691" s="106">
        <f t="shared" si="38"/>
        <v>518</v>
      </c>
      <c r="B691" s="86" t="s">
        <v>240</v>
      </c>
      <c r="C691" s="8">
        <v>19.09</v>
      </c>
      <c r="D691" s="1" t="s">
        <v>877</v>
      </c>
      <c r="E691"/>
      <c r="G691" s="90" t="s">
        <v>450</v>
      </c>
      <c r="H691" s="86" t="s">
        <v>1317</v>
      </c>
      <c r="I691"/>
      <c r="J691" s="2" t="s">
        <v>450</v>
      </c>
      <c r="K691" s="8">
        <v>5</v>
      </c>
      <c r="M691" s="122">
        <v>1.8149999999999999</v>
      </c>
      <c r="N691" s="86" t="s">
        <v>615</v>
      </c>
      <c r="O691" s="86" t="s">
        <v>2118</v>
      </c>
      <c r="P691" s="91">
        <f>C31</f>
        <v>342</v>
      </c>
      <c r="Q691" s="86" t="s">
        <v>615</v>
      </c>
      <c r="R691" s="91">
        <f t="shared" si="39"/>
        <v>620.73</v>
      </c>
      <c r="AG691" s="86" t="s">
        <v>2284</v>
      </c>
    </row>
    <row r="692" spans="1:33" hidden="1">
      <c r="A692" s="106">
        <f t="shared" si="38"/>
        <v>519</v>
      </c>
      <c r="B692" s="86" t="s">
        <v>501</v>
      </c>
      <c r="C692" s="8">
        <v>50.66</v>
      </c>
      <c r="D692" s="1" t="s">
        <v>877</v>
      </c>
      <c r="E692"/>
      <c r="I692"/>
      <c r="J692" s="4"/>
      <c r="K692" s="5" t="s">
        <v>1609</v>
      </c>
      <c r="M692" s="91">
        <v>2</v>
      </c>
      <c r="N692" s="86" t="s">
        <v>877</v>
      </c>
      <c r="O692" s="86" t="s">
        <v>1748</v>
      </c>
      <c r="P692" s="91">
        <f>C298</f>
        <v>10.5</v>
      </c>
      <c r="Q692" s="86" t="s">
        <v>877</v>
      </c>
      <c r="R692" s="91">
        <f t="shared" si="39"/>
        <v>21</v>
      </c>
      <c r="AG692" s="86" t="s">
        <v>2284</v>
      </c>
    </row>
    <row r="693" spans="1:33" hidden="1">
      <c r="A693" s="106">
        <f t="shared" si="38"/>
        <v>520</v>
      </c>
      <c r="B693" s="86" t="s">
        <v>1642</v>
      </c>
      <c r="C693" s="8">
        <v>1183.82</v>
      </c>
      <c r="D693" s="1" t="s">
        <v>615</v>
      </c>
      <c r="E693"/>
      <c r="H693" s="86" t="s">
        <v>442</v>
      </c>
      <c r="I693"/>
      <c r="J693" s="4"/>
      <c r="K693" s="8">
        <f>SUM(K688:K691)</f>
        <v>2465.4</v>
      </c>
      <c r="M693" s="91">
        <v>3</v>
      </c>
      <c r="N693" s="86" t="s">
        <v>877</v>
      </c>
      <c r="O693" s="86" t="s">
        <v>1643</v>
      </c>
      <c r="P693" s="91">
        <f>C294</f>
        <v>8.5</v>
      </c>
      <c r="Q693" s="86" t="s">
        <v>877</v>
      </c>
      <c r="R693" s="91">
        <f t="shared" si="39"/>
        <v>25.5</v>
      </c>
      <c r="AG693" s="86" t="s">
        <v>2284</v>
      </c>
    </row>
    <row r="694" spans="1:33" hidden="1">
      <c r="A694" s="106">
        <f t="shared" si="38"/>
        <v>521</v>
      </c>
      <c r="B694" s="86" t="s">
        <v>1644</v>
      </c>
      <c r="C694" s="8">
        <v>1605</v>
      </c>
      <c r="D694" s="1" t="s">
        <v>615</v>
      </c>
      <c r="E694"/>
      <c r="I694"/>
      <c r="J694" s="4"/>
      <c r="K694" s="5" t="s">
        <v>1609</v>
      </c>
      <c r="M694" s="91">
        <v>1</v>
      </c>
      <c r="N694" s="86" t="s">
        <v>877</v>
      </c>
      <c r="O694" s="86" t="s">
        <v>1732</v>
      </c>
      <c r="P694" s="91">
        <f>C300</f>
        <v>21</v>
      </c>
      <c r="Q694" s="86" t="s">
        <v>877</v>
      </c>
      <c r="R694" s="91">
        <f t="shared" si="39"/>
        <v>21</v>
      </c>
      <c r="AG694" s="86" t="s">
        <v>2284</v>
      </c>
    </row>
    <row r="695" spans="1:33" hidden="1">
      <c r="A695" s="106">
        <f t="shared" si="38"/>
        <v>522</v>
      </c>
      <c r="B695" s="86" t="s">
        <v>1740</v>
      </c>
      <c r="C695" s="1" t="s">
        <v>2981</v>
      </c>
      <c r="D695" s="1" t="s">
        <v>1741</v>
      </c>
      <c r="E695"/>
      <c r="H695" s="86" t="s">
        <v>556</v>
      </c>
      <c r="I695"/>
      <c r="J695" s="4"/>
      <c r="K695" s="8">
        <f>(K693/10)</f>
        <v>246.54</v>
      </c>
      <c r="M695" s="91">
        <v>1</v>
      </c>
      <c r="N695" s="86" t="s">
        <v>877</v>
      </c>
      <c r="O695" s="86" t="s">
        <v>2005</v>
      </c>
      <c r="P695" s="91">
        <f>C302</f>
        <v>4</v>
      </c>
      <c r="Q695" s="86" t="s">
        <v>877</v>
      </c>
      <c r="R695" s="91">
        <f t="shared" si="39"/>
        <v>4</v>
      </c>
      <c r="AG695" s="86" t="s">
        <v>2284</v>
      </c>
    </row>
    <row r="696" spans="1:33" hidden="1">
      <c r="A696" s="106">
        <f t="shared" si="38"/>
        <v>523</v>
      </c>
      <c r="B696" s="86" t="s">
        <v>1742</v>
      </c>
      <c r="C696" s="8">
        <v>147.6</v>
      </c>
      <c r="D696" s="1" t="s">
        <v>1796</v>
      </c>
      <c r="E696"/>
      <c r="I696"/>
      <c r="J696" s="4"/>
      <c r="K696" s="5" t="s">
        <v>2080</v>
      </c>
      <c r="N696" s="86" t="s">
        <v>450</v>
      </c>
      <c r="O696" s="86" t="s">
        <v>451</v>
      </c>
      <c r="Q696" s="86" t="s">
        <v>450</v>
      </c>
      <c r="R696" s="91">
        <v>0</v>
      </c>
      <c r="AG696" s="86" t="s">
        <v>2284</v>
      </c>
    </row>
    <row r="697" spans="1:33" hidden="1">
      <c r="A697" s="106">
        <f t="shared" si="38"/>
        <v>524</v>
      </c>
      <c r="B697" s="86" t="s">
        <v>1743</v>
      </c>
      <c r="C697" s="8">
        <v>147.6</v>
      </c>
      <c r="D697" s="1" t="s">
        <v>1796</v>
      </c>
      <c r="E697"/>
      <c r="I697"/>
      <c r="J697" s="4"/>
      <c r="K697"/>
      <c r="R697" s="89" t="s">
        <v>1609</v>
      </c>
      <c r="AG697" s="86" t="s">
        <v>2284</v>
      </c>
    </row>
    <row r="698" spans="1:33" hidden="1">
      <c r="A698" s="106">
        <f t="shared" si="38"/>
        <v>525</v>
      </c>
      <c r="B698" s="86" t="s">
        <v>1744</v>
      </c>
      <c r="C698" s="8">
        <v>147.6</v>
      </c>
      <c r="D698" s="1" t="s">
        <v>1796</v>
      </c>
      <c r="E698"/>
      <c r="F698" s="102" t="s">
        <v>2069</v>
      </c>
      <c r="G698" s="90" t="s">
        <v>2276</v>
      </c>
      <c r="H698" s="86" t="s">
        <v>11</v>
      </c>
      <c r="I698"/>
      <c r="J698" s="4"/>
      <c r="K698"/>
      <c r="O698" s="102" t="s">
        <v>12</v>
      </c>
      <c r="R698" s="91">
        <f>SUM(R689:R696)</f>
        <v>1807.62</v>
      </c>
      <c r="AG698" s="86" t="s">
        <v>2284</v>
      </c>
    </row>
    <row r="699" spans="1:33" hidden="1">
      <c r="A699" s="106">
        <f t="shared" si="38"/>
        <v>526</v>
      </c>
      <c r="B699" s="86" t="s">
        <v>654</v>
      </c>
      <c r="C699" s="8">
        <v>1250</v>
      </c>
      <c r="D699" s="1" t="s">
        <v>615</v>
      </c>
      <c r="E699"/>
      <c r="H699" s="86" t="s">
        <v>655</v>
      </c>
      <c r="I699"/>
      <c r="J699" s="4"/>
      <c r="K699"/>
      <c r="R699" s="89" t="s">
        <v>1609</v>
      </c>
      <c r="AG699" s="86" t="s">
        <v>2284</v>
      </c>
    </row>
    <row r="700" spans="1:33" hidden="1">
      <c r="A700" s="106">
        <f t="shared" si="38"/>
        <v>527</v>
      </c>
      <c r="B700" s="86" t="s">
        <v>656</v>
      </c>
      <c r="C700" s="8">
        <v>1250</v>
      </c>
      <c r="D700" s="1" t="s">
        <v>615</v>
      </c>
      <c r="E700"/>
      <c r="H700" s="86" t="s">
        <v>657</v>
      </c>
      <c r="I700"/>
      <c r="J700" s="4"/>
      <c r="K700"/>
      <c r="N700" s="86" t="s">
        <v>987</v>
      </c>
      <c r="O700" s="102" t="s">
        <v>556</v>
      </c>
      <c r="R700" s="91">
        <f>R698/M690</f>
        <v>1395.85</v>
      </c>
      <c r="AG700" s="86" t="s">
        <v>2284</v>
      </c>
    </row>
    <row r="701" spans="1:33" hidden="1">
      <c r="A701" s="106">
        <f t="shared" si="38"/>
        <v>528</v>
      </c>
      <c r="B701" s="86" t="s">
        <v>1253</v>
      </c>
      <c r="C701" s="8">
        <v>1250</v>
      </c>
      <c r="D701" s="1" t="s">
        <v>615</v>
      </c>
      <c r="E701"/>
      <c r="H701" s="86" t="s">
        <v>519</v>
      </c>
      <c r="I701"/>
      <c r="J701" s="4"/>
      <c r="K701"/>
      <c r="R701" s="89" t="s">
        <v>2080</v>
      </c>
      <c r="AG701" s="86" t="s">
        <v>2284</v>
      </c>
    </row>
    <row r="702" spans="1:33" hidden="1">
      <c r="A702" s="106">
        <f t="shared" si="38"/>
        <v>529</v>
      </c>
      <c r="B702" s="86" t="s">
        <v>520</v>
      </c>
      <c r="C702" s="8">
        <v>1250</v>
      </c>
      <c r="D702" s="1" t="s">
        <v>615</v>
      </c>
      <c r="E702"/>
      <c r="H702" s="86" t="s">
        <v>521</v>
      </c>
      <c r="I702"/>
      <c r="J702" s="4"/>
      <c r="K702"/>
      <c r="M702" s="102" t="s">
        <v>1561</v>
      </c>
      <c r="N702" s="86" t="s">
        <v>522</v>
      </c>
      <c r="O702" s="86" t="s">
        <v>523</v>
      </c>
      <c r="AG702" s="86" t="s">
        <v>2284</v>
      </c>
    </row>
    <row r="703" spans="1:33" hidden="1">
      <c r="A703" s="106">
        <f t="shared" si="38"/>
        <v>530</v>
      </c>
      <c r="B703" s="86" t="s">
        <v>524</v>
      </c>
      <c r="C703" s="8">
        <v>1250</v>
      </c>
      <c r="D703" s="1" t="s">
        <v>615</v>
      </c>
      <c r="E703"/>
      <c r="H703" s="86" t="s">
        <v>2</v>
      </c>
      <c r="I703"/>
      <c r="J703" s="4"/>
      <c r="K703"/>
      <c r="O703" s="89" t="s">
        <v>1609</v>
      </c>
      <c r="AG703" s="86" t="s">
        <v>2284</v>
      </c>
    </row>
    <row r="704" spans="1:33" hidden="1">
      <c r="A704" s="106">
        <f t="shared" si="38"/>
        <v>531</v>
      </c>
      <c r="B704" s="86" t="s">
        <v>770</v>
      </c>
      <c r="C704" s="8">
        <v>1250</v>
      </c>
      <c r="D704" s="1" t="s">
        <v>615</v>
      </c>
      <c r="E704"/>
      <c r="H704" s="86" t="s">
        <v>1244</v>
      </c>
      <c r="I704"/>
      <c r="J704" s="4"/>
      <c r="K704"/>
      <c r="M704" s="122">
        <v>2.5499999999999998E-2</v>
      </c>
      <c r="N704" s="86" t="s">
        <v>878</v>
      </c>
      <c r="O704" s="86" t="s">
        <v>1334</v>
      </c>
      <c r="P704" s="91">
        <f>C86+2500</f>
        <v>23105</v>
      </c>
      <c r="Q704" s="86" t="s">
        <v>878</v>
      </c>
      <c r="R704" s="91">
        <f t="shared" ref="R704:R710" si="40">M704*P704</f>
        <v>589.17999999999995</v>
      </c>
      <c r="AG704" s="86" t="s">
        <v>2284</v>
      </c>
    </row>
    <row r="705" spans="1:33" hidden="1">
      <c r="A705" s="106">
        <f t="shared" si="38"/>
        <v>532</v>
      </c>
      <c r="B705" s="86" t="s">
        <v>1245</v>
      </c>
      <c r="C705" s="8">
        <v>1250</v>
      </c>
      <c r="D705" s="1" t="s">
        <v>615</v>
      </c>
      <c r="E705"/>
      <c r="H705" s="89" t="s">
        <v>1609</v>
      </c>
      <c r="I705" s="5" t="s">
        <v>1609</v>
      </c>
      <c r="J705" s="2" t="s">
        <v>1609</v>
      </c>
      <c r="K705"/>
      <c r="M705" s="122">
        <v>1.1299999999999999</v>
      </c>
      <c r="N705" s="86" t="s">
        <v>615</v>
      </c>
      <c r="O705" s="86" t="s">
        <v>1316</v>
      </c>
      <c r="P705" s="91">
        <f>C753</f>
        <v>381.37</v>
      </c>
      <c r="Q705" s="86" t="s">
        <v>615</v>
      </c>
      <c r="R705" s="91">
        <f t="shared" si="40"/>
        <v>430.95</v>
      </c>
      <c r="AG705" s="86" t="s">
        <v>2284</v>
      </c>
    </row>
    <row r="706" spans="1:33" hidden="1">
      <c r="A706" s="106">
        <f t="shared" si="38"/>
        <v>533</v>
      </c>
      <c r="B706" s="86" t="s">
        <v>1246</v>
      </c>
      <c r="C706" s="8">
        <v>1250</v>
      </c>
      <c r="D706" s="1" t="s">
        <v>615</v>
      </c>
      <c r="E706"/>
      <c r="F706" s="91">
        <v>13.46</v>
      </c>
      <c r="G706" s="90" t="s">
        <v>268</v>
      </c>
      <c r="H706" s="86" t="s">
        <v>269</v>
      </c>
      <c r="I706" s="8">
        <f>C34/1000</f>
        <v>30</v>
      </c>
      <c r="J706" s="2" t="s">
        <v>268</v>
      </c>
      <c r="K706" s="8">
        <f>(F706*I706)</f>
        <v>403.8</v>
      </c>
      <c r="M706" s="122">
        <v>1.6191</v>
      </c>
      <c r="N706" s="86" t="s">
        <v>615</v>
      </c>
      <c r="O706" s="86" t="s">
        <v>2118</v>
      </c>
      <c r="P706" s="91">
        <f>C31</f>
        <v>342</v>
      </c>
      <c r="Q706" s="86" t="s">
        <v>615</v>
      </c>
      <c r="R706" s="91">
        <f t="shared" si="40"/>
        <v>553.73</v>
      </c>
      <c r="AG706" s="86" t="s">
        <v>2284</v>
      </c>
    </row>
    <row r="707" spans="1:33" hidden="1">
      <c r="A707" s="106">
        <f t="shared" si="38"/>
        <v>534</v>
      </c>
      <c r="B707" s="86" t="s">
        <v>991</v>
      </c>
      <c r="C707" s="8">
        <v>1250</v>
      </c>
      <c r="D707" s="1" t="s">
        <v>615</v>
      </c>
      <c r="E707"/>
      <c r="H707" s="86" t="s">
        <v>992</v>
      </c>
      <c r="I707"/>
      <c r="J707" s="4"/>
      <c r="K707"/>
      <c r="M707" s="91">
        <v>2</v>
      </c>
      <c r="N707" s="86" t="s">
        <v>877</v>
      </c>
      <c r="O707" s="86" t="s">
        <v>1748</v>
      </c>
      <c r="P707" s="91">
        <f>C298</f>
        <v>10.5</v>
      </c>
      <c r="Q707" s="86" t="s">
        <v>877</v>
      </c>
      <c r="R707" s="91">
        <f t="shared" si="40"/>
        <v>21</v>
      </c>
      <c r="AG707" s="86" t="s">
        <v>2284</v>
      </c>
    </row>
    <row r="708" spans="1:33" hidden="1">
      <c r="A708" s="106">
        <f t="shared" ref="A708:A733" si="41">(A707+1)</f>
        <v>535</v>
      </c>
      <c r="B708" s="86" t="s">
        <v>993</v>
      </c>
      <c r="C708" s="8">
        <v>1250</v>
      </c>
      <c r="D708" s="1" t="s">
        <v>615</v>
      </c>
      <c r="E708"/>
      <c r="F708" s="91">
        <v>4</v>
      </c>
      <c r="G708" s="90" t="s">
        <v>268</v>
      </c>
      <c r="H708" s="86" t="s">
        <v>994</v>
      </c>
      <c r="I708" s="8">
        <f>D34/1000</f>
        <v>30</v>
      </c>
      <c r="J708" s="2" t="s">
        <v>268</v>
      </c>
      <c r="K708" s="8">
        <f>(F708*I708)</f>
        <v>120</v>
      </c>
      <c r="M708" s="91">
        <v>3</v>
      </c>
      <c r="N708" s="86" t="s">
        <v>877</v>
      </c>
      <c r="O708" s="86" t="s">
        <v>1643</v>
      </c>
      <c r="P708" s="91">
        <f>C294</f>
        <v>8.5</v>
      </c>
      <c r="Q708" s="86" t="s">
        <v>877</v>
      </c>
      <c r="R708" s="91">
        <f t="shared" si="40"/>
        <v>25.5</v>
      </c>
      <c r="AG708" s="86" t="s">
        <v>2284</v>
      </c>
    </row>
    <row r="709" spans="1:33" hidden="1">
      <c r="A709" s="106">
        <f t="shared" si="41"/>
        <v>536</v>
      </c>
      <c r="B709" s="86" t="s">
        <v>954</v>
      </c>
      <c r="C709" s="8">
        <v>1250</v>
      </c>
      <c r="D709" s="1" t="s">
        <v>615</v>
      </c>
      <c r="E709"/>
      <c r="H709" s="86" t="s">
        <v>1045</v>
      </c>
      <c r="I709"/>
      <c r="J709" s="4"/>
      <c r="K709"/>
      <c r="M709" s="91">
        <v>1</v>
      </c>
      <c r="N709" s="86" t="s">
        <v>877</v>
      </c>
      <c r="O709" s="86" t="s">
        <v>1732</v>
      </c>
      <c r="P709" s="91">
        <f>C300</f>
        <v>21</v>
      </c>
      <c r="Q709" s="86" t="s">
        <v>877</v>
      </c>
      <c r="R709" s="91">
        <f t="shared" si="40"/>
        <v>21</v>
      </c>
      <c r="AG709" s="86" t="s">
        <v>2284</v>
      </c>
    </row>
    <row r="710" spans="1:33" hidden="1">
      <c r="A710" s="106">
        <f t="shared" si="41"/>
        <v>537</v>
      </c>
      <c r="B710" s="86" t="s">
        <v>1245</v>
      </c>
      <c r="C710" s="8">
        <v>1250</v>
      </c>
      <c r="D710" s="1" t="s">
        <v>615</v>
      </c>
      <c r="E710"/>
      <c r="F710" s="91"/>
      <c r="G710" s="90" t="s">
        <v>450</v>
      </c>
      <c r="H710" s="86" t="s">
        <v>1681</v>
      </c>
      <c r="I710"/>
      <c r="J710" s="2" t="s">
        <v>450</v>
      </c>
      <c r="K710" s="8">
        <v>40</v>
      </c>
      <c r="M710" s="91">
        <v>1</v>
      </c>
      <c r="N710" s="86" t="s">
        <v>877</v>
      </c>
      <c r="O710" s="86" t="s">
        <v>2005</v>
      </c>
      <c r="P710" s="91">
        <f>C302</f>
        <v>4</v>
      </c>
      <c r="Q710" s="86" t="s">
        <v>877</v>
      </c>
      <c r="R710" s="91">
        <f t="shared" si="40"/>
        <v>4</v>
      </c>
      <c r="AG710" s="86" t="s">
        <v>2284</v>
      </c>
    </row>
    <row r="711" spans="1:33" hidden="1">
      <c r="A711" s="106">
        <f t="shared" si="41"/>
        <v>538</v>
      </c>
      <c r="B711" s="86" t="s">
        <v>1682</v>
      </c>
      <c r="C711"/>
      <c r="D711" s="1" t="s">
        <v>987</v>
      </c>
      <c r="E711"/>
      <c r="H711" s="86" t="s">
        <v>1683</v>
      </c>
      <c r="I711"/>
      <c r="J711" s="4"/>
      <c r="K711" s="5" t="s">
        <v>1609</v>
      </c>
      <c r="N711" s="86" t="s">
        <v>450</v>
      </c>
      <c r="O711" s="86" t="s">
        <v>451</v>
      </c>
      <c r="Q711" s="86" t="s">
        <v>450</v>
      </c>
      <c r="R711" s="91">
        <v>0</v>
      </c>
      <c r="AG711" s="86" t="s">
        <v>2284</v>
      </c>
    </row>
    <row r="712" spans="1:33" hidden="1">
      <c r="A712" s="106">
        <f t="shared" si="41"/>
        <v>539</v>
      </c>
      <c r="B712" s="86" t="s">
        <v>1684</v>
      </c>
      <c r="C712" s="8">
        <v>65</v>
      </c>
      <c r="D712" s="1" t="s">
        <v>1741</v>
      </c>
      <c r="E712"/>
      <c r="H712" s="102" t="s">
        <v>25</v>
      </c>
      <c r="I712"/>
      <c r="J712" s="4"/>
      <c r="K712" s="8">
        <f>SUM(K706:K710)</f>
        <v>563.79999999999995</v>
      </c>
      <c r="R712" s="89" t="s">
        <v>1609</v>
      </c>
      <c r="AG712" s="86" t="s">
        <v>2284</v>
      </c>
    </row>
    <row r="713" spans="1:33" hidden="1">
      <c r="A713" s="106">
        <f t="shared" si="41"/>
        <v>540</v>
      </c>
      <c r="B713" s="86" t="s">
        <v>26</v>
      </c>
      <c r="C713" s="8">
        <v>64.55</v>
      </c>
      <c r="D713" s="1" t="s">
        <v>1741</v>
      </c>
      <c r="E713"/>
      <c r="I713"/>
      <c r="J713" s="4"/>
      <c r="K713" s="5" t="s">
        <v>1609</v>
      </c>
      <c r="O713" s="102" t="s">
        <v>27</v>
      </c>
      <c r="R713" s="91">
        <f>SUM(R704:R711)</f>
        <v>1645.36</v>
      </c>
      <c r="AG713" s="86" t="s">
        <v>2284</v>
      </c>
    </row>
    <row r="714" spans="1:33" hidden="1">
      <c r="A714" s="106">
        <f t="shared" si="41"/>
        <v>541</v>
      </c>
      <c r="B714" s="86" t="s">
        <v>28</v>
      </c>
      <c r="C714" s="8">
        <v>110.95</v>
      </c>
      <c r="D714" s="1" t="s">
        <v>1741</v>
      </c>
      <c r="E714"/>
      <c r="H714" s="102" t="s">
        <v>29</v>
      </c>
      <c r="I714"/>
      <c r="J714" s="4"/>
      <c r="K714" s="8">
        <f>K712/40</f>
        <v>14.1</v>
      </c>
      <c r="R714" s="89" t="s">
        <v>1609</v>
      </c>
      <c r="AG714" s="86" t="s">
        <v>2284</v>
      </c>
    </row>
    <row r="715" spans="1:33" hidden="1">
      <c r="A715" s="106">
        <f t="shared" si="41"/>
        <v>542</v>
      </c>
      <c r="B715" s="86" t="s">
        <v>1032</v>
      </c>
      <c r="C715" s="8">
        <v>399</v>
      </c>
      <c r="D715" s="1" t="s">
        <v>1741</v>
      </c>
      <c r="E715"/>
      <c r="I715"/>
      <c r="J715" s="4"/>
      <c r="K715" s="5" t="s">
        <v>1609</v>
      </c>
      <c r="O715" s="102" t="s">
        <v>556</v>
      </c>
      <c r="R715" s="91">
        <f>R713/M706</f>
        <v>1016.22</v>
      </c>
      <c r="AG715" s="86" t="s">
        <v>2284</v>
      </c>
    </row>
    <row r="716" spans="1:33" hidden="1">
      <c r="A716" s="106">
        <f t="shared" si="41"/>
        <v>543</v>
      </c>
      <c r="B716" s="86" t="s">
        <v>905</v>
      </c>
      <c r="C716" s="8">
        <v>92</v>
      </c>
      <c r="D716" s="1" t="s">
        <v>1741</v>
      </c>
      <c r="E716"/>
      <c r="H716" s="86" t="s">
        <v>906</v>
      </c>
      <c r="I716"/>
      <c r="J716" s="4"/>
      <c r="K716"/>
      <c r="R716" s="89" t="s">
        <v>2080</v>
      </c>
      <c r="AG716" s="86" t="s">
        <v>2284</v>
      </c>
    </row>
    <row r="717" spans="1:33" hidden="1">
      <c r="A717" s="106">
        <f t="shared" si="41"/>
        <v>544</v>
      </c>
      <c r="B717" s="86" t="s">
        <v>313</v>
      </c>
      <c r="C717" s="8">
        <v>174.24</v>
      </c>
      <c r="D717" s="1" t="s">
        <v>1741</v>
      </c>
      <c r="E717"/>
      <c r="H717" s="86" t="s">
        <v>314</v>
      </c>
      <c r="I717"/>
      <c r="J717" s="4"/>
      <c r="K717"/>
      <c r="AG717" s="86" t="s">
        <v>2284</v>
      </c>
    </row>
    <row r="718" spans="1:33" hidden="1">
      <c r="A718" s="106">
        <f t="shared" si="41"/>
        <v>545</v>
      </c>
      <c r="B718" s="86" t="s">
        <v>315</v>
      </c>
      <c r="C718" s="8">
        <v>215.06</v>
      </c>
      <c r="D718" s="1" t="s">
        <v>1741</v>
      </c>
      <c r="E718"/>
      <c r="H718" s="86" t="s">
        <v>316</v>
      </c>
      <c r="I718"/>
      <c r="J718" s="4"/>
      <c r="K718"/>
      <c r="M718" s="102" t="s">
        <v>1561</v>
      </c>
      <c r="N718" s="86" t="s">
        <v>317</v>
      </c>
      <c r="O718" s="86" t="s">
        <v>1645</v>
      </c>
      <c r="AG718" s="86" t="s">
        <v>2284</v>
      </c>
    </row>
    <row r="719" spans="1:33" hidden="1">
      <c r="A719" s="106">
        <f t="shared" si="41"/>
        <v>546</v>
      </c>
      <c r="B719" s="86" t="s">
        <v>1646</v>
      </c>
      <c r="C719" s="8">
        <v>97.24</v>
      </c>
      <c r="D719" s="1" t="s">
        <v>1741</v>
      </c>
      <c r="E719"/>
      <c r="I719"/>
      <c r="J719" s="4"/>
      <c r="K719"/>
      <c r="O719" s="89" t="s">
        <v>1609</v>
      </c>
      <c r="AG719" s="86" t="s">
        <v>2284</v>
      </c>
    </row>
    <row r="720" spans="1:33" hidden="1">
      <c r="A720" s="106">
        <f t="shared" si="41"/>
        <v>547</v>
      </c>
      <c r="B720" s="86" t="s">
        <v>1451</v>
      </c>
      <c r="C720" s="8">
        <v>168.96</v>
      </c>
      <c r="D720" s="1" t="s">
        <v>1741</v>
      </c>
      <c r="E720"/>
      <c r="F720" s="91">
        <v>19</v>
      </c>
      <c r="G720" s="90" t="s">
        <v>1452</v>
      </c>
      <c r="H720" s="86" t="s">
        <v>70</v>
      </c>
      <c r="I720" s="8">
        <f>K714</f>
        <v>14.1</v>
      </c>
      <c r="J720" s="2" t="s">
        <v>259</v>
      </c>
      <c r="K720" s="8">
        <f>(F720*I720)</f>
        <v>267.89999999999998</v>
      </c>
      <c r="M720" s="122">
        <v>2.35E-2</v>
      </c>
      <c r="N720" s="86" t="s">
        <v>878</v>
      </c>
      <c r="O720" s="86" t="s">
        <v>1334</v>
      </c>
      <c r="P720" s="91">
        <f>C86+2500</f>
        <v>23105</v>
      </c>
      <c r="Q720" s="86" t="s">
        <v>878</v>
      </c>
      <c r="R720" s="91">
        <f t="shared" ref="R720:R726" si="42">M720*P720</f>
        <v>542.97</v>
      </c>
      <c r="AG720" s="86" t="s">
        <v>2284</v>
      </c>
    </row>
    <row r="721" spans="1:33" hidden="1">
      <c r="A721" s="106">
        <f t="shared" si="41"/>
        <v>548</v>
      </c>
      <c r="B721" s="86" t="s">
        <v>2982</v>
      </c>
      <c r="C721" s="8">
        <v>227</v>
      </c>
      <c r="D721" s="8">
        <v>247</v>
      </c>
      <c r="E721"/>
      <c r="H721" s="86" t="s">
        <v>1685</v>
      </c>
      <c r="I721"/>
      <c r="J721" s="4"/>
      <c r="K721"/>
      <c r="M721" s="122">
        <v>0.872</v>
      </c>
      <c r="N721" s="86" t="s">
        <v>615</v>
      </c>
      <c r="O721" s="86" t="s">
        <v>1316</v>
      </c>
      <c r="P721" s="91">
        <f>C753</f>
        <v>381.37</v>
      </c>
      <c r="Q721" s="86" t="s">
        <v>615</v>
      </c>
      <c r="R721" s="91">
        <f t="shared" si="42"/>
        <v>332.55</v>
      </c>
      <c r="AG721" s="86" t="s">
        <v>2284</v>
      </c>
    </row>
    <row r="722" spans="1:33" hidden="1">
      <c r="A722" s="106">
        <f t="shared" si="41"/>
        <v>549</v>
      </c>
      <c r="B722" s="86" t="s">
        <v>2175</v>
      </c>
      <c r="C722" s="8">
        <v>250</v>
      </c>
      <c r="D722" s="1" t="s">
        <v>1741</v>
      </c>
      <c r="E722"/>
      <c r="F722" s="91">
        <v>0.12</v>
      </c>
      <c r="G722" s="90" t="s">
        <v>2176</v>
      </c>
      <c r="H722" s="86" t="s">
        <v>2983</v>
      </c>
      <c r="I722" s="8">
        <f>C268/5</f>
        <v>1879</v>
      </c>
      <c r="J722" s="2" t="s">
        <v>259</v>
      </c>
      <c r="K722" s="8">
        <f t="shared" ref="K722:K729" si="43">(F722*I722)</f>
        <v>225.48</v>
      </c>
      <c r="M722" s="122">
        <v>1.3247</v>
      </c>
      <c r="N722" s="86" t="s">
        <v>615</v>
      </c>
      <c r="O722" s="86" t="s">
        <v>2118</v>
      </c>
      <c r="P722" s="91">
        <f>C31</f>
        <v>342</v>
      </c>
      <c r="Q722" s="86" t="s">
        <v>615</v>
      </c>
      <c r="R722" s="91">
        <f t="shared" si="42"/>
        <v>453.05</v>
      </c>
      <c r="AG722" s="86" t="s">
        <v>2284</v>
      </c>
    </row>
    <row r="723" spans="1:33" hidden="1">
      <c r="A723" s="106">
        <f t="shared" si="41"/>
        <v>550</v>
      </c>
      <c r="B723" s="86" t="s">
        <v>834</v>
      </c>
      <c r="C723" s="8">
        <v>210</v>
      </c>
      <c r="D723" s="1" t="s">
        <v>1741</v>
      </c>
      <c r="E723"/>
      <c r="F723" s="91">
        <v>98.5</v>
      </c>
      <c r="G723" s="90" t="s">
        <v>835</v>
      </c>
      <c r="H723" s="86" t="s">
        <v>836</v>
      </c>
      <c r="I723" s="8">
        <f>C269/5</f>
        <v>3</v>
      </c>
      <c r="J723" s="2" t="s">
        <v>259</v>
      </c>
      <c r="K723" s="8">
        <f t="shared" si="43"/>
        <v>295.5</v>
      </c>
      <c r="M723" s="91">
        <v>1</v>
      </c>
      <c r="N723" s="86" t="s">
        <v>877</v>
      </c>
      <c r="O723" s="86" t="s">
        <v>1748</v>
      </c>
      <c r="P723" s="91">
        <f>C298</f>
        <v>10.5</v>
      </c>
      <c r="Q723" s="86" t="s">
        <v>877</v>
      </c>
      <c r="R723" s="91">
        <f t="shared" si="42"/>
        <v>10.5</v>
      </c>
      <c r="AG723" s="86" t="s">
        <v>2284</v>
      </c>
    </row>
    <row r="724" spans="1:33" hidden="1">
      <c r="A724" s="106">
        <f t="shared" si="41"/>
        <v>551</v>
      </c>
      <c r="B724" s="86" t="s">
        <v>2984</v>
      </c>
      <c r="C724" s="8">
        <v>1022.58</v>
      </c>
      <c r="D724" s="1" t="s">
        <v>615</v>
      </c>
      <c r="E724"/>
      <c r="F724" s="91">
        <v>1</v>
      </c>
      <c r="G724" s="90" t="s">
        <v>450</v>
      </c>
      <c r="H724" s="86" t="s">
        <v>1411</v>
      </c>
      <c r="I724" s="8">
        <v>11</v>
      </c>
      <c r="J724" s="2" t="s">
        <v>450</v>
      </c>
      <c r="K724" s="8">
        <f t="shared" si="43"/>
        <v>11</v>
      </c>
      <c r="M724" s="91">
        <v>3</v>
      </c>
      <c r="N724" s="86" t="s">
        <v>877</v>
      </c>
      <c r="O724" s="86" t="s">
        <v>1412</v>
      </c>
      <c r="P724" s="91">
        <f>C293</f>
        <v>5.75</v>
      </c>
      <c r="Q724" s="86" t="s">
        <v>877</v>
      </c>
      <c r="R724" s="91">
        <f t="shared" si="42"/>
        <v>17.25</v>
      </c>
      <c r="AG724" s="86" t="s">
        <v>2284</v>
      </c>
    </row>
    <row r="725" spans="1:33" hidden="1">
      <c r="A725" s="106">
        <f t="shared" si="41"/>
        <v>552</v>
      </c>
      <c r="B725" s="86" t="s">
        <v>1413</v>
      </c>
      <c r="C725"/>
      <c r="D725" s="1" t="s">
        <v>987</v>
      </c>
      <c r="E725"/>
      <c r="F725" s="91">
        <v>3.8</v>
      </c>
      <c r="G725" s="90" t="s">
        <v>1414</v>
      </c>
      <c r="H725" s="86" t="s">
        <v>1415</v>
      </c>
      <c r="I725" s="8">
        <f>C16</f>
        <v>150</v>
      </c>
      <c r="J725" s="2" t="s">
        <v>1418</v>
      </c>
      <c r="K725" s="8">
        <f t="shared" si="43"/>
        <v>570</v>
      </c>
      <c r="M725" s="91">
        <v>1</v>
      </c>
      <c r="N725" s="86" t="s">
        <v>877</v>
      </c>
      <c r="O725" s="86" t="s">
        <v>1416</v>
      </c>
      <c r="P725" s="91">
        <f>C301</f>
        <v>10</v>
      </c>
      <c r="Q725" s="86" t="s">
        <v>877</v>
      </c>
      <c r="R725" s="91">
        <f t="shared" si="42"/>
        <v>10</v>
      </c>
      <c r="AG725" s="86" t="s">
        <v>2284</v>
      </c>
    </row>
    <row r="726" spans="1:33" hidden="1">
      <c r="A726" s="106">
        <f t="shared" si="41"/>
        <v>553</v>
      </c>
      <c r="B726" s="86" t="s">
        <v>1417</v>
      </c>
      <c r="C726"/>
      <c r="D726"/>
      <c r="E726"/>
      <c r="F726" s="91">
        <v>5.4</v>
      </c>
      <c r="G726" s="90" t="s">
        <v>1414</v>
      </c>
      <c r="H726" s="86" t="s">
        <v>832</v>
      </c>
      <c r="I726" s="8">
        <f>C12</f>
        <v>95</v>
      </c>
      <c r="J726" s="2" t="s">
        <v>1418</v>
      </c>
      <c r="K726" s="8">
        <f t="shared" si="43"/>
        <v>513</v>
      </c>
      <c r="M726" s="91">
        <v>1</v>
      </c>
      <c r="N726" s="86" t="s">
        <v>877</v>
      </c>
      <c r="O726" s="86" t="s">
        <v>2005</v>
      </c>
      <c r="P726" s="91">
        <f>C302</f>
        <v>4</v>
      </c>
      <c r="Q726" s="86" t="s">
        <v>877</v>
      </c>
      <c r="R726" s="91">
        <f t="shared" si="42"/>
        <v>4</v>
      </c>
      <c r="AG726" s="86" t="s">
        <v>2284</v>
      </c>
    </row>
    <row r="727" spans="1:33" hidden="1">
      <c r="A727" s="106">
        <f t="shared" si="41"/>
        <v>554</v>
      </c>
      <c r="B727" s="86" t="s">
        <v>2203</v>
      </c>
      <c r="C727" s="8">
        <v>300</v>
      </c>
      <c r="D727" s="1" t="s">
        <v>2310</v>
      </c>
      <c r="E727"/>
      <c r="F727" s="91">
        <v>1</v>
      </c>
      <c r="G727" s="90" t="s">
        <v>1414</v>
      </c>
      <c r="H727" s="86" t="s">
        <v>2311</v>
      </c>
      <c r="I727" s="8">
        <f>C66</f>
        <v>120</v>
      </c>
      <c r="J727" s="2" t="s">
        <v>1418</v>
      </c>
      <c r="K727" s="8">
        <f t="shared" si="43"/>
        <v>120</v>
      </c>
      <c r="N727" s="86" t="s">
        <v>450</v>
      </c>
      <c r="O727" s="86" t="s">
        <v>451</v>
      </c>
      <c r="Q727" s="86" t="s">
        <v>450</v>
      </c>
      <c r="R727" s="91">
        <v>0</v>
      </c>
      <c r="AG727" s="86" t="s">
        <v>2284</v>
      </c>
    </row>
    <row r="728" spans="1:33" hidden="1">
      <c r="A728" s="106">
        <f t="shared" si="41"/>
        <v>555</v>
      </c>
      <c r="B728" s="102" t="s">
        <v>783</v>
      </c>
      <c r="C728" s="8">
        <v>302</v>
      </c>
      <c r="D728" s="1" t="s">
        <v>2310</v>
      </c>
      <c r="E728"/>
      <c r="F728" s="91">
        <v>1</v>
      </c>
      <c r="G728" s="90" t="s">
        <v>450</v>
      </c>
      <c r="H728" s="86" t="s">
        <v>784</v>
      </c>
      <c r="I728" s="8">
        <v>10</v>
      </c>
      <c r="J728" s="2" t="s">
        <v>450</v>
      </c>
      <c r="K728" s="8">
        <f t="shared" si="43"/>
        <v>10</v>
      </c>
      <c r="R728" s="89" t="s">
        <v>1609</v>
      </c>
      <c r="AG728" s="86" t="s">
        <v>2284</v>
      </c>
    </row>
    <row r="729" spans="1:33" hidden="1">
      <c r="A729" s="106">
        <f t="shared" si="41"/>
        <v>556</v>
      </c>
      <c r="B729" s="86" t="s">
        <v>785</v>
      </c>
      <c r="C729" s="8">
        <v>382</v>
      </c>
      <c r="D729" s="1" t="s">
        <v>2310</v>
      </c>
      <c r="E729"/>
      <c r="F729" s="91">
        <v>19</v>
      </c>
      <c r="G729" s="90" t="s">
        <v>1452</v>
      </c>
      <c r="H729" s="86" t="s">
        <v>786</v>
      </c>
      <c r="I729" s="8">
        <v>2</v>
      </c>
      <c r="J729" s="2" t="s">
        <v>1452</v>
      </c>
      <c r="K729" s="8">
        <f t="shared" si="43"/>
        <v>38</v>
      </c>
      <c r="O729" s="102" t="s">
        <v>753</v>
      </c>
      <c r="R729" s="91">
        <f>SUM(R720:R727)</f>
        <v>1370.32</v>
      </c>
      <c r="AG729" s="86" t="s">
        <v>2284</v>
      </c>
    </row>
    <row r="730" spans="1:33" hidden="1">
      <c r="A730" s="106">
        <f t="shared" si="41"/>
        <v>557</v>
      </c>
      <c r="B730" s="86" t="s">
        <v>574</v>
      </c>
      <c r="C730" s="8">
        <v>140</v>
      </c>
      <c r="D730" s="1" t="s">
        <v>2310</v>
      </c>
      <c r="E730"/>
      <c r="H730" s="86" t="s">
        <v>505</v>
      </c>
      <c r="I730"/>
      <c r="J730" s="4"/>
      <c r="K730" s="5" t="s">
        <v>1609</v>
      </c>
      <c r="R730" s="89" t="s">
        <v>1609</v>
      </c>
      <c r="AG730" s="86" t="s">
        <v>322</v>
      </c>
    </row>
    <row r="731" spans="1:33" hidden="1">
      <c r="A731" s="106">
        <f t="shared" si="41"/>
        <v>558</v>
      </c>
      <c r="B731" s="86" t="s">
        <v>847</v>
      </c>
      <c r="C731" s="8">
        <v>222</v>
      </c>
      <c r="D731" s="1" t="s">
        <v>2310</v>
      </c>
      <c r="E731"/>
      <c r="H731" s="102" t="s">
        <v>442</v>
      </c>
      <c r="I731"/>
      <c r="J731" s="4"/>
      <c r="K731" s="8">
        <f>SUM(K720:K729)</f>
        <v>2050.88</v>
      </c>
      <c r="O731" s="102" t="s">
        <v>556</v>
      </c>
      <c r="R731" s="91">
        <f>R729/1.3247</f>
        <v>1034.44</v>
      </c>
    </row>
    <row r="732" spans="1:33" hidden="1">
      <c r="A732" s="106">
        <f t="shared" si="41"/>
        <v>559</v>
      </c>
      <c r="B732" s="86" t="s">
        <v>618</v>
      </c>
      <c r="C732" s="8">
        <v>505</v>
      </c>
      <c r="D732" s="1" t="s">
        <v>2310</v>
      </c>
      <c r="E732"/>
      <c r="I732"/>
      <c r="J732" s="4"/>
      <c r="K732" s="5" t="s">
        <v>1609</v>
      </c>
      <c r="R732" s="89" t="s">
        <v>2080</v>
      </c>
    </row>
    <row r="733" spans="1:33" hidden="1">
      <c r="A733" s="106">
        <f t="shared" si="41"/>
        <v>560</v>
      </c>
      <c r="B733" s="86" t="s">
        <v>746</v>
      </c>
      <c r="C733" s="8">
        <v>75</v>
      </c>
      <c r="D733" s="1" t="s">
        <v>1741</v>
      </c>
      <c r="E733"/>
      <c r="H733" s="102" t="s">
        <v>556</v>
      </c>
      <c r="I733"/>
      <c r="J733" s="4"/>
      <c r="K733" s="8">
        <f>(K731/10)</f>
        <v>205.09</v>
      </c>
      <c r="N733" s="86" t="s">
        <v>2276</v>
      </c>
      <c r="O733" s="86" t="s">
        <v>2309</v>
      </c>
      <c r="AG733" s="86" t="s">
        <v>2284</v>
      </c>
    </row>
    <row r="734" spans="1:33" hidden="1">
      <c r="C734"/>
      <c r="D734"/>
      <c r="E734"/>
      <c r="F734" s="86" t="s">
        <v>987</v>
      </c>
      <c r="I734"/>
      <c r="J734" s="4"/>
      <c r="K734"/>
    </row>
    <row r="735" spans="1:33" hidden="1">
      <c r="A735" s="106">
        <f>(A733+1)</f>
        <v>561</v>
      </c>
      <c r="B735" s="86" t="s">
        <v>102</v>
      </c>
      <c r="C735" s="8">
        <v>43.3</v>
      </c>
      <c r="D735" s="1" t="s">
        <v>1796</v>
      </c>
      <c r="E735"/>
      <c r="I735"/>
      <c r="J735" s="4"/>
      <c r="K735" s="5" t="s">
        <v>2080</v>
      </c>
      <c r="O735" s="86" t="s">
        <v>2140</v>
      </c>
      <c r="AG735" s="86" t="s">
        <v>2284</v>
      </c>
    </row>
    <row r="736" spans="1:33" hidden="1">
      <c r="A736" s="106">
        <f t="shared" ref="A736:A753" si="44">(A735+1)</f>
        <v>562</v>
      </c>
      <c r="B736" s="86" t="s">
        <v>2141</v>
      </c>
      <c r="C736" s="8">
        <v>218</v>
      </c>
      <c r="D736" s="1" t="s">
        <v>1741</v>
      </c>
      <c r="E736"/>
      <c r="F736" s="102" t="s">
        <v>1512</v>
      </c>
      <c r="G736" s="90" t="s">
        <v>2276</v>
      </c>
      <c r="H736" s="86" t="s">
        <v>722</v>
      </c>
      <c r="I736"/>
      <c r="J736" s="4"/>
      <c r="K736"/>
      <c r="O736" s="86" t="s">
        <v>723</v>
      </c>
      <c r="AG736" s="86" t="s">
        <v>2284</v>
      </c>
    </row>
    <row r="737" spans="1:33" hidden="1">
      <c r="A737" s="106">
        <f t="shared" si="44"/>
        <v>563</v>
      </c>
      <c r="B737" s="86" t="s">
        <v>724</v>
      </c>
      <c r="C737" s="8">
        <v>926</v>
      </c>
      <c r="D737" s="1" t="s">
        <v>1741</v>
      </c>
      <c r="E737"/>
      <c r="H737" s="86" t="s">
        <v>725</v>
      </c>
      <c r="I737"/>
      <c r="J737" s="4"/>
      <c r="K737"/>
      <c r="O737" s="86" t="s">
        <v>88</v>
      </c>
      <c r="AG737" s="86" t="s">
        <v>2284</v>
      </c>
    </row>
    <row r="738" spans="1:33" hidden="1">
      <c r="A738" s="106">
        <f t="shared" si="44"/>
        <v>564</v>
      </c>
      <c r="B738" s="86" t="s">
        <v>89</v>
      </c>
      <c r="C738" s="8">
        <v>5.15</v>
      </c>
      <c r="D738" s="1" t="s">
        <v>1796</v>
      </c>
      <c r="E738"/>
      <c r="H738" s="86" t="s">
        <v>2298</v>
      </c>
      <c r="I738"/>
      <c r="J738" s="4"/>
      <c r="K738"/>
      <c r="O738" s="89" t="s">
        <v>1609</v>
      </c>
      <c r="AG738" s="86" t="s">
        <v>2284</v>
      </c>
    </row>
    <row r="739" spans="1:33" hidden="1">
      <c r="A739" s="106">
        <f t="shared" si="44"/>
        <v>565</v>
      </c>
      <c r="B739" s="86" t="s">
        <v>571</v>
      </c>
      <c r="C739" s="8">
        <v>550</v>
      </c>
      <c r="D739" s="1" t="s">
        <v>1741</v>
      </c>
      <c r="E739"/>
      <c r="H739" s="89" t="s">
        <v>1609</v>
      </c>
      <c r="I739"/>
      <c r="J739" s="4"/>
      <c r="K739"/>
      <c r="AG739" s="86" t="s">
        <v>2284</v>
      </c>
    </row>
    <row r="740" spans="1:33" hidden="1">
      <c r="A740" s="106">
        <f t="shared" si="44"/>
        <v>566</v>
      </c>
      <c r="B740" s="86" t="s">
        <v>990</v>
      </c>
      <c r="C740" s="8">
        <v>286</v>
      </c>
      <c r="D740" s="1" t="s">
        <v>1741</v>
      </c>
      <c r="E740"/>
      <c r="F740" s="91">
        <v>10</v>
      </c>
      <c r="G740" s="90" t="s">
        <v>615</v>
      </c>
      <c r="H740" s="86" t="s">
        <v>907</v>
      </c>
      <c r="I740" s="8">
        <f>(K720)*1.2</f>
        <v>321.48</v>
      </c>
      <c r="J740" s="2" t="s">
        <v>259</v>
      </c>
      <c r="K740" s="8">
        <f>(F740*I740)/10</f>
        <v>321.48</v>
      </c>
      <c r="O740" s="86" t="s">
        <v>908</v>
      </c>
      <c r="R740" s="91">
        <f>(C693)</f>
        <v>1183.82</v>
      </c>
      <c r="AG740" s="86" t="s">
        <v>2284</v>
      </c>
    </row>
    <row r="741" spans="1:33" hidden="1">
      <c r="A741" s="106">
        <f t="shared" si="44"/>
        <v>567</v>
      </c>
      <c r="B741" s="86" t="s">
        <v>909</v>
      </c>
      <c r="C741" s="8">
        <v>96.3</v>
      </c>
      <c r="D741" s="1" t="s">
        <v>1796</v>
      </c>
      <c r="E741"/>
      <c r="H741" s="86" t="s">
        <v>910</v>
      </c>
      <c r="I741"/>
      <c r="J741" s="4"/>
      <c r="K741"/>
      <c r="R741" s="89" t="s">
        <v>2080</v>
      </c>
      <c r="AG741" s="86" t="s">
        <v>2284</v>
      </c>
    </row>
    <row r="742" spans="1:33" hidden="1">
      <c r="A742" s="106">
        <f t="shared" si="44"/>
        <v>568</v>
      </c>
      <c r="B742" s="86" t="s">
        <v>848</v>
      </c>
      <c r="C742" s="8">
        <v>51</v>
      </c>
      <c r="D742" s="1" t="s">
        <v>1741</v>
      </c>
      <c r="E742"/>
      <c r="H742" s="86" t="s">
        <v>849</v>
      </c>
      <c r="I742"/>
      <c r="J742" s="4"/>
      <c r="K742"/>
      <c r="AG742" s="86" t="s">
        <v>2284</v>
      </c>
    </row>
    <row r="743" spans="1:33" hidden="1">
      <c r="A743" s="106">
        <f t="shared" si="44"/>
        <v>569</v>
      </c>
      <c r="B743" s="86" t="s">
        <v>558</v>
      </c>
      <c r="C743" s="8">
        <v>181</v>
      </c>
      <c r="D743" s="1" t="s">
        <v>792</v>
      </c>
      <c r="E743"/>
      <c r="F743" s="91">
        <v>10</v>
      </c>
      <c r="G743" s="90" t="s">
        <v>615</v>
      </c>
      <c r="H743" s="86" t="s">
        <v>559</v>
      </c>
      <c r="I743" s="8">
        <f>K722*1.2</f>
        <v>270.58</v>
      </c>
      <c r="J743" s="2" t="s">
        <v>259</v>
      </c>
      <c r="K743" s="8">
        <f>(F743*I743)/10</f>
        <v>270.58</v>
      </c>
      <c r="N743" s="86" t="s">
        <v>2276</v>
      </c>
      <c r="O743" s="86" t="s">
        <v>560</v>
      </c>
      <c r="AG743" s="86" t="s">
        <v>2284</v>
      </c>
    </row>
    <row r="744" spans="1:33" hidden="1">
      <c r="A744" s="106">
        <f t="shared" si="44"/>
        <v>570</v>
      </c>
      <c r="B744" s="86" t="s">
        <v>561</v>
      </c>
      <c r="C744" s="8">
        <v>36.200000000000003</v>
      </c>
      <c r="D744" s="1" t="s">
        <v>1796</v>
      </c>
      <c r="E744"/>
      <c r="H744" s="86" t="s">
        <v>1015</v>
      </c>
      <c r="I744"/>
      <c r="J744" s="4"/>
      <c r="K744"/>
      <c r="O744" s="89" t="s">
        <v>2080</v>
      </c>
      <c r="P744" s="89" t="s">
        <v>2080</v>
      </c>
      <c r="Q744" s="89" t="s">
        <v>2080</v>
      </c>
      <c r="R744" s="86" t="s">
        <v>1016</v>
      </c>
      <c r="AG744" s="86" t="s">
        <v>2284</v>
      </c>
    </row>
    <row r="745" spans="1:33" hidden="1">
      <c r="A745" s="106">
        <f t="shared" si="44"/>
        <v>571</v>
      </c>
      <c r="B745" s="86" t="s">
        <v>664</v>
      </c>
      <c r="C745" s="8">
        <v>98</v>
      </c>
      <c r="D745" s="1" t="s">
        <v>1741</v>
      </c>
      <c r="E745"/>
      <c r="H745" s="86" t="s">
        <v>825</v>
      </c>
      <c r="I745"/>
      <c r="J745" s="4"/>
      <c r="K745"/>
      <c r="O745" s="86" t="s">
        <v>1454</v>
      </c>
      <c r="Q745" s="102" t="s">
        <v>835</v>
      </c>
      <c r="R745" s="91">
        <f>(C696)</f>
        <v>147.6</v>
      </c>
      <c r="AG745" s="86" t="s">
        <v>2284</v>
      </c>
    </row>
    <row r="746" spans="1:33" hidden="1">
      <c r="A746" s="106">
        <f t="shared" si="44"/>
        <v>572</v>
      </c>
      <c r="B746" s="86" t="s">
        <v>1984</v>
      </c>
      <c r="C746" s="8">
        <v>92</v>
      </c>
      <c r="D746" s="1" t="s">
        <v>1796</v>
      </c>
      <c r="E746"/>
      <c r="F746" s="91">
        <v>98.5</v>
      </c>
      <c r="G746" s="90" t="s">
        <v>835</v>
      </c>
      <c r="H746" s="86" t="s">
        <v>836</v>
      </c>
      <c r="I746" s="8">
        <f>C269/5</f>
        <v>3</v>
      </c>
      <c r="J746" s="2" t="s">
        <v>259</v>
      </c>
      <c r="K746" s="8">
        <f t="shared" ref="K746:K752" si="45">(F746*I746)</f>
        <v>295.5</v>
      </c>
      <c r="O746" s="86" t="s">
        <v>2109</v>
      </c>
      <c r="AG746" s="86" t="s">
        <v>2284</v>
      </c>
    </row>
    <row r="747" spans="1:33" hidden="1">
      <c r="A747" s="106">
        <f t="shared" si="44"/>
        <v>573</v>
      </c>
      <c r="B747" s="86" t="s">
        <v>325</v>
      </c>
      <c r="C747" s="8">
        <v>49.42</v>
      </c>
      <c r="D747" s="1" t="s">
        <v>1741</v>
      </c>
      <c r="E747"/>
      <c r="F747" s="91">
        <v>3.8</v>
      </c>
      <c r="G747" s="90" t="s">
        <v>778</v>
      </c>
      <c r="H747" s="86" t="s">
        <v>502</v>
      </c>
      <c r="I747" s="8">
        <f>(C16)</f>
        <v>150</v>
      </c>
      <c r="J747" s="2" t="s">
        <v>778</v>
      </c>
      <c r="K747" s="8">
        <f t="shared" si="45"/>
        <v>570</v>
      </c>
      <c r="O747" s="86" t="s">
        <v>326</v>
      </c>
      <c r="AG747" s="86" t="s">
        <v>2284</v>
      </c>
    </row>
    <row r="748" spans="1:33" hidden="1">
      <c r="A748" s="106">
        <f t="shared" si="44"/>
        <v>574</v>
      </c>
      <c r="B748" s="86" t="s">
        <v>721</v>
      </c>
      <c r="C748" s="8">
        <v>53.2</v>
      </c>
      <c r="D748" s="1" t="s">
        <v>1741</v>
      </c>
      <c r="E748"/>
      <c r="F748" s="91">
        <v>5.4</v>
      </c>
      <c r="G748" s="90" t="s">
        <v>778</v>
      </c>
      <c r="H748" s="86" t="s">
        <v>1927</v>
      </c>
      <c r="I748" s="8">
        <f>(C12)</f>
        <v>95</v>
      </c>
      <c r="J748" s="2" t="s">
        <v>778</v>
      </c>
      <c r="K748" s="8">
        <f t="shared" si="45"/>
        <v>513</v>
      </c>
      <c r="O748" s="86" t="s">
        <v>1060</v>
      </c>
      <c r="AG748" s="86" t="s">
        <v>2284</v>
      </c>
    </row>
    <row r="749" spans="1:33" hidden="1">
      <c r="A749" s="106">
        <f t="shared" si="44"/>
        <v>575</v>
      </c>
      <c r="B749" s="86" t="s">
        <v>1061</v>
      </c>
      <c r="C749" s="8">
        <v>59</v>
      </c>
      <c r="D749" s="1" t="s">
        <v>1741</v>
      </c>
      <c r="E749"/>
      <c r="F749" s="91">
        <v>1</v>
      </c>
      <c r="G749" s="90" t="s">
        <v>778</v>
      </c>
      <c r="H749" s="86" t="s">
        <v>2311</v>
      </c>
      <c r="I749" s="8">
        <f>C66</f>
        <v>120</v>
      </c>
      <c r="J749" s="2" t="s">
        <v>1418</v>
      </c>
      <c r="K749" s="8">
        <f t="shared" si="45"/>
        <v>120</v>
      </c>
      <c r="O749" s="86" t="s">
        <v>1119</v>
      </c>
      <c r="AG749" s="86" t="s">
        <v>2284</v>
      </c>
    </row>
    <row r="750" spans="1:33" hidden="1">
      <c r="A750" s="106">
        <f t="shared" si="44"/>
        <v>576</v>
      </c>
      <c r="B750" s="86" t="s">
        <v>973</v>
      </c>
      <c r="C750" s="8">
        <v>100</v>
      </c>
      <c r="D750" s="1" t="s">
        <v>1741</v>
      </c>
      <c r="E750"/>
      <c r="F750" s="91">
        <v>1</v>
      </c>
      <c r="G750" s="90" t="s">
        <v>450</v>
      </c>
      <c r="H750" s="86" t="s">
        <v>974</v>
      </c>
      <c r="I750" s="8">
        <v>11</v>
      </c>
      <c r="J750" s="2" t="s">
        <v>1418</v>
      </c>
      <c r="K750" s="8">
        <f t="shared" si="45"/>
        <v>11</v>
      </c>
      <c r="O750" s="86" t="s">
        <v>1128</v>
      </c>
      <c r="R750" s="86" t="s">
        <v>987</v>
      </c>
      <c r="AG750" s="86" t="s">
        <v>2284</v>
      </c>
    </row>
    <row r="751" spans="1:33" hidden="1">
      <c r="A751" s="106">
        <f t="shared" si="44"/>
        <v>577</v>
      </c>
      <c r="B751" s="86" t="s">
        <v>1129</v>
      </c>
      <c r="C751" s="8">
        <v>49.52</v>
      </c>
      <c r="D751" s="1" t="s">
        <v>1796</v>
      </c>
      <c r="E751"/>
      <c r="F751" s="91">
        <v>1</v>
      </c>
      <c r="G751" s="90" t="s">
        <v>450</v>
      </c>
      <c r="H751" s="86" t="s">
        <v>1317</v>
      </c>
      <c r="I751" s="8">
        <v>10</v>
      </c>
      <c r="J751" s="2" t="s">
        <v>450</v>
      </c>
      <c r="K751" s="8">
        <f t="shared" si="45"/>
        <v>10</v>
      </c>
      <c r="O751" s="86" t="s">
        <v>987</v>
      </c>
      <c r="AG751" s="86" t="s">
        <v>2284</v>
      </c>
    </row>
    <row r="752" spans="1:33" hidden="1">
      <c r="A752" s="106">
        <f t="shared" si="44"/>
        <v>578</v>
      </c>
      <c r="B752" s="86" t="s">
        <v>2152</v>
      </c>
      <c r="C752" s="8">
        <v>1080</v>
      </c>
      <c r="D752" s="1" t="s">
        <v>1741</v>
      </c>
      <c r="E752"/>
      <c r="F752" s="91">
        <v>19</v>
      </c>
      <c r="G752" s="90" t="s">
        <v>1452</v>
      </c>
      <c r="H752" s="86" t="s">
        <v>2153</v>
      </c>
      <c r="I752" s="8">
        <v>2</v>
      </c>
      <c r="J752" s="4" t="s">
        <v>1452</v>
      </c>
      <c r="K752" s="8">
        <f t="shared" si="45"/>
        <v>38</v>
      </c>
      <c r="AG752" s="86" t="s">
        <v>2284</v>
      </c>
    </row>
    <row r="753" spans="1:33" hidden="1">
      <c r="A753" s="106">
        <f t="shared" si="44"/>
        <v>579</v>
      </c>
      <c r="B753" s="86" t="s">
        <v>2985</v>
      </c>
      <c r="C753" s="8">
        <v>381.37</v>
      </c>
      <c r="D753" s="1" t="s">
        <v>615</v>
      </c>
      <c r="E753"/>
      <c r="H753" s="86" t="s">
        <v>77</v>
      </c>
      <c r="I753"/>
      <c r="J753" s="4"/>
      <c r="K753"/>
      <c r="N753" s="86" t="s">
        <v>2276</v>
      </c>
      <c r="O753" s="86" t="s">
        <v>2154</v>
      </c>
      <c r="Q753" s="102" t="s">
        <v>2308</v>
      </c>
      <c r="R753" s="91">
        <f>(C700)</f>
        <v>1250</v>
      </c>
      <c r="AG753" s="86" t="s">
        <v>2284</v>
      </c>
    </row>
    <row r="754" spans="1:33" hidden="1">
      <c r="A754" s="106" t="e">
        <f>(#REF!+1)</f>
        <v>#REF!</v>
      </c>
      <c r="B754" s="86" t="s">
        <v>1417</v>
      </c>
      <c r="C754"/>
      <c r="D754"/>
      <c r="E754"/>
      <c r="I754"/>
      <c r="J754" s="4"/>
      <c r="K754" s="5" t="s">
        <v>1609</v>
      </c>
      <c r="O754" s="86" t="s">
        <v>1708</v>
      </c>
      <c r="AG754" s="86" t="s">
        <v>2284</v>
      </c>
    </row>
    <row r="755" spans="1:33" hidden="1">
      <c r="A755" s="106"/>
      <c r="B755" s="86" t="s">
        <v>2203</v>
      </c>
      <c r="C755" s="8">
        <v>300</v>
      </c>
      <c r="D755"/>
      <c r="E755"/>
      <c r="H755" s="86" t="s">
        <v>442</v>
      </c>
      <c r="I755"/>
      <c r="J755" s="4"/>
      <c r="K755" s="8">
        <f>SUM(K740:K753)</f>
        <v>2149.56</v>
      </c>
      <c r="O755" s="86" t="s">
        <v>318</v>
      </c>
      <c r="AG755" s="86" t="s">
        <v>2284</v>
      </c>
    </row>
    <row r="756" spans="1:33" hidden="1">
      <c r="A756" s="106"/>
      <c r="B756" s="102" t="s">
        <v>783</v>
      </c>
      <c r="C756" s="8">
        <v>302</v>
      </c>
      <c r="D756"/>
      <c r="E756"/>
      <c r="I756"/>
      <c r="J756" s="4"/>
      <c r="K756" s="5" t="s">
        <v>1609</v>
      </c>
      <c r="O756" s="86" t="s">
        <v>1285</v>
      </c>
      <c r="AG756" s="86" t="s">
        <v>2284</v>
      </c>
    </row>
    <row r="757" spans="1:33" hidden="1">
      <c r="A757" s="106"/>
      <c r="B757" s="86" t="s">
        <v>1286</v>
      </c>
      <c r="C757" s="8">
        <v>324</v>
      </c>
      <c r="D757"/>
      <c r="E757"/>
      <c r="H757" s="86" t="s">
        <v>556</v>
      </c>
      <c r="I757"/>
      <c r="J757" s="4"/>
      <c r="K757" s="8">
        <f>(K755/10)</f>
        <v>214.96</v>
      </c>
      <c r="AG757" s="86" t="s">
        <v>2284</v>
      </c>
    </row>
    <row r="758" spans="1:33" hidden="1">
      <c r="A758" s="106"/>
      <c r="B758" s="86" t="s">
        <v>785</v>
      </c>
      <c r="C758" s="8">
        <v>382</v>
      </c>
      <c r="D758"/>
      <c r="E758"/>
      <c r="I758"/>
      <c r="J758" s="4"/>
      <c r="K758" s="5" t="s">
        <v>2080</v>
      </c>
      <c r="N758" s="86" t="s">
        <v>2276</v>
      </c>
      <c r="O758" s="86" t="s">
        <v>598</v>
      </c>
      <c r="AG758" s="86" t="s">
        <v>2284</v>
      </c>
    </row>
    <row r="759" spans="1:33" hidden="1">
      <c r="A759" s="106"/>
      <c r="B759" s="86" t="s">
        <v>618</v>
      </c>
      <c r="C759" s="8">
        <v>505</v>
      </c>
      <c r="D759"/>
      <c r="E759"/>
      <c r="I759"/>
      <c r="J759" s="4"/>
      <c r="K759"/>
      <c r="O759" s="86" t="s">
        <v>2115</v>
      </c>
      <c r="R759" s="86" t="s">
        <v>987</v>
      </c>
      <c r="AG759" s="86" t="s">
        <v>2284</v>
      </c>
    </row>
    <row r="760" spans="1:33" hidden="1">
      <c r="A760" s="106"/>
      <c r="B760" s="86" t="s">
        <v>574</v>
      </c>
      <c r="C760" s="8">
        <v>140</v>
      </c>
      <c r="D760"/>
      <c r="E760"/>
      <c r="F760" s="102" t="s">
        <v>894</v>
      </c>
      <c r="G760" s="90" t="s">
        <v>2276</v>
      </c>
      <c r="H760" s="86" t="s">
        <v>722</v>
      </c>
      <c r="I760"/>
      <c r="J760" s="4"/>
      <c r="K760"/>
      <c r="O760" s="86" t="s">
        <v>2116</v>
      </c>
      <c r="AG760" s="86" t="s">
        <v>2284</v>
      </c>
    </row>
    <row r="761" spans="1:33" hidden="1">
      <c r="A761" s="106"/>
      <c r="B761" s="86" t="s">
        <v>847</v>
      </c>
      <c r="C761" s="8">
        <v>222</v>
      </c>
      <c r="D761"/>
      <c r="E761"/>
      <c r="H761" s="86" t="s">
        <v>725</v>
      </c>
      <c r="I761"/>
      <c r="J761" s="4"/>
      <c r="K761"/>
      <c r="O761" s="89" t="s">
        <v>1609</v>
      </c>
      <c r="AG761" s="86" t="s">
        <v>2284</v>
      </c>
    </row>
    <row r="762" spans="1:33" hidden="1">
      <c r="A762" s="106"/>
      <c r="B762" s="86" t="s">
        <v>738</v>
      </c>
      <c r="C762" s="8">
        <v>100</v>
      </c>
      <c r="D762"/>
      <c r="E762"/>
      <c r="H762" s="86" t="s">
        <v>277</v>
      </c>
      <c r="I762"/>
      <c r="J762" s="4"/>
      <c r="K762"/>
      <c r="N762" s="86" t="s">
        <v>236</v>
      </c>
      <c r="O762" s="86" t="s">
        <v>498</v>
      </c>
      <c r="P762" s="91">
        <f>(C271)</f>
        <v>160</v>
      </c>
      <c r="Q762" s="86" t="s">
        <v>236</v>
      </c>
      <c r="R762" s="91" t="e">
        <f>(#VALUE!*P762)</f>
        <v>#VALUE!</v>
      </c>
      <c r="AG762" s="86" t="s">
        <v>2284</v>
      </c>
    </row>
    <row r="763" spans="1:33" hidden="1">
      <c r="A763" s="106"/>
      <c r="B763" s="86" t="s">
        <v>499</v>
      </c>
      <c r="C763" s="8">
        <v>75</v>
      </c>
      <c r="D763"/>
      <c r="E763"/>
      <c r="H763" s="89" t="s">
        <v>1609</v>
      </c>
      <c r="I763"/>
      <c r="J763" s="4"/>
      <c r="K763"/>
      <c r="AG763" s="86" t="s">
        <v>2284</v>
      </c>
    </row>
    <row r="764" spans="1:33" hidden="1">
      <c r="A764" s="106"/>
      <c r="B764" s="86" t="s">
        <v>1174</v>
      </c>
      <c r="C764" s="8">
        <v>218</v>
      </c>
      <c r="D764"/>
      <c r="E764"/>
      <c r="H764" s="86" t="s">
        <v>1175</v>
      </c>
      <c r="I764"/>
      <c r="J764" s="4"/>
      <c r="K764" s="8">
        <f>(K695/2)</f>
        <v>123.27</v>
      </c>
      <c r="N764" s="86" t="s">
        <v>1176</v>
      </c>
      <c r="O764" s="86" t="s">
        <v>274</v>
      </c>
      <c r="P764" s="91">
        <f>(C16)</f>
        <v>150</v>
      </c>
      <c r="Q764" s="86" t="s">
        <v>1176</v>
      </c>
      <c r="R764" s="91" t="e">
        <f>(#VALUE!*P764)</f>
        <v>#VALUE!</v>
      </c>
      <c r="AG764" s="86" t="s">
        <v>2284</v>
      </c>
    </row>
    <row r="765" spans="1:33" hidden="1">
      <c r="A765" s="106"/>
      <c r="B765" s="86" t="s">
        <v>275</v>
      </c>
      <c r="C765" s="8">
        <v>1854</v>
      </c>
      <c r="D765"/>
      <c r="E765"/>
      <c r="H765" s="86" t="s">
        <v>276</v>
      </c>
      <c r="I765"/>
      <c r="J765" s="4"/>
      <c r="K765" s="5" t="s">
        <v>2080</v>
      </c>
      <c r="AG765" s="86" t="s">
        <v>2284</v>
      </c>
    </row>
    <row r="766" spans="1:33" hidden="1">
      <c r="C766"/>
      <c r="D766"/>
      <c r="E766"/>
      <c r="I766"/>
      <c r="J766" s="4"/>
      <c r="K766"/>
    </row>
    <row r="767" spans="1:33" hidden="1">
      <c r="A767" s="106"/>
      <c r="B767" s="86" t="s">
        <v>164</v>
      </c>
      <c r="C767" s="8">
        <v>51</v>
      </c>
      <c r="D767"/>
      <c r="E767"/>
      <c r="F767" s="102" t="s">
        <v>165</v>
      </c>
      <c r="G767" s="90" t="s">
        <v>2276</v>
      </c>
      <c r="H767" s="86" t="s">
        <v>166</v>
      </c>
      <c r="I767"/>
      <c r="J767" s="4"/>
      <c r="K767"/>
      <c r="O767" s="86" t="s">
        <v>1346</v>
      </c>
      <c r="P767" s="92" t="s">
        <v>450</v>
      </c>
      <c r="R767" s="91">
        <v>0.64</v>
      </c>
      <c r="AG767" s="86" t="s">
        <v>2284</v>
      </c>
    </row>
    <row r="768" spans="1:33" hidden="1">
      <c r="A768" s="106"/>
      <c r="B768" s="86" t="s">
        <v>1402</v>
      </c>
      <c r="C768" s="8">
        <v>915</v>
      </c>
      <c r="D768"/>
      <c r="E768"/>
      <c r="H768" s="86" t="s">
        <v>1403</v>
      </c>
      <c r="I768"/>
      <c r="J768" s="4"/>
      <c r="K768"/>
      <c r="R768" s="89" t="s">
        <v>1609</v>
      </c>
      <c r="AG768" s="86" t="s">
        <v>2284</v>
      </c>
    </row>
    <row r="769" spans="1:33" hidden="1">
      <c r="A769" s="106"/>
      <c r="B769" s="86" t="s">
        <v>133</v>
      </c>
      <c r="C769" s="8">
        <v>890</v>
      </c>
      <c r="D769"/>
      <c r="E769"/>
      <c r="H769" s="86" t="s">
        <v>134</v>
      </c>
      <c r="I769"/>
      <c r="J769" s="4"/>
      <c r="K769"/>
      <c r="O769" s="86" t="s">
        <v>1955</v>
      </c>
      <c r="R769" s="91" t="e">
        <f>SUM(R762:R767)</f>
        <v>#VALUE!</v>
      </c>
      <c r="AG769" s="86" t="s">
        <v>2284</v>
      </c>
    </row>
    <row r="770" spans="1:33" hidden="1">
      <c r="A770" s="106"/>
      <c r="B770" s="86" t="s">
        <v>1956</v>
      </c>
      <c r="C770" s="8">
        <v>5.15</v>
      </c>
      <c r="D770"/>
      <c r="E770"/>
      <c r="H770" s="89" t="s">
        <v>1609</v>
      </c>
      <c r="I770"/>
      <c r="J770" s="4"/>
      <c r="K770"/>
      <c r="R770" s="89" t="s">
        <v>1609</v>
      </c>
      <c r="AG770" s="86" t="s">
        <v>2284</v>
      </c>
    </row>
    <row r="771" spans="1:33" hidden="1">
      <c r="A771" s="106"/>
      <c r="B771" s="86" t="s">
        <v>1430</v>
      </c>
      <c r="C771" s="8">
        <v>43.3</v>
      </c>
      <c r="D771"/>
      <c r="E771"/>
      <c r="F771" s="111">
        <v>9</v>
      </c>
      <c r="G771" s="90" t="s">
        <v>878</v>
      </c>
      <c r="H771" s="86" t="s">
        <v>1431</v>
      </c>
      <c r="I771" s="8" t="e">
        <f>C73</f>
        <v>#REF!</v>
      </c>
      <c r="J771" s="2" t="s">
        <v>878</v>
      </c>
      <c r="K771" s="8" t="e">
        <f t="shared" ref="K771:K776" si="46">F771*I771</f>
        <v>#REF!</v>
      </c>
      <c r="O771" s="86" t="s">
        <v>1432</v>
      </c>
      <c r="R771" s="91" t="e">
        <f>(R769/0.4)</f>
        <v>#VALUE!</v>
      </c>
      <c r="AG771" s="86" t="s">
        <v>2284</v>
      </c>
    </row>
    <row r="772" spans="1:33" hidden="1">
      <c r="A772" s="106"/>
      <c r="B772" s="86" t="s">
        <v>81</v>
      </c>
      <c r="C772" s="8">
        <v>920</v>
      </c>
      <c r="D772"/>
      <c r="E772"/>
      <c r="F772" s="111">
        <v>4.3079999999999998</v>
      </c>
      <c r="G772" s="90" t="s">
        <v>870</v>
      </c>
      <c r="H772" s="86" t="s">
        <v>871</v>
      </c>
      <c r="I772" s="8">
        <f>C67</f>
        <v>3800</v>
      </c>
      <c r="J772" s="2" t="s">
        <v>870</v>
      </c>
      <c r="K772" s="8">
        <f t="shared" si="46"/>
        <v>16370.4</v>
      </c>
      <c r="R772" s="89" t="s">
        <v>2080</v>
      </c>
      <c r="AG772" s="86" t="s">
        <v>2284</v>
      </c>
    </row>
    <row r="773" spans="1:33" hidden="1">
      <c r="A773" s="106"/>
      <c r="B773" s="86" t="s">
        <v>82</v>
      </c>
      <c r="C773" s="8">
        <v>98</v>
      </c>
      <c r="D773"/>
      <c r="E773"/>
      <c r="F773" s="111">
        <v>4.5</v>
      </c>
      <c r="G773" s="90" t="s">
        <v>878</v>
      </c>
      <c r="H773" s="86" t="s">
        <v>879</v>
      </c>
      <c r="I773" s="8" t="e">
        <f>C78</f>
        <v>#REF!</v>
      </c>
      <c r="J773" s="2" t="s">
        <v>878</v>
      </c>
      <c r="K773" s="8" t="e">
        <f t="shared" si="46"/>
        <v>#REF!</v>
      </c>
      <c r="N773" s="86" t="s">
        <v>2276</v>
      </c>
      <c r="O773" s="86" t="s">
        <v>2142</v>
      </c>
      <c r="AG773" s="86" t="s">
        <v>2284</v>
      </c>
    </row>
    <row r="774" spans="1:33" hidden="1">
      <c r="A774" s="106"/>
      <c r="B774" s="86" t="s">
        <v>2143</v>
      </c>
      <c r="C774" s="8">
        <v>181</v>
      </c>
      <c r="D774"/>
      <c r="E774"/>
      <c r="F774" s="111">
        <v>3.5</v>
      </c>
      <c r="G774" s="90" t="s">
        <v>877</v>
      </c>
      <c r="H774" s="86" t="s">
        <v>1737</v>
      </c>
      <c r="I774" s="8">
        <f>C11</f>
        <v>135</v>
      </c>
      <c r="J774" s="2" t="s">
        <v>877</v>
      </c>
      <c r="K774" s="8">
        <f t="shared" si="46"/>
        <v>472.5</v>
      </c>
      <c r="O774" s="86" t="s">
        <v>717</v>
      </c>
      <c r="AG774" s="86" t="s">
        <v>2284</v>
      </c>
    </row>
    <row r="775" spans="1:33" hidden="1">
      <c r="A775" s="106"/>
      <c r="B775" s="86" t="s">
        <v>93</v>
      </c>
      <c r="C775" s="8">
        <v>1148.76</v>
      </c>
      <c r="D775"/>
      <c r="E775"/>
      <c r="F775" s="111">
        <v>21.2</v>
      </c>
      <c r="G775" s="90" t="s">
        <v>877</v>
      </c>
      <c r="H775" s="86" t="s">
        <v>1927</v>
      </c>
      <c r="I775" s="8">
        <f>C12</f>
        <v>95</v>
      </c>
      <c r="J775" s="2" t="s">
        <v>877</v>
      </c>
      <c r="K775" s="8">
        <f t="shared" si="46"/>
        <v>2014</v>
      </c>
      <c r="O775" s="86" t="s">
        <v>94</v>
      </c>
      <c r="AG775" s="86" t="s">
        <v>2284</v>
      </c>
    </row>
    <row r="776" spans="1:33" hidden="1">
      <c r="A776" s="106"/>
      <c r="B776" s="86" t="s">
        <v>1571</v>
      </c>
      <c r="C776" s="8">
        <v>967</v>
      </c>
      <c r="D776"/>
      <c r="E776"/>
      <c r="F776" s="111">
        <v>35.299999999999997</v>
      </c>
      <c r="G776" s="90" t="s">
        <v>877</v>
      </c>
      <c r="H776" s="86" t="s">
        <v>321</v>
      </c>
      <c r="I776" s="8">
        <f>C13</f>
        <v>85</v>
      </c>
      <c r="J776" s="2" t="s">
        <v>877</v>
      </c>
      <c r="K776" s="8">
        <f t="shared" si="46"/>
        <v>3000.5</v>
      </c>
      <c r="O776" s="89" t="s">
        <v>1609</v>
      </c>
      <c r="AG776" s="86" t="s">
        <v>2284</v>
      </c>
    </row>
    <row r="777" spans="1:33" hidden="1">
      <c r="A777" s="106"/>
      <c r="B777" s="86" t="s">
        <v>2084</v>
      </c>
      <c r="C777" s="8">
        <v>30</v>
      </c>
      <c r="D777"/>
      <c r="E777"/>
      <c r="F777" s="92" t="s">
        <v>450</v>
      </c>
      <c r="H777" s="86" t="s">
        <v>451</v>
      </c>
      <c r="I777"/>
      <c r="J777" s="2" t="s">
        <v>450</v>
      </c>
      <c r="K777" s="8">
        <v>0</v>
      </c>
      <c r="N777" s="92" t="s">
        <v>1932</v>
      </c>
      <c r="O777" s="86" t="s">
        <v>864</v>
      </c>
      <c r="AG777" s="86" t="s">
        <v>2284</v>
      </c>
    </row>
    <row r="778" spans="1:33" hidden="1">
      <c r="A778" s="106"/>
      <c r="B778" s="86" t="s">
        <v>1787</v>
      </c>
      <c r="C778" s="8">
        <v>2107</v>
      </c>
      <c r="D778"/>
      <c r="E778"/>
      <c r="I778"/>
      <c r="J778" s="4"/>
      <c r="K778" s="5" t="s">
        <v>1609</v>
      </c>
      <c r="O778" s="86" t="s">
        <v>1788</v>
      </c>
      <c r="AG778" s="86" t="s">
        <v>2284</v>
      </c>
    </row>
    <row r="779" spans="1:33" hidden="1">
      <c r="A779" s="106"/>
      <c r="B779" s="86" t="s">
        <v>1789</v>
      </c>
      <c r="C779" s="8">
        <v>650</v>
      </c>
      <c r="D779"/>
      <c r="E779"/>
      <c r="H779" s="102" t="s">
        <v>620</v>
      </c>
      <c r="I779"/>
      <c r="J779" s="4"/>
      <c r="K779" s="8" t="e">
        <f>SUM(K771:K777)</f>
        <v>#REF!</v>
      </c>
      <c r="N779" s="86" t="s">
        <v>268</v>
      </c>
      <c r="O779" s="86" t="s">
        <v>1790</v>
      </c>
      <c r="P779" s="91">
        <v>43</v>
      </c>
      <c r="R779" s="91" t="e">
        <f>(#VALUE!*P779)</f>
        <v>#VALUE!</v>
      </c>
      <c r="AG779" s="86" t="s">
        <v>2284</v>
      </c>
    </row>
    <row r="780" spans="1:33" hidden="1">
      <c r="A780" s="106"/>
      <c r="B780" s="86" t="s">
        <v>1303</v>
      </c>
      <c r="C780" s="36">
        <v>160</v>
      </c>
      <c r="D780"/>
      <c r="E780"/>
      <c r="I780"/>
      <c r="J780" s="4"/>
      <c r="K780" s="5" t="s">
        <v>2080</v>
      </c>
      <c r="O780" s="86" t="s">
        <v>1945</v>
      </c>
      <c r="AG780" s="86" t="s">
        <v>2284</v>
      </c>
    </row>
    <row r="781" spans="1:33" hidden="1">
      <c r="A781" s="106"/>
      <c r="B781" s="86" t="s">
        <v>1304</v>
      </c>
      <c r="C781" s="36">
        <v>110</v>
      </c>
      <c r="D781"/>
      <c r="E781"/>
      <c r="H781" s="86" t="s">
        <v>782</v>
      </c>
      <c r="I781"/>
      <c r="J781" s="4"/>
      <c r="K781" s="8" t="e">
        <f>K779/10</f>
        <v>#REF!</v>
      </c>
      <c r="O781" s="86" t="s">
        <v>998</v>
      </c>
      <c r="AG781" s="86" t="s">
        <v>2284</v>
      </c>
    </row>
    <row r="782" spans="1:33" hidden="1">
      <c r="A782" s="106"/>
      <c r="C782"/>
      <c r="D782"/>
      <c r="E782"/>
      <c r="I782"/>
      <c r="J782" s="4"/>
      <c r="K782"/>
      <c r="N782" s="86" t="s">
        <v>615</v>
      </c>
      <c r="O782" s="86" t="s">
        <v>999</v>
      </c>
      <c r="P782" s="91">
        <f>C271</f>
        <v>160</v>
      </c>
      <c r="R782" s="91" t="e">
        <f>(#VALUE!*P782)</f>
        <v>#VALUE!</v>
      </c>
      <c r="AG782" s="86" t="s">
        <v>2284</v>
      </c>
    </row>
    <row r="783" spans="1:33" hidden="1">
      <c r="A783" s="106"/>
      <c r="C783">
        <v>3.05</v>
      </c>
      <c r="D783"/>
      <c r="E783"/>
      <c r="F783" s="91">
        <v>1</v>
      </c>
      <c r="G783" s="90" t="s">
        <v>878</v>
      </c>
      <c r="H783" s="86" t="s">
        <v>46</v>
      </c>
      <c r="I783" s="8">
        <f>C25</f>
        <v>20.7</v>
      </c>
      <c r="J783" s="4"/>
      <c r="K783" s="8">
        <f>F783*I783</f>
        <v>20.7</v>
      </c>
      <c r="N783" s="86" t="s">
        <v>877</v>
      </c>
      <c r="O783" s="86" t="s">
        <v>151</v>
      </c>
      <c r="P783" s="91">
        <v>5</v>
      </c>
      <c r="R783" s="91" t="e">
        <f>(#VALUE!*P783)</f>
        <v>#VALUE!</v>
      </c>
      <c r="AG783" s="86" t="s">
        <v>2284</v>
      </c>
    </row>
    <row r="784" spans="1:33" hidden="1">
      <c r="A784" s="106"/>
      <c r="C784">
        <v>30</v>
      </c>
      <c r="D784"/>
      <c r="E784"/>
      <c r="I784"/>
      <c r="J784" s="4"/>
      <c r="K784" s="5" t="s">
        <v>1609</v>
      </c>
      <c r="N784" s="86" t="s">
        <v>877</v>
      </c>
      <c r="O784" s="86" t="s">
        <v>152</v>
      </c>
      <c r="P784" s="91">
        <v>10</v>
      </c>
      <c r="R784" s="91" t="e">
        <f>(#VALUE!*P784)</f>
        <v>#VALUE!</v>
      </c>
      <c r="AG784" s="86" t="s">
        <v>2284</v>
      </c>
    </row>
    <row r="785" spans="1:33" hidden="1">
      <c r="A785" s="106"/>
      <c r="C785">
        <v>35</v>
      </c>
      <c r="D785"/>
      <c r="E785"/>
      <c r="I785"/>
      <c r="J785" s="4"/>
      <c r="K785" s="8" t="e">
        <f>SUM(K781:K783)</f>
        <v>#REF!</v>
      </c>
      <c r="N785" s="86" t="s">
        <v>877</v>
      </c>
      <c r="O785" s="86" t="s">
        <v>1772</v>
      </c>
      <c r="P785" s="91">
        <v>8</v>
      </c>
      <c r="R785" s="91" t="e">
        <f>(#VALUE!*P785)</f>
        <v>#VALUE!</v>
      </c>
      <c r="AG785" s="86" t="s">
        <v>2284</v>
      </c>
    </row>
    <row r="786" spans="1:33" hidden="1">
      <c r="A786" s="106"/>
      <c r="C786">
        <v>125</v>
      </c>
      <c r="D786"/>
      <c r="E786"/>
      <c r="I786"/>
      <c r="J786" s="4"/>
      <c r="K786" s="5" t="s">
        <v>1609</v>
      </c>
      <c r="N786" s="86" t="s">
        <v>835</v>
      </c>
      <c r="O786" s="86" t="s">
        <v>1521</v>
      </c>
      <c r="P786" s="91">
        <v>13.66</v>
      </c>
      <c r="R786" s="91" t="e">
        <f>(#VALUE!*P786)</f>
        <v>#VALUE!</v>
      </c>
      <c r="AG786" s="86" t="s">
        <v>2284</v>
      </c>
    </row>
    <row r="787" spans="1:33" hidden="1">
      <c r="A787" s="106"/>
      <c r="B787" s="87" t="s">
        <v>2986</v>
      </c>
      <c r="C787" s="55">
        <v>162</v>
      </c>
      <c r="D787" s="55">
        <v>179</v>
      </c>
      <c r="E787"/>
      <c r="I787"/>
      <c r="J787" s="4"/>
      <c r="K787" s="5"/>
      <c r="N787" s="86"/>
      <c r="O787" s="86"/>
      <c r="P787" s="91"/>
      <c r="R787" s="91"/>
      <c r="AG787" s="86"/>
    </row>
    <row r="788" spans="1:33" hidden="1">
      <c r="A788" s="106"/>
      <c r="B788" s="87" t="s">
        <v>2987</v>
      </c>
      <c r="C788" s="83">
        <v>185</v>
      </c>
      <c r="D788"/>
      <c r="E788"/>
      <c r="H788" s="86" t="s">
        <v>386</v>
      </c>
      <c r="I788"/>
      <c r="J788" s="4"/>
      <c r="K788" s="8" t="e">
        <f>(K785+C22)</f>
        <v>#REF!</v>
      </c>
      <c r="N788" s="86" t="s">
        <v>615</v>
      </c>
      <c r="O788" s="86" t="s">
        <v>1522</v>
      </c>
      <c r="P788" s="91">
        <v>25.46</v>
      </c>
      <c r="R788" s="91" t="e">
        <f>(#VALUE!*P788)</f>
        <v>#VALUE!</v>
      </c>
      <c r="AG788" s="86" t="s">
        <v>2284</v>
      </c>
    </row>
    <row r="789" spans="1:33" hidden="1">
      <c r="A789" s="106"/>
      <c r="B789" s="87" t="s">
        <v>2988</v>
      </c>
      <c r="C789" s="83">
        <v>170</v>
      </c>
      <c r="D789"/>
      <c r="E789"/>
      <c r="H789" s="86" t="s">
        <v>388</v>
      </c>
      <c r="I789"/>
      <c r="J789" s="4"/>
      <c r="K789" s="8" t="e">
        <f>(K788+C23)</f>
        <v>#REF!</v>
      </c>
      <c r="N789" s="86" t="s">
        <v>877</v>
      </c>
      <c r="O789" s="86" t="s">
        <v>1339</v>
      </c>
      <c r="P789" s="91">
        <v>0.5</v>
      </c>
      <c r="R789" s="91" t="e">
        <f>(#VALUE!*P789)</f>
        <v>#VALUE!</v>
      </c>
      <c r="AG789" s="86" t="s">
        <v>2284</v>
      </c>
    </row>
    <row r="790" spans="1:33" hidden="1">
      <c r="A790" s="106"/>
      <c r="B790" s="87" t="s">
        <v>2989</v>
      </c>
      <c r="C790" s="83">
        <v>160</v>
      </c>
      <c r="D790"/>
      <c r="E790"/>
      <c r="H790" s="86" t="s">
        <v>2257</v>
      </c>
      <c r="I790"/>
      <c r="J790" s="4"/>
      <c r="K790" s="8" t="e">
        <f>(K789+C24)</f>
        <v>#REF!</v>
      </c>
      <c r="R790" s="91">
        <v>0.54</v>
      </c>
      <c r="AG790" s="86" t="s">
        <v>322</v>
      </c>
    </row>
    <row r="791" spans="1:33" hidden="1">
      <c r="A791" s="106"/>
      <c r="B791" s="79" t="s">
        <v>1304</v>
      </c>
      <c r="C791" s="83">
        <v>121</v>
      </c>
      <c r="D791"/>
      <c r="E791"/>
      <c r="H791" s="86" t="s">
        <v>380</v>
      </c>
      <c r="I791"/>
      <c r="J791" s="4"/>
      <c r="K791" s="8" t="e">
        <f>(K790+C24)</f>
        <v>#REF!</v>
      </c>
      <c r="R791" s="89" t="s">
        <v>1609</v>
      </c>
    </row>
    <row r="792" spans="1:33" hidden="1">
      <c r="A792" s="106"/>
      <c r="B792" s="79" t="s">
        <v>2990</v>
      </c>
      <c r="C792" s="55">
        <v>120</v>
      </c>
      <c r="D792"/>
      <c r="E792"/>
      <c r="H792" s="86" t="s">
        <v>1554</v>
      </c>
      <c r="I792"/>
      <c r="J792" s="4"/>
      <c r="K792" s="8" t="e">
        <f>(K791+C24)</f>
        <v>#REF!</v>
      </c>
      <c r="O792" s="102" t="s">
        <v>1340</v>
      </c>
      <c r="R792" s="91" t="e">
        <f>SUM(R779:R790)</f>
        <v>#VALUE!</v>
      </c>
    </row>
    <row r="793" spans="1:33" hidden="1">
      <c r="B793" s="79" t="s">
        <v>2991</v>
      </c>
      <c r="C793" s="55">
        <v>70</v>
      </c>
      <c r="D793"/>
      <c r="E793"/>
      <c r="F793" s="86" t="s">
        <v>987</v>
      </c>
      <c r="I793"/>
      <c r="J793" s="4"/>
      <c r="K793"/>
    </row>
    <row r="794" spans="1:33" hidden="1">
      <c r="A794" s="106"/>
      <c r="B794" s="79" t="s">
        <v>2992</v>
      </c>
      <c r="C794">
        <v>35</v>
      </c>
      <c r="D794"/>
      <c r="E794"/>
      <c r="F794" s="86" t="s">
        <v>987</v>
      </c>
      <c r="G794" s="90" t="s">
        <v>2276</v>
      </c>
      <c r="H794" s="102" t="s">
        <v>1341</v>
      </c>
      <c r="I794"/>
      <c r="J794" s="4"/>
      <c r="K794"/>
      <c r="R794" s="89" t="s">
        <v>1609</v>
      </c>
      <c r="AG794" s="86" t="s">
        <v>2284</v>
      </c>
    </row>
    <row r="795" spans="1:33" hidden="1">
      <c r="A795" s="106"/>
      <c r="B795" s="79" t="s">
        <v>2993</v>
      </c>
      <c r="C795">
        <v>90</v>
      </c>
      <c r="D795"/>
      <c r="E795"/>
      <c r="H795" s="89" t="s">
        <v>2080</v>
      </c>
      <c r="I795"/>
      <c r="J795" s="4"/>
      <c r="K795"/>
      <c r="AG795" s="86" t="s">
        <v>2284</v>
      </c>
    </row>
    <row r="796" spans="1:33" hidden="1">
      <c r="A796" s="106"/>
      <c r="B796" s="79" t="s">
        <v>2998</v>
      </c>
      <c r="C796" s="55">
        <v>140</v>
      </c>
      <c r="D796"/>
      <c r="E796"/>
      <c r="I796"/>
      <c r="J796" s="4"/>
      <c r="K796"/>
      <c r="N796" s="86" t="s">
        <v>522</v>
      </c>
      <c r="O796" s="86" t="s">
        <v>1342</v>
      </c>
      <c r="AG796" s="86" t="s">
        <v>2284</v>
      </c>
    </row>
    <row r="797" spans="1:33" ht="31.5" hidden="1">
      <c r="A797" s="125">
        <v>1</v>
      </c>
      <c r="B797" s="126" t="s">
        <v>3207</v>
      </c>
      <c r="C797"/>
      <c r="D797"/>
      <c r="E797"/>
      <c r="F797" s="102" t="s">
        <v>1343</v>
      </c>
      <c r="G797" s="90" t="s">
        <v>2276</v>
      </c>
      <c r="H797" s="86" t="s">
        <v>2056</v>
      </c>
      <c r="I797"/>
      <c r="J797" s="4"/>
      <c r="K797"/>
      <c r="O797" s="86" t="s">
        <v>1788</v>
      </c>
      <c r="AG797" s="86" t="s">
        <v>2284</v>
      </c>
    </row>
    <row r="798" spans="1:33" hidden="1">
      <c r="A798" s="125"/>
      <c r="B798" s="79" t="s">
        <v>3208</v>
      </c>
      <c r="C798" s="82">
        <v>11</v>
      </c>
      <c r="D798"/>
      <c r="E798"/>
      <c r="H798" s="86" t="s">
        <v>2057</v>
      </c>
      <c r="I798"/>
      <c r="J798" s="4"/>
      <c r="K798"/>
      <c r="N798" s="86" t="s">
        <v>268</v>
      </c>
      <c r="O798" s="86" t="s">
        <v>1790</v>
      </c>
      <c r="P798" s="91">
        <v>43</v>
      </c>
      <c r="R798" s="91" t="e">
        <f>(#VALUE!*P798)</f>
        <v>#VALUE!</v>
      </c>
      <c r="AG798" s="86" t="s">
        <v>2284</v>
      </c>
    </row>
    <row r="799" spans="1:33" hidden="1">
      <c r="A799" s="127"/>
      <c r="B799" s="79" t="s">
        <v>3209</v>
      </c>
      <c r="C799" s="82">
        <v>11</v>
      </c>
      <c r="D799"/>
      <c r="E799"/>
      <c r="H799" s="86" t="s">
        <v>2058</v>
      </c>
      <c r="I799"/>
      <c r="J799" s="4"/>
      <c r="K799"/>
      <c r="O799" s="86" t="s">
        <v>1945</v>
      </c>
      <c r="AG799" s="86" t="s">
        <v>2284</v>
      </c>
    </row>
    <row r="800" spans="1:33" hidden="1">
      <c r="A800" s="125"/>
      <c r="B800" s="79" t="s">
        <v>3210</v>
      </c>
      <c r="C800" s="82">
        <v>11</v>
      </c>
      <c r="D800"/>
      <c r="E800"/>
      <c r="H800" s="86" t="s">
        <v>900</v>
      </c>
      <c r="I800"/>
      <c r="J800" s="4"/>
      <c r="K800"/>
      <c r="O800" s="86" t="s">
        <v>998</v>
      </c>
      <c r="AG800" s="86" t="s">
        <v>2284</v>
      </c>
    </row>
    <row r="801" spans="1:33" hidden="1">
      <c r="A801" s="127"/>
      <c r="B801" s="79" t="s">
        <v>3211</v>
      </c>
      <c r="C801" s="82">
        <v>11</v>
      </c>
      <c r="D801"/>
      <c r="E801"/>
      <c r="H801" s="86" t="s">
        <v>901</v>
      </c>
      <c r="I801"/>
      <c r="J801" s="4"/>
      <c r="K801"/>
      <c r="N801" s="86" t="s">
        <v>615</v>
      </c>
      <c r="O801" s="86" t="s">
        <v>999</v>
      </c>
      <c r="P801" s="91">
        <f>C271</f>
        <v>160</v>
      </c>
      <c r="R801" s="91" t="e">
        <f t="shared" ref="R801:R807" si="47">(#VALUE!*P801)</f>
        <v>#VALUE!</v>
      </c>
      <c r="AG801" s="86" t="s">
        <v>2284</v>
      </c>
    </row>
    <row r="802" spans="1:33" hidden="1">
      <c r="A802" s="125"/>
      <c r="B802" s="79" t="s">
        <v>3212</v>
      </c>
      <c r="C802" s="82">
        <v>12</v>
      </c>
      <c r="D802"/>
      <c r="E802"/>
      <c r="H802" s="86" t="s">
        <v>1746</v>
      </c>
      <c r="I802"/>
      <c r="J802" s="4"/>
      <c r="K802"/>
      <c r="N802" s="86" t="s">
        <v>877</v>
      </c>
      <c r="O802" s="86" t="s">
        <v>151</v>
      </c>
      <c r="P802" s="91">
        <v>5</v>
      </c>
      <c r="R802" s="91" t="e">
        <f t="shared" si="47"/>
        <v>#VALUE!</v>
      </c>
      <c r="AG802" s="86" t="s">
        <v>2284</v>
      </c>
    </row>
    <row r="803" spans="1:33" hidden="1">
      <c r="A803" s="127"/>
      <c r="B803" s="79" t="s">
        <v>3213</v>
      </c>
      <c r="C803" s="23" t="s">
        <v>3214</v>
      </c>
      <c r="D803"/>
      <c r="E803"/>
      <c r="H803" s="86" t="s">
        <v>95</v>
      </c>
      <c r="I803"/>
      <c r="J803" s="4"/>
      <c r="K803"/>
      <c r="N803" s="86" t="s">
        <v>877</v>
      </c>
      <c r="O803" s="86" t="s">
        <v>152</v>
      </c>
      <c r="P803" s="91">
        <v>10</v>
      </c>
      <c r="R803" s="91" t="e">
        <f t="shared" si="47"/>
        <v>#VALUE!</v>
      </c>
      <c r="AG803" s="86" t="s">
        <v>2284</v>
      </c>
    </row>
    <row r="804" spans="1:33" hidden="1">
      <c r="A804" s="125"/>
      <c r="B804" s="79" t="s">
        <v>3215</v>
      </c>
      <c r="C804" s="55">
        <v>25</v>
      </c>
      <c r="D804"/>
      <c r="E804"/>
      <c r="H804" s="86" t="s">
        <v>96</v>
      </c>
      <c r="I804"/>
      <c r="J804" s="4"/>
      <c r="K804"/>
      <c r="N804" s="86" t="s">
        <v>877</v>
      </c>
      <c r="O804" s="86" t="s">
        <v>1772</v>
      </c>
      <c r="P804" s="91">
        <v>8</v>
      </c>
      <c r="R804" s="91" t="e">
        <f t="shared" si="47"/>
        <v>#VALUE!</v>
      </c>
      <c r="AG804" s="86" t="s">
        <v>2284</v>
      </c>
    </row>
    <row r="805" spans="1:33" hidden="1">
      <c r="A805" s="127"/>
      <c r="B805" s="79" t="s">
        <v>3216</v>
      </c>
      <c r="C805" s="23" t="s">
        <v>3214</v>
      </c>
      <c r="D805"/>
      <c r="E805"/>
      <c r="H805" s="86" t="s">
        <v>97</v>
      </c>
      <c r="I805"/>
      <c r="J805" s="4"/>
      <c r="K805"/>
      <c r="N805" s="86" t="s">
        <v>835</v>
      </c>
      <c r="O805" s="86" t="s">
        <v>1521</v>
      </c>
      <c r="P805" s="91">
        <v>13.66</v>
      </c>
      <c r="R805" s="91" t="e">
        <f t="shared" si="47"/>
        <v>#VALUE!</v>
      </c>
      <c r="AG805" s="86" t="s">
        <v>2284</v>
      </c>
    </row>
    <row r="806" spans="1:33" hidden="1">
      <c r="A806" s="125"/>
      <c r="B806" s="79" t="s">
        <v>3217</v>
      </c>
      <c r="C806" s="23" t="s">
        <v>3214</v>
      </c>
      <c r="D806"/>
      <c r="E806"/>
      <c r="H806" s="86" t="s">
        <v>98</v>
      </c>
      <c r="I806"/>
      <c r="J806" s="4"/>
      <c r="K806"/>
      <c r="N806" s="86" t="s">
        <v>615</v>
      </c>
      <c r="O806" s="86" t="s">
        <v>1522</v>
      </c>
      <c r="P806" s="91">
        <v>25.46</v>
      </c>
      <c r="R806" s="91" t="e">
        <f t="shared" si="47"/>
        <v>#VALUE!</v>
      </c>
      <c r="AG806" s="86" t="s">
        <v>2284</v>
      </c>
    </row>
    <row r="807" spans="1:33" hidden="1">
      <c r="A807" s="127"/>
      <c r="B807" s="79" t="s">
        <v>3218</v>
      </c>
      <c r="C807" s="23" t="s">
        <v>3214</v>
      </c>
      <c r="D807"/>
      <c r="E807"/>
      <c r="H807" s="86" t="s">
        <v>2078</v>
      </c>
      <c r="I807"/>
      <c r="J807" s="4"/>
      <c r="K807"/>
      <c r="N807" s="86" t="s">
        <v>877</v>
      </c>
      <c r="O807" s="86" t="s">
        <v>1339</v>
      </c>
      <c r="P807" s="91">
        <v>0.5</v>
      </c>
      <c r="R807" s="91" t="e">
        <f t="shared" si="47"/>
        <v>#VALUE!</v>
      </c>
      <c r="AG807" s="86" t="s">
        <v>2284</v>
      </c>
    </row>
    <row r="808" spans="1:33" ht="31.5" hidden="1">
      <c r="A808" s="125">
        <v>2</v>
      </c>
      <c r="B808" s="126" t="s">
        <v>3219</v>
      </c>
      <c r="C808"/>
      <c r="D808"/>
      <c r="E808"/>
      <c r="H808" s="86" t="s">
        <v>1044</v>
      </c>
      <c r="I808"/>
      <c r="J808" s="4"/>
      <c r="K808"/>
      <c r="R808" s="91">
        <v>0.7</v>
      </c>
      <c r="AG808" s="86" t="s">
        <v>2284</v>
      </c>
    </row>
    <row r="809" spans="1:33" hidden="1">
      <c r="A809" s="127"/>
      <c r="B809" s="79" t="s">
        <v>3220</v>
      </c>
      <c r="C809" s="82">
        <v>12.5</v>
      </c>
      <c r="D809"/>
      <c r="E809"/>
      <c r="H809" s="86" t="s">
        <v>1803</v>
      </c>
      <c r="I809"/>
      <c r="J809" s="4"/>
      <c r="K809"/>
      <c r="R809" s="89" t="s">
        <v>1609</v>
      </c>
      <c r="AG809" s="86" t="s">
        <v>2284</v>
      </c>
    </row>
    <row r="810" spans="1:33" hidden="1">
      <c r="A810" s="125">
        <v>3</v>
      </c>
      <c r="B810" s="79" t="s">
        <v>3221</v>
      </c>
      <c r="C810" s="55">
        <v>242</v>
      </c>
      <c r="D810"/>
      <c r="E810"/>
      <c r="H810" s="86" t="s">
        <v>1804</v>
      </c>
      <c r="I810"/>
      <c r="J810" s="4"/>
      <c r="K810"/>
      <c r="O810" s="102" t="s">
        <v>1340</v>
      </c>
      <c r="R810" s="91" t="e">
        <f>SUM(R798:R808)</f>
        <v>#VALUE!</v>
      </c>
      <c r="AG810" s="86" t="s">
        <v>2284</v>
      </c>
    </row>
    <row r="811" spans="1:33" hidden="1">
      <c r="A811" s="127" t="s">
        <v>3222</v>
      </c>
      <c r="B811" s="128" t="s">
        <v>3223</v>
      </c>
      <c r="C811"/>
      <c r="D811"/>
      <c r="E811"/>
      <c r="I811"/>
      <c r="J811" s="4"/>
      <c r="K811"/>
      <c r="R811" s="89" t="s">
        <v>1609</v>
      </c>
      <c r="AG811" s="86" t="s">
        <v>2284</v>
      </c>
    </row>
    <row r="812" spans="1:33" hidden="1">
      <c r="A812" s="125"/>
      <c r="B812" s="79" t="s">
        <v>2574</v>
      </c>
      <c r="C812" s="129">
        <v>75</v>
      </c>
      <c r="D812"/>
      <c r="E812"/>
      <c r="I812"/>
      <c r="J812" s="4"/>
      <c r="K812"/>
      <c r="R812" s="89"/>
      <c r="AG812" s="86"/>
    </row>
    <row r="813" spans="1:33" hidden="1">
      <c r="A813" s="127"/>
      <c r="B813" s="130" t="s">
        <v>2575</v>
      </c>
      <c r="C813" s="129">
        <v>80</v>
      </c>
      <c r="D813"/>
      <c r="E813"/>
      <c r="G813" s="90" t="s">
        <v>317</v>
      </c>
      <c r="H813" s="102" t="s">
        <v>1801</v>
      </c>
      <c r="I813"/>
      <c r="J813" s="4"/>
      <c r="K813"/>
      <c r="R813" s="89"/>
      <c r="AG813" s="86"/>
    </row>
    <row r="814" spans="1:33" ht="31.5" hidden="1">
      <c r="A814" s="125">
        <v>4</v>
      </c>
      <c r="B814" s="126" t="s">
        <v>2607</v>
      </c>
      <c r="C814"/>
      <c r="D814"/>
      <c r="E814"/>
      <c r="H814" s="102" t="s">
        <v>1806</v>
      </c>
      <c r="I814"/>
      <c r="J814" s="4"/>
      <c r="K814"/>
      <c r="R814" s="89"/>
      <c r="AG814" s="86"/>
    </row>
    <row r="815" spans="1:33" hidden="1">
      <c r="A815" s="127"/>
      <c r="B815" s="79" t="s">
        <v>2608</v>
      </c>
      <c r="C815" s="55">
        <v>42</v>
      </c>
      <c r="D815"/>
      <c r="E815"/>
      <c r="F815" s="121">
        <v>3.8800000000000001E-2</v>
      </c>
      <c r="G815" s="90" t="s">
        <v>878</v>
      </c>
      <c r="H815" s="86" t="s">
        <v>2099</v>
      </c>
      <c r="I815" s="8" t="e">
        <f>K781</f>
        <v>#REF!</v>
      </c>
      <c r="J815" s="2" t="s">
        <v>878</v>
      </c>
      <c r="K815" s="8" t="e">
        <f>F815*I815</f>
        <v>#REF!</v>
      </c>
      <c r="R815" s="89"/>
      <c r="AG815" s="86"/>
    </row>
    <row r="816" spans="1:33" hidden="1">
      <c r="A816" s="125"/>
      <c r="B816" s="79" t="s">
        <v>2609</v>
      </c>
      <c r="C816" s="55">
        <v>46</v>
      </c>
      <c r="D816"/>
      <c r="E816"/>
      <c r="F816" s="91">
        <v>5.01</v>
      </c>
      <c r="G816" s="90" t="s">
        <v>1670</v>
      </c>
      <c r="H816" s="86" t="s">
        <v>2100</v>
      </c>
      <c r="I816" s="8">
        <f>K1513</f>
        <v>33174.400000000001</v>
      </c>
      <c r="J816" s="2" t="s">
        <v>870</v>
      </c>
      <c r="K816" s="8">
        <f>F816*I816/1000</f>
        <v>166.2</v>
      </c>
      <c r="R816" s="89"/>
      <c r="AG816" s="86"/>
    </row>
    <row r="817" spans="1:33" hidden="1">
      <c r="A817" s="127"/>
      <c r="B817" s="79" t="s">
        <v>3073</v>
      </c>
      <c r="C817" s="55">
        <v>42</v>
      </c>
      <c r="D817"/>
      <c r="E817"/>
      <c r="F817" s="91">
        <v>3</v>
      </c>
      <c r="G817" s="90" t="s">
        <v>877</v>
      </c>
      <c r="H817" s="86" t="s">
        <v>1204</v>
      </c>
      <c r="I817" s="8">
        <v>16.5</v>
      </c>
      <c r="J817" s="2" t="s">
        <v>877</v>
      </c>
      <c r="K817" s="8">
        <f t="shared" ref="K817:K824" si="48">F817*I817</f>
        <v>49.5</v>
      </c>
      <c r="R817" s="89"/>
      <c r="AG817" s="86"/>
    </row>
    <row r="818" spans="1:33" ht="31.5" hidden="1">
      <c r="A818" s="125">
        <v>5</v>
      </c>
      <c r="B818" s="126" t="s">
        <v>3074</v>
      </c>
      <c r="C818"/>
      <c r="D818"/>
      <c r="E818"/>
      <c r="F818" s="91">
        <v>12</v>
      </c>
      <c r="G818" s="90" t="s">
        <v>877</v>
      </c>
      <c r="H818" s="86" t="s">
        <v>1205</v>
      </c>
      <c r="I818" s="8">
        <v>3.85</v>
      </c>
      <c r="J818" s="2" t="s">
        <v>877</v>
      </c>
      <c r="K818" s="8">
        <f t="shared" si="48"/>
        <v>46.2</v>
      </c>
      <c r="R818" s="89"/>
      <c r="AG818" s="86"/>
    </row>
    <row r="819" spans="1:33" hidden="1">
      <c r="A819" s="127"/>
      <c r="B819" s="79" t="s">
        <v>3075</v>
      </c>
      <c r="C819" s="55">
        <v>174</v>
      </c>
      <c r="D819"/>
      <c r="E819"/>
      <c r="F819" s="91">
        <v>2</v>
      </c>
      <c r="G819" s="90" t="s">
        <v>877</v>
      </c>
      <c r="H819" s="86" t="s">
        <v>1206</v>
      </c>
      <c r="I819" s="8">
        <v>5</v>
      </c>
      <c r="J819" s="2" t="s">
        <v>877</v>
      </c>
      <c r="K819" s="8">
        <f t="shared" si="48"/>
        <v>10</v>
      </c>
      <c r="R819" s="89"/>
      <c r="AG819" s="86"/>
    </row>
    <row r="820" spans="1:33" hidden="1">
      <c r="A820" s="125"/>
      <c r="B820" s="79" t="s">
        <v>3076</v>
      </c>
      <c r="C820" s="55">
        <v>182</v>
      </c>
      <c r="D820"/>
      <c r="E820"/>
      <c r="F820" s="91">
        <v>6</v>
      </c>
      <c r="G820" s="90" t="s">
        <v>877</v>
      </c>
      <c r="H820" s="86" t="s">
        <v>2245</v>
      </c>
      <c r="I820" s="8">
        <v>3.85</v>
      </c>
      <c r="J820" s="2" t="s">
        <v>877</v>
      </c>
      <c r="K820" s="8">
        <f t="shared" si="48"/>
        <v>23.1</v>
      </c>
      <c r="R820" s="89"/>
      <c r="AG820" s="86"/>
    </row>
    <row r="821" spans="1:33" hidden="1">
      <c r="A821" s="127"/>
      <c r="B821" s="79" t="s">
        <v>3077</v>
      </c>
      <c r="C821" s="55">
        <v>444</v>
      </c>
      <c r="D821"/>
      <c r="E821"/>
      <c r="F821" s="91">
        <v>1</v>
      </c>
      <c r="G821" s="90" t="s">
        <v>877</v>
      </c>
      <c r="H821" s="86" t="s">
        <v>1211</v>
      </c>
      <c r="I821" s="8">
        <f>C10</f>
        <v>150</v>
      </c>
      <c r="J821" s="2" t="s">
        <v>877</v>
      </c>
      <c r="K821" s="8">
        <f t="shared" si="48"/>
        <v>150</v>
      </c>
      <c r="R821" s="89"/>
      <c r="AG821" s="86"/>
    </row>
    <row r="822" spans="1:33" hidden="1">
      <c r="A822" s="125"/>
      <c r="B822" s="79" t="s">
        <v>3078</v>
      </c>
      <c r="C822" s="55">
        <v>626</v>
      </c>
      <c r="D822"/>
      <c r="E822"/>
      <c r="F822" s="91">
        <v>1</v>
      </c>
      <c r="G822" s="90" t="s">
        <v>877</v>
      </c>
      <c r="H822" s="86" t="s">
        <v>1212</v>
      </c>
      <c r="I822" s="8">
        <f>C12</f>
        <v>95</v>
      </c>
      <c r="J822" s="2" t="s">
        <v>877</v>
      </c>
      <c r="K822" s="8">
        <f t="shared" si="48"/>
        <v>95</v>
      </c>
      <c r="R822" s="89"/>
      <c r="AG822" s="86"/>
    </row>
    <row r="823" spans="1:33" ht="47.25" hidden="1">
      <c r="A823" s="127">
        <v>6</v>
      </c>
      <c r="B823" s="126" t="s">
        <v>3079</v>
      </c>
      <c r="C823"/>
      <c r="D823"/>
      <c r="E823"/>
      <c r="F823" s="91">
        <v>1</v>
      </c>
      <c r="G823" s="90" t="s">
        <v>877</v>
      </c>
      <c r="H823" s="86" t="s">
        <v>1213</v>
      </c>
      <c r="I823" s="8">
        <v>25</v>
      </c>
      <c r="J823" s="2" t="s">
        <v>877</v>
      </c>
      <c r="K823" s="8">
        <f t="shared" si="48"/>
        <v>25</v>
      </c>
      <c r="R823" s="89"/>
      <c r="AG823" s="86"/>
    </row>
    <row r="824" spans="1:33" hidden="1">
      <c r="A824" s="125"/>
      <c r="B824" s="79" t="s">
        <v>3080</v>
      </c>
      <c r="C824" s="23" t="s">
        <v>3214</v>
      </c>
      <c r="D824"/>
      <c r="E824"/>
      <c r="F824" s="91">
        <v>0.5</v>
      </c>
      <c r="G824" s="90" t="s">
        <v>877</v>
      </c>
      <c r="H824" s="86" t="s">
        <v>1214</v>
      </c>
      <c r="I824" s="8">
        <f>C13</f>
        <v>85</v>
      </c>
      <c r="J824" s="2" t="s">
        <v>877</v>
      </c>
      <c r="K824" s="8">
        <f t="shared" si="48"/>
        <v>42.5</v>
      </c>
      <c r="R824" s="89"/>
      <c r="AG824" s="86"/>
    </row>
    <row r="825" spans="1:33" hidden="1">
      <c r="A825" s="127"/>
      <c r="B825" s="79" t="s">
        <v>3081</v>
      </c>
      <c r="C825" s="55">
        <v>306</v>
      </c>
      <c r="D825"/>
      <c r="E825"/>
      <c r="G825" s="90" t="s">
        <v>450</v>
      </c>
      <c r="H825" s="86" t="s">
        <v>2163</v>
      </c>
      <c r="I825"/>
      <c r="J825" s="2" t="s">
        <v>450</v>
      </c>
      <c r="K825" s="8">
        <v>0.5</v>
      </c>
      <c r="R825" s="89"/>
      <c r="AG825" s="86"/>
    </row>
    <row r="826" spans="1:33" ht="31.5" hidden="1">
      <c r="A826" s="125"/>
      <c r="B826" s="131" t="s">
        <v>3082</v>
      </c>
      <c r="C826" s="55">
        <v>450</v>
      </c>
      <c r="D826"/>
      <c r="E826"/>
      <c r="I826"/>
      <c r="J826" s="4"/>
      <c r="K826" s="5" t="s">
        <v>1609</v>
      </c>
      <c r="R826" s="89"/>
      <c r="AG826" s="86"/>
    </row>
    <row r="827" spans="1:33" ht="47.25" hidden="1">
      <c r="A827" s="127">
        <v>7</v>
      </c>
      <c r="B827" s="126" t="s">
        <v>2589</v>
      </c>
      <c r="C827"/>
      <c r="D827"/>
      <c r="E827"/>
      <c r="H827" s="102" t="s">
        <v>283</v>
      </c>
      <c r="I827"/>
      <c r="J827" s="4"/>
      <c r="K827" s="8" t="e">
        <f>SUM(K815:K825)</f>
        <v>#REF!</v>
      </c>
      <c r="R827" s="89"/>
      <c r="AG827" s="86"/>
    </row>
    <row r="828" spans="1:33" hidden="1">
      <c r="A828" s="125"/>
      <c r="B828" s="79" t="s">
        <v>3081</v>
      </c>
      <c r="C828" s="55">
        <v>575</v>
      </c>
      <c r="D828"/>
      <c r="E828"/>
      <c r="I828"/>
      <c r="J828" s="4"/>
      <c r="K828" s="5" t="s">
        <v>1609</v>
      </c>
      <c r="R828" s="89"/>
      <c r="AG828" s="86"/>
    </row>
    <row r="829" spans="1:33" ht="31.5" hidden="1">
      <c r="A829" s="127"/>
      <c r="B829" s="131" t="s">
        <v>3082</v>
      </c>
      <c r="C829" s="55">
        <v>750</v>
      </c>
      <c r="D829"/>
      <c r="E829"/>
      <c r="I829"/>
      <c r="J829" s="4"/>
      <c r="K829"/>
      <c r="R829" s="89"/>
      <c r="AG829" s="86"/>
    </row>
    <row r="830" spans="1:33" ht="47.25" hidden="1">
      <c r="A830" s="125">
        <v>8</v>
      </c>
      <c r="B830" s="126" t="s">
        <v>2590</v>
      </c>
      <c r="C830"/>
      <c r="D830"/>
      <c r="E830"/>
      <c r="I830"/>
      <c r="J830" s="4"/>
      <c r="K830"/>
      <c r="R830" s="89"/>
      <c r="AG830" s="86"/>
    </row>
    <row r="831" spans="1:33" hidden="1">
      <c r="A831" s="127"/>
      <c r="B831" s="87" t="s">
        <v>3518</v>
      </c>
      <c r="C831" s="55">
        <v>850</v>
      </c>
      <c r="D831"/>
      <c r="E831"/>
      <c r="G831" s="90" t="s">
        <v>1932</v>
      </c>
      <c r="H831" s="102" t="s">
        <v>1805</v>
      </c>
      <c r="I831"/>
      <c r="J831" s="4"/>
      <c r="K831"/>
      <c r="R831" s="86" t="s">
        <v>987</v>
      </c>
      <c r="AG831" s="86" t="s">
        <v>2284</v>
      </c>
    </row>
    <row r="832" spans="1:33" hidden="1">
      <c r="A832" s="125"/>
      <c r="B832" s="87" t="s">
        <v>2600</v>
      </c>
      <c r="C832" s="55">
        <v>1050</v>
      </c>
      <c r="D832"/>
      <c r="E832"/>
      <c r="H832" s="102" t="s">
        <v>1806</v>
      </c>
      <c r="I832"/>
      <c r="J832" s="4"/>
      <c r="K832"/>
      <c r="N832" s="86" t="s">
        <v>317</v>
      </c>
      <c r="O832" s="86" t="s">
        <v>40</v>
      </c>
      <c r="AG832" s="86" t="s">
        <v>2284</v>
      </c>
    </row>
    <row r="833" spans="1:33" ht="69" hidden="1" customHeight="1">
      <c r="A833" s="127">
        <v>9</v>
      </c>
      <c r="B833" s="126" t="s">
        <v>2601</v>
      </c>
      <c r="C833"/>
      <c r="D833"/>
      <c r="E833"/>
      <c r="F833" s="121">
        <v>3.7600000000000001E-2</v>
      </c>
      <c r="G833" s="90" t="s">
        <v>878</v>
      </c>
      <c r="H833" s="86" t="s">
        <v>2099</v>
      </c>
      <c r="I833" s="8" t="e">
        <f>K781</f>
        <v>#REF!</v>
      </c>
      <c r="J833" s="2" t="s">
        <v>878</v>
      </c>
      <c r="K833" s="8" t="e">
        <f>F833*I833</f>
        <v>#REF!</v>
      </c>
      <c r="O833" s="86" t="s">
        <v>1788</v>
      </c>
      <c r="AG833" s="86" t="s">
        <v>2284</v>
      </c>
    </row>
    <row r="834" spans="1:33" hidden="1">
      <c r="A834" s="125"/>
      <c r="B834" s="87" t="s">
        <v>2602</v>
      </c>
      <c r="C834" s="23" t="s">
        <v>3214</v>
      </c>
      <c r="D834"/>
      <c r="E834"/>
      <c r="F834" s="91">
        <v>4.87</v>
      </c>
      <c r="G834" s="90" t="s">
        <v>1670</v>
      </c>
      <c r="H834" s="86" t="s">
        <v>2100</v>
      </c>
      <c r="I834" s="8">
        <f>K1513</f>
        <v>33174.400000000001</v>
      </c>
      <c r="J834" s="2" t="s">
        <v>870</v>
      </c>
      <c r="K834" s="8">
        <f>F834*I834/1000</f>
        <v>161.56</v>
      </c>
      <c r="N834" s="86" t="s">
        <v>268</v>
      </c>
      <c r="O834" s="86" t="s">
        <v>1790</v>
      </c>
      <c r="P834" s="91">
        <v>43</v>
      </c>
      <c r="R834" s="91" t="e">
        <f>(#VALUE!*P834)</f>
        <v>#VALUE!</v>
      </c>
      <c r="AG834" s="86" t="s">
        <v>2284</v>
      </c>
    </row>
    <row r="835" spans="1:33" hidden="1">
      <c r="A835" s="127"/>
      <c r="B835" s="79" t="s">
        <v>2603</v>
      </c>
      <c r="C835" s="129" t="s">
        <v>3214</v>
      </c>
      <c r="D835"/>
      <c r="E835"/>
      <c r="F835" s="91">
        <v>3</v>
      </c>
      <c r="G835" s="90" t="s">
        <v>877</v>
      </c>
      <c r="H835" s="86" t="s">
        <v>1204</v>
      </c>
      <c r="I835" s="8">
        <v>16.5</v>
      </c>
      <c r="J835" s="2" t="s">
        <v>877</v>
      </c>
      <c r="K835" s="8">
        <f t="shared" ref="K835:K841" si="49">F835*I835</f>
        <v>49.5</v>
      </c>
      <c r="O835" s="86" t="s">
        <v>1945</v>
      </c>
      <c r="AG835" s="86" t="s">
        <v>2284</v>
      </c>
    </row>
    <row r="836" spans="1:33" ht="70.5" hidden="1" customHeight="1">
      <c r="A836" s="125">
        <v>10</v>
      </c>
      <c r="B836" s="126" t="s">
        <v>3083</v>
      </c>
      <c r="C836"/>
      <c r="D836"/>
      <c r="E836"/>
      <c r="F836" s="91">
        <v>12</v>
      </c>
      <c r="G836" s="90" t="s">
        <v>877</v>
      </c>
      <c r="H836" s="86" t="s">
        <v>1205</v>
      </c>
      <c r="I836" s="8">
        <v>3.85</v>
      </c>
      <c r="J836" s="2" t="s">
        <v>877</v>
      </c>
      <c r="K836" s="8">
        <f t="shared" si="49"/>
        <v>46.2</v>
      </c>
      <c r="O836" s="86" t="s">
        <v>998</v>
      </c>
      <c r="AG836" s="86" t="s">
        <v>2284</v>
      </c>
    </row>
    <row r="837" spans="1:33" hidden="1">
      <c r="A837" s="127"/>
      <c r="B837" s="79" t="s">
        <v>3084</v>
      </c>
      <c r="C837" s="55" t="s">
        <v>3214</v>
      </c>
      <c r="D837"/>
      <c r="E837"/>
      <c r="F837" s="91">
        <v>2</v>
      </c>
      <c r="G837" s="90" t="s">
        <v>877</v>
      </c>
      <c r="H837" s="86" t="s">
        <v>1206</v>
      </c>
      <c r="I837" s="8">
        <v>5</v>
      </c>
      <c r="J837" s="2" t="s">
        <v>877</v>
      </c>
      <c r="K837" s="8">
        <f t="shared" si="49"/>
        <v>10</v>
      </c>
      <c r="N837" s="86" t="s">
        <v>615</v>
      </c>
      <c r="O837" s="86" t="s">
        <v>999</v>
      </c>
      <c r="P837" s="91">
        <f>C271</f>
        <v>160</v>
      </c>
      <c r="R837" s="91" t="e">
        <f>(#VALUE!*P837)</f>
        <v>#VALUE!</v>
      </c>
      <c r="AG837" s="86" t="s">
        <v>2284</v>
      </c>
    </row>
    <row r="838" spans="1:33" hidden="1">
      <c r="A838" s="125"/>
      <c r="B838" s="79" t="s">
        <v>2603</v>
      </c>
      <c r="C838" s="55" t="s">
        <v>3214</v>
      </c>
      <c r="D838"/>
      <c r="E838"/>
      <c r="F838" s="91">
        <v>6</v>
      </c>
      <c r="G838" s="90" t="s">
        <v>877</v>
      </c>
      <c r="H838" s="86" t="s">
        <v>2245</v>
      </c>
      <c r="I838" s="8">
        <v>3.85</v>
      </c>
      <c r="J838" s="2" t="s">
        <v>877</v>
      </c>
      <c r="K838" s="8">
        <f t="shared" si="49"/>
        <v>23.1</v>
      </c>
      <c r="N838" s="86" t="s">
        <v>877</v>
      </c>
      <c r="O838" s="86" t="s">
        <v>151</v>
      </c>
      <c r="P838" s="91">
        <v>5</v>
      </c>
      <c r="R838" s="91" t="e">
        <f>(#VALUE!*P838)</f>
        <v>#VALUE!</v>
      </c>
      <c r="AG838" s="86" t="s">
        <v>2284</v>
      </c>
    </row>
    <row r="839" spans="1:33" hidden="1">
      <c r="A839" s="127"/>
      <c r="B839" s="79" t="s">
        <v>3085</v>
      </c>
      <c r="C839" s="55" t="s">
        <v>3214</v>
      </c>
      <c r="D839"/>
      <c r="E839"/>
      <c r="F839" s="91">
        <v>1</v>
      </c>
      <c r="G839" s="90" t="s">
        <v>877</v>
      </c>
      <c r="H839" s="86" t="s">
        <v>1211</v>
      </c>
      <c r="I839" s="8">
        <f>C10</f>
        <v>150</v>
      </c>
      <c r="J839" s="2" t="s">
        <v>877</v>
      </c>
      <c r="K839" s="8">
        <f t="shared" si="49"/>
        <v>150</v>
      </c>
      <c r="N839" s="86" t="s">
        <v>877</v>
      </c>
      <c r="O839" s="86" t="s">
        <v>152</v>
      </c>
      <c r="P839" s="91">
        <v>10</v>
      </c>
      <c r="R839" s="91" t="e">
        <f>(#VALUE!*P839)</f>
        <v>#VALUE!</v>
      </c>
      <c r="AG839" s="86" t="s">
        <v>2284</v>
      </c>
    </row>
    <row r="840" spans="1:33" hidden="1">
      <c r="A840" s="125"/>
      <c r="B840" s="79" t="s">
        <v>3086</v>
      </c>
      <c r="C840" s="23" t="s">
        <v>3214</v>
      </c>
      <c r="D840"/>
      <c r="E840"/>
      <c r="F840" s="91">
        <v>1</v>
      </c>
      <c r="G840" s="90" t="s">
        <v>877</v>
      </c>
      <c r="H840" s="86" t="s">
        <v>1212</v>
      </c>
      <c r="I840" s="8">
        <f>C12</f>
        <v>95</v>
      </c>
      <c r="J840" s="2" t="s">
        <v>877</v>
      </c>
      <c r="K840" s="8">
        <f t="shared" si="49"/>
        <v>95</v>
      </c>
      <c r="N840" s="86" t="s">
        <v>877</v>
      </c>
      <c r="O840" s="86" t="s">
        <v>1772</v>
      </c>
      <c r="P840" s="91">
        <v>8</v>
      </c>
      <c r="R840" s="91" t="e">
        <f>(#VALUE!*P840)</f>
        <v>#VALUE!</v>
      </c>
      <c r="AG840" s="86" t="s">
        <v>2284</v>
      </c>
    </row>
    <row r="841" spans="1:33" hidden="1">
      <c r="A841" s="127"/>
      <c r="B841" s="79" t="s">
        <v>3087</v>
      </c>
      <c r="C841" s="55">
        <v>1459</v>
      </c>
      <c r="D841"/>
      <c r="E841"/>
      <c r="F841" s="91">
        <v>1</v>
      </c>
      <c r="G841" s="90" t="s">
        <v>877</v>
      </c>
      <c r="H841" s="86" t="s">
        <v>1213</v>
      </c>
      <c r="I841" s="8">
        <v>25</v>
      </c>
      <c r="J841" s="2" t="s">
        <v>877</v>
      </c>
      <c r="K841" s="8">
        <f t="shared" si="49"/>
        <v>25</v>
      </c>
      <c r="N841" s="86" t="s">
        <v>835</v>
      </c>
      <c r="O841" s="86" t="s">
        <v>1521</v>
      </c>
      <c r="P841" s="91">
        <v>13.66</v>
      </c>
      <c r="R841" s="91" t="e">
        <f>(#VALUE!*P841)</f>
        <v>#VALUE!</v>
      </c>
      <c r="AG841" s="86" t="s">
        <v>2284</v>
      </c>
    </row>
    <row r="842" spans="1:33" ht="33" hidden="1" customHeight="1">
      <c r="A842" s="127"/>
      <c r="B842" s="131" t="s">
        <v>3088</v>
      </c>
      <c r="C842" s="55">
        <v>1930</v>
      </c>
      <c r="D842"/>
      <c r="E842"/>
      <c r="F842" s="91"/>
      <c r="G842" s="90"/>
      <c r="H842" s="86"/>
      <c r="I842" s="8"/>
      <c r="J842" s="2"/>
      <c r="K842" s="8"/>
      <c r="N842" s="86"/>
      <c r="O842" s="86"/>
      <c r="P842" s="91"/>
      <c r="R842" s="91"/>
      <c r="AG842" s="86"/>
    </row>
    <row r="843" spans="1:33" ht="37.5" hidden="1" customHeight="1">
      <c r="A843" s="125"/>
      <c r="B843" s="132" t="s">
        <v>2893</v>
      </c>
      <c r="C843" s="55">
        <v>2630</v>
      </c>
      <c r="D843"/>
      <c r="E843"/>
      <c r="F843" s="91">
        <v>0.5</v>
      </c>
      <c r="G843" s="90" t="s">
        <v>877</v>
      </c>
      <c r="H843" s="86" t="s">
        <v>1214</v>
      </c>
      <c r="I843" s="8">
        <f>C13</f>
        <v>85</v>
      </c>
      <c r="J843" s="2" t="s">
        <v>877</v>
      </c>
      <c r="K843" s="8">
        <f>F843*I843</f>
        <v>42.5</v>
      </c>
      <c r="N843" s="86" t="s">
        <v>615</v>
      </c>
      <c r="O843" s="86" t="s">
        <v>1522</v>
      </c>
      <c r="P843" s="91">
        <v>25.46</v>
      </c>
      <c r="R843" s="91" t="e">
        <f>(#VALUE!*P843)</f>
        <v>#VALUE!</v>
      </c>
      <c r="AG843" s="86" t="s">
        <v>2284</v>
      </c>
    </row>
    <row r="844" spans="1:33" ht="70.5" hidden="1" customHeight="1">
      <c r="A844" s="127">
        <v>11</v>
      </c>
      <c r="B844" s="126" t="s">
        <v>2714</v>
      </c>
      <c r="C844"/>
      <c r="D844"/>
      <c r="E844"/>
      <c r="G844" s="90" t="s">
        <v>450</v>
      </c>
      <c r="H844" s="86" t="s">
        <v>2163</v>
      </c>
      <c r="I844"/>
      <c r="J844" s="2" t="s">
        <v>450</v>
      </c>
      <c r="K844" s="8">
        <v>0.5</v>
      </c>
      <c r="N844" s="86" t="s">
        <v>877</v>
      </c>
      <c r="O844" s="86" t="s">
        <v>1339</v>
      </c>
      <c r="P844" s="91">
        <v>0.5</v>
      </c>
      <c r="R844" s="91" t="e">
        <f>(#VALUE!*P844)</f>
        <v>#VALUE!</v>
      </c>
      <c r="AG844" s="86" t="s">
        <v>2284</v>
      </c>
    </row>
    <row r="845" spans="1:33" hidden="1">
      <c r="A845" s="125"/>
      <c r="B845" s="79" t="s">
        <v>2715</v>
      </c>
      <c r="C845" s="55">
        <v>642</v>
      </c>
      <c r="D845"/>
      <c r="E845"/>
      <c r="I845"/>
      <c r="J845" s="4"/>
      <c r="K845" s="5" t="s">
        <v>1609</v>
      </c>
      <c r="R845" s="91">
        <v>0.97</v>
      </c>
      <c r="AG845" s="86" t="s">
        <v>2284</v>
      </c>
    </row>
    <row r="846" spans="1:33" ht="70.5" hidden="1" customHeight="1">
      <c r="A846" s="127">
        <v>12</v>
      </c>
      <c r="B846" s="126" t="s">
        <v>2716</v>
      </c>
      <c r="C846"/>
      <c r="D846"/>
      <c r="E846"/>
      <c r="H846" s="102" t="s">
        <v>283</v>
      </c>
      <c r="I846"/>
      <c r="J846" s="4"/>
      <c r="K846" s="8" t="e">
        <f>SUM(K833:K844)</f>
        <v>#REF!</v>
      </c>
      <c r="R846" s="89" t="s">
        <v>1609</v>
      </c>
      <c r="AG846" s="86" t="s">
        <v>2284</v>
      </c>
    </row>
    <row r="847" spans="1:33" hidden="1">
      <c r="A847" s="125"/>
      <c r="B847" s="79" t="s">
        <v>2715</v>
      </c>
      <c r="C847" s="55">
        <v>864</v>
      </c>
      <c r="D847"/>
      <c r="E847"/>
      <c r="I847"/>
      <c r="J847" s="4"/>
      <c r="K847" s="5" t="s">
        <v>1609</v>
      </c>
      <c r="O847" s="102" t="s">
        <v>1340</v>
      </c>
      <c r="R847" s="91" t="e">
        <f>SUM(R834:R845)</f>
        <v>#VALUE!</v>
      </c>
      <c r="AG847" s="86" t="s">
        <v>2284</v>
      </c>
    </row>
    <row r="848" spans="1:33" ht="97.5" hidden="1" customHeight="1">
      <c r="A848" s="127">
        <v>13</v>
      </c>
      <c r="B848" s="126" t="s">
        <v>2717</v>
      </c>
      <c r="C848"/>
      <c r="D848"/>
      <c r="E848"/>
      <c r="F848" s="102"/>
      <c r="G848" s="90" t="s">
        <v>522</v>
      </c>
      <c r="H848" s="102" t="s">
        <v>567</v>
      </c>
      <c r="I848"/>
      <c r="J848" s="4"/>
      <c r="K848"/>
      <c r="R848" s="89" t="s">
        <v>1609</v>
      </c>
      <c r="AG848" s="86" t="s">
        <v>2284</v>
      </c>
    </row>
    <row r="849" spans="1:18" hidden="1">
      <c r="A849" s="125"/>
      <c r="B849" s="79" t="s">
        <v>2718</v>
      </c>
      <c r="C849" s="55">
        <v>3100</v>
      </c>
      <c r="D849"/>
      <c r="E849"/>
      <c r="H849" s="102" t="s">
        <v>1806</v>
      </c>
      <c r="I849"/>
      <c r="J849" s="4"/>
      <c r="K849"/>
    </row>
    <row r="850" spans="1:18" hidden="1">
      <c r="A850" s="127"/>
      <c r="B850" s="130" t="s">
        <v>2719</v>
      </c>
      <c r="C850" s="55">
        <v>3267</v>
      </c>
      <c r="D850"/>
      <c r="E850"/>
      <c r="F850" s="121">
        <v>3.5299999999999998E-2</v>
      </c>
      <c r="G850" s="90" t="s">
        <v>878</v>
      </c>
      <c r="H850" s="86" t="s">
        <v>2099</v>
      </c>
      <c r="I850" s="8" t="e">
        <f>K781</f>
        <v>#REF!</v>
      </c>
      <c r="J850" s="2" t="s">
        <v>878</v>
      </c>
      <c r="K850" s="8" t="e">
        <f>F850*I850</f>
        <v>#REF!</v>
      </c>
      <c r="M850" s="102" t="s">
        <v>1123</v>
      </c>
      <c r="N850" s="86" t="s">
        <v>2276</v>
      </c>
      <c r="O850" s="86" t="s">
        <v>1124</v>
      </c>
    </row>
    <row r="851" spans="1:18" ht="33" hidden="1" customHeight="1">
      <c r="A851" s="125"/>
      <c r="B851" s="132" t="s">
        <v>2720</v>
      </c>
      <c r="C851" s="55">
        <v>1790</v>
      </c>
      <c r="D851"/>
      <c r="E851"/>
      <c r="F851" s="91">
        <v>4.59</v>
      </c>
      <c r="G851" s="90" t="s">
        <v>1670</v>
      </c>
      <c r="H851" s="86" t="s">
        <v>2100</v>
      </c>
      <c r="I851" s="8">
        <f>K1513</f>
        <v>33174.400000000001</v>
      </c>
      <c r="J851" s="2" t="s">
        <v>870</v>
      </c>
      <c r="K851" s="8">
        <f>F851*I851/1000</f>
        <v>152.27000000000001</v>
      </c>
      <c r="O851" s="86" t="s">
        <v>584</v>
      </c>
    </row>
    <row r="852" spans="1:18" ht="33" hidden="1" customHeight="1">
      <c r="A852" s="127">
        <v>14</v>
      </c>
      <c r="B852" s="133" t="s">
        <v>2889</v>
      </c>
      <c r="C852"/>
      <c r="D852"/>
      <c r="E852"/>
      <c r="F852" s="91"/>
      <c r="G852" s="90"/>
      <c r="H852" s="86"/>
      <c r="I852" s="8"/>
      <c r="J852" s="2"/>
      <c r="K852" s="8"/>
      <c r="O852" s="86"/>
    </row>
    <row r="853" spans="1:18" hidden="1">
      <c r="A853" s="125"/>
      <c r="B853" s="130" t="s">
        <v>2890</v>
      </c>
      <c r="C853" s="23" t="s">
        <v>3214</v>
      </c>
      <c r="D853"/>
      <c r="E853"/>
      <c r="F853" s="91">
        <v>3</v>
      </c>
      <c r="G853" s="90" t="s">
        <v>877</v>
      </c>
      <c r="H853" s="86" t="s">
        <v>1204</v>
      </c>
      <c r="I853" s="8">
        <v>16.5</v>
      </c>
      <c r="J853" s="2" t="s">
        <v>877</v>
      </c>
      <c r="K853" s="8">
        <f t="shared" ref="K853:K860" si="50">F853*I853</f>
        <v>49.5</v>
      </c>
      <c r="O853" s="89" t="s">
        <v>1609</v>
      </c>
      <c r="P853" s="89" t="s">
        <v>1609</v>
      </c>
    </row>
    <row r="854" spans="1:18" hidden="1">
      <c r="A854" s="127"/>
      <c r="B854" s="87" t="s">
        <v>2501</v>
      </c>
      <c r="C854" s="23" t="s">
        <v>3214</v>
      </c>
      <c r="D854"/>
      <c r="E854"/>
      <c r="F854" s="91">
        <v>12</v>
      </c>
      <c r="G854" s="90" t="s">
        <v>877</v>
      </c>
      <c r="H854" s="86" t="s">
        <v>1205</v>
      </c>
      <c r="I854" s="8">
        <v>3.85</v>
      </c>
      <c r="J854" s="2" t="s">
        <v>877</v>
      </c>
      <c r="K854" s="8">
        <f t="shared" si="50"/>
        <v>46.2</v>
      </c>
      <c r="O854" s="86" t="s">
        <v>585</v>
      </c>
    </row>
    <row r="855" spans="1:18" hidden="1">
      <c r="A855" s="125"/>
      <c r="B855" s="87" t="s">
        <v>2502</v>
      </c>
      <c r="C855" s="23" t="s">
        <v>3214</v>
      </c>
      <c r="D855"/>
      <c r="E855"/>
      <c r="F855" s="91">
        <v>2</v>
      </c>
      <c r="G855" s="90" t="s">
        <v>877</v>
      </c>
      <c r="H855" s="91" t="str">
        <f>H837</f>
        <v>TOWER BOLT RECEIVER</v>
      </c>
      <c r="I855" s="8">
        <v>5</v>
      </c>
      <c r="J855" s="2" t="s">
        <v>877</v>
      </c>
      <c r="K855" s="8">
        <f t="shared" si="50"/>
        <v>10</v>
      </c>
      <c r="M855" s="91">
        <v>0.5</v>
      </c>
      <c r="N855" s="102" t="s">
        <v>778</v>
      </c>
      <c r="O855" s="86" t="s">
        <v>76</v>
      </c>
      <c r="P855" s="91">
        <f>C16</f>
        <v>150</v>
      </c>
      <c r="Q855" s="102" t="s">
        <v>1741</v>
      </c>
      <c r="R855" s="91">
        <f>(M855*P855)</f>
        <v>75</v>
      </c>
    </row>
    <row r="856" spans="1:18" ht="52.5" hidden="1" customHeight="1">
      <c r="A856" s="127">
        <v>15</v>
      </c>
      <c r="B856" s="133" t="s">
        <v>2503</v>
      </c>
      <c r="C856" s="23"/>
      <c r="D856"/>
      <c r="E856"/>
      <c r="F856" s="91">
        <v>6</v>
      </c>
      <c r="G856" s="90" t="s">
        <v>877</v>
      </c>
      <c r="H856" s="86" t="s">
        <v>2245</v>
      </c>
      <c r="I856" s="8">
        <v>3.85</v>
      </c>
      <c r="J856" s="2" t="s">
        <v>877</v>
      </c>
      <c r="K856" s="8">
        <f t="shared" si="50"/>
        <v>23.1</v>
      </c>
      <c r="M856" s="91">
        <v>0.25</v>
      </c>
      <c r="N856" s="102" t="s">
        <v>778</v>
      </c>
      <c r="O856" s="86" t="s">
        <v>887</v>
      </c>
      <c r="P856" s="91">
        <f>C13</f>
        <v>85</v>
      </c>
      <c r="Q856" s="102" t="s">
        <v>1741</v>
      </c>
      <c r="R856" s="91">
        <f>(M856*P856)</f>
        <v>21.25</v>
      </c>
    </row>
    <row r="857" spans="1:18" hidden="1">
      <c r="A857" s="125"/>
      <c r="B857" s="87" t="s">
        <v>2504</v>
      </c>
      <c r="C857" s="23" t="s">
        <v>3214</v>
      </c>
      <c r="D857"/>
      <c r="E857"/>
      <c r="F857" s="91">
        <v>1</v>
      </c>
      <c r="G857" s="90" t="s">
        <v>877</v>
      </c>
      <c r="H857" s="86" t="s">
        <v>1211</v>
      </c>
      <c r="I857" s="8">
        <f>C10</f>
        <v>150</v>
      </c>
      <c r="J857" s="2" t="s">
        <v>877</v>
      </c>
      <c r="K857" s="8">
        <f t="shared" si="50"/>
        <v>150</v>
      </c>
      <c r="R857" s="89" t="s">
        <v>1609</v>
      </c>
    </row>
    <row r="858" spans="1:18" hidden="1">
      <c r="A858" s="127"/>
      <c r="B858" s="87" t="s">
        <v>2505</v>
      </c>
      <c r="C858" s="23" t="s">
        <v>3214</v>
      </c>
      <c r="D858"/>
      <c r="E858"/>
      <c r="F858" s="91">
        <v>1</v>
      </c>
      <c r="G858" s="90" t="s">
        <v>877</v>
      </c>
      <c r="H858" s="86" t="s">
        <v>1212</v>
      </c>
      <c r="I858" s="8">
        <f>C12</f>
        <v>95</v>
      </c>
      <c r="J858" s="2" t="s">
        <v>877</v>
      </c>
      <c r="K858" s="8">
        <f t="shared" si="50"/>
        <v>95</v>
      </c>
      <c r="O858" s="102" t="s">
        <v>1180</v>
      </c>
      <c r="R858" s="91">
        <f>SUM(R855:R856)</f>
        <v>96.25</v>
      </c>
    </row>
    <row r="859" spans="1:18" hidden="1">
      <c r="A859" s="125"/>
      <c r="B859" s="130" t="s">
        <v>2506</v>
      </c>
      <c r="C859" s="23" t="s">
        <v>3214</v>
      </c>
      <c r="D859"/>
      <c r="E859"/>
      <c r="F859" s="91">
        <v>1</v>
      </c>
      <c r="G859" s="90" t="s">
        <v>877</v>
      </c>
      <c r="H859" s="91" t="str">
        <f>H841</f>
        <v>MOULDING CHARGES</v>
      </c>
      <c r="I859" s="8">
        <v>25</v>
      </c>
      <c r="J859" s="2" t="s">
        <v>877</v>
      </c>
      <c r="K859" s="8">
        <f t="shared" si="50"/>
        <v>25</v>
      </c>
      <c r="R859" s="89" t="s">
        <v>1609</v>
      </c>
    </row>
    <row r="860" spans="1:18" hidden="1">
      <c r="A860" s="127">
        <v>16</v>
      </c>
      <c r="B860" s="133" t="s">
        <v>2507</v>
      </c>
      <c r="C860"/>
      <c r="D860"/>
      <c r="E860"/>
      <c r="F860" s="91">
        <v>0.5</v>
      </c>
      <c r="G860" s="90" t="s">
        <v>877</v>
      </c>
      <c r="H860" s="86" t="s">
        <v>1214</v>
      </c>
      <c r="I860" s="8">
        <f>C13</f>
        <v>85</v>
      </c>
      <c r="J860" s="2" t="s">
        <v>877</v>
      </c>
      <c r="K860" s="8">
        <f t="shared" si="50"/>
        <v>42.5</v>
      </c>
      <c r="O860" s="102" t="s">
        <v>1181</v>
      </c>
      <c r="R860" s="91">
        <f>R858/0.0283</f>
        <v>3401.06</v>
      </c>
    </row>
    <row r="861" spans="1:18" hidden="1">
      <c r="A861" s="134"/>
      <c r="B861" s="79" t="s">
        <v>2422</v>
      </c>
      <c r="C861" s="55">
        <v>10</v>
      </c>
      <c r="D861"/>
      <c r="E861"/>
      <c r="G861" s="90" t="s">
        <v>450</v>
      </c>
      <c r="H861" s="86" t="s">
        <v>2163</v>
      </c>
      <c r="I861"/>
      <c r="J861" s="2" t="s">
        <v>450</v>
      </c>
      <c r="K861" s="8">
        <v>0.5</v>
      </c>
      <c r="R861" s="89" t="s">
        <v>1609</v>
      </c>
    </row>
    <row r="862" spans="1:18" hidden="1">
      <c r="A862" s="134"/>
      <c r="B862" s="79" t="s">
        <v>2423</v>
      </c>
      <c r="C862" s="55">
        <v>10</v>
      </c>
      <c r="D862"/>
      <c r="E862"/>
      <c r="I862"/>
      <c r="J862" s="4"/>
      <c r="K862" s="5" t="s">
        <v>1609</v>
      </c>
    </row>
    <row r="863" spans="1:18" ht="31.5" hidden="1">
      <c r="A863" s="127">
        <v>17</v>
      </c>
      <c r="B863" s="133" t="s">
        <v>2424</v>
      </c>
      <c r="C863"/>
      <c r="D863"/>
      <c r="E863"/>
      <c r="H863" s="102" t="s">
        <v>283</v>
      </c>
      <c r="I863"/>
      <c r="J863" s="4"/>
      <c r="K863" s="8" t="e">
        <f>SUM(K850:K861)</f>
        <v>#REF!</v>
      </c>
    </row>
    <row r="864" spans="1:18" hidden="1">
      <c r="A864" s="127"/>
      <c r="B864" s="87" t="s">
        <v>2425</v>
      </c>
      <c r="C864" s="55">
        <v>170</v>
      </c>
      <c r="D864"/>
      <c r="E864"/>
      <c r="I864"/>
      <c r="J864" s="4"/>
      <c r="K864" s="5" t="s">
        <v>1609</v>
      </c>
    </row>
    <row r="865" spans="1:33" hidden="1">
      <c r="A865" s="127"/>
      <c r="B865" s="79" t="s">
        <v>2426</v>
      </c>
      <c r="C865" s="55">
        <v>170</v>
      </c>
      <c r="D865"/>
      <c r="E865"/>
      <c r="I865"/>
      <c r="J865" s="4"/>
      <c r="K865"/>
    </row>
    <row r="866" spans="1:33" hidden="1">
      <c r="A866" s="127"/>
      <c r="B866" s="79" t="s">
        <v>3286</v>
      </c>
      <c r="C866" s="55">
        <v>295</v>
      </c>
      <c r="D866"/>
      <c r="E866"/>
      <c r="I866"/>
      <c r="J866" s="4"/>
      <c r="K866"/>
    </row>
    <row r="867" spans="1:33" ht="31.5" hidden="1">
      <c r="A867" s="127"/>
      <c r="B867" s="131" t="s">
        <v>3287</v>
      </c>
      <c r="C867" s="55">
        <v>240</v>
      </c>
      <c r="D867"/>
      <c r="E867"/>
      <c r="I867"/>
      <c r="J867" s="4"/>
      <c r="K867"/>
    </row>
    <row r="868" spans="1:33" ht="142.5" hidden="1" customHeight="1">
      <c r="A868" s="127"/>
      <c r="C868"/>
      <c r="D868"/>
      <c r="E868"/>
      <c r="F868" s="135">
        <v>21.3</v>
      </c>
      <c r="G868" s="90" t="s">
        <v>2276</v>
      </c>
      <c r="H868" s="136" t="s">
        <v>1752</v>
      </c>
      <c r="I868"/>
      <c r="J868" s="4"/>
      <c r="K868"/>
      <c r="AG868" s="86" t="s">
        <v>2284</v>
      </c>
    </row>
    <row r="869" spans="1:33" hidden="1">
      <c r="A869" s="127"/>
      <c r="B869" s="79" t="s">
        <v>3288</v>
      </c>
      <c r="C869" s="23" t="s">
        <v>3289</v>
      </c>
      <c r="D869"/>
      <c r="E869"/>
      <c r="H869" s="86" t="s">
        <v>2285</v>
      </c>
      <c r="I869"/>
      <c r="J869" s="4"/>
      <c r="K869"/>
      <c r="M869" s="91">
        <v>11.64</v>
      </c>
      <c r="N869" s="86" t="s">
        <v>835</v>
      </c>
      <c r="O869" s="86" t="s">
        <v>1521</v>
      </c>
      <c r="P869" s="91">
        <v>13.66</v>
      </c>
      <c r="R869" s="91">
        <f>(M869*P869)</f>
        <v>159</v>
      </c>
      <c r="AG869" s="86" t="s">
        <v>2284</v>
      </c>
    </row>
    <row r="870" spans="1:33" hidden="1">
      <c r="A870" s="127"/>
      <c r="B870" s="79" t="s">
        <v>3290</v>
      </c>
      <c r="C870" s="23" t="s">
        <v>3289</v>
      </c>
      <c r="D870"/>
      <c r="E870"/>
      <c r="H870" s="89" t="s">
        <v>1609</v>
      </c>
      <c r="I870"/>
      <c r="J870" s="4"/>
      <c r="K870"/>
      <c r="M870" s="122">
        <v>1.62</v>
      </c>
      <c r="N870" s="86" t="s">
        <v>615</v>
      </c>
      <c r="O870" s="86" t="s">
        <v>1522</v>
      </c>
      <c r="P870" s="91">
        <v>25.46</v>
      </c>
      <c r="R870" s="91">
        <f>(M870*P870)</f>
        <v>41.25</v>
      </c>
      <c r="AG870" s="86" t="s">
        <v>2284</v>
      </c>
    </row>
    <row r="871" spans="1:33" hidden="1">
      <c r="A871" s="127"/>
      <c r="B871" s="79" t="s">
        <v>3291</v>
      </c>
      <c r="C871" s="23" t="s">
        <v>3289</v>
      </c>
      <c r="D871"/>
      <c r="E871"/>
      <c r="I871"/>
      <c r="J871" s="4"/>
      <c r="K871"/>
      <c r="M871" s="91">
        <v>48</v>
      </c>
      <c r="N871" s="86" t="s">
        <v>877</v>
      </c>
      <c r="O871" s="86" t="s">
        <v>1339</v>
      </c>
      <c r="P871" s="91">
        <v>0.5</v>
      </c>
      <c r="R871" s="91">
        <f>(M871*P871)</f>
        <v>24</v>
      </c>
      <c r="AG871" s="86" t="s">
        <v>2284</v>
      </c>
    </row>
    <row r="872" spans="1:33" hidden="1">
      <c r="A872" s="127"/>
      <c r="B872" s="79" t="s">
        <v>3292</v>
      </c>
      <c r="C872" s="23" t="s">
        <v>3289</v>
      </c>
      <c r="D872"/>
      <c r="E872"/>
      <c r="H872" s="86" t="s">
        <v>2285</v>
      </c>
      <c r="I872"/>
      <c r="J872" s="2" t="s">
        <v>615</v>
      </c>
      <c r="K872" s="8">
        <v>1450</v>
      </c>
      <c r="R872" s="91">
        <v>0.23</v>
      </c>
      <c r="AG872" s="86" t="s">
        <v>2284</v>
      </c>
    </row>
    <row r="873" spans="1:33" hidden="1">
      <c r="A873" s="127">
        <v>18</v>
      </c>
      <c r="B873" s="128" t="s">
        <v>3293</v>
      </c>
      <c r="C873"/>
      <c r="D873"/>
      <c r="E873"/>
      <c r="F873" s="86" t="s">
        <v>987</v>
      </c>
      <c r="I873"/>
      <c r="J873" s="4"/>
      <c r="K873"/>
    </row>
    <row r="874" spans="1:33" hidden="1">
      <c r="A874" s="127"/>
      <c r="B874" s="79" t="s">
        <v>3294</v>
      </c>
      <c r="C874" s="55">
        <v>113</v>
      </c>
      <c r="D874"/>
      <c r="E874"/>
      <c r="H874" s="102" t="s">
        <v>2286</v>
      </c>
      <c r="I874"/>
      <c r="J874" s="4"/>
      <c r="K874" s="5" t="s">
        <v>2080</v>
      </c>
      <c r="R874" s="89" t="s">
        <v>1609</v>
      </c>
      <c r="AG874" s="86" t="s">
        <v>2284</v>
      </c>
    </row>
    <row r="875" spans="1:33" hidden="1">
      <c r="A875" s="127"/>
      <c r="B875" s="79" t="s">
        <v>3295</v>
      </c>
      <c r="C875" s="55">
        <v>135</v>
      </c>
      <c r="D875"/>
      <c r="E875"/>
      <c r="H875" s="102" t="s">
        <v>1388</v>
      </c>
      <c r="I875"/>
      <c r="J875" s="4"/>
      <c r="K875"/>
      <c r="O875" s="102" t="s">
        <v>1340</v>
      </c>
      <c r="R875" s="91">
        <f>SUM(R869:R872)</f>
        <v>224.48</v>
      </c>
      <c r="AG875" s="86" t="s">
        <v>2284</v>
      </c>
    </row>
    <row r="876" spans="1:33" hidden="1">
      <c r="A876" s="127"/>
      <c r="B876" s="79" t="s">
        <v>3296</v>
      </c>
      <c r="C876" s="55">
        <v>180</v>
      </c>
      <c r="D876"/>
      <c r="E876"/>
      <c r="F876" s="123">
        <v>21.2</v>
      </c>
      <c r="H876" s="93" t="s">
        <v>1753</v>
      </c>
      <c r="I876"/>
      <c r="J876" s="4"/>
      <c r="K876"/>
      <c r="AG876" s="86" t="s">
        <v>2284</v>
      </c>
    </row>
    <row r="877" spans="1:33" hidden="1">
      <c r="A877" s="127"/>
      <c r="B877" s="79" t="s">
        <v>3297</v>
      </c>
      <c r="C877" s="55">
        <v>248</v>
      </c>
      <c r="D877"/>
      <c r="E877"/>
      <c r="F877" s="123"/>
      <c r="H877" s="89" t="s">
        <v>1609</v>
      </c>
      <c r="I877"/>
      <c r="J877" s="4"/>
      <c r="K877"/>
      <c r="AG877" s="86"/>
    </row>
    <row r="878" spans="1:33" hidden="1">
      <c r="A878" s="127">
        <v>19</v>
      </c>
      <c r="B878" s="79" t="s">
        <v>3298</v>
      </c>
      <c r="C878" s="23" t="s">
        <v>3289</v>
      </c>
      <c r="D878"/>
      <c r="E878"/>
      <c r="G878" s="90" t="s">
        <v>156</v>
      </c>
      <c r="H878" s="86" t="s">
        <v>1389</v>
      </c>
      <c r="I878"/>
      <c r="J878" s="4"/>
      <c r="K878" s="1" t="s">
        <v>987</v>
      </c>
      <c r="AG878" s="86" t="s">
        <v>2284</v>
      </c>
    </row>
    <row r="879" spans="1:33" hidden="1">
      <c r="A879" s="127"/>
      <c r="B879" s="79" t="s">
        <v>3299</v>
      </c>
      <c r="C879" s="23" t="s">
        <v>3289</v>
      </c>
      <c r="D879"/>
      <c r="E879"/>
      <c r="H879" s="89" t="s">
        <v>1609</v>
      </c>
      <c r="I879"/>
      <c r="J879" s="4"/>
      <c r="K879" s="1" t="s">
        <v>987</v>
      </c>
      <c r="AG879" s="86" t="s">
        <v>2284</v>
      </c>
    </row>
    <row r="880" spans="1:33" hidden="1">
      <c r="A880" s="127">
        <v>20</v>
      </c>
      <c r="B880" s="79" t="s">
        <v>2721</v>
      </c>
      <c r="C880" s="23" t="s">
        <v>3289</v>
      </c>
      <c r="D880"/>
      <c r="E880"/>
      <c r="F880" s="91">
        <v>1</v>
      </c>
      <c r="G880" s="90" t="s">
        <v>878</v>
      </c>
      <c r="H880" s="86" t="s">
        <v>1591</v>
      </c>
      <c r="I880" s="8">
        <f>C30</f>
        <v>3035</v>
      </c>
      <c r="J880" s="2" t="s">
        <v>878</v>
      </c>
      <c r="K880" s="8">
        <f>(F880*I880)</f>
        <v>3035</v>
      </c>
      <c r="AG880" s="86" t="s">
        <v>2284</v>
      </c>
    </row>
    <row r="881" spans="1:33" hidden="1">
      <c r="A881" s="127">
        <v>21</v>
      </c>
      <c r="B881" s="79" t="s">
        <v>2722</v>
      </c>
      <c r="C881" s="129" t="s">
        <v>3289</v>
      </c>
      <c r="D881"/>
      <c r="E881"/>
      <c r="F881" s="91">
        <v>1</v>
      </c>
      <c r="G881" s="90" t="s">
        <v>878</v>
      </c>
      <c r="H881" s="86" t="s">
        <v>1389</v>
      </c>
      <c r="I881" s="8">
        <f>C88</f>
        <v>65420</v>
      </c>
      <c r="J881" s="2" t="s">
        <v>878</v>
      </c>
      <c r="K881" s="8">
        <f>(F881*I881)</f>
        <v>65420</v>
      </c>
      <c r="AG881" s="86" t="s">
        <v>2284</v>
      </c>
    </row>
    <row r="882" spans="1:33" hidden="1">
      <c r="A882" s="127">
        <v>22</v>
      </c>
      <c r="B882" s="79" t="s">
        <v>2723</v>
      </c>
      <c r="C882" s="129" t="s">
        <v>3289</v>
      </c>
      <c r="D882"/>
      <c r="E882"/>
      <c r="I882"/>
      <c r="J882" s="4"/>
      <c r="K882" s="5" t="s">
        <v>2080</v>
      </c>
      <c r="AG882" s="86" t="s">
        <v>2284</v>
      </c>
    </row>
    <row r="883" spans="1:33" hidden="1">
      <c r="A883" s="127">
        <v>23</v>
      </c>
      <c r="B883" s="128" t="s">
        <v>2724</v>
      </c>
      <c r="C883"/>
      <c r="D883"/>
      <c r="E883"/>
      <c r="H883" s="86" t="s">
        <v>1592</v>
      </c>
      <c r="I883"/>
      <c r="J883" s="4"/>
      <c r="K883" s="8">
        <f>SUM(K880:K881)</f>
        <v>68455</v>
      </c>
      <c r="AG883" s="86" t="s">
        <v>2284</v>
      </c>
    </row>
    <row r="884" spans="1:33" hidden="1">
      <c r="A884" s="127"/>
      <c r="B884" s="79" t="s">
        <v>2725</v>
      </c>
      <c r="C884" s="23" t="s">
        <v>3289</v>
      </c>
      <c r="D884"/>
      <c r="E884"/>
      <c r="I884"/>
      <c r="J884" s="4"/>
      <c r="K884" s="5" t="s">
        <v>2080</v>
      </c>
      <c r="AG884" s="86" t="s">
        <v>2284</v>
      </c>
    </row>
    <row r="885" spans="1:33" hidden="1">
      <c r="A885" s="127"/>
      <c r="B885" s="79" t="s">
        <v>2726</v>
      </c>
      <c r="C885" s="23" t="s">
        <v>3289</v>
      </c>
      <c r="D885"/>
      <c r="E885"/>
      <c r="G885" s="90" t="s">
        <v>1577</v>
      </c>
      <c r="H885" s="86" t="s">
        <v>1593</v>
      </c>
      <c r="I885"/>
      <c r="J885" s="4"/>
      <c r="K885" s="1" t="s">
        <v>987</v>
      </c>
      <c r="AG885" s="86" t="s">
        <v>2284</v>
      </c>
    </row>
    <row r="886" spans="1:33" hidden="1">
      <c r="A886" s="127">
        <v>24</v>
      </c>
      <c r="B886" s="128" t="s">
        <v>2727</v>
      </c>
      <c r="C886" s="55">
        <v>18</v>
      </c>
      <c r="D886"/>
      <c r="E886"/>
      <c r="H886" s="89" t="s">
        <v>1609</v>
      </c>
      <c r="I886"/>
      <c r="J886" s="4"/>
      <c r="K886"/>
      <c r="AG886" s="86" t="s">
        <v>2284</v>
      </c>
    </row>
    <row r="887" spans="1:33" ht="51" hidden="1" customHeight="1">
      <c r="A887" s="127">
        <v>25</v>
      </c>
      <c r="B887" s="132" t="s">
        <v>2728</v>
      </c>
      <c r="C887" s="55">
        <v>300</v>
      </c>
      <c r="D887"/>
      <c r="E887"/>
      <c r="F887" s="91">
        <v>1</v>
      </c>
      <c r="G887" s="90" t="s">
        <v>878</v>
      </c>
      <c r="H887" s="86" t="s">
        <v>1591</v>
      </c>
      <c r="I887" s="8">
        <f>C30</f>
        <v>3035</v>
      </c>
      <c r="J887" s="2" t="s">
        <v>878</v>
      </c>
      <c r="K887" s="8">
        <f>(F887*I887)</f>
        <v>3035</v>
      </c>
      <c r="AG887" s="86" t="s">
        <v>2284</v>
      </c>
    </row>
    <row r="888" spans="1:33" hidden="1">
      <c r="A888" s="127">
        <v>26</v>
      </c>
      <c r="B888" s="87" t="s">
        <v>2729</v>
      </c>
      <c r="C888" s="55">
        <v>15</v>
      </c>
      <c r="D888"/>
      <c r="E888"/>
      <c r="F888" s="91">
        <v>1</v>
      </c>
      <c r="G888" s="90" t="s">
        <v>878</v>
      </c>
      <c r="H888" s="86" t="s">
        <v>1389</v>
      </c>
      <c r="I888" s="8">
        <f>C89</f>
        <v>57165</v>
      </c>
      <c r="J888" s="2" t="s">
        <v>878</v>
      </c>
      <c r="K888" s="8">
        <f>(F888*I888)</f>
        <v>57165</v>
      </c>
      <c r="AG888" s="86" t="s">
        <v>2284</v>
      </c>
    </row>
    <row r="889" spans="1:33" ht="36" hidden="1" customHeight="1">
      <c r="A889" s="127">
        <v>27</v>
      </c>
      <c r="B889" s="132" t="s">
        <v>2730</v>
      </c>
      <c r="C889" s="55">
        <v>178</v>
      </c>
      <c r="D889"/>
      <c r="E889"/>
      <c r="I889"/>
      <c r="J889" s="4"/>
      <c r="K889" s="5" t="s">
        <v>2080</v>
      </c>
      <c r="AG889" s="86" t="s">
        <v>2284</v>
      </c>
    </row>
    <row r="890" spans="1:33" ht="41.25" hidden="1" customHeight="1">
      <c r="A890" s="127"/>
      <c r="B890" s="132" t="s">
        <v>2731</v>
      </c>
      <c r="C890" s="55">
        <v>1120</v>
      </c>
      <c r="D890"/>
      <c r="E890"/>
      <c r="H890" s="86" t="s">
        <v>1594</v>
      </c>
      <c r="I890"/>
      <c r="J890" s="4"/>
      <c r="K890" s="8">
        <f>SUM(K887:K888)</f>
        <v>60200</v>
      </c>
      <c r="AG890" s="86" t="s">
        <v>2284</v>
      </c>
    </row>
    <row r="891" spans="1:33" ht="39" hidden="1" customHeight="1">
      <c r="A891" s="127"/>
      <c r="B891" s="133" t="s">
        <v>2732</v>
      </c>
      <c r="C891"/>
      <c r="D891"/>
      <c r="E891"/>
      <c r="I891"/>
      <c r="J891" s="4"/>
      <c r="K891" s="5" t="s">
        <v>2080</v>
      </c>
      <c r="AG891" s="86" t="s">
        <v>2284</v>
      </c>
    </row>
    <row r="892" spans="1:33" hidden="1">
      <c r="A892" s="127"/>
      <c r="B892" s="132" t="s">
        <v>3474</v>
      </c>
      <c r="C892" s="23" t="s">
        <v>3289</v>
      </c>
      <c r="D892"/>
      <c r="E892"/>
      <c r="I892"/>
      <c r="J892" s="4"/>
      <c r="K892"/>
      <c r="AG892" s="86" t="s">
        <v>2284</v>
      </c>
    </row>
    <row r="893" spans="1:33" hidden="1">
      <c r="A893" s="127"/>
      <c r="B893" s="132" t="s">
        <v>2591</v>
      </c>
      <c r="C893" s="23" t="s">
        <v>3289</v>
      </c>
      <c r="D893"/>
      <c r="E893"/>
      <c r="F893" s="102" t="s">
        <v>568</v>
      </c>
      <c r="G893" s="90" t="s">
        <v>2276</v>
      </c>
      <c r="H893" s="86" t="s">
        <v>254</v>
      </c>
      <c r="I893"/>
      <c r="J893" s="4"/>
      <c r="K893"/>
      <c r="AG893" s="86" t="s">
        <v>2284</v>
      </c>
    </row>
    <row r="894" spans="1:33" hidden="1">
      <c r="A894" s="127"/>
      <c r="B894" s="132" t="s">
        <v>2592</v>
      </c>
      <c r="C894" s="23" t="s">
        <v>3289</v>
      </c>
      <c r="D894"/>
      <c r="E894"/>
      <c r="H894" s="86" t="s">
        <v>255</v>
      </c>
      <c r="I894"/>
      <c r="J894" s="4"/>
      <c r="K894"/>
      <c r="AG894" s="86" t="s">
        <v>2284</v>
      </c>
    </row>
    <row r="895" spans="1:33" ht="31.5" hidden="1">
      <c r="A895" s="127"/>
      <c r="B895" s="132" t="s">
        <v>2593</v>
      </c>
      <c r="C895" s="55">
        <v>120</v>
      </c>
      <c r="D895"/>
      <c r="E895"/>
      <c r="H895" s="86" t="s">
        <v>1492</v>
      </c>
      <c r="I895"/>
      <c r="J895" s="4"/>
      <c r="K895"/>
      <c r="AG895" s="86" t="s">
        <v>2284</v>
      </c>
    </row>
    <row r="896" spans="1:33" hidden="1">
      <c r="A896" s="127"/>
      <c r="B896" s="133" t="s">
        <v>2594</v>
      </c>
      <c r="C896"/>
      <c r="D896"/>
      <c r="E896"/>
      <c r="H896" s="89" t="s">
        <v>1609</v>
      </c>
      <c r="I896"/>
      <c r="J896" s="4"/>
      <c r="K896"/>
      <c r="AG896" s="86" t="s">
        <v>2284</v>
      </c>
    </row>
    <row r="897" spans="1:33" hidden="1">
      <c r="A897" s="127"/>
      <c r="B897" s="132" t="s">
        <v>2595</v>
      </c>
      <c r="C897" s="55">
        <v>45</v>
      </c>
      <c r="D897"/>
      <c r="E897"/>
      <c r="H897" s="86" t="s">
        <v>91</v>
      </c>
      <c r="I897"/>
      <c r="J897" s="4"/>
      <c r="K897"/>
    </row>
    <row r="898" spans="1:33" hidden="1">
      <c r="A898" s="127"/>
      <c r="B898" s="132" t="s">
        <v>2596</v>
      </c>
      <c r="C898" s="55">
        <v>18</v>
      </c>
      <c r="D898"/>
      <c r="E898"/>
      <c r="H898" s="86" t="s">
        <v>92</v>
      </c>
      <c r="I898"/>
      <c r="J898" s="4"/>
      <c r="K898"/>
    </row>
    <row r="899" spans="1:33" hidden="1">
      <c r="A899" s="127"/>
      <c r="B899" s="132" t="s">
        <v>2597</v>
      </c>
      <c r="C899" s="55">
        <v>450</v>
      </c>
      <c r="D899"/>
      <c r="E899"/>
      <c r="I899"/>
      <c r="J899" s="2" t="s">
        <v>1609</v>
      </c>
      <c r="K899"/>
    </row>
    <row r="900" spans="1:33" hidden="1">
      <c r="A900" s="127"/>
      <c r="B900" s="132" t="s">
        <v>2598</v>
      </c>
      <c r="C900" s="55">
        <v>650</v>
      </c>
      <c r="D900"/>
      <c r="E900"/>
      <c r="H900" s="86" t="s">
        <v>1190</v>
      </c>
      <c r="I900"/>
      <c r="J900" s="4"/>
      <c r="K900"/>
    </row>
    <row r="901" spans="1:33" ht="47.25" hidden="1">
      <c r="A901" s="127"/>
      <c r="B901" s="132" t="s">
        <v>2599</v>
      </c>
      <c r="C901" s="55">
        <v>5000</v>
      </c>
      <c r="D901"/>
      <c r="E901"/>
      <c r="H901" s="86" t="s">
        <v>2031</v>
      </c>
      <c r="I901"/>
      <c r="J901" s="4"/>
      <c r="K901" s="12">
        <v>2.4299999999999999E-2</v>
      </c>
    </row>
    <row r="902" spans="1:33" ht="63" hidden="1">
      <c r="A902" s="127"/>
      <c r="B902" s="132" t="s">
        <v>2618</v>
      </c>
      <c r="C902" s="55">
        <v>6750</v>
      </c>
      <c r="D902"/>
      <c r="E902"/>
      <c r="I902"/>
      <c r="J902" s="2" t="s">
        <v>987</v>
      </c>
      <c r="K902" s="5" t="s">
        <v>1609</v>
      </c>
    </row>
    <row r="903" spans="1:33" ht="47.25" hidden="1">
      <c r="A903" s="127"/>
      <c r="B903" s="132" t="s">
        <v>2498</v>
      </c>
      <c r="C903" s="55">
        <v>5800</v>
      </c>
      <c r="D903"/>
      <c r="E903"/>
      <c r="H903" s="86" t="s">
        <v>2032</v>
      </c>
      <c r="I903"/>
      <c r="J903" s="137" t="s">
        <v>987</v>
      </c>
      <c r="K903" s="12">
        <v>1.47E-2</v>
      </c>
    </row>
    <row r="904" spans="1:33" hidden="1">
      <c r="A904" s="127"/>
      <c r="B904" s="132" t="s">
        <v>2499</v>
      </c>
      <c r="C904"/>
      <c r="D904"/>
      <c r="E904"/>
      <c r="H904" s="86" t="s">
        <v>1791</v>
      </c>
      <c r="I904"/>
      <c r="J904" s="2" t="s">
        <v>987</v>
      </c>
      <c r="K904" s="12">
        <v>4.5999999999999999E-3</v>
      </c>
    </row>
    <row r="905" spans="1:33" ht="47.25" hidden="1">
      <c r="A905" s="127"/>
      <c r="B905" s="132" t="s">
        <v>2500</v>
      </c>
      <c r="C905"/>
      <c r="D905"/>
      <c r="E905"/>
      <c r="I905"/>
      <c r="J905" s="4"/>
      <c r="K905" s="5" t="s">
        <v>1609</v>
      </c>
    </row>
    <row r="906" spans="1:33" ht="47.25" hidden="1">
      <c r="A906" s="127"/>
      <c r="B906" s="132" t="s">
        <v>2500</v>
      </c>
      <c r="C906"/>
      <c r="D906"/>
      <c r="E906"/>
      <c r="I906"/>
      <c r="J906" s="4"/>
      <c r="K906" s="12">
        <v>1.9300000000000001E-2</v>
      </c>
    </row>
    <row r="907" spans="1:33" ht="47.25" hidden="1">
      <c r="A907" s="127"/>
      <c r="B907" s="132" t="s">
        <v>2513</v>
      </c>
      <c r="C907"/>
      <c r="D907"/>
      <c r="E907"/>
      <c r="I907"/>
      <c r="J907" s="4"/>
      <c r="K907" s="5" t="s">
        <v>1609</v>
      </c>
    </row>
    <row r="908" spans="1:33" hidden="1">
      <c r="A908" s="127"/>
      <c r="B908" s="132" t="s">
        <v>2514</v>
      </c>
      <c r="C908"/>
      <c r="D908"/>
      <c r="E908"/>
      <c r="I908"/>
      <c r="J908" s="4"/>
      <c r="K908"/>
    </row>
    <row r="909" spans="1:33" hidden="1">
      <c r="A909" s="127"/>
      <c r="B909" s="132" t="s">
        <v>2562</v>
      </c>
      <c r="C909"/>
      <c r="D909"/>
      <c r="E909"/>
      <c r="I909"/>
      <c r="J909" s="4"/>
      <c r="K909"/>
    </row>
    <row r="910" spans="1:33" hidden="1">
      <c r="A910" s="127"/>
      <c r="B910" s="132" t="s">
        <v>3490</v>
      </c>
      <c r="C910"/>
      <c r="D910"/>
      <c r="E910"/>
      <c r="F910" s="121">
        <v>1.14E-2</v>
      </c>
      <c r="G910" s="90" t="s">
        <v>878</v>
      </c>
      <c r="H910" s="86" t="s">
        <v>309</v>
      </c>
      <c r="I910" s="8">
        <f>C88</f>
        <v>65420</v>
      </c>
      <c r="J910" s="2" t="s">
        <v>878</v>
      </c>
      <c r="K910" s="8">
        <f>(F910*I910)</f>
        <v>745.79</v>
      </c>
      <c r="AG910" s="86" t="s">
        <v>2284</v>
      </c>
    </row>
    <row r="911" spans="1:33" hidden="1">
      <c r="A911" s="127"/>
      <c r="B911" s="132" t="s">
        <v>2576</v>
      </c>
      <c r="C911"/>
      <c r="D911"/>
      <c r="E911"/>
      <c r="F911" s="121">
        <v>2.4299999999999999E-2</v>
      </c>
      <c r="G911" s="90" t="s">
        <v>878</v>
      </c>
      <c r="H911" s="86" t="s">
        <v>310</v>
      </c>
      <c r="I911" s="8">
        <f>C89</f>
        <v>57165</v>
      </c>
      <c r="J911" s="2" t="s">
        <v>878</v>
      </c>
      <c r="K911" s="8">
        <f>(F911*I911)</f>
        <v>1389.11</v>
      </c>
      <c r="AG911" s="86" t="s">
        <v>2284</v>
      </c>
    </row>
    <row r="912" spans="1:33" hidden="1">
      <c r="A912" s="127"/>
      <c r="B912" s="132" t="s">
        <v>2577</v>
      </c>
      <c r="C912"/>
      <c r="D912"/>
      <c r="E912"/>
      <c r="F912" s="121">
        <v>1.9300000000000001E-2</v>
      </c>
      <c r="G912" s="90" t="s">
        <v>878</v>
      </c>
      <c r="H912" s="86" t="s">
        <v>311</v>
      </c>
      <c r="I912" s="8">
        <f>C90</f>
        <v>63870</v>
      </c>
      <c r="J912" s="2" t="s">
        <v>878</v>
      </c>
      <c r="K912" s="8">
        <f>(F912*I912)</f>
        <v>1232.69</v>
      </c>
      <c r="AG912" s="86" t="s">
        <v>2284</v>
      </c>
    </row>
    <row r="913" spans="1:33" hidden="1">
      <c r="A913" s="127"/>
      <c r="B913" s="132" t="s">
        <v>2578</v>
      </c>
      <c r="C913"/>
      <c r="D913"/>
      <c r="E913"/>
      <c r="F913" s="122"/>
      <c r="H913" s="86" t="s">
        <v>447</v>
      </c>
      <c r="I913" s="1" t="s">
        <v>987</v>
      </c>
      <c r="J913" s="4"/>
      <c r="K913" s="1" t="s">
        <v>987</v>
      </c>
      <c r="AG913" s="86" t="s">
        <v>2284</v>
      </c>
    </row>
    <row r="914" spans="1:33" hidden="1">
      <c r="A914" s="127"/>
      <c r="B914" s="132" t="s">
        <v>2579</v>
      </c>
      <c r="C914"/>
      <c r="D914"/>
      <c r="E914"/>
      <c r="F914" s="122">
        <v>1.823</v>
      </c>
      <c r="G914" s="90" t="s">
        <v>615</v>
      </c>
      <c r="H914" s="86" t="s">
        <v>448</v>
      </c>
      <c r="I914" s="8">
        <f>C31</f>
        <v>342</v>
      </c>
      <c r="J914" s="2" t="s">
        <v>615</v>
      </c>
      <c r="K914" s="8">
        <f t="shared" ref="K914:K920" si="51">(F914*I914)</f>
        <v>623.47</v>
      </c>
      <c r="AG914" s="86" t="s">
        <v>2284</v>
      </c>
    </row>
    <row r="915" spans="1:33" hidden="1">
      <c r="A915" s="127"/>
      <c r="B915" s="132" t="s">
        <v>2580</v>
      </c>
      <c r="C915"/>
      <c r="D915"/>
      <c r="E915"/>
      <c r="F915" s="91">
        <v>1</v>
      </c>
      <c r="G915" s="90" t="s">
        <v>778</v>
      </c>
      <c r="H915" s="86" t="s">
        <v>1485</v>
      </c>
      <c r="I915" s="8">
        <f>C576</f>
        <v>30</v>
      </c>
      <c r="J915" s="2" t="s">
        <v>877</v>
      </c>
      <c r="K915" s="8">
        <f t="shared" si="51"/>
        <v>30</v>
      </c>
      <c r="AG915" s="86" t="s">
        <v>2284</v>
      </c>
    </row>
    <row r="916" spans="1:33" ht="31.5" hidden="1">
      <c r="A916" s="127"/>
      <c r="B916" s="132" t="s">
        <v>2581</v>
      </c>
      <c r="C916"/>
      <c r="D916"/>
      <c r="E916"/>
      <c r="F916" s="91">
        <v>3</v>
      </c>
      <c r="G916" s="90" t="s">
        <v>877</v>
      </c>
      <c r="H916" s="86" t="s">
        <v>1486</v>
      </c>
      <c r="I916" s="8">
        <f>C278</f>
        <v>45</v>
      </c>
      <c r="J916" s="2" t="s">
        <v>877</v>
      </c>
      <c r="K916" s="8">
        <f t="shared" si="51"/>
        <v>135</v>
      </c>
      <c r="AG916" s="86" t="s">
        <v>2284</v>
      </c>
    </row>
    <row r="917" spans="1:33" ht="31.5" hidden="1">
      <c r="A917" s="127"/>
      <c r="B917" s="132" t="s">
        <v>2582</v>
      </c>
      <c r="C917"/>
      <c r="D917"/>
      <c r="E917"/>
      <c r="F917" s="91">
        <v>2</v>
      </c>
      <c r="G917" s="90" t="s">
        <v>877</v>
      </c>
      <c r="H917" s="86" t="s">
        <v>1487</v>
      </c>
      <c r="I917" s="8">
        <f>C283</f>
        <v>30</v>
      </c>
      <c r="J917" s="2" t="s">
        <v>877</v>
      </c>
      <c r="K917" s="8">
        <f t="shared" si="51"/>
        <v>60</v>
      </c>
      <c r="AG917" s="86" t="s">
        <v>2284</v>
      </c>
    </row>
    <row r="918" spans="1:33" ht="31.5" hidden="1">
      <c r="A918" s="127"/>
      <c r="B918" s="132" t="s">
        <v>2583</v>
      </c>
      <c r="C918"/>
      <c r="D918"/>
      <c r="E918"/>
      <c r="F918" s="91">
        <v>1</v>
      </c>
      <c r="G918" s="90" t="s">
        <v>877</v>
      </c>
      <c r="H918" s="86" t="s">
        <v>1488</v>
      </c>
      <c r="I918" s="8">
        <f>C285</f>
        <v>95</v>
      </c>
      <c r="J918" s="2" t="s">
        <v>877</v>
      </c>
      <c r="K918" s="8">
        <f t="shared" si="51"/>
        <v>95</v>
      </c>
      <c r="AG918" s="86" t="s">
        <v>2284</v>
      </c>
    </row>
    <row r="919" spans="1:33" hidden="1">
      <c r="A919" s="127"/>
      <c r="B919" s="132" t="s">
        <v>2584</v>
      </c>
      <c r="C919"/>
      <c r="D919"/>
      <c r="E919"/>
      <c r="F919" s="91">
        <v>1</v>
      </c>
      <c r="G919" s="90" t="s">
        <v>877</v>
      </c>
      <c r="H919" s="86" t="s">
        <v>1489</v>
      </c>
      <c r="I919" s="8">
        <f>C287</f>
        <v>8</v>
      </c>
      <c r="J919" s="2" t="s">
        <v>877</v>
      </c>
      <c r="K919" s="8">
        <f t="shared" si="51"/>
        <v>8</v>
      </c>
      <c r="AG919" s="86" t="s">
        <v>2284</v>
      </c>
    </row>
    <row r="920" spans="1:33" hidden="1">
      <c r="A920" s="127"/>
      <c r="B920" s="132" t="s">
        <v>2613</v>
      </c>
      <c r="C920"/>
      <c r="D920"/>
      <c r="E920"/>
      <c r="F920" s="91">
        <v>1</v>
      </c>
      <c r="G920" s="90" t="s">
        <v>877</v>
      </c>
      <c r="H920" s="86" t="s">
        <v>2007</v>
      </c>
      <c r="I920" s="8">
        <f>D576</f>
        <v>25</v>
      </c>
      <c r="J920" s="2" t="s">
        <v>877</v>
      </c>
      <c r="K920" s="8">
        <f t="shared" si="51"/>
        <v>25</v>
      </c>
      <c r="AG920" s="86" t="s">
        <v>2284</v>
      </c>
    </row>
    <row r="921" spans="1:33" hidden="1">
      <c r="A921" s="127"/>
      <c r="B921" s="132" t="s">
        <v>2614</v>
      </c>
      <c r="C921"/>
      <c r="D921"/>
      <c r="E921"/>
      <c r="I921"/>
      <c r="J921" s="4"/>
      <c r="K921" s="5" t="s">
        <v>1609</v>
      </c>
      <c r="AG921" s="86" t="s">
        <v>2284</v>
      </c>
    </row>
    <row r="922" spans="1:33" ht="31.5" hidden="1">
      <c r="A922" s="127"/>
      <c r="B922" s="132" t="s">
        <v>2615</v>
      </c>
      <c r="C922"/>
      <c r="D922"/>
      <c r="E922"/>
      <c r="H922" s="86" t="s">
        <v>1490</v>
      </c>
      <c r="I922"/>
      <c r="J922" s="4"/>
      <c r="K922" s="8">
        <f>SUM(K910:K920)</f>
        <v>4344.0600000000004</v>
      </c>
      <c r="AG922" s="86" t="s">
        <v>2284</v>
      </c>
    </row>
    <row r="923" spans="1:33" hidden="1">
      <c r="A923" s="127"/>
      <c r="B923" s="132" t="s">
        <v>3031</v>
      </c>
      <c r="C923"/>
      <c r="D923"/>
      <c r="E923"/>
      <c r="I923"/>
      <c r="J923" s="4"/>
      <c r="K923" s="5" t="s">
        <v>1609</v>
      </c>
      <c r="AG923" s="86" t="s">
        <v>2284</v>
      </c>
    </row>
    <row r="924" spans="1:33" hidden="1">
      <c r="A924" s="127"/>
      <c r="B924" s="132" t="s">
        <v>3032</v>
      </c>
      <c r="C924"/>
      <c r="D924"/>
      <c r="E924"/>
      <c r="H924" s="86" t="s">
        <v>556</v>
      </c>
      <c r="I924"/>
      <c r="J924" s="4"/>
      <c r="K924" s="8">
        <f>K922/F914</f>
        <v>2382.92</v>
      </c>
      <c r="AG924" s="86" t="s">
        <v>2284</v>
      </c>
    </row>
    <row r="925" spans="1:33" hidden="1">
      <c r="A925" s="127"/>
      <c r="B925" s="132" t="s">
        <v>3033</v>
      </c>
      <c r="C925"/>
      <c r="D925"/>
      <c r="E925"/>
      <c r="F925" s="86" t="s">
        <v>987</v>
      </c>
      <c r="I925"/>
      <c r="J925" s="4"/>
      <c r="K925"/>
    </row>
    <row r="926" spans="1:33" hidden="1">
      <c r="A926" s="127"/>
      <c r="B926" s="132" t="s">
        <v>3034</v>
      </c>
      <c r="C926"/>
      <c r="D926"/>
      <c r="E926"/>
      <c r="I926"/>
      <c r="J926" s="4"/>
      <c r="K926" s="5" t="s">
        <v>2080</v>
      </c>
      <c r="AG926" s="86" t="s">
        <v>2284</v>
      </c>
    </row>
    <row r="927" spans="1:33" hidden="1">
      <c r="A927" s="127"/>
      <c r="B927" s="132" t="s">
        <v>3035</v>
      </c>
      <c r="C927"/>
      <c r="D927"/>
      <c r="E927"/>
      <c r="I927"/>
      <c r="J927" s="4"/>
      <c r="K927"/>
    </row>
    <row r="928" spans="1:33" hidden="1">
      <c r="A928" s="127"/>
      <c r="B928" s="132" t="s">
        <v>3036</v>
      </c>
      <c r="C928"/>
      <c r="D928"/>
      <c r="E928"/>
      <c r="I928"/>
      <c r="J928" s="4"/>
      <c r="K928"/>
    </row>
    <row r="929" spans="1:33" hidden="1">
      <c r="A929" s="127"/>
      <c r="B929" s="132" t="s">
        <v>3037</v>
      </c>
      <c r="C929"/>
      <c r="D929"/>
      <c r="E929"/>
      <c r="F929" s="102" t="s">
        <v>1358</v>
      </c>
      <c r="G929" s="90" t="s">
        <v>2276</v>
      </c>
      <c r="H929" s="86" t="s">
        <v>254</v>
      </c>
      <c r="I929"/>
      <c r="J929" s="4"/>
      <c r="K929"/>
      <c r="AG929" s="86" t="s">
        <v>2284</v>
      </c>
    </row>
    <row r="930" spans="1:33" ht="16.5" hidden="1" customHeight="1">
      <c r="A930" s="127"/>
      <c r="B930" s="132" t="s">
        <v>3038</v>
      </c>
      <c r="C930"/>
      <c r="D930"/>
      <c r="E930"/>
      <c r="H930" s="86" t="s">
        <v>255</v>
      </c>
      <c r="I930"/>
      <c r="J930" s="4"/>
      <c r="K930"/>
      <c r="AG930" s="86" t="s">
        <v>2284</v>
      </c>
    </row>
    <row r="931" spans="1:33" ht="15.75" hidden="1" customHeight="1">
      <c r="A931" s="127"/>
      <c r="B931" s="132" t="s">
        <v>3039</v>
      </c>
      <c r="C931"/>
      <c r="D931"/>
      <c r="E931"/>
      <c r="H931" s="86" t="s">
        <v>1493</v>
      </c>
      <c r="I931"/>
      <c r="J931" s="4"/>
      <c r="K931"/>
      <c r="AG931" s="86" t="s">
        <v>2284</v>
      </c>
    </row>
    <row r="932" spans="1:33" hidden="1">
      <c r="A932" s="127"/>
      <c r="B932" s="132" t="s">
        <v>3040</v>
      </c>
      <c r="C932"/>
      <c r="D932"/>
      <c r="E932"/>
      <c r="H932" s="89" t="s">
        <v>1609</v>
      </c>
      <c r="I932"/>
      <c r="J932" s="4"/>
      <c r="K932"/>
      <c r="AG932" s="86" t="s">
        <v>2284</v>
      </c>
    </row>
    <row r="933" spans="1:33" hidden="1">
      <c r="A933" s="127"/>
      <c r="B933" s="132" t="s">
        <v>3041</v>
      </c>
      <c r="C933"/>
      <c r="D933"/>
      <c r="E933"/>
      <c r="I933"/>
      <c r="J933" s="4"/>
      <c r="K933"/>
    </row>
    <row r="934" spans="1:33" ht="20.25" hidden="1" customHeight="1">
      <c r="A934" s="127"/>
      <c r="B934" s="132" t="s">
        <v>3042</v>
      </c>
      <c r="C934"/>
      <c r="D934"/>
      <c r="E934"/>
      <c r="H934" s="86" t="s">
        <v>650</v>
      </c>
      <c r="I934"/>
      <c r="J934" s="4"/>
      <c r="K934"/>
    </row>
    <row r="935" spans="1:33" hidden="1">
      <c r="A935" s="127"/>
      <c r="B935" s="132" t="s">
        <v>2649</v>
      </c>
      <c r="C935"/>
      <c r="D935"/>
      <c r="E935"/>
      <c r="H935" s="86" t="s">
        <v>651</v>
      </c>
      <c r="I935"/>
      <c r="J935" s="4"/>
      <c r="K935"/>
    </row>
    <row r="936" spans="1:33" hidden="1">
      <c r="A936" s="127"/>
      <c r="B936" s="132" t="s">
        <v>2650</v>
      </c>
      <c r="C936"/>
      <c r="D936"/>
      <c r="E936"/>
      <c r="I936"/>
      <c r="J936" s="2" t="s">
        <v>1609</v>
      </c>
      <c r="K936"/>
    </row>
    <row r="937" spans="1:33" hidden="1">
      <c r="A937" s="127"/>
      <c r="B937" s="132" t="s">
        <v>2651</v>
      </c>
      <c r="C937"/>
      <c r="D937"/>
      <c r="E937"/>
      <c r="H937" s="86" t="s">
        <v>652</v>
      </c>
      <c r="I937"/>
      <c r="J937" s="4"/>
      <c r="K937"/>
    </row>
    <row r="938" spans="1:33" hidden="1">
      <c r="A938" s="127"/>
      <c r="B938" s="132" t="s">
        <v>2652</v>
      </c>
      <c r="C938"/>
      <c r="D938"/>
      <c r="E938"/>
      <c r="H938" s="86" t="s">
        <v>653</v>
      </c>
      <c r="I938"/>
      <c r="J938" s="4"/>
      <c r="K938" s="12">
        <v>2.1999999999999999E-2</v>
      </c>
    </row>
    <row r="939" spans="1:33" hidden="1">
      <c r="A939" s="127"/>
      <c r="B939" s="132" t="s">
        <v>2653</v>
      </c>
      <c r="C939"/>
      <c r="D939"/>
      <c r="E939"/>
      <c r="I939"/>
      <c r="J939" s="2" t="s">
        <v>987</v>
      </c>
      <c r="K939" s="5" t="s">
        <v>1609</v>
      </c>
    </row>
    <row r="940" spans="1:33" ht="31.5" hidden="1">
      <c r="A940" s="127"/>
      <c r="B940" s="132" t="s">
        <v>2713</v>
      </c>
      <c r="C940"/>
      <c r="D940"/>
      <c r="E940"/>
      <c r="H940" s="86" t="s">
        <v>868</v>
      </c>
      <c r="I940"/>
      <c r="J940" s="137" t="s">
        <v>987</v>
      </c>
      <c r="K940" s="12">
        <v>1.3100000000000001E-2</v>
      </c>
    </row>
    <row r="941" spans="1:33" ht="31.5" hidden="1">
      <c r="A941" s="127"/>
      <c r="B941" s="132" t="s">
        <v>3182</v>
      </c>
      <c r="C941"/>
      <c r="D941"/>
      <c r="E941"/>
      <c r="H941" s="86" t="s">
        <v>2177</v>
      </c>
      <c r="I941"/>
      <c r="J941" s="2" t="s">
        <v>987</v>
      </c>
      <c r="K941" s="12">
        <v>3.3999999999999998E-3</v>
      </c>
    </row>
    <row r="942" spans="1:33" ht="31.5" hidden="1">
      <c r="A942" s="127"/>
      <c r="B942" s="132" t="s">
        <v>3011</v>
      </c>
      <c r="C942"/>
      <c r="D942"/>
      <c r="E942"/>
      <c r="I942"/>
      <c r="J942" s="4"/>
      <c r="K942" s="5" t="s">
        <v>1609</v>
      </c>
    </row>
    <row r="943" spans="1:33" ht="31.5" hidden="1">
      <c r="A943" s="127"/>
      <c r="B943" s="132" t="s">
        <v>3012</v>
      </c>
      <c r="C943"/>
      <c r="D943"/>
      <c r="E943"/>
      <c r="I943"/>
      <c r="J943" s="4"/>
      <c r="K943" s="12">
        <v>1.6500000000000001E-2</v>
      </c>
    </row>
    <row r="944" spans="1:33" hidden="1">
      <c r="A944" s="127"/>
      <c r="B944" s="132" t="s">
        <v>3013</v>
      </c>
      <c r="C944"/>
      <c r="D944"/>
      <c r="E944"/>
      <c r="I944"/>
      <c r="J944" s="4"/>
      <c r="K944" s="5" t="s">
        <v>1609</v>
      </c>
    </row>
    <row r="945" spans="1:33" hidden="1">
      <c r="A945" s="127"/>
      <c r="B945" s="132" t="s">
        <v>3014</v>
      </c>
      <c r="C945"/>
      <c r="D945"/>
      <c r="E945"/>
      <c r="F945" s="121">
        <v>1.15E-2</v>
      </c>
      <c r="G945" s="90" t="s">
        <v>878</v>
      </c>
      <c r="H945" s="86" t="s">
        <v>309</v>
      </c>
      <c r="I945" s="8">
        <f>C88</f>
        <v>65420</v>
      </c>
      <c r="J945" s="2" t="s">
        <v>878</v>
      </c>
      <c r="K945" s="8">
        <f>(F945*I945)</f>
        <v>752.33</v>
      </c>
      <c r="AG945" s="86" t="s">
        <v>2284</v>
      </c>
    </row>
    <row r="946" spans="1:33" hidden="1">
      <c r="A946" s="127"/>
      <c r="B946" s="132" t="s">
        <v>3015</v>
      </c>
      <c r="C946"/>
      <c r="D946"/>
      <c r="E946"/>
      <c r="F946" s="121">
        <v>2.1999999999999999E-2</v>
      </c>
      <c r="G946" s="90" t="s">
        <v>878</v>
      </c>
      <c r="H946" s="86" t="s">
        <v>310</v>
      </c>
      <c r="I946" s="8">
        <f>C89</f>
        <v>57165</v>
      </c>
      <c r="J946" s="2" t="s">
        <v>878</v>
      </c>
      <c r="K946" s="8">
        <f>(F946*I946)</f>
        <v>1257.6300000000001</v>
      </c>
      <c r="AG946" s="86" t="s">
        <v>2284</v>
      </c>
    </row>
    <row r="947" spans="1:33" hidden="1">
      <c r="A947" s="127"/>
      <c r="B947" s="132" t="s">
        <v>3016</v>
      </c>
      <c r="C947"/>
      <c r="D947"/>
      <c r="E947"/>
      <c r="F947" s="121">
        <v>1.6500000000000001E-2</v>
      </c>
      <c r="G947" s="90" t="s">
        <v>878</v>
      </c>
      <c r="H947" s="86" t="s">
        <v>311</v>
      </c>
      <c r="I947" s="8">
        <f>C90</f>
        <v>63870</v>
      </c>
      <c r="J947" s="2" t="s">
        <v>878</v>
      </c>
      <c r="K947" s="8">
        <f>(F947*I947)</f>
        <v>1053.8599999999999</v>
      </c>
      <c r="AG947" s="86" t="s">
        <v>2284</v>
      </c>
    </row>
    <row r="948" spans="1:33" ht="31.5" hidden="1">
      <c r="A948" s="127"/>
      <c r="B948" s="132" t="s">
        <v>2447</v>
      </c>
      <c r="C948"/>
      <c r="D948"/>
      <c r="E948"/>
      <c r="F948" s="121"/>
      <c r="H948" s="86" t="s">
        <v>447</v>
      </c>
      <c r="I948" s="1" t="s">
        <v>987</v>
      </c>
      <c r="J948" s="4"/>
      <c r="K948" s="1" t="s">
        <v>987</v>
      </c>
      <c r="AG948" s="86" t="s">
        <v>2284</v>
      </c>
    </row>
    <row r="949" spans="1:33" ht="31.5" hidden="1">
      <c r="A949" s="127"/>
      <c r="B949" s="132" t="s">
        <v>2448</v>
      </c>
      <c r="C949"/>
      <c r="D949"/>
      <c r="E949"/>
      <c r="F949" s="121">
        <v>1.64</v>
      </c>
      <c r="G949" s="90" t="s">
        <v>615</v>
      </c>
      <c r="H949" s="86" t="s">
        <v>448</v>
      </c>
      <c r="I949" s="8">
        <f>C31</f>
        <v>342</v>
      </c>
      <c r="J949" s="2" t="s">
        <v>615</v>
      </c>
      <c r="K949" s="8">
        <f t="shared" ref="K949:K955" si="52">(F949*I949)</f>
        <v>560.88</v>
      </c>
      <c r="AG949" s="86" t="s">
        <v>2284</v>
      </c>
    </row>
    <row r="950" spans="1:33" ht="31.5" hidden="1">
      <c r="A950" s="127"/>
      <c r="B950" s="132" t="s">
        <v>3183</v>
      </c>
      <c r="C950"/>
      <c r="D950"/>
      <c r="E950"/>
      <c r="F950" s="91">
        <v>1</v>
      </c>
      <c r="G950" s="90" t="s">
        <v>778</v>
      </c>
      <c r="H950" s="86" t="s">
        <v>1485</v>
      </c>
      <c r="I950" s="8">
        <f>C576</f>
        <v>30</v>
      </c>
      <c r="J950" s="2" t="s">
        <v>877</v>
      </c>
      <c r="K950" s="8">
        <f t="shared" si="52"/>
        <v>30</v>
      </c>
      <c r="AG950" s="86" t="s">
        <v>2284</v>
      </c>
    </row>
    <row r="951" spans="1:33" ht="31.5" hidden="1">
      <c r="A951" s="127"/>
      <c r="B951" s="132" t="s">
        <v>3184</v>
      </c>
      <c r="C951"/>
      <c r="D951"/>
      <c r="E951"/>
      <c r="F951" s="91">
        <v>3</v>
      </c>
      <c r="G951" s="90" t="s">
        <v>877</v>
      </c>
      <c r="H951" s="86" t="s">
        <v>1486</v>
      </c>
      <c r="I951" s="8">
        <f>C278</f>
        <v>45</v>
      </c>
      <c r="J951" s="2" t="s">
        <v>877</v>
      </c>
      <c r="K951" s="8">
        <f t="shared" si="52"/>
        <v>135</v>
      </c>
      <c r="AG951" s="86" t="s">
        <v>2284</v>
      </c>
    </row>
    <row r="952" spans="1:33" ht="31.5" hidden="1">
      <c r="A952" s="127"/>
      <c r="B952" s="132" t="s">
        <v>3194</v>
      </c>
      <c r="C952"/>
      <c r="D952"/>
      <c r="E952"/>
      <c r="F952" s="91">
        <v>2</v>
      </c>
      <c r="G952" s="90" t="s">
        <v>877</v>
      </c>
      <c r="H952" s="86" t="s">
        <v>1487</v>
      </c>
      <c r="I952" s="8">
        <f>C283</f>
        <v>30</v>
      </c>
      <c r="J952" s="2" t="s">
        <v>877</v>
      </c>
      <c r="K952" s="8">
        <f t="shared" si="52"/>
        <v>60</v>
      </c>
      <c r="AG952" s="86" t="s">
        <v>322</v>
      </c>
    </row>
    <row r="953" spans="1:33" ht="31.5" hidden="1">
      <c r="A953" s="127"/>
      <c r="B953" s="132" t="s">
        <v>3195</v>
      </c>
      <c r="C953"/>
      <c r="D953"/>
      <c r="E953"/>
      <c r="F953" s="91">
        <v>1</v>
      </c>
      <c r="G953" s="90" t="s">
        <v>877</v>
      </c>
      <c r="H953" s="86" t="s">
        <v>1488</v>
      </c>
      <c r="I953" s="8">
        <f>C285</f>
        <v>95</v>
      </c>
      <c r="J953" s="2" t="s">
        <v>877</v>
      </c>
      <c r="K953" s="8">
        <f t="shared" si="52"/>
        <v>95</v>
      </c>
    </row>
    <row r="954" spans="1:33" ht="31.5" hidden="1">
      <c r="A954" s="127"/>
      <c r="B954" s="132" t="s">
        <v>3196</v>
      </c>
      <c r="C954"/>
      <c r="D954"/>
      <c r="E954"/>
      <c r="F954" s="91">
        <v>1</v>
      </c>
      <c r="G954" s="90" t="s">
        <v>877</v>
      </c>
      <c r="H954" s="86" t="s">
        <v>1489</v>
      </c>
      <c r="I954" s="8">
        <f>C287</f>
        <v>8</v>
      </c>
      <c r="J954" s="2" t="s">
        <v>877</v>
      </c>
      <c r="K954" s="8">
        <f t="shared" si="52"/>
        <v>8</v>
      </c>
    </row>
    <row r="955" spans="1:33" ht="31.5" hidden="1">
      <c r="A955" s="127"/>
      <c r="B955" s="132" t="s">
        <v>3197</v>
      </c>
      <c r="C955"/>
      <c r="D955"/>
      <c r="E955"/>
      <c r="F955" s="91">
        <v>1</v>
      </c>
      <c r="G955" s="90" t="s">
        <v>877</v>
      </c>
      <c r="H955" s="86" t="s">
        <v>2007</v>
      </c>
      <c r="I955" s="8">
        <f>D576</f>
        <v>25</v>
      </c>
      <c r="J955" s="2" t="s">
        <v>877</v>
      </c>
      <c r="K955" s="8">
        <f t="shared" si="52"/>
        <v>25</v>
      </c>
      <c r="AG955" s="86" t="s">
        <v>2284</v>
      </c>
    </row>
    <row r="956" spans="1:33" ht="31.5" hidden="1">
      <c r="A956" s="127"/>
      <c r="B956" s="132" t="s">
        <v>3198</v>
      </c>
      <c r="C956"/>
      <c r="D956"/>
      <c r="E956"/>
      <c r="I956"/>
      <c r="J956" s="4"/>
      <c r="K956" s="5" t="s">
        <v>1609</v>
      </c>
      <c r="AG956" s="86" t="s">
        <v>2284</v>
      </c>
    </row>
    <row r="957" spans="1:33" ht="31.5" hidden="1">
      <c r="A957" s="127"/>
      <c r="B957" s="132" t="s">
        <v>3199</v>
      </c>
      <c r="C957"/>
      <c r="D957"/>
      <c r="E957"/>
      <c r="H957" s="86" t="s">
        <v>2178</v>
      </c>
      <c r="I957"/>
      <c r="J957" s="4"/>
      <c r="K957" s="8">
        <f>SUM(K945:K955)</f>
        <v>3977.7</v>
      </c>
      <c r="AG957" s="86" t="s">
        <v>2284</v>
      </c>
    </row>
    <row r="958" spans="1:33" ht="31.5" hidden="1">
      <c r="A958" s="127"/>
      <c r="B958" s="132" t="s">
        <v>3200</v>
      </c>
      <c r="C958"/>
      <c r="D958"/>
      <c r="E958"/>
      <c r="I958"/>
      <c r="J958" s="4"/>
      <c r="K958" s="5" t="s">
        <v>1609</v>
      </c>
      <c r="AG958" s="86" t="s">
        <v>2284</v>
      </c>
    </row>
    <row r="959" spans="1:33" ht="31.5" hidden="1">
      <c r="A959" s="127"/>
      <c r="B959" s="132" t="s">
        <v>3250</v>
      </c>
      <c r="C959"/>
      <c r="D959"/>
      <c r="E959"/>
      <c r="H959" s="86" t="s">
        <v>556</v>
      </c>
      <c r="I959"/>
      <c r="J959" s="4"/>
      <c r="K959" s="8">
        <f>K957/F949</f>
        <v>2425.4299999999998</v>
      </c>
      <c r="AG959" s="86" t="s">
        <v>2284</v>
      </c>
    </row>
    <row r="960" spans="1:33" ht="31.5" hidden="1">
      <c r="A960" s="127"/>
      <c r="B960" s="132" t="s">
        <v>3251</v>
      </c>
      <c r="C960"/>
      <c r="D960"/>
      <c r="E960"/>
      <c r="I960"/>
      <c r="J960" s="4"/>
      <c r="K960" s="5" t="s">
        <v>2080</v>
      </c>
      <c r="AG960" s="86" t="s">
        <v>2284</v>
      </c>
    </row>
    <row r="961" spans="1:11" ht="31.5" hidden="1">
      <c r="A961" s="127"/>
      <c r="B961" s="132" t="s">
        <v>3252</v>
      </c>
      <c r="C961"/>
      <c r="D961"/>
      <c r="E961"/>
      <c r="F961" s="102" t="s">
        <v>1357</v>
      </c>
      <c r="G961" s="90" t="s">
        <v>2276</v>
      </c>
      <c r="H961" s="86" t="s">
        <v>254</v>
      </c>
      <c r="I961"/>
      <c r="J961" s="4"/>
      <c r="K961"/>
    </row>
    <row r="962" spans="1:11" ht="31.5" hidden="1">
      <c r="A962" s="127"/>
      <c r="B962" s="132" t="s">
        <v>3006</v>
      </c>
      <c r="C962"/>
      <c r="D962"/>
      <c r="E962"/>
      <c r="H962" s="86" t="s">
        <v>255</v>
      </c>
      <c r="I962"/>
      <c r="J962" s="4"/>
      <c r="K962"/>
    </row>
    <row r="963" spans="1:11" hidden="1">
      <c r="A963" s="127"/>
      <c r="B963" s="132" t="s">
        <v>3007</v>
      </c>
      <c r="C963"/>
      <c r="D963"/>
      <c r="E963"/>
      <c r="H963" s="86" t="s">
        <v>1494</v>
      </c>
      <c r="I963"/>
      <c r="J963" s="4"/>
      <c r="K963"/>
    </row>
    <row r="964" spans="1:11" hidden="1">
      <c r="A964" s="127"/>
      <c r="B964" s="132" t="s">
        <v>3008</v>
      </c>
      <c r="C964"/>
      <c r="D964"/>
      <c r="E964"/>
      <c r="H964" s="89" t="s">
        <v>1609</v>
      </c>
      <c r="I964"/>
      <c r="J964" s="4"/>
      <c r="K964"/>
    </row>
    <row r="965" spans="1:11" hidden="1">
      <c r="A965" s="127"/>
      <c r="B965" s="132" t="s">
        <v>3009</v>
      </c>
      <c r="C965"/>
      <c r="D965"/>
      <c r="E965"/>
      <c r="H965" s="86" t="s">
        <v>2179</v>
      </c>
      <c r="I965"/>
      <c r="J965" s="4"/>
      <c r="K965"/>
    </row>
    <row r="966" spans="1:11" hidden="1">
      <c r="A966" s="127"/>
      <c r="B966" s="132" t="s">
        <v>3010</v>
      </c>
      <c r="C966"/>
      <c r="D966"/>
      <c r="E966"/>
      <c r="H966" s="86" t="s">
        <v>92</v>
      </c>
      <c r="I966"/>
      <c r="J966" s="4"/>
      <c r="K966"/>
    </row>
    <row r="967" spans="1:11" hidden="1">
      <c r="A967" s="127"/>
      <c r="B967" s="132" t="s">
        <v>3225</v>
      </c>
      <c r="C967"/>
      <c r="D967"/>
      <c r="E967"/>
      <c r="I967"/>
      <c r="J967" s="2" t="s">
        <v>1609</v>
      </c>
      <c r="K967"/>
    </row>
    <row r="968" spans="1:11" hidden="1">
      <c r="A968" s="127"/>
      <c r="B968" s="132" t="s">
        <v>3226</v>
      </c>
      <c r="C968"/>
      <c r="D968"/>
      <c r="E968"/>
      <c r="H968" s="86" t="s">
        <v>2180</v>
      </c>
      <c r="I968"/>
      <c r="J968" s="4"/>
      <c r="K968"/>
    </row>
    <row r="969" spans="1:11" hidden="1">
      <c r="A969" s="127"/>
      <c r="B969" s="132" t="s">
        <v>3227</v>
      </c>
      <c r="C969"/>
      <c r="D969"/>
      <c r="E969"/>
      <c r="H969" s="86" t="s">
        <v>460</v>
      </c>
      <c r="I969"/>
      <c r="J969" s="4"/>
      <c r="K969" s="12">
        <v>1.1900000000000001E-2</v>
      </c>
    </row>
    <row r="970" spans="1:11" ht="31.5" hidden="1">
      <c r="A970" s="127"/>
      <c r="B970" s="132" t="s">
        <v>3228</v>
      </c>
      <c r="C970"/>
      <c r="D970"/>
      <c r="E970"/>
      <c r="I970"/>
      <c r="J970" s="2" t="s">
        <v>987</v>
      </c>
      <c r="K970" s="5" t="s">
        <v>1609</v>
      </c>
    </row>
    <row r="971" spans="1:11" ht="31.5" hidden="1">
      <c r="A971" s="127"/>
      <c r="B971" s="132" t="s">
        <v>2793</v>
      </c>
      <c r="C971"/>
      <c r="D971"/>
      <c r="E971"/>
      <c r="H971" s="86" t="s">
        <v>461</v>
      </c>
      <c r="I971"/>
      <c r="J971" s="137" t="s">
        <v>987</v>
      </c>
      <c r="K971" s="12">
        <v>1.18E-2</v>
      </c>
    </row>
    <row r="972" spans="1:11" ht="31.5" hidden="1">
      <c r="A972" s="127"/>
      <c r="B972" s="132" t="s">
        <v>2794</v>
      </c>
      <c r="C972"/>
      <c r="D972"/>
      <c r="E972"/>
      <c r="H972" s="86" t="s">
        <v>248</v>
      </c>
      <c r="I972"/>
      <c r="J972" s="2" t="s">
        <v>987</v>
      </c>
      <c r="K972" s="14" t="s">
        <v>1609</v>
      </c>
    </row>
    <row r="973" spans="1:11" hidden="1">
      <c r="A973" s="127"/>
      <c r="B973" s="132" t="s">
        <v>3155</v>
      </c>
      <c r="C973"/>
      <c r="D973"/>
      <c r="E973"/>
      <c r="I973"/>
      <c r="J973" s="4"/>
      <c r="K973"/>
    </row>
    <row r="974" spans="1:11" hidden="1">
      <c r="A974" s="127"/>
      <c r="B974" s="132" t="s">
        <v>3156</v>
      </c>
      <c r="C974"/>
      <c r="D974"/>
      <c r="E974"/>
      <c r="F974" s="121">
        <v>1.14E-2</v>
      </c>
      <c r="G974" s="90" t="s">
        <v>878</v>
      </c>
      <c r="H974" s="86" t="s">
        <v>309</v>
      </c>
      <c r="I974" s="8">
        <f>C88</f>
        <v>65420</v>
      </c>
      <c r="J974" s="2" t="s">
        <v>878</v>
      </c>
      <c r="K974" s="8">
        <f>(F974*I974)</f>
        <v>745.79</v>
      </c>
    </row>
    <row r="975" spans="1:11" hidden="1">
      <c r="A975" s="127"/>
      <c r="B975" s="132" t="s">
        <v>3157</v>
      </c>
      <c r="C975"/>
      <c r="D975"/>
      <c r="E975"/>
      <c r="F975" s="121">
        <v>1.1900000000000001E-2</v>
      </c>
      <c r="G975" s="90" t="s">
        <v>878</v>
      </c>
      <c r="H975" s="86" t="s">
        <v>310</v>
      </c>
      <c r="I975" s="8">
        <f>C89</f>
        <v>57165</v>
      </c>
      <c r="J975" s="2" t="s">
        <v>878</v>
      </c>
      <c r="K975" s="8">
        <f>(F975*I975)</f>
        <v>680.26</v>
      </c>
    </row>
    <row r="976" spans="1:11" hidden="1">
      <c r="A976" s="127"/>
      <c r="B976" s="132" t="s">
        <v>3415</v>
      </c>
      <c r="C976"/>
      <c r="D976"/>
      <c r="E976"/>
      <c r="F976" s="121">
        <v>1.18E-2</v>
      </c>
      <c r="G976" s="90" t="s">
        <v>878</v>
      </c>
      <c r="H976" s="86" t="s">
        <v>311</v>
      </c>
      <c r="I976" s="8">
        <f>C90</f>
        <v>63870</v>
      </c>
      <c r="J976" s="2" t="s">
        <v>878</v>
      </c>
      <c r="K976" s="8">
        <f>(F976*I976)</f>
        <v>753.67</v>
      </c>
    </row>
    <row r="977" spans="1:33" hidden="1">
      <c r="A977" s="127"/>
      <c r="B977" s="132" t="s">
        <v>3416</v>
      </c>
      <c r="C977"/>
      <c r="D977"/>
      <c r="E977"/>
      <c r="F977" s="121"/>
      <c r="H977" s="86" t="s">
        <v>447</v>
      </c>
      <c r="I977" s="1" t="s">
        <v>987</v>
      </c>
      <c r="J977" s="4"/>
      <c r="K977" s="1" t="s">
        <v>987</v>
      </c>
    </row>
    <row r="978" spans="1:33" hidden="1">
      <c r="A978" s="127"/>
      <c r="B978" s="132" t="s">
        <v>2379</v>
      </c>
      <c r="C978"/>
      <c r="D978"/>
      <c r="E978"/>
      <c r="F978" s="121">
        <v>1.2150000000000001</v>
      </c>
      <c r="G978" s="90" t="s">
        <v>615</v>
      </c>
      <c r="H978" s="86" t="s">
        <v>448</v>
      </c>
      <c r="I978" s="8">
        <f>C31</f>
        <v>342</v>
      </c>
      <c r="J978" s="2" t="s">
        <v>615</v>
      </c>
      <c r="K978" s="8">
        <f t="shared" ref="K978:K984" si="53">(F978*I978)</f>
        <v>415.53</v>
      </c>
    </row>
    <row r="979" spans="1:33" hidden="1">
      <c r="A979" s="127"/>
      <c r="B979" s="132" t="s">
        <v>2380</v>
      </c>
      <c r="C979"/>
      <c r="D979"/>
      <c r="E979"/>
      <c r="F979" s="91">
        <v>1</v>
      </c>
      <c r="G979" s="90" t="s">
        <v>778</v>
      </c>
      <c r="H979" s="86" t="s">
        <v>1485</v>
      </c>
      <c r="I979" s="8">
        <f>C576</f>
        <v>30</v>
      </c>
      <c r="J979" s="2" t="s">
        <v>877</v>
      </c>
      <c r="K979" s="8">
        <f t="shared" si="53"/>
        <v>30</v>
      </c>
    </row>
    <row r="980" spans="1:33" hidden="1">
      <c r="A980" s="127"/>
      <c r="B980" s="132" t="s">
        <v>2381</v>
      </c>
      <c r="C980"/>
      <c r="D980"/>
      <c r="E980"/>
      <c r="F980" s="91">
        <v>3</v>
      </c>
      <c r="G980" s="90" t="s">
        <v>877</v>
      </c>
      <c r="H980" s="86" t="s">
        <v>1486</v>
      </c>
      <c r="I980" s="8">
        <f>C278</f>
        <v>45</v>
      </c>
      <c r="J980" s="2" t="s">
        <v>877</v>
      </c>
      <c r="K980" s="8">
        <f t="shared" si="53"/>
        <v>135</v>
      </c>
    </row>
    <row r="981" spans="1:33" hidden="1">
      <c r="A981" s="127"/>
      <c r="B981" s="132" t="s">
        <v>2382</v>
      </c>
      <c r="C981"/>
      <c r="D981"/>
      <c r="E981"/>
      <c r="F981" s="91">
        <v>2</v>
      </c>
      <c r="G981" s="90" t="s">
        <v>877</v>
      </c>
      <c r="H981" s="86" t="s">
        <v>1487</v>
      </c>
      <c r="I981" s="8">
        <f>C283</f>
        <v>30</v>
      </c>
      <c r="J981" s="2" t="s">
        <v>877</v>
      </c>
      <c r="K981" s="8">
        <f t="shared" si="53"/>
        <v>60</v>
      </c>
    </row>
    <row r="982" spans="1:33" hidden="1">
      <c r="A982" s="127"/>
      <c r="B982" s="132" t="s">
        <v>2943</v>
      </c>
      <c r="C982"/>
      <c r="D982"/>
      <c r="E982"/>
      <c r="F982" s="91">
        <v>1</v>
      </c>
      <c r="G982" s="90" t="s">
        <v>877</v>
      </c>
      <c r="H982" s="86" t="s">
        <v>1488</v>
      </c>
      <c r="I982" s="8">
        <f>C285</f>
        <v>95</v>
      </c>
      <c r="J982" s="2" t="s">
        <v>877</v>
      </c>
      <c r="K982" s="8">
        <f t="shared" si="53"/>
        <v>95</v>
      </c>
    </row>
    <row r="983" spans="1:33" ht="31.5" hidden="1">
      <c r="A983" s="127"/>
      <c r="B983" s="132" t="s">
        <v>2944</v>
      </c>
      <c r="C983"/>
      <c r="D983"/>
      <c r="E983"/>
      <c r="F983" s="91">
        <v>1</v>
      </c>
      <c r="G983" s="90" t="s">
        <v>877</v>
      </c>
      <c r="H983" s="86" t="s">
        <v>1489</v>
      </c>
      <c r="I983" s="8">
        <f>C287</f>
        <v>8</v>
      </c>
      <c r="J983" s="2" t="s">
        <v>877</v>
      </c>
      <c r="K983" s="8">
        <f t="shared" si="53"/>
        <v>8</v>
      </c>
    </row>
    <row r="984" spans="1:33" hidden="1">
      <c r="A984" s="127"/>
      <c r="B984" s="132" t="s">
        <v>2954</v>
      </c>
      <c r="C984"/>
      <c r="D984"/>
      <c r="E984"/>
      <c r="F984" s="91">
        <v>1</v>
      </c>
      <c r="G984" s="90" t="s">
        <v>877</v>
      </c>
      <c r="H984" s="86" t="s">
        <v>2007</v>
      </c>
      <c r="I984" s="8">
        <f>D576</f>
        <v>25</v>
      </c>
      <c r="J984" s="2" t="s">
        <v>877</v>
      </c>
      <c r="K984" s="8">
        <f t="shared" si="53"/>
        <v>25</v>
      </c>
    </row>
    <row r="985" spans="1:33" hidden="1">
      <c r="A985" s="127"/>
      <c r="B985" s="132" t="s">
        <v>2955</v>
      </c>
      <c r="C985"/>
      <c r="D985"/>
      <c r="E985"/>
      <c r="I985"/>
      <c r="J985" s="4"/>
      <c r="K985" s="5" t="s">
        <v>1609</v>
      </c>
    </row>
    <row r="986" spans="1:33" hidden="1">
      <c r="A986" s="127"/>
      <c r="B986" s="132" t="s">
        <v>3492</v>
      </c>
      <c r="C986"/>
      <c r="D986"/>
      <c r="E986"/>
      <c r="H986" s="86" t="s">
        <v>462</v>
      </c>
      <c r="I986"/>
      <c r="J986" s="4"/>
      <c r="K986" s="8">
        <f>SUM(K974:K984)</f>
        <v>2948.25</v>
      </c>
    </row>
    <row r="987" spans="1:33" hidden="1">
      <c r="A987" s="127"/>
      <c r="B987" s="132" t="s">
        <v>3493</v>
      </c>
      <c r="C987"/>
      <c r="D987"/>
      <c r="E987"/>
      <c r="I987"/>
      <c r="J987" s="4"/>
      <c r="K987" s="5" t="s">
        <v>1609</v>
      </c>
    </row>
    <row r="988" spans="1:33" hidden="1">
      <c r="A988" s="127"/>
      <c r="B988" s="132" t="s">
        <v>3494</v>
      </c>
      <c r="C988"/>
      <c r="D988"/>
      <c r="E988"/>
      <c r="H988" s="86" t="s">
        <v>556</v>
      </c>
      <c r="I988"/>
      <c r="J988" s="4"/>
      <c r="K988" s="8">
        <f>K986/F978</f>
        <v>2426.54</v>
      </c>
    </row>
    <row r="989" spans="1:33" ht="31.5" hidden="1">
      <c r="A989" s="127"/>
      <c r="B989" s="132" t="s">
        <v>3253</v>
      </c>
      <c r="C989"/>
      <c r="D989"/>
      <c r="E989"/>
      <c r="I989"/>
      <c r="J989" s="4"/>
      <c r="K989" s="5" t="s">
        <v>2080</v>
      </c>
    </row>
    <row r="990" spans="1:33" hidden="1">
      <c r="A990" s="127"/>
      <c r="B990" s="132" t="s">
        <v>3254</v>
      </c>
      <c r="C990"/>
      <c r="D990"/>
      <c r="E990"/>
      <c r="I990"/>
      <c r="J990" s="4"/>
      <c r="K990"/>
    </row>
    <row r="991" spans="1:33" hidden="1">
      <c r="A991" s="127"/>
      <c r="B991" s="132" t="s">
        <v>3255</v>
      </c>
      <c r="C991"/>
      <c r="D991"/>
      <c r="E991"/>
      <c r="F991" s="102" t="s">
        <v>463</v>
      </c>
      <c r="G991" s="90" t="s">
        <v>2276</v>
      </c>
      <c r="H991" s="86" t="s">
        <v>2202</v>
      </c>
      <c r="I991"/>
      <c r="J991" s="4"/>
      <c r="K991"/>
      <c r="AG991" s="86" t="s">
        <v>2284</v>
      </c>
    </row>
    <row r="992" spans="1:33" hidden="1">
      <c r="A992" s="127"/>
      <c r="B992" s="132" t="s">
        <v>3256</v>
      </c>
      <c r="C992"/>
      <c r="D992"/>
      <c r="E992"/>
      <c r="H992" s="86" t="s">
        <v>2204</v>
      </c>
      <c r="I992"/>
      <c r="J992" s="4"/>
      <c r="K992"/>
      <c r="AG992" s="86" t="s">
        <v>2284</v>
      </c>
    </row>
    <row r="993" spans="1:33" hidden="1">
      <c r="A993" s="127"/>
      <c r="B993" s="132" t="s">
        <v>3257</v>
      </c>
      <c r="C993"/>
      <c r="D993"/>
      <c r="E993"/>
      <c r="H993" s="86" t="s">
        <v>2205</v>
      </c>
      <c r="I993"/>
      <c r="J993" s="4"/>
      <c r="K993"/>
      <c r="AG993" s="86" t="s">
        <v>2284</v>
      </c>
    </row>
    <row r="994" spans="1:33" hidden="1">
      <c r="A994" s="127"/>
      <c r="B994" s="132" t="s">
        <v>3258</v>
      </c>
      <c r="C994"/>
      <c r="D994"/>
      <c r="E994"/>
      <c r="H994" s="86" t="s">
        <v>2206</v>
      </c>
      <c r="I994"/>
      <c r="J994" s="4"/>
      <c r="K994"/>
      <c r="AG994" s="86" t="s">
        <v>2284</v>
      </c>
    </row>
    <row r="995" spans="1:33" hidden="1">
      <c r="A995" s="127"/>
      <c r="B995" s="132" t="s">
        <v>3259</v>
      </c>
      <c r="C995"/>
      <c r="D995"/>
      <c r="E995"/>
      <c r="H995" s="86" t="s">
        <v>2207</v>
      </c>
      <c r="I995"/>
      <c r="J995" s="4"/>
      <c r="K995"/>
      <c r="AG995" s="86" t="s">
        <v>2284</v>
      </c>
    </row>
    <row r="996" spans="1:33" hidden="1">
      <c r="A996" s="127"/>
      <c r="B996" s="132" t="s">
        <v>2621</v>
      </c>
      <c r="C996"/>
      <c r="D996"/>
      <c r="E996"/>
      <c r="H996" s="86" t="s">
        <v>2208</v>
      </c>
      <c r="I996"/>
      <c r="J996" s="4"/>
      <c r="K996"/>
      <c r="AG996" s="86" t="s">
        <v>2284</v>
      </c>
    </row>
    <row r="997" spans="1:33" hidden="1">
      <c r="A997" s="127"/>
      <c r="B997" s="132" t="s">
        <v>2622</v>
      </c>
      <c r="C997"/>
      <c r="D997"/>
      <c r="E997"/>
      <c r="H997" s="89" t="s">
        <v>1609</v>
      </c>
      <c r="I997"/>
      <c r="J997" s="4"/>
      <c r="K997"/>
      <c r="AG997" s="86" t="s">
        <v>2284</v>
      </c>
    </row>
    <row r="998" spans="1:33" hidden="1">
      <c r="A998" s="127"/>
      <c r="B998" s="132" t="s">
        <v>2623</v>
      </c>
      <c r="C998"/>
      <c r="D998"/>
      <c r="E998"/>
      <c r="H998" s="86" t="s">
        <v>650</v>
      </c>
      <c r="I998"/>
      <c r="J998" s="4"/>
      <c r="K998"/>
      <c r="AG998" s="86" t="s">
        <v>2284</v>
      </c>
    </row>
    <row r="999" spans="1:33" ht="31.5" hidden="1">
      <c r="A999" s="127"/>
      <c r="B999" s="132" t="s">
        <v>2624</v>
      </c>
      <c r="C999"/>
      <c r="D999"/>
      <c r="E999"/>
      <c r="H999" s="86" t="s">
        <v>2209</v>
      </c>
      <c r="I999"/>
      <c r="J999" s="4"/>
      <c r="K999"/>
      <c r="AG999" s="86" t="s">
        <v>2284</v>
      </c>
    </row>
    <row r="1000" spans="1:33" ht="31.5" hidden="1">
      <c r="A1000" s="127"/>
      <c r="B1000" s="132" t="s">
        <v>2625</v>
      </c>
      <c r="C1000"/>
      <c r="D1000"/>
      <c r="E1000"/>
      <c r="I1000"/>
      <c r="J1000" s="2" t="s">
        <v>1609</v>
      </c>
      <c r="K1000"/>
      <c r="AG1000" s="86" t="s">
        <v>2284</v>
      </c>
    </row>
    <row r="1001" spans="1:33" ht="31.5" hidden="1">
      <c r="A1001" s="127"/>
      <c r="B1001" s="132" t="s">
        <v>2626</v>
      </c>
      <c r="C1001"/>
      <c r="D1001"/>
      <c r="E1001"/>
      <c r="H1001" s="86" t="s">
        <v>2210</v>
      </c>
      <c r="I1001"/>
      <c r="J1001" s="4"/>
      <c r="K1001"/>
      <c r="AG1001" s="86" t="s">
        <v>2284</v>
      </c>
    </row>
    <row r="1002" spans="1:33" ht="47.25" hidden="1">
      <c r="A1002" s="127"/>
      <c r="B1002" s="132" t="s">
        <v>2627</v>
      </c>
      <c r="C1002"/>
      <c r="D1002"/>
      <c r="E1002"/>
      <c r="H1002" s="86" t="s">
        <v>987</v>
      </c>
      <c r="I1002" s="1" t="s">
        <v>987</v>
      </c>
      <c r="J1002" s="4"/>
      <c r="K1002" s="15" t="s">
        <v>987</v>
      </c>
      <c r="AG1002" s="86" t="s">
        <v>2284</v>
      </c>
    </row>
    <row r="1003" spans="1:33" hidden="1">
      <c r="A1003" s="127"/>
      <c r="B1003" s="132" t="s">
        <v>2628</v>
      </c>
      <c r="C1003"/>
      <c r="D1003"/>
      <c r="E1003"/>
      <c r="I1003"/>
      <c r="J1003" s="2" t="s">
        <v>987</v>
      </c>
      <c r="K1003" s="1" t="s">
        <v>987</v>
      </c>
      <c r="AG1003" s="86" t="s">
        <v>2284</v>
      </c>
    </row>
    <row r="1004" spans="1:33" hidden="1">
      <c r="A1004" s="127"/>
      <c r="B1004" s="132" t="s">
        <v>2629</v>
      </c>
      <c r="C1004"/>
      <c r="D1004"/>
      <c r="E1004"/>
      <c r="H1004" s="86" t="s">
        <v>2138</v>
      </c>
      <c r="I1004"/>
      <c r="J1004" s="137" t="s">
        <v>987</v>
      </c>
      <c r="K1004" s="15" t="s">
        <v>987</v>
      </c>
      <c r="AG1004" s="86" t="s">
        <v>2284</v>
      </c>
    </row>
    <row r="1005" spans="1:33" hidden="1">
      <c r="A1005" s="127"/>
      <c r="B1005" s="132" t="s">
        <v>2610</v>
      </c>
      <c r="C1005"/>
      <c r="D1005"/>
      <c r="E1005"/>
      <c r="H1005" s="86" t="s">
        <v>113</v>
      </c>
      <c r="I1005"/>
      <c r="J1005" s="4"/>
      <c r="K1005" s="15" t="s">
        <v>1765</v>
      </c>
      <c r="AG1005" s="86" t="s">
        <v>2284</v>
      </c>
    </row>
    <row r="1006" spans="1:33" hidden="1">
      <c r="A1006" s="127"/>
      <c r="B1006" s="132" t="s">
        <v>2611</v>
      </c>
      <c r="C1006"/>
      <c r="D1006"/>
      <c r="E1006"/>
      <c r="I1006"/>
      <c r="J1006" s="4"/>
      <c r="K1006" s="1" t="s">
        <v>987</v>
      </c>
      <c r="AG1006" s="86" t="s">
        <v>2284</v>
      </c>
    </row>
    <row r="1007" spans="1:33" hidden="1">
      <c r="A1007" s="127"/>
      <c r="B1007" s="132" t="s">
        <v>2612</v>
      </c>
      <c r="C1007"/>
      <c r="D1007"/>
      <c r="E1007"/>
      <c r="I1007"/>
      <c r="J1007" s="4"/>
      <c r="K1007" s="15" t="s">
        <v>987</v>
      </c>
      <c r="AG1007" s="86" t="s">
        <v>2284</v>
      </c>
    </row>
    <row r="1008" spans="1:33" hidden="1">
      <c r="A1008" s="127"/>
      <c r="B1008" s="132" t="s">
        <v>3043</v>
      </c>
      <c r="C1008"/>
      <c r="D1008"/>
      <c r="E1008"/>
      <c r="I1008"/>
      <c r="J1008" s="4"/>
      <c r="K1008" s="1" t="s">
        <v>987</v>
      </c>
      <c r="AG1008" s="86" t="s">
        <v>2284</v>
      </c>
    </row>
    <row r="1009" spans="1:33" hidden="1">
      <c r="A1009" s="127"/>
      <c r="B1009" s="132" t="s">
        <v>3044</v>
      </c>
      <c r="C1009"/>
      <c r="D1009"/>
      <c r="E1009"/>
      <c r="F1009" s="102" t="s">
        <v>1495</v>
      </c>
      <c r="G1009" s="90"/>
      <c r="H1009" s="86" t="s">
        <v>726</v>
      </c>
      <c r="I1009"/>
      <c r="J1009" s="4"/>
      <c r="K1009" s="1" t="s">
        <v>987</v>
      </c>
      <c r="AG1009" s="86" t="s">
        <v>2284</v>
      </c>
    </row>
    <row r="1010" spans="1:33" hidden="1">
      <c r="A1010" s="127"/>
      <c r="B1010" s="132" t="s">
        <v>3045</v>
      </c>
      <c r="C1010"/>
      <c r="D1010"/>
      <c r="E1010"/>
      <c r="H1010" s="89" t="s">
        <v>1609</v>
      </c>
      <c r="I1010"/>
      <c r="J1010" s="4"/>
      <c r="K1010"/>
      <c r="AG1010" s="86" t="s">
        <v>2284</v>
      </c>
    </row>
    <row r="1011" spans="1:33" hidden="1">
      <c r="A1011" s="134"/>
      <c r="B1011" s="132" t="s">
        <v>3046</v>
      </c>
      <c r="C1011"/>
      <c r="D1011"/>
      <c r="E1011"/>
      <c r="F1011" s="138">
        <v>1.153E-2</v>
      </c>
      <c r="G1011" s="90" t="s">
        <v>878</v>
      </c>
      <c r="H1011" s="86" t="s">
        <v>698</v>
      </c>
      <c r="I1011" s="8">
        <f>C88</f>
        <v>65420</v>
      </c>
      <c r="J1011" s="2" t="s">
        <v>878</v>
      </c>
      <c r="K1011" s="8">
        <f t="shared" ref="K1011:K1020" si="54">(F1011*I1011)</f>
        <v>754.29</v>
      </c>
      <c r="AG1011" s="86" t="s">
        <v>2284</v>
      </c>
    </row>
    <row r="1012" spans="1:33" hidden="1">
      <c r="A1012" s="134"/>
      <c r="B1012" s="132" t="s">
        <v>3047</v>
      </c>
      <c r="C1012"/>
      <c r="D1012"/>
      <c r="E1012"/>
      <c r="F1012" s="138">
        <v>1.35E-2</v>
      </c>
      <c r="G1012" s="90" t="s">
        <v>878</v>
      </c>
      <c r="H1012" s="86" t="s">
        <v>699</v>
      </c>
      <c r="I1012" s="8">
        <f>C89</f>
        <v>57165</v>
      </c>
      <c r="J1012" s="2" t="s">
        <v>878</v>
      </c>
      <c r="K1012" s="8">
        <f t="shared" si="54"/>
        <v>771.73</v>
      </c>
      <c r="AG1012" s="86" t="s">
        <v>2284</v>
      </c>
    </row>
    <row r="1013" spans="1:33" hidden="1">
      <c r="A1013" s="134"/>
      <c r="B1013" s="132" t="s">
        <v>3048</v>
      </c>
      <c r="C1013"/>
      <c r="D1013"/>
      <c r="E1013"/>
      <c r="F1013" s="138">
        <v>1.016</v>
      </c>
      <c r="G1013" s="90" t="s">
        <v>615</v>
      </c>
      <c r="H1013" s="86" t="s">
        <v>2117</v>
      </c>
      <c r="I1013" s="8">
        <f>C753</f>
        <v>381.37</v>
      </c>
      <c r="J1013" s="2" t="s">
        <v>615</v>
      </c>
      <c r="K1013" s="8">
        <f t="shared" si="54"/>
        <v>387.47</v>
      </c>
      <c r="AG1013" s="86" t="s">
        <v>2284</v>
      </c>
    </row>
    <row r="1014" spans="1:33" hidden="1">
      <c r="A1014" s="134"/>
      <c r="B1014" s="132" t="s">
        <v>3049</v>
      </c>
      <c r="C1014"/>
      <c r="D1014"/>
      <c r="E1014"/>
      <c r="F1014" s="138">
        <v>1.64</v>
      </c>
      <c r="G1014" s="90" t="s">
        <v>615</v>
      </c>
      <c r="H1014" s="86" t="s">
        <v>2118</v>
      </c>
      <c r="I1014" s="8">
        <f>D30</f>
        <v>287</v>
      </c>
      <c r="J1014" s="2" t="s">
        <v>615</v>
      </c>
      <c r="K1014" s="8">
        <f t="shared" si="54"/>
        <v>470.68</v>
      </c>
      <c r="AG1014" s="86" t="s">
        <v>2284</v>
      </c>
    </row>
    <row r="1015" spans="1:33" hidden="1">
      <c r="A1015" s="134"/>
      <c r="B1015" s="132" t="s">
        <v>2643</v>
      </c>
      <c r="C1015"/>
      <c r="D1015"/>
      <c r="E1015"/>
      <c r="F1015" s="91">
        <v>2</v>
      </c>
      <c r="G1015" s="90" t="s">
        <v>877</v>
      </c>
      <c r="H1015" s="86" t="s">
        <v>2119</v>
      </c>
      <c r="I1015" s="8">
        <f>C283</f>
        <v>30</v>
      </c>
      <c r="J1015" s="2" t="s">
        <v>877</v>
      </c>
      <c r="K1015" s="8">
        <f t="shared" si="54"/>
        <v>60</v>
      </c>
      <c r="AG1015" s="86" t="s">
        <v>2284</v>
      </c>
    </row>
    <row r="1016" spans="1:33" hidden="1">
      <c r="A1016" s="134"/>
      <c r="B1016" s="132" t="s">
        <v>2644</v>
      </c>
      <c r="C1016"/>
      <c r="D1016"/>
      <c r="E1016"/>
      <c r="F1016" s="91">
        <v>3</v>
      </c>
      <c r="G1016" s="90" t="s">
        <v>877</v>
      </c>
      <c r="H1016" s="86" t="s">
        <v>1539</v>
      </c>
      <c r="I1016" s="8">
        <f>C278</f>
        <v>45</v>
      </c>
      <c r="J1016" s="2" t="s">
        <v>877</v>
      </c>
      <c r="K1016" s="8">
        <f t="shared" si="54"/>
        <v>135</v>
      </c>
      <c r="AG1016" s="86" t="s">
        <v>2284</v>
      </c>
    </row>
    <row r="1017" spans="1:33" hidden="1">
      <c r="A1017" s="134"/>
      <c r="B1017" s="132" t="s">
        <v>2645</v>
      </c>
      <c r="C1017"/>
      <c r="D1017"/>
      <c r="E1017"/>
      <c r="F1017" s="91">
        <v>1</v>
      </c>
      <c r="G1017" s="90" t="s">
        <v>877</v>
      </c>
      <c r="H1017" s="86" t="s">
        <v>2004</v>
      </c>
      <c r="I1017" s="8">
        <f>C285</f>
        <v>95</v>
      </c>
      <c r="J1017" s="2" t="s">
        <v>877</v>
      </c>
      <c r="K1017" s="8">
        <f t="shared" si="54"/>
        <v>95</v>
      </c>
      <c r="AG1017" s="86" t="s">
        <v>2284</v>
      </c>
    </row>
    <row r="1018" spans="1:33" hidden="1">
      <c r="A1018" s="134"/>
      <c r="B1018" s="132" t="s">
        <v>2646</v>
      </c>
      <c r="C1018"/>
      <c r="D1018"/>
      <c r="E1018"/>
      <c r="F1018" s="91">
        <v>1</v>
      </c>
      <c r="G1018" s="90" t="s">
        <v>877</v>
      </c>
      <c r="H1018" s="86" t="s">
        <v>2005</v>
      </c>
      <c r="I1018" s="8">
        <f>C287</f>
        <v>8</v>
      </c>
      <c r="J1018" s="2" t="s">
        <v>877</v>
      </c>
      <c r="K1018" s="8">
        <f t="shared" si="54"/>
        <v>8</v>
      </c>
      <c r="AG1018" s="86" t="s">
        <v>2284</v>
      </c>
    </row>
    <row r="1019" spans="1:33" hidden="1">
      <c r="A1019" s="134"/>
      <c r="B1019" s="132" t="s">
        <v>2837</v>
      </c>
      <c r="C1019"/>
      <c r="D1019"/>
      <c r="E1019"/>
      <c r="F1019" s="91">
        <v>1</v>
      </c>
      <c r="G1019" s="90" t="s">
        <v>877</v>
      </c>
      <c r="H1019" s="86" t="s">
        <v>2006</v>
      </c>
      <c r="I1019" s="8">
        <f>C576</f>
        <v>30</v>
      </c>
      <c r="J1019" s="2" t="s">
        <v>877</v>
      </c>
      <c r="K1019" s="8">
        <f t="shared" si="54"/>
        <v>30</v>
      </c>
      <c r="AG1019" s="86" t="s">
        <v>2284</v>
      </c>
    </row>
    <row r="1020" spans="1:33" hidden="1">
      <c r="A1020" s="134"/>
      <c r="B1020" s="132" t="s">
        <v>2838</v>
      </c>
      <c r="C1020"/>
      <c r="D1020"/>
      <c r="E1020"/>
      <c r="F1020" s="91">
        <v>1</v>
      </c>
      <c r="G1020" s="90" t="s">
        <v>877</v>
      </c>
      <c r="H1020" s="86" t="s">
        <v>2007</v>
      </c>
      <c r="I1020" s="8">
        <f>D576</f>
        <v>25</v>
      </c>
      <c r="J1020" s="2" t="s">
        <v>877</v>
      </c>
      <c r="K1020" s="8">
        <f t="shared" si="54"/>
        <v>25</v>
      </c>
      <c r="AG1020" s="86" t="s">
        <v>2284</v>
      </c>
    </row>
    <row r="1021" spans="1:33" hidden="1">
      <c r="A1021" s="134"/>
      <c r="B1021" s="132" t="s">
        <v>2839</v>
      </c>
      <c r="C1021"/>
      <c r="D1021"/>
      <c r="E1021"/>
      <c r="I1021"/>
      <c r="J1021" s="4"/>
      <c r="K1021" s="5" t="s">
        <v>1609</v>
      </c>
      <c r="AG1021" s="86" t="s">
        <v>2284</v>
      </c>
    </row>
    <row r="1022" spans="1:33" hidden="1">
      <c r="A1022" s="134"/>
      <c r="B1022" s="132" t="s">
        <v>2840</v>
      </c>
      <c r="C1022"/>
      <c r="D1022"/>
      <c r="E1022"/>
      <c r="H1022" s="102" t="s">
        <v>1540</v>
      </c>
      <c r="I1022"/>
      <c r="J1022" s="4"/>
      <c r="K1022" s="8">
        <f>SUM(K1011:K1020)</f>
        <v>2737.17</v>
      </c>
      <c r="AG1022" s="86" t="s">
        <v>2284</v>
      </c>
    </row>
    <row r="1023" spans="1:33" ht="31.5" hidden="1">
      <c r="A1023" s="134"/>
      <c r="B1023" s="132" t="s">
        <v>2841</v>
      </c>
      <c r="C1023"/>
      <c r="D1023"/>
      <c r="E1023"/>
      <c r="G1023" s="90" t="s">
        <v>987</v>
      </c>
      <c r="I1023"/>
      <c r="J1023" s="4"/>
      <c r="K1023" s="5" t="s">
        <v>1609</v>
      </c>
      <c r="AG1023" s="86" t="s">
        <v>2284</v>
      </c>
    </row>
    <row r="1024" spans="1:33" hidden="1">
      <c r="A1024" s="134"/>
      <c r="B1024" s="132" t="s">
        <v>2842</v>
      </c>
      <c r="C1024"/>
      <c r="D1024"/>
      <c r="E1024"/>
      <c r="H1024" s="102" t="s">
        <v>556</v>
      </c>
      <c r="I1024"/>
      <c r="J1024" s="4"/>
      <c r="K1024" s="8">
        <f>K1022/F1014</f>
        <v>1669.01</v>
      </c>
      <c r="AG1024" s="86" t="s">
        <v>2284</v>
      </c>
    </row>
    <row r="1025" spans="1:33" hidden="1">
      <c r="A1025" s="134"/>
      <c r="B1025" s="132" t="s">
        <v>3478</v>
      </c>
      <c r="C1025"/>
      <c r="D1025"/>
      <c r="E1025"/>
      <c r="I1025"/>
      <c r="J1025" s="4"/>
      <c r="K1025" s="5" t="s">
        <v>2080</v>
      </c>
      <c r="AG1025" s="86" t="s">
        <v>2284</v>
      </c>
    </row>
    <row r="1026" spans="1:33" hidden="1">
      <c r="A1026" s="134"/>
      <c r="B1026" s="132" t="s">
        <v>3479</v>
      </c>
      <c r="C1026"/>
      <c r="D1026"/>
      <c r="E1026"/>
      <c r="F1026" s="102" t="s">
        <v>1595</v>
      </c>
      <c r="H1026" s="86" t="s">
        <v>1359</v>
      </c>
      <c r="I1026"/>
      <c r="J1026" s="4"/>
      <c r="K1026"/>
    </row>
    <row r="1027" spans="1:33" hidden="1">
      <c r="A1027" s="134"/>
      <c r="B1027" s="132" t="s">
        <v>3480</v>
      </c>
      <c r="C1027"/>
      <c r="D1027"/>
      <c r="E1027"/>
      <c r="H1027" s="86" t="s">
        <v>1360</v>
      </c>
      <c r="I1027"/>
      <c r="J1027" s="4"/>
      <c r="K1027"/>
    </row>
    <row r="1028" spans="1:33" hidden="1">
      <c r="A1028" s="134"/>
      <c r="B1028" s="132" t="s">
        <v>3481</v>
      </c>
      <c r="C1028"/>
      <c r="D1028"/>
      <c r="E1028"/>
      <c r="H1028" s="89" t="s">
        <v>1609</v>
      </c>
      <c r="I1028"/>
      <c r="J1028" s="4"/>
      <c r="K1028"/>
    </row>
    <row r="1029" spans="1:33" hidden="1">
      <c r="A1029" s="134"/>
      <c r="B1029" s="132" t="s">
        <v>3482</v>
      </c>
      <c r="C1029"/>
      <c r="D1029"/>
      <c r="E1029"/>
      <c r="F1029" s="138">
        <v>6.6499999999999997E-3</v>
      </c>
      <c r="G1029" s="90" t="s">
        <v>1361</v>
      </c>
      <c r="H1029" s="86" t="s">
        <v>1362</v>
      </c>
      <c r="I1029" s="8">
        <f>C89</f>
        <v>57165</v>
      </c>
      <c r="J1029" s="2" t="s">
        <v>878</v>
      </c>
      <c r="K1029" s="8">
        <f t="shared" ref="K1029:K1035" si="55">(F1029*I1029)</f>
        <v>380.15</v>
      </c>
    </row>
    <row r="1030" spans="1:33" hidden="1">
      <c r="A1030" s="134"/>
      <c r="B1030" s="132" t="s">
        <v>3483</v>
      </c>
      <c r="C1030"/>
      <c r="D1030"/>
      <c r="E1030"/>
      <c r="F1030" s="138">
        <v>0.32346000000000003</v>
      </c>
      <c r="G1030" s="90" t="s">
        <v>615</v>
      </c>
      <c r="H1030" s="86" t="s">
        <v>3484</v>
      </c>
      <c r="I1030" s="8">
        <f>C271</f>
        <v>160</v>
      </c>
      <c r="J1030" s="2" t="s">
        <v>878</v>
      </c>
      <c r="K1030" s="8">
        <f t="shared" si="55"/>
        <v>51.75</v>
      </c>
    </row>
    <row r="1031" spans="1:33" ht="31.5" hidden="1">
      <c r="A1031" s="134"/>
      <c r="B1031" s="132" t="s">
        <v>3485</v>
      </c>
      <c r="C1031"/>
      <c r="D1031"/>
      <c r="E1031"/>
      <c r="F1031" s="138">
        <v>0.47660000000000002</v>
      </c>
      <c r="G1031" s="90" t="s">
        <v>615</v>
      </c>
      <c r="H1031" s="86" t="s">
        <v>2118</v>
      </c>
      <c r="I1031" s="8">
        <f>D31</f>
        <v>320</v>
      </c>
      <c r="J1031" s="2" t="s">
        <v>615</v>
      </c>
      <c r="K1031" s="8">
        <f t="shared" si="55"/>
        <v>152.51</v>
      </c>
    </row>
    <row r="1032" spans="1:33" ht="21.75" hidden="1" customHeight="1">
      <c r="A1032" s="134"/>
      <c r="B1032" s="132" t="s">
        <v>3486</v>
      </c>
      <c r="C1032"/>
      <c r="D1032"/>
      <c r="E1032"/>
      <c r="F1032" s="91">
        <v>3</v>
      </c>
      <c r="G1032" s="90" t="s">
        <v>877</v>
      </c>
      <c r="H1032" s="86" t="s">
        <v>1363</v>
      </c>
      <c r="I1032" s="8">
        <f>C281</f>
        <v>25</v>
      </c>
      <c r="J1032" s="2" t="s">
        <v>877</v>
      </c>
      <c r="K1032" s="8">
        <f t="shared" si="55"/>
        <v>75</v>
      </c>
    </row>
    <row r="1033" spans="1:33" ht="20.25" hidden="1" customHeight="1">
      <c r="A1033" s="132"/>
      <c r="B1033" s="132" t="s">
        <v>3003</v>
      </c>
      <c r="C1033"/>
      <c r="D1033"/>
      <c r="E1033"/>
      <c r="F1033" s="91">
        <v>2</v>
      </c>
      <c r="G1033" s="90" t="s">
        <v>877</v>
      </c>
      <c r="H1033" s="86" t="s">
        <v>2134</v>
      </c>
      <c r="I1033" s="8">
        <f>C284</f>
        <v>20</v>
      </c>
      <c r="J1033" s="2" t="s">
        <v>877</v>
      </c>
      <c r="K1033" s="8">
        <f t="shared" si="55"/>
        <v>40</v>
      </c>
    </row>
    <row r="1034" spans="1:33" ht="19.5" hidden="1" customHeight="1">
      <c r="A1034" s="134"/>
      <c r="B1034" s="132" t="s">
        <v>2791</v>
      </c>
      <c r="C1034"/>
      <c r="D1034"/>
      <c r="E1034"/>
      <c r="F1034" s="91">
        <v>1</v>
      </c>
      <c r="G1034" s="90" t="s">
        <v>877</v>
      </c>
      <c r="H1034" s="86" t="s">
        <v>2135</v>
      </c>
      <c r="I1034" s="8">
        <f>C303</f>
        <v>8</v>
      </c>
      <c r="J1034" s="2" t="s">
        <v>877</v>
      </c>
      <c r="K1034" s="8">
        <f t="shared" si="55"/>
        <v>8</v>
      </c>
    </row>
    <row r="1035" spans="1:33" ht="18.75" hidden="1" customHeight="1">
      <c r="A1035" s="134"/>
      <c r="B1035" s="132" t="s">
        <v>2792</v>
      </c>
      <c r="C1035"/>
      <c r="D1035"/>
      <c r="E1035"/>
      <c r="F1035" s="91">
        <v>1</v>
      </c>
      <c r="G1035" s="90" t="s">
        <v>877</v>
      </c>
      <c r="H1035" s="86" t="s">
        <v>2136</v>
      </c>
      <c r="I1035" s="8">
        <f>C291</f>
        <v>15.6</v>
      </c>
      <c r="J1035" s="2" t="s">
        <v>877</v>
      </c>
      <c r="K1035" s="8">
        <f t="shared" si="55"/>
        <v>15.6</v>
      </c>
    </row>
    <row r="1036" spans="1:33" ht="18" hidden="1" customHeight="1">
      <c r="A1036" s="134"/>
      <c r="B1036" s="132" t="s">
        <v>3005</v>
      </c>
      <c r="C1036"/>
      <c r="D1036"/>
      <c r="E1036"/>
      <c r="I1036"/>
      <c r="J1036" s="4"/>
      <c r="K1036" s="5" t="s">
        <v>1609</v>
      </c>
    </row>
    <row r="1037" spans="1:33" ht="20.25" hidden="1" customHeight="1">
      <c r="A1037" s="134"/>
      <c r="B1037" s="132" t="s">
        <v>2568</v>
      </c>
      <c r="C1037"/>
      <c r="D1037"/>
      <c r="E1037"/>
      <c r="H1037" s="102" t="s">
        <v>2137</v>
      </c>
      <c r="I1037"/>
      <c r="J1037" s="4"/>
      <c r="K1037" s="8">
        <f>SUM(K1025:K1035)</f>
        <v>723.01</v>
      </c>
    </row>
    <row r="1038" spans="1:33" ht="21.75" hidden="1" customHeight="1">
      <c r="A1038" s="134"/>
      <c r="B1038" s="132" t="s">
        <v>2569</v>
      </c>
      <c r="C1038"/>
      <c r="D1038"/>
      <c r="E1038"/>
      <c r="I1038"/>
      <c r="J1038" s="4"/>
      <c r="K1038" s="5" t="s">
        <v>1609</v>
      </c>
    </row>
    <row r="1039" spans="1:33" ht="24" hidden="1" customHeight="1">
      <c r="A1039" s="134"/>
      <c r="B1039" s="132" t="s">
        <v>2569</v>
      </c>
      <c r="C1039"/>
      <c r="D1039"/>
      <c r="E1039"/>
      <c r="H1039" s="102" t="s">
        <v>556</v>
      </c>
      <c r="I1039" s="1" t="s">
        <v>987</v>
      </c>
      <c r="J1039" s="4"/>
      <c r="K1039" s="8">
        <f>K1037/F1031</f>
        <v>1517.02</v>
      </c>
    </row>
    <row r="1040" spans="1:33" ht="31.5" hidden="1">
      <c r="A1040" s="134"/>
      <c r="B1040" s="132" t="s">
        <v>2570</v>
      </c>
      <c r="C1040"/>
      <c r="D1040"/>
      <c r="E1040"/>
      <c r="I1040"/>
      <c r="J1040" s="4"/>
      <c r="K1040" s="5" t="s">
        <v>2080</v>
      </c>
    </row>
    <row r="1041" spans="1:11" ht="31.5" hidden="1">
      <c r="A1041" s="134"/>
      <c r="B1041" s="132" t="s">
        <v>2571</v>
      </c>
      <c r="C1041"/>
      <c r="D1041"/>
      <c r="E1041"/>
      <c r="F1041" s="102" t="s">
        <v>1639</v>
      </c>
      <c r="G1041" s="90" t="s">
        <v>2276</v>
      </c>
      <c r="H1041" s="86" t="s">
        <v>1359</v>
      </c>
      <c r="I1041"/>
      <c r="J1041" s="4"/>
      <c r="K1041"/>
    </row>
    <row r="1042" spans="1:11" hidden="1">
      <c r="A1042" s="134"/>
      <c r="H1042" s="86" t="s">
        <v>715</v>
      </c>
      <c r="I1042"/>
      <c r="J1042" s="4"/>
      <c r="K1042"/>
    </row>
    <row r="1043" spans="1:11" hidden="1">
      <c r="A1043" s="134"/>
      <c r="H1043" s="89" t="s">
        <v>1609</v>
      </c>
      <c r="I1043"/>
      <c r="J1043" s="4"/>
      <c r="K1043"/>
    </row>
    <row r="1044" spans="1:11" hidden="1">
      <c r="A1044" s="134"/>
      <c r="F1044" s="138">
        <v>5.4000000000000003E-3</v>
      </c>
      <c r="G1044" s="90" t="s">
        <v>1361</v>
      </c>
      <c r="H1044" s="86" t="s">
        <v>1362</v>
      </c>
      <c r="I1044" s="8">
        <f>C89</f>
        <v>57165</v>
      </c>
      <c r="J1044" s="2" t="s">
        <v>878</v>
      </c>
      <c r="K1044" s="8">
        <f t="shared" ref="K1044:K1050" si="56">(F1044*I1044)</f>
        <v>308.69</v>
      </c>
    </row>
    <row r="1045" spans="1:11" hidden="1">
      <c r="A1045" s="134"/>
      <c r="F1045" s="138">
        <v>0.23871000000000001</v>
      </c>
      <c r="G1045" s="90" t="s">
        <v>615</v>
      </c>
      <c r="H1045" s="86" t="s">
        <v>3484</v>
      </c>
      <c r="I1045" s="8">
        <f>C271</f>
        <v>160</v>
      </c>
      <c r="J1045" s="2" t="s">
        <v>878</v>
      </c>
      <c r="K1045" s="8">
        <f t="shared" si="56"/>
        <v>38.19</v>
      </c>
    </row>
    <row r="1046" spans="1:11" hidden="1">
      <c r="A1046" s="134"/>
      <c r="F1046" s="138">
        <v>0.36199999999999999</v>
      </c>
      <c r="G1046" s="90" t="s">
        <v>615</v>
      </c>
      <c r="H1046" s="86" t="s">
        <v>2118</v>
      </c>
      <c r="I1046" s="8">
        <f>D31</f>
        <v>320</v>
      </c>
      <c r="J1046" s="2" t="s">
        <v>615</v>
      </c>
      <c r="K1046" s="8">
        <f t="shared" si="56"/>
        <v>115.84</v>
      </c>
    </row>
    <row r="1047" spans="1:11" hidden="1">
      <c r="A1047" s="134"/>
      <c r="F1047" s="91">
        <v>3</v>
      </c>
      <c r="G1047" s="90" t="s">
        <v>877</v>
      </c>
      <c r="H1047" s="86" t="s">
        <v>1363</v>
      </c>
      <c r="I1047" s="8">
        <f>C281</f>
        <v>25</v>
      </c>
      <c r="J1047" s="2" t="s">
        <v>877</v>
      </c>
      <c r="K1047" s="8">
        <f t="shared" si="56"/>
        <v>75</v>
      </c>
    </row>
    <row r="1048" spans="1:11" hidden="1">
      <c r="A1048" s="134"/>
      <c r="F1048" s="91">
        <v>2</v>
      </c>
      <c r="G1048" s="90" t="s">
        <v>877</v>
      </c>
      <c r="H1048" s="86" t="s">
        <v>2134</v>
      </c>
      <c r="I1048" s="8">
        <f>C284</f>
        <v>20</v>
      </c>
      <c r="J1048" s="2" t="s">
        <v>877</v>
      </c>
      <c r="K1048" s="8">
        <f t="shared" si="56"/>
        <v>40</v>
      </c>
    </row>
    <row r="1049" spans="1:11" hidden="1">
      <c r="A1049" s="134"/>
      <c r="F1049" s="91">
        <v>1</v>
      </c>
      <c r="G1049" s="90" t="s">
        <v>877</v>
      </c>
      <c r="H1049" s="86" t="s">
        <v>2135</v>
      </c>
      <c r="I1049" s="8">
        <f>C303</f>
        <v>8</v>
      </c>
      <c r="J1049" s="2" t="s">
        <v>877</v>
      </c>
      <c r="K1049" s="8">
        <f t="shared" si="56"/>
        <v>8</v>
      </c>
    </row>
    <row r="1050" spans="1:11" hidden="1">
      <c r="A1050" s="134"/>
      <c r="F1050" s="91">
        <v>1</v>
      </c>
      <c r="G1050" s="90" t="s">
        <v>877</v>
      </c>
      <c r="H1050" s="86" t="s">
        <v>2136</v>
      </c>
      <c r="I1050" s="8">
        <f>C291</f>
        <v>15.6</v>
      </c>
      <c r="J1050" s="2" t="s">
        <v>877</v>
      </c>
      <c r="K1050" s="8">
        <f t="shared" si="56"/>
        <v>15.6</v>
      </c>
    </row>
    <row r="1051" spans="1:11" hidden="1">
      <c r="A1051" s="134"/>
      <c r="I1051"/>
      <c r="J1051" s="4"/>
      <c r="K1051" s="5" t="s">
        <v>1609</v>
      </c>
    </row>
    <row r="1052" spans="1:11" hidden="1">
      <c r="A1052" s="134"/>
      <c r="H1052" s="102" t="s">
        <v>898</v>
      </c>
      <c r="I1052"/>
      <c r="J1052" s="4"/>
      <c r="K1052" s="8">
        <f>SUM(K1040:K1050)</f>
        <v>601.32000000000005</v>
      </c>
    </row>
    <row r="1053" spans="1:11" hidden="1">
      <c r="A1053" s="134"/>
      <c r="I1053"/>
      <c r="J1053" s="4"/>
      <c r="K1053" s="5" t="s">
        <v>1609</v>
      </c>
    </row>
    <row r="1054" spans="1:11" hidden="1">
      <c r="A1054" s="134"/>
      <c r="H1054" s="102" t="s">
        <v>556</v>
      </c>
      <c r="I1054" s="1" t="s">
        <v>987</v>
      </c>
      <c r="J1054" s="4"/>
      <c r="K1054" s="8">
        <f>K1052/F1046</f>
        <v>1661.1</v>
      </c>
    </row>
    <row r="1055" spans="1:11" hidden="1">
      <c r="A1055" s="134"/>
      <c r="I1055"/>
      <c r="J1055" s="4"/>
      <c r="K1055" s="5" t="s">
        <v>2080</v>
      </c>
    </row>
    <row r="1056" spans="1:11" hidden="1">
      <c r="A1056" s="134"/>
      <c r="F1056" s="102" t="s">
        <v>1640</v>
      </c>
      <c r="G1056" s="90" t="s">
        <v>2276</v>
      </c>
      <c r="H1056" s="86" t="s">
        <v>899</v>
      </c>
      <c r="I1056"/>
      <c r="J1056" s="4"/>
      <c r="K1056"/>
    </row>
    <row r="1057" spans="1:11" hidden="1">
      <c r="A1057" s="134"/>
      <c r="H1057" s="86" t="s">
        <v>2019</v>
      </c>
      <c r="I1057"/>
      <c r="J1057" s="4"/>
      <c r="K1057"/>
    </row>
    <row r="1058" spans="1:11" hidden="1">
      <c r="A1058" s="134"/>
      <c r="H1058" s="89" t="s">
        <v>1609</v>
      </c>
      <c r="I1058"/>
      <c r="J1058" s="4"/>
      <c r="K1058"/>
    </row>
    <row r="1059" spans="1:11" hidden="1">
      <c r="A1059" s="134"/>
      <c r="F1059" s="138">
        <v>5.3E-3</v>
      </c>
      <c r="G1059" s="90" t="s">
        <v>1361</v>
      </c>
      <c r="H1059" s="86" t="s">
        <v>1362</v>
      </c>
      <c r="I1059" s="8">
        <f>C89</f>
        <v>57165</v>
      </c>
      <c r="J1059" s="2" t="s">
        <v>878</v>
      </c>
      <c r="K1059" s="8">
        <f t="shared" ref="K1059:K1064" si="57">(F1059*I1059)</f>
        <v>302.97000000000003</v>
      </c>
    </row>
    <row r="1060" spans="1:11" hidden="1">
      <c r="A1060" s="134"/>
      <c r="F1060" s="138">
        <v>0.27450000000000002</v>
      </c>
      <c r="G1060" s="90" t="s">
        <v>615</v>
      </c>
      <c r="H1060" s="86" t="s">
        <v>3484</v>
      </c>
      <c r="I1060" s="8">
        <f>C271</f>
        <v>160</v>
      </c>
      <c r="J1060" s="2" t="s">
        <v>878</v>
      </c>
      <c r="K1060" s="8">
        <f t="shared" si="57"/>
        <v>43.92</v>
      </c>
    </row>
    <row r="1061" spans="1:11" hidden="1">
      <c r="A1061" s="134"/>
      <c r="F1061" s="138">
        <v>0.4</v>
      </c>
      <c r="G1061" s="90" t="s">
        <v>615</v>
      </c>
      <c r="H1061" s="86" t="s">
        <v>2118</v>
      </c>
      <c r="I1061" s="8">
        <f>D32</f>
        <v>267</v>
      </c>
      <c r="J1061" s="2" t="s">
        <v>615</v>
      </c>
      <c r="K1061" s="8">
        <f t="shared" si="57"/>
        <v>106.8</v>
      </c>
    </row>
    <row r="1062" spans="1:11" hidden="1">
      <c r="A1062" s="134"/>
      <c r="F1062" s="91">
        <v>2</v>
      </c>
      <c r="G1062" s="90" t="s">
        <v>2020</v>
      </c>
      <c r="H1062" s="86" t="s">
        <v>2021</v>
      </c>
      <c r="I1062" s="8">
        <f>C304</f>
        <v>8.5</v>
      </c>
      <c r="J1062" s="2" t="s">
        <v>2020</v>
      </c>
      <c r="K1062" s="8">
        <f t="shared" si="57"/>
        <v>17</v>
      </c>
    </row>
    <row r="1063" spans="1:11" hidden="1">
      <c r="A1063" s="134"/>
      <c r="F1063" s="91">
        <v>1</v>
      </c>
      <c r="G1063" s="90" t="s">
        <v>877</v>
      </c>
      <c r="H1063" s="86" t="s">
        <v>2022</v>
      </c>
      <c r="I1063" s="8">
        <f>C292</f>
        <v>12.6</v>
      </c>
      <c r="J1063" s="2" t="s">
        <v>877</v>
      </c>
      <c r="K1063" s="8">
        <f t="shared" si="57"/>
        <v>12.6</v>
      </c>
    </row>
    <row r="1064" spans="1:11" hidden="1">
      <c r="A1064" s="134"/>
      <c r="F1064" s="91">
        <v>1</v>
      </c>
      <c r="G1064" s="90" t="s">
        <v>877</v>
      </c>
      <c r="H1064" s="86" t="s">
        <v>2023</v>
      </c>
      <c r="I1064" s="8">
        <f>C290</f>
        <v>20.6</v>
      </c>
      <c r="J1064" s="2" t="s">
        <v>877</v>
      </c>
      <c r="K1064" s="8">
        <f t="shared" si="57"/>
        <v>20.6</v>
      </c>
    </row>
    <row r="1065" spans="1:11" hidden="1">
      <c r="A1065" s="134"/>
      <c r="I1065"/>
      <c r="J1065" s="4"/>
      <c r="K1065" s="5" t="s">
        <v>1609</v>
      </c>
    </row>
    <row r="1066" spans="1:11" hidden="1">
      <c r="A1066" s="134"/>
      <c r="H1066" s="102" t="s">
        <v>898</v>
      </c>
      <c r="I1066"/>
      <c r="J1066" s="4"/>
      <c r="K1066" s="8">
        <f>SUM(K1055:K1064)</f>
        <v>503.89</v>
      </c>
    </row>
    <row r="1067" spans="1:11" hidden="1">
      <c r="A1067" s="134"/>
      <c r="I1067"/>
      <c r="J1067" s="4"/>
      <c r="K1067" s="5" t="s">
        <v>1609</v>
      </c>
    </row>
    <row r="1068" spans="1:11" hidden="1">
      <c r="A1068" s="134"/>
      <c r="H1068" s="102" t="s">
        <v>556</v>
      </c>
      <c r="I1068" s="1" t="s">
        <v>987</v>
      </c>
      <c r="J1068" s="4"/>
      <c r="K1068" s="8">
        <f>K1066/F1061</f>
        <v>1259.73</v>
      </c>
    </row>
    <row r="1069" spans="1:11" hidden="1">
      <c r="A1069" s="134"/>
      <c r="F1069" s="86" t="s">
        <v>987</v>
      </c>
      <c r="I1069"/>
      <c r="J1069" s="4"/>
      <c r="K1069"/>
    </row>
    <row r="1070" spans="1:11" hidden="1">
      <c r="A1070" s="134"/>
      <c r="I1070"/>
      <c r="J1070" s="4"/>
      <c r="K1070" s="5" t="s">
        <v>2080</v>
      </c>
    </row>
    <row r="1071" spans="1:11" hidden="1">
      <c r="A1071" s="134"/>
      <c r="F1071" s="112">
        <v>22.3</v>
      </c>
      <c r="H1071" s="86" t="s">
        <v>2024</v>
      </c>
      <c r="I1071"/>
      <c r="J1071" s="4"/>
      <c r="K1071"/>
    </row>
    <row r="1072" spans="1:11" hidden="1">
      <c r="A1072" s="134"/>
      <c r="H1072" s="89" t="s">
        <v>1609</v>
      </c>
      <c r="I1072" s="5" t="s">
        <v>1609</v>
      </c>
      <c r="J1072" s="2" t="s">
        <v>1609</v>
      </c>
      <c r="K1072"/>
    </row>
    <row r="1073" spans="1:12" hidden="1">
      <c r="A1073" s="134"/>
      <c r="I1073"/>
      <c r="J1073" s="4"/>
      <c r="K1073"/>
    </row>
    <row r="1074" spans="1:12" hidden="1">
      <c r="A1074" s="134"/>
      <c r="H1074" s="86" t="s">
        <v>2025</v>
      </c>
      <c r="I1074"/>
      <c r="J1074" s="4"/>
      <c r="K1074"/>
    </row>
    <row r="1075" spans="1:12" hidden="1">
      <c r="A1075" s="134"/>
      <c r="H1075" s="86" t="s">
        <v>2026</v>
      </c>
      <c r="I1075"/>
      <c r="J1075" s="4"/>
      <c r="K1075"/>
    </row>
    <row r="1076" spans="1:12" hidden="1">
      <c r="A1076" s="134"/>
      <c r="H1076" s="86" t="s">
        <v>455</v>
      </c>
      <c r="I1076"/>
      <c r="J1076" s="4"/>
      <c r="K1076"/>
    </row>
    <row r="1077" spans="1:12" hidden="1">
      <c r="A1077" s="134"/>
      <c r="H1077" s="86" t="s">
        <v>456</v>
      </c>
      <c r="I1077"/>
      <c r="J1077" s="4"/>
      <c r="K1077"/>
    </row>
    <row r="1078" spans="1:12" hidden="1">
      <c r="A1078" s="134"/>
      <c r="H1078" s="86" t="s">
        <v>457</v>
      </c>
      <c r="I1078"/>
      <c r="J1078" s="4"/>
      <c r="K1078"/>
      <c r="L1078" s="86" t="s">
        <v>987</v>
      </c>
    </row>
    <row r="1079" spans="1:12" hidden="1">
      <c r="A1079" s="134"/>
      <c r="I1079"/>
      <c r="J1079" s="2" t="s">
        <v>987</v>
      </c>
      <c r="K1079" s="12">
        <v>3.32E-2</v>
      </c>
    </row>
    <row r="1080" spans="1:12" hidden="1">
      <c r="A1080" s="134"/>
      <c r="H1080" s="86" t="s">
        <v>2181</v>
      </c>
      <c r="I1080"/>
      <c r="J1080" s="137" t="s">
        <v>987</v>
      </c>
      <c r="K1080" s="15" t="s">
        <v>987</v>
      </c>
    </row>
    <row r="1081" spans="1:12" hidden="1">
      <c r="A1081" s="134"/>
      <c r="H1081" s="86" t="s">
        <v>1855</v>
      </c>
      <c r="I1081"/>
      <c r="J1081" s="4"/>
      <c r="K1081" s="15" t="s">
        <v>987</v>
      </c>
    </row>
    <row r="1082" spans="1:12" hidden="1">
      <c r="A1082" s="134"/>
      <c r="I1082"/>
      <c r="J1082" s="4"/>
      <c r="K1082"/>
    </row>
    <row r="1083" spans="1:12" hidden="1">
      <c r="A1083" s="134"/>
      <c r="F1083" s="138">
        <v>1.18E-2</v>
      </c>
      <c r="G1083" s="90" t="s">
        <v>878</v>
      </c>
      <c r="H1083" s="86" t="s">
        <v>698</v>
      </c>
      <c r="I1083" s="8">
        <f>C88</f>
        <v>65420</v>
      </c>
      <c r="J1083" s="2" t="s">
        <v>878</v>
      </c>
      <c r="K1083" s="8">
        <f t="shared" ref="K1083:K1092" si="58">(F1083*I1083)</f>
        <v>771.96</v>
      </c>
    </row>
    <row r="1084" spans="1:12" hidden="1">
      <c r="A1084" s="134"/>
      <c r="F1084" s="138">
        <v>3.32E-2</v>
      </c>
      <c r="G1084" s="90" t="s">
        <v>878</v>
      </c>
      <c r="H1084" s="86" t="s">
        <v>699</v>
      </c>
      <c r="I1084" s="8">
        <f>C89</f>
        <v>57165</v>
      </c>
      <c r="J1084" s="2" t="s">
        <v>878</v>
      </c>
      <c r="K1084" s="8">
        <f t="shared" si="58"/>
        <v>1897.88</v>
      </c>
    </row>
    <row r="1085" spans="1:12" hidden="1">
      <c r="A1085" s="134"/>
      <c r="F1085" s="138">
        <v>1.8550000000000001E-2</v>
      </c>
      <c r="G1085" s="90" t="s">
        <v>878</v>
      </c>
      <c r="H1085" s="86" t="s">
        <v>895</v>
      </c>
      <c r="I1085" s="8">
        <f>C30</f>
        <v>3035</v>
      </c>
      <c r="J1085" s="2" t="s">
        <v>878</v>
      </c>
      <c r="K1085" s="8">
        <f t="shared" si="58"/>
        <v>56.3</v>
      </c>
    </row>
    <row r="1086" spans="1:12" hidden="1">
      <c r="A1086" s="134"/>
      <c r="F1086" s="138">
        <v>1.46</v>
      </c>
      <c r="G1086" s="90" t="s">
        <v>615</v>
      </c>
      <c r="H1086" s="86" t="s">
        <v>896</v>
      </c>
      <c r="I1086" s="8">
        <v>385.89</v>
      </c>
      <c r="J1086" s="2" t="s">
        <v>615</v>
      </c>
      <c r="K1086" s="8">
        <f t="shared" si="58"/>
        <v>563.4</v>
      </c>
    </row>
    <row r="1087" spans="1:12" hidden="1">
      <c r="A1087" s="134"/>
      <c r="F1087" s="138">
        <v>2.0499999999999998</v>
      </c>
      <c r="G1087" s="90" t="s">
        <v>615</v>
      </c>
      <c r="H1087" s="86" t="s">
        <v>1528</v>
      </c>
      <c r="I1087" s="8">
        <f>D30</f>
        <v>287</v>
      </c>
      <c r="J1087" s="2" t="s">
        <v>615</v>
      </c>
      <c r="K1087" s="8">
        <f t="shared" si="58"/>
        <v>588.35</v>
      </c>
    </row>
    <row r="1088" spans="1:12" hidden="1">
      <c r="A1088" s="134"/>
      <c r="F1088" s="91">
        <v>2</v>
      </c>
      <c r="G1088" s="90" t="s">
        <v>877</v>
      </c>
      <c r="H1088" s="86" t="s">
        <v>1529</v>
      </c>
      <c r="I1088" s="8">
        <v>7.5</v>
      </c>
      <c r="J1088" s="2" t="s">
        <v>877</v>
      </c>
      <c r="K1088" s="8">
        <f t="shared" si="58"/>
        <v>15</v>
      </c>
    </row>
    <row r="1089" spans="1:11" hidden="1">
      <c r="A1089" s="134"/>
      <c r="F1089" s="91">
        <v>6</v>
      </c>
      <c r="G1089" s="90" t="s">
        <v>877</v>
      </c>
      <c r="H1089" s="86" t="s">
        <v>1363</v>
      </c>
      <c r="I1089" s="8">
        <f>C281</f>
        <v>25</v>
      </c>
      <c r="J1089" s="2" t="s">
        <v>877</v>
      </c>
      <c r="K1089" s="8">
        <f t="shared" si="58"/>
        <v>150</v>
      </c>
    </row>
    <row r="1090" spans="1:11" hidden="1">
      <c r="A1090" s="134"/>
      <c r="F1090" s="91">
        <v>2</v>
      </c>
      <c r="G1090" s="90" t="s">
        <v>877</v>
      </c>
      <c r="H1090" s="86" t="s">
        <v>2449</v>
      </c>
      <c r="I1090" s="8">
        <v>50</v>
      </c>
      <c r="J1090" s="2" t="s">
        <v>877</v>
      </c>
      <c r="K1090" s="8">
        <f t="shared" si="58"/>
        <v>100</v>
      </c>
    </row>
    <row r="1091" spans="1:11" hidden="1">
      <c r="A1091" s="134"/>
      <c r="F1091" s="91">
        <v>1</v>
      </c>
      <c r="G1091" s="90" t="s">
        <v>877</v>
      </c>
      <c r="H1091" s="86" t="s">
        <v>1437</v>
      </c>
      <c r="I1091" s="8">
        <v>50</v>
      </c>
      <c r="J1091" s="2" t="s">
        <v>877</v>
      </c>
      <c r="K1091" s="8">
        <f t="shared" si="58"/>
        <v>50</v>
      </c>
    </row>
    <row r="1092" spans="1:11" hidden="1">
      <c r="A1092" s="134"/>
      <c r="F1092" s="91">
        <v>2.52</v>
      </c>
      <c r="G1092" s="90" t="s">
        <v>615</v>
      </c>
      <c r="H1092" s="86" t="s">
        <v>1738</v>
      </c>
      <c r="I1092" s="8">
        <f>K1122</f>
        <v>51.25</v>
      </c>
      <c r="J1092" s="2" t="s">
        <v>615</v>
      </c>
      <c r="K1092" s="8">
        <f t="shared" si="58"/>
        <v>129.15</v>
      </c>
    </row>
    <row r="1093" spans="1:11" hidden="1">
      <c r="A1093" s="134"/>
      <c r="H1093" s="86" t="s">
        <v>1434</v>
      </c>
      <c r="I1093" s="2" t="s">
        <v>450</v>
      </c>
      <c r="J1093" s="4"/>
      <c r="K1093" s="8">
        <v>0.21</v>
      </c>
    </row>
    <row r="1094" spans="1:11" hidden="1">
      <c r="A1094" s="134"/>
      <c r="I1094"/>
      <c r="J1094" s="4"/>
      <c r="K1094" s="5" t="s">
        <v>1609</v>
      </c>
    </row>
    <row r="1095" spans="1:11" hidden="1">
      <c r="A1095" s="134"/>
      <c r="H1095" s="102" t="s">
        <v>1435</v>
      </c>
      <c r="I1095"/>
      <c r="J1095" s="4"/>
      <c r="K1095" s="8">
        <f>SUM(K1083:K1093)</f>
        <v>4322.25</v>
      </c>
    </row>
    <row r="1096" spans="1:11" hidden="1">
      <c r="A1096" s="134"/>
      <c r="G1096" s="90" t="s">
        <v>987</v>
      </c>
      <c r="I1096"/>
      <c r="J1096" s="4"/>
      <c r="K1096" s="5" t="s">
        <v>1609</v>
      </c>
    </row>
    <row r="1097" spans="1:11" hidden="1">
      <c r="A1097" s="134"/>
      <c r="H1097" s="102" t="s">
        <v>556</v>
      </c>
      <c r="I1097"/>
      <c r="J1097" s="4"/>
      <c r="K1097" s="8">
        <f>K1095/2.52</f>
        <v>1715.18</v>
      </c>
    </row>
    <row r="1098" spans="1:11" hidden="1">
      <c r="A1098" s="134"/>
      <c r="I1098"/>
      <c r="J1098" s="4"/>
      <c r="K1098" s="5" t="s">
        <v>2080</v>
      </c>
    </row>
    <row r="1099" spans="1:11" hidden="1">
      <c r="A1099" s="134"/>
      <c r="G1099" s="90" t="s">
        <v>2276</v>
      </c>
      <c r="H1099" s="86" t="s">
        <v>184</v>
      </c>
      <c r="I1099"/>
      <c r="J1099" s="4"/>
      <c r="K1099"/>
    </row>
    <row r="1100" spans="1:11" hidden="1">
      <c r="A1100" s="134"/>
      <c r="H1100" s="89" t="s">
        <v>1609</v>
      </c>
      <c r="I1100" s="5" t="s">
        <v>1609</v>
      </c>
      <c r="J1100" s="4"/>
      <c r="K1100"/>
    </row>
    <row r="1101" spans="1:11" hidden="1">
      <c r="A1101" s="134"/>
      <c r="F1101" s="91">
        <v>0.77</v>
      </c>
      <c r="G1101" s="90" t="s">
        <v>185</v>
      </c>
      <c r="H1101" s="86" t="s">
        <v>186</v>
      </c>
      <c r="I1101" s="8">
        <f>C193</f>
        <v>210</v>
      </c>
      <c r="J1101" s="2" t="s">
        <v>185</v>
      </c>
      <c r="K1101" s="8">
        <f>(F1101*I1101)</f>
        <v>161.69999999999999</v>
      </c>
    </row>
    <row r="1102" spans="1:11" hidden="1">
      <c r="A1102" s="134"/>
      <c r="F1102" s="91">
        <v>0.61</v>
      </c>
      <c r="G1102" s="90" t="s">
        <v>185</v>
      </c>
      <c r="H1102" s="86" t="s">
        <v>187</v>
      </c>
      <c r="I1102" s="8">
        <f>C192</f>
        <v>25</v>
      </c>
      <c r="J1102" s="2" t="s">
        <v>185</v>
      </c>
      <c r="K1102" s="8">
        <f>(F1102*I1102)</f>
        <v>15.25</v>
      </c>
    </row>
    <row r="1103" spans="1:11" hidden="1">
      <c r="A1103" s="134"/>
      <c r="F1103" s="91">
        <v>0.7</v>
      </c>
      <c r="G1103" s="90" t="s">
        <v>564</v>
      </c>
      <c r="H1103" s="86" t="s">
        <v>1536</v>
      </c>
      <c r="I1103" s="8">
        <f>C14</f>
        <v>120</v>
      </c>
      <c r="J1103" s="2" t="s">
        <v>1741</v>
      </c>
      <c r="K1103" s="8">
        <f>(F1103*I1103)</f>
        <v>84</v>
      </c>
    </row>
    <row r="1104" spans="1:11" hidden="1">
      <c r="A1104" s="134"/>
      <c r="F1104" s="91">
        <v>0.7</v>
      </c>
      <c r="G1104" s="90" t="s">
        <v>564</v>
      </c>
      <c r="H1104" s="86" t="s">
        <v>887</v>
      </c>
      <c r="I1104" s="8">
        <f>C12</f>
        <v>95</v>
      </c>
      <c r="J1104" s="2" t="s">
        <v>1741</v>
      </c>
      <c r="K1104" s="8">
        <f>(F1104*I1104)</f>
        <v>66.5</v>
      </c>
    </row>
    <row r="1105" spans="1:11" hidden="1">
      <c r="A1105" s="134"/>
      <c r="G1105" s="90" t="s">
        <v>450</v>
      </c>
      <c r="H1105" s="86" t="s">
        <v>1199</v>
      </c>
      <c r="I1105"/>
      <c r="J1105" s="2" t="s">
        <v>450</v>
      </c>
      <c r="K1105" s="8">
        <v>1.5</v>
      </c>
    </row>
    <row r="1106" spans="1:11" hidden="1">
      <c r="A1106" s="134"/>
      <c r="I1106"/>
      <c r="J1106" s="4"/>
      <c r="K1106" s="5" t="s">
        <v>1609</v>
      </c>
    </row>
    <row r="1107" spans="1:11" hidden="1">
      <c r="A1107" s="134"/>
      <c r="H1107" s="102" t="s">
        <v>1461</v>
      </c>
      <c r="I1107"/>
      <c r="J1107" s="4"/>
      <c r="K1107" s="8">
        <f>SUM(K1101:K1105)</f>
        <v>328.95</v>
      </c>
    </row>
    <row r="1108" spans="1:11" hidden="1">
      <c r="A1108" s="134"/>
      <c r="I1108"/>
      <c r="J1108" s="4"/>
      <c r="K1108" s="5" t="s">
        <v>1609</v>
      </c>
    </row>
    <row r="1109" spans="1:11" hidden="1">
      <c r="A1109" s="134"/>
      <c r="H1109" s="102" t="s">
        <v>556</v>
      </c>
      <c r="I1109"/>
      <c r="J1109" s="4"/>
      <c r="K1109" s="8">
        <f>(K1107/10)</f>
        <v>32.9</v>
      </c>
    </row>
    <row r="1110" spans="1:11" hidden="1">
      <c r="A1110" s="134"/>
      <c r="I1110"/>
      <c r="J1110" s="4"/>
      <c r="K1110" s="5" t="s">
        <v>2080</v>
      </c>
    </row>
    <row r="1111" spans="1:11" hidden="1">
      <c r="A1111" s="134"/>
      <c r="I1111"/>
      <c r="J1111" s="4"/>
      <c r="K1111"/>
    </row>
    <row r="1112" spans="1:11" hidden="1">
      <c r="A1112" s="134"/>
      <c r="F1112" s="86" t="s">
        <v>987</v>
      </c>
      <c r="G1112" s="90" t="s">
        <v>2276</v>
      </c>
      <c r="H1112" s="86" t="s">
        <v>1462</v>
      </c>
      <c r="I1112"/>
      <c r="J1112" s="4"/>
      <c r="K1112"/>
    </row>
    <row r="1113" spans="1:11" hidden="1">
      <c r="A1113" s="134"/>
      <c r="H1113" s="89" t="s">
        <v>1609</v>
      </c>
      <c r="I1113" s="5" t="s">
        <v>1609</v>
      </c>
      <c r="J1113" s="4"/>
      <c r="K1113"/>
    </row>
    <row r="1114" spans="1:11" hidden="1">
      <c r="A1114" s="134"/>
      <c r="F1114" s="91">
        <v>1.2</v>
      </c>
      <c r="G1114" s="90" t="s">
        <v>185</v>
      </c>
      <c r="H1114" s="86" t="s">
        <v>186</v>
      </c>
      <c r="I1114" s="8">
        <f>C193</f>
        <v>210</v>
      </c>
      <c r="J1114" s="2" t="s">
        <v>185</v>
      </c>
      <c r="K1114" s="8">
        <f>(F1114*I1114)</f>
        <v>252</v>
      </c>
    </row>
    <row r="1115" spans="1:11" hidden="1">
      <c r="A1115" s="134"/>
      <c r="F1115" s="91">
        <v>0.9</v>
      </c>
      <c r="G1115" s="90" t="s">
        <v>185</v>
      </c>
      <c r="H1115" s="86" t="s">
        <v>187</v>
      </c>
      <c r="I1115" s="8">
        <f>C192</f>
        <v>25</v>
      </c>
      <c r="J1115" s="2" t="s">
        <v>185</v>
      </c>
      <c r="K1115" s="8">
        <f>(F1115*I1115)</f>
        <v>22.5</v>
      </c>
    </row>
    <row r="1116" spans="1:11" hidden="1">
      <c r="A1116" s="134"/>
      <c r="F1116" s="91">
        <v>1.1000000000000001</v>
      </c>
      <c r="G1116" s="90" t="s">
        <v>564</v>
      </c>
      <c r="H1116" s="86" t="s">
        <v>1536</v>
      </c>
      <c r="I1116" s="8">
        <f>C14</f>
        <v>120</v>
      </c>
      <c r="J1116" s="2" t="s">
        <v>1741</v>
      </c>
      <c r="K1116" s="8">
        <f>(F1116*I1116)</f>
        <v>132</v>
      </c>
    </row>
    <row r="1117" spans="1:11" hidden="1">
      <c r="A1117" s="134"/>
      <c r="F1117" s="91">
        <v>1.1000000000000001</v>
      </c>
      <c r="G1117" s="90" t="s">
        <v>564</v>
      </c>
      <c r="H1117" s="86" t="s">
        <v>887</v>
      </c>
      <c r="I1117" s="8">
        <f>C12</f>
        <v>95</v>
      </c>
      <c r="J1117" s="2" t="s">
        <v>1741</v>
      </c>
      <c r="K1117" s="8">
        <f>(F1117*I1117)</f>
        <v>104.5</v>
      </c>
    </row>
    <row r="1118" spans="1:11" hidden="1">
      <c r="A1118" s="134"/>
      <c r="G1118" s="90" t="s">
        <v>450</v>
      </c>
      <c r="H1118" s="86" t="s">
        <v>1199</v>
      </c>
      <c r="I1118"/>
      <c r="J1118" s="2" t="s">
        <v>450</v>
      </c>
      <c r="K1118" s="8">
        <v>1.5</v>
      </c>
    </row>
    <row r="1119" spans="1:11" hidden="1">
      <c r="A1119" s="134"/>
      <c r="I1119"/>
      <c r="J1119" s="4"/>
      <c r="K1119" s="5" t="s">
        <v>1609</v>
      </c>
    </row>
    <row r="1120" spans="1:11" hidden="1">
      <c r="A1120" s="134"/>
      <c r="H1120" s="102" t="s">
        <v>1461</v>
      </c>
      <c r="I1120"/>
      <c r="J1120" s="4"/>
      <c r="K1120" s="8">
        <f>SUM(K1114:K1118)</f>
        <v>512.5</v>
      </c>
    </row>
    <row r="1121" spans="1:33" hidden="1">
      <c r="A1121" s="134"/>
      <c r="I1121"/>
      <c r="J1121" s="4"/>
      <c r="K1121" s="5" t="s">
        <v>1609</v>
      </c>
    </row>
    <row r="1122" spans="1:33" hidden="1">
      <c r="A1122" s="134"/>
      <c r="H1122" s="102" t="s">
        <v>556</v>
      </c>
      <c r="I1122"/>
      <c r="J1122" s="4"/>
      <c r="K1122" s="8">
        <f>(K1120/10)</f>
        <v>51.25</v>
      </c>
    </row>
    <row r="1123" spans="1:33" hidden="1">
      <c r="A1123" s="134"/>
      <c r="I1123"/>
      <c r="J1123" s="4"/>
      <c r="K1123" s="5" t="s">
        <v>2080</v>
      </c>
    </row>
    <row r="1124" spans="1:33" hidden="1">
      <c r="A1124" s="134"/>
      <c r="I1124"/>
      <c r="J1124" s="4"/>
      <c r="K1124"/>
    </row>
    <row r="1125" spans="1:33" hidden="1">
      <c r="A1125" s="134"/>
      <c r="F1125" s="123">
        <v>23.3</v>
      </c>
      <c r="H1125" s="87" t="s">
        <v>2312</v>
      </c>
      <c r="I1125"/>
      <c r="J1125" s="4"/>
      <c r="K1125">
        <v>35</v>
      </c>
    </row>
    <row r="1126" spans="1:33" hidden="1">
      <c r="A1126" s="134"/>
      <c r="I1126"/>
      <c r="J1126" s="4"/>
      <c r="K1126"/>
    </row>
    <row r="1127" spans="1:33" hidden="1">
      <c r="A1127" s="134"/>
      <c r="I1127"/>
      <c r="J1127" s="4"/>
      <c r="K1127"/>
    </row>
    <row r="1128" spans="1:33" hidden="1">
      <c r="A1128" s="134"/>
      <c r="F1128" s="102" t="s">
        <v>1463</v>
      </c>
      <c r="G1128" s="90" t="s">
        <v>2276</v>
      </c>
      <c r="H1128" s="86" t="s">
        <v>2441</v>
      </c>
      <c r="I1128"/>
      <c r="J1128" s="4"/>
      <c r="K1128"/>
      <c r="AG1128" s="86" t="s">
        <v>2284</v>
      </c>
    </row>
    <row r="1129" spans="1:33" hidden="1">
      <c r="A1129" s="134"/>
      <c r="H1129" s="86" t="s">
        <v>1464</v>
      </c>
      <c r="I1129"/>
      <c r="J1129" s="4"/>
      <c r="K1129"/>
      <c r="AG1129" s="86" t="s">
        <v>2284</v>
      </c>
    </row>
    <row r="1130" spans="1:33" hidden="1">
      <c r="A1130" s="134"/>
      <c r="H1130" s="89" t="s">
        <v>1609</v>
      </c>
      <c r="I1130" s="5" t="s">
        <v>1609</v>
      </c>
      <c r="J1130" s="4"/>
      <c r="K1130"/>
      <c r="AG1130" s="86" t="s">
        <v>2284</v>
      </c>
    </row>
    <row r="1131" spans="1:33" hidden="1">
      <c r="A1131" s="134"/>
      <c r="F1131" s="122">
        <v>0.53339999999999999</v>
      </c>
      <c r="G1131" s="90" t="s">
        <v>2308</v>
      </c>
      <c r="H1131" s="86" t="s">
        <v>2442</v>
      </c>
      <c r="I1131" s="8">
        <f>C271</f>
        <v>160</v>
      </c>
      <c r="J1131" s="2" t="s">
        <v>2308</v>
      </c>
      <c r="K1131" s="8">
        <f>(F1131*I1131)</f>
        <v>85.34</v>
      </c>
      <c r="AG1131" s="86" t="s">
        <v>2284</v>
      </c>
    </row>
    <row r="1132" spans="1:33" hidden="1">
      <c r="A1132" s="134"/>
      <c r="F1132" s="91">
        <v>4.24</v>
      </c>
      <c r="G1132" s="90" t="s">
        <v>835</v>
      </c>
      <c r="H1132" s="86" t="s">
        <v>711</v>
      </c>
      <c r="I1132" s="8">
        <v>13.66</v>
      </c>
      <c r="J1132" s="2" t="s">
        <v>835</v>
      </c>
      <c r="K1132" s="8">
        <f>(F1132*I1132)</f>
        <v>57.92</v>
      </c>
      <c r="AG1132" s="86" t="s">
        <v>2284</v>
      </c>
    </row>
    <row r="1133" spans="1:33" hidden="1">
      <c r="A1133" s="134"/>
      <c r="F1133" s="91">
        <v>16</v>
      </c>
      <c r="G1133" s="90" t="s">
        <v>564</v>
      </c>
      <c r="H1133" s="86" t="s">
        <v>712</v>
      </c>
      <c r="I1133" s="8">
        <v>0.5</v>
      </c>
      <c r="J1133" s="2" t="s">
        <v>1418</v>
      </c>
      <c r="K1133" s="8">
        <f>(F1133*I1133)</f>
        <v>8</v>
      </c>
      <c r="AG1133" s="86" t="s">
        <v>322</v>
      </c>
    </row>
    <row r="1134" spans="1:33" hidden="1">
      <c r="A1134" s="134"/>
      <c r="F1134" s="122">
        <v>0.53339999999999999</v>
      </c>
      <c r="G1134" s="90" t="s">
        <v>2308</v>
      </c>
      <c r="H1134" s="86" t="s">
        <v>713</v>
      </c>
      <c r="I1134" s="8">
        <f>0.25/1.08*D16</f>
        <v>31.25</v>
      </c>
      <c r="J1134" s="2" t="s">
        <v>2308</v>
      </c>
      <c r="K1134" s="8">
        <f>(F1134*I1134)</f>
        <v>16.670000000000002</v>
      </c>
    </row>
    <row r="1135" spans="1:33" hidden="1">
      <c r="A1135" s="134"/>
      <c r="G1135" s="90" t="s">
        <v>450</v>
      </c>
      <c r="H1135" s="86" t="s">
        <v>2296</v>
      </c>
      <c r="I1135"/>
      <c r="J1135" s="2" t="s">
        <v>450</v>
      </c>
      <c r="K1135" s="8">
        <v>0</v>
      </c>
    </row>
    <row r="1136" spans="1:33" hidden="1">
      <c r="A1136" s="134"/>
      <c r="H1136" s="86" t="s">
        <v>2297</v>
      </c>
      <c r="I1136"/>
      <c r="J1136" s="4"/>
      <c r="K1136"/>
      <c r="AG1136" s="86" t="s">
        <v>2284</v>
      </c>
    </row>
    <row r="1137" spans="1:33" hidden="1">
      <c r="A1137" s="134"/>
      <c r="I1137"/>
      <c r="J1137" s="4"/>
      <c r="K1137" s="5" t="s">
        <v>1609</v>
      </c>
      <c r="AG1137" s="86" t="s">
        <v>2284</v>
      </c>
    </row>
    <row r="1138" spans="1:33" hidden="1">
      <c r="A1138" s="134"/>
      <c r="H1138" s="102" t="s">
        <v>1719</v>
      </c>
      <c r="I1138"/>
      <c r="J1138" s="4"/>
      <c r="K1138" s="8">
        <f>SUM(K1131:K1135)</f>
        <v>167.93</v>
      </c>
      <c r="AG1138" s="86" t="s">
        <v>2284</v>
      </c>
    </row>
    <row r="1139" spans="1:33" hidden="1">
      <c r="A1139" s="134"/>
      <c r="I1139"/>
      <c r="J1139" s="4"/>
      <c r="K1139" s="5" t="s">
        <v>1609</v>
      </c>
      <c r="AG1139" s="86" t="s">
        <v>2284</v>
      </c>
    </row>
    <row r="1140" spans="1:33" hidden="1">
      <c r="A1140" s="134"/>
      <c r="H1140" s="102" t="s">
        <v>1720</v>
      </c>
      <c r="I1140"/>
      <c r="J1140" s="4"/>
      <c r="K1140" s="8">
        <f>ROUND(K1138/0.5334,1)</f>
        <v>314.8</v>
      </c>
      <c r="AG1140" s="86" t="s">
        <v>2284</v>
      </c>
    </row>
    <row r="1141" spans="1:33" hidden="1">
      <c r="A1141" s="134"/>
      <c r="F1141" s="86" t="s">
        <v>987</v>
      </c>
      <c r="I1141"/>
      <c r="J1141" s="4"/>
      <c r="K1141" s="5" t="s">
        <v>2080</v>
      </c>
    </row>
    <row r="1142" spans="1:33" hidden="1">
      <c r="A1142" s="134"/>
      <c r="F1142" s="86" t="s">
        <v>987</v>
      </c>
      <c r="G1142" s="90" t="s">
        <v>987</v>
      </c>
      <c r="H1142" s="86" t="s">
        <v>987</v>
      </c>
      <c r="I1142"/>
      <c r="J1142" s="4"/>
      <c r="K1142"/>
    </row>
    <row r="1143" spans="1:33" hidden="1">
      <c r="A1143" s="134"/>
      <c r="F1143" s="102" t="s">
        <v>1823</v>
      </c>
      <c r="G1143" s="90" t="s">
        <v>2276</v>
      </c>
      <c r="H1143" s="86" t="s">
        <v>1514</v>
      </c>
      <c r="I1143"/>
      <c r="J1143" s="4"/>
      <c r="K1143"/>
      <c r="AG1143" s="86" t="s">
        <v>2284</v>
      </c>
    </row>
    <row r="1144" spans="1:33" hidden="1">
      <c r="A1144" s="134"/>
      <c r="H1144" s="86" t="s">
        <v>1515</v>
      </c>
      <c r="I1144"/>
      <c r="J1144" s="4"/>
      <c r="K1144"/>
      <c r="AG1144" s="86" t="s">
        <v>2284</v>
      </c>
    </row>
    <row r="1145" spans="1:33" hidden="1">
      <c r="A1145" s="134"/>
      <c r="H1145" s="89" t="s">
        <v>1609</v>
      </c>
      <c r="I1145"/>
      <c r="J1145" s="4"/>
      <c r="K1145"/>
      <c r="AG1145" s="86" t="s">
        <v>2284</v>
      </c>
    </row>
    <row r="1146" spans="1:33" hidden="1">
      <c r="A1146" s="134"/>
      <c r="F1146" s="91">
        <v>1</v>
      </c>
      <c r="G1146" s="90" t="s">
        <v>1670</v>
      </c>
      <c r="H1146" s="86" t="s">
        <v>2443</v>
      </c>
      <c r="I1146" s="8">
        <f>(C638)</f>
        <v>37</v>
      </c>
      <c r="J1146" s="2" t="s">
        <v>1670</v>
      </c>
      <c r="K1146" s="8">
        <f>(F1146*I1146)</f>
        <v>37</v>
      </c>
      <c r="AG1146" s="86" t="s">
        <v>2284</v>
      </c>
    </row>
    <row r="1147" spans="1:33" hidden="1">
      <c r="A1147" s="134"/>
      <c r="I1147"/>
      <c r="J1147" s="4"/>
      <c r="K1147" s="5" t="s">
        <v>2080</v>
      </c>
      <c r="AG1147" s="86" t="s">
        <v>2284</v>
      </c>
    </row>
    <row r="1148" spans="1:33" hidden="1">
      <c r="A1148" s="134"/>
      <c r="I1148"/>
      <c r="J1148" s="4"/>
      <c r="K1148"/>
      <c r="AG1148" s="86" t="s">
        <v>2284</v>
      </c>
    </row>
    <row r="1149" spans="1:33" hidden="1">
      <c r="A1149" s="134"/>
      <c r="F1149" s="102" t="s">
        <v>446</v>
      </c>
      <c r="G1149" s="90" t="s">
        <v>2276</v>
      </c>
      <c r="H1149" s="86" t="s">
        <v>261</v>
      </c>
      <c r="I1149" s="1" t="s">
        <v>987</v>
      </c>
      <c r="J1149" s="2" t="s">
        <v>1741</v>
      </c>
      <c r="K1149" s="8">
        <v>3.7</v>
      </c>
      <c r="AG1149" s="86" t="s">
        <v>2284</v>
      </c>
    </row>
    <row r="1150" spans="1:33" hidden="1">
      <c r="A1150" s="134"/>
      <c r="H1150" s="86" t="s">
        <v>262</v>
      </c>
      <c r="I1150"/>
      <c r="J1150" s="4"/>
      <c r="K1150" s="5" t="s">
        <v>2080</v>
      </c>
      <c r="AG1150" s="86" t="s">
        <v>2284</v>
      </c>
    </row>
    <row r="1151" spans="1:33" hidden="1">
      <c r="A1151" s="134"/>
      <c r="I1151"/>
      <c r="J1151" s="4"/>
      <c r="K1151"/>
      <c r="AG1151" s="86" t="s">
        <v>2284</v>
      </c>
    </row>
    <row r="1152" spans="1:33" hidden="1">
      <c r="A1152" s="134"/>
      <c r="F1152" s="102" t="s">
        <v>228</v>
      </c>
      <c r="G1152" s="90" t="s">
        <v>2276</v>
      </c>
      <c r="H1152" s="86" t="s">
        <v>1947</v>
      </c>
      <c r="I1152"/>
      <c r="J1152" s="4"/>
      <c r="K1152"/>
      <c r="AG1152" s="86" t="s">
        <v>2284</v>
      </c>
    </row>
    <row r="1153" spans="1:33" hidden="1">
      <c r="A1153" s="134"/>
      <c r="H1153" s="86" t="s">
        <v>943</v>
      </c>
      <c r="I1153"/>
      <c r="J1153" s="4"/>
      <c r="K1153"/>
      <c r="AG1153" s="86" t="s">
        <v>2284</v>
      </c>
    </row>
    <row r="1154" spans="1:33" hidden="1">
      <c r="A1154" s="134"/>
      <c r="H1154" s="89" t="s">
        <v>1609</v>
      </c>
      <c r="I1154"/>
      <c r="J1154" s="4"/>
      <c r="K1154"/>
      <c r="AG1154" s="86" t="s">
        <v>2284</v>
      </c>
    </row>
    <row r="1155" spans="1:33" hidden="1">
      <c r="A1155" s="134"/>
      <c r="F1155" s="91">
        <v>0.22</v>
      </c>
      <c r="G1155" s="90" t="s">
        <v>878</v>
      </c>
      <c r="H1155" s="86" t="s">
        <v>1327</v>
      </c>
      <c r="I1155" s="8" t="e">
        <f>(K40)</f>
        <v>#REF!</v>
      </c>
      <c r="J1155" s="2" t="s">
        <v>878</v>
      </c>
      <c r="K1155" s="8" t="e">
        <f>(F1155*I1155)</f>
        <v>#REF!</v>
      </c>
      <c r="AG1155" s="86" t="s">
        <v>2284</v>
      </c>
    </row>
    <row r="1156" spans="1:33" hidden="1">
      <c r="A1156" s="134"/>
      <c r="F1156" s="91">
        <v>2.2000000000000002</v>
      </c>
      <c r="G1156" s="90" t="s">
        <v>778</v>
      </c>
      <c r="H1156" s="86" t="s">
        <v>2034</v>
      </c>
      <c r="I1156" s="8">
        <f>(C10)</f>
        <v>150</v>
      </c>
      <c r="J1156" s="2" t="s">
        <v>778</v>
      </c>
      <c r="K1156" s="8">
        <f>(F1156*I1156)</f>
        <v>330</v>
      </c>
      <c r="AG1156" s="86" t="s">
        <v>2284</v>
      </c>
    </row>
    <row r="1157" spans="1:33" hidden="1">
      <c r="A1157" s="134"/>
      <c r="F1157" s="91">
        <v>0.5</v>
      </c>
      <c r="G1157" s="90" t="s">
        <v>778</v>
      </c>
      <c r="H1157" s="86" t="s">
        <v>944</v>
      </c>
      <c r="I1157" s="8">
        <f>(C12)</f>
        <v>95</v>
      </c>
      <c r="J1157" s="2" t="s">
        <v>778</v>
      </c>
      <c r="K1157" s="8">
        <f>(F1157*I1157)</f>
        <v>47.5</v>
      </c>
      <c r="AG1157" s="86" t="s">
        <v>2284</v>
      </c>
    </row>
    <row r="1158" spans="1:33" hidden="1">
      <c r="A1158" s="134"/>
      <c r="F1158" s="91">
        <v>3.2</v>
      </c>
      <c r="G1158" s="90" t="s">
        <v>778</v>
      </c>
      <c r="H1158" s="86" t="s">
        <v>321</v>
      </c>
      <c r="I1158" s="8">
        <f>(C13)</f>
        <v>85</v>
      </c>
      <c r="J1158" s="2" t="s">
        <v>778</v>
      </c>
      <c r="K1158" s="8">
        <f>(F1158*I1158)</f>
        <v>272</v>
      </c>
      <c r="AG1158" s="86" t="s">
        <v>2284</v>
      </c>
    </row>
    <row r="1159" spans="1:33" hidden="1">
      <c r="A1159" s="134"/>
      <c r="G1159" s="90" t="s">
        <v>450</v>
      </c>
      <c r="H1159" s="86" t="s">
        <v>451</v>
      </c>
      <c r="I1159" s="1" t="s">
        <v>987</v>
      </c>
      <c r="J1159" s="2" t="s">
        <v>450</v>
      </c>
      <c r="K1159" s="8">
        <v>0</v>
      </c>
      <c r="AG1159" s="86" t="s">
        <v>2284</v>
      </c>
    </row>
    <row r="1160" spans="1:33" hidden="1">
      <c r="A1160" s="134"/>
      <c r="I1160"/>
      <c r="J1160" s="4"/>
      <c r="K1160" s="5" t="s">
        <v>1609</v>
      </c>
      <c r="AG1160" s="86" t="s">
        <v>2284</v>
      </c>
    </row>
    <row r="1161" spans="1:33" hidden="1">
      <c r="A1161" s="134"/>
      <c r="H1161" s="86" t="s">
        <v>442</v>
      </c>
      <c r="I1161"/>
      <c r="J1161" s="4"/>
      <c r="K1161" s="8" t="e">
        <f>SUM(K1155:K1159)</f>
        <v>#REF!</v>
      </c>
      <c r="AG1161" s="86" t="s">
        <v>2284</v>
      </c>
    </row>
    <row r="1162" spans="1:33" hidden="1">
      <c r="A1162" s="134"/>
      <c r="I1162"/>
      <c r="J1162" s="4"/>
      <c r="K1162" s="5" t="s">
        <v>1609</v>
      </c>
      <c r="AG1162" s="86" t="s">
        <v>2284</v>
      </c>
    </row>
    <row r="1163" spans="1:33" hidden="1">
      <c r="A1163" s="134"/>
      <c r="H1163" s="86" t="s">
        <v>556</v>
      </c>
      <c r="I1163"/>
      <c r="J1163" s="4"/>
      <c r="K1163" s="8" t="e">
        <f>(K1161/10)</f>
        <v>#REF!</v>
      </c>
      <c r="AG1163" s="86" t="s">
        <v>2284</v>
      </c>
    </row>
    <row r="1164" spans="1:33" hidden="1">
      <c r="A1164" s="134"/>
      <c r="I1164"/>
      <c r="J1164" s="4"/>
      <c r="K1164" s="5" t="s">
        <v>2080</v>
      </c>
      <c r="AG1164" s="86" t="s">
        <v>2284</v>
      </c>
    </row>
    <row r="1165" spans="1:33" hidden="1">
      <c r="A1165" s="134"/>
      <c r="F1165" s="102" t="s">
        <v>945</v>
      </c>
      <c r="G1165" s="90" t="s">
        <v>2276</v>
      </c>
      <c r="H1165" s="86" t="s">
        <v>1869</v>
      </c>
      <c r="I1165"/>
      <c r="J1165" s="4"/>
      <c r="K1165"/>
      <c r="AG1165" s="86" t="s">
        <v>2284</v>
      </c>
    </row>
    <row r="1166" spans="1:33" hidden="1">
      <c r="A1166" s="134"/>
      <c r="H1166" s="86" t="s">
        <v>1897</v>
      </c>
      <c r="I1166"/>
      <c r="J1166" s="4"/>
      <c r="K1166"/>
      <c r="AG1166" s="86" t="s">
        <v>2284</v>
      </c>
    </row>
    <row r="1167" spans="1:33" hidden="1">
      <c r="A1167" s="134"/>
      <c r="H1167" s="89" t="s">
        <v>1609</v>
      </c>
      <c r="I1167"/>
      <c r="J1167" s="4"/>
      <c r="K1167"/>
      <c r="AG1167" s="86" t="s">
        <v>2284</v>
      </c>
    </row>
    <row r="1168" spans="1:33" hidden="1">
      <c r="A1168" s="134"/>
      <c r="F1168" s="91">
        <v>160</v>
      </c>
      <c r="G1168" s="90" t="s">
        <v>1898</v>
      </c>
      <c r="H1168" s="86" t="s">
        <v>1899</v>
      </c>
      <c r="I1168" s="8">
        <f>(C136)</f>
        <v>8240</v>
      </c>
      <c r="J1168" s="2" t="s">
        <v>1503</v>
      </c>
      <c r="K1168" s="8">
        <f>(F1168*I1168)/1000</f>
        <v>1318.4</v>
      </c>
      <c r="AG1168" s="86" t="s">
        <v>322</v>
      </c>
    </row>
    <row r="1169" spans="1:33" hidden="1">
      <c r="A1169" s="134"/>
      <c r="H1169" s="86" t="s">
        <v>1900</v>
      </c>
      <c r="I1169" s="1" t="s">
        <v>987</v>
      </c>
      <c r="J1169" s="4"/>
      <c r="K1169" s="1" t="s">
        <v>987</v>
      </c>
    </row>
    <row r="1170" spans="1:33" hidden="1">
      <c r="A1170" s="134"/>
      <c r="F1170" s="91">
        <v>0.21</v>
      </c>
      <c r="G1170" s="90" t="s">
        <v>878</v>
      </c>
      <c r="H1170" s="86" t="s">
        <v>1901</v>
      </c>
      <c r="I1170" s="8" t="e">
        <f>(K32)</f>
        <v>#REF!</v>
      </c>
      <c r="J1170" s="2" t="s">
        <v>878</v>
      </c>
      <c r="K1170" s="8" t="e">
        <f>(F1170*I1170)</f>
        <v>#REF!</v>
      </c>
    </row>
    <row r="1171" spans="1:33" hidden="1">
      <c r="A1171" s="134"/>
      <c r="H1171" s="86" t="s">
        <v>1902</v>
      </c>
      <c r="I1171" s="1" t="s">
        <v>987</v>
      </c>
      <c r="J1171" s="4"/>
      <c r="K1171" s="1" t="s">
        <v>987</v>
      </c>
      <c r="AG1171" s="86" t="s">
        <v>2284</v>
      </c>
    </row>
    <row r="1172" spans="1:33" hidden="1">
      <c r="A1172" s="134"/>
      <c r="F1172" s="91">
        <v>1.1000000000000001</v>
      </c>
      <c r="G1172" s="90" t="s">
        <v>778</v>
      </c>
      <c r="H1172" s="86" t="s">
        <v>2034</v>
      </c>
      <c r="I1172" s="8">
        <f>(C10)</f>
        <v>150</v>
      </c>
      <c r="J1172" s="2" t="s">
        <v>778</v>
      </c>
      <c r="K1172" s="8">
        <f>(F1172*I1172)</f>
        <v>165</v>
      </c>
      <c r="AG1172" s="86" t="s">
        <v>2284</v>
      </c>
    </row>
    <row r="1173" spans="1:33" hidden="1">
      <c r="A1173" s="134"/>
      <c r="F1173" s="91">
        <v>1.1000000000000001</v>
      </c>
      <c r="G1173" s="90" t="s">
        <v>778</v>
      </c>
      <c r="H1173" s="86" t="s">
        <v>1737</v>
      </c>
      <c r="I1173" s="8">
        <f>(C11)</f>
        <v>135</v>
      </c>
      <c r="J1173" s="2" t="s">
        <v>778</v>
      </c>
      <c r="K1173" s="8">
        <f>(F1173*I1173)</f>
        <v>148.5</v>
      </c>
      <c r="AG1173" s="86" t="s">
        <v>2284</v>
      </c>
    </row>
    <row r="1174" spans="1:33" hidden="1">
      <c r="A1174" s="134"/>
      <c r="F1174" s="91">
        <v>2.2000000000000002</v>
      </c>
      <c r="G1174" s="90" t="s">
        <v>778</v>
      </c>
      <c r="H1174" s="86" t="s">
        <v>1927</v>
      </c>
      <c r="I1174" s="8">
        <f>(C12)</f>
        <v>95</v>
      </c>
      <c r="J1174" s="2" t="s">
        <v>778</v>
      </c>
      <c r="K1174" s="8">
        <f>(F1174*I1174)</f>
        <v>209</v>
      </c>
      <c r="AG1174" s="86" t="s">
        <v>2284</v>
      </c>
    </row>
    <row r="1175" spans="1:33" hidden="1">
      <c r="A1175" s="134"/>
      <c r="F1175" s="91">
        <v>2.2000000000000002</v>
      </c>
      <c r="G1175" s="90" t="s">
        <v>778</v>
      </c>
      <c r="H1175" s="86" t="s">
        <v>321</v>
      </c>
      <c r="I1175" s="8">
        <f>(C13)</f>
        <v>85</v>
      </c>
      <c r="J1175" s="2" t="s">
        <v>778</v>
      </c>
      <c r="K1175" s="8">
        <f>(F1175*I1175)</f>
        <v>187</v>
      </c>
      <c r="AG1175" s="86" t="s">
        <v>2284</v>
      </c>
    </row>
    <row r="1176" spans="1:33" hidden="1">
      <c r="A1176" s="134"/>
      <c r="F1176" s="111">
        <v>22</v>
      </c>
      <c r="G1176" s="90" t="s">
        <v>1670</v>
      </c>
      <c r="H1176" s="86" t="s">
        <v>871</v>
      </c>
      <c r="I1176" s="8">
        <f>(C67)</f>
        <v>3800</v>
      </c>
      <c r="J1176" s="2" t="s">
        <v>870</v>
      </c>
      <c r="K1176" s="8">
        <f>(F1176*I1176)/1000</f>
        <v>83.6</v>
      </c>
      <c r="AG1176" s="86" t="s">
        <v>2284</v>
      </c>
    </row>
    <row r="1177" spans="1:33" hidden="1">
      <c r="A1177" s="134"/>
      <c r="F1177" s="91">
        <v>1.6</v>
      </c>
      <c r="G1177" s="90" t="s">
        <v>778</v>
      </c>
      <c r="H1177" s="86" t="s">
        <v>1737</v>
      </c>
      <c r="I1177" s="8">
        <f>(C11)</f>
        <v>135</v>
      </c>
      <c r="J1177" s="2" t="s">
        <v>778</v>
      </c>
      <c r="K1177" s="8">
        <f>(F1177*I1177)</f>
        <v>216</v>
      </c>
      <c r="AG1177" s="86" t="s">
        <v>2284</v>
      </c>
    </row>
    <row r="1178" spans="1:33" hidden="1">
      <c r="A1178" s="134"/>
      <c r="F1178" s="91">
        <v>0.5</v>
      </c>
      <c r="G1178" s="90" t="s">
        <v>778</v>
      </c>
      <c r="H1178" s="86" t="s">
        <v>1927</v>
      </c>
      <c r="I1178" s="8">
        <f>(C12)</f>
        <v>95</v>
      </c>
      <c r="J1178" s="2" t="s">
        <v>778</v>
      </c>
      <c r="K1178" s="8">
        <f>(F1178*I1178)</f>
        <v>47.5</v>
      </c>
      <c r="AG1178" s="86" t="s">
        <v>2284</v>
      </c>
    </row>
    <row r="1179" spans="1:33" hidden="1">
      <c r="A1179" s="134"/>
      <c r="F1179" s="91">
        <v>1.1000000000000001</v>
      </c>
      <c r="G1179" s="90" t="s">
        <v>778</v>
      </c>
      <c r="H1179" s="86" t="s">
        <v>321</v>
      </c>
      <c r="I1179" s="8">
        <f>(C13)</f>
        <v>85</v>
      </c>
      <c r="J1179" s="2" t="s">
        <v>778</v>
      </c>
      <c r="K1179" s="8">
        <f>(F1179*I1179)</f>
        <v>93.5</v>
      </c>
      <c r="AG1179" s="86" t="s">
        <v>2284</v>
      </c>
    </row>
    <row r="1180" spans="1:33" hidden="1">
      <c r="A1180" s="134"/>
      <c r="F1180" s="86" t="s">
        <v>248</v>
      </c>
      <c r="H1180" s="86" t="s">
        <v>1903</v>
      </c>
      <c r="I1180" s="1" t="s">
        <v>987</v>
      </c>
      <c r="J1180" s="4"/>
      <c r="K1180" s="1" t="s">
        <v>987</v>
      </c>
      <c r="AG1180" s="86" t="s">
        <v>2284</v>
      </c>
    </row>
    <row r="1181" spans="1:33" hidden="1">
      <c r="A1181" s="134"/>
      <c r="F1181" s="91">
        <v>1</v>
      </c>
      <c r="G1181" s="90" t="s">
        <v>450</v>
      </c>
      <c r="H1181" s="86" t="s">
        <v>1904</v>
      </c>
      <c r="I1181" s="8">
        <f>(C57)</f>
        <v>35</v>
      </c>
      <c r="J1181" s="2" t="s">
        <v>450</v>
      </c>
      <c r="K1181" s="8">
        <f>(F1181*I1181)</f>
        <v>35</v>
      </c>
      <c r="AG1181" s="86" t="s">
        <v>2284</v>
      </c>
    </row>
    <row r="1182" spans="1:33" hidden="1">
      <c r="A1182" s="134"/>
      <c r="F1182" s="91">
        <v>1</v>
      </c>
      <c r="G1182" s="90" t="s">
        <v>450</v>
      </c>
      <c r="H1182" s="86" t="s">
        <v>1905</v>
      </c>
      <c r="I1182" s="8">
        <f>(C58)</f>
        <v>15</v>
      </c>
      <c r="J1182" s="2" t="s">
        <v>450</v>
      </c>
      <c r="K1182" s="8">
        <f>(F1182*I1182)</f>
        <v>15</v>
      </c>
      <c r="AG1182" s="86" t="s">
        <v>2284</v>
      </c>
    </row>
    <row r="1183" spans="1:33" hidden="1">
      <c r="A1183" s="134"/>
      <c r="F1183" s="91">
        <v>1</v>
      </c>
      <c r="G1183" s="90" t="s">
        <v>450</v>
      </c>
      <c r="H1183" s="86" t="s">
        <v>179</v>
      </c>
      <c r="I1183" s="8">
        <f>(C28)</f>
        <v>58.33</v>
      </c>
      <c r="J1183" s="2" t="s">
        <v>450</v>
      </c>
      <c r="K1183" s="8">
        <f>(F1183*I1183)</f>
        <v>58.33</v>
      </c>
      <c r="AG1183" s="86" t="s">
        <v>2284</v>
      </c>
    </row>
    <row r="1184" spans="1:33" hidden="1">
      <c r="A1184" s="134"/>
      <c r="F1184" s="91">
        <v>1.1000000000000001</v>
      </c>
      <c r="G1184" s="90" t="s">
        <v>778</v>
      </c>
      <c r="H1184" s="86" t="s">
        <v>865</v>
      </c>
      <c r="I1184" s="8">
        <f>(C29)</f>
        <v>120</v>
      </c>
      <c r="J1184" s="2" t="s">
        <v>778</v>
      </c>
      <c r="K1184" s="8">
        <f>(F1184*I1184)</f>
        <v>132</v>
      </c>
      <c r="AG1184" s="86" t="s">
        <v>2284</v>
      </c>
    </row>
    <row r="1185" spans="1:33" hidden="1">
      <c r="A1185" s="134"/>
      <c r="F1185" s="91">
        <v>2.2000000000000002</v>
      </c>
      <c r="G1185" s="90" t="s">
        <v>778</v>
      </c>
      <c r="H1185" s="86" t="s">
        <v>866</v>
      </c>
      <c r="I1185" s="8">
        <f>(C13)</f>
        <v>85</v>
      </c>
      <c r="J1185" s="2" t="s">
        <v>778</v>
      </c>
      <c r="K1185" s="8">
        <f>(F1185*I1185)</f>
        <v>187</v>
      </c>
      <c r="AG1185" s="86" t="s">
        <v>2284</v>
      </c>
    </row>
    <row r="1186" spans="1:33" hidden="1">
      <c r="A1186" s="134"/>
      <c r="G1186" s="90" t="s">
        <v>450</v>
      </c>
      <c r="H1186" s="86" t="s">
        <v>451</v>
      </c>
      <c r="I1186"/>
      <c r="J1186" s="2" t="s">
        <v>450</v>
      </c>
      <c r="K1186" s="8">
        <v>0</v>
      </c>
      <c r="AG1186" s="86" t="s">
        <v>2284</v>
      </c>
    </row>
    <row r="1187" spans="1:33" hidden="1">
      <c r="A1187" s="134"/>
      <c r="I1187"/>
      <c r="J1187" s="4"/>
      <c r="K1187" s="5" t="s">
        <v>1609</v>
      </c>
      <c r="AG1187" s="86" t="s">
        <v>2284</v>
      </c>
    </row>
    <row r="1188" spans="1:33" hidden="1">
      <c r="A1188" s="134"/>
      <c r="H1188" s="86" t="s">
        <v>442</v>
      </c>
      <c r="I1188"/>
      <c r="J1188" s="4"/>
      <c r="K1188" s="8" t="e">
        <f>SUM(K1168:K1186)</f>
        <v>#REF!</v>
      </c>
      <c r="AG1188" s="86" t="s">
        <v>2284</v>
      </c>
    </row>
    <row r="1189" spans="1:33" hidden="1">
      <c r="A1189" s="134"/>
      <c r="I1189"/>
      <c r="J1189" s="4"/>
      <c r="K1189" s="5" t="s">
        <v>1609</v>
      </c>
      <c r="AG1189" s="86" t="s">
        <v>2284</v>
      </c>
    </row>
    <row r="1190" spans="1:33" hidden="1">
      <c r="A1190" s="134"/>
      <c r="F1190" s="86" t="s">
        <v>987</v>
      </c>
      <c r="I1190"/>
      <c r="J1190" s="4"/>
      <c r="K1190"/>
    </row>
    <row r="1191" spans="1:33" hidden="1">
      <c r="A1191" s="134"/>
      <c r="H1191" s="86" t="s">
        <v>556</v>
      </c>
      <c r="I1191"/>
      <c r="J1191" s="4"/>
      <c r="K1191" s="8" t="e">
        <f>(K1188/10)</f>
        <v>#REF!</v>
      </c>
      <c r="AG1191" s="86" t="s">
        <v>2284</v>
      </c>
    </row>
    <row r="1192" spans="1:33" hidden="1">
      <c r="A1192" s="134"/>
      <c r="F1192" s="86" t="s">
        <v>987</v>
      </c>
      <c r="I1192"/>
      <c r="J1192" s="4"/>
      <c r="K1192"/>
    </row>
    <row r="1193" spans="1:33" hidden="1">
      <c r="A1193" s="134"/>
      <c r="I1193"/>
      <c r="J1193" s="4"/>
      <c r="K1193" s="5" t="s">
        <v>2080</v>
      </c>
      <c r="AG1193" s="86" t="s">
        <v>2284</v>
      </c>
    </row>
    <row r="1194" spans="1:33" hidden="1">
      <c r="A1194" s="134"/>
      <c r="F1194" s="112">
        <v>29.5</v>
      </c>
      <c r="G1194" s="90" t="s">
        <v>2276</v>
      </c>
      <c r="H1194" s="86" t="s">
        <v>1838</v>
      </c>
      <c r="I1194"/>
      <c r="J1194" s="4"/>
      <c r="K1194"/>
      <c r="AG1194" s="86" t="s">
        <v>2284</v>
      </c>
    </row>
    <row r="1195" spans="1:33" hidden="1">
      <c r="A1195" s="134"/>
      <c r="H1195" s="86" t="s">
        <v>867</v>
      </c>
      <c r="I1195"/>
      <c r="J1195" s="4"/>
      <c r="K1195"/>
      <c r="AG1195" s="86" t="s">
        <v>2284</v>
      </c>
    </row>
    <row r="1196" spans="1:33" hidden="1">
      <c r="A1196" s="134"/>
      <c r="H1196" s="86" t="s">
        <v>1961</v>
      </c>
      <c r="I1196"/>
      <c r="J1196" s="4"/>
      <c r="K1196"/>
      <c r="AG1196" s="86" t="s">
        <v>2284</v>
      </c>
    </row>
    <row r="1197" spans="1:33" hidden="1">
      <c r="A1197" s="134"/>
      <c r="H1197" s="89" t="s">
        <v>1609</v>
      </c>
      <c r="I1197" s="5" t="s">
        <v>1609</v>
      </c>
      <c r="J1197" s="4"/>
      <c r="K1197"/>
      <c r="AG1197" s="86" t="s">
        <v>2284</v>
      </c>
    </row>
    <row r="1198" spans="1:33" hidden="1">
      <c r="A1198" s="134"/>
      <c r="F1198" s="91">
        <v>10</v>
      </c>
      <c r="G1198" s="90" t="s">
        <v>615</v>
      </c>
      <c r="H1198" s="86" t="s">
        <v>1962</v>
      </c>
      <c r="I1198" s="8">
        <f>(C579)</f>
        <v>301</v>
      </c>
      <c r="J1198" s="2" t="s">
        <v>615</v>
      </c>
      <c r="K1198" s="8">
        <f>(F1198*I1198)</f>
        <v>3010</v>
      </c>
      <c r="AG1198" s="86" t="s">
        <v>2284</v>
      </c>
    </row>
    <row r="1199" spans="1:33" hidden="1">
      <c r="A1199" s="134"/>
      <c r="F1199" s="91">
        <v>0.21</v>
      </c>
      <c r="G1199" s="90" t="s">
        <v>878</v>
      </c>
      <c r="H1199" s="86" t="s">
        <v>1901</v>
      </c>
      <c r="I1199" s="8" t="e">
        <f>(K32)</f>
        <v>#REF!</v>
      </c>
      <c r="J1199" s="2" t="s">
        <v>878</v>
      </c>
      <c r="K1199" s="8" t="e">
        <f>(F1199*I1199)</f>
        <v>#REF!</v>
      </c>
      <c r="AG1199" s="86" t="s">
        <v>2284</v>
      </c>
    </row>
    <row r="1200" spans="1:33" hidden="1">
      <c r="A1200" s="134"/>
      <c r="H1200" s="86" t="s">
        <v>1902</v>
      </c>
      <c r="I1200" s="1" t="s">
        <v>987</v>
      </c>
      <c r="J1200" s="4"/>
      <c r="K1200" s="1" t="s">
        <v>987</v>
      </c>
      <c r="AG1200" s="86" t="s">
        <v>2284</v>
      </c>
    </row>
    <row r="1201" spans="1:33" hidden="1">
      <c r="A1201" s="134"/>
      <c r="F1201" s="91">
        <v>1.1000000000000001</v>
      </c>
      <c r="G1201" s="90" t="s">
        <v>778</v>
      </c>
      <c r="H1201" s="86" t="s">
        <v>2034</v>
      </c>
      <c r="I1201" s="8">
        <f>(C10)</f>
        <v>150</v>
      </c>
      <c r="J1201" s="2" t="s">
        <v>778</v>
      </c>
      <c r="K1201" s="8">
        <f>(F1201*I1201)</f>
        <v>165</v>
      </c>
      <c r="AG1201" s="86" t="s">
        <v>2284</v>
      </c>
    </row>
    <row r="1202" spans="1:33" hidden="1">
      <c r="A1202" s="134"/>
      <c r="F1202" s="91">
        <v>1.1000000000000001</v>
      </c>
      <c r="G1202" s="90" t="s">
        <v>778</v>
      </c>
      <c r="H1202" s="86" t="s">
        <v>1737</v>
      </c>
      <c r="I1202" s="8">
        <f>(C11)</f>
        <v>135</v>
      </c>
      <c r="J1202" s="2" t="s">
        <v>778</v>
      </c>
      <c r="K1202" s="8">
        <f>(F1202*I1202)</f>
        <v>148.5</v>
      </c>
      <c r="AG1202" s="86" t="s">
        <v>2284</v>
      </c>
    </row>
    <row r="1203" spans="1:33" hidden="1">
      <c r="A1203" s="134"/>
      <c r="F1203" s="91">
        <v>2.2000000000000002</v>
      </c>
      <c r="G1203" s="90" t="s">
        <v>778</v>
      </c>
      <c r="H1203" s="86" t="s">
        <v>1927</v>
      </c>
      <c r="I1203" s="8">
        <f>(C12)</f>
        <v>95</v>
      </c>
      <c r="J1203" s="2" t="s">
        <v>778</v>
      </c>
      <c r="K1203" s="8">
        <f>(F1203*I1203)</f>
        <v>209</v>
      </c>
      <c r="AG1203" s="86" t="s">
        <v>2284</v>
      </c>
    </row>
    <row r="1204" spans="1:33" hidden="1">
      <c r="A1204" s="134"/>
      <c r="F1204" s="91">
        <v>2.2000000000000002</v>
      </c>
      <c r="G1204" s="90" t="s">
        <v>778</v>
      </c>
      <c r="H1204" s="86" t="s">
        <v>321</v>
      </c>
      <c r="I1204" s="8">
        <f>(C13)</f>
        <v>85</v>
      </c>
      <c r="J1204" s="2" t="s">
        <v>778</v>
      </c>
      <c r="K1204" s="8">
        <f>(F1204*I1204)</f>
        <v>187</v>
      </c>
    </row>
    <row r="1205" spans="1:33" hidden="1">
      <c r="A1205" s="134"/>
      <c r="F1205" s="111">
        <v>20</v>
      </c>
      <c r="G1205" s="90" t="s">
        <v>1670</v>
      </c>
      <c r="H1205" s="86" t="s">
        <v>871</v>
      </c>
      <c r="I1205" s="8">
        <f>(C67)</f>
        <v>3800</v>
      </c>
      <c r="J1205" s="2" t="s">
        <v>870</v>
      </c>
      <c r="K1205" s="8">
        <f>(F1205*I1205)/1000</f>
        <v>76</v>
      </c>
    </row>
    <row r="1206" spans="1:33" hidden="1">
      <c r="A1206" s="134"/>
      <c r="F1206" s="111">
        <v>2</v>
      </c>
      <c r="G1206" s="90" t="s">
        <v>1670</v>
      </c>
      <c r="H1206" s="86" t="s">
        <v>2444</v>
      </c>
      <c r="I1206" s="8">
        <f>C586</f>
        <v>19</v>
      </c>
      <c r="J1206" s="2" t="s">
        <v>1670</v>
      </c>
      <c r="K1206" s="8">
        <f>(F1206*I1206)</f>
        <v>38</v>
      </c>
      <c r="AG1206" s="86" t="s">
        <v>987</v>
      </c>
    </row>
    <row r="1207" spans="1:33" hidden="1">
      <c r="A1207" s="134"/>
      <c r="F1207" s="91">
        <v>1.6</v>
      </c>
      <c r="G1207" s="90" t="s">
        <v>778</v>
      </c>
      <c r="H1207" s="86" t="s">
        <v>1737</v>
      </c>
      <c r="I1207" s="8">
        <f>(C11)</f>
        <v>135</v>
      </c>
      <c r="J1207" s="2" t="s">
        <v>778</v>
      </c>
      <c r="K1207" s="8">
        <f>(F1207*I1207)</f>
        <v>216</v>
      </c>
    </row>
    <row r="1208" spans="1:33" hidden="1">
      <c r="A1208" s="134"/>
      <c r="F1208" s="91">
        <v>0.5</v>
      </c>
      <c r="G1208" s="90" t="s">
        <v>778</v>
      </c>
      <c r="H1208" s="86" t="s">
        <v>1927</v>
      </c>
      <c r="I1208" s="8">
        <f>(C12)</f>
        <v>95</v>
      </c>
      <c r="J1208" s="2" t="s">
        <v>778</v>
      </c>
      <c r="K1208" s="8">
        <f>(F1208*I1208)</f>
        <v>47.5</v>
      </c>
    </row>
    <row r="1209" spans="1:33" hidden="1">
      <c r="A1209" s="134"/>
      <c r="F1209" s="91">
        <v>1.1000000000000001</v>
      </c>
      <c r="G1209" s="90" t="s">
        <v>778</v>
      </c>
      <c r="H1209" s="86" t="s">
        <v>321</v>
      </c>
      <c r="I1209" s="8">
        <f>(C13)</f>
        <v>85</v>
      </c>
      <c r="J1209" s="2" t="s">
        <v>778</v>
      </c>
      <c r="K1209" s="8">
        <f>(F1209*I1209)</f>
        <v>93.5</v>
      </c>
    </row>
    <row r="1210" spans="1:33" hidden="1">
      <c r="A1210" s="134"/>
      <c r="G1210" s="90" t="s">
        <v>450</v>
      </c>
      <c r="H1210" s="86" t="s">
        <v>451</v>
      </c>
      <c r="I1210"/>
      <c r="J1210" s="2" t="s">
        <v>450</v>
      </c>
      <c r="K1210" s="8">
        <v>0</v>
      </c>
    </row>
    <row r="1211" spans="1:33" hidden="1">
      <c r="A1211" s="134"/>
      <c r="I1211"/>
      <c r="J1211" s="4"/>
      <c r="K1211" s="5" t="s">
        <v>1609</v>
      </c>
    </row>
    <row r="1212" spans="1:33" hidden="1">
      <c r="A1212" s="134"/>
      <c r="H1212" s="86" t="s">
        <v>442</v>
      </c>
      <c r="I1212"/>
      <c r="J1212" s="4"/>
      <c r="K1212" s="8" t="e">
        <f>SUM(K1198:K1210)</f>
        <v>#REF!</v>
      </c>
    </row>
    <row r="1213" spans="1:33" hidden="1">
      <c r="A1213" s="134"/>
      <c r="I1213"/>
      <c r="J1213" s="4"/>
      <c r="K1213" s="5" t="s">
        <v>1609</v>
      </c>
    </row>
    <row r="1214" spans="1:33" hidden="1">
      <c r="A1214" s="134"/>
      <c r="H1214" s="86" t="s">
        <v>556</v>
      </c>
      <c r="I1214"/>
      <c r="J1214" s="4"/>
      <c r="K1214" s="8" t="e">
        <f>(K1212/10)</f>
        <v>#REF!</v>
      </c>
    </row>
    <row r="1215" spans="1:33" hidden="1">
      <c r="A1215" s="134"/>
      <c r="I1215"/>
      <c r="J1215" s="4"/>
      <c r="K1215" s="5" t="s">
        <v>2080</v>
      </c>
    </row>
    <row r="1216" spans="1:33" hidden="1">
      <c r="A1216" s="134"/>
      <c r="F1216" s="112">
        <v>29.4</v>
      </c>
      <c r="G1216" s="90" t="s">
        <v>2276</v>
      </c>
      <c r="H1216" s="86" t="s">
        <v>1109</v>
      </c>
      <c r="I1216"/>
      <c r="J1216" s="4"/>
      <c r="K1216"/>
    </row>
    <row r="1217" spans="1:11" hidden="1">
      <c r="A1217" s="134"/>
      <c r="H1217" s="86" t="s">
        <v>1110</v>
      </c>
      <c r="I1217"/>
      <c r="J1217" s="4"/>
      <c r="K1217"/>
    </row>
    <row r="1218" spans="1:11" hidden="1">
      <c r="A1218" s="134"/>
      <c r="H1218" s="89" t="s">
        <v>1609</v>
      </c>
      <c r="I1218"/>
      <c r="J1218" s="4"/>
      <c r="K1218"/>
    </row>
    <row r="1219" spans="1:11" hidden="1">
      <c r="A1219" s="134"/>
      <c r="F1219" s="91">
        <v>1.86</v>
      </c>
      <c r="G1219" s="90" t="s">
        <v>615</v>
      </c>
      <c r="H1219" s="86" t="s">
        <v>1111</v>
      </c>
      <c r="I1219" s="8">
        <f>C580</f>
        <v>325</v>
      </c>
      <c r="J1219" s="2" t="s">
        <v>615</v>
      </c>
      <c r="K1219" s="8">
        <f>(F1219*I1219)</f>
        <v>604.5</v>
      </c>
    </row>
    <row r="1220" spans="1:11" hidden="1">
      <c r="A1220" s="134"/>
      <c r="F1220" s="91">
        <v>0.4</v>
      </c>
      <c r="G1220" s="90" t="s">
        <v>1670</v>
      </c>
      <c r="H1220" s="86" t="s">
        <v>2445</v>
      </c>
      <c r="I1220" s="8">
        <f>C586</f>
        <v>19</v>
      </c>
      <c r="J1220" s="2" t="s">
        <v>1670</v>
      </c>
      <c r="K1220" s="8">
        <f>(F1220*I1220)</f>
        <v>7.6</v>
      </c>
    </row>
    <row r="1221" spans="1:11" hidden="1">
      <c r="A1221" s="134"/>
      <c r="F1221" s="91">
        <v>0.02</v>
      </c>
      <c r="G1221" s="90" t="s">
        <v>878</v>
      </c>
      <c r="H1221" s="86" t="s">
        <v>417</v>
      </c>
      <c r="I1221" s="8" t="e">
        <f>K23</f>
        <v>#REF!</v>
      </c>
      <c r="J1221" s="2" t="s">
        <v>878</v>
      </c>
      <c r="K1221" s="8" t="e">
        <f>(F1221*I1221)</f>
        <v>#REF!</v>
      </c>
    </row>
    <row r="1222" spans="1:11" hidden="1">
      <c r="A1222" s="134"/>
      <c r="F1222" s="91">
        <v>1</v>
      </c>
      <c r="G1222" s="90" t="s">
        <v>778</v>
      </c>
      <c r="H1222" s="86" t="s">
        <v>2034</v>
      </c>
      <c r="I1222" s="8">
        <f>C10</f>
        <v>150</v>
      </c>
      <c r="J1222" s="2" t="s">
        <v>778</v>
      </c>
      <c r="K1222" s="8">
        <f>(F1222*I1222)</f>
        <v>150</v>
      </c>
    </row>
    <row r="1223" spans="1:11" hidden="1">
      <c r="A1223" s="134"/>
      <c r="F1223" s="91">
        <v>1</v>
      </c>
      <c r="G1223" s="90" t="s">
        <v>778</v>
      </c>
      <c r="H1223" s="86" t="s">
        <v>1713</v>
      </c>
      <c r="I1223" s="8">
        <f>C12</f>
        <v>95</v>
      </c>
      <c r="J1223" s="2" t="s">
        <v>778</v>
      </c>
      <c r="K1223" s="8">
        <f>(F1223*I1223)</f>
        <v>95</v>
      </c>
    </row>
    <row r="1224" spans="1:11" hidden="1">
      <c r="A1224" s="134"/>
      <c r="G1224" s="90" t="s">
        <v>450</v>
      </c>
      <c r="H1224" s="86" t="s">
        <v>451</v>
      </c>
      <c r="I1224"/>
      <c r="J1224" s="2" t="s">
        <v>450</v>
      </c>
      <c r="K1224" s="8">
        <v>0</v>
      </c>
    </row>
    <row r="1225" spans="1:11" hidden="1">
      <c r="A1225" s="134"/>
      <c r="I1225"/>
      <c r="J1225" s="4"/>
      <c r="K1225" s="5" t="s">
        <v>1609</v>
      </c>
    </row>
    <row r="1226" spans="1:11" hidden="1">
      <c r="A1226" s="134"/>
      <c r="H1226" s="86" t="s">
        <v>1714</v>
      </c>
      <c r="I1226"/>
      <c r="J1226" s="4"/>
      <c r="K1226" s="8" t="e">
        <f>SUM(K1219:K1224)</f>
        <v>#REF!</v>
      </c>
    </row>
    <row r="1227" spans="1:11" hidden="1">
      <c r="A1227" s="134"/>
      <c r="I1227"/>
      <c r="J1227" s="4"/>
      <c r="K1227" s="5" t="s">
        <v>1609</v>
      </c>
    </row>
    <row r="1228" spans="1:11" hidden="1">
      <c r="A1228" s="134"/>
      <c r="H1228" s="86" t="s">
        <v>556</v>
      </c>
      <c r="I1228"/>
      <c r="J1228" s="4"/>
      <c r="K1228" s="8" t="e">
        <f>(K1226/1.86)</f>
        <v>#REF!</v>
      </c>
    </row>
    <row r="1229" spans="1:11" hidden="1">
      <c r="A1229" s="134"/>
      <c r="I1229"/>
      <c r="J1229" s="4"/>
      <c r="K1229" s="5" t="s">
        <v>2080</v>
      </c>
    </row>
    <row r="1230" spans="1:11" hidden="1">
      <c r="A1230" s="134"/>
      <c r="F1230" s="102" t="s">
        <v>210</v>
      </c>
      <c r="G1230" s="90" t="s">
        <v>2276</v>
      </c>
      <c r="H1230" s="86" t="s">
        <v>1947</v>
      </c>
      <c r="I1230"/>
      <c r="J1230" s="4"/>
      <c r="K1230"/>
    </row>
    <row r="1231" spans="1:11" hidden="1">
      <c r="A1231" s="134"/>
      <c r="H1231" s="86" t="s">
        <v>943</v>
      </c>
      <c r="I1231"/>
      <c r="J1231" s="4"/>
      <c r="K1231"/>
    </row>
    <row r="1232" spans="1:11" hidden="1">
      <c r="A1232" s="134"/>
      <c r="H1232" s="86" t="s">
        <v>1715</v>
      </c>
      <c r="I1232"/>
      <c r="J1232" s="4"/>
      <c r="K1232"/>
    </row>
    <row r="1233" spans="1:11" hidden="1">
      <c r="A1233" s="134"/>
      <c r="H1233" s="86" t="s">
        <v>727</v>
      </c>
      <c r="I1233"/>
      <c r="J1233" s="4"/>
      <c r="K1233"/>
    </row>
    <row r="1234" spans="1:11" hidden="1">
      <c r="A1234" s="134"/>
      <c r="H1234" s="89" t="s">
        <v>1609</v>
      </c>
      <c r="I1234"/>
      <c r="J1234" s="4"/>
      <c r="K1234"/>
    </row>
    <row r="1235" spans="1:11" hidden="1">
      <c r="A1235" s="134"/>
      <c r="F1235" s="91">
        <v>0.24</v>
      </c>
      <c r="G1235" s="90" t="s">
        <v>878</v>
      </c>
      <c r="H1235" s="86" t="s">
        <v>1716</v>
      </c>
      <c r="I1235" s="8" t="e">
        <f>(C70)</f>
        <v>#REF!</v>
      </c>
      <c r="J1235" s="2" t="s">
        <v>878</v>
      </c>
      <c r="K1235" s="8" t="e">
        <f>(F1235*I1235)</f>
        <v>#REF!</v>
      </c>
    </row>
    <row r="1236" spans="1:11" hidden="1">
      <c r="A1236" s="134"/>
      <c r="F1236" s="111">
        <v>0.11700000000000001</v>
      </c>
      <c r="G1236" s="90" t="s">
        <v>870</v>
      </c>
      <c r="H1236" s="86" t="s">
        <v>871</v>
      </c>
      <c r="I1236" s="8">
        <f>(C67)</f>
        <v>3800</v>
      </c>
      <c r="J1236" s="2" t="s">
        <v>870</v>
      </c>
      <c r="K1236" s="8">
        <f>(F1236*I1236)</f>
        <v>444.6</v>
      </c>
    </row>
    <row r="1237" spans="1:11" hidden="1">
      <c r="A1237" s="134"/>
      <c r="F1237" s="91">
        <v>0.5</v>
      </c>
      <c r="G1237" s="90" t="s">
        <v>778</v>
      </c>
      <c r="H1237" s="86" t="s">
        <v>2034</v>
      </c>
      <c r="I1237" s="8">
        <f>(C10)</f>
        <v>150</v>
      </c>
      <c r="J1237" s="2" t="s">
        <v>778</v>
      </c>
      <c r="K1237" s="8">
        <f>(F1237*I1237)</f>
        <v>75</v>
      </c>
    </row>
    <row r="1238" spans="1:11" hidden="1">
      <c r="A1238" s="134"/>
      <c r="F1238" s="91">
        <v>1.1000000000000001</v>
      </c>
      <c r="G1238" s="90" t="s">
        <v>778</v>
      </c>
      <c r="H1238" s="86" t="s">
        <v>944</v>
      </c>
      <c r="I1238" s="8">
        <f>(C12)</f>
        <v>95</v>
      </c>
      <c r="J1238" s="2" t="s">
        <v>778</v>
      </c>
      <c r="K1238" s="8">
        <f>(F1238*I1238)</f>
        <v>104.5</v>
      </c>
    </row>
    <row r="1239" spans="1:11" hidden="1">
      <c r="A1239" s="134"/>
      <c r="F1239" s="91">
        <v>4.3</v>
      </c>
      <c r="G1239" s="90" t="s">
        <v>778</v>
      </c>
      <c r="H1239" s="86" t="s">
        <v>321</v>
      </c>
      <c r="I1239" s="8">
        <f>(C13)</f>
        <v>85</v>
      </c>
      <c r="J1239" s="2" t="s">
        <v>778</v>
      </c>
      <c r="K1239" s="8">
        <f>(F1239*I1239)</f>
        <v>365.5</v>
      </c>
    </row>
    <row r="1240" spans="1:11" hidden="1">
      <c r="A1240" s="134"/>
      <c r="G1240" s="90" t="s">
        <v>450</v>
      </c>
      <c r="H1240" s="86" t="s">
        <v>451</v>
      </c>
      <c r="I1240"/>
      <c r="J1240" s="2" t="s">
        <v>450</v>
      </c>
      <c r="K1240" s="8">
        <v>0</v>
      </c>
    </row>
    <row r="1241" spans="1:11" hidden="1">
      <c r="A1241" s="134"/>
      <c r="I1241"/>
      <c r="J1241" s="4"/>
      <c r="K1241" s="5" t="s">
        <v>1609</v>
      </c>
    </row>
    <row r="1242" spans="1:11" hidden="1">
      <c r="A1242" s="134"/>
      <c r="H1242" s="86" t="s">
        <v>442</v>
      </c>
      <c r="I1242"/>
      <c r="J1242" s="4"/>
      <c r="K1242" s="8" t="e">
        <f>SUM(K1235:K1240)</f>
        <v>#REF!</v>
      </c>
    </row>
    <row r="1243" spans="1:11" hidden="1">
      <c r="A1243" s="134"/>
      <c r="I1243"/>
      <c r="J1243" s="4"/>
      <c r="K1243" s="5" t="s">
        <v>1609</v>
      </c>
    </row>
    <row r="1244" spans="1:11" hidden="1">
      <c r="A1244" s="134"/>
      <c r="H1244" s="86" t="s">
        <v>556</v>
      </c>
      <c r="I1244"/>
      <c r="J1244" s="4"/>
      <c r="K1244" s="8" t="e">
        <f>(K1242/10)</f>
        <v>#REF!</v>
      </c>
    </row>
    <row r="1245" spans="1:11" hidden="1">
      <c r="A1245" s="134"/>
      <c r="F1245" s="86" t="s">
        <v>987</v>
      </c>
      <c r="I1245"/>
      <c r="J1245" s="4"/>
      <c r="K1245"/>
    </row>
    <row r="1246" spans="1:11" hidden="1">
      <c r="A1246" s="134"/>
      <c r="I1246"/>
      <c r="J1246" s="4"/>
      <c r="K1246" s="5" t="s">
        <v>2080</v>
      </c>
    </row>
    <row r="1247" spans="1:11" hidden="1">
      <c r="A1247" s="134"/>
      <c r="F1247" s="102" t="s">
        <v>1963</v>
      </c>
      <c r="G1247" s="90" t="s">
        <v>2276</v>
      </c>
      <c r="H1247" s="114" t="s">
        <v>728</v>
      </c>
      <c r="I1247"/>
      <c r="J1247" s="4"/>
      <c r="K1247"/>
    </row>
    <row r="1248" spans="1:11" hidden="1">
      <c r="A1248" s="134"/>
      <c r="H1248" s="86" t="s">
        <v>1964</v>
      </c>
      <c r="I1248"/>
      <c r="J1248" s="4"/>
      <c r="K1248"/>
    </row>
    <row r="1249" spans="1:11" hidden="1">
      <c r="A1249" s="134"/>
      <c r="H1249" s="86" t="s">
        <v>1965</v>
      </c>
      <c r="I1249"/>
      <c r="J1249" s="4"/>
      <c r="K1249"/>
    </row>
    <row r="1250" spans="1:11" hidden="1">
      <c r="A1250" s="134"/>
      <c r="H1250" s="86" t="s">
        <v>765</v>
      </c>
      <c r="I1250"/>
      <c r="J1250" s="4"/>
      <c r="K1250"/>
    </row>
    <row r="1251" spans="1:11" hidden="1">
      <c r="A1251" s="134"/>
      <c r="H1251" s="86" t="s">
        <v>757</v>
      </c>
      <c r="I1251"/>
      <c r="J1251" s="4"/>
      <c r="K1251"/>
    </row>
    <row r="1252" spans="1:11" hidden="1">
      <c r="A1252" s="134"/>
      <c r="H1252" s="89" t="s">
        <v>1609</v>
      </c>
      <c r="I1252"/>
      <c r="J1252" s="4"/>
      <c r="K1252"/>
    </row>
    <row r="1253" spans="1:11" hidden="1">
      <c r="A1253" s="134"/>
      <c r="F1253" s="91">
        <v>12.8</v>
      </c>
      <c r="G1253" s="90" t="s">
        <v>878</v>
      </c>
      <c r="H1253" s="86" t="s">
        <v>758</v>
      </c>
      <c r="I1253" s="8" t="e">
        <f>(C82)</f>
        <v>#REF!</v>
      </c>
      <c r="J1253" s="2" t="s">
        <v>878</v>
      </c>
      <c r="K1253" s="8" t="e">
        <f>(F1253*I1253)</f>
        <v>#REF!</v>
      </c>
    </row>
    <row r="1254" spans="1:11" hidden="1">
      <c r="A1254" s="134"/>
      <c r="F1254" s="91">
        <v>5</v>
      </c>
      <c r="G1254" s="90" t="s">
        <v>878</v>
      </c>
      <c r="H1254" s="86" t="s">
        <v>759</v>
      </c>
      <c r="I1254" s="8" t="e">
        <f>(C85)</f>
        <v>#REF!</v>
      </c>
      <c r="J1254" s="2" t="s">
        <v>878</v>
      </c>
      <c r="K1254" s="8" t="e">
        <f>(F1254*I1254)</f>
        <v>#REF!</v>
      </c>
    </row>
    <row r="1255" spans="1:11" hidden="1">
      <c r="A1255" s="134"/>
      <c r="F1255" s="91">
        <v>1.8</v>
      </c>
      <c r="G1255" s="90" t="s">
        <v>778</v>
      </c>
      <c r="H1255" s="86" t="s">
        <v>2034</v>
      </c>
      <c r="I1255" s="8">
        <f>(C10)</f>
        <v>150</v>
      </c>
      <c r="J1255" s="2" t="s">
        <v>778</v>
      </c>
      <c r="K1255" s="8">
        <f>(F1255*I1255)</f>
        <v>270</v>
      </c>
    </row>
    <row r="1256" spans="1:11" hidden="1">
      <c r="A1256" s="134"/>
      <c r="F1256" s="91">
        <v>17.7</v>
      </c>
      <c r="G1256" s="90" t="s">
        <v>778</v>
      </c>
      <c r="H1256" s="86" t="s">
        <v>944</v>
      </c>
      <c r="I1256" s="8">
        <f>(C12)</f>
        <v>95</v>
      </c>
      <c r="J1256" s="2" t="s">
        <v>778</v>
      </c>
      <c r="K1256" s="8">
        <f>(F1256*I1256)</f>
        <v>1681.5</v>
      </c>
    </row>
    <row r="1257" spans="1:11" hidden="1">
      <c r="A1257" s="134"/>
      <c r="F1257" s="91">
        <v>14.1</v>
      </c>
      <c r="G1257" s="90" t="s">
        <v>778</v>
      </c>
      <c r="H1257" s="86" t="s">
        <v>321</v>
      </c>
      <c r="I1257" s="8">
        <f>(C13)</f>
        <v>85</v>
      </c>
      <c r="J1257" s="2" t="s">
        <v>778</v>
      </c>
      <c r="K1257" s="8">
        <f>(F1257*I1257)</f>
        <v>1198.5</v>
      </c>
    </row>
    <row r="1258" spans="1:11" hidden="1">
      <c r="A1258" s="134"/>
      <c r="G1258" s="90" t="s">
        <v>450</v>
      </c>
      <c r="H1258" s="86" t="s">
        <v>451</v>
      </c>
      <c r="I1258"/>
      <c r="J1258" s="2" t="s">
        <v>450</v>
      </c>
      <c r="K1258" s="8">
        <v>0</v>
      </c>
    </row>
    <row r="1259" spans="1:11" hidden="1">
      <c r="A1259" s="134"/>
      <c r="I1259"/>
      <c r="J1259" s="4"/>
      <c r="K1259" s="5" t="s">
        <v>1609</v>
      </c>
    </row>
    <row r="1260" spans="1:11" hidden="1">
      <c r="A1260" s="134"/>
      <c r="H1260" s="86" t="s">
        <v>620</v>
      </c>
      <c r="I1260"/>
      <c r="J1260" s="4"/>
      <c r="K1260" s="8" t="e">
        <f>SUM(K1253:K1258)</f>
        <v>#REF!</v>
      </c>
    </row>
    <row r="1261" spans="1:11" hidden="1">
      <c r="A1261" s="134"/>
      <c r="I1261"/>
      <c r="J1261" s="4"/>
      <c r="K1261" s="5" t="s">
        <v>1609</v>
      </c>
    </row>
    <row r="1262" spans="1:11" hidden="1">
      <c r="A1262" s="134"/>
      <c r="H1262" s="86" t="s">
        <v>782</v>
      </c>
      <c r="I1262"/>
      <c r="J1262" s="4"/>
      <c r="K1262" s="8" t="e">
        <f>(K1260/10)</f>
        <v>#REF!</v>
      </c>
    </row>
    <row r="1263" spans="1:11" hidden="1">
      <c r="A1263" s="134"/>
      <c r="I1263"/>
      <c r="J1263" s="4"/>
      <c r="K1263" s="5" t="s">
        <v>2080</v>
      </c>
    </row>
    <row r="1264" spans="1:11" hidden="1">
      <c r="A1264" s="134"/>
      <c r="I1264"/>
      <c r="J1264" s="4"/>
      <c r="K1264"/>
    </row>
    <row r="1265" spans="1:11" hidden="1">
      <c r="A1265" s="134"/>
      <c r="G1265" s="90" t="s">
        <v>681</v>
      </c>
      <c r="H1265" s="86" t="s">
        <v>760</v>
      </c>
      <c r="I1265"/>
      <c r="J1265" s="4"/>
      <c r="K1265"/>
    </row>
    <row r="1266" spans="1:11" hidden="1">
      <c r="A1266" s="134"/>
      <c r="H1266" s="86" t="s">
        <v>761</v>
      </c>
      <c r="I1266"/>
      <c r="J1266" s="4"/>
      <c r="K1266"/>
    </row>
    <row r="1267" spans="1:11" hidden="1">
      <c r="A1267" s="134"/>
      <c r="H1267" s="89" t="s">
        <v>1609</v>
      </c>
      <c r="I1267"/>
      <c r="J1267" s="4"/>
      <c r="K1267"/>
    </row>
    <row r="1268" spans="1:11" hidden="1">
      <c r="A1268" s="134"/>
      <c r="F1268" s="91">
        <v>0.04</v>
      </c>
      <c r="G1268" s="90" t="s">
        <v>878</v>
      </c>
      <c r="H1268" s="86" t="s">
        <v>762</v>
      </c>
      <c r="I1268" s="8" t="e">
        <f>(K32)</f>
        <v>#REF!</v>
      </c>
      <c r="J1268" s="2" t="s">
        <v>878</v>
      </c>
      <c r="K1268" s="8" t="e">
        <f>(F1268*I1268)</f>
        <v>#REF!</v>
      </c>
    </row>
    <row r="1269" spans="1:11" hidden="1">
      <c r="A1269" s="134"/>
      <c r="F1269" s="91">
        <v>2.2000000000000002</v>
      </c>
      <c r="G1269" s="90" t="s">
        <v>778</v>
      </c>
      <c r="H1269" s="86" t="s">
        <v>1737</v>
      </c>
      <c r="I1269" s="8">
        <f>(C11)</f>
        <v>135</v>
      </c>
      <c r="J1269" s="2" t="s">
        <v>778</v>
      </c>
      <c r="K1269" s="8">
        <f>(F1269*I1269)</f>
        <v>297</v>
      </c>
    </row>
    <row r="1270" spans="1:11" hidden="1">
      <c r="A1270" s="134"/>
      <c r="F1270" s="91">
        <v>0.5</v>
      </c>
      <c r="G1270" s="90" t="s">
        <v>778</v>
      </c>
      <c r="H1270" s="86" t="s">
        <v>1927</v>
      </c>
      <c r="I1270" s="8">
        <f>(C12)</f>
        <v>95</v>
      </c>
      <c r="J1270" s="2" t="s">
        <v>778</v>
      </c>
      <c r="K1270" s="8">
        <f>(F1270*I1270)</f>
        <v>47.5</v>
      </c>
    </row>
    <row r="1271" spans="1:11" hidden="1">
      <c r="A1271" s="134"/>
      <c r="F1271" s="91">
        <v>1.1000000000000001</v>
      </c>
      <c r="G1271" s="90" t="s">
        <v>778</v>
      </c>
      <c r="H1271" s="86" t="s">
        <v>321</v>
      </c>
      <c r="I1271" s="8">
        <f>(C13)</f>
        <v>85</v>
      </c>
      <c r="J1271" s="2" t="s">
        <v>778</v>
      </c>
      <c r="K1271" s="8">
        <f>(F1271*I1271)</f>
        <v>93.5</v>
      </c>
    </row>
    <row r="1272" spans="1:11" hidden="1">
      <c r="A1272" s="134"/>
      <c r="G1272" s="90" t="s">
        <v>450</v>
      </c>
      <c r="H1272" s="86" t="s">
        <v>451</v>
      </c>
      <c r="I1272"/>
      <c r="J1272" s="2" t="s">
        <v>450</v>
      </c>
      <c r="K1272" s="8">
        <v>0</v>
      </c>
    </row>
    <row r="1273" spans="1:11" hidden="1">
      <c r="A1273" s="134"/>
      <c r="I1273"/>
      <c r="J1273" s="4"/>
      <c r="K1273" s="5" t="s">
        <v>1609</v>
      </c>
    </row>
    <row r="1274" spans="1:11" hidden="1">
      <c r="A1274" s="134"/>
      <c r="H1274" s="86" t="s">
        <v>442</v>
      </c>
      <c r="I1274"/>
      <c r="J1274" s="4"/>
      <c r="K1274" s="8" t="e">
        <f>SUM(K1268:K1272)</f>
        <v>#REF!</v>
      </c>
    </row>
    <row r="1275" spans="1:11" hidden="1">
      <c r="A1275" s="134"/>
      <c r="I1275"/>
      <c r="J1275" s="4"/>
      <c r="K1275" s="5" t="s">
        <v>1609</v>
      </c>
    </row>
    <row r="1276" spans="1:11" hidden="1">
      <c r="A1276" s="134"/>
      <c r="H1276" s="86" t="s">
        <v>556</v>
      </c>
      <c r="I1276"/>
      <c r="J1276" s="4"/>
      <c r="K1276" s="8" t="e">
        <f>(K1274/10)</f>
        <v>#REF!</v>
      </c>
    </row>
    <row r="1277" spans="1:11" hidden="1">
      <c r="A1277" s="134"/>
      <c r="I1277"/>
      <c r="J1277" s="4"/>
      <c r="K1277" s="5" t="s">
        <v>2080</v>
      </c>
    </row>
    <row r="1278" spans="1:11" hidden="1">
      <c r="A1278" s="134"/>
      <c r="I1278"/>
      <c r="J1278" s="4"/>
      <c r="K1278"/>
    </row>
    <row r="1279" spans="1:11" hidden="1">
      <c r="A1279" s="134"/>
      <c r="F1279" s="112">
        <v>32.1</v>
      </c>
      <c r="G1279" s="90" t="s">
        <v>2276</v>
      </c>
      <c r="H1279" s="86" t="s">
        <v>763</v>
      </c>
      <c r="I1279"/>
      <c r="J1279" s="4"/>
      <c r="K1279"/>
    </row>
    <row r="1280" spans="1:11" hidden="1">
      <c r="A1280" s="134"/>
      <c r="H1280" s="86" t="s">
        <v>1505</v>
      </c>
      <c r="I1280"/>
      <c r="J1280" s="4"/>
      <c r="K1280"/>
    </row>
    <row r="1281" spans="1:11" hidden="1">
      <c r="A1281" s="134"/>
      <c r="H1281" s="86" t="s">
        <v>689</v>
      </c>
      <c r="I1281"/>
      <c r="J1281" s="4"/>
      <c r="K1281"/>
    </row>
    <row r="1282" spans="1:11" hidden="1">
      <c r="A1282" s="134"/>
      <c r="H1282" s="86" t="s">
        <v>3168</v>
      </c>
      <c r="I1282"/>
      <c r="J1282" s="4"/>
      <c r="K1282"/>
    </row>
    <row r="1283" spans="1:11" hidden="1">
      <c r="A1283" s="134"/>
      <c r="H1283" s="86" t="s">
        <v>1312</v>
      </c>
      <c r="I1283"/>
      <c r="J1283" s="4"/>
      <c r="K1283"/>
    </row>
    <row r="1284" spans="1:11" hidden="1">
      <c r="A1284" s="134"/>
      <c r="H1284" s="89" t="s">
        <v>1609</v>
      </c>
      <c r="I1284"/>
      <c r="J1284" s="4"/>
      <c r="K1284"/>
    </row>
    <row r="1285" spans="1:11" hidden="1">
      <c r="A1285" s="134"/>
      <c r="F1285" s="91">
        <v>190</v>
      </c>
      <c r="G1285" s="90" t="s">
        <v>1898</v>
      </c>
      <c r="H1285" s="86" t="s">
        <v>2037</v>
      </c>
      <c r="I1285" s="8">
        <f>(C83)</f>
        <v>4500</v>
      </c>
      <c r="J1285" s="2" t="s">
        <v>1503</v>
      </c>
      <c r="K1285" s="8">
        <f>(F1285*I1285)/1000</f>
        <v>855</v>
      </c>
    </row>
    <row r="1286" spans="1:11" hidden="1">
      <c r="A1286" s="134"/>
      <c r="F1286" s="91">
        <v>0.12</v>
      </c>
      <c r="G1286" s="90" t="s">
        <v>878</v>
      </c>
      <c r="H1286" s="86" t="s">
        <v>1901</v>
      </c>
      <c r="I1286" s="8" t="e">
        <f>(K32)</f>
        <v>#REF!</v>
      </c>
      <c r="J1286" s="2" t="s">
        <v>878</v>
      </c>
      <c r="K1286" s="8" t="e">
        <f t="shared" ref="K1286:K1292" si="59">(F1286*I1286)</f>
        <v>#REF!</v>
      </c>
    </row>
    <row r="1287" spans="1:11" hidden="1">
      <c r="A1287" s="134"/>
      <c r="F1287" s="91">
        <v>10</v>
      </c>
      <c r="G1287" s="90" t="s">
        <v>615</v>
      </c>
      <c r="H1287" s="86" t="s">
        <v>1314</v>
      </c>
      <c r="I1287" s="8" t="e">
        <f>(K1276)</f>
        <v>#REF!</v>
      </c>
      <c r="J1287" s="2" t="s">
        <v>615</v>
      </c>
      <c r="K1287" s="8" t="e">
        <f t="shared" si="59"/>
        <v>#REF!</v>
      </c>
    </row>
    <row r="1288" spans="1:11" hidden="1">
      <c r="A1288" s="134"/>
      <c r="F1288" s="91">
        <v>1.54</v>
      </c>
      <c r="G1288" s="90" t="s">
        <v>1670</v>
      </c>
      <c r="H1288" s="86" t="s">
        <v>976</v>
      </c>
      <c r="I1288" s="8">
        <f>C631</f>
        <v>30</v>
      </c>
      <c r="J1288" s="2" t="s">
        <v>1670</v>
      </c>
      <c r="K1288" s="8">
        <f t="shared" si="59"/>
        <v>46.2</v>
      </c>
    </row>
    <row r="1289" spans="1:11" hidden="1">
      <c r="A1289" s="134"/>
      <c r="F1289" s="91">
        <v>1.1000000000000001</v>
      </c>
      <c r="G1289" s="90" t="s">
        <v>778</v>
      </c>
      <c r="H1289" s="86" t="s">
        <v>2034</v>
      </c>
      <c r="I1289" s="8">
        <f>(C10)</f>
        <v>150</v>
      </c>
      <c r="J1289" s="2" t="s">
        <v>778</v>
      </c>
      <c r="K1289" s="8">
        <f t="shared" si="59"/>
        <v>165</v>
      </c>
    </row>
    <row r="1290" spans="1:11" hidden="1">
      <c r="A1290" s="134"/>
      <c r="F1290" s="91">
        <v>2.1</v>
      </c>
      <c r="G1290" s="90" t="s">
        <v>778</v>
      </c>
      <c r="H1290" s="86" t="s">
        <v>1737</v>
      </c>
      <c r="I1290" s="8">
        <f>(C11)</f>
        <v>135</v>
      </c>
      <c r="J1290" s="2" t="s">
        <v>778</v>
      </c>
      <c r="K1290" s="8">
        <f t="shared" si="59"/>
        <v>283.5</v>
      </c>
    </row>
    <row r="1291" spans="1:11" hidden="1">
      <c r="A1291" s="134"/>
      <c r="F1291" s="91">
        <v>2.2000000000000002</v>
      </c>
      <c r="G1291" s="90" t="s">
        <v>778</v>
      </c>
      <c r="H1291" s="86" t="s">
        <v>1927</v>
      </c>
      <c r="I1291" s="8">
        <f>(C12)</f>
        <v>95</v>
      </c>
      <c r="J1291" s="2" t="s">
        <v>778</v>
      </c>
      <c r="K1291" s="8">
        <f t="shared" si="59"/>
        <v>209</v>
      </c>
    </row>
    <row r="1292" spans="1:11" hidden="1">
      <c r="A1292" s="134"/>
      <c r="F1292" s="91">
        <v>1.1000000000000001</v>
      </c>
      <c r="G1292" s="90" t="s">
        <v>778</v>
      </c>
      <c r="H1292" s="86" t="s">
        <v>321</v>
      </c>
      <c r="I1292" s="8">
        <f>(C13)</f>
        <v>85</v>
      </c>
      <c r="J1292" s="2" t="s">
        <v>778</v>
      </c>
      <c r="K1292" s="8">
        <f t="shared" si="59"/>
        <v>93.5</v>
      </c>
    </row>
    <row r="1293" spans="1:11" hidden="1">
      <c r="A1293" s="134"/>
      <c r="G1293" s="90" t="s">
        <v>450</v>
      </c>
      <c r="H1293" s="86" t="s">
        <v>451</v>
      </c>
      <c r="I1293"/>
      <c r="J1293" s="2" t="s">
        <v>450</v>
      </c>
      <c r="K1293" s="8">
        <v>0</v>
      </c>
    </row>
    <row r="1294" spans="1:11" hidden="1">
      <c r="A1294" s="134"/>
      <c r="I1294"/>
      <c r="J1294" s="4"/>
      <c r="K1294" s="5" t="s">
        <v>1609</v>
      </c>
    </row>
    <row r="1295" spans="1:11" hidden="1">
      <c r="A1295" s="134"/>
      <c r="H1295" s="86" t="s">
        <v>442</v>
      </c>
      <c r="I1295"/>
      <c r="J1295" s="4"/>
      <c r="K1295" s="8" t="e">
        <f>SUM(K1285:K1293)</f>
        <v>#REF!</v>
      </c>
    </row>
    <row r="1296" spans="1:11" hidden="1">
      <c r="A1296" s="134"/>
      <c r="I1296"/>
      <c r="J1296" s="4"/>
      <c r="K1296" s="5" t="s">
        <v>1609</v>
      </c>
    </row>
    <row r="1297" spans="1:11" hidden="1">
      <c r="A1297" s="134"/>
      <c r="H1297" s="86" t="s">
        <v>556</v>
      </c>
      <c r="I1297"/>
      <c r="J1297" s="4"/>
      <c r="K1297" s="8" t="e">
        <f>(K1295/10)</f>
        <v>#REF!</v>
      </c>
    </row>
    <row r="1298" spans="1:11" hidden="1">
      <c r="A1298" s="134"/>
      <c r="I1298"/>
      <c r="J1298" s="4"/>
      <c r="K1298" s="5" t="s">
        <v>2080</v>
      </c>
    </row>
    <row r="1299" spans="1:11" hidden="1">
      <c r="A1299" s="134"/>
      <c r="I1299"/>
      <c r="J1299" s="4"/>
      <c r="K1299" s="5"/>
    </row>
    <row r="1300" spans="1:11" hidden="1">
      <c r="A1300" s="134"/>
      <c r="I1300"/>
      <c r="J1300" s="4"/>
      <c r="K1300" s="5"/>
    </row>
    <row r="1301" spans="1:11" hidden="1">
      <c r="A1301" s="134"/>
      <c r="F1301" s="112">
        <v>32.200000000000003</v>
      </c>
      <c r="G1301" s="90" t="s">
        <v>2276</v>
      </c>
      <c r="H1301" s="86" t="s">
        <v>763</v>
      </c>
      <c r="I1301"/>
      <c r="J1301" s="4"/>
      <c r="K1301" s="5"/>
    </row>
    <row r="1302" spans="1:11" hidden="1">
      <c r="A1302" s="134"/>
      <c r="H1302" s="86" t="s">
        <v>1505</v>
      </c>
      <c r="I1302"/>
      <c r="J1302" s="4"/>
      <c r="K1302" s="5"/>
    </row>
    <row r="1303" spans="1:11" hidden="1">
      <c r="A1303" s="134"/>
      <c r="H1303" s="86" t="s">
        <v>689</v>
      </c>
      <c r="I1303"/>
      <c r="J1303" s="4"/>
      <c r="K1303" s="5"/>
    </row>
    <row r="1304" spans="1:11" hidden="1">
      <c r="A1304" s="134"/>
      <c r="H1304" s="86" t="s">
        <v>3168</v>
      </c>
      <c r="I1304"/>
      <c r="J1304" s="4"/>
      <c r="K1304" s="5"/>
    </row>
    <row r="1305" spans="1:11" hidden="1">
      <c r="A1305" s="134"/>
      <c r="H1305" s="86" t="s">
        <v>1312</v>
      </c>
      <c r="I1305"/>
      <c r="J1305" s="4"/>
      <c r="K1305" s="5"/>
    </row>
    <row r="1306" spans="1:11" hidden="1">
      <c r="A1306" s="134"/>
      <c r="H1306" s="89" t="s">
        <v>1609</v>
      </c>
      <c r="I1306"/>
      <c r="J1306" s="4"/>
      <c r="K1306" s="5"/>
    </row>
    <row r="1307" spans="1:11" hidden="1">
      <c r="A1307" s="134"/>
      <c r="F1307" s="91">
        <v>190</v>
      </c>
      <c r="G1307" s="90" t="s">
        <v>1898</v>
      </c>
      <c r="H1307" s="86" t="s">
        <v>1590</v>
      </c>
      <c r="I1307">
        <f>E83</f>
        <v>3550</v>
      </c>
      <c r="J1307" s="2" t="s">
        <v>1503</v>
      </c>
      <c r="K1307" s="8">
        <f>(F1307*I1307)/1000</f>
        <v>674.5</v>
      </c>
    </row>
    <row r="1308" spans="1:11" hidden="1">
      <c r="A1308" s="134"/>
      <c r="F1308" s="91">
        <v>0.12</v>
      </c>
      <c r="G1308" s="90" t="s">
        <v>878</v>
      </c>
      <c r="H1308" s="86" t="s">
        <v>1901</v>
      </c>
      <c r="I1308" t="e">
        <f>K32</f>
        <v>#REF!</v>
      </c>
      <c r="J1308" s="2" t="s">
        <v>878</v>
      </c>
      <c r="K1308" s="8" t="e">
        <f t="shared" ref="K1308:K1314" si="60">(F1308*I1308)</f>
        <v>#REF!</v>
      </c>
    </row>
    <row r="1309" spans="1:11" hidden="1">
      <c r="A1309" s="134"/>
      <c r="F1309" s="91">
        <v>10</v>
      </c>
      <c r="G1309" s="90" t="s">
        <v>615</v>
      </c>
      <c r="H1309" s="86" t="s">
        <v>1314</v>
      </c>
      <c r="I1309" t="e">
        <f>K1276</f>
        <v>#REF!</v>
      </c>
      <c r="J1309" s="2" t="s">
        <v>615</v>
      </c>
      <c r="K1309" s="8" t="e">
        <f t="shared" si="60"/>
        <v>#REF!</v>
      </c>
    </row>
    <row r="1310" spans="1:11" hidden="1">
      <c r="A1310" s="134"/>
      <c r="F1310" s="91">
        <v>5.8</v>
      </c>
      <c r="G1310" s="90" t="s">
        <v>1670</v>
      </c>
      <c r="H1310" s="86" t="s">
        <v>976</v>
      </c>
      <c r="I1310">
        <f>C631</f>
        <v>30</v>
      </c>
      <c r="J1310" s="2" t="s">
        <v>1670</v>
      </c>
      <c r="K1310" s="8">
        <f t="shared" si="60"/>
        <v>174</v>
      </c>
    </row>
    <row r="1311" spans="1:11" hidden="1">
      <c r="A1311" s="134"/>
      <c r="F1311" s="91">
        <v>1.1000000000000001</v>
      </c>
      <c r="G1311" s="90" t="s">
        <v>778</v>
      </c>
      <c r="H1311" s="86" t="s">
        <v>2034</v>
      </c>
      <c r="I1311">
        <f>C10</f>
        <v>150</v>
      </c>
      <c r="J1311" s="2" t="s">
        <v>778</v>
      </c>
      <c r="K1311" s="8">
        <f t="shared" si="60"/>
        <v>165</v>
      </c>
    </row>
    <row r="1312" spans="1:11" hidden="1">
      <c r="A1312" s="134"/>
      <c r="F1312" s="91">
        <v>2.1</v>
      </c>
      <c r="G1312" s="90" t="s">
        <v>778</v>
      </c>
      <c r="H1312" s="86" t="s">
        <v>1737</v>
      </c>
      <c r="I1312">
        <f>C11</f>
        <v>135</v>
      </c>
      <c r="J1312" s="2" t="s">
        <v>778</v>
      </c>
      <c r="K1312" s="8">
        <f t="shared" si="60"/>
        <v>283.5</v>
      </c>
    </row>
    <row r="1313" spans="1:11" hidden="1">
      <c r="A1313" s="134"/>
      <c r="F1313" s="91">
        <v>2.2000000000000002</v>
      </c>
      <c r="G1313" s="90" t="s">
        <v>778</v>
      </c>
      <c r="H1313" s="86" t="s">
        <v>1927</v>
      </c>
      <c r="I1313">
        <f>C12</f>
        <v>95</v>
      </c>
      <c r="J1313" s="2" t="s">
        <v>778</v>
      </c>
      <c r="K1313" s="8">
        <f t="shared" si="60"/>
        <v>209</v>
      </c>
    </row>
    <row r="1314" spans="1:11" hidden="1">
      <c r="A1314" s="134"/>
      <c r="F1314" s="91">
        <v>1.1000000000000001</v>
      </c>
      <c r="G1314" s="90" t="s">
        <v>778</v>
      </c>
      <c r="H1314" s="86" t="s">
        <v>321</v>
      </c>
      <c r="I1314">
        <f>C13</f>
        <v>85</v>
      </c>
      <c r="J1314" s="2" t="s">
        <v>778</v>
      </c>
      <c r="K1314" s="8">
        <f t="shared" si="60"/>
        <v>93.5</v>
      </c>
    </row>
    <row r="1315" spans="1:11" hidden="1">
      <c r="A1315" s="134"/>
      <c r="G1315" s="90" t="s">
        <v>450</v>
      </c>
      <c r="H1315" s="86" t="s">
        <v>451</v>
      </c>
      <c r="I1315"/>
      <c r="J1315" s="2" t="s">
        <v>450</v>
      </c>
      <c r="K1315" s="8">
        <v>0</v>
      </c>
    </row>
    <row r="1316" spans="1:11" hidden="1">
      <c r="A1316" s="134"/>
      <c r="I1316"/>
      <c r="J1316" s="4"/>
      <c r="K1316" s="5" t="s">
        <v>1609</v>
      </c>
    </row>
    <row r="1317" spans="1:11" hidden="1">
      <c r="A1317" s="134"/>
      <c r="H1317" s="86" t="s">
        <v>442</v>
      </c>
      <c r="I1317"/>
      <c r="J1317" s="4"/>
      <c r="K1317" s="8" t="e">
        <f>SUM(K1307:K1315)</f>
        <v>#REF!</v>
      </c>
    </row>
    <row r="1318" spans="1:11" hidden="1">
      <c r="A1318" s="134"/>
      <c r="I1318"/>
      <c r="J1318" s="4"/>
      <c r="K1318" s="5" t="s">
        <v>1609</v>
      </c>
    </row>
    <row r="1319" spans="1:11" hidden="1">
      <c r="A1319" s="134"/>
      <c r="H1319" s="86" t="s">
        <v>556</v>
      </c>
      <c r="I1319"/>
      <c r="J1319" s="4"/>
      <c r="K1319" s="8" t="e">
        <f>(K1317/10)</f>
        <v>#REF!</v>
      </c>
    </row>
    <row r="1320" spans="1:11" hidden="1">
      <c r="A1320" s="134"/>
      <c r="I1320"/>
      <c r="J1320" s="4"/>
      <c r="K1320" s="5" t="s">
        <v>2080</v>
      </c>
    </row>
    <row r="1321" spans="1:11" hidden="1">
      <c r="A1321" s="134"/>
      <c r="I1321"/>
      <c r="J1321" s="4"/>
      <c r="K1321" s="5"/>
    </row>
    <row r="1322" spans="1:11" hidden="1">
      <c r="A1322" s="134"/>
      <c r="F1322" s="102" t="s">
        <v>1315</v>
      </c>
      <c r="G1322" s="90" t="s">
        <v>2276</v>
      </c>
      <c r="H1322" s="86" t="s">
        <v>6</v>
      </c>
      <c r="I1322"/>
      <c r="J1322" s="4"/>
      <c r="K1322"/>
    </row>
    <row r="1323" spans="1:11" hidden="1">
      <c r="A1323" s="134"/>
      <c r="H1323" s="89" t="s">
        <v>1609</v>
      </c>
      <c r="I1323"/>
      <c r="J1323" s="4"/>
      <c r="K1323"/>
    </row>
    <row r="1324" spans="1:11" hidden="1">
      <c r="A1324" s="134"/>
      <c r="F1324" s="91">
        <v>0.14000000000000001</v>
      </c>
      <c r="G1324" s="90" t="s">
        <v>878</v>
      </c>
      <c r="H1324" s="86" t="s">
        <v>1650</v>
      </c>
      <c r="I1324" s="8" t="e">
        <f>(K49)</f>
        <v>#REF!</v>
      </c>
      <c r="J1324" s="2" t="s">
        <v>878</v>
      </c>
      <c r="K1324" s="8" t="e">
        <f>(F1324*I1324)</f>
        <v>#REF!</v>
      </c>
    </row>
    <row r="1325" spans="1:11" hidden="1">
      <c r="A1325" s="134"/>
      <c r="F1325" s="91">
        <v>1.1000000000000001</v>
      </c>
      <c r="G1325" s="90" t="s">
        <v>877</v>
      </c>
      <c r="H1325" s="86" t="s">
        <v>2034</v>
      </c>
      <c r="I1325" s="8">
        <f>(C10)</f>
        <v>150</v>
      </c>
      <c r="J1325" s="2" t="s">
        <v>877</v>
      </c>
      <c r="K1325" s="8">
        <f>(F1325*I1325)</f>
        <v>165</v>
      </c>
    </row>
    <row r="1326" spans="1:11" hidden="1">
      <c r="A1326" s="134"/>
      <c r="F1326" s="91">
        <v>0.5</v>
      </c>
      <c r="G1326" s="90" t="s">
        <v>877</v>
      </c>
      <c r="H1326" s="86" t="s">
        <v>1927</v>
      </c>
      <c r="I1326" s="8">
        <f>(C12)</f>
        <v>95</v>
      </c>
      <c r="J1326" s="2" t="s">
        <v>877</v>
      </c>
      <c r="K1326" s="8">
        <f>(F1326*I1326)</f>
        <v>47.5</v>
      </c>
    </row>
    <row r="1327" spans="1:11" hidden="1">
      <c r="A1327" s="134"/>
      <c r="F1327" s="91">
        <v>1.1000000000000001</v>
      </c>
      <c r="G1327" s="90" t="s">
        <v>877</v>
      </c>
      <c r="H1327" s="86" t="s">
        <v>321</v>
      </c>
      <c r="I1327" s="8">
        <f>(C13)</f>
        <v>85</v>
      </c>
      <c r="J1327" s="2" t="s">
        <v>877</v>
      </c>
      <c r="K1327" s="8">
        <f>(F1327*I1327)</f>
        <v>93.5</v>
      </c>
    </row>
    <row r="1328" spans="1:11" hidden="1">
      <c r="A1328" s="134"/>
      <c r="G1328" s="90" t="s">
        <v>450</v>
      </c>
      <c r="H1328" s="86" t="s">
        <v>451</v>
      </c>
      <c r="I1328" s="1" t="s">
        <v>987</v>
      </c>
      <c r="J1328" s="2" t="s">
        <v>450</v>
      </c>
      <c r="K1328" s="8">
        <v>0</v>
      </c>
    </row>
    <row r="1329" spans="1:11" hidden="1">
      <c r="A1329" s="134"/>
      <c r="I1329"/>
      <c r="J1329" s="4"/>
      <c r="K1329" s="5" t="s">
        <v>1609</v>
      </c>
    </row>
    <row r="1330" spans="1:11" hidden="1">
      <c r="A1330" s="134"/>
      <c r="H1330" s="86" t="s">
        <v>442</v>
      </c>
      <c r="I1330"/>
      <c r="J1330" s="4"/>
      <c r="K1330" s="8" t="e">
        <f>SUM(K1324:K1328)</f>
        <v>#REF!</v>
      </c>
    </row>
    <row r="1331" spans="1:11" hidden="1">
      <c r="A1331" s="134"/>
      <c r="I1331"/>
      <c r="J1331" s="4"/>
      <c r="K1331" s="5" t="s">
        <v>1609</v>
      </c>
    </row>
    <row r="1332" spans="1:11" hidden="1">
      <c r="A1332" s="134"/>
      <c r="H1332" s="86" t="s">
        <v>556</v>
      </c>
      <c r="I1332"/>
      <c r="J1332" s="4"/>
      <c r="K1332" s="8" t="e">
        <f>(K1330/10)</f>
        <v>#REF!</v>
      </c>
    </row>
    <row r="1333" spans="1:11" hidden="1">
      <c r="A1333" s="134"/>
      <c r="F1333" s="86" t="s">
        <v>987</v>
      </c>
      <c r="I1333"/>
      <c r="J1333" s="4"/>
      <c r="K1333"/>
    </row>
    <row r="1334" spans="1:11" hidden="1">
      <c r="A1334" s="134"/>
      <c r="I1334"/>
      <c r="J1334" s="4"/>
      <c r="K1334" s="5" t="s">
        <v>2080</v>
      </c>
    </row>
    <row r="1335" spans="1:11" hidden="1">
      <c r="A1335" s="134"/>
      <c r="F1335" s="102" t="s">
        <v>7</v>
      </c>
      <c r="G1335" s="90" t="s">
        <v>2276</v>
      </c>
      <c r="H1335" s="86" t="s">
        <v>8</v>
      </c>
      <c r="I1335"/>
      <c r="J1335" s="4"/>
      <c r="K1335"/>
    </row>
    <row r="1336" spans="1:11" hidden="1">
      <c r="A1336" s="134"/>
      <c r="H1336" s="89" t="s">
        <v>1609</v>
      </c>
      <c r="I1336"/>
      <c r="J1336" s="4"/>
      <c r="K1336"/>
    </row>
    <row r="1337" spans="1:11" hidden="1">
      <c r="A1337" s="134"/>
      <c r="F1337" s="91">
        <v>0.14000000000000001</v>
      </c>
      <c r="G1337" s="90" t="s">
        <v>878</v>
      </c>
      <c r="H1337" s="86" t="s">
        <v>1327</v>
      </c>
      <c r="I1337" s="8" t="e">
        <f>(K40)</f>
        <v>#REF!</v>
      </c>
      <c r="J1337" s="2" t="s">
        <v>878</v>
      </c>
      <c r="K1337" s="8" t="e">
        <f>(F1337*I1337)</f>
        <v>#REF!</v>
      </c>
    </row>
    <row r="1338" spans="1:11" hidden="1">
      <c r="A1338" s="134"/>
      <c r="F1338" s="91">
        <v>1.1000000000000001</v>
      </c>
      <c r="G1338" s="90" t="s">
        <v>877</v>
      </c>
      <c r="H1338" s="86" t="s">
        <v>2034</v>
      </c>
      <c r="I1338" s="8">
        <f>(C10)</f>
        <v>150</v>
      </c>
      <c r="J1338" s="2" t="s">
        <v>877</v>
      </c>
      <c r="K1338" s="8">
        <f>(F1338*I1338)</f>
        <v>165</v>
      </c>
    </row>
    <row r="1339" spans="1:11" hidden="1">
      <c r="A1339" s="134"/>
      <c r="F1339" s="91">
        <v>0.5</v>
      </c>
      <c r="G1339" s="90" t="s">
        <v>877</v>
      </c>
      <c r="H1339" s="86" t="s">
        <v>1927</v>
      </c>
      <c r="I1339" s="8">
        <f>(C12)</f>
        <v>95</v>
      </c>
      <c r="J1339" s="2" t="s">
        <v>877</v>
      </c>
      <c r="K1339" s="8">
        <f>(F1339*I1339)</f>
        <v>47.5</v>
      </c>
    </row>
    <row r="1340" spans="1:11" hidden="1">
      <c r="A1340" s="134"/>
      <c r="F1340" s="91">
        <v>1.1000000000000001</v>
      </c>
      <c r="G1340" s="90" t="s">
        <v>877</v>
      </c>
      <c r="H1340" s="86" t="s">
        <v>321</v>
      </c>
      <c r="I1340" s="8">
        <f>(C13)</f>
        <v>85</v>
      </c>
      <c r="J1340" s="2" t="s">
        <v>877</v>
      </c>
      <c r="K1340" s="8">
        <f>(F1340*I1340)</f>
        <v>93.5</v>
      </c>
    </row>
    <row r="1341" spans="1:11" hidden="1">
      <c r="A1341" s="134"/>
      <c r="G1341" s="90" t="s">
        <v>450</v>
      </c>
      <c r="H1341" s="86" t="s">
        <v>451</v>
      </c>
      <c r="I1341" s="1" t="s">
        <v>987</v>
      </c>
      <c r="J1341" s="2" t="s">
        <v>450</v>
      </c>
      <c r="K1341" s="8">
        <v>0</v>
      </c>
    </row>
    <row r="1342" spans="1:11" hidden="1">
      <c r="A1342" s="134"/>
      <c r="I1342"/>
      <c r="J1342" s="4"/>
      <c r="K1342" s="5" t="s">
        <v>1609</v>
      </c>
    </row>
    <row r="1343" spans="1:11" hidden="1">
      <c r="A1343" s="134"/>
      <c r="H1343" s="86" t="s">
        <v>442</v>
      </c>
      <c r="I1343"/>
      <c r="J1343" s="4"/>
      <c r="K1343" s="8" t="e">
        <f>SUM(K1337:K1341)</f>
        <v>#REF!</v>
      </c>
    </row>
    <row r="1344" spans="1:11" hidden="1">
      <c r="A1344" s="134"/>
      <c r="I1344"/>
      <c r="J1344" s="4"/>
      <c r="K1344" s="5" t="s">
        <v>1609</v>
      </c>
    </row>
    <row r="1345" spans="1:11" hidden="1">
      <c r="A1345" s="134"/>
      <c r="H1345" s="86" t="s">
        <v>556</v>
      </c>
      <c r="I1345"/>
      <c r="J1345" s="4"/>
      <c r="K1345" s="8" t="e">
        <f>(K1343/10)</f>
        <v>#REF!</v>
      </c>
    </row>
    <row r="1346" spans="1:11" hidden="1">
      <c r="A1346" s="134"/>
      <c r="I1346"/>
      <c r="J1346" s="4"/>
      <c r="K1346" s="5" t="s">
        <v>2080</v>
      </c>
    </row>
    <row r="1347" spans="1:11" hidden="1">
      <c r="A1347" s="134"/>
      <c r="F1347" s="102" t="s">
        <v>9</v>
      </c>
      <c r="G1347" s="90" t="s">
        <v>2276</v>
      </c>
      <c r="H1347" s="86" t="s">
        <v>10</v>
      </c>
      <c r="I1347"/>
      <c r="J1347" s="4"/>
      <c r="K1347"/>
    </row>
    <row r="1348" spans="1:11" hidden="1">
      <c r="A1348" s="134"/>
      <c r="H1348" s="89" t="s">
        <v>1609</v>
      </c>
      <c r="I1348"/>
      <c r="J1348" s="4"/>
      <c r="K1348"/>
    </row>
    <row r="1349" spans="1:11" hidden="1">
      <c r="A1349" s="134"/>
      <c r="F1349" s="91">
        <v>0.1</v>
      </c>
      <c r="G1349" s="90" t="s">
        <v>878</v>
      </c>
      <c r="H1349" s="86" t="s">
        <v>1373</v>
      </c>
      <c r="I1349" s="8" t="e">
        <f>(K32)</f>
        <v>#REF!</v>
      </c>
      <c r="J1349" s="2" t="s">
        <v>878</v>
      </c>
      <c r="K1349" s="8" t="e">
        <f>(F1349*I1349)</f>
        <v>#REF!</v>
      </c>
    </row>
    <row r="1350" spans="1:11" hidden="1">
      <c r="A1350" s="134"/>
      <c r="F1350" s="91">
        <v>1.1000000000000001</v>
      </c>
      <c r="G1350" s="90" t="s">
        <v>877</v>
      </c>
      <c r="H1350" s="86" t="s">
        <v>2034</v>
      </c>
      <c r="I1350" s="8">
        <f>(C10)</f>
        <v>150</v>
      </c>
      <c r="J1350" s="2" t="s">
        <v>877</v>
      </c>
      <c r="K1350" s="8">
        <f>(F1350*I1350)</f>
        <v>165</v>
      </c>
    </row>
    <row r="1351" spans="1:11" hidden="1">
      <c r="A1351" s="134"/>
      <c r="F1351" s="91">
        <v>1.1000000000000001</v>
      </c>
      <c r="G1351" s="90" t="s">
        <v>877</v>
      </c>
      <c r="H1351" s="86" t="s">
        <v>1927</v>
      </c>
      <c r="I1351" s="8">
        <f>(C12)</f>
        <v>95</v>
      </c>
      <c r="J1351" s="2" t="s">
        <v>877</v>
      </c>
      <c r="K1351" s="8">
        <f>(F1351*I1351)</f>
        <v>104.5</v>
      </c>
    </row>
    <row r="1352" spans="1:11" hidden="1">
      <c r="A1352" s="134"/>
      <c r="F1352" s="91">
        <v>1.1000000000000001</v>
      </c>
      <c r="G1352" s="90" t="s">
        <v>877</v>
      </c>
      <c r="H1352" s="86" t="s">
        <v>321</v>
      </c>
      <c r="I1352" s="8">
        <f>(C13)</f>
        <v>85</v>
      </c>
      <c r="J1352" s="2" t="s">
        <v>877</v>
      </c>
      <c r="K1352" s="8">
        <f>(F1352*I1352)</f>
        <v>93.5</v>
      </c>
    </row>
    <row r="1353" spans="1:11" hidden="1">
      <c r="A1353" s="134"/>
      <c r="G1353" s="90" t="s">
        <v>450</v>
      </c>
      <c r="H1353" s="86" t="s">
        <v>451</v>
      </c>
      <c r="I1353" s="1" t="s">
        <v>987</v>
      </c>
      <c r="J1353" s="2" t="s">
        <v>450</v>
      </c>
      <c r="K1353" s="8">
        <v>0</v>
      </c>
    </row>
    <row r="1354" spans="1:11" hidden="1">
      <c r="A1354" s="134"/>
      <c r="I1354"/>
      <c r="J1354" s="4"/>
      <c r="K1354" s="5" t="s">
        <v>1609</v>
      </c>
    </row>
    <row r="1355" spans="1:11" hidden="1">
      <c r="A1355" s="134"/>
      <c r="H1355" s="86" t="s">
        <v>442</v>
      </c>
      <c r="I1355"/>
      <c r="J1355" s="4"/>
      <c r="K1355" s="8" t="e">
        <f>SUM(K1349:K1353)</f>
        <v>#REF!</v>
      </c>
    </row>
    <row r="1356" spans="1:11" hidden="1">
      <c r="A1356" s="134"/>
      <c r="I1356"/>
      <c r="J1356" s="4"/>
      <c r="K1356" s="5" t="s">
        <v>1609</v>
      </c>
    </row>
    <row r="1357" spans="1:11" hidden="1">
      <c r="A1357" s="134"/>
      <c r="H1357" s="86" t="s">
        <v>556</v>
      </c>
      <c r="I1357"/>
      <c r="J1357" s="4"/>
      <c r="K1357" s="8" t="e">
        <f>(K1355/10)</f>
        <v>#REF!</v>
      </c>
    </row>
    <row r="1358" spans="1:11" hidden="1">
      <c r="A1358" s="134"/>
      <c r="I1358"/>
      <c r="J1358" s="4"/>
      <c r="K1358" s="5" t="s">
        <v>2080</v>
      </c>
    </row>
    <row r="1359" spans="1:11" hidden="1">
      <c r="A1359" s="134"/>
      <c r="I1359"/>
      <c r="J1359" s="4"/>
      <c r="K1359"/>
    </row>
    <row r="1360" spans="1:11" hidden="1">
      <c r="A1360" s="134"/>
      <c r="G1360" s="90" t="s">
        <v>2276</v>
      </c>
      <c r="H1360" s="86" t="s">
        <v>851</v>
      </c>
      <c r="I1360"/>
      <c r="J1360" s="4"/>
      <c r="K1360"/>
    </row>
    <row r="1361" spans="1:11" hidden="1">
      <c r="A1361" s="134"/>
      <c r="H1361" s="86" t="s">
        <v>852</v>
      </c>
      <c r="I1361"/>
      <c r="J1361" s="4"/>
      <c r="K1361"/>
    </row>
    <row r="1362" spans="1:11" hidden="1">
      <c r="A1362" s="134"/>
      <c r="H1362" s="86" t="s">
        <v>853</v>
      </c>
      <c r="I1362"/>
      <c r="J1362" s="4"/>
      <c r="K1362"/>
    </row>
    <row r="1363" spans="1:11" hidden="1">
      <c r="A1363" s="134"/>
      <c r="H1363" s="89" t="s">
        <v>1609</v>
      </c>
      <c r="I1363"/>
      <c r="J1363" s="4"/>
      <c r="K1363"/>
    </row>
    <row r="1364" spans="1:11" hidden="1">
      <c r="A1364" s="134"/>
      <c r="F1364" s="91">
        <v>0.14000000000000001</v>
      </c>
      <c r="G1364" s="90" t="s">
        <v>878</v>
      </c>
      <c r="H1364" s="86" t="s">
        <v>1373</v>
      </c>
      <c r="I1364" s="8" t="e">
        <f>(K32)</f>
        <v>#REF!</v>
      </c>
      <c r="J1364" s="2" t="s">
        <v>878</v>
      </c>
      <c r="K1364" s="8" t="e">
        <f>(F1364*I1364)</f>
        <v>#REF!</v>
      </c>
    </row>
    <row r="1365" spans="1:11" hidden="1">
      <c r="A1365" s="134"/>
      <c r="F1365" s="91">
        <v>1.1000000000000001</v>
      </c>
      <c r="G1365" s="90" t="s">
        <v>877</v>
      </c>
      <c r="H1365" s="86" t="s">
        <v>2034</v>
      </c>
      <c r="I1365" s="8">
        <f>(C10)</f>
        <v>150</v>
      </c>
      <c r="J1365" s="2" t="s">
        <v>877</v>
      </c>
      <c r="K1365" s="8">
        <f>(F1365*I1365)</f>
        <v>165</v>
      </c>
    </row>
    <row r="1366" spans="1:11" hidden="1">
      <c r="A1366" s="134"/>
      <c r="F1366" s="91">
        <v>0.5</v>
      </c>
      <c r="G1366" s="90" t="s">
        <v>877</v>
      </c>
      <c r="H1366" s="86" t="s">
        <v>1927</v>
      </c>
      <c r="I1366" s="8">
        <f>(C12)</f>
        <v>95</v>
      </c>
      <c r="J1366" s="2" t="s">
        <v>877</v>
      </c>
      <c r="K1366" s="8">
        <f>(F1366*I1366)</f>
        <v>47.5</v>
      </c>
    </row>
    <row r="1367" spans="1:11" hidden="1">
      <c r="A1367" s="134"/>
      <c r="F1367" s="91">
        <v>1.1000000000000001</v>
      </c>
      <c r="G1367" s="90" t="s">
        <v>877</v>
      </c>
      <c r="H1367" s="86" t="s">
        <v>321</v>
      </c>
      <c r="I1367" s="8">
        <f>(C13)</f>
        <v>85</v>
      </c>
      <c r="J1367" s="2" t="s">
        <v>877</v>
      </c>
      <c r="K1367" s="8">
        <f>(F1367*I1367)</f>
        <v>93.5</v>
      </c>
    </row>
    <row r="1368" spans="1:11" hidden="1">
      <c r="A1368" s="134"/>
      <c r="F1368" s="91">
        <v>2</v>
      </c>
      <c r="G1368" s="90" t="s">
        <v>1670</v>
      </c>
      <c r="H1368" s="86" t="s">
        <v>854</v>
      </c>
      <c r="I1368" s="8">
        <f>(C631)</f>
        <v>30</v>
      </c>
      <c r="J1368" s="2" t="s">
        <v>1670</v>
      </c>
      <c r="K1368" s="8">
        <f>(F1368*I1368)</f>
        <v>60</v>
      </c>
    </row>
    <row r="1369" spans="1:11" hidden="1">
      <c r="A1369" s="134"/>
      <c r="G1369" s="90" t="s">
        <v>450</v>
      </c>
      <c r="H1369" s="86" t="s">
        <v>451</v>
      </c>
      <c r="I1369" s="1" t="s">
        <v>987</v>
      </c>
      <c r="J1369" s="2" t="s">
        <v>450</v>
      </c>
      <c r="K1369" s="8">
        <v>0</v>
      </c>
    </row>
    <row r="1370" spans="1:11" hidden="1">
      <c r="A1370" s="134"/>
      <c r="I1370"/>
      <c r="J1370" s="4"/>
      <c r="K1370" s="5" t="s">
        <v>1609</v>
      </c>
    </row>
    <row r="1371" spans="1:11" hidden="1">
      <c r="A1371" s="134"/>
      <c r="F1371" s="86" t="s">
        <v>987</v>
      </c>
      <c r="H1371" s="86" t="s">
        <v>442</v>
      </c>
      <c r="I1371"/>
      <c r="J1371" s="4"/>
      <c r="K1371" s="8" t="e">
        <f>SUM(K1364:K1369)</f>
        <v>#REF!</v>
      </c>
    </row>
    <row r="1372" spans="1:11" hidden="1">
      <c r="A1372" s="134"/>
      <c r="I1372"/>
      <c r="J1372" s="4"/>
      <c r="K1372" s="5" t="s">
        <v>1609</v>
      </c>
    </row>
    <row r="1373" spans="1:11" hidden="1">
      <c r="A1373" s="134"/>
      <c r="H1373" s="86" t="s">
        <v>556</v>
      </c>
      <c r="I1373"/>
      <c r="J1373" s="4"/>
      <c r="K1373" s="8" t="e">
        <f>(K1371/10)</f>
        <v>#REF!</v>
      </c>
    </row>
    <row r="1374" spans="1:11" hidden="1">
      <c r="A1374" s="134"/>
      <c r="I1374"/>
      <c r="J1374" s="4"/>
      <c r="K1374" s="5" t="s">
        <v>2080</v>
      </c>
    </row>
    <row r="1375" spans="1:11" hidden="1">
      <c r="A1375" s="134"/>
      <c r="H1375" s="86" t="s">
        <v>987</v>
      </c>
      <c r="I1375"/>
      <c r="J1375" s="4"/>
      <c r="K1375"/>
    </row>
    <row r="1376" spans="1:11" hidden="1">
      <c r="A1376" s="134"/>
      <c r="I1376"/>
      <c r="J1376" s="4"/>
      <c r="K1376"/>
    </row>
    <row r="1377" spans="1:11" hidden="1">
      <c r="A1377" s="134"/>
      <c r="F1377" s="102" t="s">
        <v>855</v>
      </c>
      <c r="G1377" s="90" t="s">
        <v>2276</v>
      </c>
      <c r="H1377" s="86" t="s">
        <v>856</v>
      </c>
      <c r="I1377"/>
      <c r="J1377" s="4"/>
      <c r="K1377"/>
    </row>
    <row r="1378" spans="1:11" hidden="1">
      <c r="A1378" s="134"/>
      <c r="H1378" s="86" t="s">
        <v>1380</v>
      </c>
      <c r="I1378"/>
      <c r="J1378" s="4"/>
      <c r="K1378"/>
    </row>
    <row r="1379" spans="1:11" hidden="1">
      <c r="A1379" s="134"/>
      <c r="H1379" s="86" t="s">
        <v>1381</v>
      </c>
      <c r="I1379"/>
      <c r="J1379" s="4"/>
      <c r="K1379"/>
    </row>
    <row r="1380" spans="1:11" hidden="1">
      <c r="A1380" s="134"/>
      <c r="H1380" s="86" t="s">
        <v>704</v>
      </c>
      <c r="I1380"/>
      <c r="J1380" s="4"/>
      <c r="K1380"/>
    </row>
    <row r="1381" spans="1:11" hidden="1">
      <c r="A1381" s="134"/>
      <c r="H1381" s="89" t="s">
        <v>1609</v>
      </c>
      <c r="I1381" s="5" t="s">
        <v>1609</v>
      </c>
      <c r="J1381" s="4"/>
      <c r="K1381"/>
    </row>
    <row r="1382" spans="1:11" hidden="1">
      <c r="A1382" s="134"/>
      <c r="G1382" s="90" t="s">
        <v>1932</v>
      </c>
      <c r="H1382" s="86" t="s">
        <v>705</v>
      </c>
      <c r="I1382"/>
      <c r="J1382" s="4"/>
      <c r="K1382"/>
    </row>
    <row r="1383" spans="1:11" hidden="1">
      <c r="A1383" s="134"/>
      <c r="G1383" s="90" t="s">
        <v>1609</v>
      </c>
      <c r="H1383" s="89" t="s">
        <v>1609</v>
      </c>
      <c r="I1383"/>
      <c r="J1383" s="4"/>
      <c r="K1383"/>
    </row>
    <row r="1384" spans="1:11" hidden="1">
      <c r="A1384" s="134"/>
      <c r="F1384" s="122">
        <v>1.4E-2</v>
      </c>
      <c r="G1384" s="90" t="s">
        <v>2176</v>
      </c>
      <c r="H1384" s="86" t="s">
        <v>706</v>
      </c>
      <c r="I1384" s="8" t="e">
        <f>K49</f>
        <v>#REF!</v>
      </c>
      <c r="J1384" s="2" t="s">
        <v>2176</v>
      </c>
      <c r="K1384" s="8" t="e">
        <f>(F1384*I1384)</f>
        <v>#REF!</v>
      </c>
    </row>
    <row r="1385" spans="1:11" hidden="1">
      <c r="A1385" s="134"/>
      <c r="F1385" s="91">
        <v>0.3</v>
      </c>
      <c r="G1385" s="90" t="s">
        <v>564</v>
      </c>
      <c r="H1385" s="86" t="s">
        <v>707</v>
      </c>
      <c r="I1385" s="8">
        <f>C10</f>
        <v>150</v>
      </c>
      <c r="J1385" s="2" t="s">
        <v>564</v>
      </c>
      <c r="K1385" s="8">
        <f>(F1385*I1385)</f>
        <v>45</v>
      </c>
    </row>
    <row r="1386" spans="1:11" hidden="1">
      <c r="A1386" s="134"/>
      <c r="F1386" s="91">
        <v>0.3</v>
      </c>
      <c r="G1386" s="90" t="s">
        <v>564</v>
      </c>
      <c r="H1386" s="86" t="s">
        <v>832</v>
      </c>
      <c r="I1386" s="8">
        <f>C12</f>
        <v>95</v>
      </c>
      <c r="J1386" s="2" t="s">
        <v>564</v>
      </c>
      <c r="K1386" s="8">
        <f>(F1386*I1386)</f>
        <v>28.5</v>
      </c>
    </row>
    <row r="1387" spans="1:11" hidden="1">
      <c r="A1387" s="134"/>
      <c r="G1387" s="90" t="s">
        <v>450</v>
      </c>
      <c r="H1387" s="86" t="s">
        <v>2296</v>
      </c>
      <c r="I1387"/>
      <c r="J1387" s="2" t="s">
        <v>450</v>
      </c>
      <c r="K1387">
        <v>0</v>
      </c>
    </row>
    <row r="1388" spans="1:11" hidden="1">
      <c r="A1388" s="134"/>
      <c r="I1388"/>
      <c r="J1388" s="4"/>
      <c r="K1388" s="5" t="s">
        <v>1609</v>
      </c>
    </row>
    <row r="1389" spans="1:11" hidden="1">
      <c r="A1389" s="134"/>
      <c r="H1389" s="102" t="s">
        <v>708</v>
      </c>
      <c r="I1389"/>
      <c r="J1389" s="4"/>
      <c r="K1389" s="8" t="e">
        <f>SUM(K1384:K1387)</f>
        <v>#REF!</v>
      </c>
    </row>
    <row r="1390" spans="1:11" hidden="1">
      <c r="A1390" s="134"/>
      <c r="I1390"/>
      <c r="J1390" s="4"/>
      <c r="K1390" s="5" t="s">
        <v>1609</v>
      </c>
    </row>
    <row r="1391" spans="1:11" hidden="1">
      <c r="A1391" s="134"/>
      <c r="H1391" s="102" t="s">
        <v>709</v>
      </c>
      <c r="I1391"/>
      <c r="J1391" s="4"/>
      <c r="K1391" s="8" t="e">
        <f>K1389/6.77</f>
        <v>#REF!</v>
      </c>
    </row>
    <row r="1392" spans="1:11" hidden="1">
      <c r="A1392" s="134"/>
      <c r="F1392" s="86" t="s">
        <v>987</v>
      </c>
      <c r="I1392"/>
      <c r="J1392" s="4"/>
      <c r="K1392"/>
    </row>
    <row r="1393" spans="1:11" hidden="1">
      <c r="A1393" s="134"/>
      <c r="I1393"/>
      <c r="J1393" s="4"/>
      <c r="K1393" s="5" t="s">
        <v>2080</v>
      </c>
    </row>
    <row r="1394" spans="1:11" hidden="1">
      <c r="A1394" s="134"/>
      <c r="G1394" s="90" t="s">
        <v>522</v>
      </c>
      <c r="H1394" s="86" t="s">
        <v>710</v>
      </c>
      <c r="I1394"/>
      <c r="J1394" s="4"/>
      <c r="K1394"/>
    </row>
    <row r="1395" spans="1:11" hidden="1">
      <c r="A1395" s="134"/>
      <c r="G1395" s="90" t="s">
        <v>1609</v>
      </c>
      <c r="H1395" s="89" t="s">
        <v>1609</v>
      </c>
      <c r="I1395"/>
      <c r="J1395" s="4"/>
      <c r="K1395"/>
    </row>
    <row r="1396" spans="1:11" hidden="1">
      <c r="A1396" s="134"/>
      <c r="F1396" s="122">
        <v>7.0000000000000001E-3</v>
      </c>
      <c r="G1396" s="90" t="s">
        <v>2176</v>
      </c>
      <c r="H1396" s="86" t="s">
        <v>706</v>
      </c>
      <c r="I1396" s="8" t="e">
        <f>K49</f>
        <v>#REF!</v>
      </c>
      <c r="J1396" s="2" t="s">
        <v>2176</v>
      </c>
      <c r="K1396" s="8" t="e">
        <f>(F1396*I1396)</f>
        <v>#REF!</v>
      </c>
    </row>
    <row r="1397" spans="1:11" hidden="1">
      <c r="A1397" s="134"/>
      <c r="F1397" s="91">
        <v>0.2</v>
      </c>
      <c r="G1397" s="90" t="s">
        <v>564</v>
      </c>
      <c r="H1397" s="86" t="s">
        <v>707</v>
      </c>
      <c r="I1397" s="8">
        <f>C10</f>
        <v>150</v>
      </c>
      <c r="J1397" s="2" t="s">
        <v>564</v>
      </c>
      <c r="K1397" s="8">
        <f>(F1397*I1397)</f>
        <v>30</v>
      </c>
    </row>
    <row r="1398" spans="1:11" hidden="1">
      <c r="A1398" s="134"/>
      <c r="F1398" s="91">
        <v>0.2</v>
      </c>
      <c r="G1398" s="90" t="s">
        <v>564</v>
      </c>
      <c r="H1398" s="86" t="s">
        <v>832</v>
      </c>
      <c r="I1398" s="8">
        <f>C12</f>
        <v>95</v>
      </c>
      <c r="J1398" s="2" t="s">
        <v>564</v>
      </c>
      <c r="K1398" s="8">
        <f>(F1398*I1398)</f>
        <v>19</v>
      </c>
    </row>
    <row r="1399" spans="1:11" hidden="1">
      <c r="A1399" s="134"/>
      <c r="H1399" s="86" t="s">
        <v>2296</v>
      </c>
      <c r="I1399"/>
      <c r="J1399" s="4"/>
      <c r="K1399">
        <v>0</v>
      </c>
    </row>
    <row r="1400" spans="1:11" hidden="1">
      <c r="A1400" s="134"/>
      <c r="I1400"/>
      <c r="J1400" s="4"/>
      <c r="K1400" s="5" t="s">
        <v>1609</v>
      </c>
    </row>
    <row r="1401" spans="1:11" hidden="1">
      <c r="A1401" s="134"/>
      <c r="H1401" s="102" t="s">
        <v>708</v>
      </c>
      <c r="I1401"/>
      <c r="J1401" s="4"/>
      <c r="K1401" s="8" t="e">
        <f>SUM(K1396:K1399)</f>
        <v>#REF!</v>
      </c>
    </row>
    <row r="1402" spans="1:11" hidden="1">
      <c r="A1402" s="134"/>
      <c r="I1402"/>
      <c r="J1402" s="4"/>
      <c r="K1402" s="5" t="s">
        <v>1609</v>
      </c>
    </row>
    <row r="1403" spans="1:11" hidden="1">
      <c r="A1403" s="134"/>
      <c r="H1403" s="102" t="s">
        <v>709</v>
      </c>
      <c r="I1403"/>
      <c r="J1403" s="4"/>
      <c r="K1403" s="8" t="e">
        <f>K1401/6.77</f>
        <v>#REF!</v>
      </c>
    </row>
    <row r="1404" spans="1:11" hidden="1">
      <c r="A1404" s="134"/>
      <c r="I1404"/>
      <c r="J1404" s="4"/>
      <c r="K1404" s="5" t="s">
        <v>2080</v>
      </c>
    </row>
    <row r="1405" spans="1:11" hidden="1">
      <c r="A1405" s="134"/>
      <c r="I1405"/>
      <c r="J1405" s="4"/>
      <c r="K1405" s="5"/>
    </row>
    <row r="1406" spans="1:11" hidden="1">
      <c r="A1406" s="134"/>
      <c r="I1406"/>
      <c r="J1406" s="4"/>
      <c r="K1406" s="5"/>
    </row>
    <row r="1407" spans="1:11" hidden="1">
      <c r="A1407" s="134"/>
      <c r="G1407" s="90" t="s">
        <v>317</v>
      </c>
      <c r="H1407" s="86" t="s">
        <v>949</v>
      </c>
      <c r="I1407"/>
      <c r="J1407" s="4"/>
      <c r="K1407" s="5"/>
    </row>
    <row r="1408" spans="1:11" hidden="1">
      <c r="A1408" s="134"/>
      <c r="G1408" s="90" t="s">
        <v>1609</v>
      </c>
      <c r="H1408" s="89" t="s">
        <v>1609</v>
      </c>
      <c r="I1408"/>
      <c r="J1408" s="4"/>
      <c r="K1408" s="5"/>
    </row>
    <row r="1409" spans="1:11" hidden="1">
      <c r="A1409" s="134"/>
      <c r="F1409" s="122">
        <v>4.7000000000000002E-3</v>
      </c>
      <c r="G1409" s="90" t="s">
        <v>2176</v>
      </c>
      <c r="H1409" s="86" t="s">
        <v>706</v>
      </c>
      <c r="I1409" t="e">
        <f>K49</f>
        <v>#REF!</v>
      </c>
      <c r="J1409" s="2" t="s">
        <v>2176</v>
      </c>
      <c r="K1409" s="8" t="e">
        <f>(F1409*I1409)</f>
        <v>#REF!</v>
      </c>
    </row>
    <row r="1410" spans="1:11" hidden="1">
      <c r="A1410" s="134"/>
      <c r="F1410" s="91">
        <v>0.15</v>
      </c>
      <c r="G1410" s="90" t="s">
        <v>564</v>
      </c>
      <c r="H1410" s="86" t="s">
        <v>707</v>
      </c>
      <c r="I1410">
        <f>C10</f>
        <v>150</v>
      </c>
      <c r="J1410" s="2" t="s">
        <v>564</v>
      </c>
      <c r="K1410" s="8">
        <f>(F1410*I1410)</f>
        <v>22.5</v>
      </c>
    </row>
    <row r="1411" spans="1:11" hidden="1">
      <c r="A1411" s="134"/>
      <c r="F1411" s="91">
        <v>0.15</v>
      </c>
      <c r="G1411" s="90" t="s">
        <v>564</v>
      </c>
      <c r="H1411" s="86" t="s">
        <v>832</v>
      </c>
      <c r="I1411">
        <f>C12</f>
        <v>95</v>
      </c>
      <c r="J1411" s="2" t="s">
        <v>564</v>
      </c>
      <c r="K1411" s="8">
        <f>(F1411*I1411)</f>
        <v>14.25</v>
      </c>
    </row>
    <row r="1412" spans="1:11" hidden="1">
      <c r="A1412" s="134"/>
      <c r="H1412" s="86" t="s">
        <v>2296</v>
      </c>
      <c r="I1412"/>
      <c r="J1412" s="4"/>
      <c r="K1412">
        <v>0</v>
      </c>
    </row>
    <row r="1413" spans="1:11" hidden="1">
      <c r="A1413" s="134"/>
      <c r="I1413"/>
      <c r="J1413" s="4"/>
      <c r="K1413" s="5" t="s">
        <v>1609</v>
      </c>
    </row>
    <row r="1414" spans="1:11" hidden="1">
      <c r="A1414" s="134"/>
      <c r="H1414" s="102" t="s">
        <v>708</v>
      </c>
      <c r="I1414"/>
      <c r="J1414" s="4"/>
      <c r="K1414" s="8" t="e">
        <f>SUM(K1409:K1412)</f>
        <v>#REF!</v>
      </c>
    </row>
    <row r="1415" spans="1:11" hidden="1">
      <c r="A1415" s="134"/>
      <c r="I1415"/>
      <c r="J1415" s="4"/>
      <c r="K1415" s="5" t="s">
        <v>1609</v>
      </c>
    </row>
    <row r="1416" spans="1:11" hidden="1">
      <c r="A1416" s="134"/>
      <c r="H1416" s="102" t="s">
        <v>709</v>
      </c>
      <c r="I1416"/>
      <c r="J1416" s="4"/>
      <c r="K1416" s="8" t="e">
        <f>K1414/6.77</f>
        <v>#REF!</v>
      </c>
    </row>
    <row r="1417" spans="1:11" hidden="1">
      <c r="A1417" s="134"/>
      <c r="I1417"/>
      <c r="J1417" s="4"/>
      <c r="K1417" s="5" t="s">
        <v>2080</v>
      </c>
    </row>
    <row r="1418" spans="1:11" hidden="1">
      <c r="A1418" s="134"/>
      <c r="I1418"/>
      <c r="J1418" s="4"/>
      <c r="K1418" s="5"/>
    </row>
    <row r="1419" spans="1:11" hidden="1">
      <c r="A1419" s="134"/>
      <c r="F1419" s="112">
        <v>37.1</v>
      </c>
      <c r="G1419" s="90" t="s">
        <v>2276</v>
      </c>
      <c r="H1419" s="86" t="s">
        <v>395</v>
      </c>
      <c r="I1419"/>
      <c r="J1419" s="4"/>
      <c r="K1419"/>
    </row>
    <row r="1420" spans="1:11" hidden="1">
      <c r="A1420" s="134"/>
      <c r="H1420" s="89" t="s">
        <v>1609</v>
      </c>
      <c r="I1420"/>
      <c r="J1420" s="4"/>
      <c r="K1420"/>
    </row>
    <row r="1421" spans="1:11" hidden="1">
      <c r="A1421" s="134"/>
      <c r="F1421" s="91">
        <v>0.09</v>
      </c>
      <c r="G1421" s="90" t="s">
        <v>878</v>
      </c>
      <c r="H1421" s="86" t="s">
        <v>2029</v>
      </c>
      <c r="I1421" s="8">
        <f>(C84)</f>
        <v>773</v>
      </c>
      <c r="J1421" s="2" t="s">
        <v>878</v>
      </c>
      <c r="K1421" s="8">
        <f>(F1421*I1421)</f>
        <v>69.569999999999993</v>
      </c>
    </row>
    <row r="1422" spans="1:11" hidden="1">
      <c r="A1422" s="134"/>
      <c r="F1422" s="91">
        <v>2.2000000000000002</v>
      </c>
      <c r="G1422" s="90" t="s">
        <v>877</v>
      </c>
      <c r="H1422" s="86" t="s">
        <v>1737</v>
      </c>
      <c r="I1422" s="8">
        <f>(C11)</f>
        <v>135</v>
      </c>
      <c r="J1422" s="2" t="s">
        <v>877</v>
      </c>
      <c r="K1422" s="8">
        <f>(F1422*I1422)</f>
        <v>297</v>
      </c>
    </row>
    <row r="1423" spans="1:11" hidden="1">
      <c r="A1423" s="134"/>
      <c r="F1423" s="91">
        <v>0.5</v>
      </c>
      <c r="G1423" s="90" t="s">
        <v>877</v>
      </c>
      <c r="H1423" s="86" t="s">
        <v>1927</v>
      </c>
      <c r="I1423" s="8">
        <f>(C12)</f>
        <v>95</v>
      </c>
      <c r="J1423" s="2" t="s">
        <v>877</v>
      </c>
      <c r="K1423" s="8">
        <f>(F1423*I1423)</f>
        <v>47.5</v>
      </c>
    </row>
    <row r="1424" spans="1:11" hidden="1">
      <c r="A1424" s="134"/>
      <c r="F1424" s="91">
        <v>3.8</v>
      </c>
      <c r="G1424" s="90" t="s">
        <v>877</v>
      </c>
      <c r="H1424" s="86" t="s">
        <v>321</v>
      </c>
      <c r="I1424" s="8">
        <f>(C13)</f>
        <v>85</v>
      </c>
      <c r="J1424" s="2" t="s">
        <v>877</v>
      </c>
      <c r="K1424" s="8">
        <f>(F1424*I1424)</f>
        <v>323</v>
      </c>
    </row>
    <row r="1425" spans="1:11" hidden="1">
      <c r="A1425" s="134"/>
      <c r="G1425" s="90" t="s">
        <v>450</v>
      </c>
      <c r="H1425" s="86" t="s">
        <v>506</v>
      </c>
      <c r="I1425" s="1" t="s">
        <v>987</v>
      </c>
      <c r="J1425" s="2" t="s">
        <v>450</v>
      </c>
      <c r="K1425" s="8">
        <v>1.5</v>
      </c>
    </row>
    <row r="1426" spans="1:11" hidden="1">
      <c r="A1426" s="134"/>
      <c r="I1426"/>
      <c r="J1426" s="4"/>
      <c r="K1426" s="5" t="s">
        <v>1609</v>
      </c>
    </row>
    <row r="1427" spans="1:11" hidden="1">
      <c r="A1427" s="134"/>
      <c r="H1427" s="86" t="s">
        <v>1863</v>
      </c>
      <c r="I1427"/>
      <c r="J1427" s="4"/>
      <c r="K1427" s="8">
        <f>SUM(K1420:K1425)</f>
        <v>738.57</v>
      </c>
    </row>
    <row r="1428" spans="1:11" hidden="1">
      <c r="A1428" s="134"/>
      <c r="I1428"/>
      <c r="J1428" s="4"/>
      <c r="K1428" s="5" t="s">
        <v>1609</v>
      </c>
    </row>
    <row r="1429" spans="1:11" hidden="1">
      <c r="A1429" s="134"/>
      <c r="H1429" s="86" t="s">
        <v>556</v>
      </c>
      <c r="I1429"/>
      <c r="J1429" s="4"/>
      <c r="K1429" s="8">
        <f>(K1427/100)</f>
        <v>7.39</v>
      </c>
    </row>
    <row r="1430" spans="1:11" hidden="1">
      <c r="A1430" s="134"/>
      <c r="I1430"/>
      <c r="J1430" s="4"/>
      <c r="K1430" s="5" t="s">
        <v>2080</v>
      </c>
    </row>
    <row r="1431" spans="1:11" hidden="1">
      <c r="A1431" s="134"/>
      <c r="F1431" s="102" t="s">
        <v>857</v>
      </c>
      <c r="G1431" s="90" t="s">
        <v>2276</v>
      </c>
      <c r="H1431" s="86" t="s">
        <v>1012</v>
      </c>
      <c r="I1431"/>
      <c r="J1431" s="4"/>
      <c r="K1431"/>
    </row>
    <row r="1432" spans="1:11" hidden="1">
      <c r="A1432" s="134"/>
      <c r="H1432" s="86" t="s">
        <v>1013</v>
      </c>
      <c r="I1432"/>
      <c r="J1432" s="4"/>
      <c r="K1432"/>
    </row>
    <row r="1433" spans="1:11" hidden="1">
      <c r="A1433" s="134"/>
      <c r="H1433" s="86" t="s">
        <v>1014</v>
      </c>
      <c r="I1433"/>
      <c r="J1433" s="4"/>
      <c r="K1433"/>
    </row>
    <row r="1434" spans="1:11" hidden="1">
      <c r="A1434" s="134"/>
      <c r="H1434" s="86" t="s">
        <v>30</v>
      </c>
      <c r="I1434"/>
      <c r="J1434" s="4"/>
      <c r="K1434"/>
    </row>
    <row r="1435" spans="1:11" hidden="1">
      <c r="A1435" s="134"/>
      <c r="H1435" s="89" t="s">
        <v>1609</v>
      </c>
      <c r="I1435"/>
      <c r="J1435" s="4"/>
      <c r="K1435"/>
    </row>
    <row r="1436" spans="1:11" hidden="1">
      <c r="A1436" s="134"/>
      <c r="F1436" s="91">
        <v>4.8</v>
      </c>
      <c r="G1436" s="90" t="s">
        <v>1670</v>
      </c>
      <c r="H1436" s="86" t="s">
        <v>441</v>
      </c>
      <c r="I1436" s="8">
        <f>(C270)</f>
        <v>35</v>
      </c>
      <c r="J1436" s="2" t="s">
        <v>1670</v>
      </c>
      <c r="K1436" s="8">
        <f>(F1436*I1436)</f>
        <v>168</v>
      </c>
    </row>
    <row r="1437" spans="1:11" hidden="1">
      <c r="A1437" s="134"/>
      <c r="F1437" s="91">
        <v>0.75</v>
      </c>
      <c r="G1437" s="90" t="s">
        <v>877</v>
      </c>
      <c r="H1437" s="86" t="s">
        <v>31</v>
      </c>
      <c r="I1437" s="8">
        <f>(C14)</f>
        <v>120</v>
      </c>
      <c r="J1437" s="2" t="s">
        <v>877</v>
      </c>
      <c r="K1437" s="8">
        <f>(F1437*I1437)</f>
        <v>90</v>
      </c>
    </row>
    <row r="1438" spans="1:11" hidden="1">
      <c r="A1438" s="134"/>
      <c r="F1438" s="91">
        <v>0.75</v>
      </c>
      <c r="G1438" s="90" t="s">
        <v>877</v>
      </c>
      <c r="H1438" s="86" t="s">
        <v>944</v>
      </c>
      <c r="I1438" s="8">
        <f>(C12)</f>
        <v>95</v>
      </c>
      <c r="J1438" s="2" t="s">
        <v>877</v>
      </c>
      <c r="K1438" s="8">
        <f>(F1438*I1438)</f>
        <v>71.25</v>
      </c>
    </row>
    <row r="1439" spans="1:11" hidden="1">
      <c r="A1439" s="134"/>
      <c r="F1439" s="91">
        <v>1.2</v>
      </c>
      <c r="G1439" s="90" t="s">
        <v>877</v>
      </c>
      <c r="H1439" s="86" t="s">
        <v>321</v>
      </c>
      <c r="I1439" s="8">
        <f>(C13)</f>
        <v>85</v>
      </c>
      <c r="J1439" s="2" t="s">
        <v>877</v>
      </c>
      <c r="K1439" s="8">
        <f>(F1439*I1439)</f>
        <v>102</v>
      </c>
    </row>
    <row r="1440" spans="1:11" hidden="1">
      <c r="A1440" s="134"/>
      <c r="G1440" s="90" t="s">
        <v>450</v>
      </c>
      <c r="H1440" s="86" t="s">
        <v>1861</v>
      </c>
      <c r="I1440" s="1" t="s">
        <v>987</v>
      </c>
      <c r="J1440" s="2" t="s">
        <v>450</v>
      </c>
      <c r="K1440" s="8">
        <v>1.45</v>
      </c>
    </row>
    <row r="1441" spans="1:11" hidden="1">
      <c r="A1441" s="134"/>
      <c r="I1441"/>
      <c r="J1441" s="4"/>
      <c r="K1441" s="5" t="s">
        <v>1609</v>
      </c>
    </row>
    <row r="1442" spans="1:11" hidden="1">
      <c r="A1442" s="134"/>
      <c r="H1442" s="86" t="s">
        <v>442</v>
      </c>
      <c r="I1442"/>
      <c r="J1442" s="4"/>
      <c r="K1442" s="8">
        <f>SUM(K1436:K1440)</f>
        <v>432.7</v>
      </c>
    </row>
    <row r="1443" spans="1:11" hidden="1">
      <c r="A1443" s="134"/>
      <c r="I1443"/>
      <c r="J1443" s="4"/>
      <c r="K1443" s="5" t="s">
        <v>1609</v>
      </c>
    </row>
    <row r="1444" spans="1:11" hidden="1">
      <c r="A1444" s="134"/>
      <c r="H1444" s="86" t="s">
        <v>556</v>
      </c>
      <c r="I1444"/>
      <c r="J1444" s="4"/>
      <c r="K1444" s="8">
        <f>(K1442/10)</f>
        <v>43.27</v>
      </c>
    </row>
    <row r="1445" spans="1:11" hidden="1">
      <c r="A1445" s="134"/>
      <c r="I1445"/>
      <c r="J1445" s="4"/>
      <c r="K1445" s="5" t="s">
        <v>2080</v>
      </c>
    </row>
    <row r="1446" spans="1:11" hidden="1">
      <c r="A1446" s="134"/>
      <c r="F1446" s="102" t="s">
        <v>32</v>
      </c>
      <c r="G1446" s="90" t="s">
        <v>2276</v>
      </c>
      <c r="H1446" s="102" t="s">
        <v>33</v>
      </c>
      <c r="I1446"/>
      <c r="J1446" s="4"/>
      <c r="K1446"/>
    </row>
    <row r="1447" spans="1:11" hidden="1">
      <c r="A1447" s="134"/>
      <c r="H1447" s="102" t="s">
        <v>34</v>
      </c>
      <c r="I1447"/>
      <c r="J1447" s="4"/>
      <c r="K1447"/>
    </row>
    <row r="1448" spans="1:11" hidden="1">
      <c r="A1448" s="134"/>
      <c r="F1448" s="91">
        <v>3.08</v>
      </c>
      <c r="G1448" s="90" t="s">
        <v>1390</v>
      </c>
      <c r="H1448" s="86" t="s">
        <v>33</v>
      </c>
      <c r="I1448" s="8">
        <v>120</v>
      </c>
      <c r="J1448" s="2" t="s">
        <v>1390</v>
      </c>
      <c r="K1448" s="8">
        <f>(F1448*I1448)</f>
        <v>369.6</v>
      </c>
    </row>
    <row r="1449" spans="1:11" hidden="1">
      <c r="A1449" s="134"/>
      <c r="F1449" s="91">
        <v>0.5</v>
      </c>
      <c r="G1449" s="90" t="s">
        <v>564</v>
      </c>
      <c r="H1449" s="86" t="s">
        <v>1391</v>
      </c>
      <c r="I1449" s="8">
        <f>C14</f>
        <v>120</v>
      </c>
      <c r="J1449" s="2" t="s">
        <v>564</v>
      </c>
      <c r="K1449" s="8">
        <f>(F1449*I1449)</f>
        <v>60</v>
      </c>
    </row>
    <row r="1450" spans="1:11" hidden="1">
      <c r="A1450" s="134"/>
      <c r="F1450" s="91">
        <v>0.5</v>
      </c>
      <c r="G1450" s="90" t="s">
        <v>564</v>
      </c>
      <c r="H1450" s="86" t="s">
        <v>832</v>
      </c>
      <c r="I1450" s="8">
        <f>C12</f>
        <v>95</v>
      </c>
      <c r="J1450" s="2" t="s">
        <v>564</v>
      </c>
      <c r="K1450" s="8">
        <f>(F1450*I1450)</f>
        <v>47.5</v>
      </c>
    </row>
    <row r="1451" spans="1:11" hidden="1">
      <c r="A1451" s="134"/>
      <c r="F1451" s="91">
        <v>0.8</v>
      </c>
      <c r="G1451" s="90" t="s">
        <v>564</v>
      </c>
      <c r="H1451" s="86" t="s">
        <v>1392</v>
      </c>
      <c r="I1451" s="8">
        <f>C13</f>
        <v>85</v>
      </c>
      <c r="J1451" s="2" t="s">
        <v>564</v>
      </c>
      <c r="K1451" s="8">
        <f>(F1451*I1451)</f>
        <v>68</v>
      </c>
    </row>
    <row r="1452" spans="1:11" hidden="1">
      <c r="A1452" s="134"/>
      <c r="G1452" s="90" t="s">
        <v>450</v>
      </c>
      <c r="H1452" s="86" t="s">
        <v>1861</v>
      </c>
      <c r="I1452"/>
      <c r="J1452" s="2" t="s">
        <v>450</v>
      </c>
      <c r="K1452" s="8">
        <v>1.5</v>
      </c>
    </row>
    <row r="1453" spans="1:11" hidden="1">
      <c r="A1453" s="134"/>
      <c r="I1453"/>
      <c r="J1453" s="4"/>
      <c r="K1453"/>
    </row>
    <row r="1454" spans="1:11" hidden="1">
      <c r="A1454" s="134"/>
      <c r="I1454"/>
      <c r="J1454" s="4"/>
      <c r="K1454" s="5" t="s">
        <v>1609</v>
      </c>
    </row>
    <row r="1455" spans="1:11" hidden="1">
      <c r="A1455" s="134"/>
      <c r="H1455" s="102" t="s">
        <v>1393</v>
      </c>
      <c r="I1455"/>
      <c r="J1455" s="4"/>
      <c r="K1455" s="8">
        <f>SUM(K1448:K1452)</f>
        <v>546.6</v>
      </c>
    </row>
    <row r="1456" spans="1:11" hidden="1">
      <c r="A1456" s="134"/>
      <c r="I1456"/>
      <c r="J1456" s="4"/>
      <c r="K1456" s="5" t="s">
        <v>1609</v>
      </c>
    </row>
    <row r="1457" spans="1:11" hidden="1">
      <c r="A1457" s="134"/>
      <c r="F1457" s="86" t="s">
        <v>987</v>
      </c>
      <c r="G1457" s="90" t="s">
        <v>987</v>
      </c>
      <c r="H1457" s="102" t="s">
        <v>1720</v>
      </c>
      <c r="I1457" s="1" t="s">
        <v>987</v>
      </c>
      <c r="J1457" s="2" t="s">
        <v>987</v>
      </c>
      <c r="K1457" s="8">
        <f>K1455/10</f>
        <v>54.66</v>
      </c>
    </row>
    <row r="1458" spans="1:11" hidden="1">
      <c r="A1458" s="134"/>
      <c r="I1458"/>
      <c r="J1458" s="4"/>
      <c r="K1458" s="5" t="s">
        <v>2080</v>
      </c>
    </row>
    <row r="1459" spans="1:11" hidden="1">
      <c r="A1459" s="134"/>
      <c r="F1459" s="102" t="s">
        <v>1394</v>
      </c>
      <c r="G1459" s="90" t="s">
        <v>2276</v>
      </c>
      <c r="H1459" s="86" t="s">
        <v>1395</v>
      </c>
      <c r="I1459"/>
      <c r="J1459" s="4"/>
      <c r="K1459"/>
    </row>
    <row r="1460" spans="1:11" hidden="1">
      <c r="A1460" s="134"/>
      <c r="H1460" s="86" t="s">
        <v>1396</v>
      </c>
      <c r="I1460"/>
      <c r="J1460" s="4"/>
      <c r="K1460"/>
    </row>
    <row r="1461" spans="1:11" hidden="1">
      <c r="A1461" s="134"/>
      <c r="H1461" s="86" t="s">
        <v>1255</v>
      </c>
      <c r="I1461"/>
      <c r="J1461" s="4"/>
      <c r="K1461"/>
    </row>
    <row r="1462" spans="1:11" hidden="1">
      <c r="A1462" s="134"/>
      <c r="H1462" s="89" t="s">
        <v>1609</v>
      </c>
      <c r="I1462"/>
      <c r="J1462" s="4"/>
      <c r="K1462"/>
    </row>
    <row r="1463" spans="1:11" hidden="1">
      <c r="A1463" s="134"/>
      <c r="F1463" s="91">
        <v>1.44</v>
      </c>
      <c r="G1463" s="90" t="s">
        <v>1256</v>
      </c>
      <c r="H1463" s="86" t="s">
        <v>1196</v>
      </c>
      <c r="I1463" s="8">
        <f>(C195)</f>
        <v>100</v>
      </c>
      <c r="J1463" s="2" t="s">
        <v>1256</v>
      </c>
      <c r="K1463" s="8">
        <f>(F1463*I1463)</f>
        <v>144</v>
      </c>
    </row>
    <row r="1464" spans="1:11" hidden="1">
      <c r="A1464" s="134"/>
      <c r="F1464" s="91">
        <v>0.7</v>
      </c>
      <c r="G1464" s="90" t="s">
        <v>778</v>
      </c>
      <c r="H1464" s="86" t="s">
        <v>1197</v>
      </c>
      <c r="I1464" s="8">
        <f>(C14)</f>
        <v>120</v>
      </c>
      <c r="J1464" s="2" t="s">
        <v>778</v>
      </c>
      <c r="K1464" s="8">
        <f>(F1464*I1464)</f>
        <v>84</v>
      </c>
    </row>
    <row r="1465" spans="1:11" hidden="1">
      <c r="A1465" s="134"/>
      <c r="F1465" s="91">
        <v>2.5499999999999998</v>
      </c>
      <c r="G1465" s="90" t="s">
        <v>1256</v>
      </c>
      <c r="H1465" s="86" t="s">
        <v>1198</v>
      </c>
      <c r="I1465" s="8">
        <f>(C194)</f>
        <v>160</v>
      </c>
      <c r="J1465" s="2" t="s">
        <v>1256</v>
      </c>
      <c r="K1465" s="8">
        <f>(F1465*I1465)</f>
        <v>408</v>
      </c>
    </row>
    <row r="1466" spans="1:11" hidden="1">
      <c r="A1466" s="134"/>
      <c r="F1466" s="91">
        <v>1.2</v>
      </c>
      <c r="G1466" s="90" t="s">
        <v>778</v>
      </c>
      <c r="H1466" s="86" t="s">
        <v>1197</v>
      </c>
      <c r="I1466" s="8">
        <f>(C14)</f>
        <v>120</v>
      </c>
      <c r="J1466" s="2" t="s">
        <v>778</v>
      </c>
      <c r="K1466" s="8">
        <f>(F1466*I1466)</f>
        <v>144</v>
      </c>
    </row>
    <row r="1467" spans="1:11" hidden="1">
      <c r="A1467" s="134"/>
      <c r="G1467" s="90" t="s">
        <v>450</v>
      </c>
      <c r="H1467" s="86" t="s">
        <v>1199</v>
      </c>
      <c r="I1467" s="1" t="s">
        <v>987</v>
      </c>
      <c r="J1467" s="2" t="s">
        <v>450</v>
      </c>
      <c r="K1467" s="8">
        <v>1.5</v>
      </c>
    </row>
    <row r="1468" spans="1:11" hidden="1">
      <c r="A1468" s="134"/>
      <c r="I1468"/>
      <c r="J1468" s="4"/>
      <c r="K1468" s="5" t="s">
        <v>1609</v>
      </c>
    </row>
    <row r="1469" spans="1:11" hidden="1">
      <c r="A1469" s="134"/>
      <c r="H1469" s="86" t="s">
        <v>442</v>
      </c>
      <c r="I1469"/>
      <c r="J1469" s="4"/>
      <c r="K1469" s="8">
        <f>SUM(K1463:K1467)</f>
        <v>781.5</v>
      </c>
    </row>
    <row r="1470" spans="1:11" hidden="1">
      <c r="A1470" s="134"/>
      <c r="I1470"/>
      <c r="J1470" s="4"/>
      <c r="K1470" s="5" t="s">
        <v>1609</v>
      </c>
    </row>
    <row r="1471" spans="1:11" hidden="1">
      <c r="A1471" s="134"/>
      <c r="H1471" s="86" t="s">
        <v>556</v>
      </c>
      <c r="I1471"/>
      <c r="J1471" s="4"/>
      <c r="K1471" s="8">
        <f>(K1469/10)</f>
        <v>78.150000000000006</v>
      </c>
    </row>
    <row r="1472" spans="1:11" hidden="1">
      <c r="A1472" s="134"/>
      <c r="F1472" s="86" t="s">
        <v>987</v>
      </c>
      <c r="I1472"/>
      <c r="J1472" s="4"/>
      <c r="K1472"/>
    </row>
    <row r="1473" spans="1:11" hidden="1">
      <c r="A1473" s="134"/>
      <c r="I1473"/>
      <c r="J1473" s="4"/>
      <c r="K1473" s="5" t="s">
        <v>2080</v>
      </c>
    </row>
    <row r="1474" spans="1:11" hidden="1">
      <c r="A1474" s="134"/>
      <c r="F1474" s="108">
        <v>41</v>
      </c>
      <c r="G1474" s="90" t="s">
        <v>2276</v>
      </c>
      <c r="H1474" s="86" t="s">
        <v>1395</v>
      </c>
      <c r="I1474"/>
      <c r="J1474" s="4"/>
      <c r="K1474"/>
    </row>
    <row r="1475" spans="1:11" hidden="1">
      <c r="A1475" s="134"/>
      <c r="H1475" s="86" t="s">
        <v>1063</v>
      </c>
      <c r="I1475"/>
      <c r="J1475" s="4"/>
      <c r="K1475"/>
    </row>
    <row r="1476" spans="1:11" hidden="1">
      <c r="A1476" s="134"/>
      <c r="H1476" s="86" t="s">
        <v>1255</v>
      </c>
      <c r="I1476"/>
      <c r="J1476" s="4"/>
      <c r="K1476"/>
    </row>
    <row r="1477" spans="1:11" hidden="1">
      <c r="A1477" s="134"/>
      <c r="H1477" s="89" t="s">
        <v>1609</v>
      </c>
      <c r="I1477"/>
      <c r="J1477" s="4"/>
      <c r="K1477"/>
    </row>
    <row r="1478" spans="1:11" hidden="1">
      <c r="A1478" s="134"/>
      <c r="F1478" s="91">
        <v>2.2200000000000002</v>
      </c>
      <c r="G1478" s="90" t="s">
        <v>1256</v>
      </c>
      <c r="H1478" s="86" t="s">
        <v>1198</v>
      </c>
      <c r="I1478" s="8">
        <f>(C206)</f>
        <v>150</v>
      </c>
      <c r="J1478" s="2" t="s">
        <v>1256</v>
      </c>
      <c r="K1478" s="8">
        <f>(F1478*I1478)</f>
        <v>333</v>
      </c>
    </row>
    <row r="1479" spans="1:11" hidden="1">
      <c r="A1479" s="134"/>
      <c r="F1479" s="91">
        <v>1.1000000000000001</v>
      </c>
      <c r="G1479" s="90" t="s">
        <v>778</v>
      </c>
      <c r="H1479" s="86" t="s">
        <v>1197</v>
      </c>
      <c r="I1479" s="8">
        <f>(C14)</f>
        <v>120</v>
      </c>
      <c r="J1479" s="2" t="s">
        <v>778</v>
      </c>
      <c r="K1479" s="8">
        <f>(F1479*I1479)</f>
        <v>132</v>
      </c>
    </row>
    <row r="1480" spans="1:11" hidden="1">
      <c r="A1480" s="134"/>
      <c r="G1480" s="90" t="s">
        <v>450</v>
      </c>
      <c r="H1480" s="86" t="s">
        <v>1199</v>
      </c>
      <c r="I1480" s="1" t="s">
        <v>987</v>
      </c>
      <c r="J1480" s="2" t="s">
        <v>450</v>
      </c>
      <c r="K1480" s="8">
        <v>1.5</v>
      </c>
    </row>
    <row r="1481" spans="1:11" hidden="1">
      <c r="A1481" s="134"/>
      <c r="I1481"/>
      <c r="J1481" s="4"/>
      <c r="K1481" s="5" t="s">
        <v>1609</v>
      </c>
    </row>
    <row r="1482" spans="1:11" hidden="1">
      <c r="A1482" s="134"/>
      <c r="H1482" s="86" t="s">
        <v>442</v>
      </c>
      <c r="I1482"/>
      <c r="J1482" s="4"/>
      <c r="K1482" s="8">
        <f>SUM(K1478:K1480)</f>
        <v>466.5</v>
      </c>
    </row>
    <row r="1483" spans="1:11" hidden="1">
      <c r="A1483" s="134"/>
      <c r="I1483"/>
      <c r="J1483" s="4"/>
      <c r="K1483" s="5" t="s">
        <v>1609</v>
      </c>
    </row>
    <row r="1484" spans="1:11" hidden="1">
      <c r="A1484" s="134"/>
      <c r="H1484" s="86" t="s">
        <v>556</v>
      </c>
      <c r="I1484"/>
      <c r="J1484" s="4"/>
      <c r="K1484" s="8">
        <f>(K1482/10)</f>
        <v>46.65</v>
      </c>
    </row>
    <row r="1485" spans="1:11" hidden="1">
      <c r="A1485" s="134"/>
      <c r="H1485" s="86"/>
      <c r="I1485"/>
      <c r="J1485" s="4"/>
      <c r="K1485" s="8"/>
    </row>
    <row r="1486" spans="1:11" hidden="1">
      <c r="A1486" s="134"/>
      <c r="H1486" s="86"/>
      <c r="I1486"/>
      <c r="J1486" s="4"/>
      <c r="K1486" s="8"/>
    </row>
    <row r="1487" spans="1:11" hidden="1">
      <c r="A1487" s="134"/>
      <c r="F1487" s="108">
        <v>238</v>
      </c>
      <c r="G1487" s="90" t="s">
        <v>2276</v>
      </c>
      <c r="H1487" s="86" t="s">
        <v>590</v>
      </c>
      <c r="I1487"/>
      <c r="J1487" s="4"/>
      <c r="K1487"/>
    </row>
    <row r="1488" spans="1:11" hidden="1">
      <c r="A1488" s="134"/>
      <c r="H1488" s="86" t="s">
        <v>3169</v>
      </c>
      <c r="I1488"/>
      <c r="J1488" s="4"/>
      <c r="K1488"/>
    </row>
    <row r="1489" spans="1:11" hidden="1">
      <c r="A1489" s="134"/>
      <c r="H1489" s="89" t="s">
        <v>1609</v>
      </c>
      <c r="I1489"/>
      <c r="J1489" s="4"/>
      <c r="K1489"/>
    </row>
    <row r="1490" spans="1:11" hidden="1">
      <c r="A1490" s="134"/>
      <c r="F1490" s="91">
        <v>20</v>
      </c>
      <c r="G1490" s="90" t="s">
        <v>1256</v>
      </c>
      <c r="H1490" s="86" t="s">
        <v>591</v>
      </c>
      <c r="I1490" s="8">
        <f>D40</f>
        <v>105.45</v>
      </c>
      <c r="J1490" s="2" t="s">
        <v>1256</v>
      </c>
      <c r="K1490" s="8">
        <f>(F1490*I1490)</f>
        <v>2109</v>
      </c>
    </row>
    <row r="1491" spans="1:11" hidden="1">
      <c r="A1491" s="134"/>
      <c r="H1491" s="86" t="s">
        <v>592</v>
      </c>
      <c r="I1491"/>
      <c r="J1491" s="4"/>
      <c r="K1491" s="1" t="s">
        <v>987</v>
      </c>
    </row>
    <row r="1492" spans="1:11" hidden="1">
      <c r="A1492" s="134"/>
      <c r="F1492" s="91">
        <v>50</v>
      </c>
      <c r="G1492" s="90" t="s">
        <v>1670</v>
      </c>
      <c r="H1492" s="86" t="s">
        <v>871</v>
      </c>
      <c r="I1492" s="8">
        <f>C67/1000</f>
        <v>3.8</v>
      </c>
      <c r="J1492" s="2" t="s">
        <v>1670</v>
      </c>
      <c r="K1492" s="8">
        <f>(F1492*I1492)</f>
        <v>190</v>
      </c>
    </row>
    <row r="1493" spans="1:11" hidden="1">
      <c r="A1493" s="134"/>
      <c r="F1493" s="91">
        <v>1</v>
      </c>
      <c r="G1493" s="90" t="s">
        <v>450</v>
      </c>
      <c r="H1493" s="86" t="s">
        <v>593</v>
      </c>
      <c r="I1493" s="8">
        <v>75</v>
      </c>
      <c r="J1493" s="2" t="s">
        <v>450</v>
      </c>
      <c r="K1493" s="8">
        <f>(F1493*I1493)</f>
        <v>75</v>
      </c>
    </row>
    <row r="1494" spans="1:11" hidden="1">
      <c r="A1494" s="134"/>
      <c r="F1494" s="91">
        <v>1</v>
      </c>
      <c r="G1494" s="90" t="s">
        <v>450</v>
      </c>
      <c r="H1494" s="86" t="s">
        <v>594</v>
      </c>
      <c r="I1494" s="8">
        <f>C38</f>
        <v>40</v>
      </c>
      <c r="J1494" s="2" t="s">
        <v>450</v>
      </c>
      <c r="K1494" s="8">
        <f>(F1494*I1494)</f>
        <v>40</v>
      </c>
    </row>
    <row r="1495" spans="1:11" hidden="1">
      <c r="A1495" s="134"/>
      <c r="F1495" s="91">
        <v>2.5</v>
      </c>
      <c r="G1495" s="90" t="s">
        <v>450</v>
      </c>
      <c r="H1495" s="86" t="s">
        <v>595</v>
      </c>
      <c r="I1495" s="8">
        <f>D14</f>
        <v>110</v>
      </c>
      <c r="J1495" s="2" t="s">
        <v>450</v>
      </c>
      <c r="K1495" s="8">
        <f>(F1495*I1495)</f>
        <v>275</v>
      </c>
    </row>
    <row r="1496" spans="1:11" hidden="1">
      <c r="A1496" s="134"/>
      <c r="G1496" s="90" t="s">
        <v>450</v>
      </c>
      <c r="H1496" s="86" t="s">
        <v>507</v>
      </c>
      <c r="I1496"/>
      <c r="J1496" s="2" t="s">
        <v>450</v>
      </c>
      <c r="K1496" s="6">
        <v>1.5</v>
      </c>
    </row>
    <row r="1497" spans="1:11" hidden="1">
      <c r="A1497" s="134"/>
      <c r="I1497"/>
      <c r="J1497" s="4"/>
      <c r="K1497" s="5" t="s">
        <v>1609</v>
      </c>
    </row>
    <row r="1498" spans="1:11" hidden="1">
      <c r="A1498" s="134"/>
      <c r="H1498" s="86" t="s">
        <v>596</v>
      </c>
      <c r="I1498"/>
      <c r="J1498" s="4"/>
      <c r="K1498" s="8">
        <f>SUM(K1490:K1496)</f>
        <v>2690.5</v>
      </c>
    </row>
    <row r="1499" spans="1:11" hidden="1">
      <c r="A1499" s="134"/>
      <c r="H1499" s="86"/>
      <c r="I1499"/>
      <c r="J1499" s="4"/>
      <c r="K1499" s="5" t="s">
        <v>1609</v>
      </c>
    </row>
    <row r="1500" spans="1:11" hidden="1">
      <c r="A1500" s="134"/>
      <c r="I1500"/>
      <c r="J1500" s="4"/>
      <c r="K1500" s="5"/>
    </row>
    <row r="1501" spans="1:11" hidden="1">
      <c r="A1501" s="134"/>
      <c r="F1501" s="102" t="s">
        <v>1064</v>
      </c>
      <c r="G1501" s="90" t="s">
        <v>2276</v>
      </c>
      <c r="H1501" s="86" t="s">
        <v>555</v>
      </c>
      <c r="I1501"/>
      <c r="J1501" s="4"/>
      <c r="K1501"/>
    </row>
    <row r="1502" spans="1:11" hidden="1">
      <c r="A1502" s="134"/>
      <c r="H1502" s="86" t="s">
        <v>2158</v>
      </c>
      <c r="I1502"/>
      <c r="J1502" s="4"/>
      <c r="K1502"/>
    </row>
    <row r="1503" spans="1:11" hidden="1">
      <c r="A1503" s="134"/>
      <c r="H1503" s="89" t="s">
        <v>1609</v>
      </c>
      <c r="I1503"/>
      <c r="J1503" s="4"/>
      <c r="K1503"/>
    </row>
    <row r="1504" spans="1:11" hidden="1">
      <c r="A1504" s="134"/>
      <c r="F1504" s="91">
        <v>1</v>
      </c>
      <c r="G1504" s="90" t="s">
        <v>528</v>
      </c>
      <c r="H1504" s="86" t="s">
        <v>529</v>
      </c>
      <c r="I1504" s="8">
        <f>(C138)</f>
        <v>28000</v>
      </c>
      <c r="J1504" s="2" t="s">
        <v>530</v>
      </c>
      <c r="K1504" s="8">
        <f>(F1504*I1504)/10</f>
        <v>2800</v>
      </c>
    </row>
    <row r="1505" spans="1:15" hidden="1">
      <c r="A1505" s="134"/>
      <c r="F1505" s="111">
        <v>0.01</v>
      </c>
      <c r="G1505" s="90" t="s">
        <v>528</v>
      </c>
      <c r="H1505" s="86" t="s">
        <v>194</v>
      </c>
      <c r="I1505" s="8">
        <f>(C142)</f>
        <v>30000</v>
      </c>
      <c r="J1505" s="2" t="s">
        <v>530</v>
      </c>
      <c r="K1505" s="8">
        <f>(F1505*I1505)/10</f>
        <v>30</v>
      </c>
    </row>
    <row r="1506" spans="1:15" hidden="1">
      <c r="A1506" s="134"/>
      <c r="F1506" s="111">
        <v>3.5</v>
      </c>
      <c r="G1506" s="90" t="s">
        <v>778</v>
      </c>
      <c r="H1506" s="86" t="s">
        <v>531</v>
      </c>
      <c r="I1506" s="8">
        <f>(C17)</f>
        <v>130</v>
      </c>
      <c r="J1506" s="2" t="s">
        <v>1418</v>
      </c>
      <c r="K1506" s="8">
        <f>(F1506*I1506)</f>
        <v>455</v>
      </c>
      <c r="O1506" s="87">
        <f>92+18.4</f>
        <v>110.4</v>
      </c>
    </row>
    <row r="1507" spans="1:15" hidden="1">
      <c r="A1507" s="134"/>
      <c r="F1507" s="91">
        <v>1.3</v>
      </c>
      <c r="G1507" s="90" t="s">
        <v>1670</v>
      </c>
      <c r="H1507" s="86" t="s">
        <v>532</v>
      </c>
      <c r="I1507" s="8">
        <f>C67/1000</f>
        <v>3.8</v>
      </c>
      <c r="J1507" s="2" t="s">
        <v>1670</v>
      </c>
      <c r="K1507" s="8">
        <f>(F1507*I1507)</f>
        <v>4.9400000000000004</v>
      </c>
      <c r="O1507" s="87">
        <f>95+19</f>
        <v>114</v>
      </c>
    </row>
    <row r="1508" spans="1:15" hidden="1">
      <c r="A1508" s="134"/>
      <c r="F1508" s="91">
        <v>0.25</v>
      </c>
      <c r="G1508" s="90" t="s">
        <v>778</v>
      </c>
      <c r="H1508" s="86" t="s">
        <v>533</v>
      </c>
      <c r="I1508" s="8">
        <f>D14</f>
        <v>110</v>
      </c>
      <c r="J1508" s="2" t="s">
        <v>1418</v>
      </c>
      <c r="K1508" s="8">
        <f>(F1508*I1508)</f>
        <v>27.5</v>
      </c>
    </row>
    <row r="1509" spans="1:15" hidden="1">
      <c r="A1509" s="134"/>
      <c r="F1509" s="111"/>
      <c r="G1509" s="90" t="s">
        <v>450</v>
      </c>
      <c r="H1509" s="86" t="s">
        <v>451</v>
      </c>
      <c r="I1509"/>
      <c r="J1509" s="2" t="s">
        <v>450</v>
      </c>
      <c r="K1509" s="8">
        <f>(F1509*I1509)</f>
        <v>0</v>
      </c>
    </row>
    <row r="1510" spans="1:15" hidden="1">
      <c r="A1510" s="134"/>
      <c r="F1510" s="111"/>
      <c r="I1510"/>
      <c r="J1510" s="4"/>
      <c r="K1510" s="5" t="s">
        <v>1609</v>
      </c>
    </row>
    <row r="1511" spans="1:15" hidden="1">
      <c r="A1511" s="134"/>
      <c r="F1511" s="111"/>
      <c r="H1511" s="86" t="s">
        <v>534</v>
      </c>
      <c r="I1511"/>
      <c r="J1511" s="4"/>
      <c r="K1511" s="8">
        <f>SUM(K1504:K1509)</f>
        <v>3317.44</v>
      </c>
    </row>
    <row r="1512" spans="1:15" hidden="1">
      <c r="A1512" s="134"/>
      <c r="F1512" s="111"/>
      <c r="I1512"/>
      <c r="J1512" s="4"/>
      <c r="K1512" s="5" t="s">
        <v>1609</v>
      </c>
    </row>
    <row r="1513" spans="1:15" hidden="1">
      <c r="A1513" s="134"/>
      <c r="F1513" s="111"/>
      <c r="H1513" s="86" t="s">
        <v>535</v>
      </c>
      <c r="I1513"/>
      <c r="J1513" s="4"/>
      <c r="K1513" s="8">
        <f>(K1511*10)</f>
        <v>33174.400000000001</v>
      </c>
    </row>
    <row r="1514" spans="1:15" hidden="1">
      <c r="A1514" s="134"/>
      <c r="F1514" s="111"/>
      <c r="I1514"/>
      <c r="J1514" s="4"/>
      <c r="K1514" s="5" t="s">
        <v>2080</v>
      </c>
    </row>
    <row r="1515" spans="1:15" hidden="1">
      <c r="A1515" s="134"/>
      <c r="F1515" s="111"/>
      <c r="I1515"/>
      <c r="J1515" s="4"/>
      <c r="K1515" s="5"/>
    </row>
    <row r="1516" spans="1:15" hidden="1">
      <c r="A1516" s="134"/>
      <c r="F1516" s="111"/>
      <c r="H1516" s="139" t="s">
        <v>536</v>
      </c>
      <c r="I1516"/>
      <c r="J1516" s="4"/>
      <c r="K1516" s="5"/>
    </row>
    <row r="1517" spans="1:15" hidden="1">
      <c r="A1517" s="134"/>
      <c r="F1517" s="91">
        <v>1</v>
      </c>
      <c r="G1517" s="90" t="s">
        <v>528</v>
      </c>
      <c r="H1517" s="86" t="s">
        <v>537</v>
      </c>
      <c r="I1517">
        <f>C137</f>
        <v>26500</v>
      </c>
      <c r="J1517" s="2" t="s">
        <v>530</v>
      </c>
      <c r="K1517" s="8">
        <f>(F1517*I1517)/10</f>
        <v>2650</v>
      </c>
    </row>
    <row r="1518" spans="1:15" hidden="1">
      <c r="A1518" s="134"/>
      <c r="F1518" s="111">
        <v>0.01</v>
      </c>
      <c r="G1518" s="90" t="s">
        <v>528</v>
      </c>
      <c r="H1518" s="86" t="s">
        <v>194</v>
      </c>
      <c r="I1518">
        <f>C142</f>
        <v>30000</v>
      </c>
      <c r="J1518" s="2" t="s">
        <v>530</v>
      </c>
      <c r="K1518" s="8">
        <f>(F1518*I1518)/10</f>
        <v>30</v>
      </c>
    </row>
    <row r="1519" spans="1:15" hidden="1">
      <c r="A1519" s="134"/>
      <c r="F1519" s="111">
        <v>3.5</v>
      </c>
      <c r="G1519" s="90" t="s">
        <v>778</v>
      </c>
      <c r="H1519" s="86" t="s">
        <v>531</v>
      </c>
      <c r="I1519">
        <f>C17</f>
        <v>130</v>
      </c>
      <c r="J1519" s="2" t="s">
        <v>1418</v>
      </c>
      <c r="K1519" s="8">
        <f>(F1519*I1519)</f>
        <v>455</v>
      </c>
    </row>
    <row r="1520" spans="1:15" hidden="1">
      <c r="A1520" s="134"/>
      <c r="F1520" s="91">
        <v>1.3</v>
      </c>
      <c r="G1520" s="90" t="s">
        <v>1670</v>
      </c>
      <c r="H1520" s="86" t="s">
        <v>532</v>
      </c>
      <c r="I1520">
        <f>C67/1000</f>
        <v>3.8</v>
      </c>
      <c r="J1520" s="2" t="s">
        <v>1670</v>
      </c>
      <c r="K1520" s="8">
        <f>(F1520*I1520)</f>
        <v>4.9400000000000004</v>
      </c>
    </row>
    <row r="1521" spans="1:11" hidden="1">
      <c r="A1521" s="134"/>
      <c r="F1521" s="91">
        <v>0.25</v>
      </c>
      <c r="G1521" s="90" t="s">
        <v>778</v>
      </c>
      <c r="H1521" s="86" t="s">
        <v>533</v>
      </c>
      <c r="I1521">
        <f>D14</f>
        <v>110</v>
      </c>
      <c r="J1521" s="2" t="s">
        <v>1418</v>
      </c>
      <c r="K1521" s="8">
        <f>(F1521*I1521)</f>
        <v>27.5</v>
      </c>
    </row>
    <row r="1522" spans="1:11" hidden="1">
      <c r="A1522" s="134"/>
      <c r="F1522" s="111"/>
      <c r="G1522" s="90" t="s">
        <v>450</v>
      </c>
      <c r="H1522" s="86" t="s">
        <v>451</v>
      </c>
      <c r="I1522"/>
      <c r="J1522" s="2" t="s">
        <v>450</v>
      </c>
      <c r="K1522" s="8">
        <f>(F1522*I1522)</f>
        <v>0</v>
      </c>
    </row>
    <row r="1523" spans="1:11" hidden="1">
      <c r="A1523" s="134"/>
      <c r="F1523" s="111"/>
      <c r="I1523"/>
      <c r="J1523" s="4"/>
      <c r="K1523" s="5" t="s">
        <v>1609</v>
      </c>
    </row>
    <row r="1524" spans="1:11" hidden="1">
      <c r="A1524" s="134"/>
      <c r="F1524" s="111"/>
      <c r="H1524" s="86" t="s">
        <v>534</v>
      </c>
      <c r="I1524"/>
      <c r="J1524" s="4"/>
      <c r="K1524" s="8">
        <f>SUM(K1517:K1522)</f>
        <v>3167.44</v>
      </c>
    </row>
    <row r="1525" spans="1:11" hidden="1">
      <c r="A1525" s="134"/>
      <c r="F1525" s="111"/>
      <c r="I1525"/>
      <c r="J1525" s="4"/>
      <c r="K1525" s="5" t="s">
        <v>1609</v>
      </c>
    </row>
    <row r="1526" spans="1:11" hidden="1">
      <c r="A1526" s="134"/>
      <c r="F1526" s="111"/>
      <c r="H1526" s="86" t="s">
        <v>535</v>
      </c>
      <c r="I1526"/>
      <c r="J1526" s="4"/>
      <c r="K1526" s="8">
        <f>(K1524*10)</f>
        <v>31674.400000000001</v>
      </c>
    </row>
    <row r="1527" spans="1:11" hidden="1">
      <c r="A1527" s="134"/>
      <c r="F1527" s="111"/>
      <c r="I1527"/>
      <c r="J1527" s="4"/>
      <c r="K1527" s="5" t="s">
        <v>2080</v>
      </c>
    </row>
    <row r="1528" spans="1:11" hidden="1">
      <c r="A1528" s="134"/>
      <c r="F1528" s="111"/>
      <c r="H1528" s="86" t="s">
        <v>987</v>
      </c>
      <c r="I1528"/>
      <c r="J1528" s="4"/>
      <c r="K1528" s="1" t="s">
        <v>987</v>
      </c>
    </row>
    <row r="1529" spans="1:11" hidden="1">
      <c r="A1529" s="134"/>
      <c r="F1529" s="140" t="s">
        <v>538</v>
      </c>
      <c r="G1529" s="90" t="s">
        <v>1932</v>
      </c>
      <c r="H1529" s="86" t="s">
        <v>555</v>
      </c>
      <c r="I1529"/>
      <c r="J1529" s="4"/>
      <c r="K1529"/>
    </row>
    <row r="1530" spans="1:11" hidden="1">
      <c r="A1530" s="134"/>
      <c r="F1530" s="111"/>
      <c r="H1530" s="86" t="s">
        <v>539</v>
      </c>
      <c r="I1530"/>
      <c r="J1530" s="4"/>
      <c r="K1530"/>
    </row>
    <row r="1531" spans="1:11" hidden="1">
      <c r="A1531" s="134"/>
      <c r="F1531" s="111"/>
      <c r="H1531" s="89" t="s">
        <v>1609</v>
      </c>
      <c r="I1531"/>
      <c r="J1531" s="4"/>
      <c r="K1531"/>
    </row>
    <row r="1532" spans="1:11" hidden="1">
      <c r="A1532" s="134"/>
      <c r="F1532" s="91">
        <v>1</v>
      </c>
      <c r="G1532" s="90" t="s">
        <v>528</v>
      </c>
      <c r="H1532" s="86" t="s">
        <v>529</v>
      </c>
      <c r="I1532" s="8">
        <f>(C138)</f>
        <v>28000</v>
      </c>
      <c r="J1532" s="2" t="s">
        <v>530</v>
      </c>
      <c r="K1532" s="8">
        <f>(F1532*I1532)/10</f>
        <v>2800</v>
      </c>
    </row>
    <row r="1533" spans="1:11" hidden="1">
      <c r="A1533" s="134"/>
      <c r="F1533" s="111">
        <v>0.01</v>
      </c>
      <c r="G1533" s="90" t="s">
        <v>528</v>
      </c>
      <c r="H1533" s="86" t="s">
        <v>194</v>
      </c>
      <c r="I1533" s="8">
        <f>(C142)</f>
        <v>30000</v>
      </c>
      <c r="J1533" s="2" t="s">
        <v>530</v>
      </c>
      <c r="K1533" s="8">
        <f>(F1533*I1533)/10</f>
        <v>30</v>
      </c>
    </row>
    <row r="1534" spans="1:11" hidden="1">
      <c r="A1534" s="134"/>
      <c r="F1534" s="111">
        <v>3.5</v>
      </c>
      <c r="G1534" s="90" t="s">
        <v>778</v>
      </c>
      <c r="H1534" s="86" t="s">
        <v>531</v>
      </c>
      <c r="I1534" s="8">
        <f>(C17)</f>
        <v>130</v>
      </c>
      <c r="J1534" s="2" t="s">
        <v>778</v>
      </c>
      <c r="K1534" s="8">
        <f>(F1534*I1534)</f>
        <v>455</v>
      </c>
    </row>
    <row r="1535" spans="1:11" hidden="1">
      <c r="A1535" s="134"/>
      <c r="F1535" s="111"/>
      <c r="G1535" s="90" t="s">
        <v>450</v>
      </c>
      <c r="H1535" s="86" t="s">
        <v>451</v>
      </c>
      <c r="I1535"/>
      <c r="J1535" s="2" t="s">
        <v>450</v>
      </c>
      <c r="K1535" s="8">
        <v>0</v>
      </c>
    </row>
    <row r="1536" spans="1:11" hidden="1">
      <c r="A1536" s="134"/>
      <c r="I1536"/>
      <c r="J1536" s="4"/>
      <c r="K1536" s="5" t="s">
        <v>1609</v>
      </c>
    </row>
    <row r="1537" spans="1:11" hidden="1">
      <c r="A1537" s="134"/>
      <c r="H1537" s="86" t="s">
        <v>534</v>
      </c>
      <c r="I1537"/>
      <c r="J1537" s="4"/>
      <c r="K1537" s="8">
        <f>SUM(K1532:K1535)</f>
        <v>3285</v>
      </c>
    </row>
    <row r="1538" spans="1:11" hidden="1">
      <c r="A1538" s="134"/>
      <c r="I1538"/>
      <c r="J1538" s="4"/>
      <c r="K1538" s="5" t="s">
        <v>1609</v>
      </c>
    </row>
    <row r="1539" spans="1:11" hidden="1">
      <c r="A1539" s="134"/>
      <c r="H1539" s="86" t="s">
        <v>535</v>
      </c>
      <c r="I1539"/>
      <c r="J1539" s="4"/>
      <c r="K1539" s="8">
        <f>(K1537*10)</f>
        <v>32850</v>
      </c>
    </row>
    <row r="1540" spans="1:11" hidden="1">
      <c r="A1540" s="134"/>
      <c r="H1540" s="86" t="s">
        <v>987</v>
      </c>
      <c r="I1540"/>
      <c r="J1540" s="4"/>
      <c r="K1540" s="1" t="s">
        <v>987</v>
      </c>
    </row>
    <row r="1541" spans="1:11" hidden="1">
      <c r="A1541" s="134"/>
      <c r="G1541" s="85" t="s">
        <v>522</v>
      </c>
      <c r="H1541" s="86" t="s">
        <v>555</v>
      </c>
      <c r="I1541"/>
      <c r="J1541" s="4"/>
      <c r="K1541" s="1"/>
    </row>
    <row r="1542" spans="1:11" hidden="1">
      <c r="A1542" s="134"/>
      <c r="H1542" s="86" t="s">
        <v>1618</v>
      </c>
      <c r="I1542"/>
      <c r="J1542" s="4"/>
      <c r="K1542" s="1"/>
    </row>
    <row r="1543" spans="1:11" hidden="1">
      <c r="A1543" s="134"/>
      <c r="F1543" s="111"/>
      <c r="H1543" s="89" t="s">
        <v>1609</v>
      </c>
      <c r="I1543"/>
      <c r="J1543" s="4"/>
      <c r="K1543" s="1"/>
    </row>
    <row r="1544" spans="1:11" hidden="1">
      <c r="A1544" s="134"/>
      <c r="F1544" s="91">
        <v>1</v>
      </c>
      <c r="G1544" s="90" t="s">
        <v>528</v>
      </c>
      <c r="H1544" s="86" t="s">
        <v>537</v>
      </c>
      <c r="I1544">
        <f>C137</f>
        <v>26500</v>
      </c>
      <c r="J1544" s="2" t="s">
        <v>530</v>
      </c>
      <c r="K1544" s="8">
        <f>(F1544*I1544)/10</f>
        <v>2650</v>
      </c>
    </row>
    <row r="1545" spans="1:11" hidden="1">
      <c r="A1545" s="134"/>
      <c r="F1545" s="111">
        <v>0.01</v>
      </c>
      <c r="G1545" s="90" t="s">
        <v>528</v>
      </c>
      <c r="H1545" s="86" t="s">
        <v>194</v>
      </c>
      <c r="I1545">
        <f>C142</f>
        <v>30000</v>
      </c>
      <c r="J1545" s="2" t="s">
        <v>530</v>
      </c>
      <c r="K1545" s="8">
        <f>(F1545*I1545)/10</f>
        <v>30</v>
      </c>
    </row>
    <row r="1546" spans="1:11" hidden="1">
      <c r="A1546" s="134"/>
      <c r="F1546" s="111">
        <v>3.5</v>
      </c>
      <c r="G1546" s="90" t="s">
        <v>778</v>
      </c>
      <c r="H1546" s="86" t="s">
        <v>531</v>
      </c>
      <c r="I1546">
        <f>C17</f>
        <v>130</v>
      </c>
      <c r="J1546" s="2" t="s">
        <v>778</v>
      </c>
      <c r="K1546" s="8">
        <f>(F1546*I1546)</f>
        <v>455</v>
      </c>
    </row>
    <row r="1547" spans="1:11" hidden="1">
      <c r="A1547" s="134"/>
      <c r="F1547" s="111"/>
      <c r="G1547" s="90" t="s">
        <v>450</v>
      </c>
      <c r="H1547" s="86" t="s">
        <v>451</v>
      </c>
      <c r="I1547"/>
      <c r="J1547" s="2" t="s">
        <v>450</v>
      </c>
      <c r="K1547" s="8">
        <v>0</v>
      </c>
    </row>
    <row r="1548" spans="1:11" hidden="1">
      <c r="A1548" s="134"/>
      <c r="I1548"/>
      <c r="J1548" s="4"/>
      <c r="K1548" s="5" t="s">
        <v>1609</v>
      </c>
    </row>
    <row r="1549" spans="1:11" hidden="1">
      <c r="A1549" s="134"/>
      <c r="H1549" s="86" t="s">
        <v>534</v>
      </c>
      <c r="I1549"/>
      <c r="J1549" s="4"/>
      <c r="K1549" s="8">
        <f>SUM(K1544:K1547)</f>
        <v>3135</v>
      </c>
    </row>
    <row r="1550" spans="1:11" hidden="1">
      <c r="A1550" s="134"/>
      <c r="I1550"/>
      <c r="J1550" s="4"/>
      <c r="K1550" s="5" t="s">
        <v>1609</v>
      </c>
    </row>
    <row r="1551" spans="1:11" hidden="1">
      <c r="A1551" s="134"/>
      <c r="H1551" s="86" t="s">
        <v>535</v>
      </c>
      <c r="I1551"/>
      <c r="J1551" s="4"/>
      <c r="K1551" s="8">
        <f>(K1549*10)</f>
        <v>31350</v>
      </c>
    </row>
    <row r="1552" spans="1:11" hidden="1">
      <c r="A1552" s="134"/>
      <c r="H1552" s="86" t="s">
        <v>987</v>
      </c>
      <c r="I1552"/>
      <c r="J1552" s="4"/>
      <c r="K1552"/>
    </row>
    <row r="1553" spans="1:11" hidden="1">
      <c r="A1553" s="134"/>
      <c r="F1553" s="112">
        <v>44.1</v>
      </c>
      <c r="G1553" s="90" t="s">
        <v>2276</v>
      </c>
      <c r="H1553" s="86" t="s">
        <v>1619</v>
      </c>
      <c r="I1553"/>
      <c r="J1553" s="4"/>
      <c r="K1553"/>
    </row>
    <row r="1554" spans="1:11" hidden="1">
      <c r="A1554" s="134"/>
      <c r="H1554" s="86" t="s">
        <v>1620</v>
      </c>
      <c r="I1554"/>
      <c r="J1554" s="4"/>
      <c r="K1554"/>
    </row>
    <row r="1555" spans="1:11" hidden="1">
      <c r="A1555" s="134"/>
      <c r="H1555" s="86" t="s">
        <v>3170</v>
      </c>
      <c r="I1555"/>
      <c r="J1555" s="4"/>
      <c r="K1555"/>
    </row>
    <row r="1556" spans="1:11" hidden="1">
      <c r="A1556" s="134"/>
      <c r="H1556" s="89" t="s">
        <v>1609</v>
      </c>
      <c r="I1556"/>
      <c r="J1556" s="4"/>
      <c r="K1556"/>
    </row>
    <row r="1557" spans="1:11" hidden="1">
      <c r="A1557" s="134"/>
      <c r="F1557" s="91">
        <v>3</v>
      </c>
      <c r="G1557" s="90" t="s">
        <v>1796</v>
      </c>
      <c r="H1557" s="86" t="s">
        <v>2071</v>
      </c>
      <c r="I1557" s="8">
        <f>(C598)</f>
        <v>120</v>
      </c>
      <c r="J1557" s="2" t="s">
        <v>1796</v>
      </c>
      <c r="K1557" s="8">
        <f t="shared" ref="K1557:K1562" si="61">(F1557*I1557)</f>
        <v>360</v>
      </c>
    </row>
    <row r="1558" spans="1:11" hidden="1">
      <c r="A1558" s="134"/>
      <c r="F1558" s="91">
        <v>1</v>
      </c>
      <c r="G1558" s="90" t="s">
        <v>877</v>
      </c>
      <c r="H1558" s="86" t="s">
        <v>2126</v>
      </c>
      <c r="I1558" s="8">
        <f>(C601)</f>
        <v>65</v>
      </c>
      <c r="J1558" s="2" t="s">
        <v>877</v>
      </c>
      <c r="K1558" s="8">
        <f t="shared" si="61"/>
        <v>65</v>
      </c>
    </row>
    <row r="1559" spans="1:11" hidden="1">
      <c r="A1559" s="134"/>
      <c r="F1559" s="91">
        <v>1</v>
      </c>
      <c r="G1559" s="90" t="s">
        <v>877</v>
      </c>
      <c r="H1559" s="86" t="s">
        <v>2127</v>
      </c>
      <c r="I1559" s="8">
        <f>(C604)</f>
        <v>45</v>
      </c>
      <c r="J1559" s="2" t="s">
        <v>877</v>
      </c>
      <c r="K1559" s="8">
        <f t="shared" si="61"/>
        <v>45</v>
      </c>
    </row>
    <row r="1560" spans="1:11" hidden="1">
      <c r="A1560" s="134"/>
      <c r="F1560" s="91">
        <v>2</v>
      </c>
      <c r="G1560" s="90" t="s">
        <v>877</v>
      </c>
      <c r="H1560" s="86" t="s">
        <v>2128</v>
      </c>
      <c r="I1560" s="8">
        <f>C575</f>
        <v>16.440000000000001</v>
      </c>
      <c r="J1560" s="2" t="s">
        <v>877</v>
      </c>
      <c r="K1560" s="8">
        <f t="shared" si="61"/>
        <v>32.880000000000003</v>
      </c>
    </row>
    <row r="1561" spans="1:11" hidden="1">
      <c r="A1561" s="134"/>
      <c r="F1561" s="91">
        <v>1</v>
      </c>
      <c r="G1561" s="90" t="s">
        <v>877</v>
      </c>
      <c r="H1561" s="86" t="s">
        <v>2129</v>
      </c>
      <c r="I1561" s="8">
        <f>(C666)</f>
        <v>18</v>
      </c>
      <c r="J1561" s="2" t="s">
        <v>877</v>
      </c>
      <c r="K1561" s="8">
        <f t="shared" si="61"/>
        <v>18</v>
      </c>
    </row>
    <row r="1562" spans="1:11" hidden="1">
      <c r="A1562" s="134"/>
      <c r="F1562" s="91">
        <v>0.5</v>
      </c>
      <c r="G1562" s="90" t="s">
        <v>877</v>
      </c>
      <c r="H1562" s="86" t="s">
        <v>2130</v>
      </c>
      <c r="I1562" s="8">
        <f>(C15)</f>
        <v>130</v>
      </c>
      <c r="J1562" s="2" t="s">
        <v>877</v>
      </c>
      <c r="K1562" s="8">
        <f t="shared" si="61"/>
        <v>65</v>
      </c>
    </row>
    <row r="1563" spans="1:11" hidden="1">
      <c r="A1563" s="134"/>
      <c r="G1563" s="90" t="s">
        <v>450</v>
      </c>
      <c r="H1563" s="86" t="s">
        <v>611</v>
      </c>
      <c r="I1563"/>
      <c r="J1563" s="2" t="s">
        <v>450</v>
      </c>
      <c r="K1563" s="8">
        <v>0.75</v>
      </c>
    </row>
    <row r="1564" spans="1:11" hidden="1">
      <c r="A1564" s="134"/>
      <c r="H1564" s="86" t="s">
        <v>22</v>
      </c>
      <c r="I1564"/>
      <c r="J1564" s="4"/>
      <c r="K1564"/>
    </row>
    <row r="1565" spans="1:11" hidden="1">
      <c r="A1565" s="134"/>
      <c r="I1565"/>
      <c r="J1565" s="4"/>
      <c r="K1565" s="5" t="s">
        <v>1609</v>
      </c>
    </row>
    <row r="1566" spans="1:11" hidden="1">
      <c r="A1566" s="134"/>
      <c r="H1566" s="86" t="s">
        <v>1337</v>
      </c>
      <c r="I1566"/>
      <c r="J1566" s="4"/>
      <c r="K1566" s="8">
        <f>SUM(K1557:K1563)</f>
        <v>586.63</v>
      </c>
    </row>
    <row r="1567" spans="1:11" hidden="1">
      <c r="A1567" s="134"/>
      <c r="F1567" s="86" t="s">
        <v>987</v>
      </c>
      <c r="I1567"/>
      <c r="J1567" s="4"/>
      <c r="K1567"/>
    </row>
    <row r="1568" spans="1:11" hidden="1">
      <c r="A1568" s="134"/>
      <c r="I1568"/>
      <c r="J1568" s="4"/>
      <c r="K1568" s="5" t="s">
        <v>1609</v>
      </c>
    </row>
    <row r="1569" spans="1:11" hidden="1">
      <c r="A1569" s="134"/>
      <c r="H1569" s="86" t="s">
        <v>1567</v>
      </c>
      <c r="I1569"/>
      <c r="J1569" s="4"/>
      <c r="K1569" s="8">
        <f>(K1566/3)</f>
        <v>195.54</v>
      </c>
    </row>
    <row r="1570" spans="1:11" hidden="1">
      <c r="A1570" s="134"/>
      <c r="H1570" s="86"/>
      <c r="I1570"/>
      <c r="J1570" s="4"/>
      <c r="K1570" s="5" t="s">
        <v>2080</v>
      </c>
    </row>
    <row r="1571" spans="1:11" hidden="1">
      <c r="A1571" s="134"/>
      <c r="F1571" s="102" t="s">
        <v>1338</v>
      </c>
      <c r="H1571" s="86" t="s">
        <v>16</v>
      </c>
      <c r="I1571"/>
      <c r="J1571" s="4"/>
      <c r="K1571"/>
    </row>
    <row r="1572" spans="1:11" hidden="1">
      <c r="A1572" s="134"/>
      <c r="H1572" s="86" t="s">
        <v>17</v>
      </c>
      <c r="I1572"/>
      <c r="J1572" s="4"/>
      <c r="K1572"/>
    </row>
    <row r="1573" spans="1:11" hidden="1">
      <c r="A1573" s="134"/>
      <c r="H1573" s="86" t="s">
        <v>2061</v>
      </c>
      <c r="I1573"/>
      <c r="J1573" s="4"/>
      <c r="K1573"/>
    </row>
    <row r="1574" spans="1:11" hidden="1">
      <c r="A1574" s="134"/>
      <c r="H1574" s="89" t="s">
        <v>1609</v>
      </c>
      <c r="I1574"/>
      <c r="J1574" s="4"/>
      <c r="K1574"/>
    </row>
    <row r="1575" spans="1:11" hidden="1">
      <c r="A1575" s="134"/>
      <c r="F1575" s="91">
        <v>0.15</v>
      </c>
      <c r="G1575" s="90" t="s">
        <v>878</v>
      </c>
      <c r="H1575" s="86" t="s">
        <v>2062</v>
      </c>
      <c r="I1575" s="8" t="e">
        <f>(C70)</f>
        <v>#REF!</v>
      </c>
      <c r="J1575" s="2" t="s">
        <v>878</v>
      </c>
      <c r="K1575" s="8" t="e">
        <f>(F1575*I1575)</f>
        <v>#REF!</v>
      </c>
    </row>
    <row r="1576" spans="1:11" hidden="1">
      <c r="A1576" s="134"/>
      <c r="F1576" s="122">
        <v>8.6499999999999994E-2</v>
      </c>
      <c r="G1576" s="90" t="s">
        <v>870</v>
      </c>
      <c r="H1576" s="86" t="s">
        <v>871</v>
      </c>
      <c r="I1576" s="8">
        <f>(C67)</f>
        <v>3800</v>
      </c>
      <c r="J1576" s="2" t="s">
        <v>870</v>
      </c>
      <c r="K1576" s="8">
        <f>(F1576*I1576)</f>
        <v>328.7</v>
      </c>
    </row>
    <row r="1577" spans="1:11" hidden="1">
      <c r="A1577" s="134"/>
      <c r="F1577" s="91">
        <v>1.6</v>
      </c>
      <c r="G1577" s="90" t="s">
        <v>778</v>
      </c>
      <c r="H1577" s="86" t="s">
        <v>2034</v>
      </c>
      <c r="I1577" s="8">
        <f>(C10)</f>
        <v>150</v>
      </c>
      <c r="J1577" s="2" t="s">
        <v>778</v>
      </c>
      <c r="K1577" s="8">
        <f>(F1577*I1577)</f>
        <v>240</v>
      </c>
    </row>
    <row r="1578" spans="1:11" hidden="1">
      <c r="A1578" s="134"/>
      <c r="F1578" s="91">
        <v>0.5</v>
      </c>
      <c r="G1578" s="90" t="s">
        <v>778</v>
      </c>
      <c r="H1578" s="86" t="s">
        <v>1927</v>
      </c>
      <c r="I1578" s="8">
        <f>(C12)</f>
        <v>95</v>
      </c>
      <c r="J1578" s="2" t="s">
        <v>778</v>
      </c>
      <c r="K1578" s="8">
        <f>(F1578*I1578)</f>
        <v>47.5</v>
      </c>
    </row>
    <row r="1579" spans="1:11" hidden="1">
      <c r="A1579" s="134"/>
      <c r="F1579" s="91">
        <v>1.1000000000000001</v>
      </c>
      <c r="G1579" s="90" t="s">
        <v>778</v>
      </c>
      <c r="H1579" s="86" t="s">
        <v>321</v>
      </c>
      <c r="I1579" s="8">
        <f>(C13)</f>
        <v>85</v>
      </c>
      <c r="J1579" s="2" t="s">
        <v>778</v>
      </c>
      <c r="K1579" s="8">
        <f>(F1579*I1579)</f>
        <v>93.5</v>
      </c>
    </row>
    <row r="1580" spans="1:11" hidden="1">
      <c r="A1580" s="134"/>
      <c r="G1580" s="90" t="s">
        <v>450</v>
      </c>
      <c r="H1580" s="86" t="s">
        <v>451</v>
      </c>
      <c r="I1580" s="1" t="s">
        <v>987</v>
      </c>
      <c r="J1580" s="2" t="s">
        <v>450</v>
      </c>
      <c r="K1580" s="8">
        <v>0</v>
      </c>
    </row>
    <row r="1581" spans="1:11" hidden="1">
      <c r="A1581" s="134"/>
      <c r="I1581"/>
      <c r="J1581" s="4"/>
      <c r="K1581" s="5" t="s">
        <v>1609</v>
      </c>
    </row>
    <row r="1582" spans="1:11" hidden="1">
      <c r="A1582" s="134"/>
      <c r="H1582" s="86" t="s">
        <v>442</v>
      </c>
      <c r="I1582"/>
      <c r="J1582" s="4"/>
      <c r="K1582" s="8" t="e">
        <f>SUM(K1575:K1580)</f>
        <v>#REF!</v>
      </c>
    </row>
    <row r="1583" spans="1:11" hidden="1">
      <c r="A1583" s="134"/>
      <c r="I1583"/>
      <c r="J1583" s="4"/>
      <c r="K1583" s="5" t="s">
        <v>1609</v>
      </c>
    </row>
    <row r="1584" spans="1:11" hidden="1">
      <c r="A1584" s="134"/>
      <c r="H1584" s="86" t="s">
        <v>556</v>
      </c>
      <c r="I1584"/>
      <c r="J1584" s="4"/>
      <c r="K1584" s="8" t="e">
        <f>(K1582/10)</f>
        <v>#REF!</v>
      </c>
    </row>
    <row r="1585" spans="1:11" hidden="1">
      <c r="A1585" s="134"/>
      <c r="I1585"/>
      <c r="J1585" s="4"/>
      <c r="K1585" s="5" t="s">
        <v>2080</v>
      </c>
    </row>
    <row r="1586" spans="1:11" hidden="1">
      <c r="A1586" s="134"/>
      <c r="F1586" s="102" t="s">
        <v>2063</v>
      </c>
      <c r="G1586" s="90" t="s">
        <v>2276</v>
      </c>
      <c r="H1586" s="86" t="s">
        <v>2064</v>
      </c>
      <c r="I1586"/>
      <c r="J1586" s="4"/>
      <c r="K1586"/>
    </row>
    <row r="1587" spans="1:11" hidden="1">
      <c r="A1587" s="134"/>
      <c r="H1587" s="86" t="s">
        <v>1229</v>
      </c>
      <c r="I1587"/>
      <c r="J1587" s="4"/>
      <c r="K1587"/>
    </row>
    <row r="1588" spans="1:11" hidden="1">
      <c r="A1588" s="134"/>
      <c r="H1588" s="86" t="s">
        <v>1230</v>
      </c>
      <c r="I1588"/>
      <c r="J1588" s="2" t="s">
        <v>987</v>
      </c>
      <c r="K1588"/>
    </row>
    <row r="1589" spans="1:11" hidden="1">
      <c r="A1589" s="134"/>
      <c r="H1589" s="86" t="s">
        <v>1125</v>
      </c>
      <c r="I1589"/>
      <c r="J1589" s="4"/>
      <c r="K1589"/>
    </row>
    <row r="1590" spans="1:11" hidden="1">
      <c r="A1590" s="134"/>
      <c r="H1590" s="86" t="s">
        <v>1040</v>
      </c>
      <c r="I1590"/>
      <c r="J1590" s="4"/>
      <c r="K1590"/>
    </row>
    <row r="1591" spans="1:11" hidden="1">
      <c r="A1591" s="134"/>
      <c r="H1591" s="86" t="s">
        <v>1837</v>
      </c>
      <c r="I1591"/>
      <c r="J1591" s="4"/>
      <c r="K1591"/>
    </row>
    <row r="1592" spans="1:11" hidden="1">
      <c r="A1592" s="134"/>
      <c r="H1592" s="86" t="s">
        <v>278</v>
      </c>
      <c r="I1592"/>
      <c r="J1592" s="4"/>
      <c r="K1592"/>
    </row>
    <row r="1593" spans="1:11" hidden="1">
      <c r="A1593" s="134"/>
      <c r="H1593" s="86" t="s">
        <v>279</v>
      </c>
      <c r="I1593"/>
      <c r="J1593" s="4"/>
      <c r="K1593"/>
    </row>
    <row r="1594" spans="1:11" hidden="1">
      <c r="A1594" s="134"/>
      <c r="H1594" s="86" t="s">
        <v>280</v>
      </c>
      <c r="I1594"/>
      <c r="J1594" s="4"/>
      <c r="K1594"/>
    </row>
    <row r="1595" spans="1:11" hidden="1">
      <c r="A1595" s="134"/>
      <c r="H1595" s="89" t="s">
        <v>2080</v>
      </c>
      <c r="I1595"/>
      <c r="J1595" s="4"/>
      <c r="K1595"/>
    </row>
    <row r="1596" spans="1:11" hidden="1">
      <c r="A1596" s="134"/>
      <c r="I1596"/>
      <c r="J1596" s="4"/>
      <c r="K1596"/>
    </row>
    <row r="1597" spans="1:11" hidden="1">
      <c r="A1597" s="134"/>
      <c r="F1597" s="91">
        <v>1</v>
      </c>
      <c r="G1597" s="90" t="s">
        <v>835</v>
      </c>
      <c r="H1597" s="86" t="s">
        <v>281</v>
      </c>
      <c r="I1597" s="8">
        <v>50</v>
      </c>
      <c r="J1597" s="2" t="s">
        <v>835</v>
      </c>
      <c r="K1597" s="8">
        <f>(F1597*I1597)</f>
        <v>50</v>
      </c>
    </row>
    <row r="1598" spans="1:11" hidden="1">
      <c r="A1598" s="134"/>
      <c r="F1598" s="91">
        <v>1</v>
      </c>
      <c r="G1598" s="90" t="s">
        <v>282</v>
      </c>
      <c r="H1598" s="86" t="s">
        <v>1173</v>
      </c>
      <c r="I1598" s="8">
        <v>9</v>
      </c>
      <c r="J1598" s="2" t="s">
        <v>282</v>
      </c>
      <c r="K1598" s="8">
        <f>(F1598*I1598)</f>
        <v>9</v>
      </c>
    </row>
    <row r="1599" spans="1:11" hidden="1">
      <c r="A1599" s="134"/>
      <c r="G1599" s="90" t="s">
        <v>450</v>
      </c>
      <c r="H1599" s="86" t="s">
        <v>508</v>
      </c>
      <c r="I1599"/>
      <c r="J1599" s="2" t="s">
        <v>450</v>
      </c>
      <c r="K1599" s="8">
        <v>7</v>
      </c>
    </row>
    <row r="1600" spans="1:11" hidden="1">
      <c r="A1600" s="134"/>
      <c r="I1600"/>
      <c r="J1600" s="4"/>
      <c r="K1600" s="5" t="s">
        <v>1609</v>
      </c>
    </row>
    <row r="1601" spans="1:11" hidden="1">
      <c r="A1601" s="134"/>
      <c r="H1601" s="102" t="s">
        <v>1664</v>
      </c>
      <c r="I1601"/>
      <c r="J1601" s="4"/>
      <c r="K1601" s="8">
        <f>SUM(K1597:K1599)</f>
        <v>66</v>
      </c>
    </row>
    <row r="1602" spans="1:11" hidden="1">
      <c r="A1602" s="134"/>
      <c r="I1602"/>
      <c r="J1602" s="4"/>
      <c r="K1602" s="5" t="s">
        <v>2080</v>
      </c>
    </row>
    <row r="1603" spans="1:11" hidden="1">
      <c r="A1603" s="134"/>
      <c r="F1603" s="102" t="s">
        <v>1665</v>
      </c>
      <c r="G1603" s="90" t="s">
        <v>2276</v>
      </c>
      <c r="H1603" s="86" t="s">
        <v>764</v>
      </c>
      <c r="I1603"/>
      <c r="J1603" s="4"/>
      <c r="K1603"/>
    </row>
    <row r="1604" spans="1:11" hidden="1">
      <c r="A1604" s="134"/>
      <c r="H1604" s="86" t="s">
        <v>402</v>
      </c>
      <c r="I1604"/>
      <c r="J1604" s="4"/>
      <c r="K1604"/>
    </row>
    <row r="1605" spans="1:11" hidden="1">
      <c r="A1605" s="134"/>
      <c r="H1605" s="86" t="s">
        <v>403</v>
      </c>
      <c r="I1605"/>
      <c r="J1605" s="4"/>
      <c r="K1605"/>
    </row>
    <row r="1606" spans="1:11" hidden="1">
      <c r="A1606" s="134"/>
      <c r="H1606" s="86" t="s">
        <v>400</v>
      </c>
      <c r="I1606"/>
      <c r="J1606" s="4"/>
      <c r="K1606"/>
    </row>
    <row r="1607" spans="1:11" hidden="1">
      <c r="A1607" s="134"/>
      <c r="H1607" s="86" t="s">
        <v>1784</v>
      </c>
      <c r="I1607"/>
      <c r="J1607" s="4"/>
      <c r="K1607"/>
    </row>
    <row r="1608" spans="1:11" hidden="1">
      <c r="A1608" s="134"/>
      <c r="H1608" s="89" t="s">
        <v>1609</v>
      </c>
      <c r="I1608" s="5" t="s">
        <v>1609</v>
      </c>
      <c r="J1608" s="4"/>
      <c r="K1608"/>
    </row>
    <row r="1609" spans="1:11" hidden="1">
      <c r="A1609" s="134"/>
      <c r="F1609" s="91">
        <v>1</v>
      </c>
      <c r="G1609" s="90" t="s">
        <v>1785</v>
      </c>
      <c r="H1609" s="86" t="s">
        <v>1574</v>
      </c>
      <c r="I1609" s="8">
        <v>27.3</v>
      </c>
      <c r="J1609" s="2" t="s">
        <v>1418</v>
      </c>
      <c r="K1609" s="8">
        <f>(F1609*I1609)</f>
        <v>27.3</v>
      </c>
    </row>
    <row r="1610" spans="1:11" hidden="1">
      <c r="A1610" s="134"/>
      <c r="G1610" s="90" t="s">
        <v>450</v>
      </c>
      <c r="H1610" s="86" t="s">
        <v>1575</v>
      </c>
      <c r="I1610"/>
      <c r="J1610" s="2" t="s">
        <v>450</v>
      </c>
      <c r="K1610" s="8">
        <v>7.5</v>
      </c>
    </row>
    <row r="1611" spans="1:11" hidden="1">
      <c r="A1611" s="134"/>
      <c r="G1611" s="90" t="s">
        <v>450</v>
      </c>
      <c r="H1611" s="86" t="s">
        <v>629</v>
      </c>
      <c r="I1611"/>
      <c r="J1611" s="2" t="s">
        <v>450</v>
      </c>
      <c r="K1611" s="8">
        <v>1.2</v>
      </c>
    </row>
    <row r="1612" spans="1:11" hidden="1">
      <c r="A1612" s="134"/>
      <c r="H1612" s="86" t="s">
        <v>630</v>
      </c>
      <c r="I1612"/>
      <c r="J1612" s="4"/>
      <c r="K1612" s="5" t="s">
        <v>1609</v>
      </c>
    </row>
    <row r="1613" spans="1:11" hidden="1">
      <c r="A1613" s="134"/>
      <c r="H1613" s="102" t="s">
        <v>1664</v>
      </c>
      <c r="I1613"/>
      <c r="J1613" s="4"/>
      <c r="K1613" s="8">
        <f>SUM(K1609:K1611)</f>
        <v>36</v>
      </c>
    </row>
    <row r="1614" spans="1:11" hidden="1">
      <c r="A1614" s="134"/>
      <c r="I1614"/>
      <c r="J1614" s="4"/>
      <c r="K1614" s="5" t="s">
        <v>2080</v>
      </c>
    </row>
    <row r="1615" spans="1:11" hidden="1">
      <c r="A1615" s="134"/>
      <c r="F1615" s="102" t="s">
        <v>631</v>
      </c>
      <c r="G1615" s="90" t="s">
        <v>2276</v>
      </c>
      <c r="H1615" s="86" t="s">
        <v>544</v>
      </c>
      <c r="I1615"/>
      <c r="J1615" s="4"/>
      <c r="K1615"/>
    </row>
    <row r="1616" spans="1:11" hidden="1">
      <c r="A1616" s="134"/>
      <c r="H1616" s="86" t="s">
        <v>632</v>
      </c>
      <c r="I1616"/>
      <c r="J1616" s="4"/>
      <c r="K1616" s="1" t="s">
        <v>987</v>
      </c>
    </row>
    <row r="1617" spans="1:11" hidden="1">
      <c r="A1617" s="134"/>
      <c r="H1617" s="89" t="s">
        <v>1609</v>
      </c>
      <c r="I1617"/>
      <c r="J1617" s="4"/>
      <c r="K1617"/>
    </row>
    <row r="1618" spans="1:11" hidden="1">
      <c r="A1618" s="134"/>
      <c r="F1618" s="91">
        <v>1</v>
      </c>
      <c r="G1618" s="90" t="s">
        <v>1785</v>
      </c>
      <c r="H1618" s="86" t="s">
        <v>633</v>
      </c>
      <c r="I1618" s="8">
        <v>20</v>
      </c>
      <c r="J1618" s="2" t="s">
        <v>1418</v>
      </c>
      <c r="K1618" s="8">
        <f>(F1618*I1618)</f>
        <v>20</v>
      </c>
    </row>
    <row r="1619" spans="1:11" hidden="1">
      <c r="A1619" s="134"/>
      <c r="G1619" s="90" t="s">
        <v>450</v>
      </c>
      <c r="H1619" s="86" t="s">
        <v>634</v>
      </c>
      <c r="I1619"/>
      <c r="J1619" s="2" t="s">
        <v>450</v>
      </c>
      <c r="K1619" s="8">
        <v>5</v>
      </c>
    </row>
    <row r="1620" spans="1:11" hidden="1">
      <c r="A1620" s="134"/>
      <c r="I1620"/>
      <c r="J1620" s="4"/>
      <c r="K1620" s="5" t="s">
        <v>1609</v>
      </c>
    </row>
    <row r="1621" spans="1:11" hidden="1">
      <c r="A1621" s="134"/>
      <c r="H1621" s="102" t="s">
        <v>635</v>
      </c>
      <c r="I1621"/>
      <c r="J1621" s="4"/>
      <c r="K1621" s="8">
        <f>SUM(K1617:K1619)</f>
        <v>25</v>
      </c>
    </row>
    <row r="1622" spans="1:11" hidden="1">
      <c r="A1622" s="134"/>
      <c r="I1622"/>
      <c r="J1622" s="4"/>
      <c r="K1622" s="5" t="s">
        <v>2080</v>
      </c>
    </row>
    <row r="1623" spans="1:11" hidden="1">
      <c r="A1623" s="134"/>
      <c r="F1623" s="102" t="s">
        <v>2173</v>
      </c>
      <c r="G1623" s="90" t="s">
        <v>2276</v>
      </c>
      <c r="H1623" s="86" t="s">
        <v>545</v>
      </c>
      <c r="I1623"/>
      <c r="J1623" s="4"/>
      <c r="K1623"/>
    </row>
    <row r="1624" spans="1:11" hidden="1">
      <c r="A1624" s="134"/>
      <c r="H1624" s="89" t="s">
        <v>1609</v>
      </c>
      <c r="I1624" s="5" t="s">
        <v>1609</v>
      </c>
      <c r="J1624" s="4"/>
      <c r="K1624"/>
    </row>
    <row r="1625" spans="1:11" hidden="1">
      <c r="A1625" s="134"/>
      <c r="F1625" s="91">
        <v>1</v>
      </c>
      <c r="G1625" s="90" t="s">
        <v>1785</v>
      </c>
      <c r="H1625" s="86" t="s">
        <v>2174</v>
      </c>
      <c r="I1625" s="8">
        <v>1</v>
      </c>
      <c r="J1625" s="2" t="s">
        <v>1418</v>
      </c>
      <c r="K1625" s="8">
        <f>(F1625*I1625)</f>
        <v>1</v>
      </c>
    </row>
    <row r="1626" spans="1:11" hidden="1">
      <c r="A1626" s="134"/>
      <c r="G1626" s="90" t="s">
        <v>450</v>
      </c>
      <c r="H1626" s="86" t="s">
        <v>634</v>
      </c>
      <c r="I1626"/>
      <c r="J1626" s="2" t="s">
        <v>450</v>
      </c>
      <c r="K1626" s="8">
        <v>0.25</v>
      </c>
    </row>
    <row r="1627" spans="1:11" hidden="1">
      <c r="A1627" s="134"/>
      <c r="I1627"/>
      <c r="J1627" s="4"/>
      <c r="K1627" s="5" t="s">
        <v>1609</v>
      </c>
    </row>
    <row r="1628" spans="1:11" hidden="1">
      <c r="A1628" s="134"/>
      <c r="H1628" s="102" t="s">
        <v>635</v>
      </c>
      <c r="I1628"/>
      <c r="J1628" s="4"/>
      <c r="K1628" s="8">
        <f>SUM(K1623:K1626)</f>
        <v>1.25</v>
      </c>
    </row>
    <row r="1629" spans="1:11" hidden="1">
      <c r="A1629" s="134"/>
      <c r="F1629" s="86" t="s">
        <v>987</v>
      </c>
      <c r="I1629"/>
      <c r="J1629" s="4"/>
      <c r="K1629" s="5" t="s">
        <v>1609</v>
      </c>
    </row>
    <row r="1630" spans="1:11" hidden="1">
      <c r="A1630" s="134"/>
      <c r="F1630" s="112">
        <v>50.1</v>
      </c>
      <c r="G1630" s="90" t="s">
        <v>2276</v>
      </c>
      <c r="H1630" s="86" t="s">
        <v>2190</v>
      </c>
      <c r="I1630"/>
      <c r="J1630" s="4"/>
      <c r="K1630"/>
    </row>
    <row r="1631" spans="1:11" hidden="1">
      <c r="A1631" s="134"/>
      <c r="H1631" s="86" t="s">
        <v>14</v>
      </c>
      <c r="I1631"/>
      <c r="J1631" s="4"/>
      <c r="K1631"/>
    </row>
    <row r="1632" spans="1:11" hidden="1">
      <c r="A1632" s="134"/>
      <c r="H1632" s="86" t="s">
        <v>43</v>
      </c>
      <c r="I1632"/>
      <c r="J1632" s="4"/>
      <c r="K1632"/>
    </row>
    <row r="1633" spans="1:11" hidden="1">
      <c r="A1633" s="134"/>
      <c r="H1633" s="86" t="s">
        <v>44</v>
      </c>
      <c r="I1633"/>
      <c r="J1633" s="4"/>
      <c r="K1633"/>
    </row>
    <row r="1634" spans="1:11" hidden="1">
      <c r="A1634" s="134"/>
      <c r="H1634" s="86" t="s">
        <v>45</v>
      </c>
      <c r="I1634"/>
      <c r="J1634" s="4"/>
      <c r="K1634"/>
    </row>
    <row r="1635" spans="1:11" hidden="1">
      <c r="A1635" s="134"/>
      <c r="H1635" s="89" t="s">
        <v>1609</v>
      </c>
      <c r="I1635" s="5" t="s">
        <v>1609</v>
      </c>
      <c r="J1635" s="4"/>
      <c r="K1635"/>
    </row>
    <row r="1636" spans="1:11" hidden="1">
      <c r="A1636" s="134"/>
      <c r="F1636" s="91">
        <v>9</v>
      </c>
      <c r="G1636" s="90" t="s">
        <v>2176</v>
      </c>
      <c r="H1636" s="86" t="s">
        <v>1597</v>
      </c>
      <c r="I1636" s="8" t="e">
        <f>C73</f>
        <v>#REF!</v>
      </c>
      <c r="J1636" s="2" t="s">
        <v>2176</v>
      </c>
      <c r="K1636" s="8" t="e">
        <f>(F1636*I1636)</f>
        <v>#REF!</v>
      </c>
    </row>
    <row r="1637" spans="1:11" hidden="1">
      <c r="A1637" s="134"/>
      <c r="F1637" s="91">
        <v>4.5</v>
      </c>
      <c r="G1637" s="90" t="s">
        <v>2176</v>
      </c>
      <c r="H1637" s="86" t="s">
        <v>1598</v>
      </c>
      <c r="I1637" s="8" t="e">
        <f>K32</f>
        <v>#REF!</v>
      </c>
      <c r="J1637" s="2" t="s">
        <v>2176</v>
      </c>
      <c r="K1637" s="8" t="e">
        <f>(F1637*I1637)</f>
        <v>#REF!</v>
      </c>
    </row>
    <row r="1638" spans="1:11" hidden="1">
      <c r="A1638" s="134"/>
      <c r="F1638" s="91">
        <v>1.8</v>
      </c>
      <c r="G1638" s="90" t="s">
        <v>564</v>
      </c>
      <c r="H1638" s="86" t="s">
        <v>1599</v>
      </c>
      <c r="I1638" s="8">
        <f>C11</f>
        <v>135</v>
      </c>
      <c r="J1638" s="2" t="s">
        <v>1418</v>
      </c>
      <c r="K1638" s="8">
        <f>(F1638*I1638)</f>
        <v>243</v>
      </c>
    </row>
    <row r="1639" spans="1:11" hidden="1">
      <c r="A1639" s="134"/>
      <c r="F1639" s="91">
        <v>17.7</v>
      </c>
      <c r="G1639" s="90" t="s">
        <v>564</v>
      </c>
      <c r="H1639" s="86" t="s">
        <v>832</v>
      </c>
      <c r="I1639" s="8">
        <f>C12</f>
        <v>95</v>
      </c>
      <c r="J1639" s="2" t="s">
        <v>1418</v>
      </c>
      <c r="K1639" s="8">
        <f>(F1639*I1639)</f>
        <v>1681.5</v>
      </c>
    </row>
    <row r="1640" spans="1:11" hidden="1">
      <c r="A1640" s="134"/>
      <c r="F1640" s="91">
        <v>14.1</v>
      </c>
      <c r="G1640" s="90" t="s">
        <v>564</v>
      </c>
      <c r="H1640" s="86" t="s">
        <v>1392</v>
      </c>
      <c r="I1640" s="8">
        <f>C13</f>
        <v>85</v>
      </c>
      <c r="J1640" s="2" t="s">
        <v>1418</v>
      </c>
      <c r="K1640" s="8">
        <f>(F1640*I1640)</f>
        <v>1198.5</v>
      </c>
    </row>
    <row r="1641" spans="1:11" hidden="1">
      <c r="A1641" s="134"/>
      <c r="I1641"/>
      <c r="J1641" s="4"/>
      <c r="K1641" s="5" t="s">
        <v>1609</v>
      </c>
    </row>
    <row r="1642" spans="1:11" hidden="1">
      <c r="A1642" s="134"/>
      <c r="H1642" s="102" t="s">
        <v>1600</v>
      </c>
      <c r="I1642"/>
      <c r="J1642" s="4"/>
      <c r="K1642" s="8" t="e">
        <f>SUM(K1636:K1640)</f>
        <v>#REF!</v>
      </c>
    </row>
    <row r="1643" spans="1:11" hidden="1">
      <c r="A1643" s="134"/>
      <c r="I1643"/>
      <c r="J1643" s="4"/>
      <c r="K1643" s="5" t="s">
        <v>1609</v>
      </c>
    </row>
    <row r="1644" spans="1:11" hidden="1">
      <c r="A1644" s="134"/>
      <c r="H1644" s="102" t="s">
        <v>1601</v>
      </c>
      <c r="I1644"/>
      <c r="J1644" s="4"/>
      <c r="K1644" s="8" t="e">
        <f>(K1642/10)</f>
        <v>#REF!</v>
      </c>
    </row>
    <row r="1645" spans="1:11" hidden="1">
      <c r="A1645" s="134"/>
      <c r="I1645"/>
      <c r="J1645" s="4"/>
      <c r="K1645" s="5" t="s">
        <v>2080</v>
      </c>
    </row>
    <row r="1646" spans="1:11" hidden="1">
      <c r="A1646" s="134"/>
      <c r="I1646"/>
      <c r="J1646" s="4"/>
      <c r="K1646"/>
    </row>
    <row r="1647" spans="1:11" hidden="1">
      <c r="A1647" s="134"/>
      <c r="G1647" s="90" t="s">
        <v>681</v>
      </c>
      <c r="H1647" s="86" t="s">
        <v>1165</v>
      </c>
      <c r="I1647"/>
      <c r="J1647" s="4"/>
      <c r="K1647"/>
    </row>
    <row r="1648" spans="1:11" hidden="1">
      <c r="A1648" s="134"/>
      <c r="H1648" s="86" t="s">
        <v>606</v>
      </c>
      <c r="I1648"/>
      <c r="J1648" s="4"/>
      <c r="K1648"/>
    </row>
    <row r="1649" spans="1:11" hidden="1">
      <c r="A1649" s="134"/>
      <c r="H1649" s="89" t="s">
        <v>1609</v>
      </c>
      <c r="I1649" s="5" t="s">
        <v>1609</v>
      </c>
      <c r="J1649" s="4"/>
      <c r="K1649"/>
    </row>
    <row r="1650" spans="1:11" hidden="1">
      <c r="A1650" s="134"/>
      <c r="I1650"/>
      <c r="J1650" s="4"/>
      <c r="K1650"/>
    </row>
    <row r="1651" spans="1:11" hidden="1">
      <c r="A1651" s="134"/>
      <c r="F1651" s="111">
        <v>0.314</v>
      </c>
      <c r="G1651" s="90" t="s">
        <v>2176</v>
      </c>
      <c r="H1651" s="86" t="s">
        <v>443</v>
      </c>
      <c r="I1651" s="8" t="e">
        <f>K1644</f>
        <v>#REF!</v>
      </c>
      <c r="J1651" s="2" t="s">
        <v>2176</v>
      </c>
      <c r="K1651" s="8" t="e">
        <f>(F1651*I1651)</f>
        <v>#REF!</v>
      </c>
    </row>
    <row r="1652" spans="1:11" hidden="1">
      <c r="A1652" s="134"/>
      <c r="F1652" s="91">
        <v>18</v>
      </c>
      <c r="G1652" s="90" t="s">
        <v>564</v>
      </c>
      <c r="H1652" s="86" t="s">
        <v>540</v>
      </c>
      <c r="I1652" s="8">
        <v>2</v>
      </c>
      <c r="J1652" s="2" t="s">
        <v>1418</v>
      </c>
      <c r="K1652" s="8">
        <f>(F1652*I1652)</f>
        <v>36</v>
      </c>
    </row>
    <row r="1653" spans="1:11" hidden="1">
      <c r="A1653" s="134"/>
      <c r="F1653" s="91">
        <v>18</v>
      </c>
      <c r="G1653" s="90" t="s">
        <v>564</v>
      </c>
      <c r="H1653" s="86" t="s">
        <v>541</v>
      </c>
      <c r="I1653" s="8">
        <v>1</v>
      </c>
      <c r="J1653" s="2" t="s">
        <v>1418</v>
      </c>
      <c r="K1653" s="8">
        <f>(F1653*I1653)</f>
        <v>18</v>
      </c>
    </row>
    <row r="1654" spans="1:11" hidden="1">
      <c r="A1654" s="134"/>
      <c r="F1654" s="91">
        <v>18</v>
      </c>
      <c r="G1654" s="90" t="s">
        <v>564</v>
      </c>
      <c r="H1654" s="86" t="s">
        <v>542</v>
      </c>
      <c r="I1654" s="8">
        <v>2</v>
      </c>
      <c r="J1654" s="2" t="s">
        <v>1418</v>
      </c>
      <c r="K1654" s="8">
        <f>(F1654*I1654)</f>
        <v>36</v>
      </c>
    </row>
    <row r="1655" spans="1:11" hidden="1">
      <c r="A1655" s="134"/>
      <c r="I1655"/>
      <c r="J1655" s="4"/>
      <c r="K1655" s="5" t="s">
        <v>1609</v>
      </c>
    </row>
    <row r="1656" spans="1:11" hidden="1">
      <c r="A1656" s="134"/>
      <c r="H1656" s="102" t="s">
        <v>1974</v>
      </c>
      <c r="I1656"/>
      <c r="J1656" s="4"/>
      <c r="K1656" s="8" t="e">
        <f>SUM(K1650:K1654)</f>
        <v>#REF!</v>
      </c>
    </row>
    <row r="1657" spans="1:11" hidden="1">
      <c r="A1657" s="134"/>
      <c r="I1657"/>
      <c r="J1657" s="4"/>
      <c r="K1657" s="5" t="s">
        <v>1609</v>
      </c>
    </row>
    <row r="1658" spans="1:11" hidden="1">
      <c r="A1658" s="134"/>
      <c r="H1658" s="102" t="s">
        <v>1975</v>
      </c>
      <c r="I1658"/>
      <c r="J1658" s="4"/>
      <c r="K1658" s="8" t="e">
        <f>(K1656/6.28)</f>
        <v>#REF!</v>
      </c>
    </row>
    <row r="1659" spans="1:11" hidden="1">
      <c r="A1659" s="134"/>
      <c r="I1659"/>
      <c r="J1659" s="4"/>
      <c r="K1659" s="5" t="s">
        <v>2080</v>
      </c>
    </row>
    <row r="1660" spans="1:11" hidden="1">
      <c r="A1660" s="134"/>
      <c r="F1660" s="86" t="s">
        <v>987</v>
      </c>
      <c r="H1660" s="86" t="s">
        <v>739</v>
      </c>
      <c r="I1660"/>
      <c r="J1660" s="4"/>
      <c r="K1660"/>
    </row>
    <row r="1661" spans="1:11" hidden="1">
      <c r="A1661" s="134"/>
      <c r="H1661" s="89" t="s">
        <v>1609</v>
      </c>
      <c r="I1661"/>
      <c r="J1661" s="4"/>
      <c r="K1661"/>
    </row>
    <row r="1662" spans="1:11" hidden="1">
      <c r="A1662" s="134"/>
      <c r="F1662" s="111">
        <v>0.01</v>
      </c>
      <c r="G1662" s="90" t="s">
        <v>2176</v>
      </c>
      <c r="H1662" s="86" t="s">
        <v>443</v>
      </c>
      <c r="I1662" s="8" t="e">
        <f>K1644</f>
        <v>#REF!</v>
      </c>
      <c r="J1662" s="2" t="s">
        <v>2176</v>
      </c>
      <c r="K1662" s="8" t="e">
        <f>(F1662*I1662)</f>
        <v>#REF!</v>
      </c>
    </row>
    <row r="1663" spans="1:11" hidden="1">
      <c r="A1663" s="134"/>
      <c r="F1663" s="91">
        <v>0.01</v>
      </c>
      <c r="G1663" s="90" t="s">
        <v>1361</v>
      </c>
      <c r="H1663" s="86" t="s">
        <v>740</v>
      </c>
      <c r="I1663" s="6" t="s">
        <v>663</v>
      </c>
      <c r="J1663" s="4"/>
      <c r="K1663" s="8">
        <v>1.2</v>
      </c>
    </row>
    <row r="1664" spans="1:11" hidden="1">
      <c r="A1664" s="134"/>
      <c r="I1664" s="23"/>
      <c r="J1664" s="4"/>
      <c r="K1664" s="5" t="s">
        <v>1609</v>
      </c>
    </row>
    <row r="1665" spans="1:11" hidden="1">
      <c r="A1665" s="134"/>
      <c r="H1665" s="102" t="s">
        <v>748</v>
      </c>
      <c r="I1665"/>
      <c r="J1665" s="4"/>
      <c r="K1665" s="8" t="e">
        <f>SUM(K1659:K1663)</f>
        <v>#REF!</v>
      </c>
    </row>
    <row r="1666" spans="1:11" hidden="1">
      <c r="A1666" s="134"/>
      <c r="I1666"/>
      <c r="J1666" s="4"/>
      <c r="K1666" s="5" t="s">
        <v>1609</v>
      </c>
    </row>
    <row r="1667" spans="1:11" hidden="1">
      <c r="A1667" s="134"/>
      <c r="H1667" s="102" t="s">
        <v>2200</v>
      </c>
      <c r="I1667"/>
      <c r="J1667" s="4"/>
      <c r="K1667" s="8" t="e">
        <f>K1665/0.01</f>
        <v>#REF!</v>
      </c>
    </row>
    <row r="1668" spans="1:11" hidden="1">
      <c r="A1668" s="134"/>
      <c r="I1668"/>
      <c r="J1668" s="4"/>
      <c r="K1668" s="5" t="s">
        <v>2080</v>
      </c>
    </row>
    <row r="1669" spans="1:11" hidden="1">
      <c r="A1669" s="134"/>
      <c r="F1669" s="102" t="s">
        <v>2201</v>
      </c>
      <c r="G1669" s="90" t="s">
        <v>681</v>
      </c>
      <c r="H1669" s="86" t="s">
        <v>1165</v>
      </c>
      <c r="I1669"/>
      <c r="J1669" s="4"/>
      <c r="K1669"/>
    </row>
    <row r="1670" spans="1:11" hidden="1">
      <c r="A1670" s="134"/>
      <c r="H1670" s="114" t="s">
        <v>607</v>
      </c>
      <c r="I1670"/>
      <c r="J1670" s="4"/>
      <c r="K1670"/>
    </row>
    <row r="1671" spans="1:11" hidden="1">
      <c r="A1671" s="134"/>
      <c r="H1671" s="89" t="s">
        <v>1609</v>
      </c>
      <c r="I1671" s="5" t="s">
        <v>1609</v>
      </c>
      <c r="J1671" s="4"/>
      <c r="K1671"/>
    </row>
    <row r="1672" spans="1:11" hidden="1">
      <c r="A1672" s="134"/>
      <c r="F1672" s="111">
        <v>0.40500000000000003</v>
      </c>
      <c r="G1672" s="90" t="s">
        <v>2176</v>
      </c>
      <c r="H1672" s="86" t="s">
        <v>443</v>
      </c>
      <c r="I1672" s="8" t="e">
        <f>K1667</f>
        <v>#REF!</v>
      </c>
      <c r="J1672" s="2" t="s">
        <v>2176</v>
      </c>
      <c r="K1672" s="8" t="e">
        <f>(F1672*I1672)</f>
        <v>#REF!</v>
      </c>
    </row>
    <row r="1673" spans="1:11" hidden="1">
      <c r="A1673" s="134"/>
      <c r="F1673" s="86" t="s">
        <v>987</v>
      </c>
      <c r="G1673" s="90" t="s">
        <v>987</v>
      </c>
      <c r="H1673" s="86" t="s">
        <v>1673</v>
      </c>
      <c r="I1673" s="6" t="s">
        <v>663</v>
      </c>
      <c r="J1673" s="4"/>
      <c r="K1673" s="1" t="s">
        <v>987</v>
      </c>
    </row>
    <row r="1674" spans="1:11" hidden="1">
      <c r="A1674" s="134"/>
      <c r="I1674"/>
      <c r="J1674" s="4"/>
      <c r="K1674" s="5" t="s">
        <v>1609</v>
      </c>
    </row>
    <row r="1675" spans="1:11" hidden="1">
      <c r="A1675" s="134"/>
      <c r="H1675" s="102" t="s">
        <v>1674</v>
      </c>
      <c r="I1675"/>
      <c r="J1675" s="4"/>
      <c r="K1675" s="8" t="e">
        <f>SUM(K1669:K1673)</f>
        <v>#REF!</v>
      </c>
    </row>
    <row r="1676" spans="1:11" hidden="1">
      <c r="A1676" s="134"/>
      <c r="I1676"/>
      <c r="J1676" s="4"/>
      <c r="K1676" s="5" t="s">
        <v>1609</v>
      </c>
    </row>
    <row r="1677" spans="1:11" hidden="1">
      <c r="A1677" s="134"/>
      <c r="H1677" s="102" t="s">
        <v>1675</v>
      </c>
      <c r="I1677"/>
      <c r="J1677" s="4"/>
      <c r="K1677" s="8" t="e">
        <f>K1675/9</f>
        <v>#REF!</v>
      </c>
    </row>
    <row r="1678" spans="1:11" hidden="1">
      <c r="A1678" s="134"/>
      <c r="I1678"/>
      <c r="J1678" s="4"/>
      <c r="K1678" s="5" t="s">
        <v>2080</v>
      </c>
    </row>
    <row r="1679" spans="1:11" hidden="1">
      <c r="A1679" s="134"/>
      <c r="F1679" s="102" t="s">
        <v>1425</v>
      </c>
      <c r="H1679" s="86" t="s">
        <v>470</v>
      </c>
      <c r="I1679"/>
      <c r="J1679" s="4"/>
      <c r="K1679"/>
    </row>
    <row r="1680" spans="1:11" hidden="1">
      <c r="A1680" s="134"/>
      <c r="H1680" s="89" t="s">
        <v>1609</v>
      </c>
      <c r="I1680"/>
      <c r="J1680" s="4"/>
      <c r="K1680"/>
    </row>
    <row r="1681" spans="1:11" hidden="1">
      <c r="A1681" s="134"/>
      <c r="F1681" s="91">
        <v>4.32</v>
      </c>
      <c r="G1681" s="90" t="s">
        <v>878</v>
      </c>
      <c r="H1681" s="86" t="s">
        <v>357</v>
      </c>
      <c r="I1681" s="8">
        <f>C61</f>
        <v>25</v>
      </c>
      <c r="J1681" s="2" t="s">
        <v>878</v>
      </c>
      <c r="K1681" s="8">
        <f t="shared" ref="K1681:K1688" si="62">(F1681*I1681)</f>
        <v>108</v>
      </c>
    </row>
    <row r="1682" spans="1:11" hidden="1">
      <c r="A1682" s="134"/>
      <c r="F1682" s="91">
        <v>1.44</v>
      </c>
      <c r="G1682" s="90" t="s">
        <v>878</v>
      </c>
      <c r="H1682" s="86" t="s">
        <v>471</v>
      </c>
      <c r="I1682" s="8">
        <v>60.5</v>
      </c>
      <c r="J1682" s="2" t="s">
        <v>878</v>
      </c>
      <c r="K1682" s="8">
        <f t="shared" si="62"/>
        <v>87.12</v>
      </c>
    </row>
    <row r="1683" spans="1:11" hidden="1">
      <c r="A1683" s="134"/>
      <c r="F1683" s="91">
        <v>1.44</v>
      </c>
      <c r="G1683" s="90" t="s">
        <v>878</v>
      </c>
      <c r="H1683" s="86" t="s">
        <v>472</v>
      </c>
      <c r="I1683" s="8">
        <f>C35</f>
        <v>169</v>
      </c>
      <c r="J1683" s="2" t="s">
        <v>878</v>
      </c>
      <c r="K1683" s="8">
        <f t="shared" si="62"/>
        <v>243.36</v>
      </c>
    </row>
    <row r="1684" spans="1:11" hidden="1">
      <c r="A1684" s="134"/>
      <c r="F1684" s="91">
        <v>1.44</v>
      </c>
      <c r="G1684" s="90" t="s">
        <v>878</v>
      </c>
      <c r="H1684" s="86" t="s">
        <v>473</v>
      </c>
      <c r="I1684" s="8" t="e">
        <f>C78</f>
        <v>#REF!</v>
      </c>
      <c r="J1684" s="2" t="s">
        <v>878</v>
      </c>
      <c r="K1684" s="8" t="e">
        <f t="shared" si="62"/>
        <v>#REF!</v>
      </c>
    </row>
    <row r="1685" spans="1:11" hidden="1">
      <c r="A1685" s="134"/>
      <c r="F1685" s="91">
        <v>2.88</v>
      </c>
      <c r="G1685" s="90" t="s">
        <v>878</v>
      </c>
      <c r="H1685" s="86" t="s">
        <v>474</v>
      </c>
      <c r="I1685" s="8">
        <v>10</v>
      </c>
      <c r="J1685" s="2" t="s">
        <v>878</v>
      </c>
      <c r="K1685" s="8">
        <f t="shared" si="62"/>
        <v>28.8</v>
      </c>
    </row>
    <row r="1686" spans="1:11" hidden="1">
      <c r="A1686" s="134"/>
      <c r="F1686" s="91">
        <v>20</v>
      </c>
      <c r="G1686" s="90" t="s">
        <v>258</v>
      </c>
      <c r="H1686" s="86" t="s">
        <v>1649</v>
      </c>
      <c r="I1686" s="8">
        <v>40</v>
      </c>
      <c r="J1686" s="2" t="s">
        <v>258</v>
      </c>
      <c r="K1686" s="8">
        <f t="shared" si="62"/>
        <v>800</v>
      </c>
    </row>
    <row r="1687" spans="1:11" hidden="1">
      <c r="A1687" s="134"/>
      <c r="F1687" s="91">
        <v>42</v>
      </c>
      <c r="G1687" s="90" t="s">
        <v>2221</v>
      </c>
      <c r="H1687" s="86" t="s">
        <v>3171</v>
      </c>
      <c r="I1687" s="8">
        <v>10</v>
      </c>
      <c r="J1687" s="2" t="s">
        <v>2221</v>
      </c>
      <c r="K1687" s="8">
        <f t="shared" si="62"/>
        <v>420</v>
      </c>
    </row>
    <row r="1688" spans="1:11" hidden="1">
      <c r="A1688" s="134"/>
      <c r="F1688" s="91">
        <v>4.32</v>
      </c>
      <c r="G1688" s="90" t="s">
        <v>878</v>
      </c>
      <c r="H1688" s="86" t="s">
        <v>1641</v>
      </c>
      <c r="I1688" s="8">
        <f>C27</f>
        <v>7.8</v>
      </c>
      <c r="J1688" s="2" t="s">
        <v>878</v>
      </c>
      <c r="K1688" s="8">
        <f t="shared" si="62"/>
        <v>33.700000000000003</v>
      </c>
    </row>
    <row r="1689" spans="1:11" hidden="1">
      <c r="A1689" s="134"/>
      <c r="F1689" s="102" t="s">
        <v>741</v>
      </c>
      <c r="H1689" s="86" t="s">
        <v>1034</v>
      </c>
      <c r="I1689"/>
      <c r="J1689" s="4"/>
      <c r="K1689" s="8">
        <v>2000</v>
      </c>
    </row>
    <row r="1690" spans="1:11" hidden="1">
      <c r="A1690" s="134"/>
      <c r="I1690"/>
      <c r="J1690" s="4"/>
      <c r="K1690" s="5" t="s">
        <v>1609</v>
      </c>
    </row>
    <row r="1691" spans="1:11" hidden="1">
      <c r="A1691" s="134"/>
      <c r="H1691" s="86" t="s">
        <v>1035</v>
      </c>
      <c r="I1691"/>
      <c r="J1691" s="4"/>
      <c r="K1691" s="8" t="e">
        <f>SUM(K1681:K1689)</f>
        <v>#REF!</v>
      </c>
    </row>
    <row r="1692" spans="1:11" hidden="1">
      <c r="A1692" s="134"/>
      <c r="I1692"/>
      <c r="J1692" s="4"/>
      <c r="K1692" s="5" t="s">
        <v>1609</v>
      </c>
    </row>
    <row r="1693" spans="1:11" hidden="1">
      <c r="A1693" s="134"/>
      <c r="H1693" s="86" t="s">
        <v>1421</v>
      </c>
      <c r="I1693"/>
      <c r="J1693" s="4"/>
      <c r="K1693" s="8" t="e">
        <f>K1691/20</f>
        <v>#REF!</v>
      </c>
    </row>
    <row r="1694" spans="1:11" hidden="1">
      <c r="A1694" s="134"/>
      <c r="I1694"/>
      <c r="J1694" s="4"/>
      <c r="K1694" s="5" t="s">
        <v>2080</v>
      </c>
    </row>
    <row r="1695" spans="1:11" hidden="1">
      <c r="A1695" s="134"/>
      <c r="I1695"/>
      <c r="J1695" s="4"/>
      <c r="K1695"/>
    </row>
    <row r="1696" spans="1:11" hidden="1">
      <c r="A1696" s="134"/>
      <c r="F1696" s="102" t="s">
        <v>1036</v>
      </c>
      <c r="H1696" s="86" t="s">
        <v>1336</v>
      </c>
      <c r="I1696"/>
      <c r="J1696" s="4"/>
      <c r="K1696"/>
    </row>
    <row r="1697" spans="1:11" hidden="1">
      <c r="A1697" s="134"/>
      <c r="H1697" s="89" t="s">
        <v>1609</v>
      </c>
      <c r="I1697"/>
      <c r="J1697" s="4"/>
      <c r="K1697"/>
    </row>
    <row r="1698" spans="1:11" hidden="1">
      <c r="A1698" s="134"/>
      <c r="F1698" s="91">
        <v>0.1</v>
      </c>
      <c r="G1698" s="90" t="s">
        <v>878</v>
      </c>
      <c r="H1698" s="86" t="s">
        <v>357</v>
      </c>
      <c r="I1698" s="8">
        <f>K90</f>
        <v>50</v>
      </c>
      <c r="J1698" s="2" t="s">
        <v>878</v>
      </c>
      <c r="K1698" s="8">
        <f t="shared" ref="K1698:K1703" si="63">(F1698*I1698)</f>
        <v>5</v>
      </c>
    </row>
    <row r="1699" spans="1:11" hidden="1">
      <c r="A1699" s="134"/>
      <c r="F1699" s="91">
        <v>6.3</v>
      </c>
      <c r="G1699" s="90" t="s">
        <v>2221</v>
      </c>
      <c r="H1699" s="86" t="s">
        <v>641</v>
      </c>
      <c r="I1699" s="36">
        <v>21</v>
      </c>
      <c r="J1699" s="2" t="s">
        <v>2221</v>
      </c>
      <c r="K1699" s="8">
        <f t="shared" si="63"/>
        <v>132.30000000000001</v>
      </c>
    </row>
    <row r="1700" spans="1:11" hidden="1">
      <c r="A1700" s="134"/>
      <c r="F1700" s="91">
        <v>6.3</v>
      </c>
      <c r="G1700" s="90" t="s">
        <v>2221</v>
      </c>
      <c r="H1700" s="86" t="s">
        <v>3171</v>
      </c>
      <c r="I1700" s="8">
        <v>10</v>
      </c>
      <c r="J1700" s="2" t="s">
        <v>2221</v>
      </c>
      <c r="K1700" s="8">
        <f t="shared" si="63"/>
        <v>63</v>
      </c>
    </row>
    <row r="1701" spans="1:11" hidden="1">
      <c r="A1701" s="134"/>
      <c r="F1701" s="91">
        <v>3.15</v>
      </c>
      <c r="G1701" s="90" t="s">
        <v>236</v>
      </c>
      <c r="H1701" s="86" t="s">
        <v>642</v>
      </c>
      <c r="I1701" s="36">
        <v>22.6</v>
      </c>
      <c r="J1701" s="2" t="s">
        <v>236</v>
      </c>
      <c r="K1701" s="8">
        <f t="shared" si="63"/>
        <v>71.19</v>
      </c>
    </row>
    <row r="1702" spans="1:11" hidden="1">
      <c r="A1702" s="134"/>
      <c r="F1702" s="91">
        <v>0.25</v>
      </c>
      <c r="G1702" s="90" t="s">
        <v>1785</v>
      </c>
      <c r="H1702" s="86" t="s">
        <v>643</v>
      </c>
      <c r="I1702" s="8">
        <f>D16</f>
        <v>135</v>
      </c>
      <c r="J1702" s="2" t="s">
        <v>1785</v>
      </c>
      <c r="K1702" s="8">
        <f t="shared" si="63"/>
        <v>33.75</v>
      </c>
    </row>
    <row r="1703" spans="1:11" hidden="1">
      <c r="A1703" s="134"/>
      <c r="F1703" s="91">
        <v>0.2</v>
      </c>
      <c r="G1703" s="90" t="s">
        <v>1785</v>
      </c>
      <c r="H1703" s="86" t="s">
        <v>644</v>
      </c>
      <c r="I1703" s="8">
        <f>C17</f>
        <v>130</v>
      </c>
      <c r="J1703" s="2" t="s">
        <v>1785</v>
      </c>
      <c r="K1703" s="8">
        <f t="shared" si="63"/>
        <v>26</v>
      </c>
    </row>
    <row r="1704" spans="1:11" hidden="1">
      <c r="A1704" s="134"/>
      <c r="H1704" s="86" t="s">
        <v>509</v>
      </c>
      <c r="I1704" s="1" t="s">
        <v>987</v>
      </c>
      <c r="J1704" s="2" t="s">
        <v>987</v>
      </c>
      <c r="K1704" s="8">
        <v>0</v>
      </c>
    </row>
    <row r="1705" spans="1:11" hidden="1">
      <c r="A1705" s="134"/>
      <c r="I1705"/>
      <c r="J1705" s="2" t="s">
        <v>987</v>
      </c>
      <c r="K1705" s="5" t="s">
        <v>1609</v>
      </c>
    </row>
    <row r="1706" spans="1:11" hidden="1">
      <c r="A1706" s="134"/>
      <c r="F1706" s="86" t="s">
        <v>987</v>
      </c>
      <c r="G1706" s="90" t="s">
        <v>987</v>
      </c>
      <c r="H1706" s="86" t="s">
        <v>1421</v>
      </c>
      <c r="I1706"/>
      <c r="J1706" s="4"/>
      <c r="K1706" s="8">
        <f>SUM(K1698:K1704)</f>
        <v>331.24</v>
      </c>
    </row>
    <row r="1707" spans="1:11" hidden="1">
      <c r="A1707" s="134"/>
      <c r="H1707" s="86" t="s">
        <v>987</v>
      </c>
      <c r="I1707"/>
      <c r="J1707" s="4"/>
      <c r="K1707" s="5" t="s">
        <v>1609</v>
      </c>
    </row>
    <row r="1708" spans="1:11" hidden="1">
      <c r="A1708" s="134"/>
      <c r="I1708"/>
      <c r="J1708" s="4"/>
      <c r="K1708" s="5"/>
    </row>
    <row r="1709" spans="1:11" hidden="1">
      <c r="A1709" s="134"/>
      <c r="F1709" s="102" t="s">
        <v>597</v>
      </c>
      <c r="H1709" s="86" t="s">
        <v>940</v>
      </c>
      <c r="I1709"/>
      <c r="J1709" s="4"/>
      <c r="K1709"/>
    </row>
    <row r="1710" spans="1:11" hidden="1">
      <c r="A1710" s="134"/>
      <c r="H1710" s="89" t="s">
        <v>1609</v>
      </c>
      <c r="I1710"/>
      <c r="J1710" s="4"/>
      <c r="K1710"/>
    </row>
    <row r="1711" spans="1:11" hidden="1">
      <c r="A1711" s="134"/>
      <c r="F1711" s="122">
        <v>0.48599999999999999</v>
      </c>
      <c r="G1711" s="90" t="s">
        <v>1361</v>
      </c>
      <c r="H1711" s="86" t="s">
        <v>357</v>
      </c>
      <c r="I1711" s="8">
        <f>C61</f>
        <v>25</v>
      </c>
      <c r="J1711" s="2" t="s">
        <v>1361</v>
      </c>
      <c r="K1711" s="8">
        <f t="shared" ref="K1711:K1717" si="64">(F1711*I1711)</f>
        <v>12.15</v>
      </c>
    </row>
    <row r="1712" spans="1:11" hidden="1">
      <c r="A1712" s="134"/>
      <c r="F1712" s="122">
        <v>0.48599999999999999</v>
      </c>
      <c r="G1712" s="90" t="s">
        <v>1361</v>
      </c>
      <c r="H1712" s="86" t="s">
        <v>358</v>
      </c>
      <c r="I1712" s="8" t="e">
        <f>K203</f>
        <v>#REF!</v>
      </c>
      <c r="J1712" s="2" t="s">
        <v>1361</v>
      </c>
      <c r="K1712" s="8" t="e">
        <f t="shared" si="64"/>
        <v>#REF!</v>
      </c>
    </row>
    <row r="1713" spans="1:11" hidden="1">
      <c r="A1713" s="134"/>
      <c r="F1713" s="91">
        <v>81.75</v>
      </c>
      <c r="G1713" s="90" t="s">
        <v>359</v>
      </c>
      <c r="H1713" s="86" t="s">
        <v>360</v>
      </c>
      <c r="I1713" s="8">
        <v>30</v>
      </c>
      <c r="J1713" s="2" t="s">
        <v>359</v>
      </c>
      <c r="K1713" s="8">
        <f t="shared" si="64"/>
        <v>2452.5</v>
      </c>
    </row>
    <row r="1714" spans="1:11" hidden="1">
      <c r="A1714" s="134"/>
      <c r="F1714" s="91">
        <v>7.2</v>
      </c>
      <c r="G1714" s="90" t="s">
        <v>359</v>
      </c>
      <c r="H1714" s="86" t="s">
        <v>361</v>
      </c>
      <c r="I1714" s="8">
        <v>30</v>
      </c>
      <c r="J1714" s="2" t="s">
        <v>359</v>
      </c>
      <c r="K1714" s="8">
        <f t="shared" si="64"/>
        <v>216</v>
      </c>
    </row>
    <row r="1715" spans="1:11" hidden="1">
      <c r="A1715" s="134"/>
      <c r="F1715" s="91">
        <v>43.68</v>
      </c>
      <c r="G1715" s="90" t="s">
        <v>359</v>
      </c>
      <c r="H1715" s="86" t="s">
        <v>1578</v>
      </c>
      <c r="I1715" s="8">
        <f>I1713</f>
        <v>30</v>
      </c>
      <c r="J1715" s="2" t="s">
        <v>359</v>
      </c>
      <c r="K1715" s="8">
        <f t="shared" si="64"/>
        <v>1310.4000000000001</v>
      </c>
    </row>
    <row r="1716" spans="1:11" hidden="1">
      <c r="A1716" s="134"/>
      <c r="F1716" s="91">
        <v>132.63</v>
      </c>
      <c r="G1716" s="90" t="s">
        <v>359</v>
      </c>
      <c r="H1716" s="86" t="s">
        <v>1579</v>
      </c>
      <c r="I1716" s="36">
        <v>12.3</v>
      </c>
      <c r="J1716" s="2" t="s">
        <v>359</v>
      </c>
      <c r="K1716" s="8">
        <f t="shared" si="64"/>
        <v>1631.35</v>
      </c>
    </row>
    <row r="1717" spans="1:11" hidden="1">
      <c r="A1717" s="134"/>
      <c r="F1717" s="91">
        <v>2.2000000000000002</v>
      </c>
      <c r="G1717" s="90" t="s">
        <v>236</v>
      </c>
      <c r="H1717" s="86" t="s">
        <v>2446</v>
      </c>
      <c r="I1717" s="8">
        <v>360</v>
      </c>
      <c r="J1717" s="2" t="s">
        <v>236</v>
      </c>
      <c r="K1717" s="8">
        <f t="shared" si="64"/>
        <v>792</v>
      </c>
    </row>
    <row r="1718" spans="1:11" hidden="1">
      <c r="A1718" s="134"/>
      <c r="F1718" s="92" t="s">
        <v>663</v>
      </c>
      <c r="H1718" s="86" t="s">
        <v>1580</v>
      </c>
      <c r="I1718" s="6" t="s">
        <v>663</v>
      </c>
      <c r="J1718" s="4"/>
      <c r="K1718" s="8">
        <v>250</v>
      </c>
    </row>
    <row r="1719" spans="1:11" hidden="1">
      <c r="A1719" s="134"/>
      <c r="F1719" s="92" t="s">
        <v>663</v>
      </c>
      <c r="H1719" s="86" t="s">
        <v>1420</v>
      </c>
      <c r="I1719" s="6" t="s">
        <v>663</v>
      </c>
      <c r="J1719" s="4"/>
      <c r="K1719" s="8">
        <v>20</v>
      </c>
    </row>
    <row r="1720" spans="1:11" hidden="1">
      <c r="A1720" s="134"/>
      <c r="I1720"/>
      <c r="J1720" s="4"/>
      <c r="K1720" s="5" t="s">
        <v>1609</v>
      </c>
    </row>
    <row r="1721" spans="1:11" hidden="1">
      <c r="A1721" s="134"/>
      <c r="I1721"/>
      <c r="J1721" s="4"/>
      <c r="K1721" s="8" t="e">
        <f>SUM(K1711:K1720)</f>
        <v>#REF!</v>
      </c>
    </row>
    <row r="1722" spans="1:11" hidden="1">
      <c r="A1722" s="134"/>
      <c r="I1722"/>
      <c r="J1722" s="4"/>
      <c r="K1722" s="5" t="s">
        <v>1609</v>
      </c>
    </row>
    <row r="1723" spans="1:11" hidden="1">
      <c r="A1723" s="134"/>
      <c r="I1723"/>
      <c r="J1723" s="4"/>
      <c r="K1723" s="5"/>
    </row>
    <row r="1724" spans="1:11" hidden="1">
      <c r="A1724" s="134"/>
      <c r="F1724" s="108">
        <v>86</v>
      </c>
      <c r="H1724" s="86" t="s">
        <v>2084</v>
      </c>
      <c r="I1724"/>
      <c r="J1724" s="4"/>
      <c r="K1724" s="8">
        <f>C777</f>
        <v>30</v>
      </c>
    </row>
    <row r="1725" spans="1:11" hidden="1">
      <c r="A1725" s="134"/>
      <c r="F1725" s="112"/>
      <c r="H1725" s="86"/>
      <c r="I1725"/>
      <c r="J1725" s="4"/>
      <c r="K1725" s="8"/>
    </row>
    <row r="1726" spans="1:11" hidden="1">
      <c r="A1726" s="134"/>
      <c r="F1726" s="102" t="s">
        <v>1676</v>
      </c>
      <c r="H1726" s="86" t="s">
        <v>2300</v>
      </c>
      <c r="I1726"/>
      <c r="J1726" s="4"/>
      <c r="K1726" s="1">
        <v>3135</v>
      </c>
    </row>
    <row r="1727" spans="1:11" hidden="1">
      <c r="A1727" s="134"/>
      <c r="H1727" s="86" t="s">
        <v>2301</v>
      </c>
      <c r="I1727"/>
      <c r="J1727" s="4"/>
      <c r="K1727">
        <f>K1726</f>
        <v>3135</v>
      </c>
    </row>
    <row r="1728" spans="1:11" hidden="1">
      <c r="A1728" s="134"/>
      <c r="F1728" s="86" t="s">
        <v>987</v>
      </c>
      <c r="I1728"/>
      <c r="J1728" s="4"/>
      <c r="K1728"/>
    </row>
    <row r="1729" spans="1:11" hidden="1">
      <c r="A1729" s="134"/>
      <c r="F1729" s="112"/>
      <c r="G1729" s="90" t="s">
        <v>2276</v>
      </c>
      <c r="H1729" s="86" t="s">
        <v>2072</v>
      </c>
      <c r="I1729"/>
      <c r="J1729" s="4"/>
      <c r="K1729"/>
    </row>
    <row r="1730" spans="1:11" hidden="1">
      <c r="A1730" s="134"/>
      <c r="H1730" s="86" t="s">
        <v>2302</v>
      </c>
      <c r="I1730"/>
      <c r="J1730" s="4"/>
      <c r="K1730"/>
    </row>
    <row r="1731" spans="1:11" hidden="1">
      <c r="A1731" s="134"/>
      <c r="H1731" s="86" t="s">
        <v>960</v>
      </c>
      <c r="I1731"/>
      <c r="J1731" s="4"/>
      <c r="K1731"/>
    </row>
    <row r="1732" spans="1:11" hidden="1">
      <c r="A1732" s="134"/>
      <c r="H1732" s="89" t="s">
        <v>1609</v>
      </c>
      <c r="I1732"/>
      <c r="J1732" s="4"/>
      <c r="K1732"/>
    </row>
    <row r="1733" spans="1:11" hidden="1">
      <c r="A1733" s="134"/>
      <c r="G1733" s="90" t="s">
        <v>2303</v>
      </c>
      <c r="H1733" s="86" t="s">
        <v>960</v>
      </c>
      <c r="I1733"/>
      <c r="J1733" s="4"/>
      <c r="K1733" s="1" t="s">
        <v>1473</v>
      </c>
    </row>
    <row r="1734" spans="1:11" hidden="1">
      <c r="A1734" s="134"/>
      <c r="H1734" s="89" t="s">
        <v>1609</v>
      </c>
      <c r="I1734"/>
      <c r="J1734" s="4"/>
      <c r="K1734" s="5" t="s">
        <v>2080</v>
      </c>
    </row>
    <row r="1735" spans="1:11" hidden="1">
      <c r="A1735" s="134"/>
      <c r="F1735" s="91">
        <v>30</v>
      </c>
      <c r="G1735" s="90" t="s">
        <v>1796</v>
      </c>
      <c r="H1735" s="86" t="s">
        <v>1689</v>
      </c>
      <c r="I1735" s="8">
        <f>(C639)</f>
        <v>3</v>
      </c>
      <c r="J1735" s="2" t="s">
        <v>1796</v>
      </c>
      <c r="K1735" s="8">
        <f>(F1735*I1735)</f>
        <v>90</v>
      </c>
    </row>
    <row r="1736" spans="1:11" hidden="1">
      <c r="A1736" s="134"/>
      <c r="F1736" s="86" t="s">
        <v>987</v>
      </c>
      <c r="H1736" s="86" t="s">
        <v>1692</v>
      </c>
      <c r="I1736" s="1" t="s">
        <v>987</v>
      </c>
      <c r="J1736" s="4"/>
      <c r="K1736" s="1" t="s">
        <v>987</v>
      </c>
    </row>
    <row r="1737" spans="1:11" hidden="1">
      <c r="A1737" s="134"/>
      <c r="F1737" s="91">
        <v>8</v>
      </c>
      <c r="G1737" s="90" t="s">
        <v>877</v>
      </c>
      <c r="H1737" s="86" t="s">
        <v>2168</v>
      </c>
      <c r="I1737" s="8">
        <f>(C641)</f>
        <v>2.2000000000000002</v>
      </c>
      <c r="J1737" s="2" t="s">
        <v>877</v>
      </c>
      <c r="K1737" s="8">
        <f t="shared" ref="K1737:K1742" si="65">(F1737*I1737)</f>
        <v>17.600000000000001</v>
      </c>
    </row>
    <row r="1738" spans="1:11" hidden="1">
      <c r="A1738" s="134"/>
      <c r="F1738" s="91">
        <v>8</v>
      </c>
      <c r="G1738" s="90" t="s">
        <v>877</v>
      </c>
      <c r="H1738" s="86" t="s">
        <v>468</v>
      </c>
      <c r="I1738" s="8">
        <f>(C642)</f>
        <v>3.2</v>
      </c>
      <c r="J1738" s="2" t="s">
        <v>877</v>
      </c>
      <c r="K1738" s="8">
        <f t="shared" si="65"/>
        <v>25.6</v>
      </c>
    </row>
    <row r="1739" spans="1:11" hidden="1">
      <c r="A1739" s="134"/>
      <c r="F1739" s="91">
        <v>3</v>
      </c>
      <c r="G1739" s="90" t="s">
        <v>877</v>
      </c>
      <c r="H1739" s="86" t="s">
        <v>1870</v>
      </c>
      <c r="I1739" s="8">
        <f>(C41)</f>
        <v>110</v>
      </c>
      <c r="J1739" s="2" t="s">
        <v>877</v>
      </c>
      <c r="K1739" s="8">
        <f t="shared" si="65"/>
        <v>330</v>
      </c>
    </row>
    <row r="1740" spans="1:11" hidden="1">
      <c r="A1740" s="134"/>
      <c r="F1740" s="91">
        <v>1</v>
      </c>
      <c r="G1740" s="90" t="s">
        <v>877</v>
      </c>
      <c r="H1740" s="86" t="s">
        <v>1400</v>
      </c>
      <c r="I1740" s="8">
        <f>(C10)</f>
        <v>150</v>
      </c>
      <c r="J1740" s="2" t="s">
        <v>877</v>
      </c>
      <c r="K1740" s="8">
        <f t="shared" si="65"/>
        <v>150</v>
      </c>
    </row>
    <row r="1741" spans="1:11" hidden="1">
      <c r="A1741" s="134"/>
      <c r="F1741" s="91">
        <v>2</v>
      </c>
      <c r="G1741" s="90" t="s">
        <v>877</v>
      </c>
      <c r="H1741" s="86" t="s">
        <v>1927</v>
      </c>
      <c r="I1741" s="8">
        <f>(C12)</f>
        <v>95</v>
      </c>
      <c r="J1741" s="2" t="s">
        <v>877</v>
      </c>
      <c r="K1741" s="8">
        <f t="shared" si="65"/>
        <v>190</v>
      </c>
    </row>
    <row r="1742" spans="1:11" hidden="1">
      <c r="A1742" s="134"/>
      <c r="F1742" s="91">
        <v>1</v>
      </c>
      <c r="G1742" s="90" t="s">
        <v>877</v>
      </c>
      <c r="H1742" s="86" t="s">
        <v>321</v>
      </c>
      <c r="I1742" s="8">
        <f>(C13)</f>
        <v>85</v>
      </c>
      <c r="J1742" s="2" t="s">
        <v>877</v>
      </c>
      <c r="K1742" s="8">
        <f t="shared" si="65"/>
        <v>85</v>
      </c>
    </row>
    <row r="1743" spans="1:11" hidden="1">
      <c r="A1743" s="134"/>
      <c r="G1743" s="90" t="s">
        <v>450</v>
      </c>
      <c r="H1743" s="86" t="s">
        <v>1401</v>
      </c>
      <c r="I1743" s="1" t="s">
        <v>987</v>
      </c>
      <c r="J1743" s="2" t="s">
        <v>450</v>
      </c>
      <c r="K1743" s="8">
        <v>5</v>
      </c>
    </row>
    <row r="1744" spans="1:11" hidden="1">
      <c r="A1744" s="134"/>
      <c r="H1744" s="86" t="s">
        <v>942</v>
      </c>
      <c r="I1744" s="1" t="s">
        <v>987</v>
      </c>
      <c r="J1744" s="4"/>
      <c r="K1744" s="1" t="s">
        <v>987</v>
      </c>
    </row>
    <row r="1745" spans="1:11" hidden="1">
      <c r="A1745" s="134"/>
      <c r="G1745" s="90" t="s">
        <v>450</v>
      </c>
      <c r="H1745" s="86" t="s">
        <v>451</v>
      </c>
      <c r="I1745"/>
      <c r="J1745" s="2" t="s">
        <v>450</v>
      </c>
      <c r="K1745" s="8">
        <v>0</v>
      </c>
    </row>
    <row r="1746" spans="1:11" hidden="1">
      <c r="A1746" s="134"/>
      <c r="I1746"/>
      <c r="J1746" s="4"/>
      <c r="K1746" s="5" t="s">
        <v>1609</v>
      </c>
    </row>
    <row r="1747" spans="1:11" hidden="1">
      <c r="A1747" s="134"/>
      <c r="H1747" s="86" t="s">
        <v>1875</v>
      </c>
      <c r="I1747"/>
      <c r="J1747" s="4"/>
      <c r="K1747" s="8">
        <f>SUM(K1735:K1745)</f>
        <v>893.2</v>
      </c>
    </row>
    <row r="1748" spans="1:11" hidden="1">
      <c r="A1748" s="134"/>
      <c r="I1748"/>
      <c r="J1748" s="4"/>
      <c r="K1748" s="5" t="s">
        <v>1609</v>
      </c>
    </row>
    <row r="1749" spans="1:11" hidden="1">
      <c r="A1749" s="134"/>
      <c r="H1749" s="86" t="s">
        <v>1567</v>
      </c>
      <c r="I1749"/>
      <c r="J1749" s="4"/>
      <c r="K1749" s="8">
        <f>(K1747/30)</f>
        <v>29.77</v>
      </c>
    </row>
    <row r="1750" spans="1:11" hidden="1">
      <c r="A1750" s="134"/>
      <c r="I1750"/>
      <c r="J1750" s="4"/>
      <c r="K1750" s="5" t="s">
        <v>1609</v>
      </c>
    </row>
    <row r="1751" spans="1:11" hidden="1">
      <c r="A1751" s="134"/>
      <c r="G1751" s="90" t="s">
        <v>522</v>
      </c>
      <c r="H1751" s="86" t="s">
        <v>960</v>
      </c>
      <c r="I1751"/>
      <c r="J1751" s="4"/>
      <c r="K1751" s="1" t="s">
        <v>23</v>
      </c>
    </row>
    <row r="1752" spans="1:11" hidden="1">
      <c r="A1752" s="134"/>
      <c r="H1752" s="89" t="s">
        <v>1609</v>
      </c>
      <c r="I1752"/>
      <c r="J1752" s="4"/>
      <c r="K1752" s="5" t="s">
        <v>2080</v>
      </c>
    </row>
    <row r="1753" spans="1:11" hidden="1">
      <c r="A1753" s="134"/>
      <c r="F1753" s="91">
        <v>30</v>
      </c>
      <c r="G1753" s="90" t="s">
        <v>1796</v>
      </c>
      <c r="H1753" s="86" t="s">
        <v>1689</v>
      </c>
      <c r="I1753" s="8">
        <f>(C639)</f>
        <v>3</v>
      </c>
      <c r="J1753" s="2" t="s">
        <v>1796</v>
      </c>
      <c r="K1753" s="8">
        <f>(F1753*I1753)</f>
        <v>90</v>
      </c>
    </row>
    <row r="1754" spans="1:11" hidden="1">
      <c r="A1754" s="134"/>
      <c r="F1754" s="86" t="s">
        <v>987</v>
      </c>
      <c r="H1754" s="86" t="s">
        <v>1692</v>
      </c>
      <c r="I1754" s="1" t="s">
        <v>987</v>
      </c>
      <c r="J1754" s="4"/>
      <c r="K1754" s="1" t="s">
        <v>987</v>
      </c>
    </row>
    <row r="1755" spans="1:11" hidden="1">
      <c r="A1755" s="134"/>
      <c r="F1755" s="91">
        <v>8</v>
      </c>
      <c r="G1755" s="90" t="s">
        <v>877</v>
      </c>
      <c r="H1755" s="86" t="s">
        <v>2168</v>
      </c>
      <c r="I1755" s="8">
        <f>(C641)</f>
        <v>2.2000000000000002</v>
      </c>
      <c r="J1755" s="2" t="s">
        <v>877</v>
      </c>
      <c r="K1755" s="8">
        <f t="shared" ref="K1755:K1760" si="66">(F1755*I1755)</f>
        <v>17.600000000000001</v>
      </c>
    </row>
    <row r="1756" spans="1:11" hidden="1">
      <c r="A1756" s="134"/>
      <c r="F1756" s="91">
        <v>8</v>
      </c>
      <c r="G1756" s="90" t="s">
        <v>877</v>
      </c>
      <c r="H1756" s="86" t="s">
        <v>468</v>
      </c>
      <c r="I1756" s="8">
        <f>(D642)</f>
        <v>3.2</v>
      </c>
      <c r="J1756" s="2" t="s">
        <v>877</v>
      </c>
      <c r="K1756" s="8">
        <f t="shared" si="66"/>
        <v>25.6</v>
      </c>
    </row>
    <row r="1757" spans="1:11" hidden="1">
      <c r="A1757" s="134"/>
      <c r="F1757" s="91">
        <v>3</v>
      </c>
      <c r="G1757" s="90" t="s">
        <v>877</v>
      </c>
      <c r="H1757" s="86" t="s">
        <v>1870</v>
      </c>
      <c r="I1757" s="8">
        <f>(C41)</f>
        <v>110</v>
      </c>
      <c r="J1757" s="2" t="s">
        <v>877</v>
      </c>
      <c r="K1757" s="8">
        <f t="shared" si="66"/>
        <v>330</v>
      </c>
    </row>
    <row r="1758" spans="1:11" hidden="1">
      <c r="A1758" s="134"/>
      <c r="F1758" s="91">
        <v>1</v>
      </c>
      <c r="G1758" s="90" t="s">
        <v>877</v>
      </c>
      <c r="H1758" s="86" t="s">
        <v>1400</v>
      </c>
      <c r="I1758" s="8">
        <f>(C10)</f>
        <v>150</v>
      </c>
      <c r="J1758" s="2" t="s">
        <v>877</v>
      </c>
      <c r="K1758" s="8">
        <f t="shared" si="66"/>
        <v>150</v>
      </c>
    </row>
    <row r="1759" spans="1:11" hidden="1">
      <c r="A1759" s="134"/>
      <c r="F1759" s="91">
        <v>2</v>
      </c>
      <c r="G1759" s="90" t="s">
        <v>877</v>
      </c>
      <c r="H1759" s="86" t="s">
        <v>1927</v>
      </c>
      <c r="I1759" s="8">
        <f>(C12)</f>
        <v>95</v>
      </c>
      <c r="J1759" s="2" t="s">
        <v>877</v>
      </c>
      <c r="K1759" s="8">
        <f t="shared" si="66"/>
        <v>190</v>
      </c>
    </row>
    <row r="1760" spans="1:11" hidden="1">
      <c r="A1760" s="134"/>
      <c r="F1760" s="91">
        <v>1</v>
      </c>
      <c r="G1760" s="90" t="s">
        <v>877</v>
      </c>
      <c r="H1760" s="86" t="s">
        <v>321</v>
      </c>
      <c r="I1760" s="8">
        <f>(C13)</f>
        <v>85</v>
      </c>
      <c r="J1760" s="2" t="s">
        <v>877</v>
      </c>
      <c r="K1760" s="8">
        <f t="shared" si="66"/>
        <v>85</v>
      </c>
    </row>
    <row r="1761" spans="1:11" hidden="1">
      <c r="A1761" s="134"/>
      <c r="G1761" s="90" t="s">
        <v>450</v>
      </c>
      <c r="H1761" s="86" t="s">
        <v>1401</v>
      </c>
      <c r="I1761" s="1" t="s">
        <v>987</v>
      </c>
      <c r="J1761" s="2" t="s">
        <v>450</v>
      </c>
      <c r="K1761" s="8">
        <v>5</v>
      </c>
    </row>
    <row r="1762" spans="1:11" hidden="1">
      <c r="A1762" s="134"/>
      <c r="H1762" s="86" t="s">
        <v>942</v>
      </c>
      <c r="I1762" s="1" t="s">
        <v>987</v>
      </c>
      <c r="J1762" s="4"/>
      <c r="K1762" s="1" t="s">
        <v>987</v>
      </c>
    </row>
    <row r="1763" spans="1:11" hidden="1">
      <c r="A1763" s="134"/>
      <c r="G1763" s="90" t="s">
        <v>450</v>
      </c>
      <c r="H1763" s="86" t="s">
        <v>451</v>
      </c>
      <c r="I1763"/>
      <c r="J1763" s="2" t="s">
        <v>450</v>
      </c>
      <c r="K1763" s="8">
        <v>0</v>
      </c>
    </row>
    <row r="1764" spans="1:11" hidden="1">
      <c r="A1764" s="134"/>
      <c r="I1764"/>
      <c r="J1764" s="4"/>
      <c r="K1764" s="5" t="s">
        <v>1609</v>
      </c>
    </row>
    <row r="1765" spans="1:11" hidden="1">
      <c r="A1765" s="134"/>
      <c r="H1765" s="86" t="s">
        <v>1875</v>
      </c>
      <c r="I1765"/>
      <c r="J1765" s="4"/>
      <c r="K1765" s="8">
        <f>SUM(K1753:K1763)</f>
        <v>893.2</v>
      </c>
    </row>
    <row r="1766" spans="1:11" hidden="1">
      <c r="A1766" s="134"/>
      <c r="I1766"/>
      <c r="J1766" s="4"/>
      <c r="K1766" s="5" t="s">
        <v>1609</v>
      </c>
    </row>
    <row r="1767" spans="1:11" hidden="1">
      <c r="A1767" s="134"/>
      <c r="H1767" s="86" t="s">
        <v>1567</v>
      </c>
      <c r="I1767"/>
      <c r="J1767" s="4"/>
      <c r="K1767" s="8">
        <f>(K1765/30)</f>
        <v>29.77</v>
      </c>
    </row>
    <row r="1768" spans="1:11" hidden="1">
      <c r="A1768" s="134"/>
      <c r="I1768"/>
      <c r="J1768" s="4"/>
      <c r="K1768" s="5" t="s">
        <v>1609</v>
      </c>
    </row>
    <row r="1769" spans="1:11" hidden="1">
      <c r="A1769" s="134"/>
      <c r="G1769" s="90" t="s">
        <v>1932</v>
      </c>
      <c r="H1769" s="86" t="s">
        <v>960</v>
      </c>
      <c r="I1769"/>
      <c r="J1769" s="4"/>
      <c r="K1769" s="1" t="s">
        <v>24</v>
      </c>
    </row>
    <row r="1770" spans="1:11" hidden="1">
      <c r="A1770" s="134"/>
      <c r="H1770" s="89" t="s">
        <v>1609</v>
      </c>
      <c r="I1770"/>
      <c r="J1770" s="4"/>
      <c r="K1770" s="5" t="s">
        <v>2080</v>
      </c>
    </row>
    <row r="1771" spans="1:11" hidden="1">
      <c r="A1771" s="134"/>
      <c r="F1771" s="91">
        <v>30</v>
      </c>
      <c r="G1771" s="90" t="s">
        <v>1796</v>
      </c>
      <c r="H1771" s="86" t="s">
        <v>1689</v>
      </c>
      <c r="I1771" s="8">
        <f>(C639)</f>
        <v>3</v>
      </c>
      <c r="J1771" s="2" t="s">
        <v>1796</v>
      </c>
      <c r="K1771" s="8">
        <f>(F1771*I1771)</f>
        <v>90</v>
      </c>
    </row>
    <row r="1772" spans="1:11" hidden="1">
      <c r="A1772" s="134"/>
      <c r="F1772" s="86" t="s">
        <v>987</v>
      </c>
      <c r="H1772" s="86" t="s">
        <v>1692</v>
      </c>
      <c r="I1772" s="1" t="s">
        <v>987</v>
      </c>
      <c r="J1772" s="4"/>
      <c r="K1772" s="1" t="s">
        <v>987</v>
      </c>
    </row>
    <row r="1773" spans="1:11" hidden="1">
      <c r="A1773" s="134"/>
      <c r="F1773" s="91">
        <v>8</v>
      </c>
      <c r="G1773" s="90" t="s">
        <v>877</v>
      </c>
      <c r="H1773" s="86" t="s">
        <v>2168</v>
      </c>
      <c r="I1773" s="8">
        <f>(D641)</f>
        <v>2.7</v>
      </c>
      <c r="J1773" s="2" t="s">
        <v>877</v>
      </c>
      <c r="K1773" s="8">
        <f t="shared" ref="K1773:K1778" si="67">(F1773*I1773)</f>
        <v>21.6</v>
      </c>
    </row>
    <row r="1774" spans="1:11" hidden="1">
      <c r="A1774" s="134"/>
      <c r="F1774" s="91">
        <v>8</v>
      </c>
      <c r="G1774" s="90" t="s">
        <v>877</v>
      </c>
      <c r="H1774" s="86" t="s">
        <v>468</v>
      </c>
      <c r="I1774" s="8">
        <f>(C647)</f>
        <v>6.4</v>
      </c>
      <c r="J1774" s="2" t="s">
        <v>877</v>
      </c>
      <c r="K1774" s="8">
        <f t="shared" si="67"/>
        <v>51.2</v>
      </c>
    </row>
    <row r="1775" spans="1:11" hidden="1">
      <c r="A1775" s="134"/>
      <c r="F1775" s="91">
        <v>3</v>
      </c>
      <c r="G1775" s="90" t="s">
        <v>877</v>
      </c>
      <c r="H1775" s="86" t="s">
        <v>1870</v>
      </c>
      <c r="I1775" s="8">
        <f>(C41)</f>
        <v>110</v>
      </c>
      <c r="J1775" s="2" t="s">
        <v>877</v>
      </c>
      <c r="K1775" s="8">
        <f t="shared" si="67"/>
        <v>330</v>
      </c>
    </row>
    <row r="1776" spans="1:11" hidden="1">
      <c r="A1776" s="134"/>
      <c r="F1776" s="91">
        <v>1</v>
      </c>
      <c r="G1776" s="90" t="s">
        <v>877</v>
      </c>
      <c r="H1776" s="86" t="s">
        <v>1400</v>
      </c>
      <c r="I1776" s="8">
        <f>(C10)</f>
        <v>150</v>
      </c>
      <c r="J1776" s="2" t="s">
        <v>877</v>
      </c>
      <c r="K1776" s="8">
        <f t="shared" si="67"/>
        <v>150</v>
      </c>
    </row>
    <row r="1777" spans="1:11" hidden="1">
      <c r="A1777" s="134"/>
      <c r="F1777" s="91">
        <v>2</v>
      </c>
      <c r="G1777" s="90" t="s">
        <v>877</v>
      </c>
      <c r="H1777" s="86" t="s">
        <v>1927</v>
      </c>
      <c r="I1777" s="8">
        <f>(C12)</f>
        <v>95</v>
      </c>
      <c r="J1777" s="2" t="s">
        <v>877</v>
      </c>
      <c r="K1777" s="8">
        <f t="shared" si="67"/>
        <v>190</v>
      </c>
    </row>
    <row r="1778" spans="1:11" hidden="1">
      <c r="A1778" s="134"/>
      <c r="F1778" s="91">
        <v>1</v>
      </c>
      <c r="G1778" s="90" t="s">
        <v>877</v>
      </c>
      <c r="H1778" s="86" t="s">
        <v>321</v>
      </c>
      <c r="I1778" s="8">
        <f>(C13)</f>
        <v>85</v>
      </c>
      <c r="J1778" s="2" t="s">
        <v>877</v>
      </c>
      <c r="K1778" s="8">
        <f t="shared" si="67"/>
        <v>85</v>
      </c>
    </row>
    <row r="1779" spans="1:11" hidden="1">
      <c r="A1779" s="134"/>
      <c r="G1779" s="90" t="s">
        <v>450</v>
      </c>
      <c r="H1779" s="86" t="s">
        <v>1401</v>
      </c>
      <c r="I1779" s="1" t="s">
        <v>987</v>
      </c>
      <c r="J1779" s="2" t="s">
        <v>450</v>
      </c>
      <c r="K1779" s="8">
        <v>5</v>
      </c>
    </row>
    <row r="1780" spans="1:11" hidden="1">
      <c r="A1780" s="134"/>
      <c r="H1780" s="86" t="s">
        <v>942</v>
      </c>
      <c r="I1780" s="1" t="s">
        <v>987</v>
      </c>
      <c r="J1780" s="4"/>
      <c r="K1780" s="1" t="s">
        <v>987</v>
      </c>
    </row>
    <row r="1781" spans="1:11" hidden="1">
      <c r="A1781" s="134"/>
      <c r="G1781" s="90" t="s">
        <v>450</v>
      </c>
      <c r="H1781" s="86" t="s">
        <v>451</v>
      </c>
      <c r="I1781"/>
      <c r="J1781" s="2" t="s">
        <v>450</v>
      </c>
      <c r="K1781" s="8">
        <v>0</v>
      </c>
    </row>
    <row r="1782" spans="1:11" hidden="1">
      <c r="A1782" s="134"/>
      <c r="I1782"/>
      <c r="J1782" s="4"/>
      <c r="K1782" s="5" t="s">
        <v>1609</v>
      </c>
    </row>
    <row r="1783" spans="1:11" hidden="1">
      <c r="A1783" s="134"/>
      <c r="H1783" s="86" t="s">
        <v>1875</v>
      </c>
      <c r="I1783"/>
      <c r="J1783" s="4"/>
      <c r="K1783" s="8">
        <f>SUM(K1771:K1781)</f>
        <v>922.8</v>
      </c>
    </row>
    <row r="1784" spans="1:11" hidden="1">
      <c r="A1784" s="134"/>
      <c r="I1784"/>
      <c r="J1784" s="4"/>
      <c r="K1784" s="5" t="s">
        <v>1609</v>
      </c>
    </row>
    <row r="1785" spans="1:11" hidden="1">
      <c r="A1785" s="134"/>
      <c r="H1785" s="86" t="s">
        <v>1567</v>
      </c>
      <c r="I1785"/>
      <c r="J1785" s="4"/>
      <c r="K1785" s="8">
        <f>(K1783/30)</f>
        <v>30.76</v>
      </c>
    </row>
    <row r="1786" spans="1:11" hidden="1">
      <c r="A1786" s="134"/>
      <c r="I1786"/>
      <c r="J1786" s="4"/>
      <c r="K1786" s="5" t="s">
        <v>1609</v>
      </c>
    </row>
    <row r="1787" spans="1:11" hidden="1">
      <c r="A1787" s="134"/>
      <c r="I1787"/>
      <c r="J1787" s="4"/>
      <c r="K1787"/>
    </row>
    <row r="1788" spans="1:11" hidden="1">
      <c r="A1788" s="134"/>
      <c r="F1788" s="141">
        <v>52</v>
      </c>
      <c r="G1788" s="90" t="s">
        <v>2276</v>
      </c>
      <c r="H1788" s="86" t="s">
        <v>101</v>
      </c>
      <c r="I1788"/>
      <c r="J1788" s="4"/>
      <c r="K1788"/>
    </row>
    <row r="1789" spans="1:11" hidden="1">
      <c r="A1789" s="134"/>
      <c r="H1789" s="86" t="s">
        <v>2194</v>
      </c>
      <c r="I1789"/>
      <c r="J1789" s="4"/>
      <c r="K1789"/>
    </row>
    <row r="1790" spans="1:11" hidden="1">
      <c r="A1790" s="134"/>
      <c r="H1790" s="86" t="s">
        <v>2195</v>
      </c>
      <c r="I1790"/>
      <c r="J1790" s="4"/>
      <c r="K1790"/>
    </row>
    <row r="1791" spans="1:11" hidden="1">
      <c r="A1791" s="134"/>
      <c r="H1791" s="86" t="s">
        <v>1426</v>
      </c>
      <c r="I1791"/>
      <c r="J1791" s="4"/>
      <c r="K1791"/>
    </row>
    <row r="1792" spans="1:11" hidden="1">
      <c r="A1792" s="134"/>
      <c r="H1792" s="86" t="s">
        <v>1427</v>
      </c>
      <c r="I1792"/>
      <c r="J1792" s="4"/>
      <c r="K1792"/>
    </row>
    <row r="1793" spans="1:11" hidden="1">
      <c r="A1793" s="134"/>
      <c r="H1793" s="86" t="s">
        <v>1371</v>
      </c>
      <c r="I1793"/>
      <c r="J1793" s="4"/>
      <c r="K1793"/>
    </row>
    <row r="1794" spans="1:11" hidden="1">
      <c r="A1794" s="134"/>
      <c r="H1794" s="86" t="s">
        <v>1372</v>
      </c>
      <c r="I1794"/>
      <c r="J1794" s="4"/>
      <c r="K1794"/>
    </row>
    <row r="1795" spans="1:11" hidden="1">
      <c r="A1795" s="134"/>
      <c r="H1795" s="86" t="s">
        <v>716</v>
      </c>
      <c r="I1795"/>
      <c r="J1795" s="4"/>
      <c r="K1795"/>
    </row>
    <row r="1796" spans="1:11" hidden="1">
      <c r="A1796" s="134"/>
      <c r="H1796" s="89" t="s">
        <v>2080</v>
      </c>
      <c r="I1796" s="5" t="s">
        <v>2080</v>
      </c>
      <c r="J1796" s="4"/>
      <c r="K1796"/>
    </row>
    <row r="1797" spans="1:11" hidden="1">
      <c r="A1797" s="134"/>
      <c r="G1797" s="90" t="s">
        <v>2276</v>
      </c>
      <c r="H1797" s="86" t="s">
        <v>927</v>
      </c>
      <c r="I1797"/>
      <c r="J1797" s="4"/>
      <c r="K1797"/>
    </row>
    <row r="1798" spans="1:11" hidden="1">
      <c r="A1798" s="134"/>
      <c r="H1798" s="86" t="s">
        <v>815</v>
      </c>
      <c r="I1798"/>
      <c r="J1798" s="4"/>
      <c r="K1798"/>
    </row>
    <row r="1799" spans="1:11" hidden="1">
      <c r="A1799" s="134"/>
      <c r="G1799" s="90" t="s">
        <v>317</v>
      </c>
      <c r="H1799" s="86" t="s">
        <v>816</v>
      </c>
      <c r="I1799"/>
      <c r="J1799" s="4"/>
      <c r="K1799"/>
    </row>
    <row r="1800" spans="1:11" hidden="1">
      <c r="A1800" s="134"/>
      <c r="H1800" s="89" t="s">
        <v>1609</v>
      </c>
      <c r="I1800"/>
      <c r="J1800" s="4"/>
      <c r="K1800"/>
    </row>
    <row r="1801" spans="1:11" hidden="1">
      <c r="A1801" s="134"/>
      <c r="F1801" s="91">
        <v>1</v>
      </c>
      <c r="G1801" s="90" t="s">
        <v>835</v>
      </c>
      <c r="H1801" s="86" t="s">
        <v>624</v>
      </c>
      <c r="I1801" s="8">
        <f>C509</f>
        <v>32.9</v>
      </c>
      <c r="J1801" s="2" t="s">
        <v>835</v>
      </c>
      <c r="K1801" s="8">
        <f>(F1801*I1801)</f>
        <v>32.9</v>
      </c>
    </row>
    <row r="1802" spans="1:11" hidden="1">
      <c r="A1802" s="134"/>
      <c r="F1802" s="91">
        <v>1</v>
      </c>
      <c r="G1802" s="90" t="s">
        <v>450</v>
      </c>
      <c r="H1802" s="86" t="s">
        <v>1826</v>
      </c>
      <c r="I1802" s="8">
        <f>I1801*0.7</f>
        <v>23.03</v>
      </c>
      <c r="J1802" s="2" t="s">
        <v>450</v>
      </c>
      <c r="K1802" s="8">
        <f>(F1802*I1802)</f>
        <v>23.03</v>
      </c>
    </row>
    <row r="1803" spans="1:11" hidden="1">
      <c r="A1803" s="134"/>
      <c r="F1803" s="91">
        <v>1</v>
      </c>
      <c r="G1803" s="90" t="s">
        <v>835</v>
      </c>
      <c r="H1803" s="86" t="s">
        <v>163</v>
      </c>
      <c r="I1803" s="8">
        <f>K1749</f>
        <v>29.77</v>
      </c>
      <c r="J1803" s="2" t="s">
        <v>835</v>
      </c>
      <c r="K1803" s="8">
        <f>(F1803*I1803)</f>
        <v>29.77</v>
      </c>
    </row>
    <row r="1804" spans="1:11" hidden="1">
      <c r="A1804" s="134"/>
      <c r="I1804" s="1" t="s">
        <v>987</v>
      </c>
      <c r="J1804" s="4"/>
      <c r="K1804" s="5" t="s">
        <v>1609</v>
      </c>
    </row>
    <row r="1805" spans="1:11" hidden="1">
      <c r="A1805" s="134"/>
      <c r="H1805" s="86" t="s">
        <v>377</v>
      </c>
      <c r="I1805"/>
      <c r="J1805" s="4"/>
      <c r="K1805" s="8">
        <f>SUM(K1801:K1803)</f>
        <v>85.7</v>
      </c>
    </row>
    <row r="1806" spans="1:11" hidden="1">
      <c r="A1806" s="134"/>
      <c r="H1806" s="86" t="s">
        <v>987</v>
      </c>
      <c r="I1806" s="1" t="s">
        <v>987</v>
      </c>
      <c r="J1806" s="4"/>
      <c r="K1806" s="5" t="s">
        <v>2080</v>
      </c>
    </row>
    <row r="1807" spans="1:11" hidden="1">
      <c r="A1807" s="134"/>
      <c r="G1807" s="90" t="s">
        <v>522</v>
      </c>
      <c r="H1807" s="86" t="s">
        <v>750</v>
      </c>
      <c r="I1807"/>
      <c r="J1807" s="4"/>
      <c r="K1807"/>
    </row>
    <row r="1808" spans="1:11" hidden="1">
      <c r="A1808" s="134"/>
      <c r="H1808" s="89" t="s">
        <v>1609</v>
      </c>
      <c r="I1808"/>
      <c r="J1808" s="4"/>
      <c r="K1808"/>
    </row>
    <row r="1809" spans="1:11" hidden="1">
      <c r="A1809" s="134"/>
      <c r="F1809" s="91">
        <v>1</v>
      </c>
      <c r="G1809" s="90" t="s">
        <v>835</v>
      </c>
      <c r="H1809" s="86" t="s">
        <v>751</v>
      </c>
      <c r="I1809" s="8">
        <f>C510</f>
        <v>48.8</v>
      </c>
      <c r="J1809" s="2" t="s">
        <v>835</v>
      </c>
      <c r="K1809" s="8">
        <f>(F1809*I1809)</f>
        <v>48.8</v>
      </c>
    </row>
    <row r="1810" spans="1:11" hidden="1">
      <c r="A1810" s="134"/>
      <c r="F1810" s="91">
        <v>1</v>
      </c>
      <c r="G1810" s="90" t="s">
        <v>450</v>
      </c>
      <c r="H1810" s="86" t="s">
        <v>902</v>
      </c>
      <c r="I1810" s="8">
        <f>I1809*0.4</f>
        <v>19.52</v>
      </c>
      <c r="J1810" s="2" t="s">
        <v>450</v>
      </c>
      <c r="K1810" s="8">
        <f>(F1810*I1810)</f>
        <v>19.52</v>
      </c>
    </row>
    <row r="1811" spans="1:11" hidden="1">
      <c r="A1811" s="134"/>
      <c r="F1811" s="91">
        <v>1</v>
      </c>
      <c r="G1811" s="90" t="s">
        <v>835</v>
      </c>
      <c r="H1811" s="86" t="s">
        <v>163</v>
      </c>
      <c r="I1811" s="8">
        <f>K1767</f>
        <v>29.77</v>
      </c>
      <c r="J1811" s="2" t="s">
        <v>835</v>
      </c>
      <c r="K1811" s="8">
        <f>(F1811*I1811)</f>
        <v>29.77</v>
      </c>
    </row>
    <row r="1812" spans="1:11" hidden="1">
      <c r="A1812" s="134"/>
      <c r="I1812" s="1" t="s">
        <v>987</v>
      </c>
      <c r="J1812" s="4"/>
      <c r="K1812" s="5" t="s">
        <v>1609</v>
      </c>
    </row>
    <row r="1813" spans="1:11" hidden="1">
      <c r="A1813" s="134"/>
      <c r="H1813" s="86" t="s">
        <v>377</v>
      </c>
      <c r="I1813"/>
      <c r="J1813" s="4"/>
      <c r="K1813" s="8">
        <f>SUM(K1809:K1811)</f>
        <v>98.09</v>
      </c>
    </row>
    <row r="1814" spans="1:11" hidden="1">
      <c r="A1814" s="134"/>
      <c r="I1814" s="1" t="s">
        <v>987</v>
      </c>
      <c r="J1814" s="4"/>
      <c r="K1814" s="5" t="s">
        <v>2080</v>
      </c>
    </row>
    <row r="1815" spans="1:11" hidden="1">
      <c r="A1815" s="134"/>
      <c r="G1815" s="90" t="s">
        <v>1932</v>
      </c>
      <c r="H1815" s="86" t="s">
        <v>375</v>
      </c>
      <c r="I1815"/>
      <c r="J1815" s="4"/>
      <c r="K1815"/>
    </row>
    <row r="1816" spans="1:11" hidden="1">
      <c r="A1816" s="134"/>
      <c r="H1816" s="89" t="s">
        <v>1609</v>
      </c>
      <c r="I1816"/>
      <c r="J1816" s="4"/>
      <c r="K1816"/>
    </row>
    <row r="1817" spans="1:11" hidden="1">
      <c r="A1817" s="134"/>
      <c r="F1817" s="91">
        <v>1</v>
      </c>
      <c r="G1817" s="90" t="s">
        <v>835</v>
      </c>
      <c r="H1817" s="86" t="s">
        <v>1696</v>
      </c>
      <c r="I1817" s="8">
        <f>C511</f>
        <v>65.7</v>
      </c>
      <c r="J1817" s="2" t="s">
        <v>835</v>
      </c>
      <c r="K1817" s="8">
        <f>(F1817*I1817)</f>
        <v>65.7</v>
      </c>
    </row>
    <row r="1818" spans="1:11" hidden="1">
      <c r="A1818" s="134"/>
      <c r="F1818" s="91">
        <v>1</v>
      </c>
      <c r="G1818" s="90" t="s">
        <v>450</v>
      </c>
      <c r="H1818" s="86" t="s">
        <v>1697</v>
      </c>
      <c r="I1818" s="8">
        <f>I1817*0.2</f>
        <v>13.14</v>
      </c>
      <c r="J1818" s="2" t="s">
        <v>450</v>
      </c>
      <c r="K1818" s="8">
        <f>(F1818*I1818)</f>
        <v>13.14</v>
      </c>
    </row>
    <row r="1819" spans="1:11" hidden="1">
      <c r="A1819" s="134"/>
      <c r="F1819" s="91">
        <v>1</v>
      </c>
      <c r="G1819" s="90" t="s">
        <v>835</v>
      </c>
      <c r="H1819" s="86" t="s">
        <v>163</v>
      </c>
      <c r="I1819" s="8">
        <f>K1785</f>
        <v>30.76</v>
      </c>
      <c r="J1819" s="2" t="s">
        <v>835</v>
      </c>
      <c r="K1819" s="8">
        <f>(F1819*I1819)</f>
        <v>30.76</v>
      </c>
    </row>
    <row r="1820" spans="1:11" hidden="1">
      <c r="A1820" s="134"/>
      <c r="I1820" s="1" t="s">
        <v>987</v>
      </c>
      <c r="J1820" s="4"/>
      <c r="K1820" s="5" t="s">
        <v>1609</v>
      </c>
    </row>
    <row r="1821" spans="1:11" hidden="1">
      <c r="A1821" s="134"/>
      <c r="H1821" s="86" t="s">
        <v>377</v>
      </c>
      <c r="I1821"/>
      <c r="J1821" s="4"/>
      <c r="K1821" s="8">
        <f>SUM(K1817:K1819)</f>
        <v>109.6</v>
      </c>
    </row>
    <row r="1822" spans="1:11" hidden="1">
      <c r="A1822" s="134"/>
      <c r="I1822" s="1" t="s">
        <v>987</v>
      </c>
      <c r="J1822" s="4"/>
      <c r="K1822" s="5" t="s">
        <v>2080</v>
      </c>
    </row>
    <row r="1823" spans="1:11" hidden="1">
      <c r="A1823" s="134"/>
      <c r="I1823" s="1"/>
      <c r="J1823" s="4"/>
      <c r="K1823" s="5"/>
    </row>
    <row r="1824" spans="1:11" ht="31.5" hidden="1">
      <c r="A1824" s="134"/>
      <c r="F1824" s="120">
        <v>52.1</v>
      </c>
      <c r="H1824" s="142" t="s">
        <v>2226</v>
      </c>
      <c r="I1824" s="1"/>
      <c r="J1824" s="4"/>
      <c r="K1824" s="5"/>
    </row>
    <row r="1825" spans="1:11" hidden="1">
      <c r="A1825" s="134"/>
      <c r="I1825" s="1"/>
      <c r="J1825" s="4"/>
      <c r="K1825" s="5"/>
    </row>
    <row r="1826" spans="1:11" hidden="1">
      <c r="A1826" s="134"/>
      <c r="F1826" s="102"/>
      <c r="G1826" s="90"/>
      <c r="H1826" s="86" t="s">
        <v>2072</v>
      </c>
      <c r="I1826" s="1"/>
      <c r="J1826" s="4"/>
      <c r="K1826" s="5"/>
    </row>
    <row r="1827" spans="1:11" hidden="1">
      <c r="A1827" s="134"/>
      <c r="G1827" s="90"/>
      <c r="H1827" s="86" t="s">
        <v>2227</v>
      </c>
      <c r="I1827" s="1"/>
      <c r="J1827" s="4"/>
      <c r="K1827" s="5"/>
    </row>
    <row r="1828" spans="1:11" hidden="1">
      <c r="A1828" s="134"/>
      <c r="H1828" s="89" t="s">
        <v>1609</v>
      </c>
      <c r="I1828" s="1"/>
      <c r="J1828" s="4"/>
      <c r="K1828" s="5"/>
    </row>
    <row r="1829" spans="1:11" hidden="1">
      <c r="A1829" s="134"/>
      <c r="F1829" s="91">
        <v>30</v>
      </c>
      <c r="G1829" s="90" t="s">
        <v>1796</v>
      </c>
      <c r="H1829" s="86" t="s">
        <v>149</v>
      </c>
      <c r="I1829" s="6">
        <f>E639</f>
        <v>5</v>
      </c>
      <c r="J1829" s="2" t="s">
        <v>1796</v>
      </c>
      <c r="K1829" s="8">
        <f t="shared" ref="K1829:K1835" si="68">(F1829*I1829)</f>
        <v>150</v>
      </c>
    </row>
    <row r="1830" spans="1:11" hidden="1">
      <c r="A1830" s="134"/>
      <c r="F1830" s="91">
        <v>8</v>
      </c>
      <c r="G1830" s="90" t="s">
        <v>877</v>
      </c>
      <c r="H1830" s="86" t="s">
        <v>2168</v>
      </c>
      <c r="I1830" s="6">
        <f>I1737</f>
        <v>2.2000000000000002</v>
      </c>
      <c r="J1830" s="2" t="s">
        <v>877</v>
      </c>
      <c r="K1830" s="8">
        <f t="shared" si="68"/>
        <v>17.600000000000001</v>
      </c>
    </row>
    <row r="1831" spans="1:11" hidden="1">
      <c r="A1831" s="134"/>
      <c r="F1831" s="91">
        <v>8</v>
      </c>
      <c r="G1831" s="90" t="s">
        <v>877</v>
      </c>
      <c r="H1831" s="86" t="s">
        <v>468</v>
      </c>
      <c r="I1831" s="6">
        <f>I1738</f>
        <v>3.2</v>
      </c>
      <c r="J1831" s="2" t="s">
        <v>877</v>
      </c>
      <c r="K1831" s="8">
        <f t="shared" si="68"/>
        <v>25.6</v>
      </c>
    </row>
    <row r="1832" spans="1:11" hidden="1">
      <c r="A1832" s="134"/>
      <c r="F1832" s="91">
        <v>3</v>
      </c>
      <c r="G1832" s="90" t="s">
        <v>877</v>
      </c>
      <c r="H1832" s="86" t="s">
        <v>1870</v>
      </c>
      <c r="I1832" s="6">
        <f>C41</f>
        <v>110</v>
      </c>
      <c r="J1832" s="2" t="s">
        <v>877</v>
      </c>
      <c r="K1832" s="8">
        <f t="shared" si="68"/>
        <v>330</v>
      </c>
    </row>
    <row r="1833" spans="1:11" hidden="1">
      <c r="A1833" s="134"/>
      <c r="F1833" s="91">
        <v>1</v>
      </c>
      <c r="G1833" s="90" t="s">
        <v>877</v>
      </c>
      <c r="H1833" s="86" t="s">
        <v>1400</v>
      </c>
      <c r="I1833" s="6">
        <f>C10</f>
        <v>150</v>
      </c>
      <c r="J1833" s="2" t="s">
        <v>877</v>
      </c>
      <c r="K1833" s="8">
        <f t="shared" si="68"/>
        <v>150</v>
      </c>
    </row>
    <row r="1834" spans="1:11" hidden="1">
      <c r="A1834" s="134"/>
      <c r="F1834" s="91">
        <v>2</v>
      </c>
      <c r="G1834" s="90" t="s">
        <v>877</v>
      </c>
      <c r="H1834" s="86" t="s">
        <v>1927</v>
      </c>
      <c r="I1834" s="6">
        <f>C12</f>
        <v>95</v>
      </c>
      <c r="J1834" s="2" t="s">
        <v>877</v>
      </c>
      <c r="K1834" s="8">
        <f t="shared" si="68"/>
        <v>190</v>
      </c>
    </row>
    <row r="1835" spans="1:11" hidden="1">
      <c r="A1835" s="134"/>
      <c r="F1835" s="91">
        <v>1</v>
      </c>
      <c r="G1835" s="90" t="s">
        <v>877</v>
      </c>
      <c r="H1835" s="86" t="s">
        <v>321</v>
      </c>
      <c r="I1835" s="6">
        <f>C13</f>
        <v>85</v>
      </c>
      <c r="J1835" s="2" t="s">
        <v>877</v>
      </c>
      <c r="K1835" s="8">
        <f t="shared" si="68"/>
        <v>85</v>
      </c>
    </row>
    <row r="1836" spans="1:11" hidden="1">
      <c r="A1836" s="134"/>
      <c r="I1836"/>
      <c r="J1836" s="4"/>
      <c r="K1836" s="5" t="s">
        <v>1609</v>
      </c>
    </row>
    <row r="1837" spans="1:11" hidden="1">
      <c r="A1837" s="134"/>
      <c r="H1837" s="86" t="s">
        <v>1875</v>
      </c>
      <c r="I1837"/>
      <c r="J1837" s="4"/>
      <c r="K1837" s="8">
        <f>SUM(K1829:K1835)</f>
        <v>948.2</v>
      </c>
    </row>
    <row r="1838" spans="1:11" hidden="1">
      <c r="A1838" s="134"/>
      <c r="I1838"/>
      <c r="J1838" s="4"/>
      <c r="K1838" s="5" t="s">
        <v>1609</v>
      </c>
    </row>
    <row r="1839" spans="1:11" hidden="1">
      <c r="A1839" s="134"/>
      <c r="H1839" s="86" t="s">
        <v>1567</v>
      </c>
      <c r="I1839"/>
      <c r="J1839" s="4"/>
      <c r="K1839" s="8">
        <f>(K1837/30)</f>
        <v>31.61</v>
      </c>
    </row>
    <row r="1840" spans="1:11" hidden="1">
      <c r="A1840" s="134"/>
      <c r="I1840"/>
      <c r="J1840" s="4"/>
      <c r="K1840" s="5" t="s">
        <v>1609</v>
      </c>
    </row>
    <row r="1841" spans="1:11" hidden="1">
      <c r="A1841" s="134"/>
      <c r="I1841" s="1"/>
      <c r="J1841" s="4"/>
      <c r="K1841" s="5"/>
    </row>
    <row r="1842" spans="1:11" hidden="1">
      <c r="A1842" s="134"/>
      <c r="H1842" s="87" t="s">
        <v>337</v>
      </c>
      <c r="I1842" s="1"/>
      <c r="J1842" s="4"/>
      <c r="K1842" s="5"/>
    </row>
    <row r="1843" spans="1:11" hidden="1">
      <c r="A1843" s="134"/>
      <c r="H1843" s="89" t="s">
        <v>1609</v>
      </c>
      <c r="I1843" s="1"/>
      <c r="J1843" s="4"/>
      <c r="K1843" s="5"/>
    </row>
    <row r="1844" spans="1:11" hidden="1">
      <c r="A1844" s="134"/>
      <c r="F1844" s="91">
        <v>1</v>
      </c>
      <c r="G1844" s="90" t="s">
        <v>835</v>
      </c>
      <c r="H1844" s="86" t="s">
        <v>338</v>
      </c>
      <c r="I1844" s="6">
        <f>E509</f>
        <v>70</v>
      </c>
      <c r="J1844" s="2" t="s">
        <v>835</v>
      </c>
      <c r="K1844" s="8">
        <f>(F1844*I1844)</f>
        <v>70</v>
      </c>
    </row>
    <row r="1845" spans="1:11" hidden="1">
      <c r="A1845" s="134"/>
      <c r="F1845" s="91">
        <v>1</v>
      </c>
      <c r="G1845" s="90" t="s">
        <v>450</v>
      </c>
      <c r="H1845" s="86" t="s">
        <v>339</v>
      </c>
      <c r="I1845" s="6">
        <f>I1844*0.2</f>
        <v>14</v>
      </c>
      <c r="J1845" s="2" t="s">
        <v>450</v>
      </c>
      <c r="K1845" s="8">
        <f>(F1845*I1845)</f>
        <v>14</v>
      </c>
    </row>
    <row r="1846" spans="1:11" hidden="1">
      <c r="A1846" s="134"/>
      <c r="F1846" s="91">
        <v>1</v>
      </c>
      <c r="G1846" s="90" t="s">
        <v>835</v>
      </c>
      <c r="H1846" s="86" t="s">
        <v>163</v>
      </c>
      <c r="I1846" s="6">
        <f>K1839</f>
        <v>31.61</v>
      </c>
      <c r="J1846" s="2" t="s">
        <v>835</v>
      </c>
      <c r="K1846" s="8">
        <f>(F1846*I1846)</f>
        <v>31.61</v>
      </c>
    </row>
    <row r="1847" spans="1:11" ht="31.5" hidden="1">
      <c r="A1847" s="134"/>
      <c r="F1847" s="91"/>
      <c r="G1847" s="90"/>
      <c r="H1847" s="116" t="s">
        <v>1094</v>
      </c>
      <c r="I1847" s="6"/>
      <c r="J1847" s="2" t="s">
        <v>450</v>
      </c>
      <c r="K1847" s="8">
        <v>1.25</v>
      </c>
    </row>
    <row r="1848" spans="1:11" hidden="1">
      <c r="A1848" s="134"/>
      <c r="I1848" s="1"/>
      <c r="J1848" s="4"/>
      <c r="K1848" s="5" t="s">
        <v>1609</v>
      </c>
    </row>
    <row r="1849" spans="1:11" hidden="1">
      <c r="A1849" s="134"/>
      <c r="H1849" s="86" t="s">
        <v>377</v>
      </c>
      <c r="I1849" s="1"/>
      <c r="J1849" s="4"/>
      <c r="K1849" s="8">
        <f>SUM(K1844:K1847)</f>
        <v>116.86</v>
      </c>
    </row>
    <row r="1850" spans="1:11" hidden="1">
      <c r="A1850" s="134"/>
      <c r="I1850" s="1"/>
      <c r="J1850" s="4"/>
      <c r="K1850" s="5" t="s">
        <v>2080</v>
      </c>
    </row>
    <row r="1851" spans="1:11" hidden="1">
      <c r="A1851" s="134"/>
      <c r="I1851" s="1"/>
      <c r="J1851" s="4"/>
      <c r="K1851" s="5"/>
    </row>
    <row r="1852" spans="1:11" hidden="1">
      <c r="A1852" s="134"/>
      <c r="I1852" s="1"/>
      <c r="J1852" s="4"/>
      <c r="K1852" s="5"/>
    </row>
    <row r="1853" spans="1:11" hidden="1">
      <c r="A1853" s="134"/>
      <c r="F1853" s="112">
        <v>53.1</v>
      </c>
      <c r="G1853" s="90" t="s">
        <v>2276</v>
      </c>
      <c r="H1853" s="86" t="s">
        <v>2244</v>
      </c>
      <c r="I1853"/>
      <c r="J1853" s="4"/>
      <c r="K1853"/>
    </row>
    <row r="1854" spans="1:11" hidden="1">
      <c r="A1854" s="134"/>
      <c r="H1854" s="114" t="s">
        <v>1470</v>
      </c>
      <c r="I1854"/>
      <c r="J1854" s="4"/>
      <c r="K1854"/>
    </row>
    <row r="1855" spans="1:11" hidden="1">
      <c r="A1855" s="134"/>
      <c r="H1855" s="86" t="s">
        <v>1160</v>
      </c>
      <c r="I1855"/>
      <c r="J1855" s="4"/>
      <c r="K1855"/>
    </row>
    <row r="1856" spans="1:11" hidden="1">
      <c r="A1856" s="134"/>
      <c r="H1856" s="86" t="s">
        <v>1161</v>
      </c>
      <c r="I1856"/>
      <c r="J1856" s="4"/>
      <c r="K1856"/>
    </row>
    <row r="1857" spans="1:11" hidden="1">
      <c r="A1857" s="134"/>
      <c r="H1857" s="89" t="s">
        <v>1609</v>
      </c>
      <c r="I1857"/>
      <c r="J1857" s="4"/>
      <c r="K1857"/>
    </row>
    <row r="1858" spans="1:11" ht="57" hidden="1" customHeight="1">
      <c r="A1858" s="134"/>
      <c r="F1858" s="143">
        <v>1</v>
      </c>
      <c r="G1858" s="143" t="s">
        <v>877</v>
      </c>
      <c r="H1858" s="116" t="s">
        <v>2697</v>
      </c>
      <c r="I1858" s="18">
        <f>(C595)</f>
        <v>1050</v>
      </c>
      <c r="J1858" s="18" t="s">
        <v>877</v>
      </c>
      <c r="K1858" s="18">
        <f>(F1858*I1858)</f>
        <v>1050</v>
      </c>
    </row>
    <row r="1859" spans="1:11" hidden="1">
      <c r="A1859" s="134"/>
      <c r="F1859" s="91"/>
      <c r="G1859" s="90"/>
      <c r="H1859" s="86"/>
      <c r="I1859" s="8"/>
      <c r="J1859" s="2"/>
      <c r="K1859" s="8"/>
    </row>
    <row r="1860" spans="1:11" hidden="1">
      <c r="A1860" s="134"/>
      <c r="F1860" s="91"/>
      <c r="G1860" s="90"/>
      <c r="H1860" s="86"/>
      <c r="I1860" s="8"/>
      <c r="J1860" s="2"/>
      <c r="K1860" s="8"/>
    </row>
    <row r="1861" spans="1:11" hidden="1">
      <c r="A1861" s="134"/>
      <c r="F1861" s="91"/>
      <c r="G1861" s="90"/>
      <c r="H1861" s="86"/>
      <c r="I1861" s="8"/>
      <c r="J1861" s="2"/>
      <c r="K1861" s="8"/>
    </row>
    <row r="1862" spans="1:11" hidden="1">
      <c r="A1862" s="134"/>
      <c r="F1862" s="91"/>
      <c r="G1862" s="90"/>
      <c r="H1862" s="86"/>
      <c r="I1862" s="8"/>
      <c r="J1862" s="2"/>
      <c r="K1862" s="8"/>
    </row>
    <row r="1863" spans="1:11" hidden="1">
      <c r="A1863" s="134"/>
      <c r="F1863" s="91"/>
      <c r="G1863" s="90"/>
      <c r="H1863" s="86"/>
      <c r="I1863" s="8"/>
      <c r="J1863" s="2"/>
      <c r="K1863" s="8"/>
    </row>
    <row r="1864" spans="1:11" hidden="1">
      <c r="A1864" s="134"/>
      <c r="F1864" s="91"/>
      <c r="G1864" s="90"/>
      <c r="H1864" s="86"/>
      <c r="I1864" s="8"/>
      <c r="J1864" s="2"/>
      <c r="K1864" s="8"/>
    </row>
    <row r="1865" spans="1:11" hidden="1">
      <c r="A1865" s="134"/>
      <c r="F1865" s="91">
        <v>0.5</v>
      </c>
      <c r="G1865" s="90" t="s">
        <v>877</v>
      </c>
      <c r="H1865" s="86" t="s">
        <v>2130</v>
      </c>
      <c r="I1865" s="8">
        <f>(C15)</f>
        <v>130</v>
      </c>
      <c r="J1865" s="2" t="s">
        <v>877</v>
      </c>
      <c r="K1865" s="8">
        <f>(F1865*I1865)</f>
        <v>65</v>
      </c>
    </row>
    <row r="1866" spans="1:11" hidden="1">
      <c r="A1866" s="134"/>
      <c r="F1866" s="91">
        <v>1</v>
      </c>
      <c r="G1866" s="90" t="s">
        <v>877</v>
      </c>
      <c r="H1866" s="86" t="s">
        <v>1927</v>
      </c>
      <c r="I1866" s="8">
        <f>(C12)</f>
        <v>95</v>
      </c>
      <c r="J1866" s="2" t="s">
        <v>877</v>
      </c>
      <c r="K1866" s="8">
        <f>(F1866*I1866)</f>
        <v>95</v>
      </c>
    </row>
    <row r="1867" spans="1:11" hidden="1">
      <c r="A1867" s="134"/>
      <c r="F1867" s="91">
        <v>0.5</v>
      </c>
      <c r="G1867" s="90" t="s">
        <v>877</v>
      </c>
      <c r="H1867" s="86" t="s">
        <v>2034</v>
      </c>
      <c r="I1867" s="8">
        <f>(C10)</f>
        <v>150</v>
      </c>
      <c r="J1867" s="2" t="s">
        <v>877</v>
      </c>
      <c r="K1867" s="8">
        <f>(F1867*I1867)</f>
        <v>75</v>
      </c>
    </row>
    <row r="1868" spans="1:11" hidden="1">
      <c r="A1868" s="134"/>
      <c r="G1868" s="90" t="s">
        <v>450</v>
      </c>
      <c r="H1868" s="86" t="s">
        <v>1162</v>
      </c>
      <c r="I1868"/>
      <c r="J1868" s="2" t="s">
        <v>450</v>
      </c>
      <c r="K1868" s="8">
        <v>0.5</v>
      </c>
    </row>
    <row r="1869" spans="1:11" hidden="1">
      <c r="A1869" s="134"/>
      <c r="I1869"/>
      <c r="J1869" s="4"/>
      <c r="K1869" s="5" t="s">
        <v>1609</v>
      </c>
    </row>
    <row r="1870" spans="1:11" hidden="1">
      <c r="A1870" s="134"/>
      <c r="H1870" s="86" t="s">
        <v>1776</v>
      </c>
      <c r="I1870"/>
      <c r="J1870" s="4"/>
      <c r="K1870" s="8">
        <f>SUM(K1858:K1868)</f>
        <v>1285.5</v>
      </c>
    </row>
    <row r="1871" spans="1:11" hidden="1">
      <c r="A1871" s="134"/>
      <c r="I1871"/>
      <c r="J1871" s="4"/>
      <c r="K1871" s="5" t="s">
        <v>1609</v>
      </c>
    </row>
    <row r="1872" spans="1:11" hidden="1">
      <c r="A1872" s="134"/>
      <c r="F1872" s="102" t="s">
        <v>1422</v>
      </c>
      <c r="H1872" s="86" t="s">
        <v>1423</v>
      </c>
      <c r="I1872"/>
      <c r="J1872" s="4"/>
      <c r="K1872" s="1" t="s">
        <v>2698</v>
      </c>
    </row>
    <row r="1873" spans="1:11" hidden="1">
      <c r="A1873" s="134"/>
      <c r="I1873"/>
      <c r="J1873" s="4"/>
      <c r="K1873"/>
    </row>
    <row r="1874" spans="1:11" hidden="1">
      <c r="A1874" s="134"/>
      <c r="F1874" s="102" t="s">
        <v>1424</v>
      </c>
      <c r="H1874" s="86" t="s">
        <v>2699</v>
      </c>
      <c r="I1874"/>
      <c r="J1874" s="4"/>
      <c r="K1874" s="1" t="s">
        <v>2700</v>
      </c>
    </row>
    <row r="1875" spans="1:11" hidden="1">
      <c r="A1875" s="134"/>
      <c r="F1875" s="102"/>
      <c r="H1875" s="86"/>
      <c r="I1875"/>
      <c r="J1875" s="4"/>
      <c r="K1875" s="1"/>
    </row>
    <row r="1876" spans="1:11" hidden="1">
      <c r="A1876" s="134"/>
      <c r="F1876" s="108">
        <v>54</v>
      </c>
      <c r="G1876" s="90" t="s">
        <v>2276</v>
      </c>
      <c r="H1876" s="86" t="s">
        <v>1157</v>
      </c>
      <c r="I1876"/>
      <c r="J1876" s="2" t="s">
        <v>1418</v>
      </c>
      <c r="K1876" s="8">
        <v>140</v>
      </c>
    </row>
    <row r="1877" spans="1:11" hidden="1">
      <c r="A1877" s="134"/>
      <c r="I1877"/>
      <c r="J1877" s="4"/>
      <c r="K1877" s="5" t="s">
        <v>2080</v>
      </c>
    </row>
    <row r="1878" spans="1:11" hidden="1">
      <c r="A1878" s="134"/>
      <c r="I1878"/>
      <c r="J1878" s="4"/>
      <c r="K1878"/>
    </row>
    <row r="1879" spans="1:11" hidden="1">
      <c r="A1879" s="134"/>
      <c r="F1879" s="112">
        <v>54.1</v>
      </c>
      <c r="G1879" s="90" t="s">
        <v>2276</v>
      </c>
      <c r="H1879" s="86" t="s">
        <v>1313</v>
      </c>
      <c r="I1879"/>
      <c r="J1879" s="2" t="s">
        <v>1418</v>
      </c>
      <c r="K1879" s="8">
        <v>240</v>
      </c>
    </row>
    <row r="1880" spans="1:11" hidden="1">
      <c r="A1880" s="134"/>
      <c r="I1880"/>
      <c r="J1880" s="4"/>
      <c r="K1880" s="5" t="s">
        <v>2080</v>
      </c>
    </row>
    <row r="1881" spans="1:11" hidden="1">
      <c r="A1881" s="134"/>
      <c r="I1881"/>
      <c r="J1881" s="4"/>
      <c r="K1881"/>
    </row>
    <row r="1882" spans="1:11" hidden="1">
      <c r="A1882" s="134"/>
      <c r="F1882" s="112">
        <v>54.2</v>
      </c>
      <c r="G1882" s="90" t="s">
        <v>2276</v>
      </c>
      <c r="H1882" s="86" t="s">
        <v>948</v>
      </c>
      <c r="I1882"/>
      <c r="J1882" s="2" t="s">
        <v>1418</v>
      </c>
      <c r="K1882" s="8">
        <v>270</v>
      </c>
    </row>
    <row r="1883" spans="1:11" hidden="1">
      <c r="A1883" s="134"/>
      <c r="I1883"/>
      <c r="J1883" s="4"/>
      <c r="K1883" s="5" t="s">
        <v>2080</v>
      </c>
    </row>
    <row r="1884" spans="1:11" hidden="1">
      <c r="A1884" s="134"/>
      <c r="I1884"/>
      <c r="J1884" s="4"/>
      <c r="K1884"/>
    </row>
    <row r="1885" spans="1:11" hidden="1">
      <c r="A1885" s="134"/>
      <c r="F1885" s="102" t="s">
        <v>1158</v>
      </c>
      <c r="G1885" s="90" t="s">
        <v>2276</v>
      </c>
      <c r="H1885" s="86" t="s">
        <v>83</v>
      </c>
      <c r="I1885"/>
      <c r="J1885" s="4"/>
      <c r="K1885"/>
    </row>
    <row r="1886" spans="1:11" hidden="1">
      <c r="A1886" s="134"/>
      <c r="H1886" s="86" t="s">
        <v>1120</v>
      </c>
      <c r="I1886"/>
      <c r="J1886" s="4"/>
      <c r="K1886"/>
    </row>
    <row r="1887" spans="1:11" hidden="1">
      <c r="A1887" s="134"/>
      <c r="H1887" s="86" t="s">
        <v>1121</v>
      </c>
      <c r="I1887"/>
      <c r="J1887" s="4"/>
      <c r="K1887"/>
    </row>
    <row r="1888" spans="1:11" hidden="1">
      <c r="A1888" s="134"/>
      <c r="H1888" s="86" t="s">
        <v>1122</v>
      </c>
      <c r="I1888"/>
      <c r="J1888" s="4"/>
      <c r="K1888"/>
    </row>
    <row r="1889" spans="1:22" hidden="1">
      <c r="A1889" s="134"/>
      <c r="H1889" s="89" t="s">
        <v>1609</v>
      </c>
      <c r="I1889"/>
      <c r="J1889" s="4"/>
      <c r="K1889"/>
    </row>
    <row r="1890" spans="1:22" hidden="1">
      <c r="A1890" s="134"/>
      <c r="F1890" s="91">
        <v>1</v>
      </c>
      <c r="G1890" s="90" t="s">
        <v>877</v>
      </c>
      <c r="H1890" s="86" t="s">
        <v>718</v>
      </c>
      <c r="I1890" s="8">
        <f>(C200)</f>
        <v>750</v>
      </c>
      <c r="J1890" s="2" t="s">
        <v>877</v>
      </c>
      <c r="K1890" s="8">
        <f t="shared" ref="K1890:K1896" si="69">(F1890*I1890)</f>
        <v>750</v>
      </c>
    </row>
    <row r="1891" spans="1:22" hidden="1">
      <c r="A1891" s="134"/>
      <c r="F1891" s="91">
        <v>0.65</v>
      </c>
      <c r="G1891" s="90" t="s">
        <v>878</v>
      </c>
      <c r="H1891" s="86" t="s">
        <v>249</v>
      </c>
      <c r="I1891" s="8">
        <f>(C61*2)</f>
        <v>50</v>
      </c>
      <c r="J1891" s="2" t="s">
        <v>878</v>
      </c>
      <c r="K1891" s="8">
        <f t="shared" si="69"/>
        <v>32.5</v>
      </c>
    </row>
    <row r="1892" spans="1:22" hidden="1">
      <c r="A1892" s="134"/>
      <c r="F1892" s="91">
        <v>0.56999999999999995</v>
      </c>
      <c r="G1892" s="90" t="s">
        <v>878</v>
      </c>
      <c r="H1892" s="86" t="s">
        <v>250</v>
      </c>
      <c r="I1892" s="8">
        <f>(C26)</f>
        <v>8.8000000000000007</v>
      </c>
      <c r="J1892" s="2" t="s">
        <v>878</v>
      </c>
      <c r="K1892" s="8">
        <f t="shared" si="69"/>
        <v>5.0199999999999996</v>
      </c>
    </row>
    <row r="1893" spans="1:22" hidden="1">
      <c r="A1893" s="134"/>
      <c r="F1893" s="111">
        <v>8.1000000000000003E-2</v>
      </c>
      <c r="G1893" s="90" t="s">
        <v>878</v>
      </c>
      <c r="H1893" s="86" t="s">
        <v>251</v>
      </c>
      <c r="I1893" s="8" t="e">
        <f>(R60)</f>
        <v>#REF!</v>
      </c>
      <c r="J1893" s="2" t="s">
        <v>878</v>
      </c>
      <c r="K1893" s="8" t="e">
        <f t="shared" si="69"/>
        <v>#REF!</v>
      </c>
    </row>
    <row r="1894" spans="1:22" hidden="1">
      <c r="A1894" s="134"/>
      <c r="F1894" s="91">
        <v>1</v>
      </c>
      <c r="G1894" s="90" t="s">
        <v>877</v>
      </c>
      <c r="H1894" s="86" t="s">
        <v>2130</v>
      </c>
      <c r="I1894" s="8">
        <f>(C15)</f>
        <v>130</v>
      </c>
      <c r="J1894" s="2" t="s">
        <v>877</v>
      </c>
      <c r="K1894" s="8">
        <f t="shared" si="69"/>
        <v>130</v>
      </c>
    </row>
    <row r="1895" spans="1:22" hidden="1">
      <c r="A1895" s="134"/>
      <c r="F1895" s="91">
        <v>0.5</v>
      </c>
      <c r="G1895" s="90" t="s">
        <v>877</v>
      </c>
      <c r="H1895" s="86" t="s">
        <v>1737</v>
      </c>
      <c r="I1895" s="8">
        <f>(C11)</f>
        <v>135</v>
      </c>
      <c r="J1895" s="2" t="s">
        <v>877</v>
      </c>
      <c r="K1895" s="8">
        <f t="shared" si="69"/>
        <v>67.5</v>
      </c>
    </row>
    <row r="1896" spans="1:22" hidden="1">
      <c r="A1896" s="134"/>
      <c r="F1896" s="91">
        <v>0.5</v>
      </c>
      <c r="G1896" s="90" t="s">
        <v>877</v>
      </c>
      <c r="H1896" s="86" t="s">
        <v>1927</v>
      </c>
      <c r="I1896" s="8">
        <f>(C12)</f>
        <v>95</v>
      </c>
      <c r="J1896" s="2" t="s">
        <v>877</v>
      </c>
      <c r="K1896" s="8">
        <f t="shared" si="69"/>
        <v>47.5</v>
      </c>
    </row>
    <row r="1897" spans="1:22" hidden="1">
      <c r="A1897" s="134"/>
      <c r="G1897" s="90" t="s">
        <v>450</v>
      </c>
      <c r="H1897" s="86" t="s">
        <v>451</v>
      </c>
      <c r="I1897" s="1" t="s">
        <v>987</v>
      </c>
      <c r="J1897" s="2" t="s">
        <v>450</v>
      </c>
      <c r="K1897" s="8">
        <v>0</v>
      </c>
    </row>
    <row r="1898" spans="1:22" hidden="1">
      <c r="A1898" s="134"/>
      <c r="I1898"/>
      <c r="J1898" s="4"/>
      <c r="K1898" s="5" t="s">
        <v>1609</v>
      </c>
    </row>
    <row r="1899" spans="1:22" hidden="1">
      <c r="A1899" s="134"/>
      <c r="H1899" s="86" t="s">
        <v>1776</v>
      </c>
      <c r="I1899"/>
      <c r="J1899" s="4"/>
      <c r="K1899" s="8" t="e">
        <f>SUM(K1890:K1897)</f>
        <v>#REF!</v>
      </c>
    </row>
    <row r="1900" spans="1:22" hidden="1">
      <c r="A1900" s="134"/>
      <c r="I1900"/>
      <c r="J1900" s="4"/>
      <c r="K1900" s="5" t="s">
        <v>2080</v>
      </c>
    </row>
    <row r="1901" spans="1:22" hidden="1">
      <c r="A1901" s="134"/>
      <c r="G1901" s="90" t="s">
        <v>987</v>
      </c>
      <c r="H1901" s="86" t="s">
        <v>987</v>
      </c>
      <c r="I1901"/>
      <c r="J1901" s="4"/>
      <c r="K1901" s="1" t="s">
        <v>987</v>
      </c>
    </row>
    <row r="1902" spans="1:22" hidden="1">
      <c r="A1902" s="134"/>
      <c r="I1902"/>
      <c r="J1902" s="2" t="s">
        <v>987</v>
      </c>
      <c r="K1902" s="1" t="s">
        <v>987</v>
      </c>
    </row>
    <row r="1903" spans="1:22" hidden="1">
      <c r="A1903" s="134"/>
      <c r="F1903" s="102" t="s">
        <v>252</v>
      </c>
      <c r="G1903" s="90" t="s">
        <v>2276</v>
      </c>
      <c r="H1903" s="86" t="s">
        <v>83</v>
      </c>
      <c r="I1903"/>
      <c r="J1903" s="4"/>
      <c r="K1903"/>
    </row>
    <row r="1904" spans="1:22" hidden="1">
      <c r="A1904" s="134"/>
      <c r="H1904" s="86" t="s">
        <v>1120</v>
      </c>
      <c r="I1904"/>
      <c r="J1904" s="4"/>
      <c r="K1904"/>
      <c r="V1904" s="86" t="s">
        <v>1473</v>
      </c>
    </row>
    <row r="1905" spans="1:11" hidden="1">
      <c r="A1905" s="134"/>
      <c r="H1905" s="86" t="s">
        <v>1121</v>
      </c>
      <c r="I1905"/>
      <c r="J1905" s="4"/>
      <c r="K1905"/>
    </row>
    <row r="1906" spans="1:11" hidden="1">
      <c r="A1906" s="134"/>
      <c r="H1906" s="86" t="s">
        <v>253</v>
      </c>
      <c r="I1906"/>
      <c r="J1906" s="4"/>
      <c r="K1906"/>
    </row>
    <row r="1907" spans="1:11" hidden="1">
      <c r="A1907" s="134"/>
      <c r="H1907" s="89" t="s">
        <v>1609</v>
      </c>
      <c r="I1907"/>
      <c r="J1907" s="4"/>
      <c r="K1907"/>
    </row>
    <row r="1908" spans="1:11" hidden="1">
      <c r="A1908" s="134"/>
      <c r="F1908" s="91">
        <v>1</v>
      </c>
      <c r="G1908" s="90" t="s">
        <v>877</v>
      </c>
      <c r="H1908" s="86" t="s">
        <v>718</v>
      </c>
      <c r="I1908" s="8">
        <f>(C200)</f>
        <v>750</v>
      </c>
      <c r="J1908" s="2" t="s">
        <v>877</v>
      </c>
      <c r="K1908" s="8">
        <f>(F1908*I1908)</f>
        <v>750</v>
      </c>
    </row>
    <row r="1909" spans="1:11" hidden="1">
      <c r="A1909" s="134"/>
      <c r="F1909" s="111">
        <v>0.40500000000000003</v>
      </c>
      <c r="G1909" s="90" t="s">
        <v>878</v>
      </c>
      <c r="H1909" s="86" t="s">
        <v>2673</v>
      </c>
      <c r="I1909" s="8" t="e">
        <f>(K1262)</f>
        <v>#REF!</v>
      </c>
      <c r="J1909" s="2" t="s">
        <v>878</v>
      </c>
      <c r="K1909" s="8" t="e">
        <f>(F1909*I1909)</f>
        <v>#REF!</v>
      </c>
    </row>
    <row r="1910" spans="1:11" hidden="1">
      <c r="A1910" s="134"/>
      <c r="H1910" s="86" t="s">
        <v>1115</v>
      </c>
      <c r="I1910" s="1" t="s">
        <v>987</v>
      </c>
      <c r="J1910" s="4"/>
      <c r="K1910" s="1" t="s">
        <v>987</v>
      </c>
    </row>
    <row r="1911" spans="1:11" hidden="1">
      <c r="A1911" s="134"/>
      <c r="F1911" s="91">
        <v>1.89</v>
      </c>
      <c r="G1911" s="90" t="s">
        <v>615</v>
      </c>
      <c r="H1911" s="86" t="s">
        <v>264</v>
      </c>
      <c r="I1911" s="8" t="e">
        <f>(K1373)</f>
        <v>#REF!</v>
      </c>
      <c r="J1911" s="2" t="s">
        <v>615</v>
      </c>
      <c r="K1911" s="8" t="e">
        <f>(F1911*I1911)</f>
        <v>#REF!</v>
      </c>
    </row>
    <row r="1912" spans="1:11" hidden="1">
      <c r="A1912" s="134"/>
      <c r="H1912" s="86" t="s">
        <v>265</v>
      </c>
      <c r="I1912" s="1" t="s">
        <v>987</v>
      </c>
      <c r="J1912" s="4"/>
      <c r="K1912" s="1" t="s">
        <v>987</v>
      </c>
    </row>
    <row r="1913" spans="1:11" hidden="1">
      <c r="A1913" s="134"/>
      <c r="F1913" s="111">
        <v>8.1000000000000003E-2</v>
      </c>
      <c r="G1913" s="90" t="s">
        <v>878</v>
      </c>
      <c r="H1913" s="86" t="s">
        <v>266</v>
      </c>
      <c r="I1913" s="8" t="e">
        <f>(R60)</f>
        <v>#REF!</v>
      </c>
      <c r="J1913" s="2" t="s">
        <v>878</v>
      </c>
      <c r="K1913" s="8" t="e">
        <f>(F1913*I1913)</f>
        <v>#REF!</v>
      </c>
    </row>
    <row r="1914" spans="1:11" hidden="1">
      <c r="A1914" s="134"/>
      <c r="H1914" s="86" t="s">
        <v>267</v>
      </c>
      <c r="I1914"/>
      <c r="J1914" s="4"/>
      <c r="K1914"/>
    </row>
    <row r="1915" spans="1:11" hidden="1">
      <c r="A1915" s="134"/>
      <c r="F1915" s="91">
        <v>1</v>
      </c>
      <c r="G1915" s="90" t="s">
        <v>778</v>
      </c>
      <c r="H1915" s="86" t="s">
        <v>2130</v>
      </c>
      <c r="I1915" s="8">
        <f>(C15)</f>
        <v>130</v>
      </c>
      <c r="J1915" s="2" t="s">
        <v>778</v>
      </c>
      <c r="K1915" s="8">
        <f>(F1915*I1915)</f>
        <v>130</v>
      </c>
    </row>
    <row r="1916" spans="1:11" hidden="1">
      <c r="A1916" s="134"/>
      <c r="F1916" s="91">
        <v>0.5</v>
      </c>
      <c r="G1916" s="90" t="s">
        <v>877</v>
      </c>
      <c r="H1916" s="86" t="s">
        <v>1737</v>
      </c>
      <c r="I1916" s="8">
        <f>(C11)</f>
        <v>135</v>
      </c>
      <c r="J1916" s="2" t="s">
        <v>877</v>
      </c>
      <c r="K1916" s="8">
        <f>(F1916*I1916)</f>
        <v>67.5</v>
      </c>
    </row>
    <row r="1917" spans="1:11" hidden="1">
      <c r="A1917" s="134"/>
      <c r="F1917" s="91">
        <v>0.5</v>
      </c>
      <c r="G1917" s="90" t="s">
        <v>877</v>
      </c>
      <c r="H1917" s="86" t="s">
        <v>1927</v>
      </c>
      <c r="I1917" s="8">
        <f>(C12)</f>
        <v>95</v>
      </c>
      <c r="J1917" s="2" t="s">
        <v>877</v>
      </c>
      <c r="K1917" s="8">
        <f>(F1917*I1917)</f>
        <v>47.5</v>
      </c>
    </row>
    <row r="1918" spans="1:11" hidden="1">
      <c r="A1918" s="134"/>
      <c r="G1918" s="90" t="s">
        <v>450</v>
      </c>
      <c r="H1918" s="86" t="s">
        <v>451</v>
      </c>
      <c r="I1918" s="1" t="s">
        <v>987</v>
      </c>
      <c r="J1918" s="2" t="s">
        <v>450</v>
      </c>
      <c r="K1918" s="8">
        <v>0</v>
      </c>
    </row>
    <row r="1919" spans="1:11" hidden="1">
      <c r="A1919" s="134"/>
      <c r="H1919" s="86" t="s">
        <v>987</v>
      </c>
      <c r="I1919"/>
      <c r="J1919" s="4"/>
      <c r="K1919" s="5" t="s">
        <v>1609</v>
      </c>
    </row>
    <row r="1920" spans="1:11" hidden="1">
      <c r="A1920" s="134"/>
      <c r="H1920" s="86" t="s">
        <v>1776</v>
      </c>
      <c r="I1920"/>
      <c r="J1920" s="4"/>
      <c r="K1920" s="8" t="e">
        <f>SUM(K1908:K1918)</f>
        <v>#REF!</v>
      </c>
    </row>
    <row r="1921" spans="1:11" hidden="1">
      <c r="A1921" s="134"/>
      <c r="I1921"/>
      <c r="J1921" s="4"/>
      <c r="K1921" s="5" t="s">
        <v>2080</v>
      </c>
    </row>
    <row r="1922" spans="1:11" hidden="1">
      <c r="A1922" s="134"/>
      <c r="G1922" s="90" t="s">
        <v>987</v>
      </c>
      <c r="H1922" s="86" t="s">
        <v>987</v>
      </c>
      <c r="I1922"/>
      <c r="J1922" s="4"/>
      <c r="K1922" s="1" t="s">
        <v>987</v>
      </c>
    </row>
    <row r="1923" spans="1:11" hidden="1">
      <c r="A1923" s="134"/>
      <c r="I1923"/>
      <c r="J1923" s="2" t="s">
        <v>987</v>
      </c>
      <c r="K1923" s="1" t="s">
        <v>248</v>
      </c>
    </row>
    <row r="1924" spans="1:11" hidden="1">
      <c r="A1924" s="134"/>
      <c r="F1924" s="108">
        <v>57</v>
      </c>
      <c r="G1924" s="90" t="s">
        <v>2276</v>
      </c>
      <c r="H1924" s="86" t="s">
        <v>257</v>
      </c>
      <c r="I1924"/>
      <c r="J1924" s="4"/>
      <c r="K1924"/>
    </row>
    <row r="1925" spans="1:11" hidden="1">
      <c r="A1925" s="134"/>
      <c r="H1925" s="86" t="s">
        <v>204</v>
      </c>
      <c r="I1925"/>
      <c r="J1925" s="4"/>
      <c r="K1925"/>
    </row>
    <row r="1926" spans="1:11" hidden="1">
      <c r="A1926" s="134"/>
      <c r="H1926" s="86" t="s">
        <v>1797</v>
      </c>
      <c r="I1926"/>
      <c r="J1926" s="4"/>
      <c r="K1926"/>
    </row>
    <row r="1927" spans="1:11" hidden="1">
      <c r="A1927" s="134"/>
      <c r="H1927" s="89" t="s">
        <v>1609</v>
      </c>
      <c r="I1927"/>
      <c r="J1927" s="4"/>
      <c r="K1927"/>
    </row>
    <row r="1928" spans="1:11" ht="95.25" hidden="1" customHeight="1">
      <c r="A1928" s="134"/>
      <c r="F1928" s="143">
        <v>1</v>
      </c>
      <c r="G1928" s="143" t="s">
        <v>792</v>
      </c>
      <c r="H1928" s="116" t="s">
        <v>1140</v>
      </c>
      <c r="I1928" s="18">
        <f>C591</f>
        <v>1700</v>
      </c>
      <c r="J1928" s="144" t="s">
        <v>792</v>
      </c>
      <c r="K1928" s="18">
        <f>(F1928*I1928)</f>
        <v>1700</v>
      </c>
    </row>
    <row r="1929" spans="1:11" hidden="1">
      <c r="A1929" s="134"/>
      <c r="F1929" s="91"/>
      <c r="G1929" s="90"/>
      <c r="H1929" s="145" t="s">
        <v>1179</v>
      </c>
      <c r="I1929" s="8"/>
      <c r="J1929" s="2"/>
      <c r="K1929" s="8"/>
    </row>
    <row r="1930" spans="1:11" hidden="1">
      <c r="A1930" s="134"/>
      <c r="F1930" s="91">
        <v>1</v>
      </c>
      <c r="G1930" s="90" t="s">
        <v>877</v>
      </c>
      <c r="H1930" s="86" t="s">
        <v>2034</v>
      </c>
      <c r="I1930" s="8">
        <f>(C10)</f>
        <v>150</v>
      </c>
      <c r="J1930" s="2" t="s">
        <v>877</v>
      </c>
      <c r="K1930" s="8">
        <f>(F1930*I1930)</f>
        <v>150</v>
      </c>
    </row>
    <row r="1931" spans="1:11" hidden="1">
      <c r="A1931" s="134"/>
      <c r="F1931" s="91">
        <v>2</v>
      </c>
      <c r="G1931" s="90" t="s">
        <v>877</v>
      </c>
      <c r="H1931" s="86" t="s">
        <v>2130</v>
      </c>
      <c r="I1931" s="8">
        <f>(C15)</f>
        <v>130</v>
      </c>
      <c r="J1931" s="2" t="s">
        <v>877</v>
      </c>
      <c r="K1931" s="8">
        <f>(F1931*I1931)</f>
        <v>260</v>
      </c>
    </row>
    <row r="1932" spans="1:11" hidden="1">
      <c r="A1932" s="134"/>
      <c r="F1932" s="91">
        <v>1</v>
      </c>
      <c r="G1932" s="90" t="s">
        <v>877</v>
      </c>
      <c r="H1932" s="86" t="s">
        <v>321</v>
      </c>
      <c r="I1932" s="8">
        <f>(C13)</f>
        <v>85</v>
      </c>
      <c r="J1932" s="2" t="s">
        <v>877</v>
      </c>
      <c r="K1932" s="8">
        <f>(F1932*I1932)</f>
        <v>85</v>
      </c>
    </row>
    <row r="1933" spans="1:11" hidden="1">
      <c r="A1933" s="134"/>
      <c r="F1933" s="91"/>
      <c r="G1933" s="90"/>
      <c r="H1933" s="145" t="s">
        <v>719</v>
      </c>
      <c r="I1933" s="8"/>
      <c r="J1933" s="2"/>
      <c r="K1933" s="8"/>
    </row>
    <row r="1934" spans="1:11" hidden="1">
      <c r="A1934" s="134"/>
      <c r="F1934" s="91">
        <v>0.5</v>
      </c>
      <c r="G1934" s="90" t="s">
        <v>877</v>
      </c>
      <c r="H1934" s="86" t="s">
        <v>2130</v>
      </c>
      <c r="I1934" s="8">
        <f>(C15)</f>
        <v>130</v>
      </c>
      <c r="J1934" s="2" t="s">
        <v>877</v>
      </c>
      <c r="K1934" s="8">
        <f>(F1934*I1934)</f>
        <v>65</v>
      </c>
    </row>
    <row r="1935" spans="1:11" hidden="1">
      <c r="A1935" s="134"/>
      <c r="F1935" s="91">
        <v>0.5</v>
      </c>
      <c r="G1935" s="90" t="s">
        <v>877</v>
      </c>
      <c r="H1935" s="86" t="s">
        <v>1927</v>
      </c>
      <c r="I1935" s="8">
        <f>(C12)</f>
        <v>95</v>
      </c>
      <c r="J1935" s="2" t="s">
        <v>877</v>
      </c>
      <c r="K1935" s="8">
        <f>(F1935*I1935)</f>
        <v>47.5</v>
      </c>
    </row>
    <row r="1936" spans="1:11" hidden="1">
      <c r="A1936" s="134"/>
      <c r="G1936" s="90" t="s">
        <v>450</v>
      </c>
      <c r="H1936" s="86" t="s">
        <v>451</v>
      </c>
      <c r="I1936"/>
      <c r="J1936" s="2" t="s">
        <v>450</v>
      </c>
      <c r="K1936" s="8">
        <v>0</v>
      </c>
    </row>
    <row r="1937" spans="1:11" hidden="1">
      <c r="A1937" s="134"/>
      <c r="I1937"/>
      <c r="J1937" s="4"/>
      <c r="K1937" s="5" t="s">
        <v>1609</v>
      </c>
    </row>
    <row r="1938" spans="1:11" hidden="1">
      <c r="A1938" s="134"/>
      <c r="H1938" s="86" t="s">
        <v>1776</v>
      </c>
      <c r="I1938"/>
      <c r="J1938" s="4"/>
      <c r="K1938" s="8">
        <f>SUM(K1928:K1936)</f>
        <v>2307.5</v>
      </c>
    </row>
    <row r="1939" spans="1:11" hidden="1">
      <c r="A1939" s="134"/>
      <c r="F1939" s="86" t="s">
        <v>987</v>
      </c>
      <c r="I1939"/>
      <c r="J1939" s="4"/>
      <c r="K1939"/>
    </row>
    <row r="1940" spans="1:11" hidden="1">
      <c r="A1940" s="134"/>
      <c r="I1940"/>
      <c r="J1940" s="4"/>
      <c r="K1940" s="5" t="s">
        <v>1609</v>
      </c>
    </row>
    <row r="1941" spans="1:11" hidden="1">
      <c r="A1941" s="134"/>
      <c r="G1941" s="90" t="s">
        <v>987</v>
      </c>
      <c r="H1941" s="86" t="s">
        <v>987</v>
      </c>
      <c r="I1941"/>
      <c r="J1941" s="4"/>
      <c r="K1941" s="1" t="s">
        <v>987</v>
      </c>
    </row>
    <row r="1942" spans="1:11" hidden="1">
      <c r="A1942" s="134"/>
      <c r="H1942" s="86" t="s">
        <v>987</v>
      </c>
      <c r="I1942"/>
      <c r="J1942" s="4"/>
      <c r="K1942"/>
    </row>
    <row r="1943" spans="1:11" hidden="1">
      <c r="A1943" s="134"/>
      <c r="F1943" s="112">
        <v>57.1</v>
      </c>
      <c r="G1943" s="90" t="s">
        <v>2276</v>
      </c>
      <c r="H1943" s="86" t="s">
        <v>1581</v>
      </c>
      <c r="I1943"/>
      <c r="J1943" s="4"/>
      <c r="K1943"/>
    </row>
    <row r="1944" spans="1:11" hidden="1">
      <c r="A1944" s="134"/>
      <c r="H1944" s="86" t="s">
        <v>204</v>
      </c>
      <c r="I1944"/>
      <c r="J1944" s="4"/>
      <c r="K1944"/>
    </row>
    <row r="1945" spans="1:11" hidden="1">
      <c r="A1945" s="134"/>
      <c r="H1945" s="86" t="s">
        <v>1797</v>
      </c>
      <c r="I1945"/>
      <c r="J1945" s="4"/>
      <c r="K1945"/>
    </row>
    <row r="1946" spans="1:11" hidden="1">
      <c r="A1946" s="134"/>
      <c r="H1946" s="89" t="s">
        <v>1609</v>
      </c>
      <c r="I1946"/>
      <c r="J1946" s="4"/>
      <c r="K1946"/>
    </row>
    <row r="1947" spans="1:11" ht="78.75" hidden="1">
      <c r="A1947" s="134"/>
      <c r="F1947" s="143">
        <v>1</v>
      </c>
      <c r="G1947" s="143" t="s">
        <v>792</v>
      </c>
      <c r="H1947" s="116" t="s">
        <v>1140</v>
      </c>
      <c r="I1947">
        <f>E591</f>
        <v>2000</v>
      </c>
      <c r="J1947" s="144" t="s">
        <v>792</v>
      </c>
      <c r="K1947" s="18">
        <f>(F1947*I1947)</f>
        <v>2000</v>
      </c>
    </row>
    <row r="1948" spans="1:11" hidden="1">
      <c r="A1948" s="134"/>
      <c r="F1948" s="91"/>
      <c r="G1948" s="90"/>
      <c r="H1948" s="145" t="s">
        <v>1179</v>
      </c>
      <c r="I1948"/>
      <c r="J1948" s="2"/>
      <c r="K1948" s="8"/>
    </row>
    <row r="1949" spans="1:11" hidden="1">
      <c r="A1949" s="134"/>
      <c r="F1949" s="91">
        <v>1</v>
      </c>
      <c r="G1949" s="90" t="s">
        <v>877</v>
      </c>
      <c r="H1949" s="86" t="s">
        <v>2034</v>
      </c>
      <c r="I1949">
        <f>C10</f>
        <v>150</v>
      </c>
      <c r="J1949" s="2" t="s">
        <v>877</v>
      </c>
      <c r="K1949" s="8">
        <f>(F1949*I1949)</f>
        <v>150</v>
      </c>
    </row>
    <row r="1950" spans="1:11" hidden="1">
      <c r="A1950" s="134"/>
      <c r="F1950" s="91">
        <v>2</v>
      </c>
      <c r="G1950" s="90" t="s">
        <v>877</v>
      </c>
      <c r="H1950" s="86" t="s">
        <v>2130</v>
      </c>
      <c r="I1950">
        <f>C15</f>
        <v>130</v>
      </c>
      <c r="J1950" s="2" t="s">
        <v>877</v>
      </c>
      <c r="K1950" s="8">
        <f>(F1950*I1950)</f>
        <v>260</v>
      </c>
    </row>
    <row r="1951" spans="1:11" hidden="1">
      <c r="A1951" s="134"/>
      <c r="F1951" s="91">
        <v>1</v>
      </c>
      <c r="G1951" s="90" t="s">
        <v>877</v>
      </c>
      <c r="H1951" s="86" t="s">
        <v>321</v>
      </c>
      <c r="I1951">
        <f>C13</f>
        <v>85</v>
      </c>
      <c r="J1951" s="2" t="s">
        <v>877</v>
      </c>
      <c r="K1951" s="8">
        <f>(F1951*I1951)</f>
        <v>85</v>
      </c>
    </row>
    <row r="1952" spans="1:11" hidden="1">
      <c r="A1952" s="134"/>
      <c r="F1952" s="91"/>
      <c r="G1952" s="90"/>
      <c r="H1952" s="145" t="s">
        <v>719</v>
      </c>
      <c r="I1952"/>
      <c r="J1952" s="2"/>
      <c r="K1952" s="8"/>
    </row>
    <row r="1953" spans="1:11" hidden="1">
      <c r="A1953" s="134"/>
      <c r="F1953" s="91">
        <v>0.5</v>
      </c>
      <c r="G1953" s="90" t="s">
        <v>877</v>
      </c>
      <c r="H1953" s="86" t="s">
        <v>2130</v>
      </c>
      <c r="I1953">
        <f>C15</f>
        <v>130</v>
      </c>
      <c r="J1953" s="2" t="s">
        <v>877</v>
      </c>
      <c r="K1953" s="8">
        <f>(F1953*I1953)</f>
        <v>65</v>
      </c>
    </row>
    <row r="1954" spans="1:11" hidden="1">
      <c r="A1954" s="134"/>
      <c r="F1954" s="91">
        <v>0.5</v>
      </c>
      <c r="G1954" s="90" t="s">
        <v>877</v>
      </c>
      <c r="H1954" s="86" t="s">
        <v>1927</v>
      </c>
      <c r="I1954">
        <f>C12</f>
        <v>95</v>
      </c>
      <c r="J1954" s="2" t="s">
        <v>877</v>
      </c>
      <c r="K1954" s="8">
        <f>(F1954*I1954)</f>
        <v>47.5</v>
      </c>
    </row>
    <row r="1955" spans="1:11" hidden="1">
      <c r="A1955" s="134"/>
      <c r="G1955" s="90" t="s">
        <v>450</v>
      </c>
      <c r="H1955" s="86" t="s">
        <v>451</v>
      </c>
      <c r="I1955"/>
      <c r="J1955" s="2" t="s">
        <v>450</v>
      </c>
      <c r="K1955" s="8">
        <v>0</v>
      </c>
    </row>
    <row r="1956" spans="1:11" hidden="1">
      <c r="A1956" s="134"/>
      <c r="I1956"/>
      <c r="J1956" s="4"/>
      <c r="K1956" s="5" t="s">
        <v>1609</v>
      </c>
    </row>
    <row r="1957" spans="1:11" hidden="1">
      <c r="A1957" s="134"/>
      <c r="H1957" s="86" t="s">
        <v>1776</v>
      </c>
      <c r="I1957"/>
      <c r="J1957" s="4"/>
      <c r="K1957" s="8">
        <f>SUM(K1947:K1955)</f>
        <v>2607.5</v>
      </c>
    </row>
    <row r="1958" spans="1:11" hidden="1">
      <c r="A1958" s="134"/>
      <c r="H1958" s="86"/>
      <c r="I1958"/>
      <c r="J1958" s="4"/>
      <c r="K1958"/>
    </row>
    <row r="1959" spans="1:11" hidden="1">
      <c r="A1959" s="134"/>
      <c r="H1959" s="86"/>
      <c r="I1959"/>
      <c r="J1959" s="4"/>
      <c r="K1959" s="5" t="s">
        <v>1609</v>
      </c>
    </row>
    <row r="1960" spans="1:11" hidden="1">
      <c r="A1960" s="134"/>
      <c r="H1960" s="86"/>
      <c r="I1960"/>
      <c r="J1960" s="4"/>
      <c r="K1960"/>
    </row>
    <row r="1961" spans="1:11" hidden="1">
      <c r="A1961" s="134"/>
      <c r="F1961" s="102" t="s">
        <v>720</v>
      </c>
      <c r="G1961" s="90" t="s">
        <v>2276</v>
      </c>
      <c r="H1961" s="86" t="s">
        <v>817</v>
      </c>
      <c r="I1961"/>
      <c r="J1961" s="4"/>
      <c r="K1961"/>
    </row>
    <row r="1962" spans="1:11" hidden="1">
      <c r="A1962" s="134"/>
      <c r="H1962" s="86" t="s">
        <v>162</v>
      </c>
      <c r="I1962"/>
      <c r="J1962" s="4"/>
      <c r="K1962"/>
    </row>
    <row r="1963" spans="1:11" hidden="1">
      <c r="A1963" s="134"/>
      <c r="H1963" s="89" t="s">
        <v>1609</v>
      </c>
      <c r="I1963"/>
      <c r="J1963" s="4"/>
      <c r="K1963"/>
    </row>
    <row r="1964" spans="1:11" hidden="1">
      <c r="A1964" s="134"/>
      <c r="G1964" s="90" t="s">
        <v>695</v>
      </c>
      <c r="H1964" s="86" t="s">
        <v>42</v>
      </c>
      <c r="I1964"/>
      <c r="J1964" s="4"/>
      <c r="K1964"/>
    </row>
    <row r="1965" spans="1:11" hidden="1">
      <c r="A1965" s="134"/>
      <c r="H1965" s="86" t="s">
        <v>2674</v>
      </c>
      <c r="I1965"/>
      <c r="J1965" s="4"/>
      <c r="K1965"/>
    </row>
    <row r="1966" spans="1:11" hidden="1">
      <c r="A1966" s="134"/>
      <c r="H1966" s="86" t="s">
        <v>958</v>
      </c>
      <c r="I1966"/>
      <c r="J1966" s="4"/>
      <c r="K1966"/>
    </row>
    <row r="1967" spans="1:11" hidden="1">
      <c r="A1967" s="134"/>
      <c r="H1967" s="86" t="s">
        <v>959</v>
      </c>
      <c r="I1967"/>
      <c r="J1967" s="4"/>
      <c r="K1967"/>
    </row>
    <row r="1968" spans="1:11" hidden="1">
      <c r="A1968" s="134"/>
      <c r="H1968" s="86" t="s">
        <v>2131</v>
      </c>
      <c r="I1968"/>
      <c r="J1968" s="4"/>
      <c r="K1968"/>
    </row>
    <row r="1969" spans="1:11" hidden="1">
      <c r="A1969" s="134"/>
      <c r="H1969" s="86" t="s">
        <v>2132</v>
      </c>
      <c r="I1969"/>
      <c r="J1969" s="4"/>
      <c r="K1969"/>
    </row>
    <row r="1970" spans="1:11" hidden="1">
      <c r="A1970" s="134"/>
      <c r="H1970" s="86" t="s">
        <v>2675</v>
      </c>
      <c r="I1970"/>
      <c r="J1970" s="4"/>
      <c r="K1970"/>
    </row>
    <row r="1971" spans="1:11" hidden="1">
      <c r="A1971" s="134"/>
      <c r="H1971" s="89" t="s">
        <v>1609</v>
      </c>
      <c r="I1971"/>
      <c r="J1971" s="4"/>
      <c r="K1971"/>
    </row>
    <row r="1972" spans="1:11" hidden="1">
      <c r="A1972" s="134"/>
      <c r="F1972" s="91">
        <v>3</v>
      </c>
      <c r="G1972" s="90" t="s">
        <v>1796</v>
      </c>
      <c r="H1972" s="86" t="s">
        <v>2133</v>
      </c>
      <c r="I1972" s="8">
        <f>(C598)</f>
        <v>120</v>
      </c>
      <c r="J1972" s="2" t="s">
        <v>1796</v>
      </c>
      <c r="K1972" s="8">
        <f t="shared" ref="K1972:K1978" si="70">(F1972*I1972)</f>
        <v>360</v>
      </c>
    </row>
    <row r="1973" spans="1:11" hidden="1">
      <c r="A1973" s="134"/>
      <c r="F1973" s="91">
        <v>1</v>
      </c>
      <c r="G1973" s="90" t="s">
        <v>778</v>
      </c>
      <c r="H1973" s="86" t="s">
        <v>676</v>
      </c>
      <c r="I1973" s="8">
        <f>C601</f>
        <v>65</v>
      </c>
      <c r="J1973" s="2" t="s">
        <v>1741</v>
      </c>
      <c r="K1973" s="8">
        <f t="shared" si="70"/>
        <v>65</v>
      </c>
    </row>
    <row r="1974" spans="1:11" hidden="1">
      <c r="A1974" s="134"/>
      <c r="F1974" s="91">
        <v>1</v>
      </c>
      <c r="G1974" s="90" t="s">
        <v>778</v>
      </c>
      <c r="H1974" s="86" t="s">
        <v>677</v>
      </c>
      <c r="I1974" s="8">
        <f>C626</f>
        <v>12</v>
      </c>
      <c r="J1974" s="2" t="s">
        <v>1741</v>
      </c>
      <c r="K1974" s="8">
        <f t="shared" si="70"/>
        <v>12</v>
      </c>
    </row>
    <row r="1975" spans="1:11" hidden="1">
      <c r="A1975" s="134"/>
      <c r="F1975" s="91">
        <v>1</v>
      </c>
      <c r="G1975" s="90" t="s">
        <v>778</v>
      </c>
      <c r="H1975" s="86" t="s">
        <v>1544</v>
      </c>
      <c r="I1975" s="8">
        <f>C623</f>
        <v>110</v>
      </c>
      <c r="J1975" s="2" t="s">
        <v>1741</v>
      </c>
      <c r="K1975" s="8">
        <f t="shared" si="70"/>
        <v>110</v>
      </c>
    </row>
    <row r="1976" spans="1:11" hidden="1">
      <c r="A1976" s="134"/>
      <c r="F1976" s="91">
        <v>0.5</v>
      </c>
      <c r="G1976" s="90" t="s">
        <v>877</v>
      </c>
      <c r="H1976" s="86" t="s">
        <v>2130</v>
      </c>
      <c r="I1976" s="8">
        <f>(C15)</f>
        <v>130</v>
      </c>
      <c r="J1976" s="2" t="s">
        <v>1741</v>
      </c>
      <c r="K1976" s="8">
        <f t="shared" si="70"/>
        <v>65</v>
      </c>
    </row>
    <row r="1977" spans="1:11" hidden="1">
      <c r="A1977" s="134"/>
      <c r="F1977" s="91">
        <v>0.5</v>
      </c>
      <c r="G1977" s="90" t="s">
        <v>877</v>
      </c>
      <c r="H1977" s="86" t="s">
        <v>1737</v>
      </c>
      <c r="I1977" s="8">
        <f>(C11)</f>
        <v>135</v>
      </c>
      <c r="J1977" s="2" t="s">
        <v>1741</v>
      </c>
      <c r="K1977" s="8">
        <f t="shared" si="70"/>
        <v>67.5</v>
      </c>
    </row>
    <row r="1978" spans="1:11" hidden="1">
      <c r="A1978" s="134"/>
      <c r="F1978" s="91">
        <v>0.5</v>
      </c>
      <c r="G1978" s="90" t="s">
        <v>877</v>
      </c>
      <c r="H1978" s="86" t="s">
        <v>1927</v>
      </c>
      <c r="I1978" s="8">
        <f>(C12)</f>
        <v>95</v>
      </c>
      <c r="J1978" s="2" t="s">
        <v>1741</v>
      </c>
      <c r="K1978" s="8">
        <f t="shared" si="70"/>
        <v>47.5</v>
      </c>
    </row>
    <row r="1979" spans="1:11" hidden="1">
      <c r="A1979" s="134"/>
      <c r="G1979" s="90" t="s">
        <v>450</v>
      </c>
      <c r="H1979" s="86" t="s">
        <v>1545</v>
      </c>
      <c r="I1979" s="8">
        <v>2.79</v>
      </c>
      <c r="J1979" s="2" t="s">
        <v>450</v>
      </c>
      <c r="K1979" s="8">
        <v>2.79</v>
      </c>
    </row>
    <row r="1980" spans="1:11" hidden="1">
      <c r="A1980" s="134"/>
      <c r="H1980" s="86" t="s">
        <v>85</v>
      </c>
      <c r="I1980"/>
      <c r="J1980" s="4"/>
      <c r="K1980"/>
    </row>
    <row r="1981" spans="1:11" hidden="1">
      <c r="A1981" s="134"/>
      <c r="H1981" s="86" t="s">
        <v>192</v>
      </c>
      <c r="I1981"/>
      <c r="J1981" s="4"/>
      <c r="K1981"/>
    </row>
    <row r="1982" spans="1:11" hidden="1">
      <c r="A1982" s="134"/>
      <c r="H1982" s="86" t="s">
        <v>742</v>
      </c>
      <c r="I1982"/>
      <c r="J1982" s="2" t="s">
        <v>450</v>
      </c>
      <c r="K1982" s="8">
        <v>0</v>
      </c>
    </row>
    <row r="1983" spans="1:11" hidden="1">
      <c r="A1983" s="134"/>
      <c r="I1983"/>
      <c r="J1983" s="4"/>
      <c r="K1983" s="5" t="s">
        <v>1609</v>
      </c>
    </row>
    <row r="1984" spans="1:11" hidden="1">
      <c r="A1984" s="134"/>
      <c r="H1984" s="86" t="s">
        <v>1337</v>
      </c>
      <c r="I1984"/>
      <c r="J1984" s="4"/>
      <c r="K1984" s="8">
        <f>SUM(K1972:K1982)</f>
        <v>729.79</v>
      </c>
    </row>
    <row r="1985" spans="1:11" hidden="1">
      <c r="A1985" s="134"/>
      <c r="I1985"/>
      <c r="J1985" s="4"/>
      <c r="K1985" s="5" t="s">
        <v>1609</v>
      </c>
    </row>
    <row r="1986" spans="1:11" hidden="1">
      <c r="A1986" s="134"/>
      <c r="H1986" s="86" t="s">
        <v>1567</v>
      </c>
      <c r="I1986"/>
      <c r="J1986" s="4"/>
      <c r="K1986" s="8">
        <f>(K1984/3)</f>
        <v>243.26</v>
      </c>
    </row>
    <row r="1987" spans="1:11" hidden="1">
      <c r="A1987" s="134"/>
      <c r="I1987"/>
      <c r="J1987" s="4"/>
      <c r="K1987" s="5" t="s">
        <v>1609</v>
      </c>
    </row>
    <row r="1988" spans="1:11" hidden="1">
      <c r="A1988" s="134"/>
      <c r="F1988" s="102" t="s">
        <v>743</v>
      </c>
      <c r="G1988" s="90" t="s">
        <v>284</v>
      </c>
      <c r="H1988" s="86" t="s">
        <v>744</v>
      </c>
      <c r="I1988"/>
      <c r="J1988" s="4"/>
      <c r="K1988"/>
    </row>
    <row r="1989" spans="1:11" hidden="1">
      <c r="A1989" s="134"/>
      <c r="H1989" s="86" t="s">
        <v>3419</v>
      </c>
      <c r="I1989"/>
      <c r="J1989" s="4"/>
      <c r="K1989"/>
    </row>
    <row r="1990" spans="1:11" hidden="1">
      <c r="A1990" s="134"/>
      <c r="H1990" s="86" t="s">
        <v>958</v>
      </c>
      <c r="I1990"/>
      <c r="J1990" s="4"/>
      <c r="K1990"/>
    </row>
    <row r="1991" spans="1:11" hidden="1">
      <c r="A1991" s="134"/>
      <c r="H1991" s="86" t="s">
        <v>745</v>
      </c>
      <c r="I1991"/>
      <c r="J1991" s="4"/>
      <c r="K1991"/>
    </row>
    <row r="1992" spans="1:11" hidden="1">
      <c r="A1992" s="134"/>
      <c r="H1992" s="86" t="s">
        <v>543</v>
      </c>
      <c r="I1992"/>
      <c r="J1992" s="4"/>
      <c r="K1992"/>
    </row>
    <row r="1993" spans="1:11" hidden="1">
      <c r="A1993" s="134"/>
      <c r="H1993" s="86" t="s">
        <v>2132</v>
      </c>
      <c r="I1993"/>
      <c r="J1993" s="4"/>
      <c r="K1993"/>
    </row>
    <row r="1994" spans="1:11" hidden="1">
      <c r="A1994" s="134"/>
      <c r="H1994" s="86" t="s">
        <v>2675</v>
      </c>
      <c r="I1994"/>
      <c r="J1994" s="4"/>
      <c r="K1994"/>
    </row>
    <row r="1995" spans="1:11" hidden="1">
      <c r="A1995" s="134"/>
      <c r="H1995" s="89" t="s">
        <v>1609</v>
      </c>
      <c r="I1995"/>
      <c r="J1995" s="4"/>
      <c r="K1995"/>
    </row>
    <row r="1996" spans="1:11" hidden="1">
      <c r="A1996" s="134"/>
      <c r="F1996" s="91">
        <v>3</v>
      </c>
      <c r="G1996" s="90" t="s">
        <v>1796</v>
      </c>
      <c r="H1996" s="86" t="s">
        <v>1017</v>
      </c>
      <c r="I1996" s="8">
        <f>(C599)</f>
        <v>80</v>
      </c>
      <c r="J1996" s="2" t="s">
        <v>1796</v>
      </c>
      <c r="K1996" s="8">
        <f t="shared" ref="K1996:K2002" si="71">(F1996*I1996)</f>
        <v>240</v>
      </c>
    </row>
    <row r="1997" spans="1:11" hidden="1">
      <c r="A1997" s="134"/>
      <c r="F1997" s="91">
        <v>1</v>
      </c>
      <c r="G1997" s="90" t="s">
        <v>778</v>
      </c>
      <c r="H1997" s="86" t="s">
        <v>1018</v>
      </c>
      <c r="I1997" s="8">
        <f>C602</f>
        <v>40</v>
      </c>
      <c r="J1997" s="4" t="s">
        <v>778</v>
      </c>
      <c r="K1997" s="8">
        <f t="shared" si="71"/>
        <v>40</v>
      </c>
    </row>
    <row r="1998" spans="1:11" hidden="1">
      <c r="A1998" s="134"/>
      <c r="F1998" s="91">
        <v>1</v>
      </c>
      <c r="G1998" s="90" t="s">
        <v>778</v>
      </c>
      <c r="H1998" s="86" t="s">
        <v>1019</v>
      </c>
      <c r="I1998" s="8">
        <f>C627</f>
        <v>7.5</v>
      </c>
      <c r="J1998" s="4" t="s">
        <v>778</v>
      </c>
      <c r="K1998" s="8">
        <f t="shared" si="71"/>
        <v>7.5</v>
      </c>
    </row>
    <row r="1999" spans="1:11" hidden="1">
      <c r="A1999" s="134"/>
      <c r="F1999" s="91">
        <v>1</v>
      </c>
      <c r="G1999" s="90" t="s">
        <v>778</v>
      </c>
      <c r="H1999" s="86" t="s">
        <v>86</v>
      </c>
      <c r="I1999" s="8">
        <f>C624</f>
        <v>70</v>
      </c>
      <c r="J1999" s="4" t="s">
        <v>778</v>
      </c>
      <c r="K1999" s="8">
        <f t="shared" si="71"/>
        <v>70</v>
      </c>
    </row>
    <row r="2000" spans="1:11" hidden="1">
      <c r="A2000" s="134"/>
      <c r="F2000" s="91">
        <v>0.5</v>
      </c>
      <c r="G2000" s="90" t="s">
        <v>877</v>
      </c>
      <c r="H2000" s="86" t="s">
        <v>2130</v>
      </c>
      <c r="I2000" s="8">
        <f>(C15)</f>
        <v>130</v>
      </c>
      <c r="J2000" s="2" t="s">
        <v>877</v>
      </c>
      <c r="K2000" s="8">
        <f t="shared" si="71"/>
        <v>65</v>
      </c>
    </row>
    <row r="2001" spans="1:11" hidden="1">
      <c r="A2001" s="134"/>
      <c r="F2001" s="91">
        <v>0.5</v>
      </c>
      <c r="G2001" s="90" t="s">
        <v>877</v>
      </c>
      <c r="H2001" s="86" t="s">
        <v>1737</v>
      </c>
      <c r="I2001" s="8">
        <f>(C11)</f>
        <v>135</v>
      </c>
      <c r="J2001" s="2" t="s">
        <v>877</v>
      </c>
      <c r="K2001" s="8">
        <f t="shared" si="71"/>
        <v>67.5</v>
      </c>
    </row>
    <row r="2002" spans="1:11" hidden="1">
      <c r="A2002" s="134"/>
      <c r="F2002" s="91">
        <v>0.5</v>
      </c>
      <c r="G2002" s="90" t="s">
        <v>877</v>
      </c>
      <c r="H2002" s="86" t="s">
        <v>1927</v>
      </c>
      <c r="I2002" s="8">
        <f>(C12)</f>
        <v>95</v>
      </c>
      <c r="J2002" s="2" t="s">
        <v>877</v>
      </c>
      <c r="K2002" s="8">
        <f t="shared" si="71"/>
        <v>47.5</v>
      </c>
    </row>
    <row r="2003" spans="1:11" hidden="1">
      <c r="A2003" s="134"/>
      <c r="G2003" s="90" t="s">
        <v>450</v>
      </c>
      <c r="H2003" s="86" t="s">
        <v>1545</v>
      </c>
      <c r="I2003" s="1" t="s">
        <v>987</v>
      </c>
      <c r="J2003" s="2" t="s">
        <v>450</v>
      </c>
      <c r="K2003" s="8">
        <v>2.73</v>
      </c>
    </row>
    <row r="2004" spans="1:11" hidden="1">
      <c r="A2004" s="134"/>
      <c r="H2004" s="86" t="s">
        <v>85</v>
      </c>
      <c r="I2004"/>
      <c r="J2004" s="4"/>
      <c r="K2004"/>
    </row>
    <row r="2005" spans="1:11" hidden="1">
      <c r="A2005" s="134"/>
      <c r="H2005" s="86" t="s">
        <v>192</v>
      </c>
      <c r="I2005"/>
      <c r="J2005" s="4"/>
      <c r="K2005"/>
    </row>
    <row r="2006" spans="1:11" hidden="1">
      <c r="A2006" s="134"/>
      <c r="H2006" s="86" t="s">
        <v>742</v>
      </c>
      <c r="I2006"/>
      <c r="J2006" s="2" t="s">
        <v>450</v>
      </c>
      <c r="K2006" s="8">
        <v>0</v>
      </c>
    </row>
    <row r="2007" spans="1:11" hidden="1">
      <c r="A2007" s="134"/>
      <c r="I2007"/>
      <c r="J2007" s="4"/>
      <c r="K2007" s="5" t="s">
        <v>1609</v>
      </c>
    </row>
    <row r="2008" spans="1:11" hidden="1">
      <c r="A2008" s="134"/>
      <c r="H2008" s="86" t="s">
        <v>1337</v>
      </c>
      <c r="I2008"/>
      <c r="J2008" s="4"/>
      <c r="K2008" s="8">
        <f>SUM(K1996:K2006)</f>
        <v>540.23</v>
      </c>
    </row>
    <row r="2009" spans="1:11" hidden="1">
      <c r="A2009" s="134"/>
      <c r="I2009"/>
      <c r="J2009" s="4"/>
      <c r="K2009" s="5" t="s">
        <v>1609</v>
      </c>
    </row>
    <row r="2010" spans="1:11" hidden="1">
      <c r="A2010" s="134"/>
      <c r="H2010" s="86" t="s">
        <v>1567</v>
      </c>
      <c r="I2010"/>
      <c r="J2010" s="4"/>
      <c r="K2010" s="8">
        <f>(K2008/3)</f>
        <v>180.08</v>
      </c>
    </row>
    <row r="2011" spans="1:11" hidden="1">
      <c r="A2011" s="134"/>
      <c r="I2011"/>
      <c r="J2011" s="4"/>
      <c r="K2011" s="5" t="s">
        <v>1609</v>
      </c>
    </row>
    <row r="2012" spans="1:11" hidden="1">
      <c r="A2012" s="134"/>
      <c r="F2012" s="102" t="s">
        <v>87</v>
      </c>
      <c r="H2012" s="86" t="s">
        <v>209</v>
      </c>
      <c r="I2012"/>
      <c r="J2012" s="4"/>
      <c r="K2012"/>
    </row>
    <row r="2013" spans="1:11" hidden="1">
      <c r="A2013" s="134"/>
      <c r="H2013" s="86" t="s">
        <v>1844</v>
      </c>
      <c r="I2013"/>
      <c r="J2013" s="4"/>
      <c r="K2013"/>
    </row>
    <row r="2014" spans="1:11" hidden="1">
      <c r="A2014" s="134"/>
      <c r="F2014" s="86" t="s">
        <v>987</v>
      </c>
      <c r="H2014" s="86" t="s">
        <v>2220</v>
      </c>
      <c r="I2014"/>
      <c r="J2014" s="4"/>
      <c r="K2014"/>
    </row>
    <row r="2015" spans="1:11" hidden="1">
      <c r="A2015" s="134"/>
      <c r="H2015" s="89" t="s">
        <v>1609</v>
      </c>
      <c r="I2015"/>
      <c r="J2015" s="4"/>
      <c r="K2015"/>
    </row>
    <row r="2016" spans="1:11" hidden="1">
      <c r="A2016" s="134"/>
      <c r="F2016" s="91">
        <v>3</v>
      </c>
      <c r="G2016" s="90" t="s">
        <v>2221</v>
      </c>
      <c r="H2016" s="86" t="s">
        <v>2222</v>
      </c>
      <c r="I2016" s="8">
        <v>108</v>
      </c>
      <c r="J2016" s="2" t="s">
        <v>2221</v>
      </c>
      <c r="K2016" s="8">
        <f>(F2016*I2016)</f>
        <v>324</v>
      </c>
    </row>
    <row r="2017" spans="1:11" hidden="1">
      <c r="A2017" s="134"/>
      <c r="F2017" s="91">
        <v>1</v>
      </c>
      <c r="G2017" s="90" t="s">
        <v>1785</v>
      </c>
      <c r="H2017" s="86" t="s">
        <v>2223</v>
      </c>
      <c r="I2017" s="8">
        <v>12</v>
      </c>
      <c r="J2017" s="2" t="s">
        <v>1785</v>
      </c>
      <c r="K2017" s="8">
        <f>(F2017*I2017)</f>
        <v>12</v>
      </c>
    </row>
    <row r="2018" spans="1:11" hidden="1">
      <c r="A2018" s="134"/>
      <c r="F2018" s="91">
        <v>1</v>
      </c>
      <c r="G2018" s="90" t="s">
        <v>1785</v>
      </c>
      <c r="H2018" s="86" t="s">
        <v>2224</v>
      </c>
      <c r="I2018" s="8">
        <v>8</v>
      </c>
      <c r="J2018" s="2" t="s">
        <v>1785</v>
      </c>
      <c r="K2018" s="8">
        <f>(F2018*I2018)</f>
        <v>8</v>
      </c>
    </row>
    <row r="2019" spans="1:11" hidden="1">
      <c r="A2019" s="134"/>
      <c r="F2019" s="102" t="s">
        <v>741</v>
      </c>
      <c r="H2019" s="86" t="s">
        <v>2225</v>
      </c>
      <c r="I2019" s="2" t="s">
        <v>741</v>
      </c>
      <c r="J2019" s="4"/>
      <c r="K2019" s="8">
        <v>1.21</v>
      </c>
    </row>
    <row r="2020" spans="1:11" hidden="1">
      <c r="A2020" s="134"/>
      <c r="I2020"/>
      <c r="J2020" s="4"/>
      <c r="K2020" s="5" t="s">
        <v>1609</v>
      </c>
    </row>
    <row r="2021" spans="1:11" hidden="1">
      <c r="A2021" s="134"/>
      <c r="H2021" s="86" t="s">
        <v>396</v>
      </c>
      <c r="I2021"/>
      <c r="J2021" s="4"/>
      <c r="K2021" s="8">
        <f>SUM(K2016:K2019)</f>
        <v>345.21</v>
      </c>
    </row>
    <row r="2022" spans="1:11" hidden="1">
      <c r="A2022" s="134"/>
      <c r="I2022"/>
      <c r="J2022" s="4"/>
      <c r="K2022" s="5" t="s">
        <v>1609</v>
      </c>
    </row>
    <row r="2023" spans="1:11" hidden="1">
      <c r="A2023" s="134"/>
      <c r="I2023"/>
      <c r="J2023" s="4"/>
      <c r="K2023"/>
    </row>
    <row r="2024" spans="1:11" hidden="1">
      <c r="A2024" s="134"/>
      <c r="F2024" s="102" t="s">
        <v>397</v>
      </c>
      <c r="G2024" s="90" t="s">
        <v>2276</v>
      </c>
      <c r="H2024" s="86" t="s">
        <v>1151</v>
      </c>
      <c r="I2024"/>
      <c r="J2024" s="4"/>
      <c r="K2024"/>
    </row>
    <row r="2025" spans="1:11" hidden="1">
      <c r="A2025" s="134"/>
      <c r="H2025" s="86" t="s">
        <v>295</v>
      </c>
      <c r="I2025"/>
      <c r="J2025" s="4"/>
      <c r="K2025"/>
    </row>
    <row r="2026" spans="1:11" hidden="1">
      <c r="A2026" s="134"/>
      <c r="H2026" s="89" t="s">
        <v>1609</v>
      </c>
      <c r="I2026"/>
      <c r="J2026" s="4"/>
      <c r="K2026"/>
    </row>
    <row r="2027" spans="1:11" hidden="1">
      <c r="A2027" s="134"/>
      <c r="F2027" s="91">
        <v>1</v>
      </c>
      <c r="G2027" s="90" t="s">
        <v>877</v>
      </c>
      <c r="H2027" s="86" t="s">
        <v>295</v>
      </c>
      <c r="I2027" s="8">
        <f>(C265)</f>
        <v>115</v>
      </c>
      <c r="J2027" s="2" t="s">
        <v>877</v>
      </c>
      <c r="K2027" s="8">
        <f>(F2027*I2027)</f>
        <v>115</v>
      </c>
    </row>
    <row r="2028" spans="1:11" hidden="1">
      <c r="A2028" s="134"/>
      <c r="F2028" s="91">
        <v>0.05</v>
      </c>
      <c r="G2028" s="90" t="s">
        <v>878</v>
      </c>
      <c r="H2028" s="86" t="s">
        <v>1193</v>
      </c>
      <c r="I2028" s="8" t="e">
        <f>(R60)</f>
        <v>#REF!</v>
      </c>
      <c r="J2028" s="2" t="s">
        <v>878</v>
      </c>
      <c r="K2028" s="8" t="e">
        <f>(F2028*I2028)</f>
        <v>#REF!</v>
      </c>
    </row>
    <row r="2029" spans="1:11" hidden="1">
      <c r="A2029" s="134"/>
      <c r="F2029" s="91">
        <v>0.5</v>
      </c>
      <c r="G2029" s="90" t="s">
        <v>877</v>
      </c>
      <c r="H2029" s="86" t="s">
        <v>2130</v>
      </c>
      <c r="I2029" s="8">
        <f>(C15)</f>
        <v>130</v>
      </c>
      <c r="J2029" s="2" t="s">
        <v>877</v>
      </c>
      <c r="K2029" s="8">
        <f>(F2029*I2029)</f>
        <v>65</v>
      </c>
    </row>
    <row r="2030" spans="1:11" hidden="1">
      <c r="A2030" s="134"/>
      <c r="F2030" s="91">
        <v>1</v>
      </c>
      <c r="G2030" s="90" t="s">
        <v>877</v>
      </c>
      <c r="H2030" s="86" t="s">
        <v>1927</v>
      </c>
      <c r="I2030" s="8">
        <f>(C12)</f>
        <v>95</v>
      </c>
      <c r="J2030" s="2" t="s">
        <v>877</v>
      </c>
      <c r="K2030" s="8">
        <f>(F2030*I2030)</f>
        <v>95</v>
      </c>
    </row>
    <row r="2031" spans="1:11" hidden="1">
      <c r="A2031" s="134"/>
      <c r="F2031" s="91">
        <v>1</v>
      </c>
      <c r="G2031" s="90" t="s">
        <v>877</v>
      </c>
      <c r="H2031" s="86" t="s">
        <v>321</v>
      </c>
      <c r="I2031" s="8">
        <f>(C13)</f>
        <v>85</v>
      </c>
      <c r="J2031" s="2" t="s">
        <v>877</v>
      </c>
      <c r="K2031" s="8">
        <f>(F2031*I2031)</f>
        <v>85</v>
      </c>
    </row>
    <row r="2032" spans="1:11" hidden="1">
      <c r="A2032" s="134"/>
      <c r="G2032" s="90" t="s">
        <v>450</v>
      </c>
      <c r="H2032" s="86" t="s">
        <v>451</v>
      </c>
      <c r="I2032" s="1" t="s">
        <v>987</v>
      </c>
      <c r="J2032" s="2" t="s">
        <v>450</v>
      </c>
      <c r="K2032" s="8">
        <v>0</v>
      </c>
    </row>
    <row r="2033" spans="1:11" hidden="1">
      <c r="A2033" s="134"/>
      <c r="H2033" s="86" t="s">
        <v>987</v>
      </c>
      <c r="I2033"/>
      <c r="J2033" s="4"/>
      <c r="K2033" s="5" t="s">
        <v>1609</v>
      </c>
    </row>
    <row r="2034" spans="1:11" hidden="1">
      <c r="A2034" s="134"/>
      <c r="H2034" s="86" t="s">
        <v>1776</v>
      </c>
      <c r="I2034"/>
      <c r="J2034" s="4"/>
      <c r="K2034" s="8" t="e">
        <f>SUM(K2027:K2032)</f>
        <v>#REF!</v>
      </c>
    </row>
    <row r="2035" spans="1:11" hidden="1">
      <c r="A2035" s="134"/>
      <c r="I2035"/>
      <c r="J2035" s="4"/>
      <c r="K2035" s="5" t="s">
        <v>2080</v>
      </c>
    </row>
    <row r="2036" spans="1:11" hidden="1">
      <c r="A2036" s="134"/>
      <c r="F2036" s="102" t="s">
        <v>1194</v>
      </c>
      <c r="G2036" s="90" t="s">
        <v>2276</v>
      </c>
      <c r="H2036" s="86" t="s">
        <v>2250</v>
      </c>
      <c r="I2036"/>
      <c r="J2036" s="4"/>
      <c r="K2036"/>
    </row>
    <row r="2037" spans="1:11" hidden="1">
      <c r="A2037" s="134"/>
      <c r="H2037" s="86" t="s">
        <v>2403</v>
      </c>
      <c r="I2037"/>
      <c r="J2037" s="4"/>
      <c r="K2037"/>
    </row>
    <row r="2038" spans="1:11" hidden="1">
      <c r="A2038" s="134"/>
      <c r="H2038" s="89" t="s">
        <v>1609</v>
      </c>
      <c r="I2038"/>
      <c r="J2038" s="4"/>
      <c r="K2038"/>
    </row>
    <row r="2039" spans="1:11" hidden="1">
      <c r="A2039" s="134"/>
      <c r="F2039" s="91">
        <v>1</v>
      </c>
      <c r="G2039" s="90" t="s">
        <v>877</v>
      </c>
      <c r="H2039" s="86" t="s">
        <v>2251</v>
      </c>
      <c r="I2039" s="8">
        <f>(D266)</f>
        <v>90</v>
      </c>
      <c r="J2039" s="2" t="s">
        <v>877</v>
      </c>
      <c r="K2039" s="8">
        <f>(F2039*I2039)</f>
        <v>90</v>
      </c>
    </row>
    <row r="2040" spans="1:11" hidden="1">
      <c r="A2040" s="134"/>
      <c r="G2040" s="90" t="s">
        <v>450</v>
      </c>
      <c r="H2040" s="86" t="s">
        <v>1711</v>
      </c>
      <c r="I2040"/>
      <c r="J2040" s="2" t="s">
        <v>450</v>
      </c>
      <c r="K2040" s="8">
        <v>4</v>
      </c>
    </row>
    <row r="2041" spans="1:11" hidden="1">
      <c r="A2041" s="134"/>
      <c r="I2041"/>
      <c r="J2041" s="2" t="s">
        <v>987</v>
      </c>
      <c r="K2041" s="5" t="s">
        <v>1609</v>
      </c>
    </row>
    <row r="2042" spans="1:11" hidden="1">
      <c r="A2042" s="134"/>
      <c r="H2042" s="86" t="s">
        <v>1776</v>
      </c>
      <c r="I2042"/>
      <c r="J2042" s="4"/>
      <c r="K2042" s="8">
        <f>SUM(K2039:K2041)</f>
        <v>94</v>
      </c>
    </row>
    <row r="2043" spans="1:11" hidden="1">
      <c r="A2043" s="134"/>
      <c r="I2043"/>
      <c r="J2043" s="4"/>
      <c r="K2043" s="5" t="s">
        <v>1609</v>
      </c>
    </row>
    <row r="2044" spans="1:11" hidden="1">
      <c r="A2044" s="134"/>
      <c r="F2044" s="102" t="s">
        <v>1712</v>
      </c>
      <c r="G2044" s="90" t="s">
        <v>2276</v>
      </c>
      <c r="H2044" s="86" t="s">
        <v>53</v>
      </c>
      <c r="I2044"/>
      <c r="J2044" s="4"/>
      <c r="K2044"/>
    </row>
    <row r="2045" spans="1:11" hidden="1">
      <c r="A2045" s="134"/>
      <c r="H2045" s="86" t="s">
        <v>54</v>
      </c>
      <c r="I2045"/>
      <c r="J2045" s="4"/>
      <c r="K2045"/>
    </row>
    <row r="2046" spans="1:11" hidden="1">
      <c r="A2046" s="134"/>
      <c r="H2046" s="89" t="s">
        <v>1609</v>
      </c>
      <c r="I2046"/>
      <c r="J2046" s="4"/>
      <c r="K2046"/>
    </row>
    <row r="2047" spans="1:11" hidden="1">
      <c r="A2047" s="134"/>
      <c r="F2047" s="91">
        <v>50</v>
      </c>
      <c r="G2047" s="90" t="s">
        <v>877</v>
      </c>
      <c r="H2047" s="86" t="s">
        <v>799</v>
      </c>
      <c r="I2047" s="8">
        <f>(C203)</f>
        <v>40</v>
      </c>
      <c r="J2047" s="2" t="s">
        <v>877</v>
      </c>
      <c r="K2047" s="8">
        <f t="shared" ref="K2047:K2056" si="72">(F2047*I2047)</f>
        <v>2000</v>
      </c>
    </row>
    <row r="2048" spans="1:11" hidden="1">
      <c r="A2048" s="134"/>
      <c r="F2048" s="91">
        <v>21.6</v>
      </c>
      <c r="G2048" s="90" t="s">
        <v>878</v>
      </c>
      <c r="H2048" s="86" t="s">
        <v>800</v>
      </c>
      <c r="I2048" s="8">
        <f>(C61*2)</f>
        <v>50</v>
      </c>
      <c r="J2048" s="2" t="s">
        <v>878</v>
      </c>
      <c r="K2048" s="8">
        <f t="shared" si="72"/>
        <v>1080</v>
      </c>
    </row>
    <row r="2049" spans="1:11" hidden="1">
      <c r="A2049" s="134"/>
      <c r="F2049" s="91">
        <v>21.6</v>
      </c>
      <c r="G2049" s="90" t="s">
        <v>878</v>
      </c>
      <c r="H2049" s="86" t="s">
        <v>250</v>
      </c>
      <c r="I2049" s="8">
        <f>(C26)</f>
        <v>8.8000000000000007</v>
      </c>
      <c r="J2049" s="2" t="s">
        <v>878</v>
      </c>
      <c r="K2049" s="8">
        <f t="shared" si="72"/>
        <v>190.08</v>
      </c>
    </row>
    <row r="2050" spans="1:11" hidden="1">
      <c r="A2050" s="134"/>
      <c r="F2050" s="91">
        <v>45</v>
      </c>
      <c r="G2050" s="90" t="s">
        <v>1670</v>
      </c>
      <c r="H2050" s="86" t="s">
        <v>871</v>
      </c>
      <c r="I2050" s="8">
        <f>(C67/1000)</f>
        <v>3.8</v>
      </c>
      <c r="J2050" s="2" t="s">
        <v>1670</v>
      </c>
      <c r="K2050" s="8">
        <f t="shared" si="72"/>
        <v>171</v>
      </c>
    </row>
    <row r="2051" spans="1:11" hidden="1">
      <c r="A2051" s="134"/>
      <c r="F2051" s="91">
        <v>0.04</v>
      </c>
      <c r="G2051" s="90" t="s">
        <v>878</v>
      </c>
      <c r="H2051" s="86" t="s">
        <v>879</v>
      </c>
      <c r="I2051" s="8" t="e">
        <f>(C78)</f>
        <v>#REF!</v>
      </c>
      <c r="J2051" s="2" t="s">
        <v>878</v>
      </c>
      <c r="K2051" s="8" t="e">
        <f t="shared" si="72"/>
        <v>#REF!</v>
      </c>
    </row>
    <row r="2052" spans="1:11" hidden="1">
      <c r="A2052" s="134"/>
      <c r="F2052" s="91">
        <v>3.63</v>
      </c>
      <c r="G2052" s="90" t="s">
        <v>1670</v>
      </c>
      <c r="H2052" s="86" t="s">
        <v>801</v>
      </c>
      <c r="I2052" s="8">
        <f>(C585)</f>
        <v>7</v>
      </c>
      <c r="J2052" s="2" t="s">
        <v>1670</v>
      </c>
      <c r="K2052" s="8">
        <f t="shared" si="72"/>
        <v>25.41</v>
      </c>
    </row>
    <row r="2053" spans="1:11" hidden="1">
      <c r="A2053" s="134"/>
      <c r="F2053" s="91">
        <v>2</v>
      </c>
      <c r="G2053" s="90" t="s">
        <v>877</v>
      </c>
      <c r="H2053" s="86" t="s">
        <v>2034</v>
      </c>
      <c r="I2053" s="8">
        <f>(C10)</f>
        <v>150</v>
      </c>
      <c r="J2053" s="2" t="s">
        <v>877</v>
      </c>
      <c r="K2053" s="8">
        <f t="shared" si="72"/>
        <v>300</v>
      </c>
    </row>
    <row r="2054" spans="1:11" hidden="1">
      <c r="A2054" s="134"/>
      <c r="F2054" s="91">
        <v>1</v>
      </c>
      <c r="G2054" s="90" t="s">
        <v>877</v>
      </c>
      <c r="H2054" s="86" t="s">
        <v>802</v>
      </c>
      <c r="I2054" s="8">
        <f>AE37</f>
        <v>120</v>
      </c>
      <c r="J2054" s="2" t="s">
        <v>877</v>
      </c>
      <c r="K2054" s="8">
        <f t="shared" si="72"/>
        <v>120</v>
      </c>
    </row>
    <row r="2055" spans="1:11" hidden="1">
      <c r="A2055" s="134"/>
      <c r="F2055" s="91">
        <v>5</v>
      </c>
      <c r="G2055" s="90" t="s">
        <v>877</v>
      </c>
      <c r="H2055" s="86" t="s">
        <v>1927</v>
      </c>
      <c r="I2055" s="8">
        <f>(C12)</f>
        <v>95</v>
      </c>
      <c r="J2055" s="2" t="s">
        <v>877</v>
      </c>
      <c r="K2055" s="8">
        <f t="shared" si="72"/>
        <v>475</v>
      </c>
    </row>
    <row r="2056" spans="1:11" hidden="1">
      <c r="A2056" s="134"/>
      <c r="F2056" s="91">
        <v>2</v>
      </c>
      <c r="G2056" s="90" t="s">
        <v>877</v>
      </c>
      <c r="H2056" s="86" t="s">
        <v>321</v>
      </c>
      <c r="I2056" s="8">
        <f>(C13)</f>
        <v>85</v>
      </c>
      <c r="J2056" s="2" t="s">
        <v>877</v>
      </c>
      <c r="K2056" s="8">
        <f t="shared" si="72"/>
        <v>170</v>
      </c>
    </row>
    <row r="2057" spans="1:11" hidden="1">
      <c r="A2057" s="134"/>
      <c r="G2057" s="90" t="s">
        <v>450</v>
      </c>
      <c r="H2057" s="86" t="s">
        <v>2160</v>
      </c>
      <c r="I2057"/>
      <c r="J2057" s="2" t="s">
        <v>450</v>
      </c>
      <c r="K2057" s="8">
        <f>SUM(K2053:K2056)/10</f>
        <v>106.5</v>
      </c>
    </row>
    <row r="2058" spans="1:11" hidden="1">
      <c r="A2058" s="134"/>
      <c r="I2058"/>
      <c r="J2058" s="4"/>
      <c r="K2058" s="5" t="s">
        <v>1609</v>
      </c>
    </row>
    <row r="2059" spans="1:11" hidden="1">
      <c r="A2059" s="134"/>
      <c r="H2059" s="86" t="s">
        <v>2161</v>
      </c>
      <c r="I2059"/>
      <c r="J2059" s="4"/>
      <c r="K2059" s="8" t="e">
        <f>SUM(K2047:K2057)</f>
        <v>#REF!</v>
      </c>
    </row>
    <row r="2060" spans="1:11" hidden="1">
      <c r="A2060" s="134"/>
      <c r="I2060"/>
      <c r="J2060" s="4"/>
      <c r="K2060" s="5" t="s">
        <v>1609</v>
      </c>
    </row>
    <row r="2061" spans="1:11" hidden="1">
      <c r="A2061" s="134"/>
      <c r="H2061" s="86" t="s">
        <v>1141</v>
      </c>
      <c r="I2061"/>
      <c r="J2061" s="4"/>
      <c r="K2061" s="8" t="e">
        <f>(K2059/30)</f>
        <v>#REF!</v>
      </c>
    </row>
    <row r="2062" spans="1:11" hidden="1">
      <c r="A2062" s="134"/>
      <c r="I2062"/>
      <c r="J2062" s="4"/>
      <c r="K2062" s="5" t="s">
        <v>2080</v>
      </c>
    </row>
    <row r="2063" spans="1:11" hidden="1">
      <c r="A2063" s="134"/>
      <c r="I2063"/>
      <c r="J2063" s="4"/>
      <c r="K2063"/>
    </row>
    <row r="2064" spans="1:11" hidden="1">
      <c r="A2064" s="134"/>
      <c r="F2064" s="102" t="s">
        <v>1142</v>
      </c>
      <c r="G2064" s="90" t="s">
        <v>2276</v>
      </c>
      <c r="H2064" s="86" t="s">
        <v>1033</v>
      </c>
      <c r="I2064"/>
      <c r="J2064" s="4"/>
      <c r="K2064"/>
    </row>
    <row r="2065" spans="1:11" hidden="1">
      <c r="A2065" s="134"/>
      <c r="H2065" s="86" t="s">
        <v>54</v>
      </c>
      <c r="I2065"/>
      <c r="J2065" s="4"/>
      <c r="K2065"/>
    </row>
    <row r="2066" spans="1:11" hidden="1">
      <c r="A2066" s="134"/>
      <c r="H2066" s="89" t="s">
        <v>1609</v>
      </c>
      <c r="I2066"/>
      <c r="J2066" s="4"/>
      <c r="K2066"/>
    </row>
    <row r="2067" spans="1:11" hidden="1">
      <c r="A2067" s="134"/>
      <c r="F2067" s="91">
        <v>50</v>
      </c>
      <c r="G2067" s="90" t="s">
        <v>877</v>
      </c>
      <c r="H2067" s="86" t="s">
        <v>572</v>
      </c>
      <c r="I2067" s="8">
        <f>C204</f>
        <v>65</v>
      </c>
      <c r="J2067" s="2" t="s">
        <v>877</v>
      </c>
      <c r="K2067" s="8">
        <f t="shared" ref="K2067:K2076" si="73">(F2067*I2067)</f>
        <v>3250</v>
      </c>
    </row>
    <row r="2068" spans="1:11" hidden="1">
      <c r="A2068" s="134"/>
      <c r="F2068" s="91">
        <v>21.6</v>
      </c>
      <c r="G2068" s="90" t="s">
        <v>878</v>
      </c>
      <c r="H2068" s="86" t="s">
        <v>800</v>
      </c>
      <c r="I2068" s="8">
        <f>(C61*2)</f>
        <v>50</v>
      </c>
      <c r="J2068" s="2" t="s">
        <v>878</v>
      </c>
      <c r="K2068" s="8">
        <f t="shared" si="73"/>
        <v>1080</v>
      </c>
    </row>
    <row r="2069" spans="1:11" hidden="1">
      <c r="A2069" s="134"/>
      <c r="F2069" s="91">
        <v>21.6</v>
      </c>
      <c r="G2069" s="90" t="s">
        <v>878</v>
      </c>
      <c r="H2069" s="86" t="s">
        <v>250</v>
      </c>
      <c r="I2069" s="8">
        <f>(C26)</f>
        <v>8.8000000000000007</v>
      </c>
      <c r="J2069" s="2" t="s">
        <v>878</v>
      </c>
      <c r="K2069" s="8">
        <f t="shared" si="73"/>
        <v>190.08</v>
      </c>
    </row>
    <row r="2070" spans="1:11" hidden="1">
      <c r="A2070" s="134"/>
      <c r="F2070" s="91">
        <v>68</v>
      </c>
      <c r="G2070" s="90" t="s">
        <v>1670</v>
      </c>
      <c r="H2070" s="86" t="s">
        <v>871</v>
      </c>
      <c r="I2070" s="8">
        <f>(C67/1000)</f>
        <v>3.8</v>
      </c>
      <c r="J2070" s="2" t="s">
        <v>1670</v>
      </c>
      <c r="K2070" s="8">
        <f t="shared" si="73"/>
        <v>258.39999999999998</v>
      </c>
    </row>
    <row r="2071" spans="1:11" hidden="1">
      <c r="A2071" s="134"/>
      <c r="F2071" s="91">
        <v>7.0000000000000007E-2</v>
      </c>
      <c r="G2071" s="90" t="s">
        <v>878</v>
      </c>
      <c r="H2071" s="86" t="s">
        <v>879</v>
      </c>
      <c r="I2071" s="8" t="e">
        <f>(C78)</f>
        <v>#REF!</v>
      </c>
      <c r="J2071" s="2" t="s">
        <v>878</v>
      </c>
      <c r="K2071" s="8" t="e">
        <f t="shared" si="73"/>
        <v>#REF!</v>
      </c>
    </row>
    <row r="2072" spans="1:11" hidden="1">
      <c r="A2072" s="134"/>
      <c r="F2072" s="91">
        <v>5.45</v>
      </c>
      <c r="G2072" s="90" t="s">
        <v>1670</v>
      </c>
      <c r="H2072" s="86" t="s">
        <v>801</v>
      </c>
      <c r="I2072" s="8">
        <f>(C585)</f>
        <v>7</v>
      </c>
      <c r="J2072" s="2" t="s">
        <v>1670</v>
      </c>
      <c r="K2072" s="8">
        <f t="shared" si="73"/>
        <v>38.15</v>
      </c>
    </row>
    <row r="2073" spans="1:11" hidden="1">
      <c r="A2073" s="134"/>
      <c r="F2073" s="91">
        <v>3</v>
      </c>
      <c r="G2073" s="90" t="s">
        <v>877</v>
      </c>
      <c r="H2073" s="86" t="s">
        <v>2034</v>
      </c>
      <c r="I2073" s="8">
        <f>(C10)</f>
        <v>150</v>
      </c>
      <c r="J2073" s="2" t="s">
        <v>877</v>
      </c>
      <c r="K2073" s="8">
        <f t="shared" si="73"/>
        <v>450</v>
      </c>
    </row>
    <row r="2074" spans="1:11" hidden="1">
      <c r="A2074" s="134"/>
      <c r="F2074" s="91">
        <v>2</v>
      </c>
      <c r="G2074" s="90" t="s">
        <v>877</v>
      </c>
      <c r="H2074" s="86" t="s">
        <v>802</v>
      </c>
      <c r="I2074" s="8">
        <f>AE37</f>
        <v>120</v>
      </c>
      <c r="J2074" s="2" t="s">
        <v>877</v>
      </c>
      <c r="K2074" s="8">
        <f t="shared" si="73"/>
        <v>240</v>
      </c>
    </row>
    <row r="2075" spans="1:11" hidden="1">
      <c r="A2075" s="134"/>
      <c r="F2075" s="91">
        <v>6</v>
      </c>
      <c r="G2075" s="90" t="s">
        <v>877</v>
      </c>
      <c r="H2075" s="86" t="s">
        <v>1927</v>
      </c>
      <c r="I2075" s="8">
        <f>(C12)</f>
        <v>95</v>
      </c>
      <c r="J2075" s="2" t="s">
        <v>877</v>
      </c>
      <c r="K2075" s="8">
        <f t="shared" si="73"/>
        <v>570</v>
      </c>
    </row>
    <row r="2076" spans="1:11" hidden="1">
      <c r="A2076" s="134"/>
      <c r="F2076" s="91">
        <v>3</v>
      </c>
      <c r="G2076" s="90" t="s">
        <v>877</v>
      </c>
      <c r="H2076" s="86" t="s">
        <v>321</v>
      </c>
      <c r="I2076" s="8">
        <f>(C13)</f>
        <v>85</v>
      </c>
      <c r="J2076" s="2" t="s">
        <v>877</v>
      </c>
      <c r="K2076" s="8">
        <f t="shared" si="73"/>
        <v>255</v>
      </c>
    </row>
    <row r="2077" spans="1:11" hidden="1">
      <c r="A2077" s="134"/>
      <c r="G2077" s="90" t="s">
        <v>450</v>
      </c>
      <c r="H2077" s="86" t="s">
        <v>2160</v>
      </c>
      <c r="I2077"/>
      <c r="J2077" s="2" t="s">
        <v>450</v>
      </c>
      <c r="K2077" s="8">
        <f>SUM(K2073:K2076)/10</f>
        <v>151.5</v>
      </c>
    </row>
    <row r="2078" spans="1:11" hidden="1">
      <c r="A2078" s="134"/>
      <c r="I2078"/>
      <c r="J2078" s="4"/>
      <c r="K2078" s="5" t="s">
        <v>1609</v>
      </c>
    </row>
    <row r="2079" spans="1:11" hidden="1">
      <c r="A2079" s="134"/>
      <c r="H2079" s="86" t="s">
        <v>2161</v>
      </c>
      <c r="I2079"/>
      <c r="J2079" s="4"/>
      <c r="K2079" s="8" t="e">
        <f>SUM(K2067:K2077)</f>
        <v>#REF!</v>
      </c>
    </row>
    <row r="2080" spans="1:11" hidden="1">
      <c r="A2080" s="134"/>
      <c r="I2080"/>
      <c r="J2080" s="4"/>
      <c r="K2080" s="5" t="s">
        <v>1609</v>
      </c>
    </row>
    <row r="2081" spans="1:11" hidden="1">
      <c r="A2081" s="134"/>
      <c r="H2081" s="86" t="s">
        <v>1141</v>
      </c>
      <c r="I2081"/>
      <c r="J2081" s="4"/>
      <c r="K2081" s="8" t="e">
        <f>(K2079/30)</f>
        <v>#REF!</v>
      </c>
    </row>
    <row r="2082" spans="1:11" hidden="1">
      <c r="A2082" s="134"/>
      <c r="I2082"/>
      <c r="J2082" s="4"/>
      <c r="K2082" s="5" t="s">
        <v>2080</v>
      </c>
    </row>
    <row r="2083" spans="1:11" hidden="1">
      <c r="A2083" s="134"/>
      <c r="F2083" s="102" t="s">
        <v>573</v>
      </c>
      <c r="G2083" s="90" t="s">
        <v>2276</v>
      </c>
      <c r="H2083" s="86" t="s">
        <v>53</v>
      </c>
      <c r="I2083"/>
      <c r="J2083" s="4"/>
      <c r="K2083"/>
    </row>
    <row r="2084" spans="1:11" hidden="1">
      <c r="A2084" s="134"/>
      <c r="H2084" s="86" t="s">
        <v>221</v>
      </c>
      <c r="I2084"/>
      <c r="J2084" s="4"/>
      <c r="K2084"/>
    </row>
    <row r="2085" spans="1:11" hidden="1">
      <c r="A2085" s="134"/>
      <c r="H2085" s="89" t="s">
        <v>1609</v>
      </c>
      <c r="I2085"/>
      <c r="J2085" s="4"/>
      <c r="K2085"/>
    </row>
    <row r="2086" spans="1:11" hidden="1">
      <c r="A2086" s="134"/>
      <c r="F2086" s="91">
        <v>50</v>
      </c>
      <c r="G2086" s="90" t="s">
        <v>877</v>
      </c>
      <c r="H2086" s="86" t="s">
        <v>222</v>
      </c>
      <c r="I2086" s="8">
        <f>C203</f>
        <v>40</v>
      </c>
      <c r="J2086" s="2" t="s">
        <v>877</v>
      </c>
      <c r="K2086" s="8">
        <f>(F2086*I2086)</f>
        <v>2000</v>
      </c>
    </row>
    <row r="2087" spans="1:11" hidden="1">
      <c r="A2087" s="134"/>
      <c r="F2087" s="91">
        <v>1</v>
      </c>
      <c r="G2087" s="90" t="s">
        <v>877</v>
      </c>
      <c r="H2087" s="86" t="s">
        <v>802</v>
      </c>
      <c r="I2087" s="8">
        <f>AE37</f>
        <v>120</v>
      </c>
      <c r="J2087" s="2" t="s">
        <v>877</v>
      </c>
      <c r="K2087" s="8">
        <f>(F2087*I2087)</f>
        <v>120</v>
      </c>
    </row>
    <row r="2088" spans="1:11" hidden="1">
      <c r="A2088" s="134"/>
      <c r="F2088" s="91">
        <v>5</v>
      </c>
      <c r="G2088" s="90" t="s">
        <v>877</v>
      </c>
      <c r="H2088" s="86" t="s">
        <v>1927</v>
      </c>
      <c r="I2088" s="8">
        <f>C12</f>
        <v>95</v>
      </c>
      <c r="J2088" s="2" t="s">
        <v>877</v>
      </c>
      <c r="K2088" s="8">
        <f>(F2088*I2088)</f>
        <v>475</v>
      </c>
    </row>
    <row r="2089" spans="1:11" hidden="1">
      <c r="A2089" s="134"/>
      <c r="I2089"/>
      <c r="J2089" s="4"/>
      <c r="K2089" s="5" t="s">
        <v>1609</v>
      </c>
    </row>
    <row r="2090" spans="1:11" hidden="1">
      <c r="A2090" s="134"/>
      <c r="H2090" s="86" t="s">
        <v>2161</v>
      </c>
      <c r="I2090"/>
      <c r="J2090" s="4"/>
      <c r="K2090" s="8">
        <f>SUM(K2086:K2088)</f>
        <v>2595</v>
      </c>
    </row>
    <row r="2091" spans="1:11" hidden="1">
      <c r="A2091" s="134"/>
      <c r="F2091" s="86" t="s">
        <v>987</v>
      </c>
      <c r="I2091"/>
      <c r="J2091" s="4"/>
      <c r="K2091" s="5" t="s">
        <v>1609</v>
      </c>
    </row>
    <row r="2092" spans="1:11" hidden="1">
      <c r="A2092" s="134"/>
      <c r="H2092" s="86" t="s">
        <v>1141</v>
      </c>
      <c r="I2092"/>
      <c r="J2092" s="4"/>
      <c r="K2092" s="8">
        <f>(K2090/30)</f>
        <v>86.5</v>
      </c>
    </row>
    <row r="2093" spans="1:11" hidden="1">
      <c r="A2093" s="134"/>
      <c r="F2093" s="86" t="s">
        <v>987</v>
      </c>
      <c r="I2093"/>
      <c r="J2093" s="4"/>
      <c r="K2093"/>
    </row>
    <row r="2094" spans="1:11" hidden="1">
      <c r="A2094" s="134"/>
      <c r="F2094" s="86" t="s">
        <v>987</v>
      </c>
      <c r="I2094"/>
      <c r="J2094" s="4"/>
      <c r="K2094"/>
    </row>
    <row r="2095" spans="1:11" hidden="1">
      <c r="A2095" s="134"/>
      <c r="I2095"/>
      <c r="J2095" s="4"/>
      <c r="K2095" s="5" t="s">
        <v>2080</v>
      </c>
    </row>
    <row r="2096" spans="1:11" hidden="1">
      <c r="A2096" s="134"/>
      <c r="F2096" s="102" t="s">
        <v>1142</v>
      </c>
      <c r="G2096" s="90" t="s">
        <v>2276</v>
      </c>
      <c r="H2096" s="86" t="s">
        <v>1033</v>
      </c>
      <c r="I2096"/>
      <c r="J2096" s="4"/>
      <c r="K2096"/>
    </row>
    <row r="2097" spans="1:11" hidden="1">
      <c r="A2097" s="134"/>
      <c r="H2097" s="91" t="str">
        <f>H2084</f>
        <v>DIA S.W.PIPE(LOOSE JOINTING)</v>
      </c>
      <c r="I2097"/>
      <c r="J2097" s="4"/>
      <c r="K2097"/>
    </row>
    <row r="2098" spans="1:11" hidden="1">
      <c r="A2098" s="134"/>
      <c r="H2098" s="89" t="s">
        <v>1609</v>
      </c>
      <c r="I2098"/>
      <c r="J2098" s="4"/>
      <c r="K2098"/>
    </row>
    <row r="2099" spans="1:11" hidden="1">
      <c r="A2099" s="134"/>
      <c r="F2099" s="91">
        <v>50</v>
      </c>
      <c r="G2099" s="90" t="s">
        <v>877</v>
      </c>
      <c r="H2099" s="86" t="s">
        <v>223</v>
      </c>
      <c r="I2099" s="8">
        <f>C204</f>
        <v>65</v>
      </c>
      <c r="J2099" s="2" t="s">
        <v>877</v>
      </c>
      <c r="K2099" s="8">
        <f>(F2099*I2099)</f>
        <v>3250</v>
      </c>
    </row>
    <row r="2100" spans="1:11" hidden="1">
      <c r="A2100" s="134"/>
      <c r="F2100" s="91">
        <v>2</v>
      </c>
      <c r="G2100" s="90" t="s">
        <v>877</v>
      </c>
      <c r="H2100" s="86" t="s">
        <v>802</v>
      </c>
      <c r="I2100" s="8">
        <f>AE37</f>
        <v>120</v>
      </c>
      <c r="J2100" s="2" t="s">
        <v>877</v>
      </c>
      <c r="K2100" s="8">
        <f>(F2100*I2100)</f>
        <v>240</v>
      </c>
    </row>
    <row r="2101" spans="1:11" hidden="1">
      <c r="A2101" s="134"/>
      <c r="F2101" s="91">
        <v>6</v>
      </c>
      <c r="G2101" s="90" t="s">
        <v>877</v>
      </c>
      <c r="H2101" s="86" t="s">
        <v>1927</v>
      </c>
      <c r="I2101" s="8">
        <f>C12</f>
        <v>95</v>
      </c>
      <c r="J2101" s="2" t="s">
        <v>877</v>
      </c>
      <c r="K2101" s="8">
        <f>(F2101*I2101)</f>
        <v>570</v>
      </c>
    </row>
    <row r="2102" spans="1:11" hidden="1">
      <c r="A2102" s="134"/>
      <c r="I2102"/>
      <c r="J2102" s="4"/>
      <c r="K2102" s="5" t="s">
        <v>1609</v>
      </c>
    </row>
    <row r="2103" spans="1:11" hidden="1">
      <c r="A2103" s="134"/>
      <c r="H2103" s="86" t="s">
        <v>2161</v>
      </c>
      <c r="I2103"/>
      <c r="J2103" s="4"/>
      <c r="K2103" s="8">
        <f>SUM(K2099:K2101)</f>
        <v>4060</v>
      </c>
    </row>
    <row r="2104" spans="1:11" hidden="1">
      <c r="A2104" s="134"/>
      <c r="I2104"/>
      <c r="J2104" s="4"/>
      <c r="K2104" s="5" t="s">
        <v>1609</v>
      </c>
    </row>
    <row r="2105" spans="1:11" hidden="1">
      <c r="A2105" s="134"/>
      <c r="H2105" s="86" t="s">
        <v>1141</v>
      </c>
      <c r="I2105"/>
      <c r="J2105" s="4"/>
      <c r="K2105" s="8">
        <f>(K2103/30)</f>
        <v>135.33000000000001</v>
      </c>
    </row>
    <row r="2106" spans="1:11" hidden="1">
      <c r="A2106" s="134"/>
      <c r="I2106"/>
      <c r="J2106" s="4"/>
      <c r="K2106" s="5" t="s">
        <v>2080</v>
      </c>
    </row>
    <row r="2107" spans="1:11" hidden="1">
      <c r="A2107" s="134"/>
      <c r="H2107" s="102" t="s">
        <v>224</v>
      </c>
      <c r="I2107"/>
      <c r="J2107" s="4"/>
      <c r="K2107" s="8">
        <f>SUM(K2104:K2105)</f>
        <v>135.33000000000001</v>
      </c>
    </row>
    <row r="2108" spans="1:11" hidden="1">
      <c r="A2108" s="134"/>
      <c r="I2108"/>
      <c r="J2108" s="4"/>
      <c r="K2108" s="5" t="s">
        <v>2080</v>
      </c>
    </row>
    <row r="2109" spans="1:11" hidden="1">
      <c r="A2109" s="134"/>
      <c r="F2109" s="102" t="s">
        <v>1894</v>
      </c>
      <c r="G2109" s="90" t="s">
        <v>2276</v>
      </c>
      <c r="H2109" s="86" t="s">
        <v>53</v>
      </c>
      <c r="I2109"/>
      <c r="J2109" s="4"/>
      <c r="K2109"/>
    </row>
    <row r="2110" spans="1:11" hidden="1">
      <c r="A2110" s="134"/>
      <c r="H2110" s="86" t="s">
        <v>58</v>
      </c>
      <c r="I2110"/>
      <c r="J2110" s="4"/>
      <c r="K2110"/>
    </row>
    <row r="2111" spans="1:11" hidden="1">
      <c r="A2111" s="134"/>
      <c r="H2111" s="89" t="s">
        <v>1609</v>
      </c>
      <c r="I2111"/>
      <c r="J2111" s="4"/>
      <c r="K2111"/>
    </row>
    <row r="2112" spans="1:11" hidden="1">
      <c r="A2112" s="134"/>
      <c r="F2112" s="91">
        <v>1</v>
      </c>
      <c r="G2112" s="90" t="s">
        <v>877</v>
      </c>
      <c r="H2112" s="86" t="s">
        <v>1107</v>
      </c>
      <c r="I2112" s="8">
        <f>C205</f>
        <v>65</v>
      </c>
      <c r="J2112" s="2" t="s">
        <v>877</v>
      </c>
      <c r="K2112" s="8">
        <f>(F2112*I2112)</f>
        <v>65</v>
      </c>
    </row>
    <row r="2113" spans="1:11" hidden="1">
      <c r="A2113" s="134"/>
      <c r="F2113" s="86" t="s">
        <v>987</v>
      </c>
      <c r="H2113" s="86" t="s">
        <v>59</v>
      </c>
      <c r="I2113"/>
      <c r="J2113" s="4"/>
      <c r="K2113"/>
    </row>
    <row r="2114" spans="1:11" hidden="1">
      <c r="A2114" s="134"/>
      <c r="F2114" s="86" t="s">
        <v>987</v>
      </c>
      <c r="H2114" s="86" t="s">
        <v>60</v>
      </c>
      <c r="I2114" s="2" t="s">
        <v>450</v>
      </c>
      <c r="J2114" s="4"/>
      <c r="K2114" s="8">
        <v>2.5</v>
      </c>
    </row>
    <row r="2115" spans="1:11" hidden="1">
      <c r="A2115" s="134"/>
      <c r="I2115"/>
      <c r="J2115" s="4"/>
      <c r="K2115" s="5" t="s">
        <v>1609</v>
      </c>
    </row>
    <row r="2116" spans="1:11" hidden="1">
      <c r="A2116" s="134"/>
      <c r="H2116" s="86" t="s">
        <v>2161</v>
      </c>
      <c r="I2116"/>
      <c r="J2116" s="4"/>
      <c r="K2116" s="8">
        <f>SUM(K2112:K2114)</f>
        <v>67.5</v>
      </c>
    </row>
    <row r="2117" spans="1:11" hidden="1">
      <c r="A2117" s="134"/>
      <c r="F2117" s="102" t="s">
        <v>1894</v>
      </c>
      <c r="G2117" s="90" t="s">
        <v>2276</v>
      </c>
      <c r="H2117" s="86" t="s">
        <v>1033</v>
      </c>
      <c r="I2117"/>
      <c r="J2117" s="4"/>
      <c r="K2117" s="5" t="s">
        <v>1609</v>
      </c>
    </row>
    <row r="2118" spans="1:11" hidden="1">
      <c r="A2118" s="134"/>
      <c r="H2118" s="86" t="s">
        <v>58</v>
      </c>
      <c r="I2118"/>
      <c r="J2118" s="4"/>
      <c r="K2118" s="8"/>
    </row>
    <row r="2119" spans="1:11" hidden="1">
      <c r="A2119" s="134"/>
      <c r="H2119" s="89" t="s">
        <v>1609</v>
      </c>
      <c r="I2119"/>
      <c r="J2119" s="4"/>
      <c r="K2119" s="5" t="s">
        <v>1609</v>
      </c>
    </row>
    <row r="2120" spans="1:11" hidden="1">
      <c r="A2120" s="134"/>
      <c r="F2120" s="87">
        <v>1</v>
      </c>
      <c r="G2120" s="85" t="s">
        <v>778</v>
      </c>
      <c r="H2120" s="86" t="s">
        <v>1106</v>
      </c>
      <c r="I2120"/>
      <c r="J2120" s="4" t="s">
        <v>1414</v>
      </c>
      <c r="K2120" s="8">
        <v>92.5</v>
      </c>
    </row>
    <row r="2121" spans="1:11" hidden="1">
      <c r="A2121" s="134"/>
      <c r="I2121"/>
      <c r="J2121" s="4"/>
      <c r="K2121" s="5" t="s">
        <v>1609</v>
      </c>
    </row>
    <row r="2122" spans="1:11" hidden="1">
      <c r="A2122" s="134"/>
      <c r="F2122" s="102" t="s">
        <v>1282</v>
      </c>
      <c r="G2122" s="90" t="s">
        <v>2276</v>
      </c>
      <c r="H2122" s="86" t="s">
        <v>53</v>
      </c>
      <c r="I2122"/>
      <c r="J2122" s="4"/>
      <c r="K2122"/>
    </row>
    <row r="2123" spans="1:11" hidden="1">
      <c r="A2123" s="134"/>
      <c r="H2123" s="86" t="s">
        <v>1289</v>
      </c>
      <c r="I2123"/>
      <c r="J2123" s="4"/>
      <c r="K2123"/>
    </row>
    <row r="2124" spans="1:11" hidden="1">
      <c r="A2124" s="134"/>
      <c r="H2124" s="89" t="s">
        <v>1609</v>
      </c>
      <c r="I2124"/>
      <c r="J2124" s="4"/>
      <c r="K2124"/>
    </row>
    <row r="2125" spans="1:11" hidden="1">
      <c r="A2125" s="134"/>
      <c r="F2125" s="91">
        <v>1</v>
      </c>
      <c r="G2125" s="90" t="s">
        <v>877</v>
      </c>
      <c r="H2125" s="86" t="s">
        <v>1105</v>
      </c>
      <c r="I2125" s="8">
        <f>C202</f>
        <v>75</v>
      </c>
      <c r="J2125" s="2" t="s">
        <v>877</v>
      </c>
      <c r="K2125" s="8">
        <f>(F2125*I2125)</f>
        <v>75</v>
      </c>
    </row>
    <row r="2126" spans="1:11" hidden="1">
      <c r="A2126" s="134"/>
      <c r="F2126" s="86" t="s">
        <v>987</v>
      </c>
      <c r="H2126" s="86" t="s">
        <v>59</v>
      </c>
      <c r="I2126"/>
      <c r="J2126" s="4"/>
      <c r="K2126"/>
    </row>
    <row r="2127" spans="1:11" hidden="1">
      <c r="A2127" s="134"/>
      <c r="F2127" s="86" t="s">
        <v>987</v>
      </c>
      <c r="H2127" s="86" t="s">
        <v>60</v>
      </c>
      <c r="I2127" s="2" t="s">
        <v>450</v>
      </c>
      <c r="J2127" s="4"/>
      <c r="K2127" s="8">
        <v>3</v>
      </c>
    </row>
    <row r="2128" spans="1:11" hidden="1">
      <c r="A2128" s="134"/>
      <c r="I2128"/>
      <c r="J2128" s="4"/>
      <c r="K2128" s="5" t="s">
        <v>1609</v>
      </c>
    </row>
    <row r="2129" spans="1:11" hidden="1">
      <c r="A2129" s="134"/>
      <c r="H2129" s="86" t="s">
        <v>2161</v>
      </c>
      <c r="I2129"/>
      <c r="J2129" s="4"/>
      <c r="K2129" s="8">
        <f>SUM(K2125:K2127)</f>
        <v>78</v>
      </c>
    </row>
    <row r="2130" spans="1:11" hidden="1">
      <c r="A2130" s="134"/>
      <c r="I2130"/>
      <c r="J2130" s="4"/>
      <c r="K2130" s="5" t="s">
        <v>1609</v>
      </c>
    </row>
    <row r="2131" spans="1:11" hidden="1">
      <c r="A2131" s="134"/>
      <c r="I2131"/>
      <c r="J2131" s="4"/>
      <c r="K2131"/>
    </row>
    <row r="2132" spans="1:11" hidden="1">
      <c r="A2132" s="134"/>
      <c r="F2132" s="102" t="s">
        <v>1829</v>
      </c>
      <c r="G2132" s="90" t="s">
        <v>2276</v>
      </c>
      <c r="H2132" s="86" t="s">
        <v>1033</v>
      </c>
      <c r="I2132"/>
      <c r="J2132" s="4"/>
      <c r="K2132"/>
    </row>
    <row r="2133" spans="1:11" hidden="1">
      <c r="A2133" s="134"/>
      <c r="H2133" s="86" t="s">
        <v>1289</v>
      </c>
      <c r="I2133"/>
      <c r="J2133" s="4"/>
      <c r="K2133"/>
    </row>
    <row r="2134" spans="1:11" hidden="1">
      <c r="A2134" s="134"/>
      <c r="H2134" s="89" t="s">
        <v>1609</v>
      </c>
      <c r="I2134"/>
      <c r="J2134" s="4"/>
      <c r="K2134"/>
    </row>
    <row r="2135" spans="1:11" hidden="1">
      <c r="A2135" s="134"/>
      <c r="F2135" s="91">
        <v>1</v>
      </c>
      <c r="G2135" s="90" t="s">
        <v>877</v>
      </c>
      <c r="H2135" s="86" t="s">
        <v>814</v>
      </c>
      <c r="I2135" s="8">
        <f>C207</f>
        <v>100</v>
      </c>
      <c r="J2135" s="2" t="s">
        <v>877</v>
      </c>
      <c r="K2135" s="8">
        <f>(F2135*I2135)</f>
        <v>100</v>
      </c>
    </row>
    <row r="2136" spans="1:11" hidden="1">
      <c r="A2136" s="134"/>
      <c r="F2136" s="86" t="s">
        <v>987</v>
      </c>
      <c r="H2136" s="86" t="s">
        <v>59</v>
      </c>
      <c r="I2136"/>
      <c r="J2136" s="4"/>
      <c r="K2136"/>
    </row>
    <row r="2137" spans="1:11" hidden="1">
      <c r="A2137" s="134"/>
      <c r="F2137" s="86" t="s">
        <v>987</v>
      </c>
      <c r="H2137" s="86" t="s">
        <v>60</v>
      </c>
      <c r="I2137" s="2" t="s">
        <v>450</v>
      </c>
      <c r="J2137" s="4"/>
      <c r="K2137" s="8">
        <v>3</v>
      </c>
    </row>
    <row r="2138" spans="1:11" hidden="1">
      <c r="A2138" s="134"/>
      <c r="I2138"/>
      <c r="J2138" s="4"/>
      <c r="K2138" s="5" t="s">
        <v>1609</v>
      </c>
    </row>
    <row r="2139" spans="1:11" hidden="1">
      <c r="A2139" s="134"/>
      <c r="H2139" s="86" t="s">
        <v>2161</v>
      </c>
      <c r="I2139"/>
      <c r="J2139" s="4"/>
      <c r="K2139" s="8">
        <f>SUM(K2135:K2137)</f>
        <v>103</v>
      </c>
    </row>
    <row r="2140" spans="1:11" hidden="1">
      <c r="A2140" s="134"/>
      <c r="I2140"/>
      <c r="J2140" s="4"/>
      <c r="K2140" s="5" t="s">
        <v>1609</v>
      </c>
    </row>
    <row r="2141" spans="1:11" hidden="1">
      <c r="A2141" s="134"/>
      <c r="F2141" s="102" t="s">
        <v>1562</v>
      </c>
      <c r="H2141" s="86" t="s">
        <v>1563</v>
      </c>
      <c r="I2141"/>
      <c r="J2141" s="4"/>
      <c r="K2141"/>
    </row>
    <row r="2142" spans="1:11" hidden="1">
      <c r="A2142" s="134"/>
      <c r="H2142" s="86" t="s">
        <v>1088</v>
      </c>
      <c r="I2142"/>
      <c r="J2142" s="4"/>
      <c r="K2142"/>
    </row>
    <row r="2143" spans="1:11" hidden="1">
      <c r="A2143" s="134"/>
      <c r="H2143" s="89" t="s">
        <v>1609</v>
      </c>
      <c r="I2143"/>
      <c r="J2143" s="4"/>
      <c r="K2143"/>
    </row>
    <row r="2144" spans="1:11" hidden="1">
      <c r="A2144" s="134"/>
      <c r="F2144" s="91">
        <v>2.5</v>
      </c>
      <c r="G2144" s="90" t="s">
        <v>1089</v>
      </c>
      <c r="H2144" s="86" t="s">
        <v>1563</v>
      </c>
      <c r="I2144" s="8">
        <f>C566</f>
        <v>28.5</v>
      </c>
      <c r="J2144" s="2">
        <v>2.5</v>
      </c>
      <c r="K2144" s="8">
        <f>(F2144*I2144)/F2144</f>
        <v>28.5</v>
      </c>
    </row>
    <row r="2145" spans="1:11" hidden="1">
      <c r="A2145" s="134"/>
      <c r="H2145" s="86" t="s">
        <v>1090</v>
      </c>
      <c r="I2145"/>
      <c r="J2145" s="2" t="s">
        <v>1089</v>
      </c>
      <c r="K2145"/>
    </row>
    <row r="2146" spans="1:11" hidden="1">
      <c r="A2146" s="134"/>
      <c r="G2146" s="90" t="s">
        <v>450</v>
      </c>
      <c r="H2146" s="86" t="s">
        <v>1091</v>
      </c>
      <c r="I2146"/>
      <c r="J2146" s="2" t="s">
        <v>450</v>
      </c>
      <c r="K2146" s="8">
        <v>1.5</v>
      </c>
    </row>
    <row r="2147" spans="1:11" hidden="1">
      <c r="A2147" s="134"/>
      <c r="I2147"/>
      <c r="J2147" s="4"/>
      <c r="K2147" s="5" t="s">
        <v>1609</v>
      </c>
    </row>
    <row r="2148" spans="1:11" hidden="1">
      <c r="A2148" s="134"/>
      <c r="H2148" s="102" t="s">
        <v>224</v>
      </c>
      <c r="I2148"/>
      <c r="J2148" s="4"/>
      <c r="K2148" s="8">
        <f>SUM(K2144:K2146)</f>
        <v>30</v>
      </c>
    </row>
    <row r="2149" spans="1:11" hidden="1">
      <c r="A2149" s="134"/>
      <c r="I2149"/>
      <c r="J2149" s="4"/>
      <c r="K2149" s="5" t="s">
        <v>2080</v>
      </c>
    </row>
    <row r="2150" spans="1:11" hidden="1">
      <c r="A2150" s="134"/>
      <c r="I2150"/>
      <c r="J2150" s="4"/>
      <c r="K2150"/>
    </row>
    <row r="2151" spans="1:11" hidden="1">
      <c r="A2151" s="134"/>
      <c r="F2151" s="102" t="s">
        <v>1092</v>
      </c>
      <c r="G2151" s="90" t="s">
        <v>2276</v>
      </c>
      <c r="H2151" s="86" t="s">
        <v>273</v>
      </c>
      <c r="I2151"/>
      <c r="J2151" s="4"/>
      <c r="K2151"/>
    </row>
    <row r="2152" spans="1:11" hidden="1">
      <c r="A2152" s="134"/>
      <c r="H2152" s="86" t="s">
        <v>64</v>
      </c>
      <c r="I2152"/>
      <c r="J2152" s="4"/>
      <c r="K2152"/>
    </row>
    <row r="2153" spans="1:11" hidden="1">
      <c r="A2153" s="134"/>
      <c r="H2153" s="86" t="s">
        <v>370</v>
      </c>
      <c r="I2153"/>
      <c r="J2153" s="4"/>
      <c r="K2153"/>
    </row>
    <row r="2154" spans="1:11" hidden="1">
      <c r="A2154" s="134"/>
      <c r="H2154" s="86" t="s">
        <v>351</v>
      </c>
      <c r="I2154"/>
      <c r="J2154" s="4"/>
      <c r="K2154"/>
    </row>
    <row r="2155" spans="1:11" hidden="1">
      <c r="A2155" s="134"/>
      <c r="H2155" s="86" t="s">
        <v>432</v>
      </c>
      <c r="I2155"/>
      <c r="J2155" s="4"/>
      <c r="K2155"/>
    </row>
    <row r="2156" spans="1:11" hidden="1">
      <c r="A2156" s="134"/>
      <c r="H2156" s="86" t="s">
        <v>1501</v>
      </c>
      <c r="I2156"/>
      <c r="J2156" s="4"/>
      <c r="K2156"/>
    </row>
    <row r="2157" spans="1:11" hidden="1">
      <c r="A2157" s="134"/>
      <c r="H2157" s="86" t="s">
        <v>1892</v>
      </c>
      <c r="I2157"/>
      <c r="J2157" s="4"/>
      <c r="K2157"/>
    </row>
    <row r="2158" spans="1:11" hidden="1">
      <c r="A2158" s="134"/>
      <c r="H2158" s="86" t="s">
        <v>2228</v>
      </c>
      <c r="I2158"/>
      <c r="J2158" s="4"/>
      <c r="K2158"/>
    </row>
    <row r="2159" spans="1:11" hidden="1">
      <c r="A2159" s="134"/>
      <c r="H2159" s="86" t="s">
        <v>570</v>
      </c>
      <c r="I2159"/>
      <c r="J2159" s="4"/>
      <c r="K2159"/>
    </row>
    <row r="2160" spans="1:11" hidden="1">
      <c r="A2160" s="134"/>
      <c r="H2160" s="86" t="s">
        <v>1293</v>
      </c>
      <c r="I2160"/>
      <c r="J2160" s="4"/>
      <c r="K2160"/>
    </row>
    <row r="2161" spans="1:11" hidden="1">
      <c r="A2161" s="134"/>
      <c r="H2161" s="86" t="s">
        <v>1294</v>
      </c>
      <c r="I2161"/>
      <c r="J2161" s="4"/>
      <c r="K2161"/>
    </row>
    <row r="2162" spans="1:11" hidden="1">
      <c r="A2162" s="134"/>
      <c r="H2162" s="86" t="s">
        <v>1295</v>
      </c>
      <c r="I2162"/>
      <c r="J2162" s="4"/>
      <c r="K2162"/>
    </row>
    <row r="2163" spans="1:11" hidden="1">
      <c r="A2163" s="134"/>
      <c r="H2163" s="89" t="s">
        <v>1609</v>
      </c>
      <c r="I2163" s="5" t="s">
        <v>1609</v>
      </c>
      <c r="J2163" s="4"/>
      <c r="K2163"/>
    </row>
    <row r="2164" spans="1:11" hidden="1">
      <c r="A2164" s="134"/>
      <c r="F2164" s="86" t="s">
        <v>987</v>
      </c>
      <c r="I2164"/>
      <c r="J2164" s="4"/>
      <c r="K2164"/>
    </row>
    <row r="2165" spans="1:11" hidden="1">
      <c r="A2165" s="134"/>
      <c r="F2165" s="122">
        <v>1.7399999999999999E-2</v>
      </c>
      <c r="G2165" s="90" t="s">
        <v>2176</v>
      </c>
      <c r="H2165" s="86" t="s">
        <v>1296</v>
      </c>
      <c r="I2165" s="8">
        <f>C86</f>
        <v>20605</v>
      </c>
      <c r="J2165" s="2" t="s">
        <v>2176</v>
      </c>
      <c r="K2165" s="8">
        <f t="shared" ref="K2165:K2172" si="74">F2165*I2165</f>
        <v>358.53</v>
      </c>
    </row>
    <row r="2166" spans="1:11" hidden="1">
      <c r="A2166" s="134"/>
      <c r="F2166" s="122">
        <v>2.93E-2</v>
      </c>
      <c r="G2166" s="90" t="s">
        <v>2176</v>
      </c>
      <c r="H2166" s="86" t="s">
        <v>1297</v>
      </c>
      <c r="I2166" s="8">
        <f>C87</f>
        <v>23685</v>
      </c>
      <c r="J2166" s="2" t="s">
        <v>2176</v>
      </c>
      <c r="K2166" s="8">
        <f t="shared" si="74"/>
        <v>693.97</v>
      </c>
    </row>
    <row r="2167" spans="1:11" hidden="1">
      <c r="A2167" s="134"/>
      <c r="F2167" s="122">
        <v>1.093</v>
      </c>
      <c r="G2167" s="90" t="s">
        <v>2308</v>
      </c>
      <c r="H2167" s="86" t="s">
        <v>1298</v>
      </c>
      <c r="I2167" s="36">
        <f>C198</f>
        <v>212</v>
      </c>
      <c r="J2167" s="2" t="s">
        <v>2308</v>
      </c>
      <c r="K2167" s="8">
        <f t="shared" si="74"/>
        <v>231.72</v>
      </c>
    </row>
    <row r="2168" spans="1:11" hidden="1">
      <c r="A2168" s="134"/>
      <c r="F2168" s="91">
        <v>6</v>
      </c>
      <c r="G2168" s="90" t="s">
        <v>564</v>
      </c>
      <c r="H2168" s="86" t="s">
        <v>2404</v>
      </c>
      <c r="I2168" s="8">
        <f>C296</f>
        <v>3.25</v>
      </c>
      <c r="J2168" s="2" t="s">
        <v>1418</v>
      </c>
      <c r="K2168" s="8">
        <f t="shared" si="74"/>
        <v>19.5</v>
      </c>
    </row>
    <row r="2169" spans="1:11" hidden="1">
      <c r="A2169" s="134"/>
      <c r="F2169" s="91">
        <v>1</v>
      </c>
      <c r="G2169" s="90" t="s">
        <v>564</v>
      </c>
      <c r="H2169" s="86" t="s">
        <v>2359</v>
      </c>
      <c r="I2169" s="8">
        <f>C286</f>
        <v>80</v>
      </c>
      <c r="J2169" s="2" t="s">
        <v>1418</v>
      </c>
      <c r="K2169" s="8">
        <f t="shared" si="74"/>
        <v>80</v>
      </c>
    </row>
    <row r="2170" spans="1:11" hidden="1">
      <c r="A2170" s="134"/>
      <c r="F2170" s="91">
        <v>2</v>
      </c>
      <c r="G2170" s="90" t="s">
        <v>564</v>
      </c>
      <c r="H2170" s="86" t="s">
        <v>1774</v>
      </c>
      <c r="I2170" s="8">
        <f>C307</f>
        <v>0.9</v>
      </c>
      <c r="J2170" s="2" t="s">
        <v>1418</v>
      </c>
      <c r="K2170" s="8">
        <f t="shared" si="74"/>
        <v>1.8</v>
      </c>
    </row>
    <row r="2171" spans="1:11" hidden="1">
      <c r="A2171" s="134"/>
      <c r="F2171" s="91">
        <v>6</v>
      </c>
      <c r="G2171" s="90" t="s">
        <v>564</v>
      </c>
      <c r="H2171" s="86" t="s">
        <v>141</v>
      </c>
      <c r="I2171" s="8">
        <v>8</v>
      </c>
      <c r="J2171" s="2" t="s">
        <v>1418</v>
      </c>
      <c r="K2171" s="8">
        <f t="shared" si="74"/>
        <v>48</v>
      </c>
    </row>
    <row r="2172" spans="1:11" hidden="1">
      <c r="A2172" s="134"/>
      <c r="F2172" s="111">
        <v>1.62</v>
      </c>
      <c r="G2172" s="90" t="s">
        <v>2308</v>
      </c>
      <c r="H2172" s="86" t="s">
        <v>142</v>
      </c>
      <c r="I2172" s="8">
        <f>D33</f>
        <v>240</v>
      </c>
      <c r="J2172" s="2" t="s">
        <v>2308</v>
      </c>
      <c r="K2172" s="8">
        <f t="shared" si="74"/>
        <v>388.8</v>
      </c>
    </row>
    <row r="2173" spans="1:11" hidden="1">
      <c r="A2173" s="134"/>
      <c r="G2173" s="90" t="s">
        <v>450</v>
      </c>
      <c r="H2173" s="86" t="s">
        <v>510</v>
      </c>
      <c r="I2173"/>
      <c r="J2173" s="2" t="s">
        <v>450</v>
      </c>
      <c r="K2173" s="8">
        <v>0.25</v>
      </c>
    </row>
    <row r="2174" spans="1:11" hidden="1">
      <c r="A2174" s="134"/>
      <c r="I2174"/>
      <c r="J2174" s="4"/>
      <c r="K2174" s="5" t="s">
        <v>1609</v>
      </c>
    </row>
    <row r="2175" spans="1:11" hidden="1">
      <c r="A2175" s="134"/>
      <c r="H2175" s="102" t="s">
        <v>143</v>
      </c>
      <c r="I2175"/>
      <c r="J2175" s="4"/>
      <c r="K2175" s="8">
        <f>SUM(K2165:K2173)</f>
        <v>1822.57</v>
      </c>
    </row>
    <row r="2176" spans="1:11" hidden="1">
      <c r="A2176" s="134"/>
      <c r="I2176"/>
      <c r="J2176" s="4"/>
      <c r="K2176" s="5" t="s">
        <v>1609</v>
      </c>
    </row>
    <row r="2177" spans="1:11" hidden="1">
      <c r="A2177" s="134"/>
      <c r="I2177"/>
      <c r="J2177" s="4"/>
      <c r="K2177"/>
    </row>
    <row r="2178" spans="1:11" hidden="1">
      <c r="A2178" s="134"/>
      <c r="H2178" s="102" t="s">
        <v>144</v>
      </c>
      <c r="I2178" s="1" t="s">
        <v>987</v>
      </c>
      <c r="J2178" s="4"/>
      <c r="K2178" s="8">
        <f>K2175/1.62</f>
        <v>1125.04</v>
      </c>
    </row>
    <row r="2179" spans="1:11" hidden="1">
      <c r="A2179" s="134"/>
      <c r="F2179" s="86" t="s">
        <v>987</v>
      </c>
      <c r="G2179" s="90" t="s">
        <v>987</v>
      </c>
      <c r="H2179" s="86" t="s">
        <v>987</v>
      </c>
      <c r="I2179" s="1" t="s">
        <v>987</v>
      </c>
      <c r="J2179" s="2" t="s">
        <v>987</v>
      </c>
      <c r="K2179"/>
    </row>
    <row r="2180" spans="1:11" hidden="1">
      <c r="A2180" s="134"/>
      <c r="I2180"/>
      <c r="J2180" s="4"/>
      <c r="K2180"/>
    </row>
    <row r="2181" spans="1:11" hidden="1">
      <c r="A2181" s="134"/>
      <c r="G2181" s="90" t="s">
        <v>1561</v>
      </c>
      <c r="H2181" s="86" t="s">
        <v>1413</v>
      </c>
      <c r="I2181"/>
      <c r="J2181" s="4"/>
      <c r="K2181"/>
    </row>
    <row r="2182" spans="1:11" hidden="1">
      <c r="A2182" s="134"/>
      <c r="H2182" s="86" t="s">
        <v>806</v>
      </c>
      <c r="I2182"/>
      <c r="J2182" s="4"/>
      <c r="K2182"/>
    </row>
    <row r="2183" spans="1:11" hidden="1">
      <c r="A2183" s="134"/>
      <c r="F2183" s="86" t="s">
        <v>987</v>
      </c>
      <c r="H2183" s="86" t="s">
        <v>807</v>
      </c>
      <c r="I2183"/>
      <c r="J2183" s="4"/>
      <c r="K2183"/>
    </row>
    <row r="2184" spans="1:11" hidden="1">
      <c r="A2184" s="134"/>
      <c r="F2184" s="102" t="s">
        <v>808</v>
      </c>
      <c r="H2184" s="86" t="s">
        <v>2203</v>
      </c>
      <c r="I2184"/>
      <c r="J2184" s="4"/>
      <c r="K2184" s="8">
        <f>K2860</f>
        <v>1493.17</v>
      </c>
    </row>
    <row r="2185" spans="1:11" hidden="1">
      <c r="A2185" s="134"/>
      <c r="F2185" s="102" t="s">
        <v>809</v>
      </c>
      <c r="H2185" s="102" t="s">
        <v>783</v>
      </c>
      <c r="I2185"/>
      <c r="J2185" s="4"/>
      <c r="K2185" s="8">
        <f>K2884</f>
        <v>1496.32</v>
      </c>
    </row>
    <row r="2186" spans="1:11" hidden="1">
      <c r="A2186" s="134"/>
      <c r="F2186" s="102" t="s">
        <v>810</v>
      </c>
      <c r="H2186" s="86" t="s">
        <v>1286</v>
      </c>
      <c r="I2186"/>
      <c r="J2186" s="4"/>
      <c r="K2186" s="8">
        <f>K2899</f>
        <v>1526.05</v>
      </c>
    </row>
    <row r="2187" spans="1:11" hidden="1">
      <c r="A2187" s="134"/>
      <c r="F2187" s="108">
        <v>65</v>
      </c>
      <c r="H2187" s="86" t="s">
        <v>785</v>
      </c>
      <c r="I2187"/>
      <c r="J2187" s="4"/>
      <c r="K2187" s="8">
        <f>K2921</f>
        <v>1547.18</v>
      </c>
    </row>
    <row r="2188" spans="1:11" hidden="1">
      <c r="A2188" s="134"/>
      <c r="F2188" s="108">
        <v>66</v>
      </c>
      <c r="H2188" s="86" t="s">
        <v>618</v>
      </c>
      <c r="I2188"/>
      <c r="J2188" s="4"/>
      <c r="K2188" s="8">
        <f>K2945</f>
        <v>2795.25</v>
      </c>
    </row>
    <row r="2189" spans="1:11" hidden="1">
      <c r="A2189" s="134"/>
      <c r="F2189" s="108">
        <v>67</v>
      </c>
      <c r="H2189" s="86" t="s">
        <v>574</v>
      </c>
      <c r="I2189"/>
      <c r="J2189" s="4"/>
      <c r="K2189" s="8">
        <f>K2977</f>
        <v>764.91</v>
      </c>
    </row>
    <row r="2190" spans="1:11" hidden="1">
      <c r="A2190" s="134"/>
      <c r="F2190" s="108">
        <v>68</v>
      </c>
      <c r="H2190" s="86" t="s">
        <v>847</v>
      </c>
      <c r="I2190"/>
      <c r="J2190" s="4"/>
      <c r="K2190" s="8">
        <f>K2965</f>
        <v>1037.46</v>
      </c>
    </row>
    <row r="2191" spans="1:11" hidden="1">
      <c r="A2191" s="134"/>
      <c r="F2191" s="108">
        <v>69</v>
      </c>
      <c r="H2191" s="86" t="s">
        <v>811</v>
      </c>
      <c r="I2191"/>
      <c r="J2191" s="4"/>
      <c r="K2191" s="8">
        <f>K2988</f>
        <v>133.5</v>
      </c>
    </row>
    <row r="2192" spans="1:11" hidden="1">
      <c r="A2192" s="134"/>
      <c r="F2192" s="108" t="s">
        <v>812</v>
      </c>
      <c r="H2192" s="86" t="s">
        <v>499</v>
      </c>
      <c r="I2192"/>
      <c r="J2192" s="4"/>
      <c r="K2192" s="8">
        <f>K3135</f>
        <v>473.93</v>
      </c>
    </row>
    <row r="2193" spans="1:11" hidden="1">
      <c r="A2193" s="134"/>
      <c r="F2193" s="108" t="s">
        <v>294</v>
      </c>
      <c r="H2193" s="86" t="s">
        <v>2360</v>
      </c>
      <c r="I2193"/>
      <c r="J2193" s="4"/>
      <c r="K2193" s="8"/>
    </row>
    <row r="2194" spans="1:11" hidden="1">
      <c r="A2194" s="134"/>
      <c r="F2194" s="108" t="s">
        <v>1967</v>
      </c>
      <c r="H2194" s="86" t="s">
        <v>1524</v>
      </c>
      <c r="I2194"/>
      <c r="J2194" s="4"/>
      <c r="K2194" s="8">
        <v>10</v>
      </c>
    </row>
    <row r="2195" spans="1:11" hidden="1">
      <c r="A2195" s="134"/>
      <c r="F2195" s="108" t="s">
        <v>1968</v>
      </c>
      <c r="H2195" s="86" t="s">
        <v>586</v>
      </c>
      <c r="I2195"/>
      <c r="J2195" s="4"/>
      <c r="K2195" s="8">
        <v>8</v>
      </c>
    </row>
    <row r="2196" spans="1:11" hidden="1">
      <c r="A2196" s="134"/>
      <c r="F2196" s="108">
        <v>71</v>
      </c>
      <c r="H2196" s="86" t="s">
        <v>1174</v>
      </c>
      <c r="I2196"/>
      <c r="J2196" s="4"/>
      <c r="K2196" s="8">
        <f>K3154</f>
        <v>746.5</v>
      </c>
    </row>
    <row r="2197" spans="1:11" hidden="1">
      <c r="A2197" s="134"/>
      <c r="F2197" s="108">
        <v>72</v>
      </c>
      <c r="H2197" s="86" t="s">
        <v>813</v>
      </c>
      <c r="I2197"/>
      <c r="J2197" s="4"/>
      <c r="K2197" s="8">
        <v>31</v>
      </c>
    </row>
    <row r="2198" spans="1:11" hidden="1">
      <c r="A2198" s="134"/>
      <c r="F2198" s="108" t="s">
        <v>587</v>
      </c>
      <c r="H2198" s="86" t="s">
        <v>275</v>
      </c>
      <c r="I2198"/>
      <c r="J2198" s="4"/>
      <c r="K2198" s="8">
        <f>K3233</f>
        <v>3995.67</v>
      </c>
    </row>
    <row r="2199" spans="1:11" hidden="1">
      <c r="A2199" s="134"/>
      <c r="F2199" s="108" t="s">
        <v>588</v>
      </c>
      <c r="H2199" s="86" t="s">
        <v>589</v>
      </c>
      <c r="I2199"/>
      <c r="J2199" s="4"/>
      <c r="K2199" s="8">
        <f>K3221</f>
        <v>3258.67</v>
      </c>
    </row>
    <row r="2200" spans="1:11" hidden="1">
      <c r="A2200" s="134"/>
      <c r="F2200" s="108">
        <v>74</v>
      </c>
      <c r="H2200" s="86" t="s">
        <v>164</v>
      </c>
      <c r="I2200"/>
      <c r="J2200" s="4"/>
      <c r="K2200" s="8">
        <f>K3277</f>
        <v>520.4</v>
      </c>
    </row>
    <row r="2201" spans="1:11" hidden="1">
      <c r="A2201" s="134"/>
      <c r="F2201" s="108" t="s">
        <v>638</v>
      </c>
      <c r="H2201" s="86" t="s">
        <v>1402</v>
      </c>
      <c r="I2201"/>
      <c r="J2201" s="4"/>
      <c r="K2201" s="8">
        <f>K3767</f>
        <v>1437.2</v>
      </c>
    </row>
    <row r="2202" spans="1:11" hidden="1">
      <c r="A2202" s="134"/>
      <c r="F2202" s="108" t="s">
        <v>639</v>
      </c>
      <c r="H2202" s="86" t="s">
        <v>133</v>
      </c>
      <c r="I2202"/>
      <c r="J2202" s="4"/>
      <c r="K2202" s="8">
        <v>0</v>
      </c>
    </row>
    <row r="2203" spans="1:11" hidden="1">
      <c r="A2203" s="134"/>
      <c r="F2203" s="108">
        <v>112</v>
      </c>
      <c r="H2203" s="86" t="s">
        <v>754</v>
      </c>
      <c r="I2203"/>
      <c r="J2203" s="4"/>
      <c r="K2203" s="8">
        <f>K3744</f>
        <v>1840.21</v>
      </c>
    </row>
    <row r="2204" spans="1:11" hidden="1">
      <c r="A2204" s="134"/>
      <c r="F2204" s="108">
        <v>76</v>
      </c>
      <c r="H2204" s="86" t="s">
        <v>1956</v>
      </c>
      <c r="I2204"/>
      <c r="J2204" s="4"/>
      <c r="K2204" s="8">
        <f>K3294</f>
        <v>22.69</v>
      </c>
    </row>
    <row r="2205" spans="1:11" hidden="1">
      <c r="A2205" s="134"/>
      <c r="F2205" s="108">
        <v>77</v>
      </c>
      <c r="H2205" s="86" t="s">
        <v>2293</v>
      </c>
      <c r="I2205"/>
      <c r="J2205" s="4"/>
      <c r="K2205" s="8">
        <f>K3080</f>
        <v>191.65</v>
      </c>
    </row>
    <row r="2206" spans="1:11" ht="31.5" hidden="1">
      <c r="A2206" s="134"/>
      <c r="F2206" s="146">
        <v>77.099999999999994</v>
      </c>
      <c r="H2206" s="116" t="s">
        <v>1832</v>
      </c>
      <c r="I2206"/>
      <c r="J2206" s="4"/>
      <c r="K2206" s="147">
        <f>K3105</f>
        <v>230.19</v>
      </c>
    </row>
    <row r="2207" spans="1:11" hidden="1">
      <c r="A2207" s="134"/>
      <c r="F2207" s="112">
        <v>77.2</v>
      </c>
      <c r="H2207" s="86" t="s">
        <v>1833</v>
      </c>
      <c r="I2207"/>
      <c r="J2207" s="4"/>
      <c r="K2207" s="8">
        <v>500</v>
      </c>
    </row>
    <row r="2208" spans="1:11" hidden="1">
      <c r="A2208" s="134"/>
      <c r="F2208" s="112">
        <v>77.3</v>
      </c>
      <c r="H2208" s="86" t="s">
        <v>1523</v>
      </c>
      <c r="I2208"/>
      <c r="J2208" s="4"/>
      <c r="K2208" s="8">
        <f>K3712</f>
        <v>76.680000000000007</v>
      </c>
    </row>
    <row r="2209" spans="1:11" hidden="1">
      <c r="A2209" s="134"/>
      <c r="F2209" s="108">
        <v>78</v>
      </c>
      <c r="H2209" s="86" t="s">
        <v>81</v>
      </c>
      <c r="I2209"/>
      <c r="J2209" s="4"/>
      <c r="K2209" s="8">
        <f>K3319</f>
        <v>2489.75</v>
      </c>
    </row>
    <row r="2210" spans="1:11" hidden="1">
      <c r="A2210" s="134"/>
      <c r="F2210" s="108">
        <v>80</v>
      </c>
      <c r="H2210" s="86" t="s">
        <v>2143</v>
      </c>
      <c r="I2210"/>
      <c r="J2210" s="4"/>
      <c r="K2210" s="8">
        <f>K3441</f>
        <v>775.5</v>
      </c>
    </row>
    <row r="2211" spans="1:11" hidden="1">
      <c r="A2211" s="134"/>
      <c r="F2211" s="108">
        <v>81</v>
      </c>
      <c r="H2211" s="86" t="s">
        <v>93</v>
      </c>
      <c r="I2211"/>
      <c r="J2211" s="4"/>
      <c r="K2211" s="8">
        <f>K2178</f>
        <v>1125.04</v>
      </c>
    </row>
    <row r="2212" spans="1:11" hidden="1">
      <c r="A2212" s="134"/>
      <c r="F2212" s="108">
        <v>82</v>
      </c>
      <c r="H2212" s="86" t="s">
        <v>1571</v>
      </c>
      <c r="I2212"/>
      <c r="J2212" s="4"/>
      <c r="K2212" s="8">
        <f>K3638</f>
        <v>2742.5</v>
      </c>
    </row>
    <row r="2213" spans="1:11" hidden="1">
      <c r="A2213" s="134"/>
      <c r="F2213" s="108">
        <v>87</v>
      </c>
      <c r="H2213" s="86" t="s">
        <v>1787</v>
      </c>
      <c r="I2213"/>
      <c r="J2213" s="4"/>
      <c r="K2213" s="8">
        <f>K3458</f>
        <v>2650</v>
      </c>
    </row>
    <row r="2214" spans="1:11" hidden="1">
      <c r="A2214" s="134"/>
      <c r="I2214"/>
      <c r="J2214" s="4"/>
      <c r="K2214"/>
    </row>
    <row r="2215" spans="1:11" hidden="1">
      <c r="A2215" s="134"/>
      <c r="I2215"/>
      <c r="J2215" s="4"/>
      <c r="K2215"/>
    </row>
    <row r="2216" spans="1:11" ht="31.5" hidden="1">
      <c r="A2216" s="134"/>
      <c r="F2216" s="148">
        <v>77.400000000000006</v>
      </c>
      <c r="H2216" s="119" t="s">
        <v>1747</v>
      </c>
      <c r="I2216"/>
      <c r="J2216" s="4"/>
      <c r="K2216"/>
    </row>
    <row r="2217" spans="1:11" hidden="1">
      <c r="A2217" s="134"/>
      <c r="H2217" s="86" t="s">
        <v>806</v>
      </c>
      <c r="I2217"/>
      <c r="J2217" s="4"/>
      <c r="K2217"/>
    </row>
    <row r="2218" spans="1:11" ht="31.5" hidden="1">
      <c r="A2218" s="134"/>
      <c r="F2218" s="87">
        <v>90</v>
      </c>
      <c r="G2218" s="85" t="s">
        <v>372</v>
      </c>
      <c r="H2218" s="142" t="s">
        <v>2239</v>
      </c>
      <c r="I2218">
        <v>16.95</v>
      </c>
      <c r="J2218" s="4" t="s">
        <v>372</v>
      </c>
      <c r="K2218">
        <f>I2218*F2218</f>
        <v>1525.5</v>
      </c>
    </row>
    <row r="2219" spans="1:11" hidden="1">
      <c r="A2219" s="134"/>
      <c r="F2219" s="87">
        <v>0.15</v>
      </c>
      <c r="G2219" s="85" t="s">
        <v>530</v>
      </c>
      <c r="H2219" s="87" t="s">
        <v>871</v>
      </c>
      <c r="I2219">
        <f>AC31</f>
        <v>3800</v>
      </c>
      <c r="J2219" s="4" t="s">
        <v>530</v>
      </c>
      <c r="K2219">
        <f>I2219*F2219</f>
        <v>570</v>
      </c>
    </row>
    <row r="2220" spans="1:11" hidden="1">
      <c r="A2220" s="134"/>
      <c r="F2220" s="87">
        <v>1</v>
      </c>
      <c r="G2220" s="85" t="s">
        <v>778</v>
      </c>
      <c r="H2220" s="87" t="s">
        <v>371</v>
      </c>
      <c r="I2220">
        <f>C780</f>
        <v>160</v>
      </c>
      <c r="J2220" s="4" t="s">
        <v>778</v>
      </c>
      <c r="K2220">
        <f>I2220*F2220</f>
        <v>160</v>
      </c>
    </row>
    <row r="2221" spans="1:11" hidden="1">
      <c r="A2221" s="134"/>
      <c r="F2221" s="87">
        <v>2</v>
      </c>
      <c r="G2221" s="85" t="s">
        <v>778</v>
      </c>
      <c r="H2221" s="87" t="s">
        <v>1737</v>
      </c>
      <c r="I2221">
        <f>AE10</f>
        <v>135</v>
      </c>
      <c r="J2221" s="4" t="s">
        <v>778</v>
      </c>
      <c r="K2221">
        <f>I2221*F2221</f>
        <v>270</v>
      </c>
    </row>
    <row r="2222" spans="1:11" hidden="1">
      <c r="A2222" s="134"/>
      <c r="F2222" s="87">
        <v>4</v>
      </c>
      <c r="G2222" s="85" t="s">
        <v>778</v>
      </c>
      <c r="H2222" s="87" t="s">
        <v>1304</v>
      </c>
      <c r="I2222">
        <f>C781</f>
        <v>110</v>
      </c>
      <c r="J2222" s="4" t="s">
        <v>778</v>
      </c>
      <c r="K2222">
        <f>I2222*F2222</f>
        <v>440</v>
      </c>
    </row>
    <row r="2223" spans="1:11" hidden="1">
      <c r="A2223" s="134"/>
      <c r="H2223" s="87" t="s">
        <v>373</v>
      </c>
      <c r="I2223"/>
      <c r="J2223" s="4"/>
      <c r="K2223">
        <v>8.5</v>
      </c>
    </row>
    <row r="2224" spans="1:11" hidden="1">
      <c r="A2224" s="134"/>
      <c r="I2224"/>
      <c r="J2224" s="4"/>
      <c r="K2224" s="5" t="s">
        <v>1609</v>
      </c>
    </row>
    <row r="2225" spans="1:11" hidden="1">
      <c r="A2225" s="134"/>
      <c r="H2225" s="86" t="s">
        <v>2292</v>
      </c>
      <c r="I2225"/>
      <c r="J2225" s="4"/>
      <c r="K2225" s="8">
        <f>SUM(K2218:K2223)</f>
        <v>2974</v>
      </c>
    </row>
    <row r="2226" spans="1:11" hidden="1">
      <c r="A2226" s="134"/>
      <c r="I2226"/>
      <c r="J2226" s="4"/>
      <c r="K2226" s="5" t="s">
        <v>1609</v>
      </c>
    </row>
    <row r="2227" spans="1:11" hidden="1">
      <c r="A2227" s="134"/>
      <c r="H2227" s="86" t="s">
        <v>1141</v>
      </c>
      <c r="I2227"/>
      <c r="J2227" s="4"/>
      <c r="K2227" s="8">
        <f>(K2225/90)</f>
        <v>33.04</v>
      </c>
    </row>
    <row r="2228" spans="1:11" hidden="1">
      <c r="A2228" s="134"/>
      <c r="I2228"/>
      <c r="J2228" s="4"/>
      <c r="K2228" s="5" t="s">
        <v>2080</v>
      </c>
    </row>
    <row r="2229" spans="1:11" hidden="1">
      <c r="A2229" s="134"/>
      <c r="I2229"/>
      <c r="J2229" s="4"/>
      <c r="K2229"/>
    </row>
    <row r="2230" spans="1:11" hidden="1">
      <c r="A2230" s="134"/>
      <c r="F2230" s="123">
        <v>78.099999999999994</v>
      </c>
      <c r="H2230" s="86" t="s">
        <v>1583</v>
      </c>
      <c r="I2230"/>
      <c r="J2230" s="4"/>
      <c r="K2230"/>
    </row>
    <row r="2231" spans="1:11" hidden="1">
      <c r="A2231" s="134"/>
      <c r="H2231" s="86" t="s">
        <v>806</v>
      </c>
      <c r="I2231"/>
      <c r="J2231" s="4"/>
      <c r="K2231"/>
    </row>
    <row r="2232" spans="1:11" hidden="1">
      <c r="A2232" s="134"/>
      <c r="F2232" s="87">
        <v>2.5</v>
      </c>
      <c r="G2232" s="85" t="s">
        <v>778</v>
      </c>
      <c r="H2232" s="87" t="s">
        <v>1584</v>
      </c>
      <c r="I2232">
        <v>120</v>
      </c>
      <c r="J2232" s="4" t="s">
        <v>778</v>
      </c>
      <c r="K2232">
        <f t="shared" ref="K2232:K2237" si="75">I2232*F2232</f>
        <v>300</v>
      </c>
    </row>
    <row r="2233" spans="1:11" hidden="1">
      <c r="A2233" s="134"/>
      <c r="F2233" s="87">
        <v>20</v>
      </c>
      <c r="G2233" s="85" t="s">
        <v>359</v>
      </c>
      <c r="H2233" s="87" t="s">
        <v>1585</v>
      </c>
      <c r="I2233">
        <v>4</v>
      </c>
      <c r="J2233" s="4" t="s">
        <v>359</v>
      </c>
      <c r="K2233">
        <f t="shared" si="75"/>
        <v>80</v>
      </c>
    </row>
    <row r="2234" spans="1:11" hidden="1">
      <c r="A2234" s="134"/>
      <c r="F2234" s="87">
        <v>9</v>
      </c>
      <c r="G2234" s="85" t="s">
        <v>359</v>
      </c>
      <c r="H2234" s="87" t="s">
        <v>1586</v>
      </c>
      <c r="I2234">
        <v>4</v>
      </c>
      <c r="J2234" s="4" t="s">
        <v>359</v>
      </c>
      <c r="K2234">
        <f t="shared" si="75"/>
        <v>36</v>
      </c>
    </row>
    <row r="2235" spans="1:11" hidden="1">
      <c r="A2235" s="134"/>
      <c r="F2235" s="87">
        <v>0.5</v>
      </c>
      <c r="G2235" s="85" t="s">
        <v>359</v>
      </c>
      <c r="H2235" s="87" t="s">
        <v>1302</v>
      </c>
      <c r="I2235">
        <v>30</v>
      </c>
      <c r="J2235" s="4" t="s">
        <v>359</v>
      </c>
      <c r="K2235">
        <f t="shared" si="75"/>
        <v>15</v>
      </c>
    </row>
    <row r="2236" spans="1:11" hidden="1">
      <c r="A2236" s="134"/>
      <c r="F2236" s="87">
        <v>0.5</v>
      </c>
      <c r="G2236" s="85" t="s">
        <v>778</v>
      </c>
      <c r="H2236" s="87" t="s">
        <v>1303</v>
      </c>
      <c r="I2236">
        <f>C780</f>
        <v>160</v>
      </c>
      <c r="J2236" s="4" t="s">
        <v>778</v>
      </c>
      <c r="K2236">
        <f t="shared" si="75"/>
        <v>80</v>
      </c>
    </row>
    <row r="2237" spans="1:11" hidden="1">
      <c r="A2237" s="134"/>
      <c r="F2237" s="87">
        <v>1</v>
      </c>
      <c r="G2237" s="85" t="s">
        <v>778</v>
      </c>
      <c r="H2237" s="87" t="s">
        <v>1304</v>
      </c>
      <c r="I2237">
        <f>C781</f>
        <v>110</v>
      </c>
      <c r="J2237" s="4" t="s">
        <v>778</v>
      </c>
      <c r="K2237">
        <f t="shared" si="75"/>
        <v>110</v>
      </c>
    </row>
    <row r="2238" spans="1:11" ht="31.5" hidden="1">
      <c r="A2238" s="134"/>
      <c r="G2238" s="85" t="s">
        <v>663</v>
      </c>
      <c r="H2238" s="142" t="s">
        <v>1305</v>
      </c>
      <c r="I2238"/>
      <c r="J2238" s="4" t="s">
        <v>663</v>
      </c>
      <c r="K2238">
        <v>165</v>
      </c>
    </row>
    <row r="2239" spans="1:11" hidden="1">
      <c r="A2239" s="134"/>
      <c r="G2239" s="85" t="s">
        <v>663</v>
      </c>
      <c r="H2239" s="87" t="s">
        <v>1228</v>
      </c>
      <c r="I2239"/>
      <c r="J2239" s="4" t="s">
        <v>663</v>
      </c>
      <c r="K2239">
        <v>9.5</v>
      </c>
    </row>
    <row r="2240" spans="1:11" hidden="1">
      <c r="A2240" s="134"/>
      <c r="I2240"/>
      <c r="J2240" s="4"/>
      <c r="K2240" s="5" t="s">
        <v>1609</v>
      </c>
    </row>
    <row r="2241" spans="1:11" hidden="1">
      <c r="A2241" s="134"/>
      <c r="H2241" s="87" t="s">
        <v>283</v>
      </c>
      <c r="I2241"/>
      <c r="J2241" s="4"/>
      <c r="K2241" s="8">
        <f>SUM(K2232:K2239)</f>
        <v>795.5</v>
      </c>
    </row>
    <row r="2242" spans="1:11" hidden="1">
      <c r="A2242" s="134"/>
      <c r="I2242"/>
      <c r="J2242" s="4"/>
      <c r="K2242" s="5" t="s">
        <v>1609</v>
      </c>
    </row>
    <row r="2243" spans="1:11" hidden="1">
      <c r="A2243" s="134"/>
    </row>
    <row r="2244" spans="1:11" ht="21.75" hidden="1">
      <c r="A2244" s="134"/>
      <c r="E2244" s="149"/>
      <c r="F2244" s="149"/>
      <c r="G2244" s="150"/>
      <c r="H2244" s="151" t="s">
        <v>2945</v>
      </c>
      <c r="I2244" s="149"/>
      <c r="J2244" s="152"/>
      <c r="K2244" s="153"/>
    </row>
    <row r="2245" spans="1:11" ht="17.25" hidden="1">
      <c r="A2245" s="134"/>
      <c r="E2245" s="149"/>
      <c r="F2245" s="150"/>
      <c r="G2245" s="149"/>
      <c r="H2245" s="149"/>
      <c r="I2245" s="152"/>
      <c r="J2245" s="149"/>
      <c r="K2245" s="149"/>
    </row>
    <row r="2246" spans="1:11" ht="17.25" hidden="1">
      <c r="A2246" s="134"/>
      <c r="E2246" s="149"/>
      <c r="F2246" s="150">
        <v>53.3</v>
      </c>
      <c r="G2246" s="149"/>
      <c r="H2246" s="149" t="s">
        <v>2946</v>
      </c>
      <c r="I2246" s="152"/>
      <c r="J2246" s="149"/>
      <c r="K2246" s="149">
        <v>957</v>
      </c>
    </row>
    <row r="2247" spans="1:11" ht="17.25" hidden="1">
      <c r="A2247" s="134"/>
      <c r="E2247" s="149"/>
      <c r="F2247" s="150"/>
      <c r="G2247" s="149"/>
      <c r="H2247" s="149"/>
      <c r="I2247" s="152"/>
      <c r="J2247" s="149"/>
      <c r="K2247" s="149"/>
    </row>
    <row r="2248" spans="1:11" ht="34.5" hidden="1">
      <c r="A2248" s="134"/>
      <c r="E2248" s="149"/>
      <c r="F2248" s="154" t="s">
        <v>2947</v>
      </c>
      <c r="G2248" s="149"/>
      <c r="H2248" s="155" t="s">
        <v>2024</v>
      </c>
      <c r="I2248" s="152"/>
      <c r="J2248" s="149"/>
      <c r="K2248" s="149"/>
    </row>
    <row r="2249" spans="1:11" ht="17.25" hidden="1">
      <c r="A2249" s="134"/>
      <c r="E2249" s="149"/>
      <c r="F2249" s="150"/>
      <c r="G2249" s="149"/>
      <c r="H2249" s="156" t="s">
        <v>1609</v>
      </c>
      <c r="I2249" s="156" t="s">
        <v>1609</v>
      </c>
      <c r="J2249" s="156" t="s">
        <v>1609</v>
      </c>
      <c r="K2249" s="149"/>
    </row>
    <row r="2250" spans="1:11" ht="17.25" hidden="1">
      <c r="A2250" s="134"/>
      <c r="E2250" s="149"/>
      <c r="F2250" s="150"/>
      <c r="G2250" s="149"/>
      <c r="H2250" s="149"/>
      <c r="I2250" s="152"/>
      <c r="J2250" s="149"/>
      <c r="K2250" s="149"/>
    </row>
    <row r="2251" spans="1:11" ht="17.25" hidden="1">
      <c r="A2251" s="134"/>
      <c r="E2251" s="149"/>
      <c r="F2251" s="150"/>
      <c r="G2251" s="149"/>
      <c r="H2251" s="149" t="s">
        <v>2025</v>
      </c>
      <c r="I2251" s="152"/>
      <c r="J2251" s="149"/>
      <c r="K2251" s="149"/>
    </row>
    <row r="2252" spans="1:11" ht="17.25" hidden="1">
      <c r="A2252" s="134"/>
      <c r="E2252" s="149"/>
      <c r="F2252" s="150"/>
      <c r="G2252" s="149"/>
      <c r="H2252" s="149" t="s">
        <v>2026</v>
      </c>
      <c r="I2252" s="152"/>
      <c r="J2252" s="149"/>
      <c r="K2252" s="149"/>
    </row>
    <row r="2253" spans="1:11" ht="17.25" hidden="1">
      <c r="A2253" s="134"/>
      <c r="E2253" s="149"/>
      <c r="F2253" s="150"/>
      <c r="G2253" s="149"/>
      <c r="H2253" s="149" t="s">
        <v>455</v>
      </c>
      <c r="I2253" s="152"/>
      <c r="J2253" s="149"/>
      <c r="K2253" s="149"/>
    </row>
    <row r="2254" spans="1:11" ht="17.25" hidden="1">
      <c r="A2254" s="134"/>
      <c r="E2254" s="149"/>
      <c r="F2254" s="150"/>
      <c r="G2254" s="149"/>
      <c r="H2254" s="149" t="s">
        <v>456</v>
      </c>
      <c r="I2254" s="152"/>
      <c r="J2254" s="149"/>
      <c r="K2254" s="149"/>
    </row>
    <row r="2255" spans="1:11" ht="17.25" hidden="1">
      <c r="A2255" s="134"/>
      <c r="E2255" s="149"/>
      <c r="F2255" s="150"/>
      <c r="G2255" s="149"/>
      <c r="H2255" s="149" t="s">
        <v>457</v>
      </c>
      <c r="I2255" s="152"/>
      <c r="J2255" s="149"/>
      <c r="K2255" s="149"/>
    </row>
    <row r="2256" spans="1:11" ht="17.25" hidden="1">
      <c r="A2256" s="134"/>
      <c r="E2256" s="149"/>
      <c r="F2256" s="150"/>
      <c r="G2256" s="149"/>
      <c r="H2256" s="149" t="s">
        <v>2948</v>
      </c>
      <c r="I2256" s="152"/>
      <c r="J2256" s="149" t="s">
        <v>987</v>
      </c>
      <c r="K2256" s="149">
        <v>3.32E-2</v>
      </c>
    </row>
    <row r="2257" spans="1:11" ht="17.25" hidden="1">
      <c r="A2257" s="134"/>
      <c r="E2257" s="149"/>
      <c r="F2257" s="150"/>
      <c r="G2257" s="149"/>
      <c r="H2257" s="149" t="s">
        <v>2949</v>
      </c>
      <c r="I2257" s="152"/>
      <c r="J2257" s="149" t="s">
        <v>987</v>
      </c>
      <c r="K2257" s="149" t="s">
        <v>987</v>
      </c>
    </row>
    <row r="2258" spans="1:11" ht="17.25" hidden="1">
      <c r="A2258" s="134"/>
      <c r="E2258" s="149"/>
      <c r="F2258" s="150"/>
      <c r="G2258" s="149"/>
      <c r="H2258" s="149" t="s">
        <v>1855</v>
      </c>
      <c r="I2258" s="152"/>
      <c r="J2258" s="149"/>
      <c r="K2258" s="149" t="s">
        <v>987</v>
      </c>
    </row>
    <row r="2259" spans="1:11" ht="17.25" hidden="1">
      <c r="A2259" s="134"/>
      <c r="E2259" s="149"/>
      <c r="F2259" s="150"/>
      <c r="G2259" s="149"/>
      <c r="H2259" s="149"/>
      <c r="I2259" s="152"/>
      <c r="J2259" s="149"/>
      <c r="K2259" s="149"/>
    </row>
    <row r="2260" spans="1:11" ht="17.25" hidden="1">
      <c r="A2260" s="134"/>
      <c r="E2260" s="149"/>
      <c r="F2260" s="157">
        <v>1.18E-2</v>
      </c>
      <c r="G2260" s="149" t="s">
        <v>878</v>
      </c>
      <c r="H2260" s="149" t="s">
        <v>698</v>
      </c>
      <c r="I2260" s="152">
        <f>I1083</f>
        <v>65420</v>
      </c>
      <c r="J2260" s="149" t="s">
        <v>878</v>
      </c>
      <c r="K2260" s="149">
        <f t="shared" ref="K2260:K2269" si="76">I2260*F2260</f>
        <v>771.96</v>
      </c>
    </row>
    <row r="2261" spans="1:11" ht="17.25" hidden="1">
      <c r="A2261" s="134"/>
      <c r="E2261" s="149"/>
      <c r="F2261" s="157">
        <v>3.7699999999999997E-2</v>
      </c>
      <c r="G2261" s="149" t="s">
        <v>878</v>
      </c>
      <c r="H2261" s="149" t="s">
        <v>699</v>
      </c>
      <c r="I2261" s="152">
        <f>I1084</f>
        <v>57165</v>
      </c>
      <c r="J2261" s="149" t="s">
        <v>878</v>
      </c>
      <c r="K2261" s="149">
        <f t="shared" si="76"/>
        <v>2155.12</v>
      </c>
    </row>
    <row r="2262" spans="1:11" ht="17.25" hidden="1">
      <c r="A2262" s="134"/>
      <c r="E2262" s="149"/>
      <c r="F2262" s="157">
        <v>1.8550000000000001E-2</v>
      </c>
      <c r="G2262" s="149" t="s">
        <v>878</v>
      </c>
      <c r="H2262" s="149" t="s">
        <v>895</v>
      </c>
      <c r="I2262" s="152">
        <f>I1085</f>
        <v>3035</v>
      </c>
      <c r="J2262" s="149" t="s">
        <v>878</v>
      </c>
      <c r="K2262" s="149">
        <f t="shared" si="76"/>
        <v>56.3</v>
      </c>
    </row>
    <row r="2263" spans="1:11" ht="17.25" hidden="1">
      <c r="A2263" s="134"/>
      <c r="E2263" s="149"/>
      <c r="F2263" s="157">
        <v>1.36</v>
      </c>
      <c r="G2263" s="149" t="s">
        <v>615</v>
      </c>
      <c r="H2263" s="149" t="s">
        <v>896</v>
      </c>
      <c r="I2263" s="152">
        <v>385.89</v>
      </c>
      <c r="J2263" s="149" t="s">
        <v>615</v>
      </c>
      <c r="K2263" s="149">
        <f t="shared" si="76"/>
        <v>524.80999999999995</v>
      </c>
    </row>
    <row r="2264" spans="1:11" ht="17.25" hidden="1">
      <c r="A2264" s="134"/>
      <c r="E2264" s="149"/>
      <c r="F2264" s="157">
        <v>2.0499999999999998</v>
      </c>
      <c r="G2264" s="149" t="s">
        <v>615</v>
      </c>
      <c r="H2264" s="149" t="s">
        <v>1528</v>
      </c>
      <c r="I2264" s="152">
        <f>I1087</f>
        <v>287</v>
      </c>
      <c r="J2264" s="149" t="s">
        <v>615</v>
      </c>
      <c r="K2264" s="149">
        <f t="shared" si="76"/>
        <v>588.35</v>
      </c>
    </row>
    <row r="2265" spans="1:11" ht="17.25" hidden="1">
      <c r="A2265" s="134"/>
      <c r="E2265" s="149"/>
      <c r="F2265" s="158">
        <v>2</v>
      </c>
      <c r="G2265" s="149" t="s">
        <v>877</v>
      </c>
      <c r="H2265" s="149" t="s">
        <v>1409</v>
      </c>
      <c r="I2265" s="152">
        <v>25</v>
      </c>
      <c r="J2265" s="149" t="s">
        <v>877</v>
      </c>
      <c r="K2265" s="149">
        <f t="shared" si="76"/>
        <v>50</v>
      </c>
    </row>
    <row r="2266" spans="1:11" ht="17.25" hidden="1">
      <c r="A2266" s="134"/>
      <c r="E2266" s="149"/>
      <c r="F2266" s="158">
        <v>6</v>
      </c>
      <c r="G2266" s="149" t="s">
        <v>877</v>
      </c>
      <c r="H2266" s="149" t="s">
        <v>1363</v>
      </c>
      <c r="I2266" s="152">
        <v>25</v>
      </c>
      <c r="J2266" s="149" t="s">
        <v>877</v>
      </c>
      <c r="K2266" s="149">
        <f t="shared" si="76"/>
        <v>150</v>
      </c>
    </row>
    <row r="2267" spans="1:11" ht="17.25" hidden="1">
      <c r="A2267" s="134"/>
      <c r="E2267" s="149"/>
      <c r="F2267" s="158">
        <v>2</v>
      </c>
      <c r="G2267" s="149" t="s">
        <v>877</v>
      </c>
      <c r="H2267" s="149" t="s">
        <v>2449</v>
      </c>
      <c r="I2267" s="152">
        <v>35</v>
      </c>
      <c r="J2267" s="149" t="s">
        <v>877</v>
      </c>
      <c r="K2267" s="149">
        <f t="shared" si="76"/>
        <v>70</v>
      </c>
    </row>
    <row r="2268" spans="1:11" ht="17.25" hidden="1">
      <c r="A2268" s="134"/>
      <c r="E2268" s="149"/>
      <c r="F2268" s="158">
        <v>1</v>
      </c>
      <c r="G2268" s="149" t="s">
        <v>877</v>
      </c>
      <c r="H2268" s="149" t="s">
        <v>1437</v>
      </c>
      <c r="I2268" s="152">
        <v>60</v>
      </c>
      <c r="J2268" s="149" t="s">
        <v>877</v>
      </c>
      <c r="K2268" s="149">
        <f t="shared" si="76"/>
        <v>60</v>
      </c>
    </row>
    <row r="2269" spans="1:11" ht="17.25" hidden="1">
      <c r="A2269" s="134"/>
      <c r="E2269" s="149"/>
      <c r="F2269" s="157">
        <v>2.52</v>
      </c>
      <c r="G2269" s="149" t="s">
        <v>615</v>
      </c>
      <c r="H2269" s="149" t="s">
        <v>1738</v>
      </c>
      <c r="I2269" s="152">
        <f>K1122</f>
        <v>51.25</v>
      </c>
      <c r="J2269" s="149" t="s">
        <v>615</v>
      </c>
      <c r="K2269" s="149">
        <f t="shared" si="76"/>
        <v>129.15</v>
      </c>
    </row>
    <row r="2270" spans="1:11" ht="17.25" hidden="1">
      <c r="A2270" s="134"/>
      <c r="E2270" s="149"/>
      <c r="F2270" s="150"/>
      <c r="G2270" s="149"/>
      <c r="H2270" s="149" t="s">
        <v>1434</v>
      </c>
      <c r="I2270" s="152" t="s">
        <v>450</v>
      </c>
      <c r="J2270" s="149"/>
      <c r="K2270" s="149">
        <v>0.28000000000000003</v>
      </c>
    </row>
    <row r="2271" spans="1:11" ht="17.25" hidden="1">
      <c r="A2271" s="134"/>
      <c r="E2271" s="149"/>
      <c r="F2271" s="150"/>
      <c r="G2271" s="149"/>
      <c r="H2271" s="149"/>
      <c r="I2271" s="152"/>
      <c r="J2271" s="149"/>
      <c r="K2271" s="159" t="s">
        <v>1609</v>
      </c>
    </row>
    <row r="2272" spans="1:11" ht="17.25" hidden="1">
      <c r="A2272" s="134"/>
      <c r="E2272" s="149"/>
      <c r="F2272" s="150"/>
      <c r="G2272" s="149"/>
      <c r="H2272" s="149" t="s">
        <v>1435</v>
      </c>
      <c r="I2272" s="152"/>
      <c r="J2272" s="149"/>
      <c r="K2272" s="149">
        <f>SUM(K2260:K2271)</f>
        <v>4555.97</v>
      </c>
    </row>
    <row r="2273" spans="1:11" ht="17.25" hidden="1">
      <c r="A2273" s="134"/>
      <c r="E2273" s="149"/>
      <c r="F2273" s="150"/>
      <c r="G2273" s="149" t="s">
        <v>987</v>
      </c>
      <c r="H2273" s="149"/>
      <c r="I2273" s="152"/>
      <c r="J2273" s="149"/>
      <c r="K2273" s="159" t="s">
        <v>1609</v>
      </c>
    </row>
    <row r="2274" spans="1:11" ht="17.25" hidden="1">
      <c r="A2274" s="134"/>
      <c r="E2274" s="149"/>
      <c r="F2274" s="150"/>
      <c r="G2274" s="149"/>
      <c r="H2274" s="149" t="s">
        <v>556</v>
      </c>
      <c r="I2274" s="152"/>
      <c r="J2274" s="149"/>
      <c r="K2274" s="149">
        <f>K2272/F2269</f>
        <v>1807.92</v>
      </c>
    </row>
    <row r="2275" spans="1:11" ht="17.25" hidden="1">
      <c r="A2275" s="134"/>
      <c r="E2275" s="149"/>
      <c r="F2275" s="150"/>
      <c r="G2275" s="149"/>
      <c r="H2275" s="149"/>
      <c r="I2275" s="152"/>
      <c r="J2275" s="149"/>
      <c r="K2275" s="149"/>
    </row>
    <row r="2276" spans="1:11" ht="17.25" hidden="1">
      <c r="A2276" s="134"/>
      <c r="E2276" s="149"/>
      <c r="F2276" s="149"/>
      <c r="G2276" s="150"/>
      <c r="H2276" s="149"/>
      <c r="I2276" s="149"/>
      <c r="J2276" s="152"/>
      <c r="K2276" s="149"/>
    </row>
    <row r="2277" spans="1:11" ht="17.25" hidden="1">
      <c r="A2277" s="134"/>
      <c r="E2277" s="149"/>
      <c r="F2277" s="149"/>
      <c r="G2277" s="150"/>
      <c r="H2277" s="149"/>
      <c r="I2277" s="149"/>
      <c r="J2277" s="152"/>
      <c r="K2277" s="149"/>
    </row>
    <row r="2278" spans="1:11" ht="34.5" hidden="1">
      <c r="A2278" s="134"/>
      <c r="E2278" s="149"/>
      <c r="F2278" s="149"/>
      <c r="G2278" s="150"/>
      <c r="H2278" s="156" t="s">
        <v>3502</v>
      </c>
      <c r="I2278" s="149"/>
      <c r="J2278" s="152" t="s">
        <v>1418</v>
      </c>
      <c r="K2278" s="149">
        <v>600</v>
      </c>
    </row>
    <row r="2279" spans="1:11" ht="17.25" hidden="1">
      <c r="A2279" s="134"/>
      <c r="E2279" s="149"/>
      <c r="F2279" s="149"/>
      <c r="G2279" s="150"/>
      <c r="H2279" s="149"/>
      <c r="I2279" s="149"/>
      <c r="J2279" s="152"/>
      <c r="K2279" s="149"/>
    </row>
    <row r="2280" spans="1:11" ht="17.25" hidden="1">
      <c r="A2280" s="134"/>
      <c r="E2280" s="149"/>
      <c r="F2280" s="149"/>
      <c r="G2280" s="150"/>
      <c r="H2280" s="149"/>
      <c r="I2280" s="149"/>
      <c r="J2280" s="152"/>
      <c r="K2280" s="149"/>
    </row>
    <row r="2281" spans="1:11" ht="17.25" hidden="1">
      <c r="A2281" s="134"/>
      <c r="E2281" s="149"/>
      <c r="F2281" s="149"/>
      <c r="G2281" s="150"/>
      <c r="H2281" s="156" t="s">
        <v>2434</v>
      </c>
      <c r="I2281" s="149"/>
      <c r="J2281" s="152" t="s">
        <v>1418</v>
      </c>
      <c r="K2281" s="149">
        <v>300</v>
      </c>
    </row>
    <row r="2282" spans="1:11" ht="17.25" hidden="1">
      <c r="A2282" s="134"/>
      <c r="E2282" s="149"/>
      <c r="F2282" s="149"/>
      <c r="G2282" s="150"/>
      <c r="H2282" s="149"/>
      <c r="I2282" s="149"/>
      <c r="J2282" s="152"/>
      <c r="K2282" s="149"/>
    </row>
    <row r="2283" spans="1:11" ht="17.25" hidden="1">
      <c r="A2283" s="134"/>
      <c r="E2283" s="149"/>
      <c r="F2283" s="149"/>
      <c r="G2283" s="150"/>
      <c r="H2283" s="149"/>
      <c r="I2283" s="149"/>
      <c r="J2283" s="152"/>
      <c r="K2283" s="149"/>
    </row>
    <row r="2284" spans="1:11" ht="17.25" hidden="1">
      <c r="A2284" s="134"/>
      <c r="E2284" s="149"/>
      <c r="F2284" s="149"/>
      <c r="G2284" s="150"/>
      <c r="H2284" s="149"/>
      <c r="I2284" s="149"/>
      <c r="J2284" s="152"/>
      <c r="K2284" s="149"/>
    </row>
    <row r="2285" spans="1:11" ht="17.25" hidden="1">
      <c r="A2285" s="134"/>
      <c r="E2285" s="149"/>
      <c r="F2285" s="149"/>
      <c r="G2285" s="150"/>
      <c r="H2285" s="156" t="s">
        <v>2435</v>
      </c>
      <c r="I2285" s="149"/>
      <c r="J2285" s="152" t="s">
        <v>1418</v>
      </c>
      <c r="K2285" s="149">
        <v>260</v>
      </c>
    </row>
    <row r="2286" spans="1:11" ht="17.25" hidden="1">
      <c r="A2286" s="134"/>
      <c r="E2286" s="149"/>
      <c r="F2286" s="149"/>
      <c r="G2286" s="150"/>
      <c r="H2286" s="149"/>
      <c r="I2286" s="149"/>
      <c r="J2286" s="152"/>
      <c r="K2286" s="149"/>
    </row>
    <row r="2287" spans="1:11" ht="17.25" hidden="1">
      <c r="A2287" s="134"/>
      <c r="E2287" s="149"/>
      <c r="F2287" s="149"/>
      <c r="G2287" s="150"/>
      <c r="H2287" s="149"/>
      <c r="I2287" s="149"/>
      <c r="J2287" s="152"/>
      <c r="K2287" s="149"/>
    </row>
    <row r="2288" spans="1:11" ht="17.25" hidden="1">
      <c r="A2288" s="134"/>
      <c r="E2288" s="149"/>
      <c r="F2288" s="149"/>
      <c r="G2288" s="150"/>
      <c r="H2288" s="149"/>
      <c r="I2288" s="149"/>
      <c r="J2288" s="152"/>
      <c r="K2288" s="149"/>
    </row>
    <row r="2289" spans="1:11" ht="34.5" hidden="1">
      <c r="A2289" s="134"/>
      <c r="E2289" s="149"/>
      <c r="F2289" s="149"/>
      <c r="G2289" s="150"/>
      <c r="H2289" s="156" t="s">
        <v>2436</v>
      </c>
      <c r="I2289" s="149"/>
      <c r="J2289" s="152" t="s">
        <v>1418</v>
      </c>
      <c r="K2289" s="149">
        <v>650</v>
      </c>
    </row>
    <row r="2290" spans="1:11" ht="17.25" hidden="1">
      <c r="A2290" s="134"/>
      <c r="E2290" s="149"/>
      <c r="F2290" s="149"/>
      <c r="G2290" s="150"/>
      <c r="H2290" s="149"/>
      <c r="I2290" s="149"/>
      <c r="J2290" s="152"/>
      <c r="K2290" s="149"/>
    </row>
    <row r="2291" spans="1:11" ht="17.25" hidden="1">
      <c r="A2291" s="134"/>
      <c r="E2291" s="149"/>
      <c r="F2291" s="149"/>
      <c r="G2291" s="150"/>
      <c r="H2291" s="149"/>
      <c r="I2291" s="149"/>
      <c r="J2291" s="152"/>
      <c r="K2291" s="149"/>
    </row>
    <row r="2292" spans="1:11" ht="17.25" hidden="1">
      <c r="A2292" s="134"/>
      <c r="E2292" s="149"/>
      <c r="F2292" s="149"/>
      <c r="G2292" s="150"/>
      <c r="H2292" s="149" t="s">
        <v>3458</v>
      </c>
      <c r="I2292" s="149"/>
      <c r="J2292" s="152" t="s">
        <v>1418</v>
      </c>
      <c r="K2292" s="149">
        <v>436</v>
      </c>
    </row>
    <row r="2293" spans="1:11" ht="17.25" hidden="1">
      <c r="A2293" s="134"/>
      <c r="E2293" s="149"/>
      <c r="F2293" s="149"/>
      <c r="G2293" s="150"/>
      <c r="H2293" s="149"/>
      <c r="I2293" s="149"/>
      <c r="J2293" s="152"/>
      <c r="K2293" s="149"/>
    </row>
    <row r="2294" spans="1:11" ht="17.25" hidden="1">
      <c r="A2294" s="134"/>
      <c r="E2294" s="149"/>
      <c r="F2294" s="149"/>
      <c r="G2294" s="150"/>
      <c r="H2294" s="149"/>
      <c r="I2294" s="149"/>
      <c r="J2294" s="152"/>
      <c r="K2294" s="149"/>
    </row>
    <row r="2295" spans="1:11" ht="17.25" hidden="1">
      <c r="A2295" s="134"/>
      <c r="E2295" s="149"/>
      <c r="F2295" s="149"/>
      <c r="G2295" s="150"/>
      <c r="H2295" s="149" t="s">
        <v>3459</v>
      </c>
      <c r="I2295" s="149"/>
      <c r="J2295" s="152" t="s">
        <v>1418</v>
      </c>
      <c r="K2295" s="149">
        <v>518</v>
      </c>
    </row>
    <row r="2296" spans="1:11" ht="17.25" hidden="1">
      <c r="A2296" s="134"/>
      <c r="E2296" s="149"/>
      <c r="F2296" s="149"/>
      <c r="G2296" s="150"/>
      <c r="H2296" s="149"/>
      <c r="I2296" s="149"/>
      <c r="J2296" s="152"/>
      <c r="K2296" s="149"/>
    </row>
    <row r="2297" spans="1:11" ht="17.25" hidden="1">
      <c r="A2297" s="134"/>
      <c r="E2297" s="149"/>
      <c r="F2297" s="149"/>
      <c r="G2297" s="150"/>
      <c r="H2297" s="149"/>
      <c r="I2297" s="149"/>
      <c r="J2297" s="152"/>
      <c r="K2297" s="149"/>
    </row>
    <row r="2298" spans="1:11" ht="17.25" hidden="1">
      <c r="A2298" s="134"/>
      <c r="E2298" s="149"/>
      <c r="F2298" s="149"/>
      <c r="G2298" s="150"/>
      <c r="H2298" s="149"/>
      <c r="I2298" s="149"/>
      <c r="J2298" s="152"/>
      <c r="K2298" s="149"/>
    </row>
    <row r="2299" spans="1:11" ht="34.5" hidden="1">
      <c r="A2299" s="134"/>
      <c r="E2299" s="149"/>
      <c r="F2299" s="149"/>
      <c r="G2299" s="150"/>
      <c r="H2299" s="156" t="s">
        <v>3460</v>
      </c>
      <c r="I2299" s="149"/>
      <c r="J2299" s="152"/>
      <c r="K2299" s="149"/>
    </row>
    <row r="2300" spans="1:11" ht="17.25" hidden="1">
      <c r="A2300" s="134"/>
      <c r="E2300" s="149"/>
      <c r="F2300" s="149"/>
      <c r="G2300" s="150"/>
      <c r="H2300" s="149"/>
      <c r="I2300" s="149"/>
      <c r="J2300" s="152"/>
      <c r="K2300" s="149"/>
    </row>
    <row r="2301" spans="1:11" ht="17.25" hidden="1">
      <c r="A2301" s="134"/>
      <c r="E2301" s="149"/>
      <c r="F2301" s="149"/>
      <c r="G2301" s="150"/>
      <c r="H2301" s="149" t="s">
        <v>3461</v>
      </c>
      <c r="I2301" s="149"/>
      <c r="J2301" s="152"/>
      <c r="K2301" s="149"/>
    </row>
    <row r="2302" spans="1:11" ht="17.25" hidden="1">
      <c r="A2302" s="134"/>
      <c r="E2302" s="149"/>
      <c r="F2302" s="149"/>
      <c r="G2302" s="150"/>
      <c r="H2302" s="149" t="s">
        <v>3462</v>
      </c>
      <c r="I2302" s="149"/>
      <c r="J2302" s="152"/>
      <c r="K2302" s="149"/>
    </row>
    <row r="2303" spans="1:11" ht="17.25" hidden="1">
      <c r="A2303" s="134"/>
      <c r="E2303" s="149"/>
      <c r="F2303" s="149"/>
      <c r="G2303" s="150"/>
      <c r="H2303" s="149"/>
      <c r="I2303" s="149"/>
      <c r="J2303" s="152"/>
      <c r="K2303" s="149"/>
    </row>
    <row r="2304" spans="1:11" ht="17.25" hidden="1">
      <c r="A2304" s="134"/>
      <c r="E2304" s="149"/>
      <c r="F2304" s="149"/>
      <c r="G2304" s="150"/>
      <c r="H2304" s="149"/>
      <c r="I2304" s="149"/>
      <c r="J2304" s="152"/>
      <c r="K2304" s="149"/>
    </row>
    <row r="2305" spans="1:11" ht="17.25" hidden="1">
      <c r="A2305" s="134"/>
      <c r="E2305" s="149"/>
      <c r="F2305" s="149"/>
      <c r="G2305" s="150"/>
      <c r="H2305" s="149"/>
      <c r="I2305" s="149"/>
      <c r="J2305" s="152"/>
      <c r="K2305" s="149"/>
    </row>
    <row r="2306" spans="1:11" ht="17.25" hidden="1">
      <c r="A2306" s="134"/>
      <c r="E2306" s="149"/>
      <c r="F2306" s="149">
        <v>1.96</v>
      </c>
      <c r="G2306" s="150" t="s">
        <v>2176</v>
      </c>
      <c r="H2306" s="149" t="s">
        <v>3463</v>
      </c>
      <c r="I2306" s="149" t="e">
        <f>K1644</f>
        <v>#REF!</v>
      </c>
      <c r="J2306" s="152" t="s">
        <v>2176</v>
      </c>
      <c r="K2306" s="149" t="e">
        <f t="shared" ref="K2306:K2311" si="77">I2306*F2306</f>
        <v>#REF!</v>
      </c>
    </row>
    <row r="2307" spans="1:11" ht="17.25" hidden="1">
      <c r="A2307" s="134"/>
      <c r="E2307" s="149"/>
      <c r="F2307" s="149">
        <v>2</v>
      </c>
      <c r="G2307" s="150" t="s">
        <v>1414</v>
      </c>
      <c r="H2307" s="149" t="s">
        <v>3464</v>
      </c>
      <c r="I2307" s="149">
        <f>C10</f>
        <v>150</v>
      </c>
      <c r="J2307" s="152" t="s">
        <v>1414</v>
      </c>
      <c r="K2307" s="149">
        <f t="shared" si="77"/>
        <v>300</v>
      </c>
    </row>
    <row r="2308" spans="1:11" ht="17.25" hidden="1">
      <c r="A2308" s="134"/>
      <c r="E2308" s="149"/>
      <c r="F2308" s="149">
        <v>2</v>
      </c>
      <c r="G2308" s="150" t="s">
        <v>1414</v>
      </c>
      <c r="H2308" s="149" t="s">
        <v>3465</v>
      </c>
      <c r="I2308" s="149">
        <f>C13</f>
        <v>85</v>
      </c>
      <c r="J2308" s="152" t="s">
        <v>1414</v>
      </c>
      <c r="K2308" s="149">
        <f t="shared" si="77"/>
        <v>170</v>
      </c>
    </row>
    <row r="2309" spans="1:11" ht="17.25" hidden="1">
      <c r="A2309" s="134"/>
      <c r="E2309" s="149"/>
      <c r="F2309" s="149">
        <v>500</v>
      </c>
      <c r="G2309" s="150" t="s">
        <v>1414</v>
      </c>
      <c r="H2309" s="149" t="s">
        <v>3466</v>
      </c>
      <c r="I2309" s="149">
        <v>2</v>
      </c>
      <c r="J2309" s="152" t="s">
        <v>1414</v>
      </c>
      <c r="K2309" s="149">
        <f t="shared" si="77"/>
        <v>1000</v>
      </c>
    </row>
    <row r="2310" spans="1:11" ht="17.25" hidden="1">
      <c r="A2310" s="134"/>
      <c r="E2310" s="149"/>
      <c r="F2310" s="149">
        <v>8.5</v>
      </c>
      <c r="G2310" s="150" t="s">
        <v>2171</v>
      </c>
      <c r="H2310" s="149" t="s">
        <v>3467</v>
      </c>
      <c r="I2310" s="149">
        <v>25</v>
      </c>
      <c r="J2310" s="152" t="s">
        <v>2171</v>
      </c>
      <c r="K2310" s="149">
        <f t="shared" si="77"/>
        <v>212.5</v>
      </c>
    </row>
    <row r="2311" spans="1:11" ht="17.25" hidden="1">
      <c r="A2311" s="134"/>
      <c r="E2311" s="149"/>
      <c r="F2311" s="149">
        <v>0.28000000000000003</v>
      </c>
      <c r="G2311" s="150" t="s">
        <v>2308</v>
      </c>
      <c r="H2311" s="149" t="s">
        <v>3468</v>
      </c>
      <c r="I2311" s="149">
        <f>K2448</f>
        <v>168.13</v>
      </c>
      <c r="J2311" s="152" t="s">
        <v>2308</v>
      </c>
      <c r="K2311" s="149">
        <f t="shared" si="77"/>
        <v>47.08</v>
      </c>
    </row>
    <row r="2312" spans="1:11" ht="17.25" hidden="1">
      <c r="A2312" s="134"/>
      <c r="E2312" s="149"/>
      <c r="F2312" s="149"/>
      <c r="G2312" s="150"/>
      <c r="H2312" s="149"/>
      <c r="I2312" s="149"/>
      <c r="J2312" s="152"/>
      <c r="K2312" s="149" t="s">
        <v>3469</v>
      </c>
    </row>
    <row r="2313" spans="1:11" ht="17.25" hidden="1">
      <c r="A2313" s="134"/>
      <c r="E2313" s="149"/>
      <c r="F2313" s="149"/>
      <c r="G2313" s="150"/>
      <c r="H2313" s="149"/>
      <c r="I2313" s="149" t="s">
        <v>3470</v>
      </c>
      <c r="J2313" s="152">
        <v>39.200000000000003</v>
      </c>
      <c r="K2313" s="149" t="e">
        <f>SUM(K2306:K2312)</f>
        <v>#REF!</v>
      </c>
    </row>
    <row r="2314" spans="1:11" ht="17.25" hidden="1">
      <c r="A2314" s="134"/>
      <c r="E2314" s="149"/>
      <c r="F2314" s="149"/>
      <c r="G2314" s="150"/>
      <c r="H2314" s="149"/>
      <c r="I2314" s="149"/>
      <c r="J2314" s="152"/>
      <c r="K2314" s="149" t="s">
        <v>3471</v>
      </c>
    </row>
    <row r="2315" spans="1:11" ht="17.25" hidden="1">
      <c r="A2315" s="134"/>
      <c r="E2315" s="149"/>
      <c r="F2315" s="149"/>
      <c r="G2315" s="150"/>
      <c r="H2315" s="149"/>
      <c r="I2315" s="149"/>
      <c r="J2315" s="152"/>
      <c r="K2315" s="149"/>
    </row>
    <row r="2316" spans="1:11" ht="17.25" hidden="1">
      <c r="A2316" s="134"/>
      <c r="E2316" s="149"/>
      <c r="F2316" s="149"/>
      <c r="G2316" s="150"/>
      <c r="H2316" s="149"/>
      <c r="I2316" s="149" t="s">
        <v>3472</v>
      </c>
      <c r="J2316" s="152"/>
      <c r="K2316" s="160" t="e">
        <f>K2313/J2313</f>
        <v>#REF!</v>
      </c>
    </row>
    <row r="2317" spans="1:11" ht="17.25" hidden="1">
      <c r="A2317" s="134"/>
      <c r="E2317" s="149"/>
      <c r="F2317" s="149"/>
      <c r="G2317" s="150"/>
      <c r="H2317" s="149"/>
      <c r="I2317" s="149"/>
      <c r="J2317" s="152"/>
      <c r="K2317" s="159" t="s">
        <v>2080</v>
      </c>
    </row>
    <row r="2318" spans="1:11" ht="17.25" hidden="1">
      <c r="A2318" s="134"/>
      <c r="E2318" s="149"/>
      <c r="F2318" s="149"/>
      <c r="G2318" s="150"/>
      <c r="H2318" s="149"/>
      <c r="I2318" s="149"/>
      <c r="J2318" s="152"/>
      <c r="K2318" s="149"/>
    </row>
    <row r="2319" spans="1:11" ht="34.5" hidden="1">
      <c r="A2319" s="134"/>
      <c r="E2319" s="149"/>
      <c r="F2319" s="149"/>
      <c r="G2319" s="150"/>
      <c r="H2319" s="156" t="s">
        <v>3473</v>
      </c>
      <c r="I2319" s="149"/>
      <c r="J2319" s="152"/>
      <c r="K2319" s="149"/>
    </row>
    <row r="2320" spans="1:11" ht="17.25" hidden="1">
      <c r="A2320" s="134"/>
      <c r="E2320" s="149"/>
      <c r="F2320" s="149"/>
      <c r="G2320" s="150"/>
      <c r="H2320" s="149"/>
      <c r="I2320" s="149"/>
      <c r="J2320" s="152"/>
      <c r="K2320" s="149"/>
    </row>
    <row r="2321" spans="1:11" ht="17.25" hidden="1">
      <c r="A2321" s="134"/>
      <c r="E2321" s="149"/>
      <c r="F2321" s="149">
        <v>4</v>
      </c>
      <c r="G2321" s="150" t="s">
        <v>835</v>
      </c>
      <c r="H2321" s="149" t="s">
        <v>3503</v>
      </c>
      <c r="I2321" s="149">
        <v>110</v>
      </c>
      <c r="J2321" s="152" t="s">
        <v>835</v>
      </c>
      <c r="K2321" s="149">
        <f t="shared" ref="K2321:K2328" si="78">I2321*F2321</f>
        <v>440</v>
      </c>
    </row>
    <row r="2322" spans="1:11" ht="17.25" hidden="1">
      <c r="A2322" s="134"/>
      <c r="E2322" s="149"/>
      <c r="F2322" s="149">
        <v>2.52</v>
      </c>
      <c r="G2322" s="150" t="s">
        <v>1670</v>
      </c>
      <c r="H2322" s="149" t="s">
        <v>2816</v>
      </c>
      <c r="I2322" s="149">
        <v>30</v>
      </c>
      <c r="J2322" s="152" t="s">
        <v>1670</v>
      </c>
      <c r="K2322" s="149">
        <f t="shared" si="78"/>
        <v>75.599999999999994</v>
      </c>
    </row>
    <row r="2323" spans="1:11" ht="17.25" hidden="1">
      <c r="A2323" s="134"/>
      <c r="E2323" s="149"/>
      <c r="F2323" s="149">
        <v>1.1299999999999999</v>
      </c>
      <c r="G2323" s="150" t="s">
        <v>1670</v>
      </c>
      <c r="H2323" s="149" t="s">
        <v>2817</v>
      </c>
      <c r="I2323" s="149">
        <v>30</v>
      </c>
      <c r="J2323" s="152" t="s">
        <v>1670</v>
      </c>
      <c r="K2323" s="149">
        <f t="shared" si="78"/>
        <v>33.9</v>
      </c>
    </row>
    <row r="2324" spans="1:11" ht="17.25" hidden="1">
      <c r="A2324" s="134"/>
      <c r="E2324" s="149"/>
      <c r="F2324" s="149">
        <v>0.35</v>
      </c>
      <c r="G2324" s="150" t="s">
        <v>1670</v>
      </c>
      <c r="H2324" s="149" t="s">
        <v>2818</v>
      </c>
      <c r="I2324" s="149">
        <v>30</v>
      </c>
      <c r="J2324" s="152" t="s">
        <v>1670</v>
      </c>
      <c r="K2324" s="149">
        <f t="shared" si="78"/>
        <v>10.5</v>
      </c>
    </row>
    <row r="2325" spans="1:11" ht="17.25" hidden="1">
      <c r="A2325" s="134"/>
      <c r="E2325" s="149"/>
      <c r="F2325" s="149">
        <v>4</v>
      </c>
      <c r="G2325" s="150" t="s">
        <v>1670</v>
      </c>
      <c r="H2325" s="149" t="s">
        <v>108</v>
      </c>
      <c r="I2325" s="149">
        <v>12.25</v>
      </c>
      <c r="J2325" s="152" t="s">
        <v>1670</v>
      </c>
      <c r="K2325" s="149">
        <f t="shared" si="78"/>
        <v>49</v>
      </c>
    </row>
    <row r="2326" spans="1:11" ht="17.25" hidden="1">
      <c r="A2326" s="134"/>
      <c r="E2326" s="149"/>
      <c r="F2326" s="149">
        <v>6</v>
      </c>
      <c r="G2326" s="150" t="s">
        <v>1452</v>
      </c>
      <c r="H2326" s="149" t="s">
        <v>2819</v>
      </c>
      <c r="I2326" s="149">
        <v>1</v>
      </c>
      <c r="J2326" s="152" t="s">
        <v>1418</v>
      </c>
      <c r="K2326" s="149">
        <f t="shared" si="78"/>
        <v>6</v>
      </c>
    </row>
    <row r="2327" spans="1:11" ht="17.25" hidden="1">
      <c r="A2327" s="134"/>
      <c r="E2327" s="149"/>
      <c r="F2327" s="149">
        <v>0.5</v>
      </c>
      <c r="G2327" s="150" t="s">
        <v>1452</v>
      </c>
      <c r="H2327" s="149" t="s">
        <v>2820</v>
      </c>
      <c r="I2327" s="149">
        <f>C12</f>
        <v>95</v>
      </c>
      <c r="J2327" s="152" t="s">
        <v>1418</v>
      </c>
      <c r="K2327" s="149">
        <f t="shared" si="78"/>
        <v>47.5</v>
      </c>
    </row>
    <row r="2328" spans="1:11" ht="17.25" hidden="1">
      <c r="A2328" s="134"/>
      <c r="E2328" s="149"/>
      <c r="F2328" s="149">
        <v>0.5</v>
      </c>
      <c r="G2328" s="150" t="s">
        <v>1452</v>
      </c>
      <c r="H2328" s="149" t="s">
        <v>2821</v>
      </c>
      <c r="I2328" s="149">
        <f>C13</f>
        <v>85</v>
      </c>
      <c r="J2328" s="152" t="s">
        <v>1418</v>
      </c>
      <c r="K2328" s="149">
        <f t="shared" si="78"/>
        <v>42.5</v>
      </c>
    </row>
    <row r="2329" spans="1:11" ht="17.25" hidden="1">
      <c r="A2329" s="134"/>
      <c r="E2329" s="149"/>
      <c r="F2329" s="154" t="s">
        <v>450</v>
      </c>
      <c r="G2329" s="150"/>
      <c r="H2329" s="149" t="s">
        <v>2822</v>
      </c>
      <c r="I2329" s="149"/>
      <c r="J2329" s="152" t="s">
        <v>450</v>
      </c>
      <c r="K2329" s="149">
        <v>19.22</v>
      </c>
    </row>
    <row r="2330" spans="1:11" ht="17.25" hidden="1">
      <c r="A2330" s="134"/>
      <c r="E2330" s="149"/>
      <c r="F2330" s="149"/>
      <c r="G2330" s="150"/>
      <c r="H2330" s="149"/>
      <c r="I2330" s="149"/>
      <c r="J2330" s="152"/>
      <c r="K2330" s="149"/>
    </row>
    <row r="2331" spans="1:11" ht="17.25" hidden="1">
      <c r="A2331" s="134"/>
      <c r="E2331" s="149"/>
      <c r="F2331" s="149"/>
      <c r="G2331" s="150"/>
      <c r="H2331" s="149"/>
      <c r="I2331" s="149"/>
      <c r="J2331" s="152"/>
      <c r="K2331" s="149" t="s">
        <v>2823</v>
      </c>
    </row>
    <row r="2332" spans="1:11" ht="17.25" hidden="1">
      <c r="A2332" s="134"/>
      <c r="E2332" s="149"/>
      <c r="F2332" s="149"/>
      <c r="G2332" s="150"/>
      <c r="H2332" s="149"/>
      <c r="I2332" s="149" t="s">
        <v>2824</v>
      </c>
      <c r="J2332" s="152" t="s">
        <v>2825</v>
      </c>
      <c r="K2332" s="149">
        <f>SUM(K2321:K2331)</f>
        <v>724.22</v>
      </c>
    </row>
    <row r="2333" spans="1:11" ht="17.25" hidden="1">
      <c r="A2333" s="134"/>
      <c r="E2333" s="149"/>
      <c r="F2333" s="149"/>
      <c r="G2333" s="150"/>
      <c r="H2333" s="149"/>
      <c r="I2333" s="149">
        <v>2</v>
      </c>
      <c r="J2333" s="161" t="s">
        <v>1452</v>
      </c>
      <c r="K2333" s="149" t="s">
        <v>3471</v>
      </c>
    </row>
    <row r="2334" spans="1:11" ht="17.25" hidden="1">
      <c r="A2334" s="134"/>
      <c r="E2334" s="149"/>
      <c r="F2334" s="149"/>
      <c r="G2334" s="150"/>
      <c r="H2334" s="149"/>
      <c r="I2334" s="156"/>
      <c r="J2334" s="152"/>
      <c r="K2334" s="149"/>
    </row>
    <row r="2335" spans="1:11" ht="17.25" hidden="1">
      <c r="A2335" s="134"/>
      <c r="E2335" s="149"/>
      <c r="F2335" s="149"/>
      <c r="G2335" s="150"/>
      <c r="H2335" s="149"/>
      <c r="I2335" s="149"/>
      <c r="J2335" s="152"/>
      <c r="K2335" s="149"/>
    </row>
    <row r="2336" spans="1:11" ht="17.25" hidden="1">
      <c r="A2336" s="134"/>
      <c r="E2336" s="149"/>
      <c r="F2336" s="149"/>
      <c r="G2336" s="150"/>
      <c r="H2336" s="149"/>
      <c r="I2336" s="149" t="s">
        <v>2826</v>
      </c>
      <c r="J2336" s="152"/>
      <c r="K2336" s="160">
        <f>K2332/I2333</f>
        <v>362.11</v>
      </c>
    </row>
    <row r="2337" spans="1:12" ht="17.25" hidden="1">
      <c r="A2337" s="134"/>
      <c r="E2337" s="149"/>
      <c r="F2337" s="149"/>
      <c r="G2337" s="150"/>
      <c r="H2337" s="149"/>
      <c r="I2337" s="149"/>
      <c r="J2337" s="152"/>
      <c r="K2337" s="159" t="s">
        <v>2080</v>
      </c>
    </row>
    <row r="2338" spans="1:12" ht="17.25" hidden="1">
      <c r="A2338" s="134"/>
      <c r="E2338" s="149"/>
      <c r="F2338" s="149"/>
      <c r="G2338" s="150"/>
      <c r="H2338" s="149"/>
      <c r="I2338" s="149"/>
      <c r="J2338" s="152"/>
      <c r="K2338" s="149"/>
    </row>
    <row r="2339" spans="1:12" ht="19.5" hidden="1">
      <c r="A2339" s="134"/>
      <c r="E2339" s="149"/>
      <c r="F2339" s="162"/>
      <c r="G2339" s="162"/>
      <c r="H2339" s="162"/>
      <c r="I2339" s="162"/>
      <c r="J2339" s="162"/>
      <c r="K2339" s="162"/>
      <c r="L2339" s="163"/>
    </row>
    <row r="2340" spans="1:12" ht="17.25" hidden="1">
      <c r="A2340" s="134"/>
      <c r="E2340" s="149"/>
      <c r="F2340" s="149"/>
      <c r="G2340" s="149"/>
      <c r="H2340" s="149"/>
      <c r="I2340" s="149"/>
      <c r="J2340" s="149"/>
      <c r="K2340" s="149"/>
    </row>
    <row r="2341" spans="1:12" ht="18" hidden="1">
      <c r="A2341" s="134"/>
      <c r="E2341" s="1850" t="s">
        <v>2827</v>
      </c>
      <c r="F2341" s="1850"/>
      <c r="G2341" s="1850"/>
      <c r="H2341" s="1850"/>
      <c r="I2341" s="1850"/>
      <c r="J2341" s="1850"/>
      <c r="K2341" s="1850"/>
      <c r="L2341" s="164"/>
    </row>
    <row r="2342" spans="1:12" ht="18" hidden="1">
      <c r="A2342" s="134"/>
      <c r="E2342" s="76"/>
      <c r="F2342" s="76"/>
      <c r="G2342" s="76"/>
      <c r="H2342" s="76"/>
      <c r="I2342" s="76"/>
      <c r="J2342" s="76"/>
      <c r="K2342" s="76"/>
      <c r="L2342" s="165"/>
    </row>
    <row r="2343" spans="1:12" ht="18" hidden="1">
      <c r="A2343" s="134"/>
      <c r="E2343" s="166"/>
      <c r="F2343" s="164" t="s">
        <v>1055</v>
      </c>
      <c r="G2343" s="163"/>
      <c r="H2343" s="167" t="s">
        <v>1802</v>
      </c>
      <c r="I2343" s="164" t="s">
        <v>99</v>
      </c>
      <c r="J2343" s="167" t="s">
        <v>2828</v>
      </c>
      <c r="K2343" s="164" t="s">
        <v>986</v>
      </c>
      <c r="L2343" s="168"/>
    </row>
    <row r="2344" spans="1:12" ht="18" hidden="1">
      <c r="A2344" s="134"/>
      <c r="E2344" s="169">
        <v>18.100000000000001</v>
      </c>
      <c r="F2344" s="170" t="s">
        <v>2829</v>
      </c>
      <c r="G2344" s="76"/>
      <c r="H2344" s="171" t="s">
        <v>2451</v>
      </c>
      <c r="I2344" s="165"/>
      <c r="J2344" s="165"/>
      <c r="K2344" s="165"/>
      <c r="L2344" s="168"/>
    </row>
    <row r="2345" spans="1:12" ht="18" hidden="1">
      <c r="A2345" s="134"/>
      <c r="E2345" s="166"/>
      <c r="F2345" s="168"/>
      <c r="G2345" s="166"/>
      <c r="H2345" s="172" t="s">
        <v>2830</v>
      </c>
      <c r="I2345" s="168"/>
      <c r="J2345" s="166"/>
      <c r="K2345" s="168"/>
      <c r="L2345" s="168"/>
    </row>
    <row r="2346" spans="1:12" ht="21" hidden="1">
      <c r="A2346" s="134"/>
      <c r="E2346" s="166"/>
      <c r="F2346" s="168"/>
      <c r="G2346" s="166"/>
      <c r="H2346" s="172" t="s">
        <v>2452</v>
      </c>
      <c r="I2346" s="168"/>
      <c r="J2346" s="166"/>
      <c r="K2346" s="168"/>
      <c r="L2346" s="168"/>
    </row>
    <row r="2347" spans="1:12" ht="21" hidden="1">
      <c r="A2347" s="134"/>
      <c r="E2347" s="166"/>
      <c r="F2347" s="168"/>
      <c r="G2347" s="166"/>
      <c r="H2347" s="172" t="s">
        <v>2453</v>
      </c>
      <c r="I2347" s="168"/>
      <c r="J2347" s="166"/>
      <c r="K2347" s="168"/>
      <c r="L2347" s="168"/>
    </row>
    <row r="2348" spans="1:12" ht="18" hidden="1">
      <c r="A2348" s="134"/>
      <c r="E2348" s="166"/>
      <c r="F2348" s="168"/>
      <c r="G2348" s="166"/>
      <c r="H2348" s="172" t="s">
        <v>2831</v>
      </c>
      <c r="I2348" s="168"/>
      <c r="J2348" s="166"/>
      <c r="K2348" s="168"/>
      <c r="L2348" s="168"/>
    </row>
    <row r="2349" spans="1:12" ht="39" hidden="1">
      <c r="A2349" s="134"/>
      <c r="E2349" s="166"/>
      <c r="F2349" s="168"/>
      <c r="G2349" s="166"/>
      <c r="H2349" s="172" t="s">
        <v>2454</v>
      </c>
      <c r="I2349" s="168"/>
      <c r="J2349" s="166"/>
      <c r="K2349" s="168"/>
      <c r="L2349" s="168"/>
    </row>
    <row r="2350" spans="1:12" ht="72" hidden="1">
      <c r="A2350" s="134"/>
      <c r="E2350" s="166"/>
      <c r="F2350" s="168"/>
      <c r="G2350" s="166"/>
      <c r="H2350" s="172" t="s">
        <v>2832</v>
      </c>
      <c r="I2350" s="168"/>
      <c r="J2350" s="166"/>
      <c r="K2350" s="168"/>
      <c r="L2350" s="168"/>
    </row>
    <row r="2351" spans="1:12" ht="36" hidden="1">
      <c r="A2351" s="134"/>
      <c r="E2351" s="166"/>
      <c r="F2351" s="168"/>
      <c r="G2351" s="166"/>
      <c r="H2351" s="172" t="s">
        <v>2833</v>
      </c>
      <c r="I2351" s="168"/>
      <c r="J2351" s="166"/>
      <c r="K2351" s="168"/>
      <c r="L2351" s="168"/>
    </row>
    <row r="2352" spans="1:12" ht="39" hidden="1">
      <c r="A2352" s="134"/>
      <c r="E2352" s="166"/>
      <c r="F2352" s="168"/>
      <c r="G2352" s="166"/>
      <c r="H2352" s="172" t="s">
        <v>2455</v>
      </c>
      <c r="I2352" s="168"/>
      <c r="J2352" s="166"/>
      <c r="K2352" s="168"/>
      <c r="L2352" s="168"/>
    </row>
    <row r="2353" spans="1:12" ht="18" hidden="1">
      <c r="A2353" s="134"/>
      <c r="E2353" s="166"/>
      <c r="F2353" s="168"/>
      <c r="G2353" s="166"/>
      <c r="H2353" s="166"/>
      <c r="I2353" s="168"/>
      <c r="J2353" s="166"/>
      <c r="K2353" s="168"/>
      <c r="L2353" s="168"/>
    </row>
    <row r="2354" spans="1:12" ht="21" hidden="1">
      <c r="A2354" s="134"/>
      <c r="E2354" s="166"/>
      <c r="F2354" s="173">
        <v>62</v>
      </c>
      <c r="G2354" s="174" t="s">
        <v>2456</v>
      </c>
      <c r="H2354" s="175" t="s">
        <v>3247</v>
      </c>
      <c r="I2354" s="173">
        <f>K2378</f>
        <v>217.41</v>
      </c>
      <c r="J2354" s="174" t="s">
        <v>2456</v>
      </c>
      <c r="K2354" s="168">
        <f>I2354*F2354</f>
        <v>13479.42</v>
      </c>
      <c r="L2354" s="168"/>
    </row>
    <row r="2355" spans="1:12" ht="21" hidden="1">
      <c r="A2355" s="134"/>
      <c r="E2355" s="166"/>
      <c r="F2355" s="173">
        <v>121.64</v>
      </c>
      <c r="G2355" s="174" t="s">
        <v>2456</v>
      </c>
      <c r="H2355" s="175" t="s">
        <v>3248</v>
      </c>
      <c r="I2355" s="173">
        <f>I2383</f>
        <v>168.13</v>
      </c>
      <c r="J2355" s="174" t="s">
        <v>2457</v>
      </c>
      <c r="K2355" s="168">
        <f>I2355*F2355</f>
        <v>20451.330000000002</v>
      </c>
      <c r="L2355" s="176"/>
    </row>
    <row r="2356" spans="1:12" ht="21" hidden="1">
      <c r="A2356" s="134"/>
      <c r="E2356" s="166"/>
      <c r="F2356" s="168"/>
      <c r="G2356" s="166"/>
      <c r="H2356" s="175" t="s">
        <v>2763</v>
      </c>
      <c r="I2356" s="168"/>
      <c r="J2356" s="166"/>
      <c r="K2356" s="168">
        <f>SUM(K2354:K2355)</f>
        <v>33930.75</v>
      </c>
      <c r="L2356" s="177"/>
    </row>
    <row r="2357" spans="1:12" ht="21" hidden="1">
      <c r="A2357" s="134"/>
      <c r="E2357" s="166"/>
      <c r="F2357" s="168"/>
      <c r="G2357" s="166"/>
      <c r="H2357" s="175" t="s">
        <v>2764</v>
      </c>
      <c r="I2357" s="168"/>
      <c r="J2357" s="166"/>
      <c r="K2357" s="176">
        <f>K2356/F2354</f>
        <v>547.27</v>
      </c>
      <c r="L2357" s="168"/>
    </row>
    <row r="2358" spans="1:12" ht="18" hidden="1">
      <c r="A2358" s="134"/>
      <c r="E2358" s="166"/>
      <c r="F2358" s="168"/>
      <c r="G2358" s="166"/>
      <c r="H2358" s="174"/>
      <c r="I2358" s="168"/>
      <c r="J2358" s="166"/>
      <c r="K2358" s="177"/>
      <c r="L2358" s="168"/>
    </row>
    <row r="2359" spans="1:12" ht="36" hidden="1">
      <c r="A2359" s="134"/>
      <c r="E2359" s="178">
        <v>18.100000000000001</v>
      </c>
      <c r="F2359" s="170" t="s">
        <v>3249</v>
      </c>
      <c r="G2359" s="166"/>
      <c r="H2359" s="179" t="s">
        <v>2779</v>
      </c>
      <c r="I2359" s="168"/>
      <c r="J2359" s="166"/>
      <c r="K2359" s="168"/>
      <c r="L2359" s="168"/>
    </row>
    <row r="2360" spans="1:12" ht="18" hidden="1">
      <c r="A2360" s="134"/>
      <c r="E2360" s="166"/>
      <c r="F2360" s="168"/>
      <c r="G2360" s="166"/>
      <c r="H2360" s="166"/>
      <c r="I2360" s="168"/>
      <c r="J2360" s="166"/>
      <c r="K2360" s="168"/>
      <c r="L2360" s="168"/>
    </row>
    <row r="2361" spans="1:12" ht="18" hidden="1">
      <c r="A2361" s="134"/>
      <c r="E2361" s="166"/>
      <c r="F2361" s="173">
        <v>13.46</v>
      </c>
      <c r="G2361" s="174" t="s">
        <v>1670</v>
      </c>
      <c r="H2361" s="172" t="s">
        <v>2780</v>
      </c>
      <c r="I2361" s="173">
        <f>I706</f>
        <v>30</v>
      </c>
      <c r="J2361" s="174" t="s">
        <v>1670</v>
      </c>
      <c r="K2361" s="168">
        <f>I2361*F2361</f>
        <v>403.8</v>
      </c>
      <c r="L2361" s="168"/>
    </row>
    <row r="2362" spans="1:12" ht="18" hidden="1">
      <c r="A2362" s="134"/>
      <c r="E2362" s="166"/>
      <c r="F2362" s="173">
        <v>4</v>
      </c>
      <c r="G2362" s="174" t="s">
        <v>1670</v>
      </c>
      <c r="H2362" s="172" t="s">
        <v>2781</v>
      </c>
      <c r="I2362" s="173">
        <f>I708</f>
        <v>30</v>
      </c>
      <c r="J2362" s="174" t="s">
        <v>1670</v>
      </c>
      <c r="K2362" s="168">
        <f>I2362*F2362</f>
        <v>120</v>
      </c>
      <c r="L2362" s="180"/>
    </row>
    <row r="2363" spans="1:12" ht="36" hidden="1">
      <c r="A2363" s="134"/>
      <c r="E2363" s="166"/>
      <c r="F2363" s="173">
        <v>1</v>
      </c>
      <c r="G2363" s="174" t="s">
        <v>2782</v>
      </c>
      <c r="H2363" s="172" t="s">
        <v>3495</v>
      </c>
      <c r="I2363" s="173">
        <v>40</v>
      </c>
      <c r="J2363" s="174" t="s">
        <v>450</v>
      </c>
      <c r="K2363" s="168">
        <f>I2363*F2363</f>
        <v>40</v>
      </c>
      <c r="L2363" s="168"/>
    </row>
    <row r="2364" spans="1:12" ht="18" hidden="1">
      <c r="A2364" s="134"/>
      <c r="E2364" s="166"/>
      <c r="F2364" s="168"/>
      <c r="G2364" s="166"/>
      <c r="H2364" s="181" t="s">
        <v>3496</v>
      </c>
      <c r="I2364" s="168"/>
      <c r="J2364" s="166"/>
      <c r="K2364" s="180">
        <f>SUM(K2361:K2363)</f>
        <v>563.79999999999995</v>
      </c>
      <c r="L2364" s="168"/>
    </row>
    <row r="2365" spans="1:12" ht="18" hidden="1">
      <c r="A2365" s="134"/>
      <c r="E2365" s="166"/>
      <c r="F2365" s="168"/>
      <c r="G2365" s="166"/>
      <c r="H2365" s="181" t="s">
        <v>3497</v>
      </c>
      <c r="I2365" s="177">
        <f>K2364/40</f>
        <v>14.1</v>
      </c>
      <c r="J2365" s="166"/>
      <c r="K2365" s="168"/>
      <c r="L2365" s="168"/>
    </row>
    <row r="2366" spans="1:12" ht="18" hidden="1">
      <c r="A2366" s="134"/>
      <c r="E2366" s="166"/>
      <c r="F2366" s="168"/>
      <c r="G2366" s="166"/>
      <c r="H2366" s="166"/>
      <c r="I2366" s="168"/>
      <c r="J2366" s="166"/>
      <c r="K2366" s="168"/>
      <c r="L2366" s="168"/>
    </row>
    <row r="2367" spans="1:12" ht="18" hidden="1">
      <c r="A2367" s="134"/>
      <c r="E2367" s="166"/>
      <c r="F2367" s="173">
        <v>19</v>
      </c>
      <c r="G2367" s="174" t="s">
        <v>1414</v>
      </c>
      <c r="H2367" s="166" t="s">
        <v>3498</v>
      </c>
      <c r="I2367" s="173">
        <f>I2365</f>
        <v>14.1</v>
      </c>
      <c r="J2367" s="174" t="s">
        <v>1785</v>
      </c>
      <c r="K2367" s="168">
        <f>I2367*F2367</f>
        <v>267.89999999999998</v>
      </c>
      <c r="L2367" s="168"/>
    </row>
    <row r="2368" spans="1:12" ht="18" hidden="1">
      <c r="A2368" s="134"/>
      <c r="E2368" s="166"/>
      <c r="F2368" s="173">
        <v>0.12</v>
      </c>
      <c r="G2368" s="174" t="s">
        <v>367</v>
      </c>
      <c r="H2368" s="166" t="s">
        <v>3499</v>
      </c>
      <c r="I2368" s="173">
        <f>C268/5</f>
        <v>1879</v>
      </c>
      <c r="J2368" s="174" t="s">
        <v>367</v>
      </c>
      <c r="K2368" s="168">
        <f>I2368*F2368</f>
        <v>225.48</v>
      </c>
      <c r="L2368" s="168"/>
    </row>
    <row r="2369" spans="1:12" ht="18" hidden="1">
      <c r="A2369" s="134"/>
      <c r="E2369" s="166"/>
      <c r="F2369" s="173">
        <v>98.5</v>
      </c>
      <c r="G2369" s="174" t="s">
        <v>3500</v>
      </c>
      <c r="H2369" s="166" t="s">
        <v>2637</v>
      </c>
      <c r="I2369" s="173">
        <f>C269/5</f>
        <v>3</v>
      </c>
      <c r="J2369" s="174" t="s">
        <v>3500</v>
      </c>
      <c r="K2369" s="168">
        <f>I2369*F2369</f>
        <v>295.5</v>
      </c>
      <c r="L2369" s="182"/>
    </row>
    <row r="2370" spans="1:12" ht="18" hidden="1">
      <c r="A2370" s="134"/>
      <c r="E2370" s="166"/>
      <c r="F2370" s="1851" t="s">
        <v>450</v>
      </c>
      <c r="G2370" s="1851"/>
      <c r="H2370" s="166" t="s">
        <v>2638</v>
      </c>
      <c r="I2370" s="173">
        <v>11</v>
      </c>
      <c r="J2370" s="174" t="s">
        <v>450</v>
      </c>
      <c r="K2370" s="168">
        <f>I2370</f>
        <v>11</v>
      </c>
      <c r="L2370" s="182"/>
    </row>
    <row r="2371" spans="1:12" ht="21" hidden="1">
      <c r="A2371" s="134"/>
      <c r="E2371" s="166"/>
      <c r="F2371" s="173">
        <v>3.8</v>
      </c>
      <c r="G2371" s="174" t="s">
        <v>1414</v>
      </c>
      <c r="H2371" s="166" t="s">
        <v>2765</v>
      </c>
      <c r="I2371" s="173">
        <f>C16</f>
        <v>150</v>
      </c>
      <c r="J2371" s="174" t="s">
        <v>1414</v>
      </c>
      <c r="K2371" s="182">
        <f>I2371*F2371</f>
        <v>570</v>
      </c>
      <c r="L2371" s="182"/>
    </row>
    <row r="2372" spans="1:12" ht="21" hidden="1">
      <c r="A2372" s="134"/>
      <c r="E2372" s="166"/>
      <c r="F2372" s="173">
        <v>5.4</v>
      </c>
      <c r="G2372" s="174" t="s">
        <v>1414</v>
      </c>
      <c r="H2372" s="166" t="s">
        <v>2766</v>
      </c>
      <c r="I2372" s="173">
        <f>C12</f>
        <v>95</v>
      </c>
      <c r="J2372" s="174" t="s">
        <v>1414</v>
      </c>
      <c r="K2372" s="182">
        <f>I2372*F2372</f>
        <v>513</v>
      </c>
      <c r="L2372" s="168"/>
    </row>
    <row r="2373" spans="1:12" ht="21" hidden="1">
      <c r="A2373" s="134"/>
      <c r="E2373" s="166"/>
      <c r="F2373" s="173">
        <v>1</v>
      </c>
      <c r="G2373" s="174" t="s">
        <v>1414</v>
      </c>
      <c r="H2373" s="166" t="s">
        <v>2767</v>
      </c>
      <c r="I2373" s="173">
        <f>D17</f>
        <v>120</v>
      </c>
      <c r="J2373" s="174" t="s">
        <v>1414</v>
      </c>
      <c r="K2373" s="182">
        <f>I2373*F2373</f>
        <v>120</v>
      </c>
      <c r="L2373" s="183"/>
    </row>
    <row r="2374" spans="1:12" ht="18" hidden="1">
      <c r="A2374" s="134"/>
      <c r="E2374" s="166"/>
      <c r="F2374" s="1851" t="s">
        <v>450</v>
      </c>
      <c r="G2374" s="1851"/>
      <c r="H2374" s="166" t="s">
        <v>2639</v>
      </c>
      <c r="I2374" s="1851" t="s">
        <v>450</v>
      </c>
      <c r="J2374" s="1851"/>
      <c r="K2374" s="168">
        <v>10</v>
      </c>
      <c r="L2374" s="177"/>
    </row>
    <row r="2375" spans="1:12" ht="18" hidden="1">
      <c r="A2375" s="134"/>
      <c r="E2375" s="166"/>
      <c r="F2375" s="173">
        <v>19</v>
      </c>
      <c r="G2375" s="174" t="s">
        <v>1785</v>
      </c>
      <c r="H2375" s="166" t="s">
        <v>2640</v>
      </c>
      <c r="I2375" s="173">
        <v>2</v>
      </c>
      <c r="J2375" s="174" t="s">
        <v>450</v>
      </c>
      <c r="K2375" s="183">
        <f>I2375*F2375</f>
        <v>38</v>
      </c>
      <c r="L2375" s="168"/>
    </row>
    <row r="2376" spans="1:12" ht="18" hidden="1">
      <c r="A2376" s="134"/>
      <c r="E2376" s="166"/>
      <c r="F2376" s="168"/>
      <c r="G2376" s="166"/>
      <c r="H2376" s="166"/>
      <c r="I2376" s="168"/>
      <c r="J2376" s="166"/>
      <c r="K2376" s="177">
        <f>SUM(K2367:K2375)</f>
        <v>2050.88</v>
      </c>
      <c r="L2376" s="177"/>
    </row>
    <row r="2377" spans="1:12" ht="21" hidden="1">
      <c r="A2377" s="134"/>
      <c r="E2377" s="166"/>
      <c r="F2377" s="168"/>
      <c r="G2377" s="166"/>
      <c r="H2377" s="181" t="s">
        <v>2768</v>
      </c>
      <c r="I2377" s="177">
        <f>K2376/10</f>
        <v>205.09</v>
      </c>
      <c r="J2377" s="166"/>
      <c r="K2377" s="168"/>
      <c r="L2377" s="168"/>
    </row>
    <row r="2378" spans="1:12" ht="18" hidden="1">
      <c r="A2378" s="134"/>
      <c r="E2378" s="166"/>
      <c r="F2378" s="168"/>
      <c r="G2378" s="166"/>
      <c r="H2378" s="167" t="s">
        <v>2641</v>
      </c>
      <c r="I2378" s="177">
        <f>I2377</f>
        <v>205.09</v>
      </c>
      <c r="J2378" s="184">
        <f>I2393</f>
        <v>12.32</v>
      </c>
      <c r="K2378" s="177">
        <f>I2378+J2378</f>
        <v>217.41</v>
      </c>
      <c r="L2378" s="168"/>
    </row>
    <row r="2379" spans="1:12" ht="36" hidden="1">
      <c r="A2379" s="134"/>
      <c r="E2379" s="178">
        <v>18.100000000000001</v>
      </c>
      <c r="F2379" s="170" t="s">
        <v>2642</v>
      </c>
      <c r="G2379" s="166"/>
      <c r="H2379" s="185" t="s">
        <v>3427</v>
      </c>
      <c r="I2379" s="168"/>
      <c r="J2379" s="166"/>
      <c r="K2379" s="168"/>
      <c r="L2379" s="168"/>
    </row>
    <row r="2380" spans="1:12" ht="18" hidden="1">
      <c r="A2380" s="134"/>
      <c r="E2380" s="166"/>
      <c r="F2380" s="168"/>
      <c r="G2380" s="166"/>
      <c r="H2380" s="166" t="s">
        <v>3428</v>
      </c>
      <c r="I2380" s="173">
        <f>K2376</f>
        <v>2050.88</v>
      </c>
      <c r="J2380" s="166"/>
      <c r="K2380" s="168"/>
      <c r="L2380" s="168"/>
    </row>
    <row r="2381" spans="1:12" ht="18" hidden="1">
      <c r="A2381" s="134"/>
      <c r="E2381" s="166"/>
      <c r="F2381" s="168"/>
      <c r="G2381" s="166"/>
      <c r="H2381" s="166" t="s">
        <v>2637</v>
      </c>
      <c r="I2381" s="173">
        <f>K2391</f>
        <v>369.6</v>
      </c>
      <c r="J2381" s="178" t="s">
        <v>3429</v>
      </c>
      <c r="K2381" s="168"/>
      <c r="L2381" s="168"/>
    </row>
    <row r="2382" spans="1:12" ht="18" hidden="1">
      <c r="A2382" s="134"/>
      <c r="E2382" s="166"/>
      <c r="F2382" s="168"/>
      <c r="G2382" s="166"/>
      <c r="H2382" s="166"/>
      <c r="I2382" s="170">
        <f>I2380-I2381</f>
        <v>1681.28</v>
      </c>
      <c r="J2382" s="166"/>
      <c r="K2382" s="168"/>
      <c r="L2382" s="168"/>
    </row>
    <row r="2383" spans="1:12" ht="21" hidden="1">
      <c r="A2383" s="134"/>
      <c r="E2383" s="166"/>
      <c r="F2383" s="168"/>
      <c r="G2383" s="166"/>
      <c r="H2383" s="181" t="s">
        <v>2768</v>
      </c>
      <c r="I2383" s="170">
        <f>I2382/10</f>
        <v>168.13</v>
      </c>
      <c r="J2383" s="166"/>
      <c r="K2383" s="168"/>
      <c r="L2383" s="168"/>
    </row>
    <row r="2384" spans="1:12" ht="18" hidden="1">
      <c r="A2384" s="134"/>
      <c r="E2384" s="166"/>
      <c r="F2384" s="168"/>
      <c r="G2384" s="166"/>
      <c r="H2384" s="166"/>
      <c r="I2384" s="168"/>
      <c r="J2384" s="166"/>
      <c r="K2384" s="168"/>
      <c r="L2384" s="168"/>
    </row>
    <row r="2385" spans="1:12" ht="18" hidden="1">
      <c r="A2385" s="134"/>
      <c r="E2385" s="166"/>
      <c r="F2385" s="168"/>
      <c r="G2385" s="166"/>
      <c r="H2385" s="178" t="s">
        <v>3430</v>
      </c>
      <c r="I2385" s="168"/>
      <c r="J2385" s="166"/>
      <c r="K2385" s="168"/>
      <c r="L2385" s="173"/>
    </row>
    <row r="2386" spans="1:12" ht="36" hidden="1">
      <c r="A2386" s="134"/>
      <c r="E2386" s="166"/>
      <c r="F2386" s="168"/>
      <c r="G2386" s="166"/>
      <c r="H2386" s="185" t="s">
        <v>2385</v>
      </c>
      <c r="I2386" s="168"/>
      <c r="J2386" s="166"/>
      <c r="K2386" s="168"/>
      <c r="L2386" s="173"/>
    </row>
    <row r="2387" spans="1:12" ht="36" hidden="1">
      <c r="A2387" s="134"/>
      <c r="E2387" s="166"/>
      <c r="F2387" s="173">
        <v>98.5</v>
      </c>
      <c r="G2387" s="174" t="s">
        <v>3500</v>
      </c>
      <c r="H2387" s="186" t="s">
        <v>2386</v>
      </c>
      <c r="I2387" s="173">
        <f>I2369</f>
        <v>3</v>
      </c>
      <c r="J2387" s="174" t="s">
        <v>3500</v>
      </c>
      <c r="K2387" s="173">
        <f>I2387*F2387</f>
        <v>295.5</v>
      </c>
      <c r="L2387" s="173"/>
    </row>
    <row r="2388" spans="1:12" ht="21" hidden="1">
      <c r="A2388" s="134"/>
      <c r="E2388" s="166"/>
      <c r="F2388" s="173">
        <v>0.3</v>
      </c>
      <c r="G2388" s="174" t="s">
        <v>1785</v>
      </c>
      <c r="H2388" s="186" t="s">
        <v>2769</v>
      </c>
      <c r="I2388" s="173">
        <f>I2371</f>
        <v>150</v>
      </c>
      <c r="J2388" s="174" t="s">
        <v>1785</v>
      </c>
      <c r="K2388" s="173">
        <f>I2388*F2388</f>
        <v>45</v>
      </c>
      <c r="L2388" s="173"/>
    </row>
    <row r="2389" spans="1:12" ht="21" hidden="1">
      <c r="A2389" s="134"/>
      <c r="E2389" s="166"/>
      <c r="F2389" s="173">
        <v>0.3</v>
      </c>
      <c r="G2389" s="174" t="s">
        <v>1785</v>
      </c>
      <c r="H2389" s="186" t="s">
        <v>2770</v>
      </c>
      <c r="I2389" s="173">
        <f>I2372</f>
        <v>95</v>
      </c>
      <c r="J2389" s="174" t="s">
        <v>1785</v>
      </c>
      <c r="K2389" s="173">
        <f>I2389*F2389</f>
        <v>28.5</v>
      </c>
      <c r="L2389" s="170"/>
    </row>
    <row r="2390" spans="1:12" ht="18" hidden="1">
      <c r="A2390" s="134"/>
      <c r="E2390" s="166"/>
      <c r="F2390" s="168"/>
      <c r="G2390" s="166"/>
      <c r="H2390" s="187" t="s">
        <v>2387</v>
      </c>
      <c r="I2390" s="1852" t="s">
        <v>450</v>
      </c>
      <c r="J2390" s="1852"/>
      <c r="K2390" s="173">
        <v>0.6</v>
      </c>
      <c r="L2390" s="168"/>
    </row>
    <row r="2391" spans="1:12" ht="21" hidden="1">
      <c r="A2391" s="134"/>
      <c r="E2391" s="166"/>
      <c r="F2391" s="168"/>
      <c r="G2391" s="166"/>
      <c r="H2391" s="187" t="s">
        <v>2771</v>
      </c>
      <c r="I2391" s="168"/>
      <c r="J2391" s="166"/>
      <c r="K2391" s="170">
        <f>SUM(K2387:K2390)</f>
        <v>369.6</v>
      </c>
      <c r="L2391" s="168"/>
    </row>
    <row r="2392" spans="1:12" ht="21" hidden="1">
      <c r="A2392" s="134"/>
      <c r="E2392" s="166"/>
      <c r="F2392" s="168"/>
      <c r="G2392" s="166"/>
      <c r="H2392" s="187" t="s">
        <v>2772</v>
      </c>
      <c r="I2392" s="177">
        <f>K2391/10</f>
        <v>36.96</v>
      </c>
      <c r="J2392" s="166"/>
      <c r="K2392" s="168"/>
      <c r="L2392" s="168"/>
    </row>
    <row r="2393" spans="1:12" ht="18" hidden="1">
      <c r="A2393" s="134"/>
      <c r="E2393" s="166"/>
      <c r="F2393" s="168"/>
      <c r="G2393" s="166"/>
      <c r="H2393" s="187" t="s">
        <v>2388</v>
      </c>
      <c r="I2393" s="177">
        <f>I2392/3</f>
        <v>12.32</v>
      </c>
      <c r="J2393" s="166"/>
      <c r="K2393" s="168"/>
      <c r="L2393" s="168"/>
    </row>
    <row r="2394" spans="1:12" ht="18" hidden="1">
      <c r="A2394" s="134"/>
      <c r="E2394" s="166"/>
      <c r="F2394" s="168"/>
      <c r="G2394" s="166"/>
      <c r="H2394" s="186"/>
      <c r="I2394" s="168"/>
      <c r="J2394" s="166"/>
      <c r="K2394" s="168"/>
      <c r="L2394" s="168"/>
    </row>
    <row r="2395" spans="1:12" ht="54" hidden="1">
      <c r="A2395" s="134"/>
      <c r="E2395" s="178">
        <v>18.100000000000001</v>
      </c>
      <c r="F2395" s="170" t="s">
        <v>2303</v>
      </c>
      <c r="G2395" s="166"/>
      <c r="H2395" s="188" t="s">
        <v>3062</v>
      </c>
      <c r="I2395" s="170">
        <f>I2377*1.2</f>
        <v>246.11</v>
      </c>
      <c r="J2395" s="166"/>
      <c r="K2395" s="168"/>
    </row>
    <row r="2396" spans="1:12" ht="36" hidden="1">
      <c r="A2396" s="134"/>
      <c r="E2396" s="169">
        <v>18.100000000000001</v>
      </c>
      <c r="F2396" s="170" t="s">
        <v>3063</v>
      </c>
      <c r="G2396" s="166"/>
      <c r="H2396" s="189" t="s">
        <v>3064</v>
      </c>
      <c r="I2396" s="170">
        <f>I2377*1.1</f>
        <v>225.6</v>
      </c>
      <c r="J2396" s="166"/>
      <c r="K2396" s="168"/>
    </row>
    <row r="2397" spans="1:12" hidden="1">
      <c r="A2397" s="134"/>
      <c r="E2397" s="76"/>
      <c r="F2397" s="76"/>
      <c r="G2397" s="77"/>
      <c r="H2397" s="76"/>
      <c r="I2397" s="76"/>
      <c r="J2397" s="78"/>
      <c r="K2397" s="76"/>
    </row>
    <row r="2398" spans="1:12" hidden="1">
      <c r="A2398" s="134"/>
      <c r="E2398" s="76"/>
      <c r="F2398" s="76"/>
      <c r="G2398" s="77"/>
      <c r="H2398" s="76"/>
      <c r="I2398" s="76"/>
      <c r="J2398" s="78"/>
      <c r="K2398" s="76"/>
    </row>
    <row r="2399" spans="1:12" ht="23.25" hidden="1">
      <c r="A2399" s="134"/>
      <c r="E2399" s="76"/>
      <c r="F2399"/>
      <c r="G2399" s="3"/>
      <c r="H2399" s="190" t="s">
        <v>2411</v>
      </c>
      <c r="I2399"/>
      <c r="J2399" s="4"/>
      <c r="K2399" s="8"/>
    </row>
    <row r="2400" spans="1:12" hidden="1">
      <c r="A2400" s="134"/>
      <c r="E2400" s="76"/>
      <c r="F2400" s="191">
        <v>18.100000000000001</v>
      </c>
      <c r="G2400" s="7" t="s">
        <v>2276</v>
      </c>
      <c r="H2400" s="1" t="s">
        <v>11</v>
      </c>
      <c r="I2400"/>
      <c r="J2400" s="4"/>
      <c r="K2400"/>
    </row>
    <row r="2401" spans="1:11" hidden="1">
      <c r="A2401" s="134"/>
      <c r="E2401" s="76"/>
      <c r="F2401"/>
      <c r="G2401" s="3"/>
      <c r="H2401" s="1" t="s">
        <v>655</v>
      </c>
      <c r="I2401"/>
      <c r="J2401" s="4"/>
      <c r="K2401"/>
    </row>
    <row r="2402" spans="1:11" hidden="1">
      <c r="A2402" s="134"/>
      <c r="E2402" s="76"/>
      <c r="F2402"/>
      <c r="G2402" s="3"/>
      <c r="H2402" s="1" t="s">
        <v>657</v>
      </c>
      <c r="I2402"/>
      <c r="J2402" s="4"/>
      <c r="K2402"/>
    </row>
    <row r="2403" spans="1:11" hidden="1">
      <c r="A2403" s="134"/>
      <c r="E2403" s="76"/>
      <c r="F2403"/>
      <c r="G2403" s="3"/>
      <c r="H2403" s="1" t="s">
        <v>519</v>
      </c>
      <c r="I2403"/>
      <c r="J2403" s="4"/>
      <c r="K2403"/>
    </row>
    <row r="2404" spans="1:11" hidden="1">
      <c r="A2404" s="134"/>
      <c r="E2404" s="76"/>
      <c r="F2404"/>
      <c r="G2404" s="3"/>
      <c r="H2404" s="1" t="s">
        <v>521</v>
      </c>
      <c r="I2404"/>
      <c r="J2404" s="4"/>
      <c r="K2404"/>
    </row>
    <row r="2405" spans="1:11" hidden="1">
      <c r="A2405" s="134"/>
      <c r="E2405" s="76"/>
      <c r="F2405"/>
      <c r="G2405" s="3"/>
      <c r="H2405" s="1" t="s">
        <v>2</v>
      </c>
      <c r="I2405"/>
      <c r="J2405" s="4"/>
      <c r="K2405"/>
    </row>
    <row r="2406" spans="1:11" hidden="1">
      <c r="A2406" s="134"/>
      <c r="E2406" s="76"/>
      <c r="F2406"/>
      <c r="G2406" s="3"/>
      <c r="H2406" s="1" t="s">
        <v>1244</v>
      </c>
      <c r="I2406"/>
      <c r="J2406" s="4"/>
      <c r="K2406"/>
    </row>
    <row r="2407" spans="1:11" hidden="1">
      <c r="A2407" s="134"/>
      <c r="E2407" s="76"/>
      <c r="F2407"/>
      <c r="G2407" s="3"/>
      <c r="H2407" s="5" t="s">
        <v>1609</v>
      </c>
      <c r="I2407" s="5" t="s">
        <v>1609</v>
      </c>
      <c r="J2407" s="2" t="s">
        <v>1609</v>
      </c>
      <c r="K2407"/>
    </row>
    <row r="2408" spans="1:11" hidden="1">
      <c r="A2408" s="134"/>
      <c r="E2408" s="76"/>
      <c r="F2408" s="8">
        <v>13.46</v>
      </c>
      <c r="G2408" s="7" t="s">
        <v>268</v>
      </c>
      <c r="H2408" s="1" t="s">
        <v>269</v>
      </c>
      <c r="I2408" s="8">
        <f>I2361</f>
        <v>30</v>
      </c>
      <c r="J2408" s="2" t="s">
        <v>268</v>
      </c>
      <c r="K2408" s="8">
        <f>(F2408*I2408)</f>
        <v>403.8</v>
      </c>
    </row>
    <row r="2409" spans="1:11" hidden="1">
      <c r="A2409" s="134"/>
      <c r="E2409" s="76"/>
      <c r="F2409"/>
      <c r="G2409" s="3"/>
      <c r="H2409" s="1" t="s">
        <v>992</v>
      </c>
      <c r="I2409"/>
      <c r="J2409" s="4"/>
      <c r="K2409"/>
    </row>
    <row r="2410" spans="1:11" hidden="1">
      <c r="A2410" s="134"/>
      <c r="E2410" s="76"/>
      <c r="F2410" s="8">
        <v>4</v>
      </c>
      <c r="G2410" s="7" t="s">
        <v>268</v>
      </c>
      <c r="H2410" s="1" t="s">
        <v>994</v>
      </c>
      <c r="I2410" s="8">
        <f>I2362</f>
        <v>30</v>
      </c>
      <c r="J2410" s="2" t="s">
        <v>268</v>
      </c>
      <c r="K2410" s="8">
        <f>(F2410*I2410)</f>
        <v>120</v>
      </c>
    </row>
    <row r="2411" spans="1:11" hidden="1">
      <c r="A2411" s="134"/>
      <c r="E2411" s="76"/>
      <c r="F2411"/>
      <c r="G2411" s="3"/>
      <c r="H2411" s="1" t="s">
        <v>1045</v>
      </c>
      <c r="I2411"/>
      <c r="J2411" s="4"/>
      <c r="K2411"/>
    </row>
    <row r="2412" spans="1:11" hidden="1">
      <c r="A2412" s="134"/>
      <c r="E2412" s="76"/>
      <c r="F2412" s="8"/>
      <c r="G2412" s="7" t="s">
        <v>450</v>
      </c>
      <c r="H2412" s="1" t="s">
        <v>1681</v>
      </c>
      <c r="I2412"/>
      <c r="J2412" s="2" t="s">
        <v>450</v>
      </c>
      <c r="K2412" s="8">
        <v>40</v>
      </c>
    </row>
    <row r="2413" spans="1:11" hidden="1">
      <c r="A2413" s="134"/>
      <c r="E2413" s="76"/>
      <c r="F2413"/>
      <c r="G2413" s="3"/>
      <c r="H2413" s="1" t="s">
        <v>1683</v>
      </c>
      <c r="I2413"/>
      <c r="J2413" s="4"/>
      <c r="K2413" s="5" t="s">
        <v>1609</v>
      </c>
    </row>
    <row r="2414" spans="1:11" hidden="1">
      <c r="A2414" s="134"/>
      <c r="E2414" s="76"/>
      <c r="F2414"/>
      <c r="G2414" s="3"/>
      <c r="H2414" s="2" t="s">
        <v>25</v>
      </c>
      <c r="I2414"/>
      <c r="J2414" s="4"/>
      <c r="K2414" s="8">
        <f>SUM(K2408:K2412)</f>
        <v>563.79999999999995</v>
      </c>
    </row>
    <row r="2415" spans="1:11" ht="17.25" hidden="1">
      <c r="A2415" s="134"/>
      <c r="E2415" s="149"/>
      <c r="F2415"/>
      <c r="G2415" s="3"/>
      <c r="H2415"/>
      <c r="I2415"/>
      <c r="J2415" s="4"/>
      <c r="K2415" s="5" t="s">
        <v>1609</v>
      </c>
    </row>
    <row r="2416" spans="1:11" ht="17.25" hidden="1">
      <c r="A2416" s="134"/>
      <c r="E2416" s="149"/>
      <c r="F2416"/>
      <c r="G2416" s="3"/>
      <c r="H2416" s="2" t="s">
        <v>29</v>
      </c>
      <c r="I2416"/>
      <c r="J2416" s="4"/>
      <c r="K2416" s="8">
        <f>K2414/40</f>
        <v>14.1</v>
      </c>
    </row>
    <row r="2417" spans="1:11" ht="17.25" hidden="1">
      <c r="A2417" s="134"/>
      <c r="E2417" s="149"/>
      <c r="F2417"/>
      <c r="G2417" s="3"/>
      <c r="H2417"/>
      <c r="I2417"/>
      <c r="J2417" s="4"/>
      <c r="K2417" s="5" t="s">
        <v>1609</v>
      </c>
    </row>
    <row r="2418" spans="1:11" ht="17.25" hidden="1">
      <c r="A2418" s="134"/>
      <c r="E2418" s="149"/>
      <c r="F2418"/>
      <c r="G2418" s="3"/>
      <c r="H2418" s="1" t="s">
        <v>906</v>
      </c>
      <c r="I2418"/>
      <c r="J2418" s="4"/>
      <c r="K2418"/>
    </row>
    <row r="2419" spans="1:11" ht="17.25" hidden="1">
      <c r="A2419" s="134"/>
      <c r="E2419" s="149"/>
      <c r="F2419"/>
      <c r="G2419" s="3"/>
      <c r="H2419" s="1" t="s">
        <v>314</v>
      </c>
      <c r="I2419"/>
      <c r="J2419" s="4"/>
      <c r="K2419"/>
    </row>
    <row r="2420" spans="1:11" ht="17.25" hidden="1">
      <c r="A2420" s="134"/>
      <c r="E2420" s="149"/>
      <c r="F2420"/>
      <c r="G2420" s="3"/>
      <c r="H2420" s="1" t="s">
        <v>316</v>
      </c>
      <c r="I2420"/>
      <c r="J2420" s="4"/>
      <c r="K2420"/>
    </row>
    <row r="2421" spans="1:11" ht="17.25" hidden="1">
      <c r="A2421" s="134"/>
      <c r="E2421" s="149"/>
      <c r="F2421"/>
      <c r="G2421" s="3"/>
      <c r="H2421"/>
      <c r="I2421"/>
      <c r="J2421" s="4"/>
      <c r="K2421"/>
    </row>
    <row r="2422" spans="1:11" ht="17.25" hidden="1">
      <c r="A2422" s="134"/>
      <c r="E2422" s="149"/>
      <c r="F2422" s="8">
        <v>19</v>
      </c>
      <c r="G2422" s="7" t="s">
        <v>1452</v>
      </c>
      <c r="H2422" s="1" t="s">
        <v>70</v>
      </c>
      <c r="I2422" s="8">
        <f>K2416</f>
        <v>14.1</v>
      </c>
      <c r="J2422" s="2" t="s">
        <v>259</v>
      </c>
      <c r="K2422" s="8">
        <f>(F2422*I2422)</f>
        <v>267.89999999999998</v>
      </c>
    </row>
    <row r="2423" spans="1:11" ht="17.25" hidden="1">
      <c r="A2423" s="134"/>
      <c r="E2423" s="149"/>
      <c r="F2423"/>
      <c r="G2423" s="3"/>
      <c r="H2423" s="1" t="s">
        <v>1685</v>
      </c>
      <c r="I2423"/>
      <c r="J2423" s="4"/>
      <c r="K2423" s="8"/>
    </row>
    <row r="2424" spans="1:11" ht="17.25" hidden="1">
      <c r="A2424" s="134"/>
      <c r="E2424" s="149"/>
      <c r="F2424" s="8">
        <v>0.12</v>
      </c>
      <c r="G2424" s="7" t="s">
        <v>2176</v>
      </c>
      <c r="H2424" s="1" t="s">
        <v>2983</v>
      </c>
      <c r="I2424" s="8">
        <f>9395/5</f>
        <v>1879</v>
      </c>
      <c r="J2424" s="2" t="s">
        <v>259</v>
      </c>
      <c r="K2424" s="8">
        <f t="shared" ref="K2424:K2431" si="79">(F2424*I2424)</f>
        <v>225.48</v>
      </c>
    </row>
    <row r="2425" spans="1:11" ht="17.25" hidden="1">
      <c r="A2425" s="134"/>
      <c r="E2425" s="149"/>
      <c r="F2425" s="8">
        <v>98.5</v>
      </c>
      <c r="G2425" s="7" t="s">
        <v>835</v>
      </c>
      <c r="H2425" s="1" t="s">
        <v>836</v>
      </c>
      <c r="I2425" s="8">
        <f>I2369</f>
        <v>3</v>
      </c>
      <c r="J2425" s="2" t="s">
        <v>259</v>
      </c>
      <c r="K2425" s="8">
        <f t="shared" si="79"/>
        <v>295.5</v>
      </c>
    </row>
    <row r="2426" spans="1:11" ht="17.25" hidden="1">
      <c r="A2426" s="134"/>
      <c r="E2426" s="149"/>
      <c r="F2426" s="8">
        <v>1</v>
      </c>
      <c r="G2426" s="7" t="s">
        <v>450</v>
      </c>
      <c r="H2426" s="1" t="s">
        <v>1411</v>
      </c>
      <c r="I2426" s="8">
        <v>11</v>
      </c>
      <c r="J2426" s="2" t="s">
        <v>450</v>
      </c>
      <c r="K2426" s="8">
        <f t="shared" si="79"/>
        <v>11</v>
      </c>
    </row>
    <row r="2427" spans="1:11" ht="17.25" hidden="1">
      <c r="A2427" s="134"/>
      <c r="E2427" s="149"/>
      <c r="F2427" s="8">
        <v>3.8</v>
      </c>
      <c r="G2427" s="7" t="s">
        <v>1414</v>
      </c>
      <c r="H2427" s="1" t="s">
        <v>1415</v>
      </c>
      <c r="I2427" s="8">
        <f>C16</f>
        <v>150</v>
      </c>
      <c r="J2427" s="2" t="s">
        <v>1418</v>
      </c>
      <c r="K2427" s="8">
        <f t="shared" si="79"/>
        <v>570</v>
      </c>
    </row>
    <row r="2428" spans="1:11" ht="17.25" hidden="1">
      <c r="A2428" s="134"/>
      <c r="E2428" s="149"/>
      <c r="F2428" s="8">
        <v>5.4</v>
      </c>
      <c r="G2428" s="7" t="s">
        <v>1414</v>
      </c>
      <c r="H2428" s="1" t="s">
        <v>832</v>
      </c>
      <c r="I2428" s="8">
        <f>C12</f>
        <v>95</v>
      </c>
      <c r="J2428" s="2" t="s">
        <v>1418</v>
      </c>
      <c r="K2428" s="8">
        <f t="shared" si="79"/>
        <v>513</v>
      </c>
    </row>
    <row r="2429" spans="1:11" ht="17.25" hidden="1">
      <c r="A2429" s="134"/>
      <c r="E2429" s="149"/>
      <c r="F2429" s="8">
        <v>1</v>
      </c>
      <c r="G2429" s="7" t="s">
        <v>1414</v>
      </c>
      <c r="H2429" s="1" t="s">
        <v>2311</v>
      </c>
      <c r="I2429" s="8">
        <f>D17</f>
        <v>120</v>
      </c>
      <c r="J2429" s="2" t="s">
        <v>1418</v>
      </c>
      <c r="K2429" s="8">
        <f t="shared" si="79"/>
        <v>120</v>
      </c>
    </row>
    <row r="2430" spans="1:11" ht="17.25" hidden="1">
      <c r="A2430" s="134"/>
      <c r="E2430" s="149"/>
      <c r="F2430" s="8">
        <v>1</v>
      </c>
      <c r="G2430" s="7" t="s">
        <v>450</v>
      </c>
      <c r="H2430" s="1" t="s">
        <v>784</v>
      </c>
      <c r="I2430" s="8">
        <v>10</v>
      </c>
      <c r="J2430" s="2" t="s">
        <v>450</v>
      </c>
      <c r="K2430" s="8">
        <f t="shared" si="79"/>
        <v>10</v>
      </c>
    </row>
    <row r="2431" spans="1:11" ht="17.25" hidden="1">
      <c r="A2431" s="134"/>
      <c r="E2431" s="149"/>
      <c r="F2431" s="8">
        <v>19</v>
      </c>
      <c r="G2431" s="7" t="s">
        <v>1452</v>
      </c>
      <c r="H2431" s="1" t="s">
        <v>786</v>
      </c>
      <c r="I2431" s="8">
        <v>2</v>
      </c>
      <c r="J2431" s="2" t="s">
        <v>1452</v>
      </c>
      <c r="K2431" s="8">
        <f t="shared" si="79"/>
        <v>38</v>
      </c>
    </row>
    <row r="2432" spans="1:11" ht="17.25" hidden="1">
      <c r="A2432" s="134"/>
      <c r="E2432" s="149"/>
      <c r="F2432"/>
      <c r="G2432" s="3"/>
      <c r="H2432" s="1" t="s">
        <v>505</v>
      </c>
      <c r="I2432"/>
      <c r="J2432" s="4"/>
      <c r="K2432" s="5" t="s">
        <v>1609</v>
      </c>
    </row>
    <row r="2433" spans="1:11" ht="17.25" hidden="1">
      <c r="A2433" s="134"/>
      <c r="E2433" s="149"/>
      <c r="F2433"/>
      <c r="G2433" s="3"/>
      <c r="H2433" s="2" t="s">
        <v>442</v>
      </c>
      <c r="I2433"/>
      <c r="J2433" s="4"/>
      <c r="K2433" s="8">
        <f>SUM(K2422:K2431)</f>
        <v>2050.88</v>
      </c>
    </row>
    <row r="2434" spans="1:11" ht="17.25" hidden="1">
      <c r="A2434" s="134"/>
      <c r="E2434" s="149"/>
      <c r="F2434"/>
      <c r="G2434" s="3"/>
      <c r="H2434"/>
      <c r="I2434"/>
      <c r="J2434" s="4"/>
      <c r="K2434" s="5" t="s">
        <v>1609</v>
      </c>
    </row>
    <row r="2435" spans="1:11" ht="17.25" hidden="1">
      <c r="A2435" s="134"/>
      <c r="E2435" s="149"/>
      <c r="F2435"/>
      <c r="G2435" s="3"/>
      <c r="H2435" s="2" t="s">
        <v>556</v>
      </c>
      <c r="I2435"/>
      <c r="J2435" s="4"/>
      <c r="K2435" s="8">
        <f>(K2433/10)</f>
        <v>205.09</v>
      </c>
    </row>
    <row r="2436" spans="1:11" ht="17.25" hidden="1">
      <c r="A2436" s="134"/>
      <c r="E2436" s="149"/>
      <c r="F2436" s="1" t="s">
        <v>987</v>
      </c>
      <c r="G2436" s="3"/>
      <c r="H2436"/>
      <c r="I2436"/>
      <c r="J2436" s="4"/>
      <c r="K2436"/>
    </row>
    <row r="2437" spans="1:11" ht="17.25" hidden="1">
      <c r="A2437" s="134"/>
      <c r="E2437" s="149"/>
      <c r="F2437"/>
      <c r="G2437" s="3"/>
      <c r="H2437"/>
      <c r="I2437"/>
      <c r="J2437" s="4"/>
      <c r="K2437" s="5" t="s">
        <v>2080</v>
      </c>
    </row>
    <row r="2438" spans="1:11" ht="30" hidden="1">
      <c r="A2438" s="134"/>
      <c r="E2438" s="149"/>
      <c r="F2438" s="192" t="s">
        <v>2642</v>
      </c>
      <c r="G2438" s="23"/>
      <c r="H2438" s="193" t="s">
        <v>3504</v>
      </c>
      <c r="I2438"/>
      <c r="J2438" s="4"/>
      <c r="K2438"/>
    </row>
    <row r="2439" spans="1:11" ht="17.25" hidden="1">
      <c r="A2439" s="134"/>
      <c r="E2439" s="149"/>
      <c r="F2439" s="23"/>
      <c r="G2439" s="3"/>
      <c r="H2439"/>
      <c r="I2439"/>
      <c r="J2439" s="4"/>
      <c r="K2439" s="39"/>
    </row>
    <row r="2440" spans="1:11" ht="17.25" hidden="1">
      <c r="A2440" s="134"/>
      <c r="E2440" s="149"/>
      <c r="F2440">
        <v>98.5</v>
      </c>
      <c r="G2440" s="3" t="s">
        <v>835</v>
      </c>
      <c r="H2440" s="1" t="s">
        <v>836</v>
      </c>
      <c r="I2440" s="8">
        <f>I2425</f>
        <v>3</v>
      </c>
      <c r="J2440" s="2" t="s">
        <v>259</v>
      </c>
      <c r="K2440">
        <f>(F2440*I2440)</f>
        <v>295.5</v>
      </c>
    </row>
    <row r="2441" spans="1:11" ht="17.25" hidden="1">
      <c r="A2441" s="134"/>
      <c r="E2441" s="149"/>
      <c r="F2441">
        <v>0.3</v>
      </c>
      <c r="G2441" s="3" t="s">
        <v>1414</v>
      </c>
      <c r="H2441" s="1" t="s">
        <v>1415</v>
      </c>
      <c r="I2441" s="8">
        <f>I2427</f>
        <v>150</v>
      </c>
      <c r="J2441" s="2" t="s">
        <v>1418</v>
      </c>
      <c r="K2441">
        <f>(F2441*I2441)</f>
        <v>45</v>
      </c>
    </row>
    <row r="2442" spans="1:11" ht="17.25" hidden="1">
      <c r="A2442" s="134"/>
      <c r="E2442" s="149"/>
      <c r="F2442">
        <v>0.3</v>
      </c>
      <c r="G2442" s="3" t="s">
        <v>1414</v>
      </c>
      <c r="H2442" s="1" t="s">
        <v>832</v>
      </c>
      <c r="I2442" s="8">
        <f>I2428</f>
        <v>95</v>
      </c>
      <c r="J2442" s="2" t="s">
        <v>1418</v>
      </c>
      <c r="K2442">
        <f>(F2442*I2442)</f>
        <v>28.5</v>
      </c>
    </row>
    <row r="2443" spans="1:11" ht="17.25" hidden="1">
      <c r="A2443" s="134"/>
      <c r="E2443" s="149"/>
      <c r="F2443"/>
      <c r="G2443" s="3"/>
      <c r="H2443" s="1" t="s">
        <v>2296</v>
      </c>
      <c r="I2443"/>
      <c r="J2443" s="4" t="s">
        <v>69</v>
      </c>
      <c r="K2443" s="39">
        <v>0.6</v>
      </c>
    </row>
    <row r="2444" spans="1:11" ht="17.25" hidden="1">
      <c r="A2444" s="134"/>
      <c r="E2444" s="149"/>
      <c r="F2444"/>
      <c r="G2444" s="3"/>
      <c r="H2444" s="2" t="s">
        <v>442</v>
      </c>
      <c r="I2444"/>
      <c r="J2444" s="4"/>
      <c r="K2444">
        <f>SUM(K2440:K2443)</f>
        <v>369.6</v>
      </c>
    </row>
    <row r="2445" spans="1:11" ht="17.25" hidden="1">
      <c r="A2445" s="134"/>
      <c r="E2445" s="149"/>
      <c r="F2445"/>
      <c r="G2445" s="3"/>
      <c r="H2445" s="1"/>
      <c r="I2445"/>
      <c r="J2445" s="4"/>
      <c r="K2445" s="39" t="s">
        <v>429</v>
      </c>
    </row>
    <row r="2446" spans="1:11" ht="17.25" hidden="1">
      <c r="A2446" s="134"/>
      <c r="E2446" s="149"/>
      <c r="F2446"/>
      <c r="G2446" s="3"/>
      <c r="H2446" s="2" t="s">
        <v>556</v>
      </c>
      <c r="I2446"/>
      <c r="J2446" s="4"/>
      <c r="K2446">
        <f>K2444/10</f>
        <v>36.96</v>
      </c>
    </row>
    <row r="2447" spans="1:11" ht="17.25" hidden="1">
      <c r="A2447" s="134"/>
      <c r="E2447" s="149"/>
      <c r="F2447"/>
      <c r="G2447" s="3"/>
      <c r="H2447" s="2"/>
      <c r="I2447"/>
      <c r="J2447" s="4"/>
      <c r="K2447"/>
    </row>
    <row r="2448" spans="1:11" ht="32.25" hidden="1">
      <c r="A2448" s="134"/>
      <c r="E2448" s="149"/>
      <c r="F2448"/>
      <c r="G2448" s="3"/>
      <c r="H2448" s="19" t="s">
        <v>3505</v>
      </c>
      <c r="I2448"/>
      <c r="J2448" s="4" t="s">
        <v>3506</v>
      </c>
      <c r="K2448">
        <f>K2435-K2446</f>
        <v>168.13</v>
      </c>
    </row>
    <row r="2449" spans="1:11" ht="17.25" hidden="1">
      <c r="A2449" s="134"/>
      <c r="E2449" s="149"/>
      <c r="F2449"/>
      <c r="G2449" s="3"/>
      <c r="H2449" s="1"/>
      <c r="I2449"/>
      <c r="J2449" s="4"/>
      <c r="K2449" s="39" t="s">
        <v>34</v>
      </c>
    </row>
    <row r="2450" spans="1:11" ht="17.25" hidden="1">
      <c r="A2450" s="134"/>
      <c r="E2450" s="149"/>
      <c r="F2450"/>
      <c r="G2450" s="3"/>
      <c r="H2450"/>
      <c r="I2450"/>
      <c r="J2450" s="4"/>
      <c r="K2450"/>
    </row>
    <row r="2451" spans="1:11" ht="45" hidden="1">
      <c r="A2451" s="134"/>
      <c r="E2451" s="149"/>
      <c r="F2451" s="192" t="s">
        <v>3249</v>
      </c>
      <c r="G2451" s="3"/>
      <c r="H2451" s="193" t="s">
        <v>3065</v>
      </c>
      <c r="I2451"/>
      <c r="J2451" s="4" t="s">
        <v>3506</v>
      </c>
      <c r="K2451">
        <f>K2435</f>
        <v>205.09</v>
      </c>
    </row>
    <row r="2452" spans="1:11" ht="17.25" hidden="1">
      <c r="A2452" s="134"/>
      <c r="E2452" s="149"/>
      <c r="F2452"/>
      <c r="H2452" s="86"/>
      <c r="I2452"/>
      <c r="J2452" s="4"/>
      <c r="K2452" s="39" t="s">
        <v>34</v>
      </c>
    </row>
    <row r="2453" spans="1:11" ht="30" hidden="1">
      <c r="A2453" s="134"/>
      <c r="E2453" s="149"/>
      <c r="F2453" s="192" t="s">
        <v>2303</v>
      </c>
      <c r="H2453" s="193" t="s">
        <v>3062</v>
      </c>
      <c r="I2453"/>
      <c r="J2453" s="4" t="s">
        <v>3506</v>
      </c>
      <c r="K2453" s="39">
        <f>K2451*1.2</f>
        <v>246.11</v>
      </c>
    </row>
    <row r="2454" spans="1:11" ht="17.25" hidden="1">
      <c r="A2454" s="134"/>
      <c r="E2454" s="149"/>
      <c r="F2454"/>
      <c r="I2454"/>
      <c r="J2454" s="4"/>
      <c r="K2454" s="39" t="s">
        <v>1242</v>
      </c>
    </row>
    <row r="2455" spans="1:11" ht="19.5" hidden="1">
      <c r="A2455" s="134"/>
      <c r="E2455" s="149"/>
      <c r="F2455" s="192" t="s">
        <v>3063</v>
      </c>
      <c r="H2455" s="193" t="s">
        <v>3064</v>
      </c>
      <c r="I2455"/>
      <c r="J2455" s="4" t="s">
        <v>3506</v>
      </c>
      <c r="K2455">
        <f>K2451*1.1</f>
        <v>225.6</v>
      </c>
    </row>
    <row r="2456" spans="1:11" ht="17.25" hidden="1">
      <c r="A2456" s="134"/>
      <c r="E2456" s="149"/>
      <c r="F2456"/>
      <c r="G2456" s="3"/>
      <c r="H2456"/>
      <c r="I2456"/>
      <c r="J2456" s="4"/>
      <c r="K2456" s="39" t="s">
        <v>1242</v>
      </c>
    </row>
    <row r="2457" spans="1:11" ht="17.25" hidden="1">
      <c r="A2457" s="134"/>
      <c r="E2457" s="149"/>
      <c r="F2457"/>
      <c r="G2457" s="3"/>
      <c r="H2457"/>
      <c r="I2457"/>
      <c r="J2457" s="4"/>
      <c r="K2457"/>
    </row>
    <row r="2458" spans="1:11" ht="17.25" hidden="1">
      <c r="A2458" s="134"/>
      <c r="E2458" s="149"/>
      <c r="F2458">
        <v>50.6</v>
      </c>
      <c r="G2458" s="7" t="s">
        <v>681</v>
      </c>
      <c r="H2458" s="1" t="s">
        <v>1165</v>
      </c>
      <c r="I2458"/>
      <c r="J2458" s="4"/>
      <c r="K2458"/>
    </row>
    <row r="2459" spans="1:11" ht="32.25" hidden="1">
      <c r="A2459" s="134"/>
      <c r="E2459" s="149"/>
      <c r="F2459"/>
      <c r="G2459" s="3"/>
      <c r="H2459" s="19" t="s">
        <v>2773</v>
      </c>
      <c r="I2459"/>
      <c r="J2459" s="4"/>
      <c r="K2459"/>
    </row>
    <row r="2460" spans="1:11" ht="17.25" hidden="1">
      <c r="A2460" s="134"/>
      <c r="E2460" s="149"/>
      <c r="F2460"/>
      <c r="G2460" s="3"/>
      <c r="H2460" s="5" t="s">
        <v>1609</v>
      </c>
      <c r="I2460" s="5" t="s">
        <v>1609</v>
      </c>
      <c r="J2460" s="4"/>
      <c r="K2460"/>
    </row>
    <row r="2461" spans="1:11" ht="18.75" hidden="1">
      <c r="A2461" s="134"/>
      <c r="E2461" s="149"/>
      <c r="F2461"/>
      <c r="G2461" s="3"/>
      <c r="H2461" s="5" t="s">
        <v>2774</v>
      </c>
      <c r="I2461" s="5"/>
      <c r="J2461" s="4"/>
      <c r="K2461"/>
    </row>
    <row r="2462" spans="1:11" ht="18.75" hidden="1">
      <c r="A2462" s="134"/>
      <c r="E2462" s="149"/>
      <c r="F2462"/>
      <c r="G2462" s="3"/>
      <c r="H2462" s="5" t="s">
        <v>3103</v>
      </c>
      <c r="I2462" s="5"/>
      <c r="J2462" s="4"/>
      <c r="K2462"/>
    </row>
    <row r="2463" spans="1:11" ht="17.25" hidden="1">
      <c r="A2463" s="134"/>
      <c r="E2463" s="149"/>
      <c r="F2463"/>
      <c r="G2463" s="3"/>
      <c r="H2463" s="5"/>
      <c r="I2463" s="5"/>
      <c r="J2463" s="4"/>
      <c r="K2463"/>
    </row>
    <row r="2464" spans="1:11" ht="17.25" hidden="1">
      <c r="A2464" s="134"/>
      <c r="E2464" s="149"/>
      <c r="F2464"/>
      <c r="G2464" s="3"/>
      <c r="H2464"/>
      <c r="I2464"/>
      <c r="J2464" s="4"/>
      <c r="K2464"/>
    </row>
    <row r="2465" spans="1:11" ht="17.25" hidden="1">
      <c r="A2465" s="134"/>
      <c r="E2465" s="149"/>
      <c r="F2465" s="11">
        <v>1.96</v>
      </c>
      <c r="G2465" s="7" t="s">
        <v>2176</v>
      </c>
      <c r="H2465" s="1" t="s">
        <v>443</v>
      </c>
      <c r="I2465" s="8" t="e">
        <f>K1644</f>
        <v>#REF!</v>
      </c>
      <c r="J2465" s="2" t="s">
        <v>2176</v>
      </c>
      <c r="K2465" s="8" t="e">
        <f t="shared" ref="K2465:K2470" si="80">(F2465*I2465)</f>
        <v>#REF!</v>
      </c>
    </row>
    <row r="2466" spans="1:11" ht="17.25" hidden="1">
      <c r="A2466" s="134"/>
      <c r="E2466" s="149"/>
      <c r="F2466" s="8">
        <v>2</v>
      </c>
      <c r="G2466" s="7" t="s">
        <v>564</v>
      </c>
      <c r="H2466" s="1" t="s">
        <v>354</v>
      </c>
      <c r="I2466" s="8">
        <f>C10</f>
        <v>150</v>
      </c>
      <c r="J2466" s="2" t="s">
        <v>1418</v>
      </c>
      <c r="K2466" s="8">
        <f t="shared" si="80"/>
        <v>300</v>
      </c>
    </row>
    <row r="2467" spans="1:11" ht="17.25" hidden="1">
      <c r="A2467" s="134"/>
      <c r="E2467" s="149"/>
      <c r="F2467" s="8">
        <v>2</v>
      </c>
      <c r="G2467" s="7" t="s">
        <v>564</v>
      </c>
      <c r="H2467" s="1" t="s">
        <v>355</v>
      </c>
      <c r="I2467" s="8">
        <f>C13</f>
        <v>85</v>
      </c>
      <c r="J2467" s="2" t="s">
        <v>1418</v>
      </c>
      <c r="K2467" s="8">
        <f t="shared" si="80"/>
        <v>170</v>
      </c>
    </row>
    <row r="2468" spans="1:11" ht="17.25" hidden="1">
      <c r="A2468" s="134"/>
      <c r="E2468" s="149"/>
      <c r="F2468" s="8">
        <v>0.28000000000000003</v>
      </c>
      <c r="G2468" s="7" t="s">
        <v>2308</v>
      </c>
      <c r="H2468" s="1" t="s">
        <v>3066</v>
      </c>
      <c r="I2468" s="8">
        <f>K2448</f>
        <v>168.13</v>
      </c>
      <c r="J2468" s="2" t="s">
        <v>2308</v>
      </c>
      <c r="K2468" s="8">
        <f t="shared" si="80"/>
        <v>47.08</v>
      </c>
    </row>
    <row r="2469" spans="1:11" ht="17.25" hidden="1">
      <c r="A2469" s="134"/>
      <c r="E2469" s="149"/>
      <c r="F2469" s="8">
        <v>500</v>
      </c>
      <c r="G2469" s="7" t="s">
        <v>1452</v>
      </c>
      <c r="H2469" s="1" t="s">
        <v>3067</v>
      </c>
      <c r="I2469">
        <v>2</v>
      </c>
      <c r="J2469" s="4" t="s">
        <v>1418</v>
      </c>
      <c r="K2469" s="8">
        <f t="shared" si="80"/>
        <v>1000</v>
      </c>
    </row>
    <row r="2470" spans="1:11" ht="17.25" hidden="1">
      <c r="A2470" s="134"/>
      <c r="E2470" s="149"/>
      <c r="F2470" s="8">
        <v>8.5</v>
      </c>
      <c r="G2470" s="7" t="s">
        <v>3278</v>
      </c>
      <c r="H2470" s="1" t="s">
        <v>3279</v>
      </c>
      <c r="I2470">
        <v>25</v>
      </c>
      <c r="J2470" s="4" t="s">
        <v>2171</v>
      </c>
      <c r="K2470" s="8">
        <f t="shared" si="80"/>
        <v>212.5</v>
      </c>
    </row>
    <row r="2471" spans="1:11" ht="17.25" hidden="1">
      <c r="A2471" s="134"/>
      <c r="E2471" s="149"/>
      <c r="F2471"/>
      <c r="G2471" s="3"/>
      <c r="H2471"/>
      <c r="I2471"/>
      <c r="J2471" s="4"/>
      <c r="K2471" s="5" t="s">
        <v>1609</v>
      </c>
    </row>
    <row r="2472" spans="1:11" ht="17.25" hidden="1">
      <c r="A2472" s="134"/>
      <c r="E2472" s="149"/>
      <c r="F2472"/>
      <c r="G2472" s="3"/>
      <c r="H2472" s="2" t="s">
        <v>3280</v>
      </c>
      <c r="I2472"/>
      <c r="J2472" s="4"/>
      <c r="K2472" s="8" t="e">
        <f>SUM(K2465:K2471)</f>
        <v>#REF!</v>
      </c>
    </row>
    <row r="2473" spans="1:11" ht="17.25" hidden="1">
      <c r="A2473" s="134"/>
      <c r="E2473" s="149"/>
      <c r="F2473"/>
      <c r="G2473" s="3"/>
      <c r="H2473"/>
      <c r="I2473"/>
      <c r="J2473" s="4"/>
      <c r="K2473" s="43" t="s">
        <v>3281</v>
      </c>
    </row>
    <row r="2474" spans="1:11" ht="17.25" hidden="1">
      <c r="A2474" s="134"/>
      <c r="E2474" s="149"/>
      <c r="F2474"/>
      <c r="G2474" s="3"/>
      <c r="H2474" s="2" t="s">
        <v>3282</v>
      </c>
      <c r="I2474"/>
      <c r="J2474" s="4"/>
      <c r="K2474" t="e">
        <f>K2472/39.2</f>
        <v>#REF!</v>
      </c>
    </row>
    <row r="2475" spans="1:11" ht="17.25" hidden="1">
      <c r="A2475" s="134"/>
      <c r="E2475" s="149"/>
      <c r="F2475"/>
      <c r="G2475" s="3"/>
      <c r="H2475"/>
      <c r="I2475"/>
      <c r="J2475" s="4"/>
      <c r="K2475" s="39" t="s">
        <v>1242</v>
      </c>
    </row>
    <row r="2476" spans="1:11" ht="17.25" hidden="1">
      <c r="A2476" s="134"/>
      <c r="E2476" s="149"/>
      <c r="F2476"/>
      <c r="G2476" s="3"/>
      <c r="H2476" s="194" t="s">
        <v>3273</v>
      </c>
      <c r="I2476"/>
      <c r="J2476" s="4"/>
      <c r="K2476"/>
    </row>
    <row r="2477" spans="1:11" ht="17.25" hidden="1">
      <c r="A2477" s="134"/>
      <c r="E2477" s="149"/>
      <c r="F2477"/>
      <c r="G2477" s="3"/>
      <c r="H2477" t="s">
        <v>3274</v>
      </c>
      <c r="I2477" t="s">
        <v>3305</v>
      </c>
      <c r="J2477" s="4"/>
      <c r="K2477"/>
    </row>
    <row r="2478" spans="1:11" ht="17.25" hidden="1">
      <c r="A2478" s="134"/>
      <c r="E2478" s="149"/>
      <c r="F2478"/>
      <c r="G2478" s="3"/>
      <c r="H2478"/>
      <c r="I2478" s="39" t="s">
        <v>3306</v>
      </c>
      <c r="J2478" s="4" t="s">
        <v>3307</v>
      </c>
      <c r="K2478"/>
    </row>
    <row r="2479" spans="1:11" ht="17.25" hidden="1">
      <c r="A2479" s="134"/>
      <c r="E2479" s="149"/>
      <c r="F2479"/>
      <c r="G2479" s="3"/>
      <c r="H2479" t="s">
        <v>3308</v>
      </c>
      <c r="I2479" t="s">
        <v>3309</v>
      </c>
      <c r="J2479" s="4"/>
      <c r="K2479"/>
    </row>
    <row r="2480" spans="1:11" ht="17.25" hidden="1">
      <c r="A2480" s="134"/>
      <c r="E2480" s="149"/>
      <c r="F2480"/>
      <c r="G2480" s="3"/>
      <c r="H2480"/>
      <c r="I2480"/>
      <c r="J2480" s="4"/>
      <c r="K2480"/>
    </row>
    <row r="2481" spans="1:11" ht="17.25" hidden="1">
      <c r="A2481" s="134"/>
      <c r="E2481" s="149"/>
      <c r="F2481"/>
      <c r="G2481" s="3"/>
      <c r="H2481" t="s">
        <v>3310</v>
      </c>
      <c r="I2481"/>
      <c r="J2481" s="4"/>
      <c r="K2481"/>
    </row>
    <row r="2482" spans="1:11" ht="17.25" hidden="1">
      <c r="A2482" s="134"/>
      <c r="E2482" s="149"/>
      <c r="F2482"/>
      <c r="G2482" s="3"/>
      <c r="H2482" t="s">
        <v>3311</v>
      </c>
      <c r="I2482" t="s">
        <v>3312</v>
      </c>
      <c r="J2482" s="4"/>
      <c r="K2482"/>
    </row>
    <row r="2483" spans="1:11" ht="17.25" hidden="1">
      <c r="A2483" s="134"/>
      <c r="E2483" s="149"/>
      <c r="F2483"/>
      <c r="G2483" s="3"/>
      <c r="H2483" t="s">
        <v>3313</v>
      </c>
      <c r="I2483" t="s">
        <v>3314</v>
      </c>
      <c r="J2483" s="4"/>
      <c r="K2483"/>
    </row>
    <row r="2484" spans="1:11" ht="17.25" hidden="1">
      <c r="A2484" s="134"/>
      <c r="E2484" s="149"/>
      <c r="F2484"/>
      <c r="G2484" s="3"/>
      <c r="H2484" t="s">
        <v>3360</v>
      </c>
      <c r="I2484"/>
      <c r="J2484" s="4"/>
      <c r="K2484"/>
    </row>
    <row r="2485" spans="1:11" ht="17.25" hidden="1">
      <c r="A2485" s="134"/>
      <c r="E2485" s="149"/>
      <c r="F2485"/>
      <c r="G2485" s="3"/>
      <c r="H2485"/>
      <c r="I2485"/>
      <c r="J2485" s="4"/>
      <c r="K2485"/>
    </row>
    <row r="2486" spans="1:11" ht="17.25" hidden="1">
      <c r="A2486" s="134"/>
      <c r="E2486" s="149"/>
      <c r="F2486"/>
      <c r="G2486" s="3"/>
      <c r="H2486"/>
      <c r="I2486"/>
      <c r="J2486" s="4"/>
      <c r="K2486"/>
    </row>
    <row r="2487" spans="1:11" ht="17.25" hidden="1">
      <c r="A2487" s="134"/>
      <c r="E2487" s="149"/>
      <c r="F2487"/>
      <c r="G2487" s="3"/>
      <c r="H2487"/>
      <c r="I2487"/>
      <c r="J2487" s="4"/>
      <c r="K2487"/>
    </row>
    <row r="2488" spans="1:11" ht="48" hidden="1">
      <c r="A2488" s="134"/>
      <c r="E2488" s="149"/>
      <c r="F2488" s="195">
        <v>83</v>
      </c>
      <c r="G2488" s="3"/>
      <c r="H2488" s="21" t="s">
        <v>3361</v>
      </c>
      <c r="I2488"/>
      <c r="J2488" s="4"/>
      <c r="K2488"/>
    </row>
    <row r="2489" spans="1:11" ht="17.25" hidden="1">
      <c r="A2489" s="134"/>
      <c r="E2489" s="149"/>
      <c r="F2489"/>
      <c r="G2489" s="3"/>
      <c r="H2489" s="39" t="s">
        <v>3396</v>
      </c>
      <c r="I2489"/>
      <c r="J2489" s="4"/>
      <c r="K2489"/>
    </row>
    <row r="2490" spans="1:11" ht="63" hidden="1">
      <c r="A2490" s="134"/>
      <c r="E2490" s="149"/>
      <c r="F2490" s="100">
        <v>3.25</v>
      </c>
      <c r="G2490" s="196" t="s">
        <v>3397</v>
      </c>
      <c r="H2490" s="196" t="s">
        <v>3398</v>
      </c>
      <c r="I2490" s="196">
        <v>27</v>
      </c>
      <c r="J2490" s="196" t="s">
        <v>1670</v>
      </c>
      <c r="K2490" s="196">
        <f>I2490*F2490</f>
        <v>87.75</v>
      </c>
    </row>
    <row r="2491" spans="1:11" ht="17.25" hidden="1">
      <c r="A2491" s="134"/>
      <c r="E2491" s="149"/>
      <c r="F2491"/>
      <c r="G2491" s="3"/>
      <c r="H2491" t="s">
        <v>1208</v>
      </c>
      <c r="I2491"/>
      <c r="J2491" s="4"/>
      <c r="K2491">
        <v>0.25</v>
      </c>
    </row>
    <row r="2492" spans="1:11" ht="17.25" hidden="1">
      <c r="A2492" s="134"/>
      <c r="E2492" s="149"/>
      <c r="F2492"/>
      <c r="G2492" s="3"/>
      <c r="H2492"/>
      <c r="I2492"/>
      <c r="J2492" s="4"/>
      <c r="K2492" s="197" t="s">
        <v>1609</v>
      </c>
    </row>
    <row r="2493" spans="1:11" ht="17.25" hidden="1">
      <c r="A2493" s="134"/>
      <c r="E2493" s="149"/>
      <c r="F2493"/>
      <c r="G2493" s="3"/>
      <c r="H2493" t="s">
        <v>3399</v>
      </c>
      <c r="I2493"/>
      <c r="J2493" s="4"/>
      <c r="K2493">
        <f>SUM(K2490:K2492)</f>
        <v>88</v>
      </c>
    </row>
    <row r="2494" spans="1:11" ht="17.25" hidden="1">
      <c r="A2494" s="134"/>
      <c r="E2494" s="149"/>
      <c r="F2494"/>
      <c r="G2494" s="3"/>
      <c r="H2494"/>
      <c r="I2494"/>
      <c r="J2494" s="4"/>
      <c r="K2494" s="197" t="s">
        <v>2080</v>
      </c>
    </row>
    <row r="2495" spans="1:11" ht="19.5" hidden="1">
      <c r="A2495" s="134"/>
      <c r="E2495" s="149"/>
      <c r="F2495" s="198">
        <v>79.099999999999994</v>
      </c>
      <c r="G2495" s="3"/>
      <c r="H2495" t="s">
        <v>3400</v>
      </c>
      <c r="I2495"/>
      <c r="J2495" s="4"/>
      <c r="K2495"/>
    </row>
    <row r="2496" spans="1:11" ht="17.25" hidden="1">
      <c r="A2496" s="134"/>
      <c r="E2496" s="149"/>
      <c r="F2496"/>
      <c r="G2496" s="3"/>
      <c r="H2496" s="39" t="s">
        <v>3401</v>
      </c>
      <c r="I2496"/>
      <c r="J2496" s="4"/>
      <c r="K2496"/>
    </row>
    <row r="2497" spans="1:11" ht="17.25" hidden="1">
      <c r="A2497" s="134"/>
      <c r="E2497" s="149"/>
      <c r="F2497">
        <v>1</v>
      </c>
      <c r="G2497" s="3" t="s">
        <v>1414</v>
      </c>
      <c r="H2497" t="s">
        <v>3402</v>
      </c>
      <c r="I2497">
        <v>75</v>
      </c>
      <c r="J2497" s="4" t="s">
        <v>1418</v>
      </c>
      <c r="K2497">
        <f>I2497*F2497</f>
        <v>75</v>
      </c>
    </row>
    <row r="2498" spans="1:11" ht="17.25" hidden="1">
      <c r="A2498" s="134"/>
      <c r="E2498" s="149"/>
      <c r="F2498">
        <v>1</v>
      </c>
      <c r="G2498" s="3" t="s">
        <v>1414</v>
      </c>
      <c r="H2498" t="s">
        <v>3403</v>
      </c>
      <c r="I2498">
        <v>17.75</v>
      </c>
      <c r="J2498" s="4" t="s">
        <v>1418</v>
      </c>
      <c r="K2498">
        <f>I2498*F2498</f>
        <v>17.75</v>
      </c>
    </row>
    <row r="2499" spans="1:11" ht="17.25" hidden="1">
      <c r="A2499" s="134"/>
      <c r="E2499" s="149"/>
      <c r="F2499">
        <v>1</v>
      </c>
      <c r="G2499" s="3" t="s">
        <v>1414</v>
      </c>
      <c r="H2499" t="s">
        <v>142</v>
      </c>
      <c r="I2499">
        <f>K2510</f>
        <v>65.13</v>
      </c>
      <c r="J2499" s="4" t="s">
        <v>1418</v>
      </c>
      <c r="K2499">
        <f>I2499*F2499</f>
        <v>65.13</v>
      </c>
    </row>
    <row r="2500" spans="1:11" ht="17.25" hidden="1">
      <c r="A2500" s="134"/>
      <c r="E2500" s="149"/>
      <c r="F2500"/>
      <c r="G2500" s="3"/>
      <c r="H2500" t="s">
        <v>2352</v>
      </c>
      <c r="I2500"/>
      <c r="J2500" s="4" t="s">
        <v>450</v>
      </c>
      <c r="K2500">
        <v>3.12</v>
      </c>
    </row>
    <row r="2501" spans="1:11" ht="17.25" hidden="1">
      <c r="A2501" s="134"/>
      <c r="E2501" s="149"/>
      <c r="F2501"/>
      <c r="G2501" s="3"/>
      <c r="H2501"/>
      <c r="I2501"/>
      <c r="J2501" s="4"/>
      <c r="K2501" s="39" t="s">
        <v>2353</v>
      </c>
    </row>
    <row r="2502" spans="1:11" ht="17.25" hidden="1">
      <c r="A2502" s="134"/>
      <c r="E2502" s="149"/>
      <c r="F2502"/>
      <c r="G2502" s="3"/>
      <c r="H2502"/>
      <c r="I2502"/>
      <c r="J2502" s="4"/>
      <c r="K2502">
        <f>SUM(K2497:K2501)</f>
        <v>161</v>
      </c>
    </row>
    <row r="2503" spans="1:11" ht="17.25" hidden="1">
      <c r="A2503" s="134"/>
      <c r="E2503" s="149"/>
      <c r="F2503"/>
      <c r="G2503" s="3"/>
      <c r="H2503"/>
      <c r="I2503"/>
      <c r="J2503" s="4"/>
      <c r="K2503" s="39" t="s">
        <v>148</v>
      </c>
    </row>
    <row r="2504" spans="1:11" ht="17.25" hidden="1">
      <c r="A2504" s="134"/>
      <c r="E2504" s="149"/>
      <c r="F2504" t="s">
        <v>142</v>
      </c>
      <c r="G2504" s="3"/>
      <c r="H2504"/>
      <c r="I2504"/>
      <c r="J2504" s="4"/>
      <c r="K2504"/>
    </row>
    <row r="2505" spans="1:11" ht="17.25" hidden="1">
      <c r="A2505" s="134"/>
      <c r="E2505" s="149"/>
      <c r="F2505">
        <v>1</v>
      </c>
      <c r="G2505" s="3" t="s">
        <v>1414</v>
      </c>
      <c r="H2505" t="s">
        <v>2354</v>
      </c>
      <c r="I2505">
        <v>131</v>
      </c>
      <c r="J2505" s="4" t="s">
        <v>1418</v>
      </c>
      <c r="K2505">
        <f>I2505*F2505</f>
        <v>131</v>
      </c>
    </row>
    <row r="2506" spans="1:11" ht="17.25" hidden="1">
      <c r="A2506" s="134"/>
      <c r="E2506" s="149"/>
      <c r="F2506">
        <v>1</v>
      </c>
      <c r="G2506" s="3" t="s">
        <v>1414</v>
      </c>
      <c r="H2506" t="s">
        <v>2355</v>
      </c>
      <c r="I2506">
        <v>117</v>
      </c>
      <c r="J2506" s="4" t="s">
        <v>1418</v>
      </c>
      <c r="K2506">
        <f>I2506*F2506</f>
        <v>117</v>
      </c>
    </row>
    <row r="2507" spans="1:11" ht="17.25" hidden="1">
      <c r="A2507" s="134"/>
      <c r="E2507" s="149"/>
      <c r="F2507">
        <v>3</v>
      </c>
      <c r="G2507" s="3" t="s">
        <v>1452</v>
      </c>
      <c r="H2507" t="s">
        <v>2356</v>
      </c>
      <c r="I2507">
        <v>91</v>
      </c>
      <c r="J2507" s="4" t="s">
        <v>1418</v>
      </c>
      <c r="K2507">
        <f>I2507*F2507</f>
        <v>273</v>
      </c>
    </row>
    <row r="2508" spans="1:11" ht="17.25" hidden="1">
      <c r="A2508" s="134"/>
      <c r="E2508" s="149"/>
      <c r="F2508"/>
      <c r="G2508" s="3"/>
      <c r="H2508"/>
      <c r="I2508"/>
      <c r="J2508" s="4"/>
      <c r="K2508" s="39" t="s">
        <v>429</v>
      </c>
    </row>
    <row r="2509" spans="1:11" ht="17.25" hidden="1">
      <c r="A2509" s="134"/>
      <c r="E2509" s="149"/>
      <c r="F2509"/>
      <c r="G2509" s="3"/>
      <c r="H2509" t="s">
        <v>2357</v>
      </c>
      <c r="I2509"/>
      <c r="J2509" s="4"/>
      <c r="K2509">
        <f>SUM(K2505:K2508)</f>
        <v>521</v>
      </c>
    </row>
    <row r="2510" spans="1:11" ht="17.25" hidden="1">
      <c r="A2510" s="134"/>
      <c r="E2510" s="149"/>
      <c r="F2510"/>
      <c r="G2510" s="3"/>
      <c r="H2510" t="s">
        <v>2358</v>
      </c>
      <c r="I2510"/>
      <c r="J2510" s="4"/>
      <c r="K2510">
        <f>K2509/8</f>
        <v>65.13</v>
      </c>
    </row>
    <row r="2511" spans="1:11" ht="17.25" hidden="1">
      <c r="A2511" s="134"/>
      <c r="E2511" s="149"/>
      <c r="F2511"/>
      <c r="G2511" s="3"/>
      <c r="H2511"/>
      <c r="I2511"/>
      <c r="J2511" s="4"/>
      <c r="K2511"/>
    </row>
    <row r="2512" spans="1:11" ht="17.25" hidden="1">
      <c r="A2512" s="134"/>
      <c r="E2512" s="149"/>
      <c r="F2512"/>
      <c r="G2512" s="3"/>
      <c r="H2512"/>
      <c r="I2512"/>
      <c r="J2512" s="4"/>
      <c r="K2512" s="39"/>
    </row>
    <row r="2513" spans="1:11" ht="17.25" hidden="1">
      <c r="A2513" s="134"/>
      <c r="E2513" s="149"/>
      <c r="F2513" s="2" t="s">
        <v>3368</v>
      </c>
      <c r="G2513" s="7" t="s">
        <v>2276</v>
      </c>
      <c r="H2513" s="1" t="s">
        <v>2202</v>
      </c>
      <c r="I2513"/>
      <c r="J2513" s="4"/>
      <c r="K2513"/>
    </row>
    <row r="2514" spans="1:11" ht="17.25" hidden="1">
      <c r="A2514" s="134"/>
      <c r="E2514" s="149"/>
      <c r="F2514"/>
      <c r="G2514" s="3"/>
      <c r="H2514" s="1" t="s">
        <v>2204</v>
      </c>
      <c r="I2514"/>
      <c r="J2514" s="4"/>
      <c r="K2514"/>
    </row>
    <row r="2515" spans="1:11" ht="17.25" hidden="1">
      <c r="A2515" s="134"/>
      <c r="E2515" s="149"/>
      <c r="F2515"/>
      <c r="G2515" s="3"/>
      <c r="H2515" s="1" t="s">
        <v>2205</v>
      </c>
      <c r="I2515"/>
      <c r="J2515" s="4"/>
      <c r="K2515"/>
    </row>
    <row r="2516" spans="1:11" ht="17.25" hidden="1">
      <c r="A2516" s="134"/>
      <c r="E2516" s="149"/>
      <c r="F2516"/>
      <c r="G2516" s="3"/>
      <c r="H2516" s="1" t="s">
        <v>2206</v>
      </c>
      <c r="I2516"/>
      <c r="J2516" s="4"/>
      <c r="K2516"/>
    </row>
    <row r="2517" spans="1:11" ht="17.25" hidden="1">
      <c r="A2517" s="134"/>
      <c r="E2517" s="149"/>
      <c r="F2517"/>
      <c r="G2517" s="3"/>
      <c r="H2517" s="1" t="s">
        <v>2207</v>
      </c>
      <c r="I2517"/>
      <c r="J2517" s="4"/>
      <c r="K2517"/>
    </row>
    <row r="2518" spans="1:11" ht="17.25" hidden="1">
      <c r="A2518" s="134"/>
      <c r="E2518" s="149"/>
      <c r="F2518"/>
      <c r="G2518" s="3"/>
      <c r="H2518" s="1" t="s">
        <v>2208</v>
      </c>
      <c r="I2518"/>
      <c r="J2518" s="4"/>
      <c r="K2518"/>
    </row>
    <row r="2519" spans="1:11" ht="17.25" hidden="1">
      <c r="A2519" s="134"/>
      <c r="E2519" s="149"/>
      <c r="F2519"/>
      <c r="G2519" s="3"/>
      <c r="H2519" s="5" t="s">
        <v>1609</v>
      </c>
      <c r="I2519"/>
      <c r="J2519" s="4"/>
      <c r="K2519"/>
    </row>
    <row r="2520" spans="1:11" ht="17.25" hidden="1">
      <c r="A2520" s="134"/>
      <c r="E2520" s="149"/>
      <c r="F2520" s="2"/>
      <c r="G2520" s="7"/>
      <c r="H2520" s="1" t="s">
        <v>1839</v>
      </c>
      <c r="I2520"/>
      <c r="J2520" s="4"/>
      <c r="K2520" s="1" t="s">
        <v>987</v>
      </c>
    </row>
    <row r="2521" spans="1:11" ht="17.25" hidden="1">
      <c r="A2521" s="134"/>
      <c r="E2521" s="149"/>
      <c r="F2521"/>
      <c r="G2521" s="3"/>
      <c r="H2521" s="5" t="s">
        <v>1609</v>
      </c>
      <c r="I2521"/>
      <c r="J2521" s="4"/>
      <c r="K2521"/>
    </row>
    <row r="2522" spans="1:11" ht="17.25" hidden="1">
      <c r="A2522" s="134"/>
      <c r="E2522" s="149"/>
      <c r="F2522" s="16">
        <v>1.153E-2</v>
      </c>
      <c r="G2522" s="7" t="s">
        <v>878</v>
      </c>
      <c r="H2522" s="1" t="s">
        <v>698</v>
      </c>
      <c r="I2522" s="8">
        <f t="shared" ref="I2522:I2531" si="81">I1011</f>
        <v>65420</v>
      </c>
      <c r="J2522" s="2" t="s">
        <v>878</v>
      </c>
      <c r="K2522" s="8">
        <f t="shared" ref="K2522:K2531" si="82">(F2522*I2522)</f>
        <v>754.29</v>
      </c>
    </row>
    <row r="2523" spans="1:11" ht="17.25" hidden="1">
      <c r="A2523" s="134"/>
      <c r="E2523" s="149"/>
      <c r="F2523" s="16">
        <v>1.52E-2</v>
      </c>
      <c r="G2523" s="7" t="s">
        <v>878</v>
      </c>
      <c r="H2523" s="1" t="s">
        <v>699</v>
      </c>
      <c r="I2523" s="8">
        <f t="shared" si="81"/>
        <v>57165</v>
      </c>
      <c r="J2523" s="2" t="s">
        <v>878</v>
      </c>
      <c r="K2523" s="8">
        <f t="shared" si="82"/>
        <v>868.91</v>
      </c>
    </row>
    <row r="2524" spans="1:11" hidden="1">
      <c r="A2524" s="134"/>
      <c r="F2524" s="16">
        <v>1.2787999999999999</v>
      </c>
      <c r="G2524" s="7" t="s">
        <v>615</v>
      </c>
      <c r="H2524" s="1" t="s">
        <v>2117</v>
      </c>
      <c r="I2524" s="8">
        <f t="shared" si="81"/>
        <v>381.37</v>
      </c>
      <c r="J2524" s="2" t="s">
        <v>615</v>
      </c>
      <c r="K2524" s="8">
        <f t="shared" si="82"/>
        <v>487.7</v>
      </c>
    </row>
    <row r="2525" spans="1:11" hidden="1">
      <c r="A2525" s="134"/>
      <c r="F2525" s="16">
        <v>1.845</v>
      </c>
      <c r="G2525" s="7" t="s">
        <v>615</v>
      </c>
      <c r="H2525" s="1" t="s">
        <v>2118</v>
      </c>
      <c r="I2525" s="8">
        <f t="shared" si="81"/>
        <v>287</v>
      </c>
      <c r="J2525" s="2" t="s">
        <v>615</v>
      </c>
      <c r="K2525" s="8">
        <f t="shared" si="82"/>
        <v>529.52</v>
      </c>
    </row>
    <row r="2526" spans="1:11" hidden="1">
      <c r="A2526" s="134"/>
      <c r="F2526" s="8">
        <v>2</v>
      </c>
      <c r="G2526" s="7" t="s">
        <v>877</v>
      </c>
      <c r="H2526" s="1" t="s">
        <v>2119</v>
      </c>
      <c r="I2526" s="8">
        <f t="shared" si="81"/>
        <v>30</v>
      </c>
      <c r="J2526" s="2" t="s">
        <v>877</v>
      </c>
      <c r="K2526" s="8">
        <f t="shared" si="82"/>
        <v>60</v>
      </c>
    </row>
    <row r="2527" spans="1:11" hidden="1">
      <c r="A2527" s="134"/>
      <c r="F2527" s="8">
        <v>3</v>
      </c>
      <c r="G2527" s="7" t="s">
        <v>877</v>
      </c>
      <c r="H2527" s="1" t="s">
        <v>1539</v>
      </c>
      <c r="I2527" s="8">
        <f t="shared" si="81"/>
        <v>45</v>
      </c>
      <c r="J2527" s="2" t="s">
        <v>877</v>
      </c>
      <c r="K2527" s="8">
        <f t="shared" si="82"/>
        <v>135</v>
      </c>
    </row>
    <row r="2528" spans="1:11" hidden="1">
      <c r="A2528" s="134"/>
      <c r="F2528" s="8">
        <v>1</v>
      </c>
      <c r="G2528" s="7" t="s">
        <v>877</v>
      </c>
      <c r="H2528" s="1" t="s">
        <v>2004</v>
      </c>
      <c r="I2528" s="8">
        <f t="shared" si="81"/>
        <v>95</v>
      </c>
      <c r="J2528" s="2" t="s">
        <v>877</v>
      </c>
      <c r="K2528" s="8">
        <f t="shared" si="82"/>
        <v>95</v>
      </c>
    </row>
    <row r="2529" spans="1:11" hidden="1">
      <c r="A2529" s="134"/>
      <c r="F2529" s="8">
        <v>1</v>
      </c>
      <c r="G2529" s="7" t="s">
        <v>877</v>
      </c>
      <c r="H2529" s="1" t="s">
        <v>2005</v>
      </c>
      <c r="I2529" s="8">
        <f t="shared" si="81"/>
        <v>8</v>
      </c>
      <c r="J2529" s="2" t="s">
        <v>877</v>
      </c>
      <c r="K2529" s="8">
        <f t="shared" si="82"/>
        <v>8</v>
      </c>
    </row>
    <row r="2530" spans="1:11" hidden="1">
      <c r="A2530" s="134"/>
      <c r="F2530" s="8">
        <v>1</v>
      </c>
      <c r="G2530" s="7" t="s">
        <v>877</v>
      </c>
      <c r="H2530" s="1" t="s">
        <v>2006</v>
      </c>
      <c r="I2530" s="8">
        <f t="shared" si="81"/>
        <v>30</v>
      </c>
      <c r="J2530" s="2" t="s">
        <v>877</v>
      </c>
      <c r="K2530" s="8">
        <f t="shared" si="82"/>
        <v>30</v>
      </c>
    </row>
    <row r="2531" spans="1:11" hidden="1">
      <c r="A2531" s="134"/>
      <c r="F2531" s="8">
        <v>1</v>
      </c>
      <c r="G2531" s="7" t="s">
        <v>877</v>
      </c>
      <c r="H2531" s="1" t="s">
        <v>2007</v>
      </c>
      <c r="I2531" s="8">
        <f t="shared" si="81"/>
        <v>25</v>
      </c>
      <c r="J2531" s="2" t="s">
        <v>877</v>
      </c>
      <c r="K2531" s="8">
        <f t="shared" si="82"/>
        <v>25</v>
      </c>
    </row>
    <row r="2532" spans="1:11" hidden="1">
      <c r="A2532" s="134"/>
      <c r="F2532"/>
      <c r="G2532" s="3"/>
      <c r="H2532"/>
      <c r="I2532"/>
      <c r="J2532" s="4"/>
      <c r="K2532" s="5" t="s">
        <v>1609</v>
      </c>
    </row>
    <row r="2533" spans="1:11" hidden="1">
      <c r="A2533" s="134"/>
      <c r="F2533"/>
      <c r="G2533" s="3"/>
      <c r="H2533" s="2" t="s">
        <v>458</v>
      </c>
      <c r="I2533"/>
      <c r="J2533" s="4"/>
      <c r="K2533" s="8">
        <f>SUM(K2522:K2532)</f>
        <v>2993.42</v>
      </c>
    </row>
    <row r="2534" spans="1:11" hidden="1">
      <c r="A2534" s="134"/>
      <c r="F2534"/>
      <c r="G2534" s="7" t="s">
        <v>987</v>
      </c>
      <c r="H2534"/>
      <c r="I2534"/>
      <c r="J2534" s="4"/>
      <c r="K2534" s="5" t="s">
        <v>1609</v>
      </c>
    </row>
    <row r="2535" spans="1:11" hidden="1">
      <c r="A2535" s="134"/>
      <c r="F2535"/>
      <c r="G2535" s="3"/>
      <c r="H2535" s="2" t="s">
        <v>556</v>
      </c>
      <c r="I2535"/>
      <c r="J2535" s="4"/>
      <c r="K2535" s="8">
        <f>K2533/F2525</f>
        <v>1622.45</v>
      </c>
    </row>
    <row r="2536" spans="1:11" hidden="1">
      <c r="A2536" s="134"/>
      <c r="F2536"/>
      <c r="G2536" s="3"/>
      <c r="H2536"/>
      <c r="I2536"/>
      <c r="J2536" s="4"/>
      <c r="K2536" s="5" t="s">
        <v>2080</v>
      </c>
    </row>
    <row r="2537" spans="1:11" hidden="1">
      <c r="A2537" s="134"/>
      <c r="F2537" s="20">
        <v>98.1</v>
      </c>
      <c r="G2537" s="7" t="s">
        <v>2276</v>
      </c>
      <c r="H2537" s="1" t="s">
        <v>3369</v>
      </c>
      <c r="I2537"/>
      <c r="J2537" s="4"/>
      <c r="K2537"/>
    </row>
    <row r="2538" spans="1:11" hidden="1">
      <c r="A2538" s="134"/>
      <c r="F2538"/>
      <c r="G2538" s="3"/>
      <c r="H2538" s="1" t="s">
        <v>255</v>
      </c>
      <c r="I2538"/>
      <c r="J2538" s="4"/>
      <c r="K2538"/>
    </row>
    <row r="2539" spans="1:11" hidden="1">
      <c r="A2539" s="134"/>
      <c r="F2539"/>
      <c r="G2539" s="3"/>
      <c r="H2539" s="24" t="s">
        <v>2325</v>
      </c>
      <c r="I2539"/>
      <c r="J2539" s="4"/>
      <c r="K2539"/>
    </row>
    <row r="2540" spans="1:11" hidden="1">
      <c r="A2540" s="134"/>
      <c r="F2540"/>
      <c r="G2540" s="3"/>
      <c r="H2540" s="5" t="s">
        <v>1609</v>
      </c>
      <c r="I2540"/>
      <c r="J2540" s="4"/>
      <c r="K2540"/>
    </row>
    <row r="2541" spans="1:11" hidden="1">
      <c r="A2541" s="134"/>
      <c r="F2541"/>
      <c r="G2541" s="3"/>
      <c r="H2541" s="1" t="s">
        <v>2326</v>
      </c>
      <c r="I2541"/>
      <c r="J2541" s="199"/>
      <c r="K2541"/>
    </row>
    <row r="2542" spans="1:11" hidden="1">
      <c r="A2542" s="134"/>
      <c r="F2542"/>
      <c r="G2542" s="3"/>
      <c r="H2542" s="1" t="s">
        <v>2327</v>
      </c>
      <c r="I2542"/>
      <c r="J2542" s="4"/>
      <c r="K2542"/>
    </row>
    <row r="2543" spans="1:11" hidden="1">
      <c r="A2543" s="134"/>
      <c r="F2543"/>
      <c r="G2543" s="3"/>
      <c r="H2543"/>
      <c r="I2543"/>
      <c r="J2543" s="2" t="s">
        <v>1609</v>
      </c>
      <c r="K2543"/>
    </row>
    <row r="2544" spans="1:11" hidden="1">
      <c r="A2544" s="134"/>
      <c r="F2544"/>
      <c r="G2544" s="3"/>
      <c r="H2544" s="1" t="s">
        <v>2328</v>
      </c>
      <c r="I2544"/>
      <c r="J2544" s="4"/>
      <c r="K2544"/>
    </row>
    <row r="2545" spans="1:11" hidden="1">
      <c r="A2545" s="134"/>
      <c r="F2545"/>
      <c r="G2545" s="3"/>
      <c r="H2545" s="1" t="s">
        <v>2704</v>
      </c>
      <c r="I2545"/>
      <c r="J2545" s="4"/>
      <c r="K2545" s="12">
        <v>3.5400000000000001E-2</v>
      </c>
    </row>
    <row r="2546" spans="1:11" hidden="1">
      <c r="A2546" s="134"/>
      <c r="F2546"/>
      <c r="G2546" s="3"/>
      <c r="H2546"/>
      <c r="I2546"/>
      <c r="J2546" s="2" t="s">
        <v>987</v>
      </c>
      <c r="K2546" s="5" t="s">
        <v>1609</v>
      </c>
    </row>
    <row r="2547" spans="1:11" hidden="1">
      <c r="A2547" s="134"/>
      <c r="F2547"/>
      <c r="G2547" s="3"/>
      <c r="H2547" s="1" t="s">
        <v>2705</v>
      </c>
      <c r="I2547"/>
      <c r="J2547" s="137" t="s">
        <v>987</v>
      </c>
      <c r="K2547" s="12">
        <v>2.5899999999999999E-2</v>
      </c>
    </row>
    <row r="2548" spans="1:11" hidden="1">
      <c r="A2548" s="134"/>
      <c r="F2548"/>
      <c r="G2548" s="3"/>
      <c r="H2548" s="1" t="s">
        <v>2706</v>
      </c>
      <c r="I2548"/>
      <c r="J2548" s="2" t="s">
        <v>987</v>
      </c>
      <c r="K2548" s="12">
        <v>6.4999999999999997E-3</v>
      </c>
    </row>
    <row r="2549" spans="1:11" hidden="1">
      <c r="A2549" s="134"/>
      <c r="F2549"/>
      <c r="G2549" s="3"/>
      <c r="H2549"/>
      <c r="I2549"/>
      <c r="J2549" s="4"/>
      <c r="K2549" s="5" t="s">
        <v>1609</v>
      </c>
    </row>
    <row r="2550" spans="1:11" hidden="1">
      <c r="A2550" s="134"/>
      <c r="F2550"/>
      <c r="G2550" s="3"/>
      <c r="H2550"/>
      <c r="I2550"/>
      <c r="J2550" s="4"/>
      <c r="K2550" s="12">
        <v>3.2300000000000002E-2</v>
      </c>
    </row>
    <row r="2551" spans="1:11" hidden="1">
      <c r="A2551" s="134"/>
      <c r="F2551"/>
      <c r="G2551" s="3"/>
      <c r="H2551"/>
      <c r="I2551"/>
      <c r="J2551" s="4"/>
      <c r="K2551" s="5" t="s">
        <v>1609</v>
      </c>
    </row>
    <row r="2552" spans="1:11" hidden="1">
      <c r="A2552" s="134"/>
      <c r="F2552"/>
      <c r="G2552" s="3"/>
      <c r="H2552"/>
      <c r="I2552"/>
      <c r="J2552" s="4"/>
      <c r="K2552"/>
    </row>
    <row r="2553" spans="1:11" hidden="1">
      <c r="A2553" s="134"/>
      <c r="F2553"/>
      <c r="G2553" s="3"/>
      <c r="H2553"/>
      <c r="I2553"/>
      <c r="J2553" s="4"/>
      <c r="K2553"/>
    </row>
    <row r="2554" spans="1:11" hidden="1">
      <c r="A2554" s="134"/>
      <c r="F2554" s="12">
        <v>2.2800000000000001E-2</v>
      </c>
      <c r="G2554" s="7" t="s">
        <v>878</v>
      </c>
      <c r="H2554" s="1" t="s">
        <v>309</v>
      </c>
      <c r="I2554" s="8">
        <f>I910</f>
        <v>65420</v>
      </c>
      <c r="J2554" s="2" t="s">
        <v>878</v>
      </c>
      <c r="K2554" s="8">
        <f t="shared" ref="K2554:K2564" si="83">(F2554*I2554)</f>
        <v>1491.58</v>
      </c>
    </row>
    <row r="2555" spans="1:11" hidden="1">
      <c r="A2555" s="134"/>
      <c r="F2555" s="12">
        <v>3.5400000000000001E-2</v>
      </c>
      <c r="G2555" s="7" t="s">
        <v>878</v>
      </c>
      <c r="H2555" s="1" t="s">
        <v>310</v>
      </c>
      <c r="I2555" s="8">
        <f>I911</f>
        <v>57165</v>
      </c>
      <c r="J2555" s="2" t="s">
        <v>878</v>
      </c>
      <c r="K2555" s="8">
        <f t="shared" si="83"/>
        <v>2023.64</v>
      </c>
    </row>
    <row r="2556" spans="1:11" hidden="1">
      <c r="A2556" s="134"/>
      <c r="F2556" s="12">
        <v>3.2300000000000002E-2</v>
      </c>
      <c r="G2556" s="7" t="s">
        <v>878</v>
      </c>
      <c r="H2556" s="1" t="s">
        <v>311</v>
      </c>
      <c r="I2556" s="8">
        <f>I912</f>
        <v>63870</v>
      </c>
      <c r="J2556" s="2" t="s">
        <v>878</v>
      </c>
      <c r="K2556" s="8">
        <f t="shared" si="83"/>
        <v>2063</v>
      </c>
    </row>
    <row r="2557" spans="1:11" hidden="1">
      <c r="A2557" s="134"/>
      <c r="F2557" s="13"/>
      <c r="G2557" s="3"/>
      <c r="H2557" s="1" t="s">
        <v>956</v>
      </c>
      <c r="I2557" s="8"/>
      <c r="J2557" s="4"/>
      <c r="K2557" s="8">
        <f t="shared" si="83"/>
        <v>0</v>
      </c>
    </row>
    <row r="2558" spans="1:11" hidden="1">
      <c r="A2558" s="134"/>
      <c r="F2558" s="13">
        <v>2.835</v>
      </c>
      <c r="G2558" s="7" t="s">
        <v>615</v>
      </c>
      <c r="H2558" s="1" t="s">
        <v>448</v>
      </c>
      <c r="I2558" s="8">
        <f t="shared" ref="I2558:I2564" si="84">I914</f>
        <v>342</v>
      </c>
      <c r="J2558" s="2" t="s">
        <v>615</v>
      </c>
      <c r="K2558" s="8">
        <f t="shared" si="83"/>
        <v>969.57</v>
      </c>
    </row>
    <row r="2559" spans="1:11" hidden="1">
      <c r="A2559" s="134"/>
      <c r="F2559" s="8">
        <v>2</v>
      </c>
      <c r="G2559" s="7" t="s">
        <v>778</v>
      </c>
      <c r="H2559" s="1" t="s">
        <v>1485</v>
      </c>
      <c r="I2559" s="8">
        <f t="shared" si="84"/>
        <v>30</v>
      </c>
      <c r="J2559" s="2" t="s">
        <v>877</v>
      </c>
      <c r="K2559" s="8">
        <f t="shared" si="83"/>
        <v>60</v>
      </c>
    </row>
    <row r="2560" spans="1:11" hidden="1">
      <c r="A2560" s="134"/>
      <c r="F2560" s="8">
        <v>6</v>
      </c>
      <c r="G2560" s="7" t="s">
        <v>877</v>
      </c>
      <c r="H2560" s="1" t="s">
        <v>1486</v>
      </c>
      <c r="I2560" s="8">
        <f t="shared" si="84"/>
        <v>45</v>
      </c>
      <c r="J2560" s="2" t="s">
        <v>877</v>
      </c>
      <c r="K2560" s="8">
        <f t="shared" si="83"/>
        <v>270</v>
      </c>
    </row>
    <row r="2561" spans="1:11" hidden="1">
      <c r="A2561" s="134"/>
      <c r="F2561" s="8">
        <v>4</v>
      </c>
      <c r="G2561" s="7" t="s">
        <v>877</v>
      </c>
      <c r="H2561" s="1" t="s">
        <v>1487</v>
      </c>
      <c r="I2561" s="8">
        <f t="shared" si="84"/>
        <v>30</v>
      </c>
      <c r="J2561" s="2" t="s">
        <v>877</v>
      </c>
      <c r="K2561" s="8">
        <f t="shared" si="83"/>
        <v>120</v>
      </c>
    </row>
    <row r="2562" spans="1:11" hidden="1">
      <c r="A2562" s="134"/>
      <c r="F2562" s="8">
        <v>1</v>
      </c>
      <c r="G2562" s="7" t="s">
        <v>877</v>
      </c>
      <c r="H2562" s="1" t="s">
        <v>1488</v>
      </c>
      <c r="I2562" s="8">
        <f t="shared" si="84"/>
        <v>95</v>
      </c>
      <c r="J2562" s="2" t="s">
        <v>877</v>
      </c>
      <c r="K2562" s="8">
        <f t="shared" si="83"/>
        <v>95</v>
      </c>
    </row>
    <row r="2563" spans="1:11" hidden="1">
      <c r="A2563" s="134"/>
      <c r="F2563" s="8">
        <v>2</v>
      </c>
      <c r="G2563" s="7" t="s">
        <v>877</v>
      </c>
      <c r="H2563" s="1" t="s">
        <v>1489</v>
      </c>
      <c r="I2563" s="8">
        <f t="shared" si="84"/>
        <v>8</v>
      </c>
      <c r="J2563" s="2" t="s">
        <v>877</v>
      </c>
      <c r="K2563" s="8">
        <f t="shared" si="83"/>
        <v>16</v>
      </c>
    </row>
    <row r="2564" spans="1:11" hidden="1">
      <c r="A2564" s="134"/>
      <c r="F2564" s="8">
        <v>2</v>
      </c>
      <c r="G2564" s="7" t="s">
        <v>877</v>
      </c>
      <c r="H2564" s="1" t="s">
        <v>2007</v>
      </c>
      <c r="I2564" s="8">
        <f t="shared" si="84"/>
        <v>25</v>
      </c>
      <c r="J2564" s="2" t="s">
        <v>877</v>
      </c>
      <c r="K2564" s="8">
        <f t="shared" si="83"/>
        <v>50</v>
      </c>
    </row>
    <row r="2565" spans="1:11" hidden="1">
      <c r="A2565" s="134"/>
      <c r="F2565"/>
      <c r="G2565" s="3"/>
      <c r="H2565"/>
      <c r="I2565"/>
      <c r="J2565" s="4"/>
      <c r="K2565" s="5" t="s">
        <v>1609</v>
      </c>
    </row>
    <row r="2566" spans="1:11" hidden="1">
      <c r="A2566" s="134"/>
      <c r="F2566"/>
      <c r="G2566" s="3"/>
      <c r="H2566" s="1" t="s">
        <v>3370</v>
      </c>
      <c r="I2566"/>
      <c r="J2566" s="4"/>
      <c r="K2566" s="8">
        <f>SUM(K2554:K2564)</f>
        <v>7158.79</v>
      </c>
    </row>
    <row r="2567" spans="1:11" hidden="1">
      <c r="A2567" s="134"/>
      <c r="F2567"/>
      <c r="G2567" s="3"/>
      <c r="H2567"/>
      <c r="I2567"/>
      <c r="J2567" s="4"/>
      <c r="K2567" s="5" t="s">
        <v>1609</v>
      </c>
    </row>
    <row r="2568" spans="1:11" hidden="1">
      <c r="A2568" s="134"/>
      <c r="F2568"/>
      <c r="G2568" s="3"/>
      <c r="H2568" s="1" t="s">
        <v>556</v>
      </c>
      <c r="I2568"/>
      <c r="J2568" s="4"/>
      <c r="K2568" s="8">
        <f>K2566/F2558</f>
        <v>2525.15</v>
      </c>
    </row>
    <row r="2569" spans="1:11" hidden="1">
      <c r="A2569" s="134"/>
      <c r="F2569"/>
      <c r="G2569" s="3"/>
      <c r="H2569" s="1"/>
      <c r="I2569"/>
      <c r="J2569" s="4"/>
      <c r="K2569" s="5" t="s">
        <v>2080</v>
      </c>
    </row>
    <row r="2570" spans="1:11" hidden="1">
      <c r="A2570" s="134"/>
      <c r="F2570"/>
      <c r="G2570" s="3"/>
      <c r="H2570" s="24" t="s">
        <v>714</v>
      </c>
      <c r="I2570"/>
      <c r="J2570" s="4"/>
      <c r="K2570"/>
    </row>
    <row r="2571" spans="1:11" hidden="1">
      <c r="A2571" s="134"/>
      <c r="F2571"/>
      <c r="G2571" s="3"/>
      <c r="H2571" s="5" t="s">
        <v>1609</v>
      </c>
      <c r="I2571"/>
      <c r="J2571" s="4"/>
      <c r="K2571"/>
    </row>
    <row r="2572" spans="1:11" hidden="1">
      <c r="A2572" s="134"/>
      <c r="F2572"/>
      <c r="G2572" s="3"/>
      <c r="H2572" s="1" t="s">
        <v>423</v>
      </c>
      <c r="I2572"/>
      <c r="J2572" s="199"/>
      <c r="K2572"/>
    </row>
    <row r="2573" spans="1:11" hidden="1">
      <c r="A2573" s="134"/>
      <c r="F2573"/>
      <c r="G2573" s="3"/>
      <c r="H2573" s="1" t="s">
        <v>2327</v>
      </c>
      <c r="I2573"/>
      <c r="J2573" s="4"/>
      <c r="K2573"/>
    </row>
    <row r="2574" spans="1:11" hidden="1">
      <c r="A2574" s="134"/>
      <c r="F2574"/>
      <c r="G2574" s="3"/>
      <c r="H2574"/>
      <c r="I2574"/>
      <c r="J2574" s="2" t="s">
        <v>1609</v>
      </c>
      <c r="K2574"/>
    </row>
    <row r="2575" spans="1:11" hidden="1">
      <c r="A2575" s="134"/>
      <c r="F2575"/>
      <c r="G2575" s="3"/>
      <c r="H2575" s="1" t="s">
        <v>3371</v>
      </c>
      <c r="I2575"/>
      <c r="J2575" s="4"/>
      <c r="K2575"/>
    </row>
    <row r="2576" spans="1:11" hidden="1">
      <c r="A2576" s="134"/>
      <c r="F2576"/>
      <c r="G2576" s="3"/>
      <c r="H2576" s="1" t="s">
        <v>3372</v>
      </c>
      <c r="I2576"/>
      <c r="J2576" s="4"/>
      <c r="K2576" s="12">
        <v>2.5000000000000001E-2</v>
      </c>
    </row>
    <row r="2577" spans="1:11" hidden="1">
      <c r="A2577" s="134"/>
      <c r="F2577"/>
      <c r="G2577" s="3"/>
      <c r="H2577"/>
      <c r="I2577"/>
      <c r="J2577" s="2" t="s">
        <v>987</v>
      </c>
      <c r="K2577" s="5" t="s">
        <v>1609</v>
      </c>
    </row>
    <row r="2578" spans="1:11" hidden="1">
      <c r="A2578" s="134"/>
      <c r="F2578"/>
      <c r="G2578" s="3"/>
      <c r="H2578" s="1" t="s">
        <v>3373</v>
      </c>
      <c r="I2578"/>
      <c r="J2578" s="137" t="s">
        <v>987</v>
      </c>
      <c r="K2578" s="12">
        <v>1.7850000000000001E-2</v>
      </c>
    </row>
    <row r="2579" spans="1:11" hidden="1">
      <c r="A2579" s="134"/>
      <c r="F2579"/>
      <c r="G2579" s="3"/>
      <c r="H2579" s="1" t="s">
        <v>3104</v>
      </c>
      <c r="I2579"/>
      <c r="J2579" s="2" t="s">
        <v>987</v>
      </c>
      <c r="K2579" s="12">
        <v>1.4500000000000001E-2</v>
      </c>
    </row>
    <row r="2580" spans="1:11" hidden="1">
      <c r="A2580" s="134"/>
      <c r="F2580"/>
      <c r="G2580" s="3"/>
      <c r="H2580"/>
      <c r="I2580"/>
      <c r="J2580" s="4"/>
      <c r="K2580" s="5" t="s">
        <v>1609</v>
      </c>
    </row>
    <row r="2581" spans="1:11" hidden="1">
      <c r="A2581" s="134"/>
      <c r="F2581"/>
      <c r="G2581" s="3"/>
      <c r="H2581"/>
      <c r="I2581"/>
      <c r="J2581" s="4"/>
      <c r="K2581" s="12">
        <v>2.23E-2</v>
      </c>
    </row>
    <row r="2582" spans="1:11" hidden="1">
      <c r="A2582" s="134"/>
      <c r="F2582"/>
      <c r="G2582" s="3"/>
      <c r="H2582"/>
      <c r="I2582"/>
      <c r="J2582" s="4"/>
      <c r="K2582" s="5" t="s">
        <v>1609</v>
      </c>
    </row>
    <row r="2583" spans="1:11" hidden="1">
      <c r="A2583" s="134"/>
      <c r="F2583"/>
      <c r="G2583" s="3"/>
      <c r="H2583"/>
      <c r="I2583"/>
      <c r="J2583" s="4"/>
      <c r="K2583"/>
    </row>
    <row r="2584" spans="1:11" hidden="1">
      <c r="A2584" s="134"/>
      <c r="F2584"/>
      <c r="G2584" s="3"/>
      <c r="H2584"/>
      <c r="I2584"/>
      <c r="J2584" s="4"/>
      <c r="K2584"/>
    </row>
    <row r="2585" spans="1:11" hidden="1">
      <c r="A2585" s="134"/>
      <c r="F2585" s="12">
        <v>2.2800000000000001E-2</v>
      </c>
      <c r="G2585" s="7" t="s">
        <v>878</v>
      </c>
      <c r="H2585" s="1" t="s">
        <v>309</v>
      </c>
      <c r="I2585" s="8">
        <f>I2554</f>
        <v>65420</v>
      </c>
      <c r="J2585" s="2" t="s">
        <v>878</v>
      </c>
      <c r="K2585" s="8">
        <f>(F2585*I2585)</f>
        <v>1491.58</v>
      </c>
    </row>
    <row r="2586" spans="1:11" hidden="1">
      <c r="A2586" s="134"/>
      <c r="F2586" s="12">
        <v>2.5000000000000001E-2</v>
      </c>
      <c r="G2586" s="7" t="s">
        <v>878</v>
      </c>
      <c r="H2586" s="1" t="s">
        <v>310</v>
      </c>
      <c r="I2586" s="8">
        <f>I2555</f>
        <v>57165</v>
      </c>
      <c r="J2586" s="2" t="s">
        <v>878</v>
      </c>
      <c r="K2586" s="8">
        <f>(F2586*I2586)</f>
        <v>1429.13</v>
      </c>
    </row>
    <row r="2587" spans="1:11" hidden="1">
      <c r="A2587" s="134"/>
      <c r="F2587" s="12">
        <v>2.23E-2</v>
      </c>
      <c r="G2587" s="7" t="s">
        <v>878</v>
      </c>
      <c r="H2587" s="1" t="s">
        <v>311</v>
      </c>
      <c r="I2587" s="8">
        <f>I2556</f>
        <v>63870</v>
      </c>
      <c r="J2587" s="2" t="s">
        <v>878</v>
      </c>
      <c r="K2587" s="8">
        <f>(F2587*I2587)</f>
        <v>1424.3</v>
      </c>
    </row>
    <row r="2588" spans="1:11" hidden="1">
      <c r="A2588" s="134"/>
      <c r="F2588" s="13"/>
      <c r="G2588" s="3"/>
      <c r="H2588" s="1" t="s">
        <v>956</v>
      </c>
      <c r="I2588" s="8"/>
      <c r="J2588" s="4"/>
      <c r="K2588" s="1" t="s">
        <v>987</v>
      </c>
    </row>
    <row r="2589" spans="1:11" hidden="1">
      <c r="A2589" s="134"/>
      <c r="F2589" s="13">
        <v>2.2275</v>
      </c>
      <c r="G2589" s="7" t="s">
        <v>615</v>
      </c>
      <c r="H2589" s="1" t="s">
        <v>448</v>
      </c>
      <c r="I2589" s="8">
        <f t="shared" ref="I2589:I2595" si="85">I2558</f>
        <v>342</v>
      </c>
      <c r="J2589" s="2" t="s">
        <v>615</v>
      </c>
      <c r="K2589" s="8">
        <f t="shared" ref="K2589:K2595" si="86">(F2589*I2589)</f>
        <v>761.81</v>
      </c>
    </row>
    <row r="2590" spans="1:11" hidden="1">
      <c r="A2590" s="134"/>
      <c r="F2590" s="8">
        <v>2</v>
      </c>
      <c r="G2590" s="7" t="s">
        <v>778</v>
      </c>
      <c r="H2590" s="1" t="s">
        <v>1485</v>
      </c>
      <c r="I2590" s="8">
        <f t="shared" si="85"/>
        <v>30</v>
      </c>
      <c r="J2590" s="2" t="s">
        <v>877</v>
      </c>
      <c r="K2590" s="8">
        <f t="shared" si="86"/>
        <v>60</v>
      </c>
    </row>
    <row r="2591" spans="1:11" hidden="1">
      <c r="A2591" s="134"/>
      <c r="F2591" s="8">
        <v>6</v>
      </c>
      <c r="G2591" s="7" t="s">
        <v>877</v>
      </c>
      <c r="H2591" s="1" t="s">
        <v>1486</v>
      </c>
      <c r="I2591" s="8">
        <f t="shared" si="85"/>
        <v>45</v>
      </c>
      <c r="J2591" s="2" t="s">
        <v>877</v>
      </c>
      <c r="K2591" s="8">
        <f t="shared" si="86"/>
        <v>270</v>
      </c>
    </row>
    <row r="2592" spans="1:11" hidden="1">
      <c r="A2592" s="134"/>
      <c r="F2592" s="8">
        <v>4</v>
      </c>
      <c r="G2592" s="7" t="s">
        <v>877</v>
      </c>
      <c r="H2592" s="1" t="s">
        <v>1487</v>
      </c>
      <c r="I2592" s="8">
        <f t="shared" si="85"/>
        <v>30</v>
      </c>
      <c r="J2592" s="2" t="s">
        <v>877</v>
      </c>
      <c r="K2592" s="8">
        <f t="shared" si="86"/>
        <v>120</v>
      </c>
    </row>
    <row r="2593" spans="1:11" hidden="1">
      <c r="A2593" s="134"/>
      <c r="F2593" s="8">
        <v>1</v>
      </c>
      <c r="G2593" s="7" t="s">
        <v>877</v>
      </c>
      <c r="H2593" s="1" t="s">
        <v>1488</v>
      </c>
      <c r="I2593" s="8">
        <f t="shared" si="85"/>
        <v>95</v>
      </c>
      <c r="J2593" s="2" t="s">
        <v>877</v>
      </c>
      <c r="K2593" s="8">
        <f t="shared" si="86"/>
        <v>95</v>
      </c>
    </row>
    <row r="2594" spans="1:11" hidden="1">
      <c r="A2594" s="134"/>
      <c r="F2594" s="8">
        <v>2</v>
      </c>
      <c r="G2594" s="7" t="s">
        <v>877</v>
      </c>
      <c r="H2594" s="1" t="s">
        <v>1489</v>
      </c>
      <c r="I2594" s="8">
        <f t="shared" si="85"/>
        <v>8</v>
      </c>
      <c r="J2594" s="2" t="s">
        <v>877</v>
      </c>
      <c r="K2594" s="8">
        <f t="shared" si="86"/>
        <v>16</v>
      </c>
    </row>
    <row r="2595" spans="1:11" hidden="1">
      <c r="A2595" s="134"/>
      <c r="F2595" s="8">
        <v>2</v>
      </c>
      <c r="G2595" s="7" t="s">
        <v>877</v>
      </c>
      <c r="H2595" s="1" t="s">
        <v>2007</v>
      </c>
      <c r="I2595" s="8">
        <f t="shared" si="85"/>
        <v>25</v>
      </c>
      <c r="J2595" s="2" t="s">
        <v>877</v>
      </c>
      <c r="K2595" s="8">
        <f t="shared" si="86"/>
        <v>50</v>
      </c>
    </row>
    <row r="2596" spans="1:11" hidden="1">
      <c r="A2596" s="134"/>
      <c r="F2596"/>
      <c r="G2596" s="3"/>
      <c r="H2596"/>
      <c r="I2596"/>
      <c r="J2596" s="4"/>
      <c r="K2596" s="5" t="s">
        <v>1609</v>
      </c>
    </row>
    <row r="2597" spans="1:11" hidden="1">
      <c r="A2597" s="134"/>
      <c r="F2597"/>
      <c r="G2597" s="3"/>
      <c r="H2597" s="1" t="s">
        <v>767</v>
      </c>
      <c r="I2597"/>
      <c r="J2597" s="4"/>
      <c r="K2597" s="8">
        <f>SUM(K2585:K2595)</f>
        <v>5717.82</v>
      </c>
    </row>
    <row r="2598" spans="1:11" hidden="1">
      <c r="A2598" s="134"/>
      <c r="F2598"/>
      <c r="G2598" s="3"/>
      <c r="H2598"/>
      <c r="I2598"/>
      <c r="J2598" s="4"/>
      <c r="K2598" s="5" t="s">
        <v>1609</v>
      </c>
    </row>
    <row r="2599" spans="1:11" hidden="1">
      <c r="A2599" s="134"/>
      <c r="F2599"/>
      <c r="G2599" s="3"/>
      <c r="H2599" s="1" t="s">
        <v>556</v>
      </c>
      <c r="I2599"/>
      <c r="J2599" s="4"/>
      <c r="K2599" s="8">
        <f>K2597/F2589</f>
        <v>2566.92</v>
      </c>
    </row>
    <row r="2600" spans="1:11" hidden="1">
      <c r="A2600" s="134"/>
      <c r="F2600"/>
      <c r="G2600" s="3"/>
      <c r="H2600" s="1"/>
      <c r="I2600"/>
      <c r="J2600" s="4"/>
      <c r="K2600" s="5" t="s">
        <v>2080</v>
      </c>
    </row>
    <row r="2601" spans="1:11" hidden="1">
      <c r="A2601" s="134"/>
      <c r="F2601"/>
      <c r="G2601" s="3"/>
      <c r="H2601"/>
      <c r="I2601"/>
      <c r="J2601" s="4"/>
      <c r="K2601"/>
    </row>
    <row r="2602" spans="1:11" hidden="1">
      <c r="A2602" s="134"/>
      <c r="F2602">
        <v>55.2</v>
      </c>
      <c r="G2602" s="3"/>
      <c r="H2602" s="4" t="s">
        <v>3105</v>
      </c>
      <c r="I2602"/>
      <c r="J2602" s="4"/>
      <c r="K2602"/>
    </row>
    <row r="2603" spans="1:11" hidden="1">
      <c r="A2603" s="134"/>
      <c r="F2603"/>
      <c r="G2603" s="3"/>
      <c r="H2603" s="200" t="s">
        <v>1609</v>
      </c>
      <c r="I2603"/>
      <c r="J2603" s="4"/>
      <c r="K2603"/>
    </row>
    <row r="2604" spans="1:11" hidden="1">
      <c r="A2604" s="134"/>
      <c r="F2604">
        <v>1</v>
      </c>
      <c r="G2604" s="3" t="s">
        <v>1414</v>
      </c>
      <c r="H2604" t="s">
        <v>3106</v>
      </c>
      <c r="I2604">
        <v>650</v>
      </c>
      <c r="J2604" s="4" t="s">
        <v>1414</v>
      </c>
      <c r="K2604">
        <f>F2604*I2604</f>
        <v>650</v>
      </c>
    </row>
    <row r="2605" spans="1:11" hidden="1">
      <c r="A2605" s="134"/>
      <c r="F2605">
        <v>0.5</v>
      </c>
      <c r="G2605" s="3" t="s">
        <v>1414</v>
      </c>
      <c r="H2605" t="s">
        <v>2087</v>
      </c>
      <c r="I2605">
        <f>C15</f>
        <v>130</v>
      </c>
      <c r="J2605" s="4" t="s">
        <v>1414</v>
      </c>
      <c r="K2605">
        <f>F2605*I2605</f>
        <v>65</v>
      </c>
    </row>
    <row r="2606" spans="1:11" hidden="1">
      <c r="A2606" s="134"/>
      <c r="F2606">
        <v>0.5</v>
      </c>
      <c r="G2606" s="3" t="s">
        <v>1414</v>
      </c>
      <c r="H2606" t="s">
        <v>3107</v>
      </c>
      <c r="I2606">
        <f>C10</f>
        <v>150</v>
      </c>
      <c r="J2606" s="4" t="s">
        <v>1414</v>
      </c>
      <c r="K2606">
        <f>F2606*I2606</f>
        <v>75</v>
      </c>
    </row>
    <row r="2607" spans="1:11" hidden="1">
      <c r="A2607" s="134"/>
      <c r="F2607">
        <v>0.5</v>
      </c>
      <c r="G2607" s="3" t="s">
        <v>1414</v>
      </c>
      <c r="H2607" t="s">
        <v>2820</v>
      </c>
      <c r="I2607">
        <f>C12</f>
        <v>95</v>
      </c>
      <c r="J2607" s="4" t="s">
        <v>1414</v>
      </c>
      <c r="K2607">
        <f>F2607*I2607</f>
        <v>47.5</v>
      </c>
    </row>
    <row r="2608" spans="1:11" hidden="1">
      <c r="A2608" s="134"/>
      <c r="F2608"/>
      <c r="G2608" s="3"/>
      <c r="H2608"/>
      <c r="I2608"/>
      <c r="J2608" s="4"/>
      <c r="K2608" s="197" t="s">
        <v>1609</v>
      </c>
    </row>
    <row r="2609" spans="1:11" hidden="1">
      <c r="A2609" s="134"/>
      <c r="F2609"/>
      <c r="G2609" s="3"/>
      <c r="H2609"/>
      <c r="I2609"/>
      <c r="J2609" s="4"/>
      <c r="K2609">
        <f>SUM(K2604:K2608)</f>
        <v>837.5</v>
      </c>
    </row>
    <row r="2610" spans="1:11" hidden="1">
      <c r="A2610" s="134"/>
      <c r="F2610"/>
      <c r="G2610" s="3"/>
      <c r="H2610"/>
      <c r="I2610"/>
      <c r="J2610" s="4"/>
      <c r="K2610" s="197" t="s">
        <v>2080</v>
      </c>
    </row>
    <row r="2611" spans="1:11" hidden="1">
      <c r="A2611" s="134"/>
      <c r="F2611">
        <v>44.2</v>
      </c>
      <c r="G2611" s="3" t="s">
        <v>2276</v>
      </c>
      <c r="H2611" t="s">
        <v>3108</v>
      </c>
      <c r="I2611"/>
      <c r="J2611" s="4"/>
      <c r="K2611"/>
    </row>
    <row r="2612" spans="1:11" hidden="1">
      <c r="A2612" s="134"/>
      <c r="F2612"/>
      <c r="G2612" s="3"/>
      <c r="H2612" s="39" t="s">
        <v>3401</v>
      </c>
      <c r="I2612"/>
      <c r="J2612" s="4"/>
      <c r="K2612"/>
    </row>
    <row r="2613" spans="1:11" hidden="1">
      <c r="A2613" s="134"/>
      <c r="F2613">
        <v>0.47</v>
      </c>
      <c r="G2613" s="3" t="s">
        <v>1361</v>
      </c>
      <c r="H2613" t="s">
        <v>357</v>
      </c>
      <c r="I2613">
        <f>K88</f>
        <v>52.93</v>
      </c>
      <c r="J2613" s="4" t="s">
        <v>2176</v>
      </c>
      <c r="K2613">
        <f>I2613*F2613</f>
        <v>24.88</v>
      </c>
    </row>
    <row r="2614" spans="1:11" hidden="1">
      <c r="A2614" s="134"/>
      <c r="F2614">
        <v>4.9000000000000004</v>
      </c>
      <c r="G2614" s="3" t="s">
        <v>835</v>
      </c>
      <c r="H2614" t="s">
        <v>3109</v>
      </c>
      <c r="I2614">
        <f>K2629</f>
        <v>50.58</v>
      </c>
      <c r="J2614" s="4" t="s">
        <v>835</v>
      </c>
      <c r="K2614">
        <f>I2614*F2614</f>
        <v>247.84</v>
      </c>
    </row>
    <row r="2615" spans="1:11" hidden="1">
      <c r="A2615" s="134"/>
      <c r="F2615">
        <v>0.59</v>
      </c>
      <c r="G2615" s="3" t="s">
        <v>1361</v>
      </c>
      <c r="H2615" t="s">
        <v>1185</v>
      </c>
      <c r="I2615" t="e">
        <f>AC15</f>
        <v>#REF!</v>
      </c>
      <c r="J2615" s="4" t="s">
        <v>2176</v>
      </c>
      <c r="K2615" t="e">
        <f>I2615*F2615</f>
        <v>#REF!</v>
      </c>
    </row>
    <row r="2616" spans="1:11" hidden="1">
      <c r="A2616" s="134"/>
      <c r="F2616">
        <v>0.79</v>
      </c>
      <c r="G2616" s="3" t="s">
        <v>2308</v>
      </c>
      <c r="H2616" t="s">
        <v>1186</v>
      </c>
      <c r="I2616" t="e">
        <f>K630</f>
        <v>#REF!</v>
      </c>
      <c r="J2616" s="4" t="s">
        <v>2308</v>
      </c>
      <c r="K2616" t="e">
        <f>I2616*F2616</f>
        <v>#REF!</v>
      </c>
    </row>
    <row r="2617" spans="1:11" hidden="1">
      <c r="A2617" s="134"/>
      <c r="F2617">
        <v>0.24</v>
      </c>
      <c r="G2617" s="3" t="s">
        <v>1361</v>
      </c>
      <c r="H2617" t="s">
        <v>921</v>
      </c>
      <c r="I2617" t="e">
        <f>AC17</f>
        <v>#REF!</v>
      </c>
      <c r="J2617" s="4" t="s">
        <v>2176</v>
      </c>
      <c r="K2617" t="e">
        <f>I2617*F2617</f>
        <v>#REF!</v>
      </c>
    </row>
    <row r="2618" spans="1:11" hidden="1">
      <c r="A2618" s="134"/>
      <c r="F2618"/>
      <c r="G2618" s="3"/>
      <c r="H2618" t="s">
        <v>2296</v>
      </c>
      <c r="I2618"/>
      <c r="J2618" s="4"/>
      <c r="K2618"/>
    </row>
    <row r="2619" spans="1:11" hidden="1">
      <c r="A2619" s="134"/>
      <c r="F2619"/>
      <c r="G2619" s="3"/>
      <c r="H2619"/>
      <c r="I2619"/>
      <c r="J2619" s="4"/>
      <c r="K2619" s="39" t="s">
        <v>3110</v>
      </c>
    </row>
    <row r="2620" spans="1:11" hidden="1">
      <c r="A2620" s="134"/>
      <c r="F2620"/>
      <c r="G2620" s="3"/>
      <c r="H2620"/>
      <c r="I2620"/>
      <c r="J2620" s="4"/>
      <c r="K2620" t="e">
        <f>SUM(K2613:K2619)</f>
        <v>#REF!</v>
      </c>
    </row>
    <row r="2621" spans="1:11" hidden="1">
      <c r="A2621" s="134"/>
      <c r="F2621"/>
      <c r="G2621" s="3"/>
      <c r="H2621"/>
      <c r="I2621"/>
      <c r="J2621" s="4"/>
      <c r="K2621" s="39" t="s">
        <v>34</v>
      </c>
    </row>
    <row r="2622" spans="1:11" hidden="1">
      <c r="A2622" s="134"/>
      <c r="F2622"/>
      <c r="G2622" s="3"/>
      <c r="H2622" s="95" t="s">
        <v>3111</v>
      </c>
      <c r="I2622"/>
      <c r="J2622" s="4"/>
      <c r="K2622"/>
    </row>
    <row r="2623" spans="1:11" hidden="1">
      <c r="A2623" s="134"/>
      <c r="F2623"/>
      <c r="G2623" s="3"/>
      <c r="H2623"/>
      <c r="I2623"/>
      <c r="J2623" s="4"/>
      <c r="K2623"/>
    </row>
    <row r="2624" spans="1:11" hidden="1">
      <c r="A2624" s="134"/>
      <c r="F2624">
        <v>0.25</v>
      </c>
      <c r="G2624" s="3" t="s">
        <v>1414</v>
      </c>
      <c r="H2624" t="s">
        <v>466</v>
      </c>
      <c r="I2624">
        <f>C11</f>
        <v>135</v>
      </c>
      <c r="J2624" s="4" t="s">
        <v>1418</v>
      </c>
      <c r="K2624">
        <f>I2624*F2624</f>
        <v>33.75</v>
      </c>
    </row>
    <row r="2625" spans="1:11" hidden="1">
      <c r="A2625" s="134"/>
      <c r="F2625">
        <v>1</v>
      </c>
      <c r="G2625" s="3" t="s">
        <v>1414</v>
      </c>
      <c r="H2625" t="s">
        <v>348</v>
      </c>
      <c r="I2625">
        <f>C12</f>
        <v>95</v>
      </c>
      <c r="J2625" s="4" t="s">
        <v>1418</v>
      </c>
      <c r="K2625">
        <f>I2625*F2625</f>
        <v>95</v>
      </c>
    </row>
    <row r="2626" spans="1:11" hidden="1">
      <c r="A2626" s="134"/>
      <c r="F2626">
        <v>1</v>
      </c>
      <c r="G2626" s="3"/>
      <c r="H2626" t="s">
        <v>3112</v>
      </c>
      <c r="I2626">
        <v>23</v>
      </c>
      <c r="J2626" s="4" t="s">
        <v>450</v>
      </c>
      <c r="K2626">
        <f>I2626*F2626</f>
        <v>23</v>
      </c>
    </row>
    <row r="2627" spans="1:11" hidden="1">
      <c r="A2627" s="134"/>
      <c r="F2627"/>
      <c r="G2627" s="3"/>
      <c r="H2627"/>
      <c r="I2627"/>
      <c r="J2627" s="4"/>
      <c r="K2627" s="39" t="s">
        <v>3110</v>
      </c>
    </row>
    <row r="2628" spans="1:11" hidden="1">
      <c r="A2628" s="134"/>
      <c r="F2628"/>
      <c r="G2628" s="3"/>
      <c r="H2628" t="s">
        <v>3113</v>
      </c>
      <c r="I2628"/>
      <c r="J2628" s="4"/>
      <c r="K2628">
        <f>SUM(K2624:K2627)</f>
        <v>151.75</v>
      </c>
    </row>
    <row r="2629" spans="1:11" hidden="1">
      <c r="A2629" s="134"/>
      <c r="F2629"/>
      <c r="G2629" s="3"/>
      <c r="H2629" t="s">
        <v>3114</v>
      </c>
      <c r="I2629"/>
      <c r="J2629" s="4"/>
      <c r="K2629">
        <f>K2628/3</f>
        <v>50.58</v>
      </c>
    </row>
    <row r="2630" spans="1:11" hidden="1">
      <c r="A2630" s="134"/>
      <c r="F2630"/>
      <c r="G2630" s="3"/>
      <c r="H2630"/>
      <c r="I2630"/>
      <c r="J2630" s="4"/>
      <c r="K2630" s="197" t="s">
        <v>1609</v>
      </c>
    </row>
    <row r="2631" spans="1:11" ht="40.5" hidden="1" customHeight="1">
      <c r="A2631" s="134"/>
      <c r="F2631">
        <v>84</v>
      </c>
      <c r="G2631" s="3"/>
      <c r="H2631" s="196" t="s">
        <v>3115</v>
      </c>
      <c r="I2631"/>
      <c r="J2631" s="4"/>
      <c r="K2631"/>
    </row>
    <row r="2632" spans="1:11" hidden="1">
      <c r="A2632" s="134"/>
      <c r="F2632"/>
      <c r="G2632" s="3"/>
      <c r="H2632" s="197" t="s">
        <v>1609</v>
      </c>
      <c r="I2632"/>
      <c r="J2632" s="4"/>
      <c r="K2632"/>
    </row>
    <row r="2633" spans="1:11" ht="31.5" hidden="1">
      <c r="A2633" s="134"/>
      <c r="F2633" s="196">
        <v>180</v>
      </c>
      <c r="G2633" s="196" t="s">
        <v>835</v>
      </c>
      <c r="H2633" s="196" t="s">
        <v>3116</v>
      </c>
      <c r="I2633" s="196">
        <v>15.6</v>
      </c>
      <c r="J2633" s="196" t="s">
        <v>835</v>
      </c>
      <c r="K2633" s="196">
        <f t="shared" ref="K2633:K2640" si="87">I2633*F2633</f>
        <v>2808</v>
      </c>
    </row>
    <row r="2634" spans="1:11" hidden="1">
      <c r="A2634" s="134"/>
      <c r="F2634" s="196">
        <v>4</v>
      </c>
      <c r="G2634" s="196" t="s">
        <v>1670</v>
      </c>
      <c r="H2634" s="196" t="s">
        <v>3381</v>
      </c>
      <c r="I2634" s="196">
        <v>37</v>
      </c>
      <c r="J2634" s="196" t="s">
        <v>1670</v>
      </c>
      <c r="K2634" s="196">
        <f t="shared" si="87"/>
        <v>148</v>
      </c>
    </row>
    <row r="2635" spans="1:11" hidden="1">
      <c r="A2635" s="134"/>
      <c r="F2635" s="196">
        <v>180</v>
      </c>
      <c r="G2635" s="196" t="s">
        <v>1452</v>
      </c>
      <c r="H2635" s="196" t="s">
        <v>3382</v>
      </c>
      <c r="I2635" s="196">
        <v>0.25</v>
      </c>
      <c r="J2635" s="196" t="s">
        <v>1418</v>
      </c>
      <c r="K2635" s="196">
        <f t="shared" si="87"/>
        <v>45</v>
      </c>
    </row>
    <row r="2636" spans="1:11" hidden="1">
      <c r="A2636" s="134"/>
      <c r="F2636" s="196">
        <v>1</v>
      </c>
      <c r="G2636" s="196" t="s">
        <v>1670</v>
      </c>
      <c r="H2636" s="196" t="s">
        <v>3383</v>
      </c>
      <c r="I2636" s="196">
        <v>37</v>
      </c>
      <c r="J2636" s="196" t="s">
        <v>1670</v>
      </c>
      <c r="K2636" s="196">
        <f t="shared" si="87"/>
        <v>37</v>
      </c>
    </row>
    <row r="2637" spans="1:11" hidden="1">
      <c r="A2637" s="134"/>
      <c r="F2637" s="196">
        <v>1</v>
      </c>
      <c r="G2637" s="196" t="s">
        <v>1452</v>
      </c>
      <c r="H2637" s="196" t="s">
        <v>3384</v>
      </c>
      <c r="I2637" s="196">
        <v>148</v>
      </c>
      <c r="J2637" s="196" t="s">
        <v>1418</v>
      </c>
      <c r="K2637" s="196">
        <f t="shared" si="87"/>
        <v>148</v>
      </c>
    </row>
    <row r="2638" spans="1:11" hidden="1">
      <c r="A2638" s="134"/>
      <c r="F2638" s="196">
        <v>2</v>
      </c>
      <c r="G2638" s="196" t="s">
        <v>1452</v>
      </c>
      <c r="H2638" s="196" t="s">
        <v>3385</v>
      </c>
      <c r="I2638" s="196">
        <v>131</v>
      </c>
      <c r="J2638" s="196" t="s">
        <v>1418</v>
      </c>
      <c r="K2638" s="196">
        <f t="shared" si="87"/>
        <v>262</v>
      </c>
    </row>
    <row r="2639" spans="1:11" hidden="1">
      <c r="A2639" s="134"/>
      <c r="F2639" s="196">
        <v>2</v>
      </c>
      <c r="G2639" s="196" t="s">
        <v>1452</v>
      </c>
      <c r="H2639" s="196" t="s">
        <v>3386</v>
      </c>
      <c r="I2639" s="196">
        <v>117</v>
      </c>
      <c r="J2639" s="196" t="s">
        <v>1418</v>
      </c>
      <c r="K2639" s="196">
        <f t="shared" si="87"/>
        <v>234</v>
      </c>
    </row>
    <row r="2640" spans="1:11" hidden="1">
      <c r="A2640" s="134"/>
      <c r="F2640" s="196">
        <v>3</v>
      </c>
      <c r="G2640" s="196" t="s">
        <v>1452</v>
      </c>
      <c r="H2640" s="196" t="s">
        <v>2356</v>
      </c>
      <c r="I2640" s="196">
        <v>91</v>
      </c>
      <c r="J2640" s="196" t="s">
        <v>1418</v>
      </c>
      <c r="K2640" s="196">
        <f t="shared" si="87"/>
        <v>273</v>
      </c>
    </row>
    <row r="2641" spans="1:11" hidden="1">
      <c r="A2641" s="134"/>
      <c r="F2641" s="196"/>
      <c r="G2641" s="196"/>
      <c r="H2641" s="196" t="s">
        <v>3387</v>
      </c>
      <c r="I2641" s="196"/>
      <c r="J2641" s="196"/>
      <c r="K2641" s="196">
        <v>5</v>
      </c>
    </row>
    <row r="2642" spans="1:11" hidden="1">
      <c r="A2642" s="134"/>
      <c r="F2642" s="196"/>
      <c r="G2642" s="196"/>
      <c r="H2642" s="196"/>
      <c r="I2642" s="196"/>
      <c r="J2642" s="196"/>
      <c r="K2642" s="201" t="s">
        <v>1609</v>
      </c>
    </row>
    <row r="2643" spans="1:11" hidden="1">
      <c r="A2643" s="134"/>
      <c r="F2643" s="196"/>
      <c r="G2643" s="196"/>
      <c r="H2643" s="196" t="s">
        <v>3388</v>
      </c>
      <c r="I2643" s="196"/>
      <c r="J2643" s="196"/>
      <c r="K2643" s="196">
        <f>SUM(K2633:K2642)</f>
        <v>3960</v>
      </c>
    </row>
    <row r="2644" spans="1:11" hidden="1">
      <c r="A2644" s="134"/>
      <c r="F2644" s="196"/>
      <c r="G2644" s="196"/>
      <c r="H2644" s="196"/>
      <c r="I2644" s="196"/>
      <c r="J2644" s="196"/>
      <c r="K2644" s="201" t="s">
        <v>1609</v>
      </c>
    </row>
    <row r="2645" spans="1:11" hidden="1">
      <c r="A2645" s="134"/>
      <c r="F2645" s="196"/>
      <c r="G2645" s="196"/>
      <c r="H2645" s="196" t="s">
        <v>3389</v>
      </c>
      <c r="I2645" s="196"/>
      <c r="J2645" s="196"/>
      <c r="K2645" s="196">
        <f>K2643/90</f>
        <v>44</v>
      </c>
    </row>
    <row r="2646" spans="1:11" hidden="1">
      <c r="A2646" s="134"/>
      <c r="F2646" s="196"/>
      <c r="G2646" s="196"/>
      <c r="H2646" s="196"/>
      <c r="I2646" s="196"/>
      <c r="J2646" s="196"/>
      <c r="K2646" s="201" t="s">
        <v>2080</v>
      </c>
    </row>
    <row r="2647" spans="1:11" hidden="1">
      <c r="A2647" s="134"/>
      <c r="F2647" s="20"/>
      <c r="G2647" s="3"/>
      <c r="H2647" s="1" t="s">
        <v>2024</v>
      </c>
      <c r="I2647"/>
      <c r="J2647" s="4"/>
      <c r="K2647"/>
    </row>
    <row r="2648" spans="1:11" hidden="1">
      <c r="A2648" s="134"/>
      <c r="F2648"/>
      <c r="G2648" s="3"/>
      <c r="H2648" s="5" t="s">
        <v>1609</v>
      </c>
      <c r="I2648" s="5" t="s">
        <v>1609</v>
      </c>
      <c r="J2648" s="2" t="s">
        <v>1609</v>
      </c>
      <c r="K2648"/>
    </row>
    <row r="2649" spans="1:11" hidden="1">
      <c r="A2649" s="134"/>
      <c r="F2649"/>
      <c r="G2649" s="3"/>
      <c r="H2649"/>
      <c r="I2649"/>
      <c r="J2649" s="4"/>
      <c r="K2649"/>
    </row>
    <row r="2650" spans="1:11" hidden="1">
      <c r="A2650" s="134"/>
      <c r="F2650" s="22">
        <v>22.5</v>
      </c>
      <c r="G2650" s="3"/>
      <c r="H2650" s="1" t="s">
        <v>2025</v>
      </c>
      <c r="I2650"/>
      <c r="J2650" s="4"/>
      <c r="K2650"/>
    </row>
    <row r="2651" spans="1:11" hidden="1">
      <c r="A2651" s="134"/>
      <c r="F2651"/>
      <c r="G2651" s="3"/>
      <c r="H2651" s="1"/>
      <c r="I2651"/>
      <c r="J2651" s="4"/>
      <c r="K2651"/>
    </row>
    <row r="2652" spans="1:11" hidden="1">
      <c r="A2652" s="134"/>
      <c r="F2652"/>
      <c r="G2652" s="3"/>
      <c r="H2652" s="1" t="s">
        <v>2026</v>
      </c>
      <c r="I2652"/>
      <c r="J2652" s="4"/>
      <c r="K2652"/>
    </row>
    <row r="2653" spans="1:11" hidden="1">
      <c r="A2653" s="134"/>
      <c r="F2653"/>
      <c r="G2653" s="3"/>
      <c r="H2653" s="1" t="s">
        <v>455</v>
      </c>
      <c r="I2653"/>
      <c r="J2653" s="4"/>
      <c r="K2653"/>
    </row>
    <row r="2654" spans="1:11" hidden="1">
      <c r="A2654" s="134"/>
      <c r="F2654"/>
      <c r="G2654" s="3"/>
      <c r="H2654" s="1" t="s">
        <v>456</v>
      </c>
      <c r="I2654"/>
      <c r="J2654" s="4"/>
      <c r="K2654"/>
    </row>
    <row r="2655" spans="1:11" hidden="1">
      <c r="A2655" s="134"/>
      <c r="F2655"/>
      <c r="G2655" s="3"/>
      <c r="H2655" s="1" t="s">
        <v>457</v>
      </c>
      <c r="I2655"/>
      <c r="J2655" s="4"/>
      <c r="K2655"/>
    </row>
    <row r="2656" spans="1:11" hidden="1">
      <c r="A2656" s="134"/>
      <c r="F2656"/>
      <c r="G2656" s="3"/>
      <c r="H2656" s="1" t="s">
        <v>890</v>
      </c>
      <c r="I2656"/>
      <c r="J2656" s="2" t="s">
        <v>987</v>
      </c>
      <c r="K2656" s="12">
        <v>3.7699999999999997E-2</v>
      </c>
    </row>
    <row r="2657" spans="1:11" hidden="1">
      <c r="A2657" s="134"/>
      <c r="F2657"/>
      <c r="G2657" s="3"/>
      <c r="H2657" s="1" t="s">
        <v>701</v>
      </c>
      <c r="I2657"/>
      <c r="J2657" s="137" t="s">
        <v>987</v>
      </c>
      <c r="K2657" s="15" t="s">
        <v>987</v>
      </c>
    </row>
    <row r="2658" spans="1:11" hidden="1">
      <c r="A2658" s="134"/>
      <c r="F2658"/>
      <c r="G2658" s="3"/>
      <c r="H2658" s="1" t="s">
        <v>1855</v>
      </c>
      <c r="I2658"/>
      <c r="J2658" s="4"/>
      <c r="K2658" s="15" t="s">
        <v>987</v>
      </c>
    </row>
    <row r="2659" spans="1:11" hidden="1">
      <c r="A2659" s="134"/>
      <c r="F2659"/>
      <c r="G2659" s="3"/>
      <c r="H2659" s="1"/>
      <c r="I2659"/>
      <c r="J2659" s="4"/>
      <c r="K2659" s="15"/>
    </row>
    <row r="2660" spans="1:11" hidden="1">
      <c r="A2660" s="134"/>
      <c r="F2660"/>
      <c r="G2660" s="3"/>
      <c r="H2660" s="1"/>
      <c r="I2660"/>
      <c r="J2660" s="4"/>
      <c r="K2660" s="15"/>
    </row>
    <row r="2661" spans="1:11" hidden="1">
      <c r="A2661" s="134"/>
      <c r="F2661"/>
      <c r="G2661" s="3"/>
      <c r="H2661"/>
      <c r="I2661"/>
      <c r="J2661" s="4"/>
      <c r="K2661"/>
    </row>
    <row r="2662" spans="1:11" hidden="1">
      <c r="A2662" s="134"/>
      <c r="F2662" s="16">
        <v>1.18E-2</v>
      </c>
      <c r="G2662" s="7" t="s">
        <v>878</v>
      </c>
      <c r="H2662" s="1" t="s">
        <v>698</v>
      </c>
      <c r="I2662" s="8">
        <f t="shared" ref="I2662:I2671" si="88">I2260</f>
        <v>65420</v>
      </c>
      <c r="J2662" s="2" t="s">
        <v>878</v>
      </c>
      <c r="K2662" s="8">
        <f t="shared" ref="K2662:K2671" si="89">(F2662*I2662)</f>
        <v>771.96</v>
      </c>
    </row>
    <row r="2663" spans="1:11" hidden="1">
      <c r="A2663" s="134"/>
      <c r="F2663" s="16">
        <v>3.7699999999999997E-2</v>
      </c>
      <c r="G2663" s="7" t="s">
        <v>878</v>
      </c>
      <c r="H2663" s="1" t="s">
        <v>699</v>
      </c>
      <c r="I2663" s="8">
        <f t="shared" si="88"/>
        <v>57165</v>
      </c>
      <c r="J2663" s="2" t="s">
        <v>878</v>
      </c>
      <c r="K2663" s="8">
        <f t="shared" si="89"/>
        <v>2155.12</v>
      </c>
    </row>
    <row r="2664" spans="1:11" hidden="1">
      <c r="A2664" s="134"/>
      <c r="F2664" s="16">
        <v>1.8550000000000001E-2</v>
      </c>
      <c r="G2664" s="7" t="s">
        <v>878</v>
      </c>
      <c r="H2664" s="1" t="s">
        <v>895</v>
      </c>
      <c r="I2664" s="8">
        <f t="shared" si="88"/>
        <v>3035</v>
      </c>
      <c r="J2664" s="2" t="s">
        <v>878</v>
      </c>
      <c r="K2664" s="8">
        <f t="shared" si="89"/>
        <v>56.3</v>
      </c>
    </row>
    <row r="2665" spans="1:11" hidden="1">
      <c r="A2665" s="134"/>
      <c r="F2665" s="16">
        <v>1.36</v>
      </c>
      <c r="G2665" s="7" t="s">
        <v>615</v>
      </c>
      <c r="H2665" s="1" t="s">
        <v>896</v>
      </c>
      <c r="I2665" s="8">
        <f t="shared" si="88"/>
        <v>385.89</v>
      </c>
      <c r="J2665" s="2" t="s">
        <v>615</v>
      </c>
      <c r="K2665" s="8">
        <f t="shared" si="89"/>
        <v>524.80999999999995</v>
      </c>
    </row>
    <row r="2666" spans="1:11" hidden="1">
      <c r="A2666" s="134"/>
      <c r="F2666" s="16">
        <v>2.0499999999999998</v>
      </c>
      <c r="G2666" s="7" t="s">
        <v>615</v>
      </c>
      <c r="H2666" s="1" t="s">
        <v>1528</v>
      </c>
      <c r="I2666" s="8">
        <f t="shared" si="88"/>
        <v>287</v>
      </c>
      <c r="J2666" s="2" t="s">
        <v>615</v>
      </c>
      <c r="K2666" s="8">
        <f t="shared" si="89"/>
        <v>588.35</v>
      </c>
    </row>
    <row r="2667" spans="1:11" hidden="1">
      <c r="A2667" s="134"/>
      <c r="F2667" s="8">
        <v>2</v>
      </c>
      <c r="G2667" s="7" t="s">
        <v>877</v>
      </c>
      <c r="H2667" s="1" t="s">
        <v>1409</v>
      </c>
      <c r="I2667" s="8">
        <f t="shared" si="88"/>
        <v>25</v>
      </c>
      <c r="J2667" s="2" t="s">
        <v>877</v>
      </c>
      <c r="K2667" s="8">
        <f t="shared" si="89"/>
        <v>50</v>
      </c>
    </row>
    <row r="2668" spans="1:11" hidden="1">
      <c r="A2668" s="134"/>
      <c r="F2668" s="8">
        <v>6</v>
      </c>
      <c r="G2668" s="7" t="s">
        <v>877</v>
      </c>
      <c r="H2668" s="1" t="s">
        <v>1363</v>
      </c>
      <c r="I2668" s="8">
        <f t="shared" si="88"/>
        <v>25</v>
      </c>
      <c r="J2668" s="2" t="s">
        <v>877</v>
      </c>
      <c r="K2668" s="8">
        <f t="shared" si="89"/>
        <v>150</v>
      </c>
    </row>
    <row r="2669" spans="1:11" hidden="1">
      <c r="A2669" s="134"/>
      <c r="F2669" s="8">
        <v>2</v>
      </c>
      <c r="G2669" s="7" t="s">
        <v>877</v>
      </c>
      <c r="H2669" s="1" t="s">
        <v>1410</v>
      </c>
      <c r="I2669" s="8">
        <f t="shared" si="88"/>
        <v>35</v>
      </c>
      <c r="J2669" s="2" t="s">
        <v>877</v>
      </c>
      <c r="K2669" s="8">
        <f t="shared" si="89"/>
        <v>70</v>
      </c>
    </row>
    <row r="2670" spans="1:11" hidden="1">
      <c r="A2670" s="134"/>
      <c r="F2670" s="8">
        <v>1</v>
      </c>
      <c r="G2670" s="7" t="s">
        <v>877</v>
      </c>
      <c r="H2670" s="1" t="s">
        <v>1437</v>
      </c>
      <c r="I2670" s="8">
        <f t="shared" si="88"/>
        <v>60</v>
      </c>
      <c r="J2670" s="2" t="s">
        <v>877</v>
      </c>
      <c r="K2670" s="8">
        <f t="shared" si="89"/>
        <v>60</v>
      </c>
    </row>
    <row r="2671" spans="1:11" hidden="1">
      <c r="A2671" s="134"/>
      <c r="F2671" s="8">
        <v>2.52</v>
      </c>
      <c r="G2671" s="7" t="s">
        <v>615</v>
      </c>
      <c r="H2671" s="1" t="s">
        <v>1738</v>
      </c>
      <c r="I2671" s="8">
        <f t="shared" si="88"/>
        <v>51.25</v>
      </c>
      <c r="J2671" s="2" t="s">
        <v>615</v>
      </c>
      <c r="K2671" s="8">
        <f t="shared" si="89"/>
        <v>129.15</v>
      </c>
    </row>
    <row r="2672" spans="1:11" hidden="1">
      <c r="A2672" s="134"/>
      <c r="F2672"/>
      <c r="G2672" s="3"/>
      <c r="H2672" s="1" t="s">
        <v>1434</v>
      </c>
      <c r="I2672" s="2" t="s">
        <v>450</v>
      </c>
      <c r="J2672" s="4"/>
      <c r="K2672" s="8">
        <v>0.28000000000000003</v>
      </c>
    </row>
    <row r="2673" spans="1:11" hidden="1">
      <c r="A2673" s="134"/>
      <c r="F2673"/>
      <c r="G2673" s="3"/>
      <c r="H2673"/>
      <c r="I2673"/>
      <c r="J2673" s="4"/>
      <c r="K2673" s="5" t="s">
        <v>1609</v>
      </c>
    </row>
    <row r="2674" spans="1:11" hidden="1">
      <c r="A2674" s="134"/>
      <c r="F2674"/>
      <c r="G2674" s="3"/>
      <c r="H2674" s="2" t="s">
        <v>1435</v>
      </c>
      <c r="I2674"/>
      <c r="J2674" s="4"/>
      <c r="K2674" s="8">
        <f>SUM(K2662:K2672)</f>
        <v>4555.97</v>
      </c>
    </row>
    <row r="2675" spans="1:11" hidden="1">
      <c r="A2675" s="134"/>
      <c r="F2675"/>
      <c r="G2675" s="7" t="s">
        <v>987</v>
      </c>
      <c r="H2675"/>
      <c r="I2675"/>
      <c r="J2675" s="4"/>
      <c r="K2675" s="5" t="s">
        <v>1609</v>
      </c>
    </row>
    <row r="2676" spans="1:11" hidden="1">
      <c r="A2676" s="134"/>
      <c r="F2676"/>
      <c r="G2676" s="3"/>
      <c r="H2676" s="2" t="s">
        <v>556</v>
      </c>
      <c r="I2676"/>
      <c r="J2676" s="4"/>
      <c r="K2676" s="8">
        <f>K2674/F2671</f>
        <v>1807.92</v>
      </c>
    </row>
    <row r="2677" spans="1:11" hidden="1">
      <c r="A2677" s="134"/>
      <c r="F2677"/>
      <c r="G2677" s="3"/>
      <c r="H2677"/>
      <c r="I2677"/>
      <c r="J2677" s="4"/>
      <c r="K2677" s="5" t="s">
        <v>2080</v>
      </c>
    </row>
    <row r="2678" spans="1:11" hidden="1">
      <c r="A2678" s="134"/>
      <c r="F2678" s="196">
        <v>44.4</v>
      </c>
      <c r="G2678" s="196"/>
      <c r="H2678" s="196" t="s">
        <v>3390</v>
      </c>
      <c r="I2678" s="196"/>
      <c r="J2678" s="196"/>
      <c r="K2678" s="196"/>
    </row>
    <row r="2679" spans="1:11" hidden="1">
      <c r="A2679" s="134"/>
      <c r="F2679" s="196"/>
      <c r="G2679" s="196"/>
      <c r="H2679" s="197" t="s">
        <v>1609</v>
      </c>
      <c r="I2679" s="196"/>
      <c r="J2679" s="196"/>
      <c r="K2679" s="196"/>
    </row>
    <row r="2680" spans="1:11" hidden="1">
      <c r="A2680" s="134"/>
      <c r="F2680" s="196">
        <v>4.9000000000000004</v>
      </c>
      <c r="G2680" s="196" t="s">
        <v>835</v>
      </c>
      <c r="H2680" s="196" t="s">
        <v>3391</v>
      </c>
      <c r="I2680" s="196">
        <v>49.01</v>
      </c>
      <c r="J2680" s="196" t="s">
        <v>835</v>
      </c>
      <c r="K2680" s="196">
        <f>F2680*I2680</f>
        <v>240.15</v>
      </c>
    </row>
    <row r="2681" spans="1:11" hidden="1">
      <c r="A2681" s="134"/>
      <c r="F2681" s="196">
        <v>0.12</v>
      </c>
      <c r="G2681" s="196" t="s">
        <v>878</v>
      </c>
      <c r="H2681" s="196" t="s">
        <v>3392</v>
      </c>
      <c r="I2681" s="196" t="e">
        <f>AC15</f>
        <v>#REF!</v>
      </c>
      <c r="J2681" s="196" t="s">
        <v>878</v>
      </c>
      <c r="K2681" s="196" t="e">
        <f>F2681*I2681</f>
        <v>#REF!</v>
      </c>
    </row>
    <row r="2682" spans="1:11" hidden="1">
      <c r="A2682" s="134"/>
      <c r="F2682" s="202">
        <v>0.18</v>
      </c>
      <c r="G2682" s="196" t="s">
        <v>878</v>
      </c>
      <c r="H2682" s="196" t="s">
        <v>3393</v>
      </c>
      <c r="I2682" s="196" t="e">
        <f>AC14</f>
        <v>#REF!</v>
      </c>
      <c r="J2682" s="196" t="s">
        <v>878</v>
      </c>
      <c r="K2682" s="196" t="e">
        <f>F2682*I2682</f>
        <v>#REF!</v>
      </c>
    </row>
    <row r="2683" spans="1:11" hidden="1">
      <c r="A2683" s="134"/>
      <c r="F2683" s="196">
        <v>0.05</v>
      </c>
      <c r="G2683" s="196" t="s">
        <v>878</v>
      </c>
      <c r="H2683" s="196" t="s">
        <v>3394</v>
      </c>
      <c r="I2683" s="196" t="e">
        <f>AC16</f>
        <v>#REF!</v>
      </c>
      <c r="J2683" s="196" t="s">
        <v>878</v>
      </c>
      <c r="K2683" s="196" t="e">
        <f>F2683*I2683</f>
        <v>#REF!</v>
      </c>
    </row>
    <row r="2684" spans="1:11" hidden="1">
      <c r="A2684" s="134"/>
      <c r="F2684" s="196"/>
      <c r="G2684" s="196"/>
      <c r="H2684" s="196"/>
      <c r="I2684" s="196"/>
      <c r="J2684" s="196"/>
      <c r="K2684" s="201" t="s">
        <v>1609</v>
      </c>
    </row>
    <row r="2685" spans="1:11" hidden="1">
      <c r="A2685" s="134"/>
      <c r="F2685" s="196"/>
      <c r="G2685" s="196"/>
      <c r="H2685" s="196" t="s">
        <v>3139</v>
      </c>
      <c r="I2685" s="196"/>
      <c r="J2685" s="196"/>
      <c r="K2685" s="196" t="e">
        <f>SUM(K2680:K2684)</f>
        <v>#REF!</v>
      </c>
    </row>
    <row r="2686" spans="1:11" hidden="1">
      <c r="A2686" s="134"/>
      <c r="F2686" s="196"/>
      <c r="G2686" s="196"/>
      <c r="H2686" s="196"/>
      <c r="I2686" s="196"/>
      <c r="J2686" s="196"/>
      <c r="K2686" s="201" t="s">
        <v>1609</v>
      </c>
    </row>
    <row r="2687" spans="1:11" hidden="1">
      <c r="A2687" s="134"/>
      <c r="F2687" s="196"/>
      <c r="G2687" s="196"/>
      <c r="H2687" s="196" t="s">
        <v>3140</v>
      </c>
      <c r="I2687" s="196"/>
      <c r="J2687" s="196"/>
      <c r="K2687" s="196" t="e">
        <f>K2685/F2680</f>
        <v>#REF!</v>
      </c>
    </row>
    <row r="2688" spans="1:11" hidden="1">
      <c r="A2688" s="134"/>
      <c r="F2688" s="196"/>
      <c r="G2688" s="196"/>
      <c r="H2688" s="196"/>
      <c r="I2688" s="196"/>
      <c r="J2688" s="196"/>
      <c r="K2688" s="201" t="s">
        <v>2080</v>
      </c>
    </row>
    <row r="2689" spans="1:11" ht="63" hidden="1">
      <c r="A2689" s="134"/>
      <c r="F2689" s="196">
        <v>44.5</v>
      </c>
      <c r="G2689" s="196"/>
      <c r="H2689" s="196" t="s">
        <v>3404</v>
      </c>
      <c r="I2689" s="196"/>
      <c r="J2689" s="196"/>
      <c r="K2689" s="196"/>
    </row>
    <row r="2690" spans="1:11" hidden="1">
      <c r="A2690" s="134"/>
      <c r="F2690" s="196"/>
      <c r="G2690" s="196"/>
      <c r="H2690" s="197" t="s">
        <v>1609</v>
      </c>
      <c r="I2690" s="196"/>
      <c r="J2690" s="196"/>
      <c r="K2690" s="196"/>
    </row>
    <row r="2691" spans="1:11" hidden="1">
      <c r="A2691" s="134"/>
      <c r="F2691" s="196">
        <v>0.38</v>
      </c>
      <c r="G2691" s="196" t="s">
        <v>2176</v>
      </c>
      <c r="H2691" s="196" t="s">
        <v>357</v>
      </c>
      <c r="I2691" s="196">
        <f>I2613</f>
        <v>52.93</v>
      </c>
      <c r="J2691" s="196" t="s">
        <v>878</v>
      </c>
      <c r="K2691" s="196">
        <f>I2691*F2691</f>
        <v>20.11</v>
      </c>
    </row>
    <row r="2692" spans="1:11" hidden="1">
      <c r="A2692" s="134"/>
      <c r="F2692" s="196">
        <v>0.38</v>
      </c>
      <c r="G2692" s="196" t="s">
        <v>2176</v>
      </c>
      <c r="H2692" s="196" t="s">
        <v>3405</v>
      </c>
      <c r="I2692" s="196" t="e">
        <f>AC15</f>
        <v>#REF!</v>
      </c>
      <c r="J2692" s="196" t="s">
        <v>878</v>
      </c>
      <c r="K2692" s="196" t="e">
        <f>I2692*F2692</f>
        <v>#REF!</v>
      </c>
    </row>
    <row r="2693" spans="1:11" hidden="1">
      <c r="A2693" s="134"/>
      <c r="F2693" s="196">
        <v>0.12</v>
      </c>
      <c r="G2693" s="3" t="s">
        <v>2176</v>
      </c>
      <c r="H2693" s="196" t="s">
        <v>3406</v>
      </c>
      <c r="I2693" t="e">
        <f>K614</f>
        <v>#REF!</v>
      </c>
      <c r="J2693" s="196" t="s">
        <v>878</v>
      </c>
      <c r="K2693" s="196" t="e">
        <f>I2693*F2693</f>
        <v>#REF!</v>
      </c>
    </row>
    <row r="2694" spans="1:11" hidden="1">
      <c r="A2694" s="134"/>
      <c r="F2694" s="196">
        <v>9.6</v>
      </c>
      <c r="G2694" s="196" t="s">
        <v>1670</v>
      </c>
      <c r="H2694" s="196" t="s">
        <v>3407</v>
      </c>
      <c r="I2694">
        <f>AC32</f>
        <v>28000</v>
      </c>
      <c r="J2694" s="196" t="s">
        <v>530</v>
      </c>
      <c r="K2694" s="196">
        <f>I2694*F2694/1000</f>
        <v>268.8</v>
      </c>
    </row>
    <row r="2695" spans="1:11" hidden="1">
      <c r="A2695" s="134"/>
      <c r="F2695"/>
      <c r="G2695" s="3"/>
      <c r="H2695"/>
      <c r="I2695"/>
      <c r="J2695" s="4"/>
      <c r="K2695" s="197" t="s">
        <v>1609</v>
      </c>
    </row>
    <row r="2696" spans="1:11" hidden="1">
      <c r="A2696" s="134"/>
      <c r="F2696"/>
      <c r="G2696" s="3"/>
      <c r="H2696" s="196" t="s">
        <v>3408</v>
      </c>
      <c r="I2696"/>
      <c r="J2696" s="4"/>
      <c r="K2696" t="e">
        <f>SUM(K2691:K2695)</f>
        <v>#REF!</v>
      </c>
    </row>
    <row r="2697" spans="1:11" hidden="1">
      <c r="A2697" s="134"/>
      <c r="F2697"/>
      <c r="G2697" s="3"/>
      <c r="H2697"/>
      <c r="I2697"/>
      <c r="J2697" s="4"/>
      <c r="K2697" s="197" t="s">
        <v>2080</v>
      </c>
    </row>
    <row r="2698" spans="1:11" ht="63" hidden="1">
      <c r="A2698" s="134"/>
      <c r="F2698" s="203">
        <v>71.3</v>
      </c>
      <c r="G2698" s="204"/>
      <c r="H2698" s="205" t="s">
        <v>3409</v>
      </c>
      <c r="I2698" s="97"/>
      <c r="J2698" s="206"/>
      <c r="K2698" s="97"/>
    </row>
    <row r="2699" spans="1:11" hidden="1">
      <c r="A2699" s="134"/>
      <c r="F2699" s="97"/>
      <c r="G2699" s="204"/>
      <c r="H2699" s="207" t="s">
        <v>2405</v>
      </c>
      <c r="I2699" s="97"/>
      <c r="J2699" s="206"/>
      <c r="K2699" s="97"/>
    </row>
    <row r="2700" spans="1:11" hidden="1">
      <c r="A2700" s="134"/>
      <c r="F2700" s="97">
        <v>1</v>
      </c>
      <c r="G2700" s="204" t="s">
        <v>1414</v>
      </c>
      <c r="H2700" s="97" t="s">
        <v>3117</v>
      </c>
      <c r="I2700" s="97"/>
      <c r="J2700" s="206">
        <v>1880</v>
      </c>
      <c r="K2700" s="97">
        <f>J2700*F2700</f>
        <v>1880</v>
      </c>
    </row>
    <row r="2701" spans="1:11" hidden="1">
      <c r="A2701" s="134"/>
      <c r="F2701" s="97">
        <v>1</v>
      </c>
      <c r="G2701" s="204" t="s">
        <v>1414</v>
      </c>
      <c r="H2701" s="97" t="s">
        <v>3118</v>
      </c>
      <c r="I2701" s="97"/>
      <c r="J2701" s="206">
        <v>480</v>
      </c>
      <c r="K2701" s="97">
        <f>J2701*F2701</f>
        <v>480</v>
      </c>
    </row>
    <row r="2702" spans="1:11" hidden="1">
      <c r="A2702" s="134"/>
      <c r="F2702" s="97"/>
      <c r="G2702" s="204"/>
      <c r="H2702" s="97" t="s">
        <v>3119</v>
      </c>
      <c r="I2702" s="97"/>
      <c r="J2702" s="206"/>
      <c r="K2702" s="97">
        <v>35.67</v>
      </c>
    </row>
    <row r="2703" spans="1:11" hidden="1">
      <c r="A2703" s="134"/>
      <c r="F2703" s="97"/>
      <c r="G2703" s="204"/>
      <c r="H2703" s="97" t="s">
        <v>1847</v>
      </c>
      <c r="I2703" s="97"/>
      <c r="J2703" s="206"/>
      <c r="K2703" s="97">
        <f>K2711</f>
        <v>104.33</v>
      </c>
    </row>
    <row r="2704" spans="1:11" hidden="1">
      <c r="A2704" s="134"/>
      <c r="F2704" s="97"/>
      <c r="G2704" s="204"/>
      <c r="H2704" s="97"/>
      <c r="I2704" s="97"/>
      <c r="J2704" s="206"/>
      <c r="K2704" s="208" t="s">
        <v>3110</v>
      </c>
    </row>
    <row r="2705" spans="1:11" hidden="1">
      <c r="A2705" s="134"/>
      <c r="F2705" s="97"/>
      <c r="G2705" s="204"/>
      <c r="H2705" s="97"/>
      <c r="I2705" s="97"/>
      <c r="J2705" s="206"/>
      <c r="K2705" s="97">
        <f>SUM(K2700:K2704)</f>
        <v>2500</v>
      </c>
    </row>
    <row r="2706" spans="1:11" hidden="1">
      <c r="A2706" s="134"/>
      <c r="F2706" s="97"/>
      <c r="G2706" s="204"/>
      <c r="H2706" s="97" t="s">
        <v>924</v>
      </c>
      <c r="I2706" s="97"/>
      <c r="J2706" s="206"/>
      <c r="K2706" s="208" t="s">
        <v>34</v>
      </c>
    </row>
    <row r="2707" spans="1:11" hidden="1">
      <c r="A2707" s="134"/>
      <c r="F2707" s="97">
        <v>1</v>
      </c>
      <c r="G2707" s="204" t="s">
        <v>1414</v>
      </c>
      <c r="H2707" s="97" t="s">
        <v>3120</v>
      </c>
      <c r="I2707" s="97">
        <v>131</v>
      </c>
      <c r="J2707" s="206" t="s">
        <v>1418</v>
      </c>
      <c r="K2707" s="97">
        <f>I2707*F2707</f>
        <v>131</v>
      </c>
    </row>
    <row r="2708" spans="1:11" hidden="1">
      <c r="A2708" s="134"/>
      <c r="F2708" s="97">
        <v>2</v>
      </c>
      <c r="G2708" s="204" t="s">
        <v>1452</v>
      </c>
      <c r="H2708" s="97" t="s">
        <v>3121</v>
      </c>
      <c r="I2708" s="97">
        <v>91</v>
      </c>
      <c r="J2708" s="206" t="s">
        <v>1418</v>
      </c>
      <c r="K2708" s="97">
        <f>I2708*F2708</f>
        <v>182</v>
      </c>
    </row>
    <row r="2709" spans="1:11" hidden="1">
      <c r="A2709" s="134"/>
      <c r="F2709" s="97"/>
      <c r="G2709" s="204"/>
      <c r="H2709" s="97"/>
      <c r="I2709" s="97"/>
      <c r="J2709" s="206"/>
      <c r="K2709" s="208" t="s">
        <v>3122</v>
      </c>
    </row>
    <row r="2710" spans="1:11" hidden="1">
      <c r="A2710" s="134"/>
      <c r="F2710" s="97"/>
      <c r="G2710" s="204"/>
      <c r="H2710" s="204" t="s">
        <v>3123</v>
      </c>
      <c r="I2710" s="97"/>
      <c r="J2710" s="206"/>
      <c r="K2710" s="97">
        <f>SUM(K2707:K2709)</f>
        <v>313</v>
      </c>
    </row>
    <row r="2711" spans="1:11" hidden="1">
      <c r="A2711" s="134"/>
      <c r="F2711" s="97"/>
      <c r="G2711" s="204"/>
      <c r="H2711" s="204" t="s">
        <v>3124</v>
      </c>
      <c r="I2711" s="97"/>
      <c r="J2711" s="206"/>
      <c r="K2711" s="97">
        <f>K2710/3</f>
        <v>104.33</v>
      </c>
    </row>
    <row r="2712" spans="1:11" hidden="1">
      <c r="A2712" s="134"/>
      <c r="F2712"/>
      <c r="G2712" s="3"/>
      <c r="H2712"/>
      <c r="I2712"/>
      <c r="J2712" s="4"/>
      <c r="K2712"/>
    </row>
    <row r="2713" spans="1:11" ht="15.75" hidden="1" customHeight="1">
      <c r="A2713" s="134"/>
      <c r="F2713" s="209">
        <v>79.400000000000006</v>
      </c>
      <c r="G2713" s="37"/>
      <c r="H2713" s="1853" t="s">
        <v>2750</v>
      </c>
      <c r="I2713" s="1853"/>
      <c r="J2713" s="211"/>
      <c r="K2713" s="38"/>
    </row>
    <row r="2714" spans="1:11" hidden="1">
      <c r="A2714" s="134"/>
      <c r="F2714" s="212"/>
      <c r="G2714" s="37"/>
      <c r="H2714" s="210"/>
      <c r="I2714" s="210"/>
      <c r="J2714" s="211"/>
      <c r="K2714" s="38"/>
    </row>
    <row r="2715" spans="1:11" hidden="1">
      <c r="A2715" s="134"/>
      <c r="F2715" s="38">
        <v>3</v>
      </c>
      <c r="G2715" s="37" t="s">
        <v>1452</v>
      </c>
      <c r="H2715" s="38" t="s">
        <v>2751</v>
      </c>
      <c r="I2715" s="55">
        <v>190</v>
      </c>
      <c r="J2715" s="211" t="s">
        <v>1418</v>
      </c>
      <c r="K2715" s="38">
        <f>I2715*F2715</f>
        <v>570</v>
      </c>
    </row>
    <row r="2716" spans="1:11" hidden="1">
      <c r="A2716" s="134"/>
      <c r="F2716" s="38">
        <v>1</v>
      </c>
      <c r="G2716" s="37" t="s">
        <v>1414</v>
      </c>
      <c r="H2716" s="38" t="s">
        <v>2752</v>
      </c>
      <c r="I2716" s="38">
        <v>223.63</v>
      </c>
      <c r="J2716" s="211" t="s">
        <v>1418</v>
      </c>
      <c r="K2716" s="38">
        <f>I2716*F2716</f>
        <v>223.63</v>
      </c>
    </row>
    <row r="2717" spans="1:11" hidden="1">
      <c r="A2717" s="134"/>
      <c r="F2717" s="38"/>
      <c r="G2717" s="37"/>
      <c r="H2717" s="38" t="s">
        <v>924</v>
      </c>
      <c r="I2717" s="38"/>
      <c r="J2717" s="211"/>
      <c r="K2717" s="38">
        <f>K2728</f>
        <v>76.5</v>
      </c>
    </row>
    <row r="2718" spans="1:11" hidden="1">
      <c r="A2718" s="134"/>
      <c r="F2718" s="38"/>
      <c r="G2718" s="37"/>
      <c r="H2718" s="38" t="s">
        <v>2753</v>
      </c>
      <c r="I2718" s="38"/>
      <c r="J2718" s="211"/>
      <c r="K2718" s="38">
        <v>4.87</v>
      </c>
    </row>
    <row r="2719" spans="1:11" hidden="1">
      <c r="A2719" s="134"/>
      <c r="F2719" s="38"/>
      <c r="G2719" s="37"/>
      <c r="H2719" s="38"/>
      <c r="I2719" s="38"/>
      <c r="J2719" s="211"/>
      <c r="K2719" s="40" t="s">
        <v>429</v>
      </c>
    </row>
    <row r="2720" spans="1:11" hidden="1">
      <c r="A2720" s="134"/>
      <c r="F2720" s="38"/>
      <c r="G2720" s="37"/>
      <c r="H2720" s="38"/>
      <c r="I2720" s="38"/>
      <c r="J2720" s="211"/>
      <c r="K2720" s="38">
        <f>SUM(K2715:K2719)</f>
        <v>875</v>
      </c>
    </row>
    <row r="2721" spans="1:11" hidden="1">
      <c r="A2721" s="134"/>
      <c r="F2721" s="38"/>
      <c r="G2721" s="37"/>
      <c r="H2721" s="38"/>
      <c r="I2721" s="38"/>
      <c r="J2721" s="211"/>
      <c r="K2721" s="40" t="s">
        <v>148</v>
      </c>
    </row>
    <row r="2722" spans="1:11" hidden="1">
      <c r="A2722" s="134"/>
      <c r="F2722" s="38"/>
      <c r="G2722" s="37"/>
      <c r="H2722" s="38" t="s">
        <v>924</v>
      </c>
      <c r="I2722" s="38"/>
      <c r="J2722" s="211"/>
      <c r="K2722" s="38"/>
    </row>
    <row r="2723" spans="1:11" hidden="1">
      <c r="A2723" s="134"/>
      <c r="F2723" s="38">
        <v>1</v>
      </c>
      <c r="G2723" s="37" t="s">
        <v>1414</v>
      </c>
      <c r="H2723" s="38" t="s">
        <v>2754</v>
      </c>
      <c r="I2723" s="38">
        <v>131</v>
      </c>
      <c r="J2723" s="211" t="s">
        <v>1418</v>
      </c>
      <c r="K2723" s="38">
        <f>I2723*F2723</f>
        <v>131</v>
      </c>
    </row>
    <row r="2724" spans="1:11" hidden="1">
      <c r="A2724" s="134"/>
      <c r="F2724" s="38">
        <v>1</v>
      </c>
      <c r="G2724" s="37" t="s">
        <v>1414</v>
      </c>
      <c r="H2724" s="38" t="s">
        <v>2755</v>
      </c>
      <c r="I2724" s="38">
        <v>117</v>
      </c>
      <c r="J2724" s="211" t="s">
        <v>1418</v>
      </c>
      <c r="K2724" s="38">
        <f>I2724*F2724</f>
        <v>117</v>
      </c>
    </row>
    <row r="2725" spans="1:11" hidden="1">
      <c r="A2725" s="134"/>
      <c r="F2725" s="38">
        <v>4</v>
      </c>
      <c r="G2725" s="37" t="s">
        <v>1452</v>
      </c>
      <c r="H2725" s="38" t="s">
        <v>3121</v>
      </c>
      <c r="I2725" s="38">
        <v>91</v>
      </c>
      <c r="J2725" s="211" t="s">
        <v>1418</v>
      </c>
      <c r="K2725" s="38">
        <f>I2725*F2725</f>
        <v>364</v>
      </c>
    </row>
    <row r="2726" spans="1:11" hidden="1">
      <c r="A2726" s="134"/>
      <c r="F2726" s="38"/>
      <c r="G2726" s="37"/>
      <c r="H2726" s="38"/>
      <c r="I2726" s="38"/>
      <c r="J2726" s="211"/>
      <c r="K2726" s="40" t="s">
        <v>3364</v>
      </c>
    </row>
    <row r="2727" spans="1:11" hidden="1">
      <c r="A2727" s="134"/>
      <c r="F2727" s="38"/>
      <c r="G2727" s="37"/>
      <c r="H2727" s="38" t="s">
        <v>3365</v>
      </c>
      <c r="I2727" s="38"/>
      <c r="J2727" s="211"/>
      <c r="K2727" s="38">
        <f>SUM(K2723:K2726)</f>
        <v>612</v>
      </c>
    </row>
    <row r="2728" spans="1:11" hidden="1">
      <c r="A2728" s="134"/>
      <c r="F2728" s="38"/>
      <c r="G2728" s="37"/>
      <c r="H2728" s="38" t="s">
        <v>3366</v>
      </c>
      <c r="I2728" s="38"/>
      <c r="J2728" s="211"/>
      <c r="K2728" s="38">
        <f>K2727/8</f>
        <v>76.5</v>
      </c>
    </row>
    <row r="2729" spans="1:11" hidden="1">
      <c r="A2729" s="134"/>
      <c r="F2729"/>
      <c r="G2729" s="3"/>
      <c r="H2729"/>
      <c r="I2729"/>
      <c r="J2729" s="4"/>
      <c r="K2729"/>
    </row>
    <row r="2730" spans="1:11" ht="31.5" hidden="1">
      <c r="A2730" s="134"/>
      <c r="F2730" s="213">
        <v>170</v>
      </c>
      <c r="G2730" s="3"/>
      <c r="H2730" s="21" t="s">
        <v>3367</v>
      </c>
      <c r="I2730"/>
      <c r="J2730" s="4"/>
      <c r="K2730"/>
    </row>
    <row r="2731" spans="1:11" hidden="1">
      <c r="A2731" s="134"/>
      <c r="F2731"/>
      <c r="G2731" s="3"/>
      <c r="H2731" s="197" t="s">
        <v>1609</v>
      </c>
      <c r="I2731"/>
      <c r="J2731" s="4"/>
      <c r="K2731"/>
    </row>
    <row r="2732" spans="1:11" hidden="1">
      <c r="A2732" s="134"/>
      <c r="F2732">
        <v>1</v>
      </c>
      <c r="G2732" s="3" t="s">
        <v>1414</v>
      </c>
      <c r="H2732" t="s">
        <v>2481</v>
      </c>
      <c r="I2732">
        <v>2400</v>
      </c>
      <c r="J2732" s="4" t="s">
        <v>1418</v>
      </c>
      <c r="K2732">
        <f>I2732*F2732</f>
        <v>2400</v>
      </c>
    </row>
    <row r="2733" spans="1:11" hidden="1">
      <c r="A2733" s="134"/>
      <c r="F2733">
        <v>1</v>
      </c>
      <c r="G2733" s="3" t="s">
        <v>1414</v>
      </c>
      <c r="H2733" t="s">
        <v>3055</v>
      </c>
      <c r="I2733">
        <v>485</v>
      </c>
      <c r="J2733" s="4" t="s">
        <v>1418</v>
      </c>
      <c r="K2733">
        <f>I2733*F2733</f>
        <v>485</v>
      </c>
    </row>
    <row r="2734" spans="1:11" hidden="1">
      <c r="A2734" s="134"/>
      <c r="F2734">
        <v>4</v>
      </c>
      <c r="G2734" s="3" t="s">
        <v>1452</v>
      </c>
      <c r="H2734" t="s">
        <v>3056</v>
      </c>
      <c r="I2734">
        <v>525</v>
      </c>
      <c r="J2734" s="4" t="s">
        <v>1418</v>
      </c>
      <c r="K2734">
        <f>I2734*F2734</f>
        <v>2100</v>
      </c>
    </row>
    <row r="2735" spans="1:11" hidden="1">
      <c r="A2735" s="134"/>
      <c r="F2735">
        <v>4.5</v>
      </c>
      <c r="G2735" s="3" t="s">
        <v>1670</v>
      </c>
      <c r="H2735" t="s">
        <v>3057</v>
      </c>
      <c r="I2735">
        <v>27</v>
      </c>
      <c r="J2735" s="4" t="s">
        <v>1670</v>
      </c>
      <c r="K2735">
        <f>I2735*F2735</f>
        <v>121.5</v>
      </c>
    </row>
    <row r="2736" spans="1:11" hidden="1">
      <c r="A2736" s="134"/>
      <c r="F2736"/>
      <c r="G2736" s="3"/>
      <c r="H2736" t="s">
        <v>3058</v>
      </c>
      <c r="I2736"/>
      <c r="J2736" s="4"/>
      <c r="K2736">
        <f>SUM(K2732:K2735)*1%-0.57</f>
        <v>50.5</v>
      </c>
    </row>
    <row r="2737" spans="1:11" hidden="1">
      <c r="A2737" s="134"/>
      <c r="F2737"/>
      <c r="G2737" s="3"/>
      <c r="H2737" t="s">
        <v>142</v>
      </c>
      <c r="I2737"/>
      <c r="J2737" s="4"/>
      <c r="K2737">
        <v>298</v>
      </c>
    </row>
    <row r="2738" spans="1:11" hidden="1">
      <c r="A2738" s="134"/>
      <c r="F2738"/>
      <c r="G2738" s="3"/>
      <c r="H2738"/>
      <c r="I2738"/>
      <c r="J2738" s="4"/>
      <c r="K2738" s="197" t="s">
        <v>1609</v>
      </c>
    </row>
    <row r="2739" spans="1:11" hidden="1">
      <c r="A2739" s="134"/>
      <c r="F2739"/>
      <c r="G2739" s="3"/>
      <c r="H2739"/>
      <c r="I2739"/>
      <c r="J2739" s="4"/>
      <c r="K2739">
        <f>SUM(K2732:K2738)</f>
        <v>5455</v>
      </c>
    </row>
    <row r="2740" spans="1:11" hidden="1">
      <c r="A2740" s="134"/>
      <c r="F2740"/>
      <c r="G2740" s="3"/>
      <c r="H2740"/>
      <c r="I2740"/>
      <c r="J2740" s="4"/>
      <c r="K2740" s="197" t="s">
        <v>2080</v>
      </c>
    </row>
    <row r="2741" spans="1:11" hidden="1">
      <c r="A2741" s="134"/>
      <c r="F2741" s="213">
        <v>180</v>
      </c>
      <c r="G2741" s="3"/>
      <c r="H2741" t="s">
        <v>3059</v>
      </c>
      <c r="I2741"/>
      <c r="J2741" s="4"/>
      <c r="K2741"/>
    </row>
    <row r="2742" spans="1:11" hidden="1">
      <c r="A2742" s="134"/>
      <c r="F2742"/>
      <c r="G2742" s="3"/>
      <c r="H2742" s="197" t="s">
        <v>1609</v>
      </c>
      <c r="I2742"/>
      <c r="J2742" s="4"/>
      <c r="K2742"/>
    </row>
    <row r="2743" spans="1:11" hidden="1">
      <c r="A2743" s="134"/>
      <c r="F2743">
        <v>0.8</v>
      </c>
      <c r="G2743" s="3" t="s">
        <v>1670</v>
      </c>
      <c r="H2743" t="s">
        <v>3060</v>
      </c>
      <c r="I2743">
        <v>230</v>
      </c>
      <c r="J2743" s="4" t="s">
        <v>1670</v>
      </c>
      <c r="K2743">
        <f>I2743*F2743</f>
        <v>184</v>
      </c>
    </row>
    <row r="2744" spans="1:11" hidden="1">
      <c r="A2744" s="134"/>
      <c r="F2744">
        <v>3</v>
      </c>
      <c r="G2744" s="3" t="s">
        <v>1452</v>
      </c>
      <c r="H2744" t="s">
        <v>3061</v>
      </c>
      <c r="I2744">
        <v>20</v>
      </c>
      <c r="J2744" s="4" t="s">
        <v>1418</v>
      </c>
      <c r="K2744">
        <f>I2744*F2744</f>
        <v>60</v>
      </c>
    </row>
    <row r="2745" spans="1:11" hidden="1">
      <c r="A2745" s="134"/>
      <c r="F2745"/>
      <c r="G2745" s="3"/>
      <c r="H2745" t="s">
        <v>3058</v>
      </c>
      <c r="I2745"/>
      <c r="J2745" s="4"/>
      <c r="K2745">
        <f>SUM(K2743:K2744)*1%+1.16</f>
        <v>3.6</v>
      </c>
    </row>
    <row r="2746" spans="1:11" hidden="1">
      <c r="A2746" s="134"/>
      <c r="F2746"/>
      <c r="G2746" s="3"/>
      <c r="H2746" t="s">
        <v>142</v>
      </c>
      <c r="I2746"/>
      <c r="J2746" s="4"/>
      <c r="K2746">
        <v>32.4</v>
      </c>
    </row>
    <row r="2747" spans="1:11" hidden="1">
      <c r="A2747" s="134"/>
      <c r="F2747"/>
      <c r="G2747" s="3"/>
      <c r="H2747"/>
      <c r="I2747"/>
      <c r="J2747" s="4"/>
      <c r="K2747" s="197" t="s">
        <v>1609</v>
      </c>
    </row>
    <row r="2748" spans="1:11" hidden="1">
      <c r="A2748" s="134"/>
      <c r="F2748"/>
      <c r="G2748" s="3"/>
      <c r="H2748"/>
      <c r="I2748"/>
      <c r="J2748" s="4"/>
      <c r="K2748">
        <f>SUM(K2743:K2747)</f>
        <v>280</v>
      </c>
    </row>
    <row r="2749" spans="1:11" hidden="1">
      <c r="A2749" s="134"/>
      <c r="F2749"/>
      <c r="G2749" s="3"/>
      <c r="H2749"/>
      <c r="I2749"/>
      <c r="J2749" s="4"/>
      <c r="K2749" s="197" t="s">
        <v>2080</v>
      </c>
    </row>
    <row r="2750" spans="1:11" ht="31.5" hidden="1">
      <c r="A2750" s="134"/>
      <c r="F2750" s="213">
        <v>184</v>
      </c>
      <c r="G2750" s="3"/>
      <c r="H2750" s="21" t="s">
        <v>3268</v>
      </c>
      <c r="I2750"/>
      <c r="J2750" s="4"/>
      <c r="K2750"/>
    </row>
    <row r="2751" spans="1:11" hidden="1">
      <c r="A2751" s="134"/>
      <c r="F2751"/>
      <c r="G2751" s="3"/>
      <c r="H2751" s="197" t="s">
        <v>1609</v>
      </c>
      <c r="I2751"/>
      <c r="J2751" s="4"/>
      <c r="K2751"/>
    </row>
    <row r="2752" spans="1:11" hidden="1">
      <c r="A2752" s="134"/>
      <c r="F2752">
        <v>1</v>
      </c>
      <c r="G2752" s="3" t="s">
        <v>1414</v>
      </c>
      <c r="H2752" t="s">
        <v>3269</v>
      </c>
      <c r="I2752">
        <v>1860</v>
      </c>
      <c r="J2752" s="4" t="s">
        <v>1418</v>
      </c>
      <c r="K2752">
        <f t="shared" ref="K2752:K2760" si="90">I2752*F2752</f>
        <v>1860</v>
      </c>
    </row>
    <row r="2753" spans="1:11" hidden="1">
      <c r="A2753" s="134"/>
      <c r="F2753">
        <v>2</v>
      </c>
      <c r="G2753" s="3" t="s">
        <v>1414</v>
      </c>
      <c r="H2753" t="s">
        <v>3270</v>
      </c>
      <c r="I2753">
        <v>46</v>
      </c>
      <c r="J2753" s="4" t="s">
        <v>1418</v>
      </c>
      <c r="K2753">
        <f t="shared" si="90"/>
        <v>92</v>
      </c>
    </row>
    <row r="2754" spans="1:11" hidden="1">
      <c r="A2754" s="134"/>
      <c r="F2754">
        <v>1.5</v>
      </c>
      <c r="G2754" s="3" t="s">
        <v>835</v>
      </c>
      <c r="H2754" t="s">
        <v>3271</v>
      </c>
      <c r="I2754">
        <v>31</v>
      </c>
      <c r="J2754" s="4" t="s">
        <v>835</v>
      </c>
      <c r="K2754">
        <f t="shared" si="90"/>
        <v>46.5</v>
      </c>
    </row>
    <row r="2755" spans="1:11" hidden="1">
      <c r="A2755" s="134"/>
      <c r="F2755">
        <v>2</v>
      </c>
      <c r="G2755" s="3" t="s">
        <v>1414</v>
      </c>
      <c r="H2755" t="s">
        <v>2843</v>
      </c>
      <c r="I2755">
        <v>6</v>
      </c>
      <c r="J2755" s="4" t="s">
        <v>1418</v>
      </c>
      <c r="K2755">
        <f t="shared" si="90"/>
        <v>12</v>
      </c>
    </row>
    <row r="2756" spans="1:11" hidden="1">
      <c r="A2756" s="134"/>
      <c r="F2756">
        <v>2</v>
      </c>
      <c r="G2756" s="3" t="s">
        <v>1414</v>
      </c>
      <c r="H2756" t="s">
        <v>2844</v>
      </c>
      <c r="I2756">
        <v>12</v>
      </c>
      <c r="J2756" s="4" t="s">
        <v>1418</v>
      </c>
      <c r="K2756">
        <f t="shared" si="90"/>
        <v>24</v>
      </c>
    </row>
    <row r="2757" spans="1:11" hidden="1">
      <c r="A2757" s="134"/>
      <c r="F2757">
        <v>2</v>
      </c>
      <c r="G2757" s="3" t="s">
        <v>835</v>
      </c>
      <c r="H2757" t="s">
        <v>2845</v>
      </c>
      <c r="I2757">
        <v>7.8</v>
      </c>
      <c r="J2757" s="4" t="s">
        <v>835</v>
      </c>
      <c r="K2757">
        <f t="shared" si="90"/>
        <v>15.6</v>
      </c>
    </row>
    <row r="2758" spans="1:11" hidden="1">
      <c r="A2758" s="134"/>
      <c r="F2758">
        <v>0.1</v>
      </c>
      <c r="G2758" s="3" t="s">
        <v>1414</v>
      </c>
      <c r="H2758" t="s">
        <v>2754</v>
      </c>
      <c r="I2758">
        <f>I2867</f>
        <v>712</v>
      </c>
      <c r="J2758" s="4" t="s">
        <v>1418</v>
      </c>
      <c r="K2758">
        <f t="shared" si="90"/>
        <v>71.2</v>
      </c>
    </row>
    <row r="2759" spans="1:11" hidden="1">
      <c r="A2759" s="134"/>
      <c r="F2759">
        <v>0.2</v>
      </c>
      <c r="G2759" s="3" t="s">
        <v>1414</v>
      </c>
      <c r="H2759" t="s">
        <v>2755</v>
      </c>
      <c r="I2759">
        <f>I2868</f>
        <v>708</v>
      </c>
      <c r="J2759" s="4" t="s">
        <v>1418</v>
      </c>
      <c r="K2759">
        <f t="shared" si="90"/>
        <v>141.6</v>
      </c>
    </row>
    <row r="2760" spans="1:11" hidden="1">
      <c r="A2760" s="134"/>
      <c r="F2760">
        <v>0.3</v>
      </c>
      <c r="G2760" s="3" t="s">
        <v>1414</v>
      </c>
      <c r="H2760" t="s">
        <v>2356</v>
      </c>
      <c r="I2760">
        <f>I2869</f>
        <v>556</v>
      </c>
      <c r="J2760" s="4" t="s">
        <v>1418</v>
      </c>
      <c r="K2760">
        <f t="shared" si="90"/>
        <v>166.8</v>
      </c>
    </row>
    <row r="2761" spans="1:11" hidden="1">
      <c r="A2761" s="134"/>
      <c r="F2761"/>
      <c r="G2761" s="3"/>
      <c r="H2761" t="s">
        <v>3058</v>
      </c>
      <c r="I2761"/>
      <c r="J2761" s="4"/>
      <c r="K2761">
        <f>SUM(K2752:K2760)*1%-0.63</f>
        <v>23.67</v>
      </c>
    </row>
    <row r="2762" spans="1:11" hidden="1">
      <c r="A2762" s="134"/>
      <c r="F2762"/>
      <c r="G2762" s="3"/>
      <c r="H2762"/>
      <c r="I2762"/>
      <c r="J2762" s="4"/>
      <c r="K2762"/>
    </row>
    <row r="2763" spans="1:11" hidden="1">
      <c r="A2763" s="134"/>
      <c r="F2763"/>
      <c r="G2763" s="3"/>
      <c r="H2763"/>
      <c r="I2763"/>
      <c r="J2763" s="4"/>
      <c r="K2763" s="197" t="s">
        <v>1609</v>
      </c>
    </row>
    <row r="2764" spans="1:11" hidden="1">
      <c r="A2764" s="134"/>
      <c r="F2764"/>
      <c r="G2764" s="3"/>
      <c r="H2764"/>
      <c r="I2764"/>
      <c r="J2764" s="4"/>
      <c r="K2764">
        <f>SUM(K2752:K2763)</f>
        <v>2453.37</v>
      </c>
    </row>
    <row r="2765" spans="1:11" hidden="1">
      <c r="A2765" s="134"/>
      <c r="F2765"/>
      <c r="G2765" s="3"/>
      <c r="H2765"/>
      <c r="I2765"/>
      <c r="J2765" s="4"/>
      <c r="K2765" s="197" t="s">
        <v>2080</v>
      </c>
    </row>
    <row r="2766" spans="1:11" hidden="1">
      <c r="A2766" s="134"/>
      <c r="F2766" s="22">
        <v>53.4</v>
      </c>
      <c r="G2766" s="3"/>
      <c r="H2766" s="1" t="s">
        <v>2946</v>
      </c>
      <c r="I2766"/>
      <c r="J2766" s="4" t="s">
        <v>1418</v>
      </c>
      <c r="K2766">
        <v>957</v>
      </c>
    </row>
    <row r="2767" spans="1:11" hidden="1">
      <c r="A2767" s="134"/>
      <c r="F2767"/>
      <c r="G2767" s="3"/>
      <c r="H2767"/>
      <c r="I2767"/>
      <c r="J2767" s="4"/>
      <c r="K2767"/>
    </row>
    <row r="2768" spans="1:11" ht="31.5" hidden="1">
      <c r="A2768" s="134"/>
      <c r="F2768" s="214">
        <v>383</v>
      </c>
      <c r="G2768" s="3"/>
      <c r="H2768" s="21" t="s">
        <v>3502</v>
      </c>
      <c r="I2768"/>
      <c r="J2768" s="4" t="s">
        <v>1418</v>
      </c>
      <c r="K2768">
        <v>600</v>
      </c>
    </row>
    <row r="2769" spans="1:11" hidden="1">
      <c r="A2769" s="134"/>
      <c r="F2769"/>
      <c r="G2769" s="3"/>
      <c r="H2769"/>
      <c r="I2769"/>
      <c r="J2769" s="4"/>
      <c r="K2769"/>
    </row>
    <row r="2770" spans="1:11" hidden="1">
      <c r="A2770" s="134"/>
      <c r="F2770"/>
      <c r="G2770" s="3"/>
      <c r="H2770"/>
      <c r="I2770"/>
      <c r="J2770" s="4"/>
      <c r="K2770"/>
    </row>
    <row r="2771" spans="1:11" hidden="1">
      <c r="A2771" s="134"/>
      <c r="F2771" s="215">
        <v>344.2</v>
      </c>
      <c r="G2771" s="3"/>
      <c r="H2771" s="21" t="s">
        <v>2434</v>
      </c>
      <c r="I2771"/>
      <c r="J2771" s="4" t="s">
        <v>1418</v>
      </c>
      <c r="K2771">
        <v>300</v>
      </c>
    </row>
    <row r="2772" spans="1:11" hidden="1">
      <c r="A2772" s="134"/>
      <c r="F2772" s="214"/>
      <c r="G2772" s="3"/>
      <c r="H2772"/>
      <c r="I2772"/>
      <c r="J2772" s="4"/>
      <c r="K2772"/>
    </row>
    <row r="2773" spans="1:11" hidden="1">
      <c r="A2773" s="134"/>
      <c r="F2773" s="214"/>
      <c r="G2773" s="3"/>
      <c r="H2773"/>
      <c r="I2773"/>
      <c r="J2773" s="4"/>
      <c r="K2773"/>
    </row>
    <row r="2774" spans="1:11" hidden="1">
      <c r="A2774" s="134"/>
      <c r="F2774" s="214"/>
      <c r="G2774" s="3"/>
      <c r="H2774"/>
      <c r="I2774"/>
      <c r="J2774" s="4"/>
      <c r="K2774"/>
    </row>
    <row r="2775" spans="1:11" hidden="1">
      <c r="A2775" s="134"/>
      <c r="F2775" s="215">
        <v>344.1</v>
      </c>
      <c r="G2775" s="3"/>
      <c r="H2775" s="21" t="s">
        <v>2435</v>
      </c>
      <c r="I2775"/>
      <c r="J2775" s="4" t="s">
        <v>1418</v>
      </c>
      <c r="K2775">
        <v>260</v>
      </c>
    </row>
    <row r="2776" spans="1:11" hidden="1">
      <c r="A2776" s="134"/>
      <c r="F2776" s="100"/>
      <c r="G2776" s="3"/>
      <c r="H2776"/>
      <c r="I2776"/>
      <c r="J2776" s="4"/>
      <c r="K2776"/>
    </row>
    <row r="2777" spans="1:11" hidden="1">
      <c r="A2777" s="134"/>
      <c r="F2777" s="100"/>
      <c r="G2777" s="3"/>
      <c r="H2777"/>
      <c r="I2777"/>
      <c r="J2777" s="4"/>
      <c r="K2777"/>
    </row>
    <row r="2778" spans="1:11" hidden="1">
      <c r="A2778" s="134"/>
      <c r="F2778">
        <v>384</v>
      </c>
      <c r="G2778" s="3"/>
      <c r="H2778"/>
      <c r="I2778"/>
      <c r="J2778" s="4"/>
      <c r="K2778"/>
    </row>
    <row r="2779" spans="1:11" hidden="1">
      <c r="A2779" s="134"/>
      <c r="F2779"/>
      <c r="G2779" s="3"/>
      <c r="H2779" s="21" t="s">
        <v>2436</v>
      </c>
      <c r="I2779"/>
      <c r="J2779" s="4" t="s">
        <v>1418</v>
      </c>
      <c r="K2779">
        <v>650</v>
      </c>
    </row>
    <row r="2780" spans="1:11" hidden="1">
      <c r="A2780" s="134"/>
      <c r="F2780"/>
      <c r="G2780" s="3"/>
      <c r="H2780"/>
      <c r="I2780"/>
      <c r="J2780" s="4"/>
      <c r="K2780"/>
    </row>
    <row r="2781" spans="1:11" ht="19.5" hidden="1">
      <c r="A2781" s="134"/>
      <c r="F2781" s="216">
        <v>385</v>
      </c>
      <c r="G2781" s="3"/>
      <c r="H2781" t="s">
        <v>2846</v>
      </c>
      <c r="I2781"/>
      <c r="J2781" s="4"/>
      <c r="K2781"/>
    </row>
    <row r="2782" spans="1:11" hidden="1">
      <c r="A2782" s="134"/>
      <c r="F2782"/>
      <c r="G2782" s="3"/>
      <c r="H2782" s="39" t="s">
        <v>2847</v>
      </c>
      <c r="I2782"/>
      <c r="J2782" s="4"/>
      <c r="K2782"/>
    </row>
    <row r="2783" spans="1:11" hidden="1">
      <c r="A2783" s="134"/>
      <c r="F2783">
        <v>4</v>
      </c>
      <c r="G2783" s="3" t="s">
        <v>835</v>
      </c>
      <c r="H2783" t="s">
        <v>3263</v>
      </c>
      <c r="I2783">
        <v>110</v>
      </c>
      <c r="J2783" s="3" t="s">
        <v>835</v>
      </c>
      <c r="K2783">
        <f t="shared" ref="K2783:K2790" si="91">I2783*F2783</f>
        <v>440</v>
      </c>
    </row>
    <row r="2784" spans="1:11" hidden="1">
      <c r="A2784" s="134"/>
      <c r="F2784">
        <v>2.52</v>
      </c>
      <c r="G2784" s="3" t="s">
        <v>1670</v>
      </c>
      <c r="H2784" t="s">
        <v>3264</v>
      </c>
      <c r="I2784">
        <v>30</v>
      </c>
      <c r="J2784" s="3" t="s">
        <v>1670</v>
      </c>
      <c r="K2784">
        <f t="shared" si="91"/>
        <v>75.599999999999994</v>
      </c>
    </row>
    <row r="2785" spans="1:11" hidden="1">
      <c r="A2785" s="134"/>
      <c r="F2785">
        <v>1.1299999999999999</v>
      </c>
      <c r="G2785" s="3" t="s">
        <v>1670</v>
      </c>
      <c r="H2785" t="s">
        <v>3142</v>
      </c>
      <c r="I2785">
        <v>30</v>
      </c>
      <c r="J2785" s="3" t="s">
        <v>1670</v>
      </c>
      <c r="K2785">
        <f t="shared" si="91"/>
        <v>33.9</v>
      </c>
    </row>
    <row r="2786" spans="1:11" hidden="1">
      <c r="A2786" s="134"/>
      <c r="F2786">
        <v>0.35</v>
      </c>
      <c r="G2786" s="3" t="s">
        <v>1670</v>
      </c>
      <c r="H2786" t="s">
        <v>3143</v>
      </c>
      <c r="I2786">
        <v>30</v>
      </c>
      <c r="J2786" s="3" t="s">
        <v>1670</v>
      </c>
      <c r="K2786">
        <f t="shared" si="91"/>
        <v>10.5</v>
      </c>
    </row>
    <row r="2787" spans="1:11" hidden="1">
      <c r="A2787" s="134"/>
      <c r="F2787">
        <v>4</v>
      </c>
      <c r="G2787" s="3" t="s">
        <v>1670</v>
      </c>
      <c r="H2787" t="s">
        <v>3144</v>
      </c>
      <c r="I2787">
        <v>12.25</v>
      </c>
      <c r="J2787" s="3" t="s">
        <v>1670</v>
      </c>
      <c r="K2787">
        <f t="shared" si="91"/>
        <v>49</v>
      </c>
    </row>
    <row r="2788" spans="1:11" hidden="1">
      <c r="A2788" s="134"/>
      <c r="F2788">
        <v>6</v>
      </c>
      <c r="G2788" s="3" t="s">
        <v>1452</v>
      </c>
      <c r="H2788" t="s">
        <v>3145</v>
      </c>
      <c r="I2788">
        <v>1</v>
      </c>
      <c r="J2788" s="3" t="s">
        <v>1452</v>
      </c>
      <c r="K2788">
        <f t="shared" si="91"/>
        <v>6</v>
      </c>
    </row>
    <row r="2789" spans="1:11" hidden="1">
      <c r="A2789" s="134"/>
      <c r="F2789">
        <v>0.5</v>
      </c>
      <c r="G2789" s="3" t="s">
        <v>1452</v>
      </c>
      <c r="H2789" t="s">
        <v>348</v>
      </c>
      <c r="I2789">
        <f>C12</f>
        <v>95</v>
      </c>
      <c r="J2789" s="3" t="s">
        <v>1418</v>
      </c>
      <c r="K2789">
        <f t="shared" si="91"/>
        <v>47.5</v>
      </c>
    </row>
    <row r="2790" spans="1:11" hidden="1">
      <c r="A2790" s="134"/>
      <c r="F2790">
        <v>0.5</v>
      </c>
      <c r="G2790" s="3" t="s">
        <v>1452</v>
      </c>
      <c r="H2790" t="s">
        <v>1241</v>
      </c>
      <c r="I2790">
        <f>C13</f>
        <v>85</v>
      </c>
      <c r="J2790" s="3" t="s">
        <v>1418</v>
      </c>
      <c r="K2790">
        <f t="shared" si="91"/>
        <v>42.5</v>
      </c>
    </row>
    <row r="2791" spans="1:11" hidden="1">
      <c r="A2791" s="134"/>
      <c r="F2791"/>
      <c r="G2791" s="3"/>
      <c r="H2791"/>
      <c r="I2791"/>
      <c r="J2791" s="3"/>
      <c r="K2791" s="39" t="s">
        <v>3364</v>
      </c>
    </row>
    <row r="2792" spans="1:11" hidden="1">
      <c r="A2792" s="134"/>
      <c r="F2792"/>
      <c r="G2792" s="3"/>
      <c r="H2792" t="s">
        <v>3146</v>
      </c>
      <c r="I2792"/>
      <c r="J2792" s="4"/>
      <c r="K2792">
        <f>SUM(K2783:K2791)</f>
        <v>705</v>
      </c>
    </row>
    <row r="2793" spans="1:11" hidden="1">
      <c r="A2793" s="134"/>
      <c r="F2793"/>
      <c r="G2793" s="3"/>
      <c r="H2793"/>
      <c r="I2793"/>
      <c r="J2793" s="4"/>
      <c r="K2793" s="39" t="s">
        <v>3110</v>
      </c>
    </row>
    <row r="2794" spans="1:11" hidden="1">
      <c r="A2794" s="134"/>
      <c r="F2794"/>
      <c r="G2794" s="3"/>
      <c r="H2794" t="s">
        <v>2826</v>
      </c>
      <c r="I2794"/>
      <c r="J2794" s="4"/>
      <c r="K2794">
        <f>K2792/2</f>
        <v>352.5</v>
      </c>
    </row>
    <row r="2795" spans="1:11" hidden="1">
      <c r="A2795" s="134"/>
      <c r="F2795"/>
      <c r="G2795" s="3"/>
      <c r="H2795"/>
      <c r="I2795"/>
      <c r="J2795" s="4"/>
      <c r="K2795" s="39" t="s">
        <v>34</v>
      </c>
    </row>
    <row r="2796" spans="1:11" ht="19.5" hidden="1">
      <c r="A2796" s="134"/>
      <c r="F2796" s="198">
        <v>112.1</v>
      </c>
      <c r="G2796" s="3"/>
      <c r="H2796" s="217" t="s">
        <v>2494</v>
      </c>
      <c r="I2796"/>
      <c r="J2796" s="4"/>
      <c r="K2796"/>
    </row>
    <row r="2797" spans="1:11" hidden="1">
      <c r="A2797" s="134"/>
      <c r="F2797"/>
      <c r="G2797" s="3"/>
      <c r="H2797" s="39" t="s">
        <v>2495</v>
      </c>
      <c r="I2797"/>
      <c r="J2797" s="4"/>
      <c r="K2797"/>
    </row>
    <row r="2798" spans="1:11" hidden="1">
      <c r="A2798" s="134"/>
      <c r="F2798">
        <v>1</v>
      </c>
      <c r="G2798" s="3" t="s">
        <v>1414</v>
      </c>
      <c r="H2798" s="21" t="s">
        <v>2494</v>
      </c>
      <c r="I2798" s="83">
        <v>1059</v>
      </c>
      <c r="J2798" s="4" t="s">
        <v>1418</v>
      </c>
      <c r="K2798">
        <f>I2798*F2798</f>
        <v>1059</v>
      </c>
    </row>
    <row r="2799" spans="1:11" hidden="1">
      <c r="A2799" s="134"/>
      <c r="F2799">
        <v>1</v>
      </c>
      <c r="G2799" s="3" t="s">
        <v>1414</v>
      </c>
      <c r="H2799" s="21" t="s">
        <v>2496</v>
      </c>
      <c r="I2799">
        <v>95</v>
      </c>
      <c r="J2799" s="4" t="s">
        <v>1418</v>
      </c>
      <c r="K2799">
        <f>I2799*F2799</f>
        <v>95</v>
      </c>
    </row>
    <row r="2800" spans="1:11" ht="31.5" hidden="1">
      <c r="A2800" s="134"/>
      <c r="F2800" t="s">
        <v>450</v>
      </c>
      <c r="G2800" s="3"/>
      <c r="H2800" s="21" t="s">
        <v>2531</v>
      </c>
      <c r="I2800"/>
      <c r="J2800" s="4" t="s">
        <v>450</v>
      </c>
      <c r="K2800">
        <v>16.64</v>
      </c>
    </row>
    <row r="2801" spans="1:11" hidden="1">
      <c r="A2801" s="134"/>
      <c r="F2801"/>
      <c r="G2801" s="3"/>
      <c r="H2801" t="s">
        <v>2532</v>
      </c>
      <c r="I2801"/>
      <c r="J2801" s="4"/>
      <c r="K2801">
        <v>10.11</v>
      </c>
    </row>
    <row r="2802" spans="1:11" hidden="1">
      <c r="A2802" s="134"/>
      <c r="F2802"/>
      <c r="G2802" s="3"/>
      <c r="H2802" t="s">
        <v>1522</v>
      </c>
      <c r="I2802"/>
      <c r="J2802" s="4" t="s">
        <v>1418</v>
      </c>
      <c r="K2802">
        <f>K2811</f>
        <v>78.25</v>
      </c>
    </row>
    <row r="2803" spans="1:11" hidden="1">
      <c r="A2803" s="134"/>
      <c r="F2803"/>
      <c r="G2803" s="3"/>
      <c r="H2803"/>
      <c r="I2803"/>
      <c r="J2803" s="4"/>
      <c r="K2803" s="39" t="s">
        <v>2353</v>
      </c>
    </row>
    <row r="2804" spans="1:11" hidden="1">
      <c r="A2804" s="134"/>
      <c r="F2804"/>
      <c r="G2804" s="3"/>
      <c r="H2804"/>
      <c r="I2804"/>
      <c r="J2804" s="4"/>
      <c r="K2804">
        <f>SUM(K2798:K2803)</f>
        <v>1259</v>
      </c>
    </row>
    <row r="2805" spans="1:11" hidden="1">
      <c r="A2805" s="134"/>
      <c r="F2805"/>
      <c r="G2805" s="3"/>
      <c r="H2805"/>
      <c r="I2805"/>
      <c r="J2805" s="4"/>
      <c r="K2805" s="39" t="s">
        <v>888</v>
      </c>
    </row>
    <row r="2806" spans="1:11" hidden="1">
      <c r="A2806" s="134"/>
      <c r="F2806" t="s">
        <v>142</v>
      </c>
      <c r="G2806" s="3"/>
      <c r="H2806"/>
      <c r="I2806"/>
      <c r="J2806" s="4"/>
      <c r="K2806"/>
    </row>
    <row r="2807" spans="1:11" hidden="1">
      <c r="A2807" s="134"/>
      <c r="F2807">
        <v>1</v>
      </c>
      <c r="G2807" s="3" t="s">
        <v>1414</v>
      </c>
      <c r="H2807" t="s">
        <v>2533</v>
      </c>
      <c r="I2807">
        <v>131</v>
      </c>
      <c r="J2807" s="4" t="s">
        <v>1418</v>
      </c>
      <c r="K2807">
        <f>I2807*F2807</f>
        <v>131</v>
      </c>
    </row>
    <row r="2808" spans="1:11" hidden="1">
      <c r="A2808" s="134"/>
      <c r="F2808">
        <v>2</v>
      </c>
      <c r="G2808" s="3" t="s">
        <v>1452</v>
      </c>
      <c r="H2808" t="s">
        <v>2356</v>
      </c>
      <c r="I2808">
        <v>91</v>
      </c>
      <c r="J2808" s="4" t="s">
        <v>1418</v>
      </c>
      <c r="K2808">
        <f>I2808*F2808</f>
        <v>182</v>
      </c>
    </row>
    <row r="2809" spans="1:11" hidden="1">
      <c r="A2809" s="134"/>
      <c r="F2809"/>
      <c r="G2809" s="3"/>
      <c r="H2809"/>
      <c r="I2809"/>
      <c r="J2809" s="4"/>
      <c r="K2809" s="39" t="s">
        <v>2353</v>
      </c>
    </row>
    <row r="2810" spans="1:11" hidden="1">
      <c r="A2810" s="134"/>
      <c r="F2810"/>
      <c r="G2810" s="3"/>
      <c r="H2810" t="s">
        <v>2534</v>
      </c>
      <c r="I2810"/>
      <c r="J2810" s="4"/>
      <c r="K2810">
        <f>SUM(K2807:K2809)</f>
        <v>313</v>
      </c>
    </row>
    <row r="2811" spans="1:11" hidden="1">
      <c r="A2811" s="134"/>
      <c r="F2811"/>
      <c r="G2811" s="3"/>
      <c r="H2811" t="s">
        <v>2535</v>
      </c>
      <c r="I2811"/>
      <c r="J2811" s="4"/>
      <c r="K2811">
        <f>K2810/4</f>
        <v>78.25</v>
      </c>
    </row>
    <row r="2812" spans="1:11" hidden="1">
      <c r="A2812" s="134"/>
      <c r="F2812"/>
      <c r="G2812" s="3"/>
      <c r="H2812" s="6"/>
      <c r="I2812"/>
      <c r="J2812" s="4"/>
      <c r="K2812" s="8"/>
    </row>
    <row r="2813" spans="1:11" hidden="1">
      <c r="A2813" s="134"/>
      <c r="F2813">
        <v>70.5</v>
      </c>
      <c r="G2813" s="3"/>
      <c r="H2813" t="s">
        <v>2536</v>
      </c>
      <c r="I2813"/>
      <c r="J2813" s="4"/>
      <c r="K2813"/>
    </row>
    <row r="2814" spans="1:11" hidden="1">
      <c r="A2814" s="134"/>
      <c r="F2814"/>
      <c r="G2814" s="3"/>
      <c r="H2814" s="197" t="s">
        <v>1609</v>
      </c>
      <c r="I2814"/>
      <c r="J2814" s="4"/>
      <c r="K2814"/>
    </row>
    <row r="2815" spans="1:11" ht="47.25" hidden="1">
      <c r="A2815" s="134"/>
      <c r="F2815" s="196">
        <v>1</v>
      </c>
      <c r="G2815" s="196" t="s">
        <v>1414</v>
      </c>
      <c r="H2815" s="196" t="s">
        <v>2916</v>
      </c>
      <c r="I2815">
        <v>322</v>
      </c>
      <c r="J2815" s="4" t="s">
        <v>1418</v>
      </c>
      <c r="K2815">
        <f>F2815*I2815</f>
        <v>322</v>
      </c>
    </row>
    <row r="2816" spans="1:11" hidden="1">
      <c r="A2816" s="134"/>
      <c r="F2816" s="196">
        <v>1</v>
      </c>
      <c r="G2816" s="196" t="s">
        <v>1414</v>
      </c>
      <c r="H2816" t="s">
        <v>2917</v>
      </c>
      <c r="I2816" s="83">
        <v>37</v>
      </c>
      <c r="J2816" s="4" t="s">
        <v>1418</v>
      </c>
      <c r="K2816">
        <f>F2816*I2816</f>
        <v>37</v>
      </c>
    </row>
    <row r="2817" spans="1:11" hidden="1">
      <c r="A2817" s="134"/>
      <c r="F2817" s="196">
        <v>2</v>
      </c>
      <c r="G2817" s="196" t="s">
        <v>1414</v>
      </c>
      <c r="H2817" t="s">
        <v>2918</v>
      </c>
      <c r="I2817">
        <v>600</v>
      </c>
      <c r="J2817" s="4" t="s">
        <v>2919</v>
      </c>
      <c r="K2817">
        <f>(F2817*I2817)/100</f>
        <v>12</v>
      </c>
    </row>
    <row r="2818" spans="1:11" hidden="1">
      <c r="A2818" s="134"/>
      <c r="F2818" s="196">
        <v>2</v>
      </c>
      <c r="G2818" s="196" t="s">
        <v>1414</v>
      </c>
      <c r="H2818" t="s">
        <v>2920</v>
      </c>
      <c r="I2818">
        <v>914.1</v>
      </c>
      <c r="J2818" s="4" t="s">
        <v>2921</v>
      </c>
      <c r="K2818">
        <f>(F2818*I2818)/100</f>
        <v>18.28</v>
      </c>
    </row>
    <row r="2819" spans="1:11" hidden="1">
      <c r="A2819" s="134"/>
      <c r="F2819" s="196"/>
      <c r="G2819" s="196"/>
      <c r="H2819" t="s">
        <v>2922</v>
      </c>
      <c r="I2819">
        <f>K2830</f>
        <v>49.25</v>
      </c>
      <c r="J2819" s="4" t="s">
        <v>450</v>
      </c>
      <c r="K2819">
        <f>I2819</f>
        <v>49.25</v>
      </c>
    </row>
    <row r="2820" spans="1:11" hidden="1">
      <c r="A2820" s="134"/>
      <c r="F2820"/>
      <c r="G2820" s="3"/>
      <c r="H2820" t="s">
        <v>2923</v>
      </c>
      <c r="I2820"/>
      <c r="J2820" s="4" t="s">
        <v>450</v>
      </c>
      <c r="K2820">
        <v>1.84</v>
      </c>
    </row>
    <row r="2821" spans="1:11" hidden="1">
      <c r="A2821" s="134"/>
      <c r="F2821"/>
      <c r="G2821" s="3"/>
      <c r="H2821"/>
      <c r="I2821"/>
      <c r="J2821" s="4"/>
      <c r="K2821" s="197" t="s">
        <v>1609</v>
      </c>
    </row>
    <row r="2822" spans="1:11" hidden="1">
      <c r="A2822" s="134"/>
      <c r="F2822"/>
      <c r="G2822" s="3"/>
      <c r="H2822" t="s">
        <v>2270</v>
      </c>
      <c r="I2822"/>
      <c r="J2822" s="4"/>
      <c r="K2822">
        <f>SUM(K2815:K2821)</f>
        <v>440.37</v>
      </c>
    </row>
    <row r="2823" spans="1:11" hidden="1">
      <c r="A2823" s="134"/>
      <c r="F2823"/>
      <c r="G2823" s="3"/>
      <c r="H2823"/>
      <c r="I2823"/>
      <c r="J2823" s="4"/>
      <c r="K2823" s="197" t="s">
        <v>2080</v>
      </c>
    </row>
    <row r="2824" spans="1:11" hidden="1">
      <c r="A2824" s="134"/>
      <c r="F2824"/>
      <c r="G2824" s="3"/>
      <c r="H2824" t="s">
        <v>2924</v>
      </c>
      <c r="I2824"/>
      <c r="J2824" s="4"/>
      <c r="K2824"/>
    </row>
    <row r="2825" spans="1:11" hidden="1">
      <c r="A2825" s="134"/>
      <c r="F2825">
        <v>1</v>
      </c>
      <c r="G2825" s="3" t="s">
        <v>1414</v>
      </c>
      <c r="H2825" t="s">
        <v>3385</v>
      </c>
      <c r="I2825">
        <v>160</v>
      </c>
      <c r="J2825" s="4" t="s">
        <v>1418</v>
      </c>
      <c r="K2825">
        <f>F2825*I2825</f>
        <v>160</v>
      </c>
    </row>
    <row r="2826" spans="1:11" hidden="1">
      <c r="A2826" s="134"/>
      <c r="F2826">
        <v>2</v>
      </c>
      <c r="G2826" s="3" t="s">
        <v>1414</v>
      </c>
      <c r="H2826" t="s">
        <v>3386</v>
      </c>
      <c r="I2826">
        <v>149</v>
      </c>
      <c r="J2826" s="4" t="s">
        <v>1418</v>
      </c>
      <c r="K2826">
        <f>F2826*I2826</f>
        <v>298</v>
      </c>
    </row>
    <row r="2827" spans="1:11" hidden="1">
      <c r="A2827" s="134"/>
      <c r="F2827">
        <v>3</v>
      </c>
      <c r="G2827" s="3" t="s">
        <v>1414</v>
      </c>
      <c r="H2827" t="s">
        <v>2356</v>
      </c>
      <c r="I2827">
        <v>110</v>
      </c>
      <c r="J2827" s="4" t="s">
        <v>1418</v>
      </c>
      <c r="K2827">
        <f>F2827*I2827</f>
        <v>330</v>
      </c>
    </row>
    <row r="2828" spans="1:11" hidden="1">
      <c r="A2828" s="134"/>
      <c r="F2828"/>
      <c r="G2828" s="3"/>
      <c r="H2828"/>
      <c r="I2828"/>
      <c r="J2828" s="4"/>
      <c r="K2828" s="197" t="s">
        <v>1609</v>
      </c>
    </row>
    <row r="2829" spans="1:11" hidden="1">
      <c r="A2829" s="134"/>
      <c r="F2829"/>
      <c r="G2829" s="3"/>
      <c r="H2829" t="s">
        <v>2925</v>
      </c>
      <c r="I2829"/>
      <c r="J2829" s="4"/>
      <c r="K2829">
        <f>SUM(K2825:K2828)</f>
        <v>788</v>
      </c>
    </row>
    <row r="2830" spans="1:11" hidden="1">
      <c r="A2830" s="134"/>
      <c r="F2830"/>
      <c r="G2830" s="3"/>
      <c r="H2830" t="s">
        <v>2926</v>
      </c>
      <c r="I2830"/>
      <c r="J2830" s="4"/>
      <c r="K2830">
        <f>K2829/16</f>
        <v>49.25</v>
      </c>
    </row>
    <row r="2831" spans="1:11" hidden="1">
      <c r="A2831" s="134"/>
      <c r="F2831"/>
      <c r="G2831" s="3"/>
      <c r="H2831"/>
      <c r="I2831"/>
      <c r="J2831" s="4"/>
      <c r="K2831" s="197" t="s">
        <v>1609</v>
      </c>
    </row>
    <row r="2832" spans="1:11" ht="9" customHeight="1">
      <c r="A2832" s="134"/>
    </row>
    <row r="2833" spans="1:18" ht="19.5">
      <c r="A2833" s="134"/>
      <c r="H2833" s="282" t="s">
        <v>3749</v>
      </c>
    </row>
    <row r="2834" spans="1:18">
      <c r="A2834" s="134"/>
      <c r="H2834" s="218" t="s">
        <v>3967</v>
      </c>
    </row>
    <row r="2835" spans="1:18" ht="9" customHeight="1">
      <c r="A2835" s="134"/>
    </row>
    <row r="2836" spans="1:18" ht="20.25" customHeight="1">
      <c r="A2836" s="134"/>
      <c r="H2836" s="281" t="s">
        <v>2927</v>
      </c>
    </row>
    <row r="2837" spans="1:18" ht="20.25" customHeight="1">
      <c r="A2837" s="134"/>
      <c r="H2837" s="279" t="s">
        <v>2928</v>
      </c>
      <c r="O2837" s="219" t="s">
        <v>2929</v>
      </c>
    </row>
    <row r="2838" spans="1:18" ht="16.5" customHeight="1">
      <c r="A2838" s="134"/>
      <c r="H2838" s="279" t="s">
        <v>2930</v>
      </c>
    </row>
    <row r="2839" spans="1:18">
      <c r="A2839" s="134"/>
      <c r="H2839" s="280"/>
    </row>
    <row r="2840" spans="1:18" ht="25.5" customHeight="1">
      <c r="A2840" s="134"/>
      <c r="H2840" s="279" t="s">
        <v>2931</v>
      </c>
    </row>
    <row r="2841" spans="1:18" ht="1.5" customHeight="1">
      <c r="A2841" s="134"/>
    </row>
    <row r="2842" spans="1:18" ht="167.25" customHeight="1">
      <c r="A2842" s="134"/>
      <c r="H2842" s="220" t="s">
        <v>2410</v>
      </c>
      <c r="M2842" s="221"/>
      <c r="N2842" s="221"/>
      <c r="O2842" s="220" t="s">
        <v>2875</v>
      </c>
      <c r="P2842" s="221"/>
      <c r="Q2842" s="221"/>
      <c r="R2842" s="221"/>
    </row>
    <row r="2843" spans="1:18" ht="36.75" customHeight="1">
      <c r="A2843" s="134"/>
      <c r="F2843" s="221">
        <v>90</v>
      </c>
      <c r="G2843" s="221" t="s">
        <v>835</v>
      </c>
      <c r="H2843" s="278" t="s">
        <v>3942</v>
      </c>
      <c r="I2843" s="222">
        <f>Elec.Data!I2843</f>
        <v>15.5</v>
      </c>
      <c r="J2843" s="221" t="s">
        <v>2573</v>
      </c>
      <c r="K2843" s="221">
        <f>F2843*I2843</f>
        <v>1395</v>
      </c>
      <c r="M2843" s="221"/>
      <c r="N2843" s="221"/>
      <c r="O2843" s="219"/>
      <c r="P2843" s="221"/>
      <c r="Q2843" s="221"/>
      <c r="R2843" s="221"/>
    </row>
    <row r="2844" spans="1:18" ht="42.75" customHeight="1">
      <c r="A2844" s="134"/>
      <c r="E2844" s="221"/>
      <c r="F2844" s="221">
        <v>45</v>
      </c>
      <c r="G2844" s="221" t="s">
        <v>835</v>
      </c>
      <c r="H2844" s="220" t="s">
        <v>3937</v>
      </c>
      <c r="I2844" s="222">
        <f>Elec.Data!I2844</f>
        <v>19.100000000000001</v>
      </c>
      <c r="J2844" s="221" t="s">
        <v>2390</v>
      </c>
      <c r="K2844" s="221">
        <f>F2844*I2844</f>
        <v>859.5</v>
      </c>
      <c r="L2844" s="221"/>
      <c r="M2844" s="221"/>
      <c r="N2844" s="221"/>
      <c r="P2844" s="221" t="s">
        <v>987</v>
      </c>
      <c r="Q2844" s="221"/>
      <c r="R2844" s="221"/>
    </row>
    <row r="2845" spans="1:18" ht="24.95" customHeight="1">
      <c r="A2845" s="134"/>
      <c r="E2845" s="221"/>
      <c r="F2845" s="221">
        <v>20</v>
      </c>
      <c r="G2845" s="221" t="s">
        <v>1414</v>
      </c>
      <c r="H2845" s="221" t="s">
        <v>3936</v>
      </c>
      <c r="I2845" s="222">
        <f>Elec.Data!I2845</f>
        <v>3</v>
      </c>
      <c r="J2845" s="221" t="s">
        <v>1414</v>
      </c>
      <c r="K2845" s="221">
        <f>F2845*I2845</f>
        <v>60</v>
      </c>
      <c r="L2845" s="221"/>
      <c r="M2845" s="221"/>
      <c r="N2845" s="221"/>
      <c r="O2845" s="221"/>
      <c r="P2845" s="221"/>
      <c r="Q2845" s="221"/>
      <c r="R2845" s="221"/>
    </row>
    <row r="2846" spans="1:18" ht="19.5" customHeight="1">
      <c r="A2846" s="134"/>
      <c r="E2846" s="221"/>
      <c r="F2846" s="221">
        <v>10</v>
      </c>
      <c r="G2846" s="221" t="s">
        <v>1414</v>
      </c>
      <c r="H2846" s="221" t="s">
        <v>3944</v>
      </c>
      <c r="I2846" s="222">
        <f>Elec.Data!I2846</f>
        <v>1.28</v>
      </c>
      <c r="J2846" s="221" t="s">
        <v>1414</v>
      </c>
      <c r="K2846" s="221">
        <f>F2846*I2846</f>
        <v>12.8</v>
      </c>
      <c r="L2846" s="221"/>
      <c r="M2846" s="221">
        <v>90</v>
      </c>
      <c r="N2846" s="221" t="s">
        <v>835</v>
      </c>
      <c r="O2846" s="142" t="s">
        <v>2572</v>
      </c>
      <c r="P2846" s="221">
        <f>I2856</f>
        <v>15.5</v>
      </c>
      <c r="Q2846" s="221" t="s">
        <v>835</v>
      </c>
      <c r="R2846" s="221">
        <f>M2846*P2846</f>
        <v>1395</v>
      </c>
    </row>
    <row r="2847" spans="1:18" ht="42.75" customHeight="1">
      <c r="A2847" s="134"/>
      <c r="E2847" s="221"/>
      <c r="F2847" s="221">
        <v>1</v>
      </c>
      <c r="G2847" s="221" t="s">
        <v>1414</v>
      </c>
      <c r="H2847" s="229" t="s">
        <v>3907</v>
      </c>
      <c r="I2847" s="223">
        <v>58</v>
      </c>
      <c r="J2847" s="221" t="s">
        <v>1414</v>
      </c>
      <c r="K2847" s="221">
        <f>F2847*I2847</f>
        <v>58</v>
      </c>
      <c r="L2847" s="221"/>
      <c r="M2847" s="221">
        <v>45</v>
      </c>
      <c r="N2847" s="221" t="s">
        <v>835</v>
      </c>
      <c r="O2847" s="220" t="s">
        <v>2389</v>
      </c>
      <c r="P2847" s="221">
        <f>I2844</f>
        <v>19.100000000000001</v>
      </c>
      <c r="Q2847" s="221" t="s">
        <v>2390</v>
      </c>
      <c r="R2847" s="221">
        <f>M2847*P2847</f>
        <v>859.5</v>
      </c>
    </row>
    <row r="2848" spans="1:18" hidden="1">
      <c r="A2848" s="134"/>
      <c r="E2848" s="221"/>
      <c r="F2848" s="221"/>
      <c r="G2848" s="221"/>
      <c r="H2848" s="221"/>
      <c r="I2848" s="221"/>
      <c r="J2848" s="221"/>
      <c r="K2848" s="221"/>
      <c r="L2848" s="221"/>
      <c r="M2848" s="221">
        <v>75</v>
      </c>
      <c r="N2848" s="221" t="s">
        <v>1414</v>
      </c>
      <c r="O2848" s="221" t="s">
        <v>3792</v>
      </c>
      <c r="P2848" s="260">
        <v>3.85</v>
      </c>
      <c r="Q2848" s="221" t="s">
        <v>3435</v>
      </c>
      <c r="R2848" s="221">
        <f>M2848*P2848/12</f>
        <v>24.06</v>
      </c>
    </row>
    <row r="2849" spans="1:20" ht="34.5" customHeight="1">
      <c r="A2849" s="134"/>
      <c r="E2849" s="221"/>
      <c r="F2849" s="224">
        <v>1.4999999999999999E-2</v>
      </c>
      <c r="G2849" s="221" t="s">
        <v>2308</v>
      </c>
      <c r="H2849" s="221" t="s">
        <v>3938</v>
      </c>
      <c r="I2849" s="222">
        <f>Elec.Data!I2849</f>
        <v>630</v>
      </c>
      <c r="J2849" s="221" t="s">
        <v>2308</v>
      </c>
      <c r="K2849" s="221">
        <f t="shared" ref="K2849:K2856" si="92">F2849*I2849</f>
        <v>9.4499999999999993</v>
      </c>
      <c r="L2849" s="221"/>
      <c r="M2849" s="221">
        <v>12</v>
      </c>
      <c r="N2849" s="221" t="s">
        <v>1414</v>
      </c>
      <c r="O2849" s="221" t="s">
        <v>2391</v>
      </c>
      <c r="P2849" s="221">
        <f>I2845</f>
        <v>3</v>
      </c>
      <c r="Q2849" s="221" t="s">
        <v>1414</v>
      </c>
      <c r="R2849" s="221">
        <f>M2849*P2849</f>
        <v>36</v>
      </c>
    </row>
    <row r="2850" spans="1:20" ht="24.95" customHeight="1">
      <c r="A2850" s="134"/>
      <c r="E2850" s="221"/>
      <c r="F2850" s="221">
        <v>10</v>
      </c>
      <c r="G2850" s="221" t="s">
        <v>1414</v>
      </c>
      <c r="H2850" s="221" t="s">
        <v>3939</v>
      </c>
      <c r="I2850" s="222">
        <f>Elec.Data!I2850</f>
        <v>16.05</v>
      </c>
      <c r="J2850" s="221" t="s">
        <v>1414</v>
      </c>
      <c r="K2850" s="221">
        <f t="shared" si="92"/>
        <v>160.5</v>
      </c>
      <c r="L2850" s="221"/>
      <c r="M2850" s="221">
        <v>6</v>
      </c>
      <c r="N2850" s="221" t="s">
        <v>1414</v>
      </c>
      <c r="O2850" s="221" t="s">
        <v>3432</v>
      </c>
      <c r="P2850" s="221">
        <f>I2846</f>
        <v>1.28</v>
      </c>
      <c r="Q2850" s="221" t="s">
        <v>1414</v>
      </c>
      <c r="R2850" s="221">
        <f>M2850*P2850</f>
        <v>7.68</v>
      </c>
    </row>
    <row r="2851" spans="1:20" ht="24.95" customHeight="1">
      <c r="A2851" s="134"/>
      <c r="E2851" s="221"/>
      <c r="F2851" s="221">
        <v>10</v>
      </c>
      <c r="G2851" s="221" t="s">
        <v>1414</v>
      </c>
      <c r="H2851" s="221" t="s">
        <v>3940</v>
      </c>
      <c r="I2851" s="222">
        <f>Elec.Data!I2851</f>
        <v>13.6</v>
      </c>
      <c r="J2851" s="221" t="s">
        <v>1414</v>
      </c>
      <c r="K2851" s="221">
        <f t="shared" si="92"/>
        <v>136</v>
      </c>
      <c r="L2851" s="221"/>
      <c r="M2851" s="221">
        <v>150</v>
      </c>
      <c r="N2851" s="221" t="s">
        <v>1452</v>
      </c>
      <c r="O2851" s="221" t="s">
        <v>2663</v>
      </c>
      <c r="P2851" s="221">
        <f>Elec.Data!P2851</f>
        <v>287</v>
      </c>
      <c r="Q2851" s="221">
        <v>1000</v>
      </c>
      <c r="R2851" s="221">
        <f>(M2851*P2851)/1000</f>
        <v>43.05</v>
      </c>
    </row>
    <row r="2852" spans="1:20" ht="24.95" customHeight="1">
      <c r="A2852" s="134"/>
      <c r="E2852" s="221"/>
      <c r="F2852" s="221">
        <v>10</v>
      </c>
      <c r="G2852" s="221" t="s">
        <v>1414</v>
      </c>
      <c r="H2852" s="221" t="s">
        <v>3941</v>
      </c>
      <c r="I2852" s="222">
        <f>Elec.Data!I2852</f>
        <v>3.43</v>
      </c>
      <c r="J2852" s="221" t="s">
        <v>1414</v>
      </c>
      <c r="K2852" s="221">
        <f t="shared" si="92"/>
        <v>34.299999999999997</v>
      </c>
      <c r="L2852" s="221"/>
      <c r="M2852" s="224">
        <v>7</v>
      </c>
      <c r="N2852" s="221" t="s">
        <v>1452</v>
      </c>
      <c r="O2852" s="221" t="s">
        <v>2665</v>
      </c>
      <c r="P2852" s="221">
        <f>I2852</f>
        <v>3.43</v>
      </c>
      <c r="Q2852" s="221" t="s">
        <v>1414</v>
      </c>
      <c r="R2852" s="221">
        <f>M2852*P2852</f>
        <v>24.01</v>
      </c>
    </row>
    <row r="2853" spans="1:20" ht="24.95" customHeight="1">
      <c r="A2853" s="134"/>
      <c r="E2853" s="221"/>
      <c r="F2853" s="221">
        <v>1.25</v>
      </c>
      <c r="G2853" s="221" t="s">
        <v>2666</v>
      </c>
      <c r="H2853" s="221" t="s">
        <v>390</v>
      </c>
      <c r="I2853" s="222">
        <f>Elec.Data!I2853</f>
        <v>298</v>
      </c>
      <c r="J2853" s="221" t="s">
        <v>2666</v>
      </c>
      <c r="K2853" s="221">
        <f t="shared" si="92"/>
        <v>372.5</v>
      </c>
      <c r="L2853" s="221"/>
      <c r="M2853" s="221">
        <v>6</v>
      </c>
      <c r="N2853" s="221" t="s">
        <v>1414</v>
      </c>
      <c r="O2853" s="221" t="s">
        <v>2662</v>
      </c>
      <c r="P2853" s="221">
        <f>I2851</f>
        <v>13.6</v>
      </c>
      <c r="Q2853" s="221" t="s">
        <v>1418</v>
      </c>
      <c r="R2853" s="221">
        <f>M2853*P2853</f>
        <v>81.599999999999994</v>
      </c>
    </row>
    <row r="2854" spans="1:20" ht="24.95" customHeight="1">
      <c r="A2854" s="134"/>
      <c r="E2854" s="221"/>
      <c r="F2854" s="221">
        <v>10</v>
      </c>
      <c r="G2854" s="221" t="s">
        <v>1414</v>
      </c>
      <c r="H2854" s="229" t="s">
        <v>3907</v>
      </c>
      <c r="I2854" s="223">
        <f>I2847</f>
        <v>58</v>
      </c>
      <c r="J2854" s="221" t="s">
        <v>1414</v>
      </c>
      <c r="K2854" s="221">
        <f t="shared" si="92"/>
        <v>580</v>
      </c>
      <c r="L2854" s="221"/>
      <c r="M2854" s="221">
        <v>6</v>
      </c>
      <c r="N2854" s="221" t="s">
        <v>1414</v>
      </c>
      <c r="O2854" s="221" t="s">
        <v>2668</v>
      </c>
      <c r="P2854" s="221">
        <f>Elec.Data!P2854</f>
        <v>16.05</v>
      </c>
      <c r="Q2854" s="221" t="s">
        <v>3435</v>
      </c>
      <c r="R2854" s="221">
        <f>(M2854*P2854)/12</f>
        <v>8.0299999999999994</v>
      </c>
    </row>
    <row r="2855" spans="1:20" ht="24.95" customHeight="1">
      <c r="A2855" s="134"/>
      <c r="E2855" s="221"/>
      <c r="F2855" s="221">
        <v>0.15</v>
      </c>
      <c r="G2855" s="221" t="s">
        <v>2308</v>
      </c>
      <c r="H2855" s="221" t="s">
        <v>3938</v>
      </c>
      <c r="I2855" s="222">
        <f>Elec.Data!I2855</f>
        <v>630</v>
      </c>
      <c r="J2855" s="221" t="s">
        <v>2308</v>
      </c>
      <c r="K2855" s="221">
        <f t="shared" si="92"/>
        <v>94.5</v>
      </c>
      <c r="L2855" s="221"/>
      <c r="M2855" s="221">
        <v>1</v>
      </c>
      <c r="N2855" s="221" t="s">
        <v>2670</v>
      </c>
      <c r="O2855" s="221" t="s">
        <v>2671</v>
      </c>
      <c r="P2855" s="221">
        <v>84.1</v>
      </c>
      <c r="Q2855" s="221" t="s">
        <v>2670</v>
      </c>
      <c r="R2855" s="221">
        <f>(M2855*P2855)</f>
        <v>84.1</v>
      </c>
    </row>
    <row r="2856" spans="1:20" ht="44.25" customHeight="1">
      <c r="A2856" s="134"/>
      <c r="E2856" s="221"/>
      <c r="F2856" s="221">
        <v>45</v>
      </c>
      <c r="G2856" s="221" t="s">
        <v>835</v>
      </c>
      <c r="H2856" s="278" t="s">
        <v>3943</v>
      </c>
      <c r="I2856" s="222">
        <f>Elec.Data!I2856</f>
        <v>15.5</v>
      </c>
      <c r="J2856" s="221" t="s">
        <v>3347</v>
      </c>
      <c r="K2856" s="221">
        <f t="shared" si="92"/>
        <v>697.5</v>
      </c>
      <c r="L2856" s="221"/>
      <c r="M2856" s="221">
        <v>6</v>
      </c>
      <c r="N2856" s="221" t="s">
        <v>1452</v>
      </c>
      <c r="O2856" s="220" t="s">
        <v>3348</v>
      </c>
      <c r="P2856" s="221">
        <v>168.95</v>
      </c>
      <c r="Q2856" s="221" t="s">
        <v>2666</v>
      </c>
      <c r="R2856" s="221">
        <f>M2856*P2856</f>
        <v>1013.7</v>
      </c>
    </row>
    <row r="2857" spans="1:20" ht="24.95" customHeight="1">
      <c r="A2857" s="134"/>
      <c r="E2857" s="221"/>
      <c r="F2857" s="221" t="s">
        <v>663</v>
      </c>
      <c r="G2857" s="221"/>
      <c r="H2857" s="221" t="s">
        <v>924</v>
      </c>
      <c r="I2857" s="221"/>
      <c r="J2857" s="221" t="s">
        <v>663</v>
      </c>
      <c r="K2857" s="221">
        <f>K2873</f>
        <v>10421</v>
      </c>
      <c r="L2857" s="221"/>
      <c r="M2857" s="225">
        <v>0.16666666666666666</v>
      </c>
      <c r="N2857" s="221" t="s">
        <v>3349</v>
      </c>
      <c r="O2857" s="221" t="s">
        <v>390</v>
      </c>
      <c r="P2857" s="260">
        <f>I2853</f>
        <v>298</v>
      </c>
      <c r="Q2857" s="221" t="s">
        <v>3349</v>
      </c>
      <c r="R2857" s="221">
        <f>M2857*P2857</f>
        <v>49.67</v>
      </c>
    </row>
    <row r="2858" spans="1:20" ht="20.25" customHeight="1">
      <c r="A2858" s="134"/>
      <c r="E2858" s="221"/>
      <c r="F2858" s="221" t="s">
        <v>663</v>
      </c>
      <c r="G2858" s="221"/>
      <c r="H2858" s="221" t="s">
        <v>2296</v>
      </c>
      <c r="I2858" s="221"/>
      <c r="J2858" s="221" t="s">
        <v>663</v>
      </c>
      <c r="K2858" s="221">
        <v>40.6</v>
      </c>
      <c r="L2858" s="221"/>
      <c r="M2858" s="221">
        <v>45</v>
      </c>
      <c r="N2858" s="221" t="s">
        <v>3500</v>
      </c>
      <c r="O2858" s="142" t="s">
        <v>2672</v>
      </c>
      <c r="P2858" s="221">
        <f>P2846</f>
        <v>15.5</v>
      </c>
      <c r="Q2858" s="221" t="s">
        <v>2308</v>
      </c>
      <c r="R2858" s="221">
        <f>M2858*P2858</f>
        <v>697.5</v>
      </c>
    </row>
    <row r="2859" spans="1:20" ht="24.95" customHeight="1">
      <c r="A2859" s="134"/>
      <c r="E2859" s="221"/>
      <c r="F2859" s="221"/>
      <c r="G2859" s="221"/>
      <c r="H2859" s="226" t="s">
        <v>3350</v>
      </c>
      <c r="I2859" s="221"/>
      <c r="J2859" s="221"/>
      <c r="K2859" s="227">
        <f>SUM(K2843:K2858)</f>
        <v>14931.65</v>
      </c>
      <c r="L2859" s="221"/>
      <c r="M2859" s="221">
        <v>6</v>
      </c>
      <c r="N2859" s="221" t="s">
        <v>3351</v>
      </c>
      <c r="O2859" s="221" t="s">
        <v>924</v>
      </c>
      <c r="P2859" s="221">
        <f>R2877</f>
        <v>1098.17</v>
      </c>
      <c r="Q2859" s="221" t="s">
        <v>3351</v>
      </c>
      <c r="R2859" s="221">
        <f>M2859*P2859</f>
        <v>6589.02</v>
      </c>
    </row>
    <row r="2860" spans="1:20" ht="21.75" customHeight="1">
      <c r="A2860" s="134"/>
      <c r="E2860" s="221"/>
      <c r="F2860" s="221"/>
      <c r="G2860" s="221"/>
      <c r="H2860" s="228" t="s">
        <v>3352</v>
      </c>
      <c r="I2860" s="221"/>
      <c r="J2860" s="221"/>
      <c r="K2860" s="229">
        <f>K2859/10</f>
        <v>1493.17</v>
      </c>
      <c r="L2860" s="221">
        <f>1206*10</f>
        <v>12060</v>
      </c>
      <c r="M2860" s="221"/>
      <c r="N2860" s="221" t="s">
        <v>69</v>
      </c>
      <c r="O2860" s="221" t="s">
        <v>3353</v>
      </c>
      <c r="P2860" s="221"/>
      <c r="Q2860" s="221"/>
      <c r="R2860" s="221">
        <f>18.56+1.91</f>
        <v>20.47</v>
      </c>
    </row>
    <row r="2861" spans="1:20" ht="21" customHeight="1">
      <c r="A2861" s="134"/>
      <c r="E2861" s="221"/>
      <c r="F2861" s="221"/>
      <c r="G2861" s="221"/>
      <c r="H2861" s="221"/>
      <c r="I2861" s="221"/>
      <c r="J2861" s="221"/>
      <c r="K2861" s="221"/>
      <c r="L2861" s="221">
        <f>L2860-K2859</f>
        <v>-2871.65</v>
      </c>
      <c r="M2861" s="221"/>
      <c r="N2861" s="221"/>
      <c r="P2861" s="221"/>
      <c r="Q2861" s="221"/>
      <c r="R2861" s="221"/>
    </row>
    <row r="2862" spans="1:20" ht="16.5" customHeight="1">
      <c r="A2862" s="134"/>
      <c r="E2862" s="221"/>
      <c r="F2862" s="221"/>
      <c r="G2862" s="221"/>
      <c r="H2862" s="229" t="s">
        <v>3354</v>
      </c>
      <c r="I2862" s="221"/>
      <c r="J2862" s="221"/>
      <c r="K2862" s="221"/>
      <c r="L2862" s="221">
        <f>L2860-K2859</f>
        <v>-2871.65</v>
      </c>
      <c r="M2862" s="221"/>
      <c r="N2862" s="221"/>
      <c r="O2862" s="226" t="s">
        <v>3355</v>
      </c>
      <c r="P2862" s="221"/>
      <c r="Q2862" s="221"/>
      <c r="R2862" s="227">
        <f>SUM(R2846:R2861)</f>
        <v>10933.39</v>
      </c>
    </row>
    <row r="2863" spans="1:20" ht="15.75" customHeight="1">
      <c r="A2863" s="134"/>
      <c r="E2863" s="221"/>
      <c r="F2863" s="221"/>
      <c r="G2863" s="221"/>
      <c r="H2863" s="221"/>
      <c r="I2863" s="221"/>
      <c r="J2863" s="221"/>
      <c r="K2863" s="221"/>
      <c r="L2863" s="221"/>
      <c r="M2863" s="221"/>
      <c r="N2863" s="221"/>
      <c r="O2863" s="228" t="s">
        <v>3352</v>
      </c>
      <c r="P2863" s="221"/>
      <c r="Q2863" s="221"/>
      <c r="R2863" s="229">
        <f>R2862/6</f>
        <v>1822.23</v>
      </c>
      <c r="T2863" s="87">
        <f>1382*6</f>
        <v>8292</v>
      </c>
    </row>
    <row r="2864" spans="1:20" ht="19.5" customHeight="1">
      <c r="A2864" s="134"/>
      <c r="E2864" s="221"/>
      <c r="F2864" s="221"/>
      <c r="G2864" s="221"/>
      <c r="H2864" s="229" t="s">
        <v>3430</v>
      </c>
      <c r="I2864" s="221"/>
      <c r="J2864" s="221"/>
      <c r="K2864" s="221"/>
      <c r="L2864" s="221"/>
      <c r="M2864" s="221"/>
      <c r="N2864" s="221"/>
      <c r="O2864" s="221"/>
      <c r="P2864" s="221"/>
      <c r="Q2864" s="221"/>
      <c r="R2864" s="221"/>
      <c r="T2864" s="87">
        <f>T2863-R2862</f>
        <v>-2641.39</v>
      </c>
    </row>
    <row r="2865" spans="1:18" ht="6.75" customHeight="1">
      <c r="A2865" s="134"/>
      <c r="E2865" s="221"/>
      <c r="F2865" s="221"/>
      <c r="G2865" s="221"/>
      <c r="H2865" s="221"/>
      <c r="I2865" s="221"/>
      <c r="J2865" s="221"/>
      <c r="K2865" s="221"/>
      <c r="L2865" s="221"/>
      <c r="M2865" s="221"/>
    </row>
    <row r="2866" spans="1:18" ht="20.25" customHeight="1">
      <c r="A2866" s="134"/>
      <c r="E2866" s="221"/>
      <c r="F2866" s="221">
        <v>1</v>
      </c>
      <c r="G2866" s="221" t="s">
        <v>1414</v>
      </c>
      <c r="H2866" s="221" t="s">
        <v>3356</v>
      </c>
      <c r="I2866" s="260">
        <f>Elec.Data!I2866</f>
        <v>817</v>
      </c>
      <c r="J2866" s="221" t="s">
        <v>1414</v>
      </c>
      <c r="K2866" s="221">
        <f>F2866*I2866</f>
        <v>817</v>
      </c>
      <c r="L2866" s="221"/>
      <c r="M2866" s="221"/>
      <c r="N2866" s="229" t="s">
        <v>3354</v>
      </c>
      <c r="O2866" s="221"/>
      <c r="P2866" s="221"/>
      <c r="Q2866" s="221"/>
    </row>
    <row r="2867" spans="1:18" ht="20.25" customHeight="1">
      <c r="A2867" s="134"/>
      <c r="E2867" s="221"/>
      <c r="F2867" s="221">
        <v>2</v>
      </c>
      <c r="G2867" s="221" t="s">
        <v>1414</v>
      </c>
      <c r="H2867" s="221" t="s">
        <v>3357</v>
      </c>
      <c r="I2867" s="260">
        <f>Elec.Data!I2867</f>
        <v>712</v>
      </c>
      <c r="J2867" s="221" t="s">
        <v>1414</v>
      </c>
      <c r="K2867" s="221">
        <f>F2867*I2867</f>
        <v>1424</v>
      </c>
      <c r="L2867" s="221"/>
      <c r="M2867" s="221"/>
      <c r="N2867" s="221"/>
      <c r="O2867" s="221"/>
      <c r="P2867" s="221"/>
      <c r="Q2867" s="221"/>
    </row>
    <row r="2868" spans="1:18" ht="20.25" customHeight="1">
      <c r="A2868" s="134"/>
      <c r="E2868" s="221"/>
      <c r="F2868" s="221">
        <v>3</v>
      </c>
      <c r="G2868" s="221" t="s">
        <v>1414</v>
      </c>
      <c r="H2868" s="221" t="s">
        <v>3358</v>
      </c>
      <c r="I2868" s="260">
        <f>Elec.Data!I2868</f>
        <v>708</v>
      </c>
      <c r="J2868" s="221" t="s">
        <v>1414</v>
      </c>
      <c r="K2868" s="221">
        <f>F2868*I2868</f>
        <v>2124</v>
      </c>
      <c r="L2868" s="221"/>
      <c r="M2868" s="221"/>
      <c r="N2868" s="229" t="s">
        <v>3430</v>
      </c>
      <c r="O2868" s="221"/>
      <c r="P2868" s="221"/>
      <c r="Q2868" s="221"/>
    </row>
    <row r="2869" spans="1:18" ht="20.25" customHeight="1">
      <c r="A2869" s="134"/>
      <c r="E2869" s="221"/>
      <c r="F2869" s="221">
        <v>4</v>
      </c>
      <c r="G2869" s="221" t="s">
        <v>1414</v>
      </c>
      <c r="H2869" s="221" t="s">
        <v>2356</v>
      </c>
      <c r="I2869" s="260">
        <f>Elec.Data!I2869</f>
        <v>556</v>
      </c>
      <c r="J2869" s="221" t="s">
        <v>1414</v>
      </c>
      <c r="K2869" s="221">
        <f>F2869*I2869</f>
        <v>2224</v>
      </c>
      <c r="L2869" s="221"/>
      <c r="M2869" s="221"/>
      <c r="N2869" s="221"/>
      <c r="O2869" s="221"/>
      <c r="P2869" s="221"/>
      <c r="Q2869" s="221"/>
    </row>
    <row r="2870" spans="1:18" ht="24.95" customHeight="1">
      <c r="A2870" s="134"/>
      <c r="E2870" s="221"/>
      <c r="F2870" s="221"/>
      <c r="G2870" s="221"/>
      <c r="H2870" s="229" t="s">
        <v>3134</v>
      </c>
      <c r="I2870" s="260">
        <f>Elec.Data!I2870</f>
        <v>0</v>
      </c>
      <c r="J2870" s="221"/>
      <c r="K2870" s="221"/>
      <c r="M2870" s="221">
        <v>1</v>
      </c>
      <c r="N2870" s="221" t="s">
        <v>1414</v>
      </c>
      <c r="O2870" s="221" t="s">
        <v>3356</v>
      </c>
      <c r="P2870" s="221">
        <f>I2866</f>
        <v>817</v>
      </c>
      <c r="Q2870" s="221" t="s">
        <v>1414</v>
      </c>
      <c r="R2870" s="221">
        <f>M2870*P2870</f>
        <v>817</v>
      </c>
    </row>
    <row r="2871" spans="1:18" ht="24.95" customHeight="1">
      <c r="A2871" s="134"/>
      <c r="E2871" s="221"/>
      <c r="F2871" s="221">
        <v>2</v>
      </c>
      <c r="G2871" s="221" t="s">
        <v>1414</v>
      </c>
      <c r="H2871" s="221" t="s">
        <v>2876</v>
      </c>
      <c r="I2871" s="260">
        <f>Elec.Data!I2871</f>
        <v>804</v>
      </c>
      <c r="J2871" s="221" t="s">
        <v>1414</v>
      </c>
      <c r="K2871" s="221">
        <f>F2871*I2871</f>
        <v>1608</v>
      </c>
      <c r="M2871" s="221">
        <v>2</v>
      </c>
      <c r="N2871" s="221" t="s">
        <v>1414</v>
      </c>
      <c r="O2871" s="221" t="s">
        <v>3357</v>
      </c>
      <c r="P2871" s="221">
        <f>I2867</f>
        <v>712</v>
      </c>
      <c r="Q2871" s="221" t="s">
        <v>1414</v>
      </c>
      <c r="R2871" s="221">
        <f>M2871*P2871</f>
        <v>1424</v>
      </c>
    </row>
    <row r="2872" spans="1:18" ht="24.95" customHeight="1">
      <c r="A2872" s="134"/>
      <c r="E2872" s="221"/>
      <c r="F2872" s="221">
        <v>4</v>
      </c>
      <c r="G2872" s="221" t="s">
        <v>1414</v>
      </c>
      <c r="H2872" s="221" t="s">
        <v>3121</v>
      </c>
      <c r="I2872" s="260">
        <f>Elec.Data!I2872</f>
        <v>556</v>
      </c>
      <c r="J2872" s="221" t="s">
        <v>1414</v>
      </c>
      <c r="K2872" s="221">
        <f>F2872*I2872</f>
        <v>2224</v>
      </c>
      <c r="M2872" s="221">
        <v>3</v>
      </c>
      <c r="N2872" s="221" t="s">
        <v>1414</v>
      </c>
      <c r="O2872" s="221" t="s">
        <v>3358</v>
      </c>
      <c r="P2872" s="221">
        <f>I2868</f>
        <v>708</v>
      </c>
      <c r="Q2872" s="221" t="s">
        <v>1414</v>
      </c>
      <c r="R2872" s="221">
        <f>M2872*P2872</f>
        <v>2124</v>
      </c>
    </row>
    <row r="2873" spans="1:18" ht="20.25" customHeight="1">
      <c r="A2873" s="134"/>
      <c r="E2873" s="221"/>
      <c r="F2873" s="221"/>
      <c r="G2873" s="221"/>
      <c r="H2873" s="221"/>
      <c r="I2873" s="221"/>
      <c r="J2873" s="221"/>
      <c r="K2873" s="236">
        <f>SUM(K2866:K2872)</f>
        <v>10421</v>
      </c>
      <c r="M2873" s="221">
        <v>4</v>
      </c>
      <c r="N2873" s="221" t="s">
        <v>1414</v>
      </c>
      <c r="O2873" s="221" t="s">
        <v>2356</v>
      </c>
      <c r="P2873" s="221">
        <f>I2869</f>
        <v>556</v>
      </c>
      <c r="Q2873" s="221" t="s">
        <v>1414</v>
      </c>
      <c r="R2873" s="221">
        <f>M2873*P2873</f>
        <v>2224</v>
      </c>
    </row>
    <row r="2874" spans="1:18" ht="5.25" hidden="1" customHeight="1">
      <c r="A2874" s="134"/>
      <c r="E2874" s="221"/>
      <c r="F2874" s="221"/>
      <c r="G2874" s="221"/>
      <c r="H2874" s="221"/>
      <c r="I2874" s="221"/>
      <c r="J2874" s="221"/>
      <c r="K2874" s="227"/>
      <c r="M2874" s="221"/>
      <c r="N2874" s="221"/>
      <c r="O2874" s="221"/>
      <c r="P2874" s="221"/>
      <c r="Q2874" s="221"/>
      <c r="R2874" s="221"/>
    </row>
    <row r="2875" spans="1:18" ht="39.950000000000003" customHeight="1">
      <c r="A2875" s="134"/>
      <c r="E2875" s="221"/>
      <c r="F2875" s="221"/>
      <c r="G2875" s="221"/>
      <c r="H2875" s="93" t="s">
        <v>3135</v>
      </c>
      <c r="I2875" s="221"/>
      <c r="J2875" s="221"/>
      <c r="K2875" s="221"/>
      <c r="L2875" s="221"/>
      <c r="M2875" s="221"/>
      <c r="O2875" s="231" t="s">
        <v>2877</v>
      </c>
      <c r="R2875" s="232">
        <f>SUM(R2870:R2873)</f>
        <v>6589</v>
      </c>
    </row>
    <row r="2876" spans="1:18" ht="30.75" customHeight="1">
      <c r="A2876" s="134"/>
      <c r="E2876" s="221"/>
      <c r="F2876" s="221"/>
      <c r="G2876" s="221"/>
      <c r="H2876" s="93" t="s">
        <v>3441</v>
      </c>
      <c r="I2876" s="221"/>
      <c r="J2876" s="221"/>
      <c r="K2876" s="221"/>
      <c r="L2876" s="221"/>
      <c r="M2876" s="221"/>
    </row>
    <row r="2877" spans="1:18">
      <c r="A2877" s="134"/>
      <c r="E2877" s="221"/>
      <c r="F2877" s="221"/>
      <c r="G2877" s="221"/>
      <c r="H2877" s="221"/>
      <c r="I2877" s="221"/>
      <c r="J2877" s="221"/>
      <c r="K2877" s="221"/>
      <c r="L2877" s="221"/>
      <c r="M2877" s="221"/>
      <c r="Q2877" s="233" t="s">
        <v>3442</v>
      </c>
      <c r="R2877" s="94">
        <f>R2875/6</f>
        <v>1098.17</v>
      </c>
    </row>
    <row r="2878" spans="1:18" ht="186.75" customHeight="1">
      <c r="A2878" s="134"/>
      <c r="E2878" s="221"/>
      <c r="F2878" s="221"/>
      <c r="G2878" s="221"/>
      <c r="H2878" s="220" t="s">
        <v>2515</v>
      </c>
      <c r="I2878" s="221"/>
      <c r="J2878" s="221"/>
      <c r="K2878" s="221"/>
      <c r="L2878" s="221"/>
      <c r="M2878" s="221"/>
      <c r="O2878" s="220" t="s">
        <v>2478</v>
      </c>
    </row>
    <row r="2879" spans="1:18" ht="30" customHeight="1">
      <c r="A2879" s="134"/>
      <c r="E2879" s="221"/>
      <c r="F2879" s="221"/>
      <c r="G2879" s="221"/>
      <c r="H2879" s="221" t="s">
        <v>2479</v>
      </c>
      <c r="I2879" s="221"/>
      <c r="J2879" s="221"/>
      <c r="K2879" s="221">
        <f>K2859-K2858</f>
        <v>14891.05</v>
      </c>
      <c r="L2879" s="221"/>
      <c r="M2879" s="221">
        <v>90</v>
      </c>
      <c r="N2879" s="221" t="s">
        <v>835</v>
      </c>
      <c r="O2879" s="142" t="s">
        <v>2572</v>
      </c>
      <c r="P2879" s="221">
        <f t="shared" ref="P2879:P2887" si="93">P2846</f>
        <v>15.5</v>
      </c>
      <c r="Q2879" s="221" t="s">
        <v>835</v>
      </c>
      <c r="R2879" s="221">
        <f>M2879*P2879</f>
        <v>1395</v>
      </c>
    </row>
    <row r="2880" spans="1:18" ht="30" customHeight="1">
      <c r="A2880" s="134"/>
      <c r="E2880" s="221"/>
      <c r="F2880" s="221"/>
      <c r="G2880" s="221"/>
      <c r="H2880" s="221" t="s">
        <v>2480</v>
      </c>
      <c r="I2880" s="221"/>
      <c r="J2880" s="221"/>
      <c r="K2880" s="221">
        <f>K2851</f>
        <v>136</v>
      </c>
      <c r="L2880" s="221"/>
      <c r="M2880" s="221">
        <v>45</v>
      </c>
      <c r="N2880" s="221" t="s">
        <v>835</v>
      </c>
      <c r="O2880" s="220" t="s">
        <v>2389</v>
      </c>
      <c r="P2880" s="221">
        <f t="shared" si="93"/>
        <v>19.100000000000001</v>
      </c>
      <c r="Q2880" s="221" t="s">
        <v>2390</v>
      </c>
      <c r="R2880" s="221">
        <f>M2880*P2880</f>
        <v>859.5</v>
      </c>
    </row>
    <row r="2881" spans="1:19" ht="30" customHeight="1">
      <c r="A2881" s="134"/>
      <c r="E2881" s="221"/>
      <c r="F2881" s="221"/>
      <c r="G2881" s="221"/>
      <c r="H2881" s="260" t="s">
        <v>3748</v>
      </c>
      <c r="I2881" s="260"/>
      <c r="J2881" s="260"/>
      <c r="K2881" s="260">
        <f>Elec.Data!K2881</f>
        <v>165</v>
      </c>
      <c r="L2881" s="221"/>
      <c r="M2881" s="221">
        <v>75</v>
      </c>
      <c r="N2881" s="221" t="s">
        <v>1414</v>
      </c>
      <c r="O2881" s="221" t="s">
        <v>3434</v>
      </c>
      <c r="P2881" s="221">
        <f t="shared" si="93"/>
        <v>3.85</v>
      </c>
      <c r="Q2881" s="221" t="s">
        <v>3435</v>
      </c>
      <c r="R2881" s="221">
        <f>M2881*P2881/12</f>
        <v>24.06</v>
      </c>
    </row>
    <row r="2882" spans="1:19" ht="30" customHeight="1">
      <c r="A2882" s="134"/>
      <c r="E2882" s="221"/>
      <c r="F2882" s="221"/>
      <c r="G2882" s="221"/>
      <c r="H2882" s="221" t="s">
        <v>2296</v>
      </c>
      <c r="I2882" s="221"/>
      <c r="J2882" s="221"/>
      <c r="K2882" s="221">
        <v>43.1</v>
      </c>
      <c r="L2882" s="221"/>
      <c r="M2882" s="221">
        <v>12</v>
      </c>
      <c r="N2882" s="221" t="s">
        <v>1414</v>
      </c>
      <c r="O2882" s="221" t="s">
        <v>2391</v>
      </c>
      <c r="P2882" s="221">
        <f t="shared" si="93"/>
        <v>3</v>
      </c>
      <c r="Q2882" s="221" t="s">
        <v>1414</v>
      </c>
      <c r="R2882" s="221">
        <f>M2882*P2882</f>
        <v>36</v>
      </c>
    </row>
    <row r="2883" spans="1:19" ht="39.950000000000003" customHeight="1">
      <c r="A2883" s="134"/>
      <c r="E2883" s="221"/>
      <c r="F2883" s="221"/>
      <c r="G2883" s="221"/>
      <c r="H2883" s="226" t="s">
        <v>2458</v>
      </c>
      <c r="I2883" s="221"/>
      <c r="J2883" s="221"/>
      <c r="K2883" s="227">
        <f>K2879-K2880+K2881+K2882</f>
        <v>14963.15</v>
      </c>
      <c r="L2883" s="221"/>
      <c r="M2883" s="221">
        <v>6</v>
      </c>
      <c r="N2883" s="221" t="s">
        <v>1414</v>
      </c>
      <c r="O2883" s="221" t="s">
        <v>3432</v>
      </c>
      <c r="P2883" s="221">
        <f t="shared" si="93"/>
        <v>1.28</v>
      </c>
      <c r="Q2883" s="221" t="s">
        <v>1414</v>
      </c>
      <c r="R2883" s="221">
        <f>M2883*P2883</f>
        <v>7.68</v>
      </c>
    </row>
    <row r="2884" spans="1:19" ht="25.5" customHeight="1">
      <c r="A2884" s="134"/>
      <c r="E2884" s="221"/>
      <c r="F2884" s="221"/>
      <c r="G2884" s="221"/>
      <c r="H2884" s="228" t="s">
        <v>2459</v>
      </c>
      <c r="I2884" s="221"/>
      <c r="J2884" s="221"/>
      <c r="K2884" s="229">
        <f>K2883/10</f>
        <v>1496.32</v>
      </c>
      <c r="L2884" s="221">
        <f>1078*10</f>
        <v>10780</v>
      </c>
      <c r="M2884" s="221">
        <v>150</v>
      </c>
      <c r="N2884" s="221" t="s">
        <v>1452</v>
      </c>
      <c r="O2884" s="221" t="s">
        <v>2663</v>
      </c>
      <c r="P2884" s="221">
        <f t="shared" si="93"/>
        <v>287</v>
      </c>
      <c r="Q2884" s="221">
        <v>1000</v>
      </c>
      <c r="R2884" s="221">
        <f>(M2884*P2884)/1000</f>
        <v>43.05</v>
      </c>
    </row>
    <row r="2885" spans="1:19">
      <c r="A2885" s="134"/>
      <c r="E2885" s="221"/>
      <c r="F2885" s="221"/>
      <c r="G2885" s="221"/>
      <c r="H2885" s="221"/>
      <c r="I2885" s="221"/>
      <c r="J2885" s="221"/>
      <c r="K2885" s="221"/>
      <c r="L2885" s="221">
        <f>L2884-K2883</f>
        <v>-4183.1499999999996</v>
      </c>
      <c r="M2885" s="224">
        <v>7</v>
      </c>
      <c r="N2885" s="221" t="s">
        <v>1452</v>
      </c>
      <c r="O2885" s="221" t="s">
        <v>2665</v>
      </c>
      <c r="P2885" s="221">
        <f t="shared" si="93"/>
        <v>3.43</v>
      </c>
      <c r="Q2885" s="221" t="s">
        <v>1414</v>
      </c>
      <c r="R2885" s="221">
        <f>M2885*P2885</f>
        <v>24.01</v>
      </c>
    </row>
    <row r="2886" spans="1:19" ht="24.95" customHeight="1">
      <c r="A2886" s="134"/>
      <c r="E2886" s="221"/>
      <c r="F2886" s="221"/>
      <c r="G2886" s="221"/>
      <c r="H2886" s="229" t="s">
        <v>3052</v>
      </c>
      <c r="I2886" s="221"/>
      <c r="J2886" s="221"/>
      <c r="K2886" s="221"/>
      <c r="L2886" s="221"/>
      <c r="M2886" s="221">
        <v>6</v>
      </c>
      <c r="N2886" s="221" t="s">
        <v>1414</v>
      </c>
      <c r="O2886" s="221" t="s">
        <v>2662</v>
      </c>
      <c r="P2886" s="221">
        <f t="shared" si="93"/>
        <v>13.6</v>
      </c>
      <c r="Q2886" s="221" t="s">
        <v>1418</v>
      </c>
      <c r="R2886" s="221">
        <f>M2886*P2886</f>
        <v>81.599999999999994</v>
      </c>
    </row>
    <row r="2887" spans="1:19" ht="56.25" customHeight="1">
      <c r="A2887" s="134"/>
      <c r="E2887" s="221"/>
      <c r="F2887" s="221"/>
      <c r="G2887" s="221"/>
      <c r="H2887" s="219" t="s">
        <v>3053</v>
      </c>
      <c r="I2887" s="221"/>
      <c r="J2887" s="221"/>
      <c r="K2887" s="221"/>
      <c r="L2887" s="221"/>
      <c r="M2887" s="221">
        <v>6</v>
      </c>
      <c r="N2887" s="221" t="s">
        <v>1414</v>
      </c>
      <c r="O2887" s="221" t="s">
        <v>2668</v>
      </c>
      <c r="P2887" s="221">
        <f t="shared" si="93"/>
        <v>16.05</v>
      </c>
      <c r="Q2887" s="221" t="s">
        <v>3435</v>
      </c>
      <c r="R2887" s="221">
        <f>(M2887*P2887)/12</f>
        <v>8.0299999999999994</v>
      </c>
    </row>
    <row r="2888" spans="1:19">
      <c r="A2888" s="134"/>
      <c r="E2888" s="221"/>
      <c r="F2888" s="221"/>
      <c r="G2888" s="221"/>
      <c r="H2888" s="221"/>
      <c r="I2888" s="221"/>
      <c r="J2888" s="221"/>
      <c r="K2888" s="221"/>
      <c r="L2888" s="221"/>
      <c r="M2888" s="221">
        <v>1</v>
      </c>
      <c r="N2888" s="221" t="s">
        <v>2670</v>
      </c>
      <c r="O2888" s="221" t="s">
        <v>2671</v>
      </c>
      <c r="P2888" s="221">
        <f>P2855</f>
        <v>84.1</v>
      </c>
      <c r="Q2888" s="221" t="s">
        <v>2670</v>
      </c>
      <c r="R2888" s="221">
        <f>(M2888*P2888)</f>
        <v>84.1</v>
      </c>
    </row>
    <row r="2889" spans="1:19" ht="186" customHeight="1">
      <c r="A2889" s="134"/>
      <c r="E2889" s="221"/>
      <c r="F2889" s="221"/>
      <c r="G2889" s="221"/>
      <c r="H2889" s="220" t="s">
        <v>3516</v>
      </c>
      <c r="I2889" s="221"/>
      <c r="J2889" s="221"/>
      <c r="K2889" s="221"/>
      <c r="L2889" s="221"/>
      <c r="M2889" s="221">
        <v>6</v>
      </c>
      <c r="N2889" s="221" t="s">
        <v>1452</v>
      </c>
      <c r="O2889" s="220" t="s">
        <v>3439</v>
      </c>
      <c r="P2889" s="221">
        <v>42.25</v>
      </c>
      <c r="Q2889" s="221" t="s">
        <v>2666</v>
      </c>
      <c r="R2889" s="221">
        <f>M2889*P2889</f>
        <v>253.5</v>
      </c>
    </row>
    <row r="2890" spans="1:19" ht="21.75" customHeight="1">
      <c r="A2890" s="134"/>
      <c r="E2890" s="221"/>
      <c r="F2890" s="221"/>
      <c r="G2890" s="221"/>
      <c r="H2890" s="221" t="s">
        <v>3440</v>
      </c>
      <c r="I2890" s="221"/>
      <c r="J2890" s="221"/>
      <c r="K2890" s="221">
        <f>K2879</f>
        <v>14891.05</v>
      </c>
      <c r="L2890" s="221"/>
      <c r="M2890" s="225">
        <v>0.16666666666666666</v>
      </c>
      <c r="N2890" s="221" t="s">
        <v>3349</v>
      </c>
      <c r="O2890" s="221" t="s">
        <v>390</v>
      </c>
      <c r="P2890" s="221">
        <f>P2857</f>
        <v>298</v>
      </c>
      <c r="Q2890" s="221" t="s">
        <v>3349</v>
      </c>
      <c r="R2890" s="221">
        <f>M2890*P2890</f>
        <v>49.67</v>
      </c>
    </row>
    <row r="2891" spans="1:19" ht="30" customHeight="1">
      <c r="A2891" s="134"/>
      <c r="E2891" s="221"/>
      <c r="F2891" s="221"/>
      <c r="G2891" s="221"/>
      <c r="H2891" s="221" t="s">
        <v>3027</v>
      </c>
      <c r="I2891" s="221"/>
      <c r="J2891" s="221"/>
      <c r="K2891" s="221">
        <f>K2880</f>
        <v>136</v>
      </c>
      <c r="L2891" s="221"/>
      <c r="M2891" s="221"/>
      <c r="N2891" s="221"/>
      <c r="O2891" s="142"/>
      <c r="P2891" s="221"/>
      <c r="Q2891" s="221"/>
      <c r="R2891" s="221"/>
    </row>
    <row r="2892" spans="1:19" ht="30" customHeight="1">
      <c r="A2892" s="134"/>
      <c r="E2892" s="221"/>
      <c r="F2892" s="221"/>
      <c r="G2892" s="221"/>
      <c r="H2892" s="221" t="s">
        <v>3028</v>
      </c>
      <c r="I2892" s="221"/>
      <c r="J2892" s="221"/>
      <c r="K2892" s="221">
        <f>K2852</f>
        <v>34.299999999999997</v>
      </c>
      <c r="L2892" s="221"/>
      <c r="M2892" s="221">
        <v>6</v>
      </c>
      <c r="N2892" s="221" t="s">
        <v>3351</v>
      </c>
      <c r="O2892" s="221" t="s">
        <v>924</v>
      </c>
      <c r="P2892" s="221">
        <f>R2877</f>
        <v>1098.17</v>
      </c>
      <c r="Q2892" s="221" t="s">
        <v>3351</v>
      </c>
      <c r="R2892" s="221">
        <f>M2892*P2892</f>
        <v>6589.02</v>
      </c>
    </row>
    <row r="2893" spans="1:19" ht="30" customHeight="1">
      <c r="A2893" s="134"/>
      <c r="E2893" s="221"/>
      <c r="F2893" s="221"/>
      <c r="G2893" s="221"/>
      <c r="H2893" s="221" t="s">
        <v>3029</v>
      </c>
      <c r="I2893" s="221"/>
      <c r="J2893" s="221"/>
      <c r="K2893" s="221">
        <f>K2850</f>
        <v>160.5</v>
      </c>
      <c r="L2893" s="221"/>
      <c r="M2893" s="221"/>
      <c r="N2893" s="221" t="s">
        <v>69</v>
      </c>
      <c r="O2893" s="221" t="s">
        <v>3353</v>
      </c>
      <c r="P2893" s="221"/>
      <c r="Q2893" s="221"/>
      <c r="R2893" s="221">
        <v>13.68</v>
      </c>
    </row>
    <row r="2894" spans="1:19" ht="30" customHeight="1">
      <c r="A2894" s="134"/>
      <c r="E2894" s="221"/>
      <c r="F2894" s="221"/>
      <c r="G2894" s="221"/>
      <c r="H2894" s="221" t="s">
        <v>3744</v>
      </c>
      <c r="I2894" s="221"/>
      <c r="J2894" s="221"/>
      <c r="K2894" s="222">
        <f>Elec.Data!K2894</f>
        <v>413</v>
      </c>
      <c r="L2894" s="221"/>
      <c r="M2894" s="221"/>
      <c r="N2894" s="221"/>
      <c r="P2894" s="221"/>
      <c r="Q2894" s="221"/>
      <c r="R2894" s="221"/>
    </row>
    <row r="2895" spans="1:19" ht="30" customHeight="1">
      <c r="A2895" s="134"/>
      <c r="E2895" s="221"/>
      <c r="F2895" s="221"/>
      <c r="G2895" s="221"/>
      <c r="H2895" s="221" t="s">
        <v>3030</v>
      </c>
      <c r="I2895" s="221"/>
      <c r="J2895" s="221"/>
      <c r="K2895" s="221">
        <f>10*9</f>
        <v>90</v>
      </c>
      <c r="L2895" s="221"/>
      <c r="M2895" s="221"/>
      <c r="N2895" s="221"/>
      <c r="O2895" s="226" t="s">
        <v>3355</v>
      </c>
      <c r="P2895" s="221"/>
      <c r="Q2895" s="221"/>
      <c r="R2895" s="227">
        <f>SUM(R2879:R2894)</f>
        <v>9468.9</v>
      </c>
    </row>
    <row r="2896" spans="1:19" ht="30" customHeight="1">
      <c r="A2896" s="134"/>
      <c r="E2896" s="221"/>
      <c r="F2896" s="221"/>
      <c r="G2896" s="221"/>
      <c r="H2896" s="221" t="s">
        <v>3745</v>
      </c>
      <c r="I2896" s="221"/>
      <c r="J2896" s="221"/>
      <c r="K2896" s="222">
        <f>Elec.Data!K2896</f>
        <v>165</v>
      </c>
      <c r="L2896" s="221"/>
      <c r="M2896" s="221"/>
      <c r="N2896" s="221"/>
      <c r="O2896" s="228" t="s">
        <v>3352</v>
      </c>
      <c r="P2896" s="221"/>
      <c r="Q2896" s="221"/>
      <c r="R2896" s="229">
        <f>R2895/6</f>
        <v>1578.15</v>
      </c>
      <c r="S2896" s="87">
        <f>1199*6</f>
        <v>7194</v>
      </c>
    </row>
    <row r="2897" spans="1:19" ht="30" customHeight="1">
      <c r="A2897" s="134"/>
      <c r="E2897" s="221"/>
      <c r="F2897" s="221"/>
      <c r="G2897" s="221"/>
      <c r="H2897" s="221" t="s">
        <v>2296</v>
      </c>
      <c r="I2897" s="221"/>
      <c r="J2897" s="221"/>
      <c r="K2897" s="221">
        <v>32.200000000000003</v>
      </c>
      <c r="L2897" s="221"/>
      <c r="M2897" s="221"/>
      <c r="S2897" s="87">
        <f>S2896-R2895</f>
        <v>-2274.9</v>
      </c>
    </row>
    <row r="2898" spans="1:19" ht="25.5" customHeight="1">
      <c r="A2898" s="134"/>
      <c r="E2898" s="221"/>
      <c r="F2898" s="221"/>
      <c r="G2898" s="221"/>
      <c r="H2898" s="226" t="s">
        <v>2458</v>
      </c>
      <c r="I2898" s="221"/>
      <c r="J2898" s="221"/>
      <c r="K2898" s="227">
        <f>(K2890-K2891-K2892-K2893)+(K2894+K2895+K2896+K2897)</f>
        <v>15260.45</v>
      </c>
      <c r="L2898" s="221"/>
      <c r="M2898" s="221"/>
    </row>
    <row r="2899" spans="1:19" ht="27.75" customHeight="1">
      <c r="A2899" s="134"/>
      <c r="E2899" s="221"/>
      <c r="F2899" s="221"/>
      <c r="G2899" s="221"/>
      <c r="H2899" s="228" t="s">
        <v>3204</v>
      </c>
      <c r="I2899" s="221"/>
      <c r="J2899" s="221"/>
      <c r="K2899" s="229">
        <f>K2898/10</f>
        <v>1526.05</v>
      </c>
      <c r="L2899" s="221">
        <f>1107*10</f>
        <v>11070</v>
      </c>
      <c r="M2899" s="221"/>
    </row>
    <row r="2900" spans="1:19">
      <c r="A2900" s="134"/>
      <c r="E2900" s="221"/>
      <c r="F2900" s="221"/>
      <c r="G2900" s="221"/>
      <c r="H2900" s="221"/>
      <c r="I2900" s="221"/>
      <c r="J2900" s="221"/>
      <c r="K2900" s="221"/>
      <c r="L2900" s="221">
        <f>L2899-K2898</f>
        <v>-4190.45</v>
      </c>
      <c r="M2900" s="221"/>
    </row>
    <row r="2901" spans="1:19">
      <c r="A2901" s="134"/>
      <c r="E2901" s="221"/>
      <c r="F2901" s="221"/>
      <c r="G2901" s="221"/>
      <c r="H2901" s="229" t="s">
        <v>3205</v>
      </c>
      <c r="I2901" s="221"/>
      <c r="J2901" s="221"/>
      <c r="K2901" s="221"/>
      <c r="L2901" s="221"/>
      <c r="M2901" s="221"/>
    </row>
    <row r="2902" spans="1:19">
      <c r="A2902" s="134"/>
      <c r="E2902" s="221"/>
      <c r="F2902" s="221"/>
      <c r="G2902" s="221"/>
      <c r="H2902" s="229" t="s">
        <v>3206</v>
      </c>
      <c r="I2902" s="221"/>
      <c r="J2902" s="221"/>
      <c r="K2902" s="221"/>
      <c r="L2902" s="221"/>
      <c r="M2902" s="221"/>
    </row>
    <row r="2903" spans="1:19" ht="157.5">
      <c r="A2903" s="134"/>
      <c r="E2903" s="221"/>
      <c r="F2903" s="221"/>
      <c r="G2903" s="221"/>
      <c r="H2903" s="220" t="s">
        <v>2815</v>
      </c>
      <c r="I2903" s="221"/>
      <c r="J2903" s="221"/>
      <c r="K2903" s="221"/>
      <c r="L2903" s="221"/>
      <c r="M2903" s="221"/>
    </row>
    <row r="2904" spans="1:19">
      <c r="A2904" s="134"/>
      <c r="E2904" s="221"/>
      <c r="F2904" s="221"/>
      <c r="G2904" s="221"/>
      <c r="H2904" s="221"/>
      <c r="I2904" s="221"/>
      <c r="J2904" s="221"/>
      <c r="K2904" s="221"/>
      <c r="L2904" s="221"/>
      <c r="M2904" s="221"/>
    </row>
    <row r="2905" spans="1:19" ht="31.5">
      <c r="A2905" s="134"/>
      <c r="E2905" s="221"/>
      <c r="F2905" s="221">
        <v>90</v>
      </c>
      <c r="G2905" s="221" t="s">
        <v>835</v>
      </c>
      <c r="H2905" s="142" t="str">
        <f>H2843</f>
        <v>1.5 sqmm copper PVC insulated unsheathed single core cable (P-79 it-2/b)</v>
      </c>
      <c r="I2905" s="221">
        <f>I2843</f>
        <v>15.5</v>
      </c>
      <c r="J2905" s="221" t="s">
        <v>3347</v>
      </c>
      <c r="K2905" s="221">
        <f t="shared" ref="K2905:K2917" si="94">F2905*I2905</f>
        <v>1395</v>
      </c>
      <c r="L2905" s="221"/>
      <c r="M2905" s="221"/>
    </row>
    <row r="2906" spans="1:19" ht="31.5">
      <c r="A2906" s="134"/>
      <c r="E2906" s="221"/>
      <c r="F2906" s="221">
        <v>45</v>
      </c>
      <c r="G2906" s="221" t="s">
        <v>835</v>
      </c>
      <c r="H2906" s="220" t="s">
        <v>3937</v>
      </c>
      <c r="I2906" s="221">
        <f>I2844</f>
        <v>19.100000000000001</v>
      </c>
      <c r="J2906" s="221" t="s">
        <v>835</v>
      </c>
      <c r="K2906" s="221">
        <f t="shared" si="94"/>
        <v>859.5</v>
      </c>
      <c r="L2906" s="221"/>
      <c r="M2906" s="221"/>
    </row>
    <row r="2907" spans="1:19">
      <c r="A2907" s="134"/>
      <c r="E2907" s="221"/>
      <c r="F2907" s="221">
        <v>20</v>
      </c>
      <c r="G2907" s="221" t="s">
        <v>1414</v>
      </c>
      <c r="H2907" s="221" t="s">
        <v>3936</v>
      </c>
      <c r="I2907" s="221">
        <f>I2845</f>
        <v>3</v>
      </c>
      <c r="J2907" s="221" t="s">
        <v>1414</v>
      </c>
      <c r="K2907" s="221">
        <f t="shared" si="94"/>
        <v>60</v>
      </c>
      <c r="L2907" s="221"/>
      <c r="M2907" s="221"/>
    </row>
    <row r="2908" spans="1:19">
      <c r="A2908" s="134"/>
      <c r="E2908" s="221"/>
      <c r="F2908" s="221">
        <v>10</v>
      </c>
      <c r="G2908" s="221" t="s">
        <v>1414</v>
      </c>
      <c r="H2908" s="221" t="s">
        <v>3944</v>
      </c>
      <c r="I2908" s="221">
        <f>I2846</f>
        <v>1.28</v>
      </c>
      <c r="J2908" s="221" t="s">
        <v>1414</v>
      </c>
      <c r="K2908" s="221">
        <f t="shared" si="94"/>
        <v>12.8</v>
      </c>
      <c r="L2908" s="221"/>
      <c r="M2908" s="221"/>
    </row>
    <row r="2909" spans="1:19">
      <c r="A2909" s="134"/>
      <c r="E2909" s="221"/>
      <c r="F2909" s="221">
        <v>10</v>
      </c>
      <c r="G2909" s="221" t="s">
        <v>1414</v>
      </c>
      <c r="H2909" s="221" t="str">
        <f>H2852</f>
        <v>19 mm PVC junction box  ( p-83,6-b( 44.8/12=3.73)</v>
      </c>
      <c r="I2909" s="221">
        <f>I2852</f>
        <v>3.43</v>
      </c>
      <c r="J2909" s="221" t="s">
        <v>1414</v>
      </c>
      <c r="K2909" s="221">
        <f t="shared" si="94"/>
        <v>34.299999999999997</v>
      </c>
      <c r="L2909" s="221"/>
      <c r="M2909" s="221"/>
    </row>
    <row r="2910" spans="1:19">
      <c r="A2910" s="134"/>
      <c r="E2910" s="221"/>
      <c r="F2910" s="221">
        <v>10</v>
      </c>
      <c r="G2910" s="221" t="s">
        <v>1414</v>
      </c>
      <c r="H2910" s="221" t="str">
        <f>H2851</f>
        <v>Ceiling rose p-70 it-23</v>
      </c>
      <c r="I2910" s="221">
        <f>I2851</f>
        <v>13.6</v>
      </c>
      <c r="J2910" s="221" t="s">
        <v>1414</v>
      </c>
      <c r="K2910" s="221">
        <f t="shared" si="94"/>
        <v>136</v>
      </c>
      <c r="L2910" s="221"/>
      <c r="M2910" s="221"/>
    </row>
    <row r="2911" spans="1:19">
      <c r="A2911" s="134"/>
      <c r="E2911" s="221"/>
      <c r="F2911" s="221">
        <v>10</v>
      </c>
      <c r="G2911" s="221" t="s">
        <v>1414</v>
      </c>
      <c r="H2911" s="221" t="str">
        <f>H2850</f>
        <v>5 amps flush type switch p-72, Part-C,1 a ( 207/12=17.25)</v>
      </c>
      <c r="I2911" s="221">
        <f>I2850</f>
        <v>16.05</v>
      </c>
      <c r="J2911" s="221" t="s">
        <v>1414</v>
      </c>
      <c r="K2911" s="221">
        <f t="shared" si="94"/>
        <v>160.5</v>
      </c>
      <c r="L2911" s="221"/>
      <c r="M2911" s="221"/>
    </row>
    <row r="2912" spans="1:19">
      <c r="A2912" s="134"/>
      <c r="E2912" s="221"/>
      <c r="F2912" s="221">
        <v>10</v>
      </c>
      <c r="G2912" s="221" t="s">
        <v>1414</v>
      </c>
      <c r="H2912" s="229" t="s">
        <v>3903</v>
      </c>
      <c r="I2912" s="240">
        <v>85</v>
      </c>
      <c r="J2912" s="221" t="s">
        <v>1414</v>
      </c>
      <c r="K2912" s="221">
        <f t="shared" si="94"/>
        <v>850</v>
      </c>
      <c r="L2912" s="221"/>
      <c r="M2912" s="221"/>
    </row>
    <row r="2913" spans="1:13">
      <c r="A2913" s="134"/>
      <c r="E2913" s="221"/>
      <c r="F2913" s="221">
        <v>0.6</v>
      </c>
      <c r="G2913" s="221" t="s">
        <v>2308</v>
      </c>
      <c r="H2913" s="221" t="s">
        <v>2669</v>
      </c>
      <c r="I2913" s="221">
        <f>I2849</f>
        <v>630</v>
      </c>
      <c r="J2913" s="221" t="s">
        <v>2308</v>
      </c>
      <c r="K2913" s="221">
        <f t="shared" si="94"/>
        <v>378</v>
      </c>
      <c r="L2913" s="221"/>
      <c r="M2913" s="221"/>
    </row>
    <row r="2914" spans="1:13">
      <c r="A2914" s="134"/>
      <c r="E2914" s="221"/>
      <c r="F2914" s="221">
        <v>1</v>
      </c>
      <c r="G2914" s="221" t="s">
        <v>1414</v>
      </c>
      <c r="H2914" s="229" t="s">
        <v>3907</v>
      </c>
      <c r="I2914" s="303">
        <f>I2854</f>
        <v>58</v>
      </c>
      <c r="J2914" s="221" t="s">
        <v>1414</v>
      </c>
      <c r="K2914" s="221">
        <f t="shared" si="94"/>
        <v>58</v>
      </c>
      <c r="L2914" s="221"/>
      <c r="M2914" s="221"/>
    </row>
    <row r="2915" spans="1:13">
      <c r="A2915" s="134"/>
      <c r="E2915" s="221"/>
      <c r="F2915" s="224">
        <v>1.4999999999999999E-2</v>
      </c>
      <c r="G2915" s="221" t="s">
        <v>2308</v>
      </c>
      <c r="H2915" s="221" t="s">
        <v>3938</v>
      </c>
      <c r="I2915" s="221">
        <f>I2913</f>
        <v>630</v>
      </c>
      <c r="J2915" s="221" t="s">
        <v>2308</v>
      </c>
      <c r="K2915" s="221">
        <f t="shared" si="94"/>
        <v>9.4499999999999993</v>
      </c>
      <c r="L2915" s="221"/>
      <c r="M2915" s="221"/>
    </row>
    <row r="2916" spans="1:13">
      <c r="A2916" s="134"/>
      <c r="E2916" s="221"/>
      <c r="F2916" s="221">
        <v>1.25</v>
      </c>
      <c r="G2916" s="221" t="s">
        <v>2666</v>
      </c>
      <c r="H2916" s="221" t="s">
        <v>390</v>
      </c>
      <c r="I2916" s="221">
        <f>I2853</f>
        <v>298</v>
      </c>
      <c r="J2916" s="221" t="s">
        <v>2666</v>
      </c>
      <c r="K2916" s="221">
        <f t="shared" si="94"/>
        <v>372.5</v>
      </c>
      <c r="L2916" s="221"/>
      <c r="M2916" s="221"/>
    </row>
    <row r="2917" spans="1:13" ht="31.5">
      <c r="A2917" s="134"/>
      <c r="E2917" s="221"/>
      <c r="F2917" s="221">
        <v>45</v>
      </c>
      <c r="G2917" s="221" t="s">
        <v>835</v>
      </c>
      <c r="H2917" s="278" t="s">
        <v>3943</v>
      </c>
      <c r="I2917" s="221">
        <f>I2843</f>
        <v>15.5</v>
      </c>
      <c r="J2917" s="221" t="s">
        <v>3347</v>
      </c>
      <c r="K2917" s="221">
        <f t="shared" si="94"/>
        <v>697.5</v>
      </c>
      <c r="L2917" s="221"/>
      <c r="M2917" s="221"/>
    </row>
    <row r="2918" spans="1:13">
      <c r="A2918" s="134"/>
      <c r="E2918" s="221"/>
      <c r="F2918" s="221" t="s">
        <v>663</v>
      </c>
      <c r="G2918" s="221"/>
      <c r="H2918" s="221" t="s">
        <v>924</v>
      </c>
      <c r="I2918" s="221"/>
      <c r="J2918" s="221"/>
      <c r="K2918" s="221">
        <f>K2873</f>
        <v>10421</v>
      </c>
      <c r="L2918" s="221"/>
      <c r="M2918" s="221"/>
    </row>
    <row r="2919" spans="1:13">
      <c r="A2919" s="134"/>
      <c r="E2919" s="221"/>
      <c r="F2919" s="221" t="s">
        <v>663</v>
      </c>
      <c r="G2919" s="221"/>
      <c r="H2919" s="221" t="s">
        <v>2296</v>
      </c>
      <c r="I2919" s="221"/>
      <c r="J2919" s="221"/>
      <c r="K2919" s="221">
        <v>27.25</v>
      </c>
      <c r="L2919" s="221"/>
      <c r="M2919" s="221"/>
    </row>
    <row r="2920" spans="1:13">
      <c r="A2920" s="134"/>
      <c r="E2920" s="221"/>
      <c r="F2920" s="221"/>
      <c r="G2920" s="221"/>
      <c r="H2920" s="226" t="s">
        <v>2458</v>
      </c>
      <c r="I2920" s="221"/>
      <c r="J2920" s="221"/>
      <c r="K2920" s="227">
        <f>SUM(K2905:K2919)</f>
        <v>15471.8</v>
      </c>
      <c r="L2920" s="221"/>
      <c r="M2920" s="221"/>
    </row>
    <row r="2921" spans="1:13">
      <c r="A2921" s="134"/>
      <c r="E2921" s="221"/>
      <c r="F2921" s="221"/>
      <c r="G2921" s="221"/>
      <c r="H2921" s="228" t="s">
        <v>3204</v>
      </c>
      <c r="I2921" s="221"/>
      <c r="J2921" s="221"/>
      <c r="K2921" s="229">
        <f>K2920/10</f>
        <v>1547.18</v>
      </c>
      <c r="L2921" s="221">
        <f>1257*10</f>
        <v>12570</v>
      </c>
      <c r="M2921" s="221"/>
    </row>
    <row r="2922" spans="1:13" hidden="1">
      <c r="A2922" s="134"/>
      <c r="E2922" s="221"/>
      <c r="F2922" s="221"/>
      <c r="G2922" s="221"/>
      <c r="H2922" s="229" t="s">
        <v>3515</v>
      </c>
      <c r="I2922" s="221"/>
      <c r="J2922" s="221"/>
      <c r="K2922" s="229"/>
      <c r="L2922" s="221"/>
      <c r="M2922" s="221"/>
    </row>
    <row r="2923" spans="1:13" hidden="1">
      <c r="A2923" s="134"/>
      <c r="E2923" s="221"/>
      <c r="F2923" s="221"/>
      <c r="G2923" s="221"/>
      <c r="H2923" s="234" t="s">
        <v>2865</v>
      </c>
      <c r="I2923" s="221">
        <f>90</f>
        <v>90</v>
      </c>
      <c r="J2923" s="221"/>
      <c r="K2923" s="229"/>
      <c r="L2923" s="221"/>
      <c r="M2923" s="221"/>
    </row>
    <row r="2924" spans="1:13" hidden="1">
      <c r="A2924" s="134"/>
      <c r="E2924" s="221"/>
      <c r="F2924" s="221"/>
      <c r="G2924" s="221"/>
      <c r="H2924" s="234" t="s">
        <v>2866</v>
      </c>
      <c r="I2924" s="235">
        <v>8.2500000000000004E-2</v>
      </c>
      <c r="J2924" s="221"/>
      <c r="K2924" s="229"/>
      <c r="L2924" s="221"/>
      <c r="M2924" s="221"/>
    </row>
    <row r="2925" spans="1:13" ht="18" hidden="1">
      <c r="A2925" s="134"/>
      <c r="E2925" s="221"/>
      <c r="F2925" s="221"/>
      <c r="G2925" s="221"/>
      <c r="H2925" s="234" t="s">
        <v>2878</v>
      </c>
      <c r="I2925" s="224">
        <v>0.13500000000000001</v>
      </c>
      <c r="J2925" s="221"/>
      <c r="K2925" s="229">
        <f>I2923*I2925/I2924</f>
        <v>147.27000000000001</v>
      </c>
      <c r="L2925" s="221"/>
      <c r="M2925" s="221"/>
    </row>
    <row r="2926" spans="1:13">
      <c r="A2926" s="134"/>
      <c r="E2926" s="221"/>
      <c r="F2926" s="221"/>
      <c r="G2926" s="221"/>
      <c r="H2926" s="228"/>
      <c r="I2926" s="221"/>
      <c r="J2926" s="221"/>
      <c r="K2926" s="229"/>
      <c r="L2926" s="221">
        <f>L2921-K2920</f>
        <v>-2901.8</v>
      </c>
      <c r="M2926" s="221"/>
    </row>
    <row r="2927" spans="1:13" ht="6" customHeight="1">
      <c r="A2927" s="134"/>
      <c r="E2927" s="221"/>
      <c r="F2927" s="221"/>
      <c r="G2927" s="221"/>
      <c r="H2927" s="221"/>
      <c r="I2927" s="221"/>
      <c r="J2927" s="221"/>
      <c r="K2927" s="221"/>
      <c r="L2927" s="221"/>
      <c r="M2927" s="221"/>
    </row>
    <row r="2928" spans="1:13" ht="24.75" customHeight="1">
      <c r="A2928" s="134"/>
      <c r="E2928" s="221"/>
      <c r="F2928" s="221"/>
      <c r="G2928" s="221"/>
      <c r="H2928" s="229" t="s">
        <v>2867</v>
      </c>
      <c r="I2928" s="221"/>
      <c r="J2928" s="221"/>
      <c r="K2928" s="221"/>
      <c r="L2928" s="221"/>
      <c r="M2928" s="221"/>
    </row>
    <row r="2929" spans="1:13" ht="29.25" customHeight="1">
      <c r="A2929" s="134"/>
      <c r="E2929" s="221"/>
      <c r="F2929" s="221"/>
      <c r="G2929" s="221"/>
      <c r="H2929" s="229" t="s">
        <v>2868</v>
      </c>
      <c r="I2929" s="221"/>
      <c r="J2929" s="221"/>
      <c r="K2929" s="221"/>
      <c r="L2929" s="221"/>
      <c r="M2929" s="221"/>
    </row>
    <row r="2930" spans="1:13" ht="177.75" customHeight="1">
      <c r="A2930" s="134"/>
      <c r="E2930" s="221"/>
      <c r="F2930" s="221"/>
      <c r="G2930" s="221"/>
      <c r="H2930" s="220" t="s">
        <v>2475</v>
      </c>
      <c r="I2930" s="221"/>
      <c r="J2930" s="221"/>
      <c r="K2930" s="221"/>
      <c r="L2930" s="221"/>
      <c r="M2930" s="221"/>
    </row>
    <row r="2931" spans="1:13" ht="31.5">
      <c r="A2931" s="134"/>
      <c r="E2931" s="221"/>
      <c r="F2931" s="221">
        <v>90</v>
      </c>
      <c r="G2931" s="221" t="s">
        <v>835</v>
      </c>
      <c r="H2931" s="278" t="s">
        <v>3942</v>
      </c>
      <c r="I2931" s="221">
        <f>I2843</f>
        <v>15.5</v>
      </c>
      <c r="J2931" s="221" t="s">
        <v>2573</v>
      </c>
      <c r="K2931" s="221">
        <f t="shared" ref="K2931:K2941" si="95">F2931*I2931</f>
        <v>1395</v>
      </c>
      <c r="L2931" s="221"/>
      <c r="M2931" s="221"/>
    </row>
    <row r="2932" spans="1:13" ht="31.5">
      <c r="A2932" s="134"/>
      <c r="E2932" s="221"/>
      <c r="F2932" s="221">
        <v>30</v>
      </c>
      <c r="G2932" s="221" t="s">
        <v>835</v>
      </c>
      <c r="H2932" s="220" t="s">
        <v>3937</v>
      </c>
      <c r="I2932" s="221">
        <f>I2906</f>
        <v>19.100000000000001</v>
      </c>
      <c r="J2932" s="221" t="s">
        <v>835</v>
      </c>
      <c r="K2932" s="221">
        <f t="shared" si="95"/>
        <v>573</v>
      </c>
      <c r="L2932" s="221"/>
      <c r="M2932" s="221"/>
    </row>
    <row r="2933" spans="1:13">
      <c r="A2933" s="134"/>
      <c r="E2933" s="221"/>
      <c r="F2933" s="221">
        <v>10</v>
      </c>
      <c r="G2933" s="221" t="s">
        <v>1414</v>
      </c>
      <c r="H2933" s="221" t="s">
        <v>3936</v>
      </c>
      <c r="I2933" s="221">
        <f>I2907</f>
        <v>3</v>
      </c>
      <c r="J2933" s="221" t="s">
        <v>1414</v>
      </c>
      <c r="K2933" s="221">
        <f t="shared" si="95"/>
        <v>30</v>
      </c>
      <c r="L2933" s="221"/>
      <c r="M2933" s="221"/>
    </row>
    <row r="2934" spans="1:13">
      <c r="A2934" s="134"/>
      <c r="E2934" s="221"/>
      <c r="F2934" s="221">
        <v>5</v>
      </c>
      <c r="G2934" s="221" t="s">
        <v>1414</v>
      </c>
      <c r="H2934" s="221" t="s">
        <v>3944</v>
      </c>
      <c r="I2934" s="221">
        <f>I2908</f>
        <v>1.28</v>
      </c>
      <c r="J2934" s="221" t="s">
        <v>1414</v>
      </c>
      <c r="K2934" s="221">
        <f t="shared" si="95"/>
        <v>6.4</v>
      </c>
      <c r="L2934" s="221"/>
      <c r="M2934" s="221"/>
    </row>
    <row r="2935" spans="1:13">
      <c r="A2935" s="134"/>
      <c r="E2935" s="221"/>
      <c r="F2935" s="221">
        <v>10</v>
      </c>
      <c r="G2935" s="221" t="s">
        <v>1414</v>
      </c>
      <c r="H2935" s="221" t="s">
        <v>3945</v>
      </c>
      <c r="I2935" s="260">
        <f>Elec.Data!I2935</f>
        <v>19.920000000000002</v>
      </c>
      <c r="J2935" s="221" t="s">
        <v>1414</v>
      </c>
      <c r="K2935" s="221">
        <f t="shared" si="95"/>
        <v>199.2</v>
      </c>
      <c r="L2935" s="221"/>
      <c r="M2935" s="221">
        <f>253/12</f>
        <v>21.08</v>
      </c>
    </row>
    <row r="2936" spans="1:13">
      <c r="A2936" s="134"/>
      <c r="E2936" s="221"/>
      <c r="F2936" s="221">
        <v>5</v>
      </c>
      <c r="G2936" s="221" t="s">
        <v>1414</v>
      </c>
      <c r="H2936" s="221" t="str">
        <f>H2910</f>
        <v>Ceiling rose p-70 it-23</v>
      </c>
      <c r="I2936" s="221">
        <f>I2910</f>
        <v>13.6</v>
      </c>
      <c r="J2936" s="221" t="s">
        <v>1414</v>
      </c>
      <c r="K2936" s="221">
        <f t="shared" si="95"/>
        <v>68</v>
      </c>
      <c r="L2936" s="221"/>
      <c r="M2936" s="221"/>
    </row>
    <row r="2937" spans="1:13">
      <c r="A2937" s="134"/>
      <c r="E2937" s="221"/>
      <c r="F2937" s="221">
        <v>5</v>
      </c>
      <c r="G2937" s="221" t="s">
        <v>1414</v>
      </c>
      <c r="H2937" s="221" t="str">
        <f>H2909</f>
        <v>19 mm PVC junction box  ( p-83,6-b( 44.8/12=3.73)</v>
      </c>
      <c r="I2937" s="221">
        <f>I2909</f>
        <v>3.43</v>
      </c>
      <c r="J2937" s="221" t="s">
        <v>1414</v>
      </c>
      <c r="K2937" s="221">
        <f t="shared" si="95"/>
        <v>17.149999999999999</v>
      </c>
      <c r="L2937" s="221"/>
      <c r="M2937" s="221"/>
    </row>
    <row r="2938" spans="1:13">
      <c r="A2938" s="134"/>
      <c r="E2938" s="221"/>
      <c r="F2938" s="221">
        <v>6</v>
      </c>
      <c r="G2938" s="221" t="s">
        <v>1414</v>
      </c>
      <c r="H2938" s="229" t="s">
        <v>3907</v>
      </c>
      <c r="I2938" s="229">
        <f>I2914</f>
        <v>58</v>
      </c>
      <c r="J2938" s="221" t="s">
        <v>1414</v>
      </c>
      <c r="K2938" s="221">
        <f t="shared" si="95"/>
        <v>348</v>
      </c>
      <c r="L2938" s="221"/>
      <c r="M2938" s="221"/>
    </row>
    <row r="2939" spans="1:13">
      <c r="A2939" s="134"/>
      <c r="E2939" s="221"/>
      <c r="F2939" s="221">
        <v>0.09</v>
      </c>
      <c r="G2939" s="221" t="s">
        <v>2308</v>
      </c>
      <c r="H2939" s="221" t="s">
        <v>3938</v>
      </c>
      <c r="I2939" s="221">
        <f>I2913</f>
        <v>630</v>
      </c>
      <c r="J2939" s="221" t="s">
        <v>2308</v>
      </c>
      <c r="K2939" s="221">
        <f t="shared" si="95"/>
        <v>56.7</v>
      </c>
      <c r="L2939" s="221"/>
      <c r="M2939" s="221"/>
    </row>
    <row r="2940" spans="1:13">
      <c r="A2940" s="134"/>
      <c r="E2940" s="221"/>
      <c r="F2940" s="221">
        <v>1.25</v>
      </c>
      <c r="G2940" s="221" t="s">
        <v>2666</v>
      </c>
      <c r="H2940" s="221" t="s">
        <v>390</v>
      </c>
      <c r="I2940" s="221">
        <f>I2916</f>
        <v>298</v>
      </c>
      <c r="J2940" s="221" t="s">
        <v>2666</v>
      </c>
      <c r="K2940" s="221">
        <f t="shared" si="95"/>
        <v>372.5</v>
      </c>
      <c r="L2940" s="221"/>
      <c r="M2940" s="221"/>
    </row>
    <row r="2941" spans="1:13" ht="31.5">
      <c r="A2941" s="134"/>
      <c r="E2941" s="221"/>
      <c r="F2941" s="221">
        <v>30</v>
      </c>
      <c r="G2941" s="221" t="s">
        <v>835</v>
      </c>
      <c r="H2941" s="278" t="s">
        <v>3943</v>
      </c>
      <c r="I2941" s="221">
        <f>I2931</f>
        <v>15.5</v>
      </c>
      <c r="J2941" s="221" t="s">
        <v>3347</v>
      </c>
      <c r="K2941" s="221">
        <f t="shared" si="95"/>
        <v>465</v>
      </c>
      <c r="L2941" s="221"/>
      <c r="M2941" s="221"/>
    </row>
    <row r="2942" spans="1:13">
      <c r="A2942" s="134"/>
      <c r="E2942" s="221"/>
      <c r="F2942" s="221"/>
      <c r="G2942" s="221"/>
      <c r="H2942" s="221" t="s">
        <v>924</v>
      </c>
      <c r="I2942" s="221"/>
      <c r="J2942" s="221"/>
      <c r="K2942" s="221">
        <f>K2873</f>
        <v>10421</v>
      </c>
      <c r="L2942" s="221"/>
      <c r="M2942" s="221"/>
    </row>
    <row r="2943" spans="1:13">
      <c r="A2943" s="134"/>
      <c r="E2943" s="221"/>
      <c r="F2943" s="221"/>
      <c r="G2943" s="221"/>
      <c r="H2943" s="221" t="s">
        <v>2296</v>
      </c>
      <c r="I2943" s="221"/>
      <c r="J2943" s="221"/>
      <c r="K2943" s="230">
        <v>24.28</v>
      </c>
      <c r="L2943" s="221"/>
      <c r="M2943" s="221"/>
    </row>
    <row r="2944" spans="1:13">
      <c r="A2944" s="134"/>
      <c r="E2944" s="221"/>
      <c r="F2944" s="221"/>
      <c r="G2944" s="221"/>
      <c r="H2944" s="226" t="s">
        <v>2586</v>
      </c>
      <c r="I2944" s="221"/>
      <c r="J2944" s="221"/>
      <c r="K2944" s="227">
        <f>SUM(K2931:K2943)</f>
        <v>13976.23</v>
      </c>
      <c r="L2944" s="221"/>
      <c r="M2944" s="221"/>
    </row>
    <row r="2945" spans="1:14">
      <c r="A2945" s="134"/>
      <c r="E2945" s="221"/>
      <c r="F2945" s="221"/>
      <c r="G2945" s="221"/>
      <c r="H2945" s="228" t="s">
        <v>3204</v>
      </c>
      <c r="I2945" s="221"/>
      <c r="J2945" s="221"/>
      <c r="K2945" s="229">
        <f>K2944/5</f>
        <v>2795.25</v>
      </c>
      <c r="L2945" s="221">
        <f>1983*5</f>
        <v>9915</v>
      </c>
      <c r="M2945" s="221"/>
    </row>
    <row r="2946" spans="1:14">
      <c r="A2946" s="134"/>
      <c r="E2946" s="221"/>
      <c r="F2946" s="221"/>
      <c r="G2946" s="221"/>
      <c r="H2946" s="221"/>
      <c r="I2946" s="221"/>
      <c r="J2946" s="221"/>
      <c r="K2946" s="221"/>
      <c r="L2946" s="221">
        <f>L2945-K2944</f>
        <v>-4061.23</v>
      </c>
      <c r="M2946" s="221"/>
    </row>
    <row r="2947" spans="1:14">
      <c r="A2947" s="134"/>
      <c r="E2947" s="221"/>
      <c r="F2947" s="221"/>
      <c r="G2947" s="221"/>
      <c r="H2947" s="229" t="s">
        <v>2587</v>
      </c>
      <c r="I2947" s="221"/>
      <c r="J2947" s="221"/>
      <c r="K2947" s="221"/>
      <c r="L2947" s="221"/>
      <c r="M2947" s="221"/>
    </row>
    <row r="2948" spans="1:14">
      <c r="A2948" s="134"/>
      <c r="E2948" s="221"/>
      <c r="F2948" s="221"/>
      <c r="G2948" s="221"/>
      <c r="H2948" s="229" t="s">
        <v>2588</v>
      </c>
      <c r="I2948" s="221"/>
      <c r="J2948" s="221"/>
      <c r="K2948" s="221"/>
      <c r="L2948" s="221"/>
      <c r="M2948" s="221"/>
    </row>
    <row r="2949" spans="1:14" ht="6.75" customHeight="1">
      <c r="A2949" s="134"/>
      <c r="E2949" s="221"/>
      <c r="F2949" s="221"/>
      <c r="G2949" s="221"/>
      <c r="H2949" s="221"/>
      <c r="I2949" s="221"/>
      <c r="J2949" s="221"/>
      <c r="K2949" s="221"/>
      <c r="L2949" s="221"/>
      <c r="M2949" s="221"/>
    </row>
    <row r="2950" spans="1:14" ht="147.75" customHeight="1">
      <c r="A2950" s="134"/>
      <c r="E2950" s="221"/>
      <c r="F2950" s="221"/>
      <c r="G2950" s="221"/>
      <c r="H2950" s="220" t="s">
        <v>2756</v>
      </c>
      <c r="I2950" s="221"/>
      <c r="J2950" s="221"/>
      <c r="K2950" s="221"/>
      <c r="L2950" s="221"/>
      <c r="M2950" s="221"/>
    </row>
    <row r="2951" spans="1:14" ht="31.5">
      <c r="A2951" s="134"/>
      <c r="E2951" s="221"/>
      <c r="F2951" s="221">
        <v>90</v>
      </c>
      <c r="G2951" s="221" t="s">
        <v>835</v>
      </c>
      <c r="H2951" s="142" t="s">
        <v>2572</v>
      </c>
      <c r="I2951" s="221">
        <f>I2931</f>
        <v>15.5</v>
      </c>
      <c r="J2951" s="221" t="s">
        <v>3347</v>
      </c>
      <c r="K2951" s="221">
        <f t="shared" ref="K2951:K2961" si="96">F2951*I2951</f>
        <v>1395</v>
      </c>
      <c r="L2951" s="221"/>
      <c r="M2951" s="221"/>
    </row>
    <row r="2952" spans="1:14" ht="31.5">
      <c r="E2952" s="221"/>
      <c r="F2952" s="221">
        <v>45</v>
      </c>
      <c r="G2952" s="221" t="s">
        <v>835</v>
      </c>
      <c r="H2952" s="220" t="s">
        <v>2389</v>
      </c>
      <c r="I2952" s="221">
        <f>I2932</f>
        <v>19.100000000000001</v>
      </c>
      <c r="J2952" s="221" t="s">
        <v>835</v>
      </c>
      <c r="K2952" s="221">
        <f t="shared" si="96"/>
        <v>859.5</v>
      </c>
      <c r="L2952" s="221"/>
      <c r="M2952" s="221"/>
    </row>
    <row r="2953" spans="1:14" ht="20.100000000000001" customHeight="1">
      <c r="E2953" s="221"/>
      <c r="F2953" s="221">
        <v>20</v>
      </c>
      <c r="G2953" s="221" t="s">
        <v>1414</v>
      </c>
      <c r="H2953" s="221" t="s">
        <v>2391</v>
      </c>
      <c r="I2953" s="221">
        <f>I2933</f>
        <v>3</v>
      </c>
      <c r="J2953" s="221" t="s">
        <v>3435</v>
      </c>
      <c r="K2953" s="221">
        <f t="shared" si="96"/>
        <v>60</v>
      </c>
      <c r="L2953" s="221"/>
      <c r="M2953" s="221"/>
    </row>
    <row r="2954" spans="1:14" ht="20.100000000000001" customHeight="1">
      <c r="E2954" s="221"/>
      <c r="F2954" s="221">
        <v>10</v>
      </c>
      <c r="G2954" s="221" t="s">
        <v>1414</v>
      </c>
      <c r="H2954" s="221" t="s">
        <v>3432</v>
      </c>
      <c r="I2954" s="221">
        <f>I2934</f>
        <v>1.28</v>
      </c>
      <c r="J2954" s="221" t="s">
        <v>3435</v>
      </c>
      <c r="K2954" s="221">
        <f t="shared" si="96"/>
        <v>12.8</v>
      </c>
      <c r="L2954" s="221"/>
      <c r="M2954" s="221"/>
    </row>
    <row r="2955" spans="1:14" ht="20.100000000000001" customHeight="1">
      <c r="E2955" s="221"/>
      <c r="F2955" s="221">
        <v>1</v>
      </c>
      <c r="G2955" s="221" t="s">
        <v>1414</v>
      </c>
      <c r="H2955" s="229" t="s">
        <v>3907</v>
      </c>
      <c r="I2955" s="229">
        <f>I2938</f>
        <v>58</v>
      </c>
      <c r="J2955" s="221" t="s">
        <v>1414</v>
      </c>
      <c r="K2955" s="221">
        <f t="shared" si="96"/>
        <v>58</v>
      </c>
      <c r="L2955" s="221"/>
      <c r="M2955" s="221"/>
    </row>
    <row r="2956" spans="1:14" ht="20.100000000000001" customHeight="1">
      <c r="E2956" s="221"/>
      <c r="F2956" s="224">
        <v>1.4999999999999999E-2</v>
      </c>
      <c r="G2956" s="221" t="s">
        <v>2308</v>
      </c>
      <c r="H2956" s="221" t="s">
        <v>2585</v>
      </c>
      <c r="I2956" s="221">
        <f>I2849</f>
        <v>630</v>
      </c>
      <c r="J2956" s="221" t="s">
        <v>2308</v>
      </c>
      <c r="K2956" s="221">
        <f t="shared" si="96"/>
        <v>9.4499999999999993</v>
      </c>
      <c r="L2956" s="221"/>
      <c r="M2956" s="221"/>
    </row>
    <row r="2957" spans="1:14" ht="31.5" customHeight="1">
      <c r="E2957" s="221"/>
      <c r="F2957" s="221">
        <v>15</v>
      </c>
      <c r="G2957" s="221" t="s">
        <v>1414</v>
      </c>
      <c r="H2957" s="220" t="s">
        <v>3746</v>
      </c>
      <c r="I2957" s="260">
        <f>Elec.Data!I2957</f>
        <v>39.950000000000003</v>
      </c>
      <c r="J2957" s="221" t="s">
        <v>1414</v>
      </c>
      <c r="K2957" s="221">
        <f t="shared" si="96"/>
        <v>599.25</v>
      </c>
      <c r="L2957" s="283">
        <f>185+230</f>
        <v>415</v>
      </c>
      <c r="M2957" s="221">
        <f>L2957/12</f>
        <v>34.58</v>
      </c>
      <c r="N2957" s="87">
        <f>M2957/12</f>
        <v>2.88</v>
      </c>
    </row>
    <row r="2958" spans="1:14" ht="20.100000000000001" customHeight="1">
      <c r="E2958" s="221"/>
      <c r="F2958" s="221">
        <v>15</v>
      </c>
      <c r="G2958" s="221" t="s">
        <v>1414</v>
      </c>
      <c r="H2958" s="229" t="s">
        <v>3907</v>
      </c>
      <c r="I2958" s="221">
        <f>I2955</f>
        <v>58</v>
      </c>
      <c r="J2958" s="221" t="s">
        <v>1414</v>
      </c>
      <c r="K2958" s="221">
        <f t="shared" si="96"/>
        <v>870</v>
      </c>
      <c r="L2958" s="221"/>
      <c r="M2958" s="221"/>
    </row>
    <row r="2959" spans="1:14" ht="20.100000000000001" customHeight="1">
      <c r="E2959" s="221"/>
      <c r="F2959" s="224">
        <v>0.22500000000000001</v>
      </c>
      <c r="G2959" s="221" t="s">
        <v>2308</v>
      </c>
      <c r="H2959" s="221" t="s">
        <v>3938</v>
      </c>
      <c r="I2959" s="221">
        <f>I2956</f>
        <v>630</v>
      </c>
      <c r="J2959" s="221" t="s">
        <v>2758</v>
      </c>
      <c r="K2959" s="221">
        <f t="shared" si="96"/>
        <v>141.75</v>
      </c>
      <c r="L2959" s="221"/>
      <c r="M2959" s="221"/>
    </row>
    <row r="2960" spans="1:14" ht="20.100000000000001" customHeight="1">
      <c r="E2960" s="221"/>
      <c r="F2960" s="221">
        <v>1.25</v>
      </c>
      <c r="G2960" s="221" t="s">
        <v>2666</v>
      </c>
      <c r="H2960" s="221" t="s">
        <v>390</v>
      </c>
      <c r="I2960" s="221">
        <f>I2940</f>
        <v>298</v>
      </c>
      <c r="J2960" s="221" t="s">
        <v>2666</v>
      </c>
      <c r="K2960" s="221">
        <f t="shared" si="96"/>
        <v>372.5</v>
      </c>
      <c r="L2960" s="221"/>
      <c r="M2960" s="221"/>
    </row>
    <row r="2961" spans="5:13" ht="31.5">
      <c r="E2961" s="221"/>
      <c r="F2961" s="221">
        <v>45</v>
      </c>
      <c r="G2961" s="221" t="s">
        <v>2308</v>
      </c>
      <c r="H2961" s="278" t="s">
        <v>3943</v>
      </c>
      <c r="I2961" s="221">
        <f>I2951</f>
        <v>15.5</v>
      </c>
      <c r="J2961" s="221" t="s">
        <v>3347</v>
      </c>
      <c r="K2961" s="221">
        <f t="shared" si="96"/>
        <v>697.5</v>
      </c>
      <c r="L2961" s="221"/>
      <c r="M2961" s="221"/>
    </row>
    <row r="2962" spans="5:13" ht="15.75" customHeight="1">
      <c r="E2962" s="221"/>
      <c r="F2962" s="221"/>
      <c r="G2962" s="221"/>
      <c r="H2962" s="221" t="s">
        <v>924</v>
      </c>
      <c r="I2962" s="221"/>
      <c r="J2962" s="221"/>
      <c r="K2962" s="221">
        <f>K2918</f>
        <v>10421</v>
      </c>
      <c r="L2962" s="221"/>
      <c r="M2962" s="221"/>
    </row>
    <row r="2963" spans="5:13" ht="17.25" customHeight="1">
      <c r="E2963" s="221"/>
      <c r="F2963" s="221"/>
      <c r="G2963" s="221"/>
      <c r="H2963" s="221" t="s">
        <v>2296</v>
      </c>
      <c r="I2963" s="221"/>
      <c r="J2963" s="221"/>
      <c r="K2963" s="221">
        <v>65.12</v>
      </c>
      <c r="L2963" s="221"/>
      <c r="M2963" s="221"/>
    </row>
    <row r="2964" spans="5:13">
      <c r="E2964" s="221"/>
      <c r="F2964" s="221"/>
      <c r="G2964" s="221"/>
      <c r="H2964" s="226" t="s">
        <v>2759</v>
      </c>
      <c r="I2964" s="221"/>
      <c r="J2964" s="221"/>
      <c r="K2964" s="227">
        <f>SUM(K2951:K2963)</f>
        <v>15561.87</v>
      </c>
      <c r="L2964" s="221"/>
      <c r="M2964" s="221"/>
    </row>
    <row r="2965" spans="5:13">
      <c r="E2965" s="221"/>
      <c r="F2965" s="221"/>
      <c r="G2965" s="221"/>
      <c r="H2965" s="228" t="s">
        <v>3204</v>
      </c>
      <c r="I2965" s="221"/>
      <c r="J2965" s="221"/>
      <c r="K2965" s="229">
        <f>K2964/15</f>
        <v>1037.46</v>
      </c>
      <c r="L2965" s="221">
        <f>846*15</f>
        <v>12690</v>
      </c>
      <c r="M2965" s="221"/>
    </row>
    <row r="2966" spans="5:13" ht="16.5" customHeight="1">
      <c r="E2966" s="221"/>
      <c r="F2966" s="221"/>
      <c r="G2966" s="221"/>
      <c r="H2966" s="221"/>
      <c r="I2966" s="221"/>
      <c r="J2966" s="221"/>
      <c r="K2966" s="221"/>
      <c r="L2966" s="221">
        <f>L2965-K2964</f>
        <v>-2871.87</v>
      </c>
      <c r="M2966" s="221"/>
    </row>
    <row r="2967" spans="5:13">
      <c r="E2967" s="221"/>
      <c r="F2967" s="221"/>
      <c r="G2967" s="221"/>
      <c r="H2967" s="229" t="s">
        <v>2760</v>
      </c>
      <c r="I2967" s="221"/>
      <c r="J2967" s="221"/>
      <c r="K2967" s="221"/>
      <c r="L2967" s="221"/>
      <c r="M2967" s="221"/>
    </row>
    <row r="2968" spans="5:13">
      <c r="E2968" s="221"/>
      <c r="F2968" s="221"/>
      <c r="G2968" s="221"/>
      <c r="H2968" s="229" t="s">
        <v>2761</v>
      </c>
      <c r="I2968" s="221"/>
      <c r="J2968" s="221"/>
      <c r="K2968" s="221"/>
      <c r="L2968" s="221"/>
      <c r="M2968" s="221"/>
    </row>
    <row r="2969" spans="5:13" ht="3.75" customHeight="1">
      <c r="E2969" s="221"/>
      <c r="F2969" s="221"/>
      <c r="G2969" s="221"/>
      <c r="H2969" s="221"/>
      <c r="I2969" s="221"/>
      <c r="J2969" s="221"/>
      <c r="K2969" s="221"/>
      <c r="L2969" s="221"/>
      <c r="M2969" s="221"/>
    </row>
    <row r="2970" spans="5:13" ht="147.75" customHeight="1">
      <c r="E2970" s="221"/>
      <c r="F2970" s="221"/>
      <c r="G2970" s="221"/>
      <c r="H2970" s="220" t="s">
        <v>2563</v>
      </c>
      <c r="I2970" s="221"/>
      <c r="J2970" s="221"/>
      <c r="K2970" s="221"/>
      <c r="L2970" s="221"/>
      <c r="M2970" s="221"/>
    </row>
    <row r="2971" spans="5:13" ht="2.25" hidden="1" customHeight="1">
      <c r="E2971" s="221"/>
      <c r="F2971" s="221"/>
      <c r="G2971" s="221"/>
      <c r="H2971" s="221"/>
      <c r="I2971" s="221"/>
      <c r="J2971" s="221"/>
      <c r="K2971" s="221"/>
      <c r="L2971" s="221"/>
      <c r="M2971" s="221"/>
    </row>
    <row r="2972" spans="5:13" ht="31.5">
      <c r="E2972" s="221"/>
      <c r="F2972" s="221">
        <v>5</v>
      </c>
      <c r="G2972" s="221" t="s">
        <v>835</v>
      </c>
      <c r="H2972" s="142" t="s">
        <v>2572</v>
      </c>
      <c r="I2972" s="221">
        <f>I2951</f>
        <v>15.5</v>
      </c>
      <c r="J2972" s="221" t="s">
        <v>2390</v>
      </c>
      <c r="K2972" s="221">
        <f>F2972*I2972</f>
        <v>77.5</v>
      </c>
      <c r="L2972" s="221"/>
      <c r="M2972" s="221"/>
    </row>
    <row r="2973" spans="5:13" ht="24.75" customHeight="1">
      <c r="E2973" s="221"/>
      <c r="F2973" s="221">
        <v>2.5</v>
      </c>
      <c r="G2973" s="221" t="s">
        <v>835</v>
      </c>
      <c r="H2973" s="220" t="s">
        <v>2389</v>
      </c>
      <c r="I2973" s="221">
        <f>I2952</f>
        <v>19.100000000000001</v>
      </c>
      <c r="J2973" s="221" t="s">
        <v>835</v>
      </c>
      <c r="K2973" s="221">
        <f>F2973*I2973</f>
        <v>47.75</v>
      </c>
      <c r="L2973" s="221"/>
      <c r="M2973" s="221"/>
    </row>
    <row r="2974" spans="5:13" ht="39.75" customHeight="1">
      <c r="E2974" s="221"/>
      <c r="F2974" s="221">
        <v>1</v>
      </c>
      <c r="G2974" s="221" t="s">
        <v>1414</v>
      </c>
      <c r="H2974" s="220" t="s">
        <v>3946</v>
      </c>
      <c r="I2974" s="222">
        <f>I2957</f>
        <v>39.950000000000003</v>
      </c>
      <c r="J2974" s="221" t="s">
        <v>1414</v>
      </c>
      <c r="K2974" s="221">
        <f>F2974*I2974</f>
        <v>39.950000000000003</v>
      </c>
      <c r="L2974" s="221"/>
      <c r="M2974" s="221"/>
    </row>
    <row r="2975" spans="5:13">
      <c r="E2975" s="221"/>
      <c r="F2975" s="221"/>
      <c r="G2975" s="221"/>
      <c r="H2975" s="221" t="s">
        <v>924</v>
      </c>
      <c r="I2975" s="221"/>
      <c r="J2975" s="221"/>
      <c r="K2975" s="221">
        <f>ROUND(K2873*5/90,2)</f>
        <v>578.94000000000005</v>
      </c>
      <c r="L2975" s="221"/>
      <c r="M2975" s="221"/>
    </row>
    <row r="2976" spans="5:13">
      <c r="E2976" s="221"/>
      <c r="F2976" s="221"/>
      <c r="G2976" s="221"/>
      <c r="H2976" s="221" t="s">
        <v>2296</v>
      </c>
      <c r="I2976" s="221"/>
      <c r="J2976" s="221"/>
      <c r="K2976" s="221">
        <v>20.77</v>
      </c>
      <c r="L2976" s="221"/>
      <c r="M2976" s="221"/>
    </row>
    <row r="2977" spans="5:13" ht="16.5" customHeight="1">
      <c r="E2977" s="221"/>
      <c r="F2977" s="221"/>
      <c r="G2977" s="221"/>
      <c r="H2977" s="228" t="s">
        <v>3204</v>
      </c>
      <c r="I2977" s="221"/>
      <c r="J2977" s="221"/>
      <c r="K2977" s="236">
        <f>SUM(K2972:K2976)</f>
        <v>764.91</v>
      </c>
      <c r="L2977" s="221">
        <f>612-K2977</f>
        <v>-152.91</v>
      </c>
      <c r="M2977" s="221"/>
    </row>
    <row r="2978" spans="5:13" ht="0.75" customHeight="1">
      <c r="E2978" s="221"/>
      <c r="F2978" s="221"/>
      <c r="G2978" s="221"/>
      <c r="H2978" s="221"/>
      <c r="I2978" s="221"/>
      <c r="J2978" s="221"/>
      <c r="K2978" s="221"/>
      <c r="L2978" s="221"/>
      <c r="M2978" s="221"/>
    </row>
    <row r="2979" spans="5:13">
      <c r="E2979" s="221"/>
      <c r="F2979" s="221"/>
      <c r="G2979" s="221"/>
      <c r="H2979" s="229" t="s">
        <v>2564</v>
      </c>
      <c r="I2979" s="221"/>
      <c r="J2979" s="221"/>
      <c r="K2979" s="221"/>
      <c r="L2979" s="221"/>
      <c r="M2979" s="221"/>
    </row>
    <row r="2980" spans="5:13" ht="14.25" customHeight="1">
      <c r="E2980" s="221"/>
      <c r="F2980" s="221"/>
      <c r="G2980" s="221"/>
      <c r="H2980" s="229" t="s">
        <v>2565</v>
      </c>
      <c r="I2980" s="221"/>
      <c r="J2980" s="221"/>
      <c r="K2980" s="221"/>
      <c r="L2980" s="221"/>
      <c r="M2980" s="221"/>
    </row>
    <row r="2981" spans="5:13" ht="1.5" customHeight="1">
      <c r="E2981" s="221"/>
      <c r="F2981" s="221"/>
      <c r="G2981" s="221"/>
      <c r="H2981" s="221"/>
      <c r="I2981" s="221"/>
      <c r="J2981" s="221"/>
      <c r="K2981" s="221"/>
      <c r="L2981" s="221"/>
      <c r="M2981" s="221"/>
    </row>
    <row r="2982" spans="5:13" ht="65.25" customHeight="1">
      <c r="E2982" s="221"/>
      <c r="F2982" s="221"/>
      <c r="G2982" s="221"/>
      <c r="H2982" s="220" t="s">
        <v>2879</v>
      </c>
      <c r="I2982" s="221"/>
      <c r="J2982" s="221"/>
      <c r="K2982" s="221"/>
      <c r="L2982" s="221"/>
      <c r="M2982" s="221"/>
    </row>
    <row r="2983" spans="5:13" ht="2.25" customHeight="1">
      <c r="E2983" s="221"/>
      <c r="F2983" s="221"/>
      <c r="G2983" s="221"/>
      <c r="H2983" s="221"/>
      <c r="I2983" s="221"/>
      <c r="J2983" s="221"/>
      <c r="K2983" s="221"/>
      <c r="L2983" s="221"/>
      <c r="M2983" s="221"/>
    </row>
    <row r="2984" spans="5:13" ht="17.25" customHeight="1">
      <c r="E2984" s="221"/>
      <c r="F2984" s="221">
        <v>1</v>
      </c>
      <c r="G2984" s="221" t="s">
        <v>1414</v>
      </c>
      <c r="H2984" s="221" t="s">
        <v>3185</v>
      </c>
      <c r="I2984" s="260">
        <f>Elec.Data!I2984</f>
        <v>54</v>
      </c>
      <c r="J2984" s="221" t="s">
        <v>1414</v>
      </c>
      <c r="K2984" s="221">
        <f>F2984*I2984</f>
        <v>54</v>
      </c>
      <c r="L2984" s="221"/>
      <c r="M2984" s="221"/>
    </row>
    <row r="2985" spans="5:13" ht="14.25" customHeight="1">
      <c r="E2985" s="221"/>
      <c r="F2985" s="221">
        <v>1</v>
      </c>
      <c r="G2985" s="221" t="s">
        <v>1414</v>
      </c>
      <c r="H2985" s="229" t="s">
        <v>3907</v>
      </c>
      <c r="I2985" s="221">
        <f>I2955</f>
        <v>58</v>
      </c>
      <c r="J2985" s="221" t="s">
        <v>1414</v>
      </c>
      <c r="K2985" s="221">
        <f>F2985*I2985</f>
        <v>58</v>
      </c>
      <c r="L2985" s="221"/>
      <c r="M2985" s="221"/>
    </row>
    <row r="2986" spans="5:13" ht="13.5" customHeight="1">
      <c r="E2986" s="221"/>
      <c r="F2986" s="224">
        <v>1.4999999999999999E-2</v>
      </c>
      <c r="G2986" s="221" t="s">
        <v>2308</v>
      </c>
      <c r="H2986" s="221" t="s">
        <v>3187</v>
      </c>
      <c r="I2986" s="221">
        <f>I2956</f>
        <v>630</v>
      </c>
      <c r="J2986" s="221" t="s">
        <v>2308</v>
      </c>
      <c r="K2986" s="221">
        <f>F2986*I2986</f>
        <v>9.4499999999999993</v>
      </c>
      <c r="L2986" s="221"/>
      <c r="M2986" s="221"/>
    </row>
    <row r="2987" spans="5:13" ht="17.25" customHeight="1">
      <c r="E2987" s="221"/>
      <c r="F2987" s="221" t="s">
        <v>663</v>
      </c>
      <c r="G2987" s="221"/>
      <c r="H2987" s="221" t="s">
        <v>3188</v>
      </c>
      <c r="I2987" s="221"/>
      <c r="J2987" s="221"/>
      <c r="K2987" s="221">
        <v>12.05</v>
      </c>
      <c r="L2987" s="221"/>
      <c r="M2987" s="221"/>
    </row>
    <row r="2988" spans="5:13" ht="20.25" customHeight="1">
      <c r="E2988" s="221"/>
      <c r="F2988" s="221"/>
      <c r="G2988" s="221"/>
      <c r="H2988" s="228" t="s">
        <v>1080</v>
      </c>
      <c r="I2988" s="221"/>
      <c r="J2988" s="221"/>
      <c r="K2988" s="236">
        <f>SUM(K2984:K2987)</f>
        <v>133.5</v>
      </c>
      <c r="L2988" s="221">
        <f>131-K2988</f>
        <v>-2.5</v>
      </c>
      <c r="M2988" s="221"/>
    </row>
    <row r="2989" spans="5:13">
      <c r="E2989" s="221"/>
      <c r="F2989" s="221"/>
      <c r="G2989" s="221"/>
      <c r="H2989" s="221"/>
      <c r="I2989" s="221"/>
      <c r="J2989" s="221"/>
      <c r="K2989" s="221"/>
      <c r="L2989" s="221"/>
      <c r="M2989" s="221"/>
    </row>
    <row r="2990" spans="5:13">
      <c r="E2990" s="221"/>
      <c r="F2990" s="221"/>
      <c r="G2990" s="221"/>
      <c r="H2990" s="229" t="s">
        <v>3189</v>
      </c>
      <c r="I2990" s="221"/>
      <c r="J2990" s="221"/>
      <c r="K2990" s="221"/>
      <c r="L2990" s="221"/>
      <c r="M2990" s="221"/>
    </row>
    <row r="2991" spans="5:13" ht="47.25">
      <c r="E2991" s="221"/>
      <c r="F2991" s="221"/>
      <c r="G2991" s="221"/>
      <c r="H2991" s="219" t="s">
        <v>3190</v>
      </c>
      <c r="I2991" s="221"/>
      <c r="J2991" s="221"/>
      <c r="K2991" s="221"/>
      <c r="L2991" s="221"/>
      <c r="M2991" s="221"/>
    </row>
    <row r="2992" spans="5:13">
      <c r="E2992" s="221"/>
      <c r="F2992" s="221"/>
      <c r="G2992" s="221"/>
      <c r="H2992" s="219"/>
      <c r="I2992" s="221"/>
      <c r="J2992" s="221"/>
      <c r="K2992" s="221"/>
      <c r="L2992" s="221"/>
      <c r="M2992" s="221"/>
    </row>
    <row r="2993" spans="5:13" ht="210.75" customHeight="1">
      <c r="E2993" s="221"/>
      <c r="F2993" s="221"/>
      <c r="G2993" s="221"/>
      <c r="H2993" s="220" t="s">
        <v>2460</v>
      </c>
      <c r="I2993" s="221"/>
      <c r="J2993" s="221"/>
      <c r="K2993" s="221"/>
      <c r="L2993" s="221"/>
      <c r="M2993" s="221"/>
    </row>
    <row r="2994" spans="5:13">
      <c r="E2994" s="221"/>
      <c r="F2994" s="221"/>
      <c r="G2994" s="221"/>
      <c r="H2994" s="221"/>
      <c r="I2994" s="221"/>
      <c r="J2994" s="221"/>
      <c r="K2994" s="221"/>
      <c r="L2994" s="221"/>
      <c r="M2994" s="221"/>
    </row>
    <row r="2995" spans="5:13" ht="31.5">
      <c r="E2995" s="221"/>
      <c r="F2995" s="221">
        <v>90</v>
      </c>
      <c r="G2995" s="221" t="s">
        <v>835</v>
      </c>
      <c r="H2995" s="142" t="s">
        <v>2572</v>
      </c>
      <c r="I2995" s="221">
        <f>I2843</f>
        <v>15.5</v>
      </c>
      <c r="J2995" s="221" t="s">
        <v>835</v>
      </c>
      <c r="K2995" s="221">
        <f t="shared" ref="K2995:K3007" si="97">F2995*I2995</f>
        <v>1395</v>
      </c>
      <c r="L2995" s="221"/>
      <c r="M2995" s="221"/>
    </row>
    <row r="2996" spans="5:13" ht="31.5">
      <c r="E2996" s="221"/>
      <c r="F2996" s="221">
        <v>45</v>
      </c>
      <c r="G2996" s="221" t="s">
        <v>835</v>
      </c>
      <c r="H2996" s="220" t="s">
        <v>2389</v>
      </c>
      <c r="I2996" s="221">
        <f>I2844</f>
        <v>19.100000000000001</v>
      </c>
      <c r="J2996" s="221" t="s">
        <v>2390</v>
      </c>
      <c r="K2996" s="221">
        <f t="shared" si="97"/>
        <v>859.5</v>
      </c>
      <c r="L2996" s="221"/>
      <c r="M2996" s="221"/>
    </row>
    <row r="2997" spans="5:13">
      <c r="E2997" s="221"/>
      <c r="F2997" s="221">
        <v>12</v>
      </c>
      <c r="G2997" s="221" t="s">
        <v>1414</v>
      </c>
      <c r="H2997" s="221" t="s">
        <v>2391</v>
      </c>
      <c r="I2997" s="221">
        <f>I2845</f>
        <v>3</v>
      </c>
      <c r="J2997" s="221" t="s">
        <v>1414</v>
      </c>
      <c r="K2997" s="221">
        <f t="shared" si="97"/>
        <v>36</v>
      </c>
      <c r="L2997" s="221"/>
      <c r="M2997" s="221"/>
    </row>
    <row r="2998" spans="5:13">
      <c r="E2998" s="221"/>
      <c r="F2998" s="221">
        <v>6</v>
      </c>
      <c r="G2998" s="221" t="s">
        <v>1414</v>
      </c>
      <c r="H2998" s="221" t="s">
        <v>3432</v>
      </c>
      <c r="I2998" s="221">
        <f>I2846</f>
        <v>1.28</v>
      </c>
      <c r="J2998" s="221" t="s">
        <v>1414</v>
      </c>
      <c r="K2998" s="221">
        <f t="shared" si="97"/>
        <v>7.68</v>
      </c>
      <c r="L2998" s="221"/>
      <c r="M2998" s="221"/>
    </row>
    <row r="2999" spans="5:13">
      <c r="E2999" s="221"/>
      <c r="F2999" s="221">
        <v>1</v>
      </c>
      <c r="G2999" s="221" t="s">
        <v>1414</v>
      </c>
      <c r="H2999" s="229" t="s">
        <v>3907</v>
      </c>
      <c r="I2999" s="303">
        <f>I2847</f>
        <v>58</v>
      </c>
      <c r="J2999" s="221" t="s">
        <v>1414</v>
      </c>
      <c r="K2999" s="221">
        <f t="shared" si="97"/>
        <v>58</v>
      </c>
      <c r="L2999" s="221"/>
      <c r="M2999" s="221"/>
    </row>
    <row r="3000" spans="5:13">
      <c r="E3000" s="221"/>
      <c r="F3000" s="224">
        <v>1.4999999999999999E-2</v>
      </c>
      <c r="G3000" s="221" t="s">
        <v>2308</v>
      </c>
      <c r="H3000" s="221" t="s">
        <v>3303</v>
      </c>
      <c r="I3000" s="221">
        <f t="shared" ref="I3000:I3007" si="98">I2849</f>
        <v>630</v>
      </c>
      <c r="J3000" s="221" t="s">
        <v>2308</v>
      </c>
      <c r="K3000" s="221">
        <f t="shared" si="97"/>
        <v>9.4499999999999993</v>
      </c>
      <c r="L3000" s="221"/>
      <c r="M3000" s="221"/>
    </row>
    <row r="3001" spans="5:13">
      <c r="E3001" s="221"/>
      <c r="F3001" s="221">
        <v>6</v>
      </c>
      <c r="G3001" s="221" t="s">
        <v>1414</v>
      </c>
      <c r="H3001" s="221" t="s">
        <v>3304</v>
      </c>
      <c r="I3001" s="221">
        <f t="shared" si="98"/>
        <v>16.05</v>
      </c>
      <c r="J3001" s="221" t="s">
        <v>3435</v>
      </c>
      <c r="K3001" s="221">
        <f t="shared" si="97"/>
        <v>96.3</v>
      </c>
      <c r="L3001" s="221"/>
      <c r="M3001" s="221"/>
    </row>
    <row r="3002" spans="5:13">
      <c r="E3002" s="221"/>
      <c r="F3002" s="221">
        <v>6</v>
      </c>
      <c r="G3002" s="221" t="s">
        <v>1414</v>
      </c>
      <c r="H3002" s="221" t="s">
        <v>2662</v>
      </c>
      <c r="I3002" s="221">
        <f t="shared" si="98"/>
        <v>13.6</v>
      </c>
      <c r="J3002" s="221" t="s">
        <v>1414</v>
      </c>
      <c r="K3002" s="221">
        <f t="shared" si="97"/>
        <v>81.599999999999994</v>
      </c>
      <c r="L3002" s="221"/>
      <c r="M3002" s="221"/>
    </row>
    <row r="3003" spans="5:13">
      <c r="E3003" s="221"/>
      <c r="F3003" s="221">
        <v>6</v>
      </c>
      <c r="G3003" s="221" t="s">
        <v>1414</v>
      </c>
      <c r="H3003" s="221" t="s">
        <v>2664</v>
      </c>
      <c r="I3003" s="221">
        <f t="shared" si="98"/>
        <v>3.43</v>
      </c>
      <c r="J3003" s="221" t="s">
        <v>1414</v>
      </c>
      <c r="K3003" s="221">
        <f t="shared" si="97"/>
        <v>20.58</v>
      </c>
      <c r="L3003" s="221"/>
      <c r="M3003" s="221"/>
    </row>
    <row r="3004" spans="5:13">
      <c r="E3004" s="221"/>
      <c r="F3004" s="221">
        <v>1.25</v>
      </c>
      <c r="G3004" s="221" t="s">
        <v>2666</v>
      </c>
      <c r="H3004" s="221" t="s">
        <v>390</v>
      </c>
      <c r="I3004" s="221">
        <f t="shared" si="98"/>
        <v>298</v>
      </c>
      <c r="J3004" s="221" t="s">
        <v>2666</v>
      </c>
      <c r="K3004" s="221">
        <f t="shared" si="97"/>
        <v>372.5</v>
      </c>
      <c r="L3004" s="221"/>
      <c r="M3004" s="221"/>
    </row>
    <row r="3005" spans="5:13">
      <c r="E3005" s="221"/>
      <c r="F3005" s="221">
        <v>6</v>
      </c>
      <c r="G3005" s="221" t="s">
        <v>1414</v>
      </c>
      <c r="H3005" s="229" t="s">
        <v>3907</v>
      </c>
      <c r="I3005" s="303">
        <f t="shared" si="98"/>
        <v>58</v>
      </c>
      <c r="J3005" s="221" t="s">
        <v>1414</v>
      </c>
      <c r="K3005" s="221">
        <f t="shared" si="97"/>
        <v>348</v>
      </c>
      <c r="L3005" s="221"/>
      <c r="M3005" s="221"/>
    </row>
    <row r="3006" spans="5:13">
      <c r="E3006" s="221"/>
      <c r="F3006" s="221">
        <v>0.09</v>
      </c>
      <c r="G3006" s="221" t="s">
        <v>2308</v>
      </c>
      <c r="H3006" s="221" t="s">
        <v>2669</v>
      </c>
      <c r="I3006" s="221">
        <f t="shared" si="98"/>
        <v>630</v>
      </c>
      <c r="J3006" s="221" t="s">
        <v>2308</v>
      </c>
      <c r="K3006" s="221">
        <f t="shared" si="97"/>
        <v>56.7</v>
      </c>
      <c r="L3006" s="221"/>
      <c r="M3006" s="221"/>
    </row>
    <row r="3007" spans="5:13" ht="31.5">
      <c r="E3007" s="221"/>
      <c r="F3007" s="221">
        <v>45</v>
      </c>
      <c r="G3007" s="221"/>
      <c r="H3007" s="142" t="s">
        <v>2672</v>
      </c>
      <c r="I3007" s="221">
        <f t="shared" si="98"/>
        <v>15.5</v>
      </c>
      <c r="J3007" s="221" t="s">
        <v>3347</v>
      </c>
      <c r="K3007" s="221">
        <f t="shared" si="97"/>
        <v>697.5</v>
      </c>
      <c r="L3007" s="221"/>
      <c r="M3007" s="221"/>
    </row>
    <row r="3008" spans="5:13">
      <c r="E3008" s="221"/>
      <c r="F3008" s="221"/>
      <c r="G3008" s="221"/>
      <c r="H3008" s="221" t="s">
        <v>924</v>
      </c>
      <c r="I3008" s="221"/>
      <c r="J3008" s="221" t="s">
        <v>663</v>
      </c>
      <c r="K3008" s="221">
        <f>K2857</f>
        <v>10421</v>
      </c>
      <c r="L3008" s="221"/>
      <c r="M3008" s="221"/>
    </row>
    <row r="3009" spans="5:14">
      <c r="E3009" s="221"/>
      <c r="F3009" s="221"/>
      <c r="G3009" s="221"/>
      <c r="H3009" s="221" t="s">
        <v>2296</v>
      </c>
      <c r="I3009" s="221"/>
      <c r="J3009" s="221" t="s">
        <v>663</v>
      </c>
      <c r="K3009" s="221">
        <v>46.78</v>
      </c>
      <c r="L3009" s="221"/>
      <c r="M3009" s="221"/>
    </row>
    <row r="3010" spans="5:14" ht="30" customHeight="1">
      <c r="E3010" s="221"/>
      <c r="F3010" s="221"/>
      <c r="G3010" s="221"/>
      <c r="H3010" s="226" t="s">
        <v>3355</v>
      </c>
      <c r="I3010" s="221"/>
      <c r="J3010" s="221"/>
      <c r="K3010" s="227">
        <f>SUM(K2995:K3009)</f>
        <v>14506.59</v>
      </c>
      <c r="L3010" s="221"/>
      <c r="M3010" s="221"/>
    </row>
    <row r="3011" spans="5:14" ht="30" customHeight="1">
      <c r="E3011" s="221"/>
      <c r="F3011" s="221"/>
      <c r="G3011" s="221"/>
      <c r="H3011" s="228" t="s">
        <v>3352</v>
      </c>
      <c r="I3011" s="221"/>
      <c r="J3011" s="221"/>
      <c r="K3011" s="229">
        <f>K3010/6</f>
        <v>2417.77</v>
      </c>
      <c r="L3011" s="221">
        <f>1724*6</f>
        <v>10344</v>
      </c>
      <c r="M3011" s="221"/>
    </row>
    <row r="3012" spans="5:14">
      <c r="E3012" s="221"/>
      <c r="F3012" s="221"/>
      <c r="G3012" s="221"/>
      <c r="H3012" s="221"/>
      <c r="I3012" s="221"/>
      <c r="J3012" s="221"/>
      <c r="K3012" s="221"/>
      <c r="L3012" s="221">
        <f>L3011-K3010</f>
        <v>-4162.59</v>
      </c>
      <c r="M3012" s="221"/>
    </row>
    <row r="3013" spans="5:14" ht="30" customHeight="1">
      <c r="E3013" s="221"/>
      <c r="F3013" s="221"/>
      <c r="G3013" s="221"/>
      <c r="H3013" s="229" t="s">
        <v>2461</v>
      </c>
      <c r="I3013" s="221"/>
      <c r="J3013" s="221"/>
      <c r="K3013" s="221"/>
      <c r="L3013" s="221"/>
      <c r="M3013" s="221"/>
    </row>
    <row r="3014" spans="5:14" ht="47.25">
      <c r="E3014" s="221"/>
      <c r="F3014" s="221"/>
      <c r="G3014" s="221"/>
      <c r="H3014" s="219" t="s">
        <v>2462</v>
      </c>
      <c r="I3014" s="221"/>
      <c r="J3014" s="221"/>
      <c r="K3014" s="221"/>
      <c r="L3014" s="221"/>
      <c r="M3014" s="221"/>
    </row>
    <row r="3015" spans="5:14">
      <c r="E3015" s="221"/>
      <c r="F3015" s="221"/>
      <c r="G3015" s="221"/>
      <c r="H3015" s="221"/>
      <c r="I3015" s="221"/>
      <c r="J3015" s="221"/>
      <c r="K3015" s="221"/>
      <c r="L3015" s="221"/>
      <c r="M3015" s="221"/>
    </row>
    <row r="3016" spans="5:14" ht="194.25" customHeight="1">
      <c r="E3016" s="221"/>
      <c r="F3016" s="221"/>
      <c r="G3016" s="221"/>
      <c r="H3016" s="220" t="s">
        <v>2329</v>
      </c>
      <c r="I3016" s="221"/>
      <c r="J3016" s="221"/>
      <c r="K3016" s="221"/>
      <c r="L3016" s="221"/>
      <c r="M3016" s="221"/>
    </row>
    <row r="3017" spans="5:14" hidden="1">
      <c r="E3017" s="221"/>
      <c r="F3017" s="221"/>
      <c r="G3017" s="221"/>
      <c r="H3017" s="221"/>
      <c r="I3017" s="221"/>
      <c r="J3017" s="221"/>
      <c r="K3017" s="221"/>
      <c r="L3017" s="221"/>
      <c r="M3017" s="221"/>
    </row>
    <row r="3018" spans="5:14" ht="15.75" customHeight="1">
      <c r="E3018" s="221"/>
      <c r="F3018" s="221"/>
      <c r="G3018" s="221"/>
      <c r="H3018" s="221" t="s">
        <v>2330</v>
      </c>
      <c r="I3018" s="221"/>
      <c r="J3018" s="221"/>
      <c r="K3018" s="221">
        <f>K3010-K3009</f>
        <v>14459.81</v>
      </c>
      <c r="L3018" s="221">
        <f>K3010-K3009</f>
        <v>14459.81</v>
      </c>
      <c r="M3018" s="221"/>
    </row>
    <row r="3019" spans="5:14" ht="19.5" customHeight="1">
      <c r="E3019" s="221"/>
      <c r="F3019" s="221"/>
      <c r="G3019" s="221"/>
      <c r="H3019" s="221" t="s">
        <v>2885</v>
      </c>
      <c r="I3019" s="221"/>
      <c r="J3019" s="221"/>
      <c r="K3019" s="221">
        <f>K3002</f>
        <v>81.599999999999994</v>
      </c>
      <c r="L3019" s="221"/>
      <c r="M3019" s="221"/>
    </row>
    <row r="3020" spans="5:14" ht="21.75" customHeight="1">
      <c r="E3020" s="221"/>
      <c r="F3020" s="221"/>
      <c r="G3020" s="221"/>
      <c r="H3020" s="221" t="s">
        <v>4842</v>
      </c>
      <c r="I3020" s="221"/>
      <c r="J3020" s="221"/>
      <c r="K3020" s="260">
        <f>16.35*6</f>
        <v>98.1</v>
      </c>
      <c r="L3020" s="221"/>
      <c r="M3020" s="221"/>
    </row>
    <row r="3021" spans="5:14" ht="16.5" customHeight="1">
      <c r="E3021" s="221"/>
      <c r="F3021" s="221"/>
      <c r="G3021" s="221"/>
      <c r="H3021" s="221" t="s">
        <v>2296</v>
      </c>
      <c r="I3021" s="221"/>
      <c r="J3021" s="221"/>
      <c r="K3021" s="221">
        <v>36.28</v>
      </c>
      <c r="L3021" s="221"/>
      <c r="M3021" s="221"/>
    </row>
    <row r="3022" spans="5:14" ht="15.75" customHeight="1">
      <c r="E3022" s="221"/>
      <c r="F3022" s="221"/>
      <c r="G3022" s="221"/>
      <c r="H3022" s="226" t="s">
        <v>2886</v>
      </c>
      <c r="I3022" s="221"/>
      <c r="J3022" s="221"/>
      <c r="K3022" s="227">
        <f>(K3018-K3019)+K3020+K3021</f>
        <v>14512.59</v>
      </c>
      <c r="L3022" s="221"/>
      <c r="M3022" s="221"/>
    </row>
    <row r="3023" spans="5:14" ht="24" customHeight="1">
      <c r="E3023" s="221"/>
      <c r="F3023" s="221"/>
      <c r="G3023" s="221"/>
      <c r="H3023" s="228" t="s">
        <v>2887</v>
      </c>
      <c r="I3023" s="221"/>
      <c r="J3023" s="221"/>
      <c r="K3023" s="229">
        <f>K3022/6</f>
        <v>2418.77</v>
      </c>
      <c r="L3023" s="221"/>
      <c r="M3023" s="221">
        <f>1726*6</f>
        <v>10356</v>
      </c>
      <c r="N3023" s="87">
        <f>M3023-K3022</f>
        <v>-4156.59</v>
      </c>
    </row>
    <row r="3024" spans="5:14">
      <c r="E3024" s="221"/>
      <c r="F3024" s="221"/>
      <c r="G3024" s="221"/>
      <c r="H3024" s="221"/>
      <c r="I3024" s="221"/>
      <c r="J3024" s="221"/>
      <c r="K3024" s="221"/>
      <c r="L3024" s="221"/>
      <c r="M3024" s="221">
        <f>M3023-K3022</f>
        <v>-4156.59</v>
      </c>
    </row>
    <row r="3025" spans="5:13">
      <c r="E3025" s="221"/>
      <c r="F3025" s="221"/>
      <c r="G3025" s="221"/>
      <c r="H3025" s="229" t="s">
        <v>2888</v>
      </c>
      <c r="I3025" s="221"/>
      <c r="J3025" s="221"/>
      <c r="K3025" s="221"/>
      <c r="L3025" s="221"/>
      <c r="M3025" s="221"/>
    </row>
    <row r="3026" spans="5:13" ht="30.75" customHeight="1">
      <c r="E3026" s="221"/>
      <c r="F3026" s="221"/>
      <c r="G3026" s="221"/>
      <c r="H3026" s="219" t="s">
        <v>2929</v>
      </c>
      <c r="I3026" s="221"/>
      <c r="J3026" s="221"/>
      <c r="K3026" s="221"/>
      <c r="L3026" s="221"/>
      <c r="M3026" s="221"/>
    </row>
    <row r="3027" spans="5:13" ht="173.25">
      <c r="E3027" s="221"/>
      <c r="F3027" s="221"/>
      <c r="G3027" s="221"/>
      <c r="H3027" s="220" t="s">
        <v>2959</v>
      </c>
      <c r="I3027" s="221"/>
      <c r="J3027" s="221"/>
      <c r="K3027" s="221"/>
      <c r="L3027" s="221"/>
      <c r="M3027" s="221"/>
    </row>
    <row r="3028" spans="5:13" ht="30.75" customHeight="1">
      <c r="E3028" s="221"/>
      <c r="F3028" s="221">
        <v>90</v>
      </c>
      <c r="G3028" s="221" t="s">
        <v>835</v>
      </c>
      <c r="H3028" s="142" t="s">
        <v>2572</v>
      </c>
      <c r="I3028" s="221">
        <f t="shared" ref="I3028:I3040" si="99">I2905</f>
        <v>15.5</v>
      </c>
      <c r="J3028" s="221" t="s">
        <v>2573</v>
      </c>
      <c r="K3028" s="221">
        <f t="shared" ref="K3028:K3040" si="100">F3028*I3028</f>
        <v>1395</v>
      </c>
      <c r="L3028" s="221"/>
      <c r="M3028" s="221"/>
    </row>
    <row r="3029" spans="5:13" ht="27.75" customHeight="1">
      <c r="E3029" s="221"/>
      <c r="F3029" s="221">
        <v>45</v>
      </c>
      <c r="G3029" s="221" t="s">
        <v>835</v>
      </c>
      <c r="H3029" s="220" t="s">
        <v>2389</v>
      </c>
      <c r="I3029" s="221">
        <f t="shared" si="99"/>
        <v>19.100000000000001</v>
      </c>
      <c r="J3029" s="221" t="s">
        <v>835</v>
      </c>
      <c r="K3029" s="221">
        <f t="shared" si="100"/>
        <v>859.5</v>
      </c>
      <c r="L3029" s="221"/>
      <c r="M3029" s="221"/>
    </row>
    <row r="3030" spans="5:13">
      <c r="E3030" s="221"/>
      <c r="F3030" s="221">
        <v>12</v>
      </c>
      <c r="G3030" s="221" t="s">
        <v>1414</v>
      </c>
      <c r="H3030" s="221" t="s">
        <v>2391</v>
      </c>
      <c r="I3030" s="221">
        <f t="shared" si="99"/>
        <v>3</v>
      </c>
      <c r="J3030" s="221" t="s">
        <v>1414</v>
      </c>
      <c r="K3030" s="221">
        <f t="shared" si="100"/>
        <v>36</v>
      </c>
      <c r="L3030" s="221"/>
      <c r="M3030" s="221"/>
    </row>
    <row r="3031" spans="5:13">
      <c r="E3031" s="221"/>
      <c r="F3031" s="221">
        <v>6</v>
      </c>
      <c r="G3031" s="221" t="s">
        <v>1414</v>
      </c>
      <c r="H3031" s="221" t="s">
        <v>3432</v>
      </c>
      <c r="I3031" s="221">
        <f t="shared" si="99"/>
        <v>1.28</v>
      </c>
      <c r="J3031" s="221" t="s">
        <v>1414</v>
      </c>
      <c r="K3031" s="221">
        <f t="shared" si="100"/>
        <v>7.68</v>
      </c>
      <c r="L3031" s="221"/>
      <c r="M3031" s="221"/>
    </row>
    <row r="3032" spans="5:13">
      <c r="E3032" s="221"/>
      <c r="F3032" s="221">
        <v>6</v>
      </c>
      <c r="G3032" s="221" t="s">
        <v>1414</v>
      </c>
      <c r="H3032" s="221" t="s">
        <v>3514</v>
      </c>
      <c r="I3032" s="221">
        <f t="shared" si="99"/>
        <v>3.43</v>
      </c>
      <c r="J3032" s="221" t="s">
        <v>1414</v>
      </c>
      <c r="K3032" s="221">
        <f t="shared" si="100"/>
        <v>20.58</v>
      </c>
      <c r="L3032" s="221"/>
      <c r="M3032" s="221"/>
    </row>
    <row r="3033" spans="5:13">
      <c r="E3033" s="221"/>
      <c r="F3033" s="221">
        <v>6</v>
      </c>
      <c r="G3033" s="221" t="s">
        <v>1414</v>
      </c>
      <c r="H3033" s="221" t="s">
        <v>2662</v>
      </c>
      <c r="I3033" s="221">
        <f t="shared" si="99"/>
        <v>13.6</v>
      </c>
      <c r="J3033" s="221" t="s">
        <v>1414</v>
      </c>
      <c r="K3033" s="221">
        <f t="shared" si="100"/>
        <v>81.599999999999994</v>
      </c>
      <c r="L3033" s="221"/>
      <c r="M3033" s="221"/>
    </row>
    <row r="3034" spans="5:13">
      <c r="E3034" s="221"/>
      <c r="F3034" s="221">
        <v>6</v>
      </c>
      <c r="G3034" s="221" t="s">
        <v>1414</v>
      </c>
      <c r="H3034" s="221" t="s">
        <v>3304</v>
      </c>
      <c r="I3034" s="221">
        <f t="shared" si="99"/>
        <v>16.05</v>
      </c>
      <c r="J3034" s="221" t="s">
        <v>3435</v>
      </c>
      <c r="K3034" s="221">
        <f>F3034*I3034</f>
        <v>96.3</v>
      </c>
      <c r="L3034" s="221"/>
      <c r="M3034" s="221"/>
    </row>
    <row r="3035" spans="5:13">
      <c r="E3035" s="221"/>
      <c r="F3035" s="221">
        <v>6</v>
      </c>
      <c r="G3035" s="221" t="s">
        <v>1414</v>
      </c>
      <c r="H3035" s="229" t="s">
        <v>3903</v>
      </c>
      <c r="I3035" s="221">
        <f t="shared" si="99"/>
        <v>85</v>
      </c>
      <c r="J3035" s="221" t="s">
        <v>1414</v>
      </c>
      <c r="K3035" s="221">
        <f t="shared" si="100"/>
        <v>510</v>
      </c>
      <c r="L3035" s="221"/>
      <c r="M3035" s="221"/>
    </row>
    <row r="3036" spans="5:13">
      <c r="E3036" s="221"/>
      <c r="F3036" s="221">
        <v>0.36</v>
      </c>
      <c r="G3036" s="221" t="s">
        <v>2308</v>
      </c>
      <c r="H3036" s="221" t="s">
        <v>2669</v>
      </c>
      <c r="I3036" s="221">
        <f t="shared" si="99"/>
        <v>630</v>
      </c>
      <c r="J3036" s="221" t="s">
        <v>2308</v>
      </c>
      <c r="K3036" s="221">
        <f t="shared" si="100"/>
        <v>226.8</v>
      </c>
      <c r="L3036" s="221"/>
      <c r="M3036" s="221"/>
    </row>
    <row r="3037" spans="5:13">
      <c r="E3037" s="221"/>
      <c r="F3037" s="221">
        <v>1</v>
      </c>
      <c r="G3037" s="221" t="s">
        <v>1414</v>
      </c>
      <c r="H3037" s="229" t="s">
        <v>3907</v>
      </c>
      <c r="I3037" s="221">
        <f t="shared" si="99"/>
        <v>58</v>
      </c>
      <c r="J3037" s="221" t="s">
        <v>1414</v>
      </c>
      <c r="K3037" s="221">
        <f t="shared" si="100"/>
        <v>58</v>
      </c>
      <c r="L3037" s="221"/>
      <c r="M3037" s="221"/>
    </row>
    <row r="3038" spans="5:13">
      <c r="E3038" s="221"/>
      <c r="F3038" s="224">
        <v>1.4999999999999999E-2</v>
      </c>
      <c r="G3038" s="221" t="s">
        <v>2308</v>
      </c>
      <c r="H3038" s="221" t="s">
        <v>3938</v>
      </c>
      <c r="I3038" s="221">
        <f t="shared" si="99"/>
        <v>630</v>
      </c>
      <c r="J3038" s="221" t="s">
        <v>2308</v>
      </c>
      <c r="K3038" s="221">
        <f t="shared" si="100"/>
        <v>9.4499999999999993</v>
      </c>
      <c r="L3038" s="221"/>
      <c r="M3038" s="221"/>
    </row>
    <row r="3039" spans="5:13">
      <c r="E3039" s="221"/>
      <c r="F3039" s="221">
        <v>1.25</v>
      </c>
      <c r="G3039" s="221" t="s">
        <v>2666</v>
      </c>
      <c r="H3039" s="221" t="s">
        <v>390</v>
      </c>
      <c r="I3039" s="221">
        <f t="shared" si="99"/>
        <v>298</v>
      </c>
      <c r="J3039" s="221" t="s">
        <v>2666</v>
      </c>
      <c r="K3039" s="221">
        <f t="shared" si="100"/>
        <v>372.5</v>
      </c>
      <c r="L3039" s="221"/>
      <c r="M3039" s="221"/>
    </row>
    <row r="3040" spans="5:13" ht="31.5">
      <c r="E3040" s="221"/>
      <c r="F3040" s="221">
        <v>45</v>
      </c>
      <c r="G3040" s="221" t="s">
        <v>835</v>
      </c>
      <c r="H3040" s="278" t="s">
        <v>3943</v>
      </c>
      <c r="I3040" s="221">
        <f t="shared" si="99"/>
        <v>15.5</v>
      </c>
      <c r="J3040" s="221" t="s">
        <v>2573</v>
      </c>
      <c r="K3040" s="221">
        <f t="shared" si="100"/>
        <v>697.5</v>
      </c>
      <c r="L3040" s="221"/>
      <c r="M3040" s="221"/>
    </row>
    <row r="3041" spans="5:13">
      <c r="E3041" s="221"/>
      <c r="F3041" s="221"/>
      <c r="G3041" s="221"/>
      <c r="H3041" s="221" t="s">
        <v>924</v>
      </c>
      <c r="I3041" s="221"/>
      <c r="J3041" s="221"/>
      <c r="K3041" s="221">
        <f>K2918</f>
        <v>10421</v>
      </c>
      <c r="L3041" s="221"/>
      <c r="M3041" s="221"/>
    </row>
    <row r="3042" spans="5:13">
      <c r="E3042" s="221"/>
      <c r="F3042" s="221"/>
      <c r="G3042" s="221"/>
      <c r="H3042" s="221" t="s">
        <v>2296</v>
      </c>
      <c r="I3042" s="221"/>
      <c r="J3042" s="221"/>
      <c r="K3042" s="221">
        <v>38.75</v>
      </c>
      <c r="L3042" s="221"/>
      <c r="M3042" s="221"/>
    </row>
    <row r="3043" spans="5:13">
      <c r="E3043" s="221"/>
      <c r="F3043" s="221"/>
      <c r="G3043" s="221"/>
      <c r="H3043" s="226" t="s">
        <v>2886</v>
      </c>
      <c r="I3043" s="221"/>
      <c r="J3043" s="221"/>
      <c r="K3043" s="227">
        <f>SUM(K3028:K3042)</f>
        <v>14830.66</v>
      </c>
      <c r="L3043" s="221"/>
      <c r="M3043" s="221"/>
    </row>
    <row r="3044" spans="5:13">
      <c r="E3044" s="221"/>
      <c r="F3044" s="221"/>
      <c r="G3044" s="221"/>
      <c r="H3044" s="228" t="s">
        <v>3204</v>
      </c>
      <c r="I3044" s="221"/>
      <c r="J3044" s="221"/>
      <c r="K3044" s="229">
        <f>K3043/6</f>
        <v>2471.7800000000002</v>
      </c>
      <c r="L3044" s="221">
        <f>1774*6</f>
        <v>10644</v>
      </c>
      <c r="M3044" s="221"/>
    </row>
    <row r="3045" spans="5:13" ht="21.75" customHeight="1">
      <c r="E3045" s="221"/>
      <c r="F3045" s="221"/>
      <c r="G3045" s="221"/>
      <c r="H3045" s="221"/>
      <c r="I3045" s="221"/>
      <c r="J3045" s="221"/>
      <c r="K3045" s="221"/>
      <c r="L3045" s="221">
        <f>L3044-K3043</f>
        <v>-4186.66</v>
      </c>
      <c r="M3045" s="221"/>
    </row>
    <row r="3046" spans="5:13">
      <c r="E3046" s="221"/>
      <c r="F3046" s="221"/>
      <c r="G3046" s="221"/>
      <c r="H3046" s="229" t="s">
        <v>2960</v>
      </c>
      <c r="I3046" s="221"/>
      <c r="J3046" s="221"/>
      <c r="K3046" s="221"/>
      <c r="L3046" s="221"/>
      <c r="M3046" s="221"/>
    </row>
    <row r="3047" spans="5:13" ht="34.5" customHeight="1">
      <c r="E3047" s="221"/>
      <c r="F3047" s="221"/>
      <c r="G3047" s="221"/>
      <c r="H3047" s="219" t="s">
        <v>2415</v>
      </c>
      <c r="I3047" s="221"/>
      <c r="J3047" s="221"/>
      <c r="K3047" s="221"/>
      <c r="L3047" s="221"/>
      <c r="M3047" s="221"/>
    </row>
    <row r="3048" spans="5:13" ht="192.75" customHeight="1">
      <c r="E3048" s="221"/>
      <c r="F3048" s="221"/>
      <c r="G3048" s="221"/>
      <c r="H3048" s="220" t="s">
        <v>2994</v>
      </c>
      <c r="I3048" s="221"/>
      <c r="J3048" s="221"/>
      <c r="K3048" s="221"/>
      <c r="L3048" s="221"/>
      <c r="M3048" s="221"/>
    </row>
    <row r="3049" spans="5:13" ht="30" customHeight="1">
      <c r="E3049" s="221"/>
      <c r="F3049" s="221">
        <v>90</v>
      </c>
      <c r="G3049" s="221" t="s">
        <v>835</v>
      </c>
      <c r="H3049" s="142" t="s">
        <v>2572</v>
      </c>
      <c r="I3049" s="221">
        <f t="shared" ref="I3049:I3059" si="101">I2931</f>
        <v>15.5</v>
      </c>
      <c r="J3049" s="221" t="s">
        <v>2573</v>
      </c>
      <c r="K3049" s="221">
        <f t="shared" ref="K3049:K3059" si="102">F3049*I3049</f>
        <v>1395</v>
      </c>
      <c r="L3049" s="221"/>
      <c r="M3049" s="221"/>
    </row>
    <row r="3050" spans="5:13" ht="27.75" customHeight="1">
      <c r="E3050" s="221"/>
      <c r="F3050" s="221">
        <v>30</v>
      </c>
      <c r="G3050" s="221" t="s">
        <v>835</v>
      </c>
      <c r="H3050" s="220" t="s">
        <v>2389</v>
      </c>
      <c r="I3050" s="221">
        <f t="shared" si="101"/>
        <v>19.100000000000001</v>
      </c>
      <c r="J3050" s="221" t="s">
        <v>835</v>
      </c>
      <c r="K3050" s="221">
        <f t="shared" si="102"/>
        <v>573</v>
      </c>
      <c r="L3050" s="221"/>
      <c r="M3050" s="221"/>
    </row>
    <row r="3051" spans="5:13">
      <c r="E3051" s="221"/>
      <c r="F3051" s="221">
        <v>6</v>
      </c>
      <c r="G3051" s="221" t="s">
        <v>1414</v>
      </c>
      <c r="H3051" s="221" t="s">
        <v>2391</v>
      </c>
      <c r="I3051" s="221">
        <f t="shared" si="101"/>
        <v>3</v>
      </c>
      <c r="J3051" s="221" t="s">
        <v>1414</v>
      </c>
      <c r="K3051" s="221">
        <f t="shared" si="102"/>
        <v>18</v>
      </c>
      <c r="L3051" s="221"/>
      <c r="M3051" s="221"/>
    </row>
    <row r="3052" spans="5:13">
      <c r="E3052" s="221"/>
      <c r="F3052" s="221">
        <v>3</v>
      </c>
      <c r="G3052" s="221" t="s">
        <v>1414</v>
      </c>
      <c r="H3052" s="221" t="s">
        <v>3432</v>
      </c>
      <c r="I3052" s="221">
        <f t="shared" si="101"/>
        <v>1.28</v>
      </c>
      <c r="J3052" s="221" t="s">
        <v>1414</v>
      </c>
      <c r="K3052" s="221">
        <f t="shared" si="102"/>
        <v>3.84</v>
      </c>
      <c r="L3052" s="221"/>
      <c r="M3052" s="221"/>
    </row>
    <row r="3053" spans="5:13">
      <c r="E3053" s="221"/>
      <c r="F3053" s="221">
        <v>6</v>
      </c>
      <c r="G3053" s="221" t="s">
        <v>1414</v>
      </c>
      <c r="H3053" s="221" t="s">
        <v>2476</v>
      </c>
      <c r="I3053" s="221">
        <f t="shared" si="101"/>
        <v>19.920000000000002</v>
      </c>
      <c r="J3053" s="221" t="s">
        <v>1414</v>
      </c>
      <c r="K3053" s="221">
        <f t="shared" si="102"/>
        <v>119.52</v>
      </c>
      <c r="L3053" s="221"/>
      <c r="M3053" s="221"/>
    </row>
    <row r="3054" spans="5:13">
      <c r="E3054" s="221"/>
      <c r="F3054" s="221">
        <v>3</v>
      </c>
      <c r="G3054" s="221" t="s">
        <v>1414</v>
      </c>
      <c r="H3054" s="221" t="s">
        <v>2662</v>
      </c>
      <c r="I3054" s="221">
        <f t="shared" si="101"/>
        <v>13.6</v>
      </c>
      <c r="J3054" s="221" t="s">
        <v>1414</v>
      </c>
      <c r="K3054" s="221">
        <f t="shared" si="102"/>
        <v>40.799999999999997</v>
      </c>
      <c r="L3054" s="221"/>
      <c r="M3054" s="221"/>
    </row>
    <row r="3055" spans="5:13">
      <c r="E3055" s="221"/>
      <c r="F3055" s="221">
        <v>3</v>
      </c>
      <c r="G3055" s="221" t="s">
        <v>1414</v>
      </c>
      <c r="H3055" s="221" t="s">
        <v>2664</v>
      </c>
      <c r="I3055" s="221">
        <f t="shared" si="101"/>
        <v>3.43</v>
      </c>
      <c r="J3055" s="221" t="s">
        <v>1414</v>
      </c>
      <c r="K3055" s="221">
        <f t="shared" si="102"/>
        <v>10.29</v>
      </c>
      <c r="L3055" s="221"/>
      <c r="M3055" s="221"/>
    </row>
    <row r="3056" spans="5:13">
      <c r="E3056" s="221"/>
      <c r="F3056" s="221">
        <v>3</v>
      </c>
      <c r="G3056" s="221" t="s">
        <v>1414</v>
      </c>
      <c r="H3056" s="229" t="s">
        <v>3907</v>
      </c>
      <c r="I3056" s="221">
        <f t="shared" si="101"/>
        <v>58</v>
      </c>
      <c r="J3056" s="221" t="s">
        <v>1414</v>
      </c>
      <c r="K3056" s="221">
        <f t="shared" si="102"/>
        <v>174</v>
      </c>
      <c r="L3056" s="221"/>
      <c r="M3056" s="221"/>
    </row>
    <row r="3057" spans="5:18">
      <c r="E3057" s="221"/>
      <c r="F3057" s="224">
        <v>5.3999999999999999E-2</v>
      </c>
      <c r="G3057" s="221" t="s">
        <v>2308</v>
      </c>
      <c r="H3057" s="221" t="s">
        <v>3938</v>
      </c>
      <c r="I3057" s="221">
        <f t="shared" si="101"/>
        <v>630</v>
      </c>
      <c r="J3057" s="221" t="s">
        <v>2308</v>
      </c>
      <c r="K3057" s="221">
        <f t="shared" si="102"/>
        <v>34.020000000000003</v>
      </c>
      <c r="L3057" s="221"/>
      <c r="M3057" s="221"/>
    </row>
    <row r="3058" spans="5:18">
      <c r="E3058" s="221"/>
      <c r="F3058" s="221">
        <v>1.25</v>
      </c>
      <c r="G3058" s="221" t="s">
        <v>2666</v>
      </c>
      <c r="H3058" s="221" t="s">
        <v>390</v>
      </c>
      <c r="I3058" s="221">
        <f t="shared" si="101"/>
        <v>298</v>
      </c>
      <c r="J3058" s="221" t="s">
        <v>2666</v>
      </c>
      <c r="K3058" s="221">
        <f t="shared" si="102"/>
        <v>372.5</v>
      </c>
      <c r="L3058" s="221"/>
      <c r="M3058" s="221"/>
    </row>
    <row r="3059" spans="5:18" ht="35.25" customHeight="1">
      <c r="E3059" s="221"/>
      <c r="F3059" s="221">
        <v>30</v>
      </c>
      <c r="G3059" s="221" t="s">
        <v>835</v>
      </c>
      <c r="H3059" s="278" t="s">
        <v>3943</v>
      </c>
      <c r="I3059" s="221">
        <f t="shared" si="101"/>
        <v>15.5</v>
      </c>
      <c r="J3059" s="221" t="s">
        <v>2573</v>
      </c>
      <c r="K3059" s="221">
        <f t="shared" si="102"/>
        <v>465</v>
      </c>
      <c r="L3059" s="221"/>
      <c r="M3059" s="221"/>
    </row>
    <row r="3060" spans="5:18">
      <c r="E3060" s="221"/>
      <c r="F3060" s="221"/>
      <c r="G3060" s="221"/>
      <c r="H3060" s="221" t="s">
        <v>924</v>
      </c>
      <c r="I3060" s="221"/>
      <c r="J3060" s="221"/>
      <c r="K3060" s="221">
        <f>K2942</f>
        <v>10421</v>
      </c>
      <c r="L3060" s="221"/>
      <c r="M3060" s="221"/>
    </row>
    <row r="3061" spans="5:18">
      <c r="E3061" s="221"/>
      <c r="F3061" s="221"/>
      <c r="G3061" s="221"/>
      <c r="H3061" s="221" t="s">
        <v>2296</v>
      </c>
      <c r="I3061" s="221"/>
      <c r="J3061" s="221"/>
      <c r="K3061" s="221">
        <v>20.97</v>
      </c>
      <c r="L3061" s="221"/>
      <c r="M3061" s="221"/>
    </row>
    <row r="3062" spans="5:18">
      <c r="E3062" s="221"/>
      <c r="F3062" s="221"/>
      <c r="G3062" s="221"/>
      <c r="H3062" s="226" t="s">
        <v>2995</v>
      </c>
      <c r="I3062" s="221"/>
      <c r="J3062" s="221"/>
      <c r="K3062" s="227">
        <f>SUM(K3049:K3061)</f>
        <v>13647.94</v>
      </c>
      <c r="L3062" s="221"/>
      <c r="M3062" s="221"/>
    </row>
    <row r="3063" spans="5:18">
      <c r="E3063" s="221"/>
      <c r="F3063" s="221"/>
      <c r="G3063" s="221"/>
      <c r="H3063" s="228" t="s">
        <v>3204</v>
      </c>
      <c r="I3063" s="221"/>
      <c r="J3063" s="221"/>
      <c r="K3063" s="229">
        <f>K3062/3</f>
        <v>4549.3100000000004</v>
      </c>
      <c r="L3063" s="221">
        <f>3196*3</f>
        <v>9588</v>
      </c>
      <c r="M3063" s="221"/>
    </row>
    <row r="3064" spans="5:18">
      <c r="E3064" s="221"/>
      <c r="F3064" s="221"/>
      <c r="G3064" s="221"/>
      <c r="H3064" s="221"/>
      <c r="I3064" s="221"/>
      <c r="J3064" s="221"/>
      <c r="K3064" s="221"/>
      <c r="L3064" s="221">
        <f>L3063-K3062</f>
        <v>-4059.94</v>
      </c>
      <c r="M3064" s="221"/>
    </row>
    <row r="3065" spans="5:18" ht="22.5" customHeight="1">
      <c r="E3065" s="221"/>
      <c r="F3065" s="221"/>
      <c r="G3065" s="221"/>
      <c r="H3065" s="237" t="s">
        <v>2996</v>
      </c>
      <c r="I3065" s="221"/>
      <c r="J3065" s="221"/>
      <c r="K3065" s="221"/>
      <c r="L3065" s="221"/>
      <c r="M3065" s="221"/>
    </row>
    <row r="3066" spans="5:18">
      <c r="E3066" s="221"/>
      <c r="F3066" s="221"/>
      <c r="G3066" s="221"/>
      <c r="H3066" s="221"/>
      <c r="I3066" s="221"/>
      <c r="J3066" s="221"/>
      <c r="K3066" s="221"/>
      <c r="L3066" s="221"/>
      <c r="M3066" s="221"/>
    </row>
    <row r="3067" spans="5:18" ht="24.75" customHeight="1">
      <c r="E3067" s="221"/>
      <c r="F3067" s="221"/>
      <c r="G3067" s="221"/>
      <c r="H3067" s="229" t="s">
        <v>2997</v>
      </c>
      <c r="I3067" s="221"/>
      <c r="J3067" s="221"/>
      <c r="K3067" s="221"/>
      <c r="L3067" s="221"/>
      <c r="M3067" s="221"/>
      <c r="N3067" s="221"/>
      <c r="O3067" s="229" t="s">
        <v>3001</v>
      </c>
      <c r="P3067" s="221"/>
      <c r="Q3067" s="221"/>
      <c r="R3067" s="221"/>
    </row>
    <row r="3068" spans="5:18" ht="23.25" customHeight="1">
      <c r="E3068" s="221"/>
      <c r="F3068" s="221"/>
      <c r="G3068" s="221"/>
      <c r="H3068" s="229" t="s">
        <v>2416</v>
      </c>
      <c r="I3068" s="221"/>
      <c r="J3068" s="221"/>
      <c r="K3068" s="221"/>
      <c r="L3068" s="221"/>
      <c r="M3068" s="221"/>
      <c r="N3068" s="221"/>
      <c r="O3068" s="229" t="s">
        <v>3673</v>
      </c>
      <c r="P3068" s="221"/>
      <c r="Q3068" s="221"/>
      <c r="R3068" s="221"/>
    </row>
    <row r="3069" spans="5:18">
      <c r="E3069" s="221"/>
      <c r="F3069" s="221"/>
      <c r="G3069" s="221"/>
      <c r="H3069" s="221"/>
      <c r="I3069" s="221"/>
      <c r="J3069" s="221"/>
      <c r="K3069" s="221"/>
      <c r="L3069" s="221"/>
      <c r="M3069" s="221"/>
      <c r="N3069" s="221"/>
      <c r="O3069" s="221"/>
      <c r="P3069" s="221"/>
      <c r="Q3069" s="221"/>
      <c r="R3069" s="221"/>
    </row>
    <row r="3070" spans="5:18" ht="114.75" customHeight="1">
      <c r="E3070" s="221"/>
      <c r="F3070" s="221"/>
      <c r="G3070" s="221"/>
      <c r="H3070" s="220" t="s">
        <v>2417</v>
      </c>
      <c r="I3070" s="221"/>
      <c r="J3070" s="221"/>
      <c r="K3070" s="221"/>
      <c r="L3070" s="221"/>
      <c r="M3070" s="221"/>
      <c r="N3070" s="221"/>
      <c r="O3070" s="220" t="s">
        <v>3229</v>
      </c>
      <c r="P3070" s="221"/>
      <c r="Q3070" s="221"/>
      <c r="R3070" s="221"/>
    </row>
    <row r="3071" spans="5:18" ht="31.5">
      <c r="E3071" s="221"/>
      <c r="F3071" s="221"/>
      <c r="G3071" s="221"/>
      <c r="H3071" s="221"/>
      <c r="I3071" s="221"/>
      <c r="J3071" s="221"/>
      <c r="K3071" s="221"/>
      <c r="L3071" s="221"/>
      <c r="M3071" s="221">
        <v>180</v>
      </c>
      <c r="N3071" s="221" t="s">
        <v>835</v>
      </c>
      <c r="O3071" s="142" t="s">
        <v>3845</v>
      </c>
      <c r="P3071" s="260">
        <v>53.75</v>
      </c>
      <c r="Q3071" s="221" t="s">
        <v>2573</v>
      </c>
      <c r="R3071" s="221">
        <f>M3071*P3071</f>
        <v>9675</v>
      </c>
    </row>
    <row r="3072" spans="5:18" ht="38.25" customHeight="1">
      <c r="E3072" s="221"/>
      <c r="F3072" s="221">
        <v>180</v>
      </c>
      <c r="G3072" s="221" t="s">
        <v>835</v>
      </c>
      <c r="H3072" s="278" t="s">
        <v>2572</v>
      </c>
      <c r="I3072" s="221">
        <f>I3049</f>
        <v>15.5</v>
      </c>
      <c r="J3072" s="221" t="s">
        <v>835</v>
      </c>
      <c r="K3072" s="221">
        <f>F3072*I3072</f>
        <v>2790</v>
      </c>
      <c r="L3072" s="221"/>
      <c r="M3072" s="221">
        <v>90</v>
      </c>
      <c r="N3072" s="221" t="s">
        <v>835</v>
      </c>
      <c r="O3072" s="220" t="s">
        <v>2389</v>
      </c>
      <c r="P3072" s="260">
        <f>I3099</f>
        <v>19.100000000000001</v>
      </c>
      <c r="Q3072" s="221" t="s">
        <v>835</v>
      </c>
      <c r="R3072" s="221">
        <f>M3072*P3072</f>
        <v>1719</v>
      </c>
    </row>
    <row r="3073" spans="5:18" ht="37.5" customHeight="1">
      <c r="E3073" s="221"/>
      <c r="F3073" s="221">
        <v>90</v>
      </c>
      <c r="G3073" s="221" t="s">
        <v>835</v>
      </c>
      <c r="H3073" s="220" t="s">
        <v>2389</v>
      </c>
      <c r="I3073" s="221">
        <f>I3050</f>
        <v>19.100000000000001</v>
      </c>
      <c r="J3073" s="221" t="s">
        <v>835</v>
      </c>
      <c r="K3073" s="221">
        <f>F3073*I3073</f>
        <v>1719</v>
      </c>
      <c r="L3073" s="221"/>
      <c r="M3073" s="221">
        <v>3</v>
      </c>
      <c r="N3073" s="221" t="s">
        <v>2666</v>
      </c>
      <c r="O3073" s="221" t="s">
        <v>390</v>
      </c>
      <c r="P3073" s="260">
        <f>I3100</f>
        <v>298</v>
      </c>
      <c r="Q3073" s="221" t="s">
        <v>2666</v>
      </c>
      <c r="R3073" s="221">
        <f>M3073*P3073</f>
        <v>894</v>
      </c>
    </row>
    <row r="3074" spans="5:18" ht="35.25" customHeight="1">
      <c r="E3074" s="221"/>
      <c r="F3074" s="221">
        <v>3</v>
      </c>
      <c r="G3074" s="221" t="s">
        <v>2666</v>
      </c>
      <c r="H3074" s="221" t="s">
        <v>390</v>
      </c>
      <c r="I3074" s="221">
        <f>I3058</f>
        <v>298</v>
      </c>
      <c r="J3074" s="221" t="s">
        <v>2666</v>
      </c>
      <c r="K3074" s="221">
        <f>F3074*I3074</f>
        <v>894</v>
      </c>
      <c r="L3074" s="221"/>
      <c r="M3074" s="221">
        <v>90</v>
      </c>
      <c r="N3074" s="221" t="s">
        <v>835</v>
      </c>
      <c r="O3074" s="142" t="s">
        <v>3230</v>
      </c>
      <c r="P3074" s="260">
        <f>I3101</f>
        <v>20.3</v>
      </c>
      <c r="Q3074" s="221" t="s">
        <v>2573</v>
      </c>
      <c r="R3074" s="221">
        <f>M3074*P3074</f>
        <v>1827</v>
      </c>
    </row>
    <row r="3075" spans="5:18" ht="39.75" customHeight="1">
      <c r="E3075" s="221"/>
      <c r="F3075" s="221">
        <v>90</v>
      </c>
      <c r="G3075" s="221" t="s">
        <v>835</v>
      </c>
      <c r="H3075" s="278" t="s">
        <v>2672</v>
      </c>
      <c r="I3075" s="221">
        <f>I3072</f>
        <v>15.5</v>
      </c>
      <c r="J3075" s="221" t="s">
        <v>2573</v>
      </c>
      <c r="K3075" s="221">
        <f>F3075*I3075</f>
        <v>1395</v>
      </c>
      <c r="L3075" s="221"/>
      <c r="M3075" s="221"/>
      <c r="N3075" s="221"/>
      <c r="O3075" s="221" t="s">
        <v>924</v>
      </c>
      <c r="P3075" s="221"/>
      <c r="Q3075" s="221"/>
      <c r="R3075" s="221">
        <f>K3102</f>
        <v>10421</v>
      </c>
    </row>
    <row r="3076" spans="5:18" ht="20.25" customHeight="1">
      <c r="E3076" s="221"/>
      <c r="F3076" s="221"/>
      <c r="G3076" s="221"/>
      <c r="H3076" s="221" t="s">
        <v>924</v>
      </c>
      <c r="I3076" s="221"/>
      <c r="J3076" s="221"/>
      <c r="K3076" s="221">
        <f>K3060</f>
        <v>10421</v>
      </c>
      <c r="L3076" s="221"/>
      <c r="M3076" s="221"/>
      <c r="N3076" s="221"/>
      <c r="O3076" s="221" t="s">
        <v>2296</v>
      </c>
      <c r="P3076" s="221"/>
      <c r="Q3076" s="221"/>
      <c r="R3076" s="221">
        <v>24</v>
      </c>
    </row>
    <row r="3077" spans="5:18">
      <c r="E3077" s="221"/>
      <c r="F3077" s="221"/>
      <c r="G3077" s="221"/>
      <c r="H3077" s="221"/>
      <c r="I3077" s="221"/>
      <c r="J3077" s="221"/>
      <c r="K3077" s="221">
        <f>SUM(K3072:K3076)</f>
        <v>17219</v>
      </c>
      <c r="L3077" s="221"/>
      <c r="M3077" s="221"/>
      <c r="N3077" s="221"/>
      <c r="O3077" s="226" t="s">
        <v>2418</v>
      </c>
      <c r="P3077" s="221"/>
      <c r="Q3077" s="221"/>
      <c r="R3077" s="227">
        <f>SUM(R3071:R3076)</f>
        <v>24560</v>
      </c>
    </row>
    <row r="3078" spans="5:18" ht="20.25" customHeight="1">
      <c r="E3078" s="221"/>
      <c r="F3078" s="221"/>
      <c r="G3078" s="221"/>
      <c r="H3078" s="221" t="s">
        <v>2296</v>
      </c>
      <c r="I3078" s="221"/>
      <c r="J3078" s="221"/>
      <c r="K3078" s="221">
        <f>29.99-0.59</f>
        <v>29.4</v>
      </c>
      <c r="L3078" s="221"/>
      <c r="M3078" s="221"/>
      <c r="N3078" s="221"/>
      <c r="O3078" s="228" t="s">
        <v>2419</v>
      </c>
      <c r="P3078" s="221"/>
      <c r="Q3078" s="221"/>
      <c r="R3078" s="229">
        <f>R3077/90</f>
        <v>272.89</v>
      </c>
    </row>
    <row r="3079" spans="5:18">
      <c r="E3079" s="221"/>
      <c r="F3079" s="221"/>
      <c r="G3079" s="221"/>
      <c r="H3079" s="226" t="s">
        <v>2418</v>
      </c>
      <c r="I3079" s="221"/>
      <c r="J3079" s="221"/>
      <c r="K3079" s="227">
        <f>SUM(K3077:K3078)</f>
        <v>17248.400000000001</v>
      </c>
      <c r="L3079" s="221"/>
      <c r="M3079" s="221"/>
      <c r="N3079" s="221"/>
      <c r="O3079" s="221"/>
      <c r="P3079" s="221"/>
      <c r="Q3079" s="221"/>
      <c r="R3079" s="221"/>
    </row>
    <row r="3080" spans="5:18" ht="21.75" customHeight="1">
      <c r="E3080" s="221"/>
      <c r="F3080" s="221"/>
      <c r="G3080" s="221"/>
      <c r="H3080" s="228" t="s">
        <v>2419</v>
      </c>
      <c r="I3080" s="221"/>
      <c r="J3080" s="221"/>
      <c r="K3080" s="229">
        <f>K3079/90</f>
        <v>191.65</v>
      </c>
      <c r="L3080" s="221">
        <f>131*90</f>
        <v>11790</v>
      </c>
      <c r="M3080" s="221"/>
    </row>
    <row r="3081" spans="5:18">
      <c r="E3081" s="221"/>
      <c r="F3081" s="221"/>
      <c r="G3081" s="221"/>
      <c r="H3081" s="221"/>
      <c r="I3081" s="221"/>
      <c r="J3081" s="221"/>
      <c r="K3081" s="221"/>
      <c r="L3081" s="221">
        <f>K3079-L3080</f>
        <v>5458.4</v>
      </c>
      <c r="M3081" s="221"/>
    </row>
    <row r="3082" spans="5:18">
      <c r="E3082" s="221"/>
      <c r="F3082" s="221"/>
      <c r="G3082" s="221"/>
      <c r="H3082" s="229" t="s">
        <v>2420</v>
      </c>
      <c r="I3082" s="221"/>
      <c r="J3082" s="221"/>
      <c r="K3082" s="221"/>
      <c r="L3082" s="221"/>
      <c r="M3082" s="221"/>
    </row>
    <row r="3083" spans="5:18">
      <c r="E3083" s="221"/>
      <c r="F3083" s="221"/>
      <c r="G3083" s="221"/>
      <c r="H3083" s="229" t="s">
        <v>2421</v>
      </c>
      <c r="I3083" s="221"/>
      <c r="J3083" s="221"/>
      <c r="K3083" s="221"/>
      <c r="L3083" s="221"/>
      <c r="M3083" s="221"/>
    </row>
    <row r="3084" spans="5:18">
      <c r="E3084" s="221"/>
      <c r="F3084" s="221"/>
      <c r="G3084" s="221"/>
      <c r="H3084" s="221"/>
      <c r="I3084" s="221"/>
      <c r="J3084" s="221"/>
      <c r="K3084" s="221"/>
      <c r="L3084" s="221"/>
      <c r="M3084" s="221"/>
    </row>
    <row r="3085" spans="5:18" ht="113.25" customHeight="1">
      <c r="E3085" s="221"/>
      <c r="F3085" s="221"/>
      <c r="G3085" s="221"/>
      <c r="H3085" s="220" t="s">
        <v>3050</v>
      </c>
      <c r="I3085" s="221"/>
      <c r="J3085" s="221"/>
      <c r="K3085" s="221"/>
      <c r="L3085" s="221"/>
      <c r="M3085" s="221"/>
    </row>
    <row r="3086" spans="5:18">
      <c r="E3086" s="221"/>
      <c r="F3086" s="221"/>
      <c r="G3086" s="221"/>
      <c r="H3086" s="221"/>
      <c r="I3086" s="221"/>
      <c r="J3086" s="221"/>
      <c r="K3086" s="221"/>
      <c r="L3086" s="221"/>
      <c r="M3086" s="221"/>
    </row>
    <row r="3087" spans="5:18">
      <c r="E3087" s="221"/>
      <c r="F3087" s="221"/>
      <c r="G3087" s="221"/>
      <c r="H3087" s="221" t="s">
        <v>3051</v>
      </c>
      <c r="I3087" s="221"/>
      <c r="J3087" s="221"/>
      <c r="K3087" s="221">
        <f>K3077</f>
        <v>17219</v>
      </c>
      <c r="L3087" s="221"/>
      <c r="M3087" s="221"/>
    </row>
    <row r="3088" spans="5:18" ht="34.5" customHeight="1">
      <c r="E3088" s="221"/>
      <c r="F3088" s="221">
        <v>180</v>
      </c>
      <c r="G3088" s="221" t="s">
        <v>835</v>
      </c>
      <c r="H3088" s="220" t="s">
        <v>4389</v>
      </c>
      <c r="I3088" s="260">
        <v>20.3</v>
      </c>
      <c r="J3088" s="221" t="s">
        <v>835</v>
      </c>
      <c r="K3088" s="221">
        <f>F3088*I3088</f>
        <v>3654</v>
      </c>
      <c r="L3088" s="221"/>
      <c r="M3088" s="221"/>
    </row>
    <row r="3089" spans="5:18" ht="36.75" customHeight="1">
      <c r="E3089" s="221"/>
      <c r="F3089" s="221">
        <v>180</v>
      </c>
      <c r="G3089" s="221" t="s">
        <v>835</v>
      </c>
      <c r="H3089" s="220" t="s">
        <v>2999</v>
      </c>
      <c r="I3089" s="221">
        <f>I3075</f>
        <v>15.5</v>
      </c>
      <c r="J3089" s="221" t="s">
        <v>2573</v>
      </c>
      <c r="K3089" s="221">
        <f>F3089*I3089</f>
        <v>2790</v>
      </c>
      <c r="L3089" s="221"/>
      <c r="M3089" s="221"/>
    </row>
    <row r="3090" spans="5:18" ht="25.5" customHeight="1">
      <c r="E3090" s="221"/>
      <c r="F3090" s="221"/>
      <c r="G3090" s="221"/>
      <c r="H3090" s="221" t="s">
        <v>2296</v>
      </c>
      <c r="I3090" s="221"/>
      <c r="J3090" s="221"/>
      <c r="K3090" s="221">
        <f>47.4+13.1</f>
        <v>60.5</v>
      </c>
      <c r="L3090" s="221"/>
      <c r="M3090" s="221"/>
    </row>
    <row r="3091" spans="5:18">
      <c r="E3091" s="221"/>
      <c r="F3091" s="221"/>
      <c r="G3091" s="221"/>
      <c r="H3091" s="226" t="s">
        <v>3000</v>
      </c>
      <c r="I3091" s="221"/>
      <c r="J3091" s="221"/>
      <c r="K3091" s="227">
        <f>K3087+K3088-K3089+K3090</f>
        <v>18143.5</v>
      </c>
      <c r="L3091" s="221"/>
      <c r="M3091" s="221"/>
    </row>
    <row r="3092" spans="5:18">
      <c r="E3092" s="221"/>
      <c r="F3092" s="221"/>
      <c r="G3092" s="221"/>
      <c r="H3092" s="228" t="s">
        <v>2419</v>
      </c>
      <c r="I3092" s="221"/>
      <c r="J3092" s="221"/>
      <c r="K3092" s="229">
        <f>K3091/90</f>
        <v>201.59</v>
      </c>
      <c r="L3092" s="221">
        <f>152*90</f>
        <v>13680</v>
      </c>
      <c r="M3092" s="221"/>
    </row>
    <row r="3093" spans="5:18">
      <c r="E3093" s="221"/>
      <c r="F3093" s="221"/>
      <c r="G3093" s="221"/>
      <c r="H3093" s="221"/>
      <c r="I3093" s="221"/>
      <c r="J3093" s="221"/>
      <c r="K3093" s="221"/>
      <c r="L3093" s="221">
        <f>L3092-K3091</f>
        <v>-4463.5</v>
      </c>
      <c r="M3093" s="221"/>
    </row>
    <row r="3094" spans="5:18">
      <c r="E3094" s="221"/>
      <c r="F3094" s="221"/>
      <c r="G3094" s="221"/>
      <c r="H3094" s="229" t="s">
        <v>3001</v>
      </c>
      <c r="I3094" s="221"/>
      <c r="J3094" s="221"/>
      <c r="K3094" s="221"/>
      <c r="L3094" s="221"/>
      <c r="M3094" s="221"/>
    </row>
    <row r="3095" spans="5:18">
      <c r="E3095" s="221"/>
      <c r="F3095" s="221"/>
      <c r="G3095" s="221"/>
      <c r="H3095" s="229" t="s">
        <v>3002</v>
      </c>
      <c r="I3095" s="221"/>
      <c r="J3095" s="221"/>
      <c r="K3095" s="221"/>
      <c r="L3095" s="221"/>
      <c r="M3095" s="221"/>
    </row>
    <row r="3096" spans="5:18">
      <c r="E3096" s="221"/>
      <c r="F3096" s="221"/>
      <c r="G3096" s="221"/>
      <c r="H3096" s="221"/>
      <c r="I3096" s="221"/>
      <c r="J3096" s="221"/>
      <c r="K3096" s="221"/>
      <c r="L3096" s="221"/>
      <c r="M3096" s="221"/>
    </row>
    <row r="3097" spans="5:18" ht="111.75" customHeight="1">
      <c r="E3097" s="221"/>
      <c r="F3097" s="221"/>
      <c r="G3097" s="221"/>
      <c r="H3097" s="220" t="s">
        <v>3229</v>
      </c>
      <c r="I3097" s="221"/>
      <c r="J3097" s="221"/>
      <c r="K3097" s="221"/>
      <c r="L3097" s="221"/>
      <c r="M3097" s="221"/>
      <c r="N3097" s="221"/>
      <c r="O3097" s="220"/>
      <c r="P3097" s="221"/>
      <c r="Q3097" s="221"/>
      <c r="R3097" s="221"/>
    </row>
    <row r="3098" spans="5:18" ht="36" customHeight="1">
      <c r="E3098" s="221"/>
      <c r="F3098" s="221">
        <v>180</v>
      </c>
      <c r="G3098" s="221" t="s">
        <v>835</v>
      </c>
      <c r="H3098" s="278" t="s">
        <v>4390</v>
      </c>
      <c r="I3098" s="260">
        <v>32.200000000000003</v>
      </c>
      <c r="J3098" s="221" t="s">
        <v>2573</v>
      </c>
      <c r="K3098" s="221">
        <f>F3098*I3098</f>
        <v>5796</v>
      </c>
      <c r="L3098" s="221"/>
      <c r="M3098" s="221"/>
      <c r="N3098" s="221"/>
      <c r="O3098" s="142"/>
      <c r="P3098" s="221"/>
      <c r="Q3098" s="221"/>
      <c r="R3098" s="221"/>
    </row>
    <row r="3099" spans="5:18" ht="39" customHeight="1">
      <c r="E3099" s="221"/>
      <c r="F3099" s="221">
        <v>90</v>
      </c>
      <c r="G3099" s="221" t="s">
        <v>835</v>
      </c>
      <c r="H3099" s="220" t="s">
        <v>2389</v>
      </c>
      <c r="I3099" s="221">
        <f>I3073</f>
        <v>19.100000000000001</v>
      </c>
      <c r="J3099" s="221" t="s">
        <v>835</v>
      </c>
      <c r="K3099" s="221">
        <f>F3099*I3099</f>
        <v>1719</v>
      </c>
      <c r="L3099" s="221"/>
      <c r="M3099" s="221"/>
      <c r="N3099" s="221"/>
      <c r="O3099" s="220"/>
      <c r="P3099" s="221"/>
      <c r="Q3099" s="221"/>
      <c r="R3099" s="221"/>
    </row>
    <row r="3100" spans="5:18" ht="23.25" customHeight="1">
      <c r="E3100" s="221"/>
      <c r="F3100" s="221">
        <v>3</v>
      </c>
      <c r="G3100" s="221" t="s">
        <v>2666</v>
      </c>
      <c r="H3100" s="221" t="s">
        <v>390</v>
      </c>
      <c r="I3100" s="221">
        <f>I3074</f>
        <v>298</v>
      </c>
      <c r="J3100" s="221" t="s">
        <v>2666</v>
      </c>
      <c r="K3100" s="221">
        <f>F3100*I3100</f>
        <v>894</v>
      </c>
      <c r="L3100" s="221"/>
      <c r="M3100" s="221"/>
      <c r="N3100" s="221"/>
      <c r="O3100" s="221"/>
      <c r="P3100" s="221"/>
      <c r="Q3100" s="221"/>
      <c r="R3100" s="221"/>
    </row>
    <row r="3101" spans="5:18" ht="38.25" customHeight="1">
      <c r="E3101" s="221"/>
      <c r="F3101" s="221">
        <v>90</v>
      </c>
      <c r="G3101" s="221" t="s">
        <v>835</v>
      </c>
      <c r="H3101" s="278" t="s">
        <v>3230</v>
      </c>
      <c r="I3101" s="221">
        <f>I3088</f>
        <v>20.3</v>
      </c>
      <c r="J3101" s="221" t="s">
        <v>2573</v>
      </c>
      <c r="K3101" s="221">
        <f>F3101*I3101</f>
        <v>1827</v>
      </c>
      <c r="L3101" s="221"/>
      <c r="M3101" s="221"/>
      <c r="N3101" s="221"/>
      <c r="O3101" s="142"/>
      <c r="P3101" s="221"/>
      <c r="Q3101" s="221"/>
      <c r="R3101" s="221"/>
    </row>
    <row r="3102" spans="5:18">
      <c r="E3102" s="221"/>
      <c r="F3102" s="221"/>
      <c r="G3102" s="221"/>
      <c r="H3102" s="221" t="s">
        <v>924</v>
      </c>
      <c r="I3102" s="221"/>
      <c r="J3102" s="221"/>
      <c r="K3102" s="221">
        <f>K3076</f>
        <v>10421</v>
      </c>
      <c r="L3102" s="221"/>
      <c r="M3102" s="221"/>
      <c r="N3102" s="221"/>
      <c r="O3102" s="221"/>
      <c r="P3102" s="221"/>
      <c r="Q3102" s="221"/>
      <c r="R3102" s="221"/>
    </row>
    <row r="3103" spans="5:18">
      <c r="E3103" s="221"/>
      <c r="F3103" s="221"/>
      <c r="G3103" s="221"/>
      <c r="H3103" s="221" t="s">
        <v>2296</v>
      </c>
      <c r="I3103" s="221"/>
      <c r="J3103" s="221"/>
      <c r="K3103" s="221">
        <v>60.5</v>
      </c>
      <c r="L3103" s="221"/>
      <c r="M3103" s="221"/>
      <c r="N3103" s="221"/>
      <c r="O3103" s="221"/>
      <c r="P3103" s="221"/>
      <c r="Q3103" s="221"/>
      <c r="R3103" s="221"/>
    </row>
    <row r="3104" spans="5:18">
      <c r="E3104" s="221"/>
      <c r="F3104" s="221"/>
      <c r="G3104" s="221"/>
      <c r="H3104" s="226" t="s">
        <v>2418</v>
      </c>
      <c r="I3104" s="221"/>
      <c r="J3104" s="221"/>
      <c r="K3104" s="227">
        <f>SUM(K3098:K3103)</f>
        <v>20717.5</v>
      </c>
      <c r="L3104" s="221"/>
      <c r="M3104" s="221"/>
      <c r="N3104" s="221"/>
      <c r="O3104" s="226"/>
      <c r="P3104" s="221"/>
      <c r="Q3104" s="221"/>
      <c r="R3104" s="227"/>
    </row>
    <row r="3105" spans="5:19">
      <c r="E3105" s="221"/>
      <c r="F3105" s="221"/>
      <c r="G3105" s="221"/>
      <c r="H3105" s="228" t="s">
        <v>2419</v>
      </c>
      <c r="I3105" s="221"/>
      <c r="J3105" s="221"/>
      <c r="K3105" s="229">
        <f>K3104/90</f>
        <v>230.19</v>
      </c>
      <c r="L3105" s="221">
        <f>189*90</f>
        <v>17010</v>
      </c>
      <c r="M3105" s="221"/>
      <c r="N3105" s="221"/>
      <c r="O3105" s="228"/>
      <c r="P3105" s="221"/>
      <c r="Q3105" s="221"/>
      <c r="R3105" s="229"/>
    </row>
    <row r="3106" spans="5:19">
      <c r="E3106" s="221"/>
      <c r="F3106" s="221"/>
      <c r="G3106" s="221"/>
      <c r="H3106" s="221"/>
      <c r="I3106" s="221"/>
      <c r="J3106" s="221"/>
      <c r="K3106" s="221"/>
      <c r="L3106" s="221">
        <f>L3105-K3104</f>
        <v>-3707.5</v>
      </c>
      <c r="M3106" s="221"/>
    </row>
    <row r="3107" spans="5:19">
      <c r="E3107" s="221"/>
      <c r="F3107" s="221"/>
      <c r="G3107" s="221"/>
      <c r="H3107" s="221"/>
      <c r="I3107" s="221"/>
      <c r="J3107" s="221"/>
      <c r="K3107" s="221"/>
      <c r="L3107" s="221"/>
      <c r="M3107" s="221"/>
    </row>
    <row r="3108" spans="5:19">
      <c r="E3108" s="221"/>
      <c r="F3108" s="221"/>
      <c r="G3108" s="221"/>
      <c r="H3108" s="229" t="s">
        <v>3231</v>
      </c>
      <c r="I3108" s="221"/>
      <c r="J3108" s="221"/>
      <c r="K3108" s="221"/>
      <c r="L3108" s="221"/>
      <c r="M3108" s="221"/>
      <c r="N3108" s="221"/>
      <c r="O3108" s="229" t="s">
        <v>3231</v>
      </c>
      <c r="P3108" s="221"/>
      <c r="Q3108" s="221"/>
      <c r="R3108" s="221"/>
      <c r="S3108" s="221"/>
    </row>
    <row r="3109" spans="5:19">
      <c r="E3109" s="221"/>
      <c r="F3109" s="221"/>
      <c r="G3109" s="221"/>
      <c r="H3109" s="229" t="s">
        <v>2361</v>
      </c>
      <c r="I3109" s="221"/>
      <c r="J3109" s="221"/>
      <c r="K3109" s="221"/>
      <c r="L3109" s="221"/>
      <c r="M3109" s="221"/>
      <c r="N3109" s="221"/>
      <c r="O3109" s="229" t="s">
        <v>3664</v>
      </c>
      <c r="P3109" s="221"/>
      <c r="Q3109" s="221"/>
      <c r="R3109" s="221"/>
      <c r="S3109" s="221"/>
    </row>
    <row r="3110" spans="5:19">
      <c r="E3110" s="221"/>
      <c r="F3110" s="221"/>
      <c r="G3110" s="221"/>
      <c r="H3110" s="221"/>
      <c r="I3110" s="221"/>
      <c r="J3110" s="221"/>
      <c r="K3110" s="221"/>
      <c r="L3110" s="221"/>
      <c r="M3110" s="221"/>
      <c r="N3110" s="221"/>
      <c r="O3110" s="221"/>
      <c r="P3110" s="221"/>
      <c r="Q3110" s="221"/>
      <c r="R3110" s="221"/>
      <c r="S3110" s="221"/>
    </row>
    <row r="3111" spans="5:19" ht="115.5" customHeight="1">
      <c r="E3111" s="221"/>
      <c r="F3111" s="221"/>
      <c r="G3111" s="221"/>
      <c r="H3111" s="220" t="s">
        <v>2370</v>
      </c>
      <c r="I3111" s="221"/>
      <c r="J3111" s="221"/>
      <c r="K3111" s="221"/>
      <c r="L3111" s="221"/>
      <c r="M3111" s="221"/>
      <c r="N3111" s="221"/>
      <c r="O3111" s="1846" t="s">
        <v>3665</v>
      </c>
      <c r="P3111" s="1846"/>
      <c r="Q3111" s="221"/>
      <c r="R3111" s="221"/>
      <c r="S3111" s="221"/>
    </row>
    <row r="3112" spans="5:19" ht="34.5" customHeight="1">
      <c r="E3112" s="221"/>
      <c r="F3112" s="221">
        <v>360</v>
      </c>
      <c r="G3112" s="221"/>
      <c r="H3112" s="278" t="s">
        <v>3947</v>
      </c>
      <c r="I3112" s="260">
        <f>I3098</f>
        <v>32.200000000000003</v>
      </c>
      <c r="J3112" s="221" t="s">
        <v>2573</v>
      </c>
      <c r="K3112" s="221">
        <f>F3112*I3112</f>
        <v>11592</v>
      </c>
      <c r="L3112" s="221"/>
      <c r="M3112" s="221">
        <v>360</v>
      </c>
      <c r="N3112" s="221"/>
      <c r="O3112" s="261" t="s">
        <v>3845</v>
      </c>
      <c r="P3112" s="260">
        <f>P3071</f>
        <v>53.75</v>
      </c>
      <c r="Q3112" s="221" t="s">
        <v>2573</v>
      </c>
      <c r="R3112" s="221">
        <f>M3112*P3112</f>
        <v>19350</v>
      </c>
      <c r="S3112" s="221"/>
    </row>
    <row r="3113" spans="5:19" ht="36" customHeight="1">
      <c r="E3113" s="221"/>
      <c r="F3113" s="221">
        <v>90</v>
      </c>
      <c r="G3113" s="221"/>
      <c r="H3113" s="220" t="s">
        <v>4397</v>
      </c>
      <c r="I3113" s="260">
        <v>24.2</v>
      </c>
      <c r="J3113" s="221" t="s">
        <v>835</v>
      </c>
      <c r="K3113" s="221">
        <f>F3113*I3113</f>
        <v>2178</v>
      </c>
      <c r="L3113" s="221"/>
      <c r="M3113" s="221">
        <v>90</v>
      </c>
      <c r="N3113" s="221"/>
      <c r="O3113" s="220" t="s">
        <v>2371</v>
      </c>
      <c r="P3113" s="260">
        <f>I3113</f>
        <v>24.2</v>
      </c>
      <c r="Q3113" s="221" t="s">
        <v>835</v>
      </c>
      <c r="R3113" s="221">
        <f>M3113*P3113</f>
        <v>2178</v>
      </c>
      <c r="S3113" s="221"/>
    </row>
    <row r="3114" spans="5:19" ht="21" customHeight="1">
      <c r="E3114" s="221"/>
      <c r="F3114" s="221">
        <v>3</v>
      </c>
      <c r="G3114" s="221"/>
      <c r="H3114" s="221" t="s">
        <v>390</v>
      </c>
      <c r="I3114" s="221">
        <f>I3100</f>
        <v>298</v>
      </c>
      <c r="J3114" s="221" t="s">
        <v>2666</v>
      </c>
      <c r="K3114" s="221">
        <f>F3114*I3114</f>
        <v>894</v>
      </c>
      <c r="L3114" s="221"/>
      <c r="M3114" s="221">
        <v>3</v>
      </c>
      <c r="N3114" s="221"/>
      <c r="O3114" s="221" t="s">
        <v>390</v>
      </c>
      <c r="P3114" s="260">
        <f>I3114</f>
        <v>298</v>
      </c>
      <c r="Q3114" s="221" t="s">
        <v>2666</v>
      </c>
      <c r="R3114" s="221">
        <f>M3114*P3114</f>
        <v>894</v>
      </c>
      <c r="S3114" s="221"/>
    </row>
    <row r="3115" spans="5:19" ht="33.75" customHeight="1">
      <c r="E3115" s="221"/>
      <c r="F3115" s="221">
        <v>90</v>
      </c>
      <c r="G3115" s="221"/>
      <c r="H3115" s="278" t="s">
        <v>3230</v>
      </c>
      <c r="I3115" s="221">
        <f>I3101</f>
        <v>20.3</v>
      </c>
      <c r="J3115" s="221" t="s">
        <v>2573</v>
      </c>
      <c r="K3115" s="221">
        <f>F3115*I3115</f>
        <v>1827</v>
      </c>
      <c r="L3115" s="221"/>
      <c r="M3115" s="221">
        <v>90</v>
      </c>
      <c r="N3115" s="221"/>
      <c r="O3115" s="142" t="s">
        <v>3230</v>
      </c>
      <c r="P3115" s="260">
        <f>I3115</f>
        <v>20.3</v>
      </c>
      <c r="Q3115" s="221" t="s">
        <v>2573</v>
      </c>
      <c r="R3115" s="221">
        <f>M3115*P3115</f>
        <v>1827</v>
      </c>
      <c r="S3115" s="221"/>
    </row>
    <row r="3116" spans="5:19">
      <c r="E3116" s="221"/>
      <c r="F3116" s="221"/>
      <c r="G3116" s="221"/>
      <c r="H3116" s="221" t="s">
        <v>924</v>
      </c>
      <c r="I3116" s="221"/>
      <c r="J3116" s="221"/>
      <c r="K3116" s="221">
        <f>I3122</f>
        <v>13715.5</v>
      </c>
      <c r="L3116" s="221"/>
      <c r="M3116" s="221"/>
      <c r="N3116" s="221"/>
      <c r="O3116" s="221" t="s">
        <v>924</v>
      </c>
      <c r="P3116" s="221"/>
      <c r="Q3116" s="221"/>
      <c r="R3116" s="221">
        <f>K3116</f>
        <v>13715.5</v>
      </c>
      <c r="S3116" s="221"/>
    </row>
    <row r="3117" spans="5:19">
      <c r="E3117" s="221"/>
      <c r="F3117" s="221"/>
      <c r="G3117" s="221"/>
      <c r="H3117" s="221" t="s">
        <v>2296</v>
      </c>
      <c r="I3117" s="221"/>
      <c r="J3117" s="221"/>
      <c r="K3117" s="221">
        <v>25.5</v>
      </c>
      <c r="L3117" s="221"/>
      <c r="M3117" s="221"/>
      <c r="N3117" s="221"/>
      <c r="O3117" s="221" t="s">
        <v>2296</v>
      </c>
      <c r="P3117" s="221"/>
      <c r="Q3117" s="221"/>
      <c r="R3117" s="221">
        <v>28.5</v>
      </c>
      <c r="S3117" s="221"/>
    </row>
    <row r="3118" spans="5:19">
      <c r="E3118" s="221"/>
      <c r="F3118" s="221"/>
      <c r="G3118" s="221"/>
      <c r="H3118" s="226" t="s">
        <v>2418</v>
      </c>
      <c r="I3118" s="221"/>
      <c r="J3118" s="221"/>
      <c r="K3118" s="227">
        <f>SUM(K3112:K3117)</f>
        <v>30232</v>
      </c>
      <c r="L3118" s="221"/>
      <c r="M3118" s="221"/>
      <c r="N3118" s="221"/>
      <c r="O3118" s="226" t="s">
        <v>2418</v>
      </c>
      <c r="P3118" s="221"/>
      <c r="Q3118" s="221"/>
      <c r="R3118" s="227">
        <f>SUM(R3112:R3117)</f>
        <v>37993</v>
      </c>
      <c r="S3118" s="221">
        <f>217.3*90</f>
        <v>19557</v>
      </c>
    </row>
    <row r="3119" spans="5:19">
      <c r="E3119" s="221"/>
      <c r="F3119" s="221"/>
      <c r="G3119" s="221"/>
      <c r="H3119" s="228" t="s">
        <v>2419</v>
      </c>
      <c r="I3119" s="221"/>
      <c r="J3119" s="221"/>
      <c r="K3119" s="229">
        <f>K3118/90</f>
        <v>335.91</v>
      </c>
      <c r="L3119" s="221">
        <f>299*90</f>
        <v>26910</v>
      </c>
      <c r="M3119" s="221"/>
      <c r="N3119" s="221"/>
      <c r="O3119" s="228" t="s">
        <v>2419</v>
      </c>
      <c r="P3119" s="221"/>
      <c r="Q3119" s="221"/>
      <c r="R3119" s="229">
        <f>R3118/90</f>
        <v>422.14</v>
      </c>
      <c r="S3119" s="221">
        <f>S3118-R3118</f>
        <v>-18436</v>
      </c>
    </row>
    <row r="3120" spans="5:19">
      <c r="E3120" s="221"/>
      <c r="F3120" s="221"/>
      <c r="G3120" s="221"/>
      <c r="H3120" s="221"/>
      <c r="I3120" s="221"/>
      <c r="J3120" s="221"/>
      <c r="K3120" s="221"/>
      <c r="L3120" s="221">
        <f>L3119-K3118</f>
        <v>-3322</v>
      </c>
      <c r="M3120" s="221"/>
    </row>
    <row r="3121" spans="5:18">
      <c r="E3121" s="221"/>
      <c r="F3121" s="221"/>
      <c r="G3121" s="221"/>
      <c r="H3121" s="229" t="s">
        <v>2372</v>
      </c>
      <c r="I3121" s="221"/>
      <c r="J3121" s="221"/>
      <c r="K3121" s="221"/>
      <c r="L3121" s="221"/>
      <c r="M3121" s="221"/>
    </row>
    <row r="3122" spans="5:18" s="266" customFormat="1">
      <c r="E3122" s="264"/>
      <c r="F3122" s="264"/>
      <c r="G3122" s="264"/>
      <c r="H3122" s="264" t="s">
        <v>3842</v>
      </c>
      <c r="I3122" s="265">
        <f>(1.5*K2873)-((K2871+K2872)/2)</f>
        <v>13715.5</v>
      </c>
      <c r="J3122" s="264"/>
      <c r="K3122" s="264"/>
      <c r="L3122" s="264"/>
      <c r="M3122" s="221"/>
      <c r="N3122" s="221"/>
      <c r="O3122" s="229" t="s">
        <v>3231</v>
      </c>
      <c r="P3122" s="221"/>
      <c r="Q3122" s="221"/>
      <c r="R3122" s="221"/>
    </row>
    <row r="3123" spans="5:18">
      <c r="E3123" s="221"/>
      <c r="F3123" s="221"/>
      <c r="G3123" s="221"/>
      <c r="H3123" s="221">
        <f>1.5*K2873-(K2871+K2872)/2</f>
        <v>13715.5</v>
      </c>
      <c r="I3123" s="221"/>
      <c r="J3123" s="221"/>
      <c r="K3123" s="221"/>
      <c r="L3123" s="221"/>
      <c r="M3123" s="221"/>
      <c r="N3123" s="221"/>
      <c r="O3123" s="229" t="s">
        <v>3666</v>
      </c>
      <c r="P3123" s="221"/>
      <c r="Q3123" s="221"/>
      <c r="R3123" s="221"/>
    </row>
    <row r="3124" spans="5:18">
      <c r="E3124" s="221"/>
      <c r="F3124" s="221"/>
      <c r="G3124" s="221"/>
      <c r="H3124" s="221"/>
      <c r="I3124" s="221"/>
      <c r="J3124" s="221"/>
      <c r="K3124" s="221"/>
      <c r="L3124" s="221"/>
      <c r="M3124" s="221"/>
      <c r="N3124" s="221"/>
      <c r="O3124" s="221"/>
      <c r="P3124" s="221"/>
      <c r="Q3124" s="221"/>
      <c r="R3124" s="221"/>
    </row>
    <row r="3125" spans="5:18" ht="22.5" customHeight="1">
      <c r="E3125" s="221"/>
      <c r="F3125" s="221"/>
      <c r="G3125" s="221"/>
      <c r="H3125" s="237" t="s">
        <v>2373</v>
      </c>
      <c r="I3125" s="221"/>
      <c r="J3125" s="221"/>
      <c r="K3125" s="221"/>
      <c r="L3125" s="221"/>
      <c r="M3125" s="221"/>
      <c r="N3125" s="221"/>
      <c r="O3125" s="220" t="s">
        <v>3667</v>
      </c>
      <c r="P3125" s="221"/>
      <c r="Q3125" s="221"/>
      <c r="R3125" s="221"/>
    </row>
    <row r="3126" spans="5:18" ht="31.5">
      <c r="E3126" s="221"/>
      <c r="F3126" s="221"/>
      <c r="G3126" s="221"/>
      <c r="H3126" s="221"/>
      <c r="I3126" s="221"/>
      <c r="J3126" s="221"/>
      <c r="K3126" s="221"/>
      <c r="L3126" s="221"/>
      <c r="M3126" s="221">
        <v>360</v>
      </c>
      <c r="N3126" s="221"/>
      <c r="O3126" s="261" t="s">
        <v>3846</v>
      </c>
      <c r="P3126" s="260">
        <v>80.650000000000006</v>
      </c>
      <c r="Q3126" s="221" t="s">
        <v>2573</v>
      </c>
      <c r="R3126" s="221">
        <f>M3126*P3126</f>
        <v>29034</v>
      </c>
    </row>
    <row r="3127" spans="5:18" ht="18" customHeight="1">
      <c r="E3127" s="221"/>
      <c r="F3127" s="221"/>
      <c r="G3127" s="221"/>
      <c r="H3127" s="229" t="s">
        <v>2374</v>
      </c>
      <c r="I3127" s="221"/>
      <c r="J3127" s="221"/>
      <c r="K3127" s="221"/>
      <c r="L3127" s="221"/>
      <c r="M3127" s="221">
        <v>90</v>
      </c>
      <c r="N3127" s="221"/>
      <c r="O3127" s="220" t="s">
        <v>2371</v>
      </c>
      <c r="P3127" s="260">
        <f>P3113</f>
        <v>24.2</v>
      </c>
      <c r="Q3127" s="221" t="s">
        <v>835</v>
      </c>
      <c r="R3127" s="221">
        <f>M3127*P3127</f>
        <v>2178</v>
      </c>
    </row>
    <row r="3128" spans="5:18">
      <c r="E3128" s="221"/>
      <c r="F3128" s="221"/>
      <c r="G3128" s="221"/>
      <c r="H3128" s="221"/>
      <c r="I3128" s="221"/>
      <c r="J3128" s="221"/>
      <c r="K3128" s="221"/>
      <c r="L3128" s="221"/>
      <c r="M3128" s="221">
        <v>3</v>
      </c>
      <c r="N3128" s="221"/>
      <c r="O3128" s="221" t="s">
        <v>390</v>
      </c>
      <c r="P3128" s="260">
        <f>P3114</f>
        <v>298</v>
      </c>
      <c r="Q3128" s="221" t="s">
        <v>2666</v>
      </c>
      <c r="R3128" s="221">
        <f>M3128*P3128</f>
        <v>894</v>
      </c>
    </row>
    <row r="3129" spans="5:18" ht="23.25" customHeight="1">
      <c r="E3129" s="221"/>
      <c r="F3129" s="221"/>
      <c r="G3129" s="221"/>
      <c r="H3129" s="229" t="s">
        <v>2375</v>
      </c>
      <c r="I3129" s="221"/>
      <c r="J3129" s="221"/>
      <c r="K3129" s="221"/>
      <c r="L3129" s="221"/>
      <c r="M3129" s="221">
        <v>90</v>
      </c>
      <c r="N3129" s="221"/>
      <c r="O3129" s="142" t="s">
        <v>3230</v>
      </c>
      <c r="P3129" s="260">
        <f>P3115</f>
        <v>20.3</v>
      </c>
      <c r="Q3129" s="221" t="s">
        <v>2573</v>
      </c>
      <c r="R3129" s="221">
        <f>M3129*P3129</f>
        <v>1827</v>
      </c>
    </row>
    <row r="3130" spans="5:18">
      <c r="E3130" s="221"/>
      <c r="F3130" s="221"/>
      <c r="G3130" s="221"/>
      <c r="H3130" s="221"/>
      <c r="I3130" s="221"/>
      <c r="J3130" s="221"/>
      <c r="K3130" s="221"/>
      <c r="L3130" s="221"/>
      <c r="M3130" s="221"/>
      <c r="N3130" s="221"/>
      <c r="O3130" s="221" t="s">
        <v>924</v>
      </c>
      <c r="P3130" s="221"/>
      <c r="Q3130" s="221"/>
      <c r="R3130" s="221">
        <f>R3116</f>
        <v>13715.5</v>
      </c>
    </row>
    <row r="3131" spans="5:18" ht="47.25">
      <c r="E3131" s="221"/>
      <c r="F3131" s="221"/>
      <c r="G3131" s="221"/>
      <c r="H3131" s="220" t="s">
        <v>2376</v>
      </c>
      <c r="I3131" s="221"/>
      <c r="J3131" s="221"/>
      <c r="K3131" s="221"/>
      <c r="L3131" s="221"/>
      <c r="M3131" s="221"/>
      <c r="N3131" s="221"/>
      <c r="O3131" s="221" t="s">
        <v>2296</v>
      </c>
      <c r="P3131" s="221"/>
      <c r="Q3131" s="221"/>
      <c r="R3131" s="221">
        <v>28.5</v>
      </c>
    </row>
    <row r="3132" spans="5:18">
      <c r="E3132" s="221"/>
      <c r="F3132" s="221">
        <v>1</v>
      </c>
      <c r="G3132" s="221" t="s">
        <v>1414</v>
      </c>
      <c r="H3132" s="221" t="s">
        <v>4391</v>
      </c>
      <c r="I3132" s="260">
        <v>263.39999999999998</v>
      </c>
      <c r="J3132" s="221" t="s">
        <v>1414</v>
      </c>
      <c r="K3132" s="221">
        <f>F3132*I3132</f>
        <v>263.39999999999998</v>
      </c>
      <c r="L3132" s="221"/>
      <c r="M3132" s="221"/>
      <c r="N3132" s="221"/>
      <c r="O3132" s="226" t="s">
        <v>2418</v>
      </c>
      <c r="P3132" s="221"/>
      <c r="Q3132" s="221"/>
      <c r="R3132" s="227">
        <f>SUM(R3126:R3131)</f>
        <v>47677</v>
      </c>
    </row>
    <row r="3133" spans="5:18">
      <c r="E3133" s="221"/>
      <c r="F3133" s="221"/>
      <c r="G3133" s="221"/>
      <c r="H3133" s="221" t="s">
        <v>2296</v>
      </c>
      <c r="I3133" s="221"/>
      <c r="J3133" s="221"/>
      <c r="K3133" s="221">
        <v>4.93</v>
      </c>
      <c r="L3133" s="221"/>
      <c r="M3133" s="221"/>
      <c r="N3133" s="221"/>
      <c r="O3133" s="228" t="s">
        <v>2419</v>
      </c>
      <c r="P3133" s="221"/>
      <c r="Q3133" s="221"/>
      <c r="R3133" s="229">
        <f>R3132/90</f>
        <v>529.74</v>
      </c>
    </row>
    <row r="3134" spans="5:18">
      <c r="E3134" s="221"/>
      <c r="F3134" s="221"/>
      <c r="G3134" s="221"/>
      <c r="H3134" s="221" t="s">
        <v>924</v>
      </c>
      <c r="I3134" s="221"/>
      <c r="J3134" s="221"/>
      <c r="K3134" s="221">
        <f>K3142</f>
        <v>205.6</v>
      </c>
      <c r="L3134" s="221"/>
      <c r="M3134" s="221"/>
    </row>
    <row r="3135" spans="5:18">
      <c r="E3135" s="221"/>
      <c r="F3135" s="221"/>
      <c r="G3135" s="221"/>
      <c r="H3135" s="228" t="s">
        <v>2377</v>
      </c>
      <c r="I3135" s="221"/>
      <c r="J3135" s="221"/>
      <c r="K3135" s="229">
        <f>SUM(K3132:K3134)</f>
        <v>473.93</v>
      </c>
      <c r="L3135" s="221">
        <f>K3135-461</f>
        <v>12.93</v>
      </c>
      <c r="M3135" s="221"/>
    </row>
    <row r="3136" spans="5:18">
      <c r="E3136" s="221"/>
      <c r="F3136" s="221"/>
      <c r="G3136" s="221"/>
      <c r="H3136" s="221"/>
      <c r="I3136" s="221"/>
      <c r="J3136" s="221"/>
      <c r="K3136" s="221"/>
      <c r="L3136" s="221"/>
      <c r="M3136" s="221"/>
    </row>
    <row r="3137" spans="5:13">
      <c r="E3137" s="221"/>
      <c r="F3137" s="221"/>
      <c r="G3137" s="221"/>
      <c r="H3137" s="221"/>
      <c r="I3137" s="221"/>
      <c r="J3137" s="221"/>
      <c r="K3137" s="221"/>
      <c r="L3137" s="221"/>
      <c r="M3137" s="221"/>
    </row>
    <row r="3138" spans="5:13">
      <c r="E3138" s="221"/>
      <c r="F3138" s="221"/>
      <c r="G3138" s="221"/>
      <c r="H3138" s="236" t="s">
        <v>2378</v>
      </c>
      <c r="I3138" s="221"/>
      <c r="J3138" s="221"/>
      <c r="K3138" s="221"/>
      <c r="L3138" s="221"/>
      <c r="M3138" s="221"/>
    </row>
    <row r="3139" spans="5:13" ht="19.5" customHeight="1">
      <c r="E3139" s="221"/>
      <c r="F3139" s="221">
        <v>2</v>
      </c>
      <c r="G3139" s="221" t="s">
        <v>1414</v>
      </c>
      <c r="H3139" s="221" t="s">
        <v>2619</v>
      </c>
      <c r="I3139" s="221">
        <f>I2868</f>
        <v>708</v>
      </c>
      <c r="J3139" s="221" t="s">
        <v>1414</v>
      </c>
      <c r="K3139" s="221">
        <f>F3139*I3139</f>
        <v>1416</v>
      </c>
      <c r="L3139" s="221"/>
      <c r="M3139" s="221"/>
    </row>
    <row r="3140" spans="5:13" ht="19.5" customHeight="1">
      <c r="E3140" s="221"/>
      <c r="F3140" s="221">
        <v>3</v>
      </c>
      <c r="G3140" s="221" t="s">
        <v>1414</v>
      </c>
      <c r="H3140" s="221" t="s">
        <v>2620</v>
      </c>
      <c r="I3140" s="221">
        <f>I2869</f>
        <v>556</v>
      </c>
      <c r="J3140" s="221" t="s">
        <v>1414</v>
      </c>
      <c r="K3140" s="221">
        <f>F3140*I3140</f>
        <v>1668</v>
      </c>
      <c r="L3140" s="221"/>
      <c r="M3140" s="221"/>
    </row>
    <row r="3141" spans="5:13" ht="19.5" customHeight="1">
      <c r="E3141" s="221"/>
      <c r="F3141" s="221"/>
      <c r="G3141" s="221"/>
      <c r="H3141" s="226" t="s">
        <v>3487</v>
      </c>
      <c r="I3141" s="221"/>
      <c r="J3141" s="221"/>
      <c r="K3141" s="227">
        <f>SUM(K3139:K3140)</f>
        <v>3084</v>
      </c>
      <c r="L3141" s="221"/>
      <c r="M3141" s="221"/>
    </row>
    <row r="3142" spans="5:13" ht="19.5" customHeight="1">
      <c r="E3142" s="221"/>
      <c r="F3142" s="221"/>
      <c r="G3142" s="221"/>
      <c r="H3142" s="228" t="s">
        <v>2826</v>
      </c>
      <c r="I3142" s="221"/>
      <c r="J3142" s="221"/>
      <c r="K3142" s="229">
        <f>K3141/15</f>
        <v>205.6</v>
      </c>
      <c r="L3142" s="221"/>
      <c r="M3142" s="221"/>
    </row>
    <row r="3143" spans="5:13">
      <c r="E3143" s="221"/>
      <c r="F3143" s="221"/>
      <c r="G3143" s="221"/>
      <c r="H3143" s="221"/>
      <c r="I3143" s="221"/>
      <c r="J3143" s="221"/>
      <c r="K3143" s="221"/>
      <c r="L3143" s="221"/>
      <c r="M3143" s="221"/>
    </row>
    <row r="3144" spans="5:13">
      <c r="E3144" s="221"/>
      <c r="F3144" s="221"/>
      <c r="G3144" s="221"/>
      <c r="H3144" s="229" t="s">
        <v>3488</v>
      </c>
      <c r="I3144" s="221"/>
      <c r="J3144" s="221"/>
      <c r="K3144" s="221"/>
      <c r="L3144" s="221"/>
      <c r="M3144" s="221"/>
    </row>
    <row r="3145" spans="5:13">
      <c r="E3145" s="221"/>
      <c r="F3145" s="221"/>
      <c r="G3145" s="221"/>
      <c r="H3145" s="221"/>
      <c r="I3145" s="221"/>
      <c r="J3145" s="221"/>
      <c r="K3145" s="221"/>
      <c r="L3145" s="221"/>
      <c r="M3145" s="221"/>
    </row>
    <row r="3146" spans="5:13" ht="65.25" customHeight="1">
      <c r="E3146" s="221"/>
      <c r="F3146" s="221"/>
      <c r="G3146" s="221"/>
      <c r="H3146" s="219" t="s">
        <v>3489</v>
      </c>
      <c r="I3146" s="221"/>
      <c r="J3146" s="221"/>
      <c r="K3146" s="221"/>
      <c r="L3146" s="221"/>
      <c r="M3146" s="221"/>
    </row>
    <row r="3147" spans="5:13">
      <c r="E3147" s="221"/>
      <c r="F3147" s="221"/>
      <c r="G3147" s="221"/>
      <c r="H3147" s="221"/>
      <c r="I3147" s="221"/>
      <c r="J3147" s="221"/>
      <c r="K3147" s="221"/>
      <c r="L3147" s="221"/>
      <c r="M3147" s="221"/>
    </row>
    <row r="3148" spans="5:13" ht="78" customHeight="1">
      <c r="E3148" s="221"/>
      <c r="F3148" s="221"/>
      <c r="G3148" s="221"/>
      <c r="H3148" s="220" t="s">
        <v>2796</v>
      </c>
      <c r="I3148" s="221"/>
      <c r="J3148" s="221"/>
      <c r="K3148" s="221"/>
      <c r="L3148" s="221"/>
      <c r="M3148" s="221"/>
    </row>
    <row r="3149" spans="5:13">
      <c r="E3149" s="221"/>
      <c r="F3149" s="221"/>
      <c r="G3149" s="221"/>
      <c r="H3149" s="221"/>
      <c r="I3149" s="221"/>
      <c r="J3149" s="221"/>
      <c r="K3149" s="221"/>
      <c r="L3149" s="221"/>
      <c r="M3149" s="221"/>
    </row>
    <row r="3150" spans="5:13" s="263" customFormat="1">
      <c r="E3150" s="262"/>
      <c r="F3150" s="262">
        <v>1</v>
      </c>
      <c r="G3150" s="262" t="s">
        <v>1414</v>
      </c>
      <c r="H3150" s="267" t="s">
        <v>2797</v>
      </c>
      <c r="I3150" s="268">
        <v>200</v>
      </c>
      <c r="J3150" s="262" t="s">
        <v>1414</v>
      </c>
      <c r="K3150" s="262">
        <f>F3150*I3150</f>
        <v>200</v>
      </c>
      <c r="L3150" s="262"/>
      <c r="M3150" s="262"/>
    </row>
    <row r="3151" spans="5:13" s="263" customFormat="1" ht="31.5">
      <c r="E3151" s="262"/>
      <c r="F3151" s="262">
        <v>1</v>
      </c>
      <c r="G3151" s="262" t="s">
        <v>1414</v>
      </c>
      <c r="H3151" s="267" t="s">
        <v>3570</v>
      </c>
      <c r="I3151" s="269">
        <v>81.349999999999994</v>
      </c>
      <c r="J3151" s="262" t="s">
        <v>1414</v>
      </c>
      <c r="K3151" s="262">
        <f>F3151*I3151</f>
        <v>81.349999999999994</v>
      </c>
      <c r="L3151" s="262"/>
      <c r="M3151" s="262"/>
    </row>
    <row r="3152" spans="5:13" ht="31.5">
      <c r="E3152" s="221"/>
      <c r="F3152" s="221"/>
      <c r="G3152" s="221"/>
      <c r="H3152" s="220" t="s">
        <v>2799</v>
      </c>
      <c r="I3152" s="221"/>
      <c r="J3152" s="221"/>
      <c r="K3152" s="221">
        <v>9.15</v>
      </c>
      <c r="L3152" s="221"/>
      <c r="M3152" s="221"/>
    </row>
    <row r="3153" spans="5:13">
      <c r="E3153" s="221"/>
      <c r="F3153" s="221"/>
      <c r="G3153" s="221"/>
      <c r="H3153" s="221" t="s">
        <v>924</v>
      </c>
      <c r="I3153" s="221"/>
      <c r="J3153" s="221"/>
      <c r="K3153" s="221">
        <f>K3161</f>
        <v>456</v>
      </c>
      <c r="L3153" s="221"/>
      <c r="M3153" s="221"/>
    </row>
    <row r="3154" spans="5:13" ht="19.5" customHeight="1">
      <c r="E3154" s="221"/>
      <c r="F3154" s="221"/>
      <c r="G3154" s="221"/>
      <c r="H3154" s="228" t="s">
        <v>2826</v>
      </c>
      <c r="I3154" s="221"/>
      <c r="J3154" s="221"/>
      <c r="K3154" s="229">
        <f>SUM(K3150:K3153)</f>
        <v>746.5</v>
      </c>
      <c r="L3154" s="221">
        <f>K3154-562</f>
        <v>184.5</v>
      </c>
      <c r="M3154" s="221"/>
    </row>
    <row r="3155" spans="5:13">
      <c r="E3155" s="221"/>
      <c r="F3155" s="221"/>
      <c r="G3155" s="221"/>
      <c r="H3155" s="221"/>
      <c r="I3155" s="221"/>
      <c r="J3155" s="221"/>
      <c r="K3155" s="221"/>
      <c r="L3155" s="221"/>
      <c r="M3155" s="221"/>
    </row>
    <row r="3156" spans="5:13">
      <c r="E3156" s="221"/>
      <c r="F3156" s="221"/>
      <c r="G3156" s="221"/>
      <c r="H3156" s="221"/>
      <c r="I3156" s="221"/>
      <c r="J3156" s="221"/>
      <c r="K3156" s="221"/>
      <c r="L3156" s="221"/>
      <c r="M3156" s="221"/>
    </row>
    <row r="3157" spans="5:13">
      <c r="E3157" s="221"/>
      <c r="F3157" s="221"/>
      <c r="G3157" s="221"/>
      <c r="H3157" s="236" t="s">
        <v>924</v>
      </c>
      <c r="I3157" s="221"/>
      <c r="J3157" s="221"/>
      <c r="K3157" s="221"/>
      <c r="L3157" s="221"/>
      <c r="M3157" s="221"/>
    </row>
    <row r="3158" spans="5:13" ht="18.75" customHeight="1">
      <c r="E3158" s="221"/>
      <c r="F3158" s="221">
        <v>1</v>
      </c>
      <c r="G3158" s="221" t="s">
        <v>1414</v>
      </c>
      <c r="H3158" s="221" t="s">
        <v>2800</v>
      </c>
      <c r="I3158" s="221">
        <f>I2867</f>
        <v>712</v>
      </c>
      <c r="J3158" s="221" t="s">
        <v>1414</v>
      </c>
      <c r="K3158" s="221">
        <f>F3158*I3158</f>
        <v>712</v>
      </c>
      <c r="L3158" s="221"/>
      <c r="M3158" s="221"/>
    </row>
    <row r="3159" spans="5:13" ht="18.75" customHeight="1">
      <c r="E3159" s="221"/>
      <c r="F3159" s="221">
        <v>2</v>
      </c>
      <c r="G3159" s="221" t="s">
        <v>1414</v>
      </c>
      <c r="H3159" s="221" t="s">
        <v>2620</v>
      </c>
      <c r="I3159" s="221">
        <f>I3140</f>
        <v>556</v>
      </c>
      <c r="J3159" s="221" t="s">
        <v>1414</v>
      </c>
      <c r="K3159" s="221">
        <f>F3159*I3159</f>
        <v>1112</v>
      </c>
      <c r="L3159" s="221"/>
      <c r="M3159" s="221"/>
    </row>
    <row r="3160" spans="5:13" ht="15" customHeight="1">
      <c r="E3160" s="221"/>
      <c r="F3160" s="221"/>
      <c r="G3160" s="221"/>
      <c r="H3160" s="226" t="s">
        <v>2801</v>
      </c>
      <c r="I3160" s="221"/>
      <c r="J3160" s="221"/>
      <c r="K3160" s="227">
        <f>SUM(K3158:K3159)</f>
        <v>1824</v>
      </c>
      <c r="L3160" s="221"/>
      <c r="M3160" s="221"/>
    </row>
    <row r="3161" spans="5:13" ht="20.25" customHeight="1">
      <c r="E3161" s="221"/>
      <c r="F3161" s="221"/>
      <c r="G3161" s="221"/>
      <c r="H3161" s="228" t="s">
        <v>2926</v>
      </c>
      <c r="I3161" s="221"/>
      <c r="J3161" s="221"/>
      <c r="K3161" s="229">
        <f>K3160/4</f>
        <v>456</v>
      </c>
      <c r="L3161" s="221"/>
      <c r="M3161" s="221"/>
    </row>
    <row r="3162" spans="5:13">
      <c r="E3162" s="221"/>
      <c r="F3162" s="221"/>
      <c r="G3162" s="221"/>
      <c r="H3162" s="221"/>
      <c r="I3162" s="221"/>
      <c r="J3162" s="221"/>
      <c r="K3162" s="221"/>
      <c r="L3162" s="221"/>
      <c r="M3162" s="221"/>
    </row>
    <row r="3163" spans="5:13">
      <c r="E3163" s="221"/>
      <c r="F3163" s="221"/>
      <c r="G3163" s="221"/>
      <c r="H3163" s="229" t="s">
        <v>2802</v>
      </c>
      <c r="I3163" s="221"/>
      <c r="J3163" s="221"/>
      <c r="K3163" s="221"/>
      <c r="L3163" s="221"/>
      <c r="M3163" s="221"/>
    </row>
    <row r="3164" spans="5:13">
      <c r="E3164" s="221"/>
      <c r="F3164" s="221"/>
      <c r="G3164" s="221"/>
      <c r="H3164" s="221"/>
      <c r="I3164" s="221"/>
      <c r="J3164" s="221"/>
      <c r="K3164" s="221"/>
      <c r="L3164" s="221"/>
      <c r="M3164" s="221"/>
    </row>
    <row r="3165" spans="5:13" ht="47.25">
      <c r="E3165" s="221"/>
      <c r="F3165" s="221"/>
      <c r="G3165" s="221"/>
      <c r="H3165" s="219" t="s">
        <v>2803</v>
      </c>
      <c r="I3165" s="221"/>
      <c r="J3165" s="221"/>
      <c r="K3165" s="221"/>
      <c r="L3165" s="221"/>
      <c r="M3165" s="221"/>
    </row>
    <row r="3166" spans="5:13">
      <c r="E3166" s="221"/>
      <c r="F3166" s="221"/>
      <c r="G3166" s="221"/>
      <c r="H3166" s="221"/>
      <c r="I3166" s="221"/>
      <c r="J3166" s="221"/>
      <c r="K3166" s="221"/>
      <c r="L3166" s="221"/>
      <c r="M3166" s="221"/>
    </row>
    <row r="3167" spans="5:13" ht="63">
      <c r="E3167" s="221"/>
      <c r="F3167" s="221"/>
      <c r="G3167" s="221"/>
      <c r="H3167" s="220" t="s">
        <v>3260</v>
      </c>
      <c r="I3167" s="221"/>
      <c r="J3167" s="221"/>
      <c r="K3167" s="221"/>
      <c r="L3167" s="221"/>
      <c r="M3167" s="221"/>
    </row>
    <row r="3168" spans="5:13">
      <c r="E3168" s="221"/>
      <c r="F3168" s="221"/>
      <c r="G3168" s="221"/>
      <c r="H3168" s="221"/>
      <c r="I3168" s="221"/>
      <c r="J3168" s="221"/>
      <c r="K3168" s="221"/>
      <c r="L3168" s="221"/>
      <c r="M3168" s="221"/>
    </row>
    <row r="3169" spans="5:13" s="263" customFormat="1" ht="39.75" customHeight="1">
      <c r="E3169" s="262"/>
      <c r="F3169" s="262">
        <v>1</v>
      </c>
      <c r="G3169" s="262" t="s">
        <v>1414</v>
      </c>
      <c r="H3169" s="267" t="s">
        <v>3261</v>
      </c>
      <c r="I3169" s="268">
        <v>455</v>
      </c>
      <c r="J3169" s="262" t="s">
        <v>1414</v>
      </c>
      <c r="K3169" s="262">
        <f>F3169*I3169</f>
        <v>455</v>
      </c>
      <c r="L3169" s="262"/>
      <c r="M3169" s="262"/>
    </row>
    <row r="3170" spans="5:13" s="263" customFormat="1" ht="39" customHeight="1">
      <c r="E3170" s="262"/>
      <c r="F3170" s="262">
        <v>1</v>
      </c>
      <c r="G3170" s="262" t="s">
        <v>1414</v>
      </c>
      <c r="H3170" s="267" t="s">
        <v>2798</v>
      </c>
      <c r="I3170" s="262">
        <f>I3151</f>
        <v>81.349999999999994</v>
      </c>
      <c r="J3170" s="262" t="s">
        <v>1414</v>
      </c>
      <c r="K3170" s="262">
        <f>F3170*I3170</f>
        <v>81.349999999999994</v>
      </c>
      <c r="L3170" s="262"/>
      <c r="M3170" s="262"/>
    </row>
    <row r="3171" spans="5:13" ht="42.75" customHeight="1">
      <c r="E3171" s="221"/>
      <c r="F3171" s="221"/>
      <c r="G3171" s="221"/>
      <c r="H3171" s="220" t="s">
        <v>2799</v>
      </c>
      <c r="I3171" s="221"/>
      <c r="J3171" s="221"/>
      <c r="K3171" s="221">
        <v>9.15</v>
      </c>
      <c r="L3171" s="221"/>
      <c r="M3171" s="221"/>
    </row>
    <row r="3172" spans="5:13" ht="20.100000000000001" customHeight="1">
      <c r="E3172" s="221"/>
      <c r="F3172" s="221"/>
      <c r="G3172" s="221"/>
      <c r="H3172" s="221" t="s">
        <v>924</v>
      </c>
      <c r="I3172" s="221"/>
      <c r="J3172" s="221"/>
      <c r="K3172" s="221">
        <f>K3161</f>
        <v>456</v>
      </c>
      <c r="L3172" s="221"/>
      <c r="M3172" s="221"/>
    </row>
    <row r="3173" spans="5:13" ht="30" customHeight="1">
      <c r="E3173" s="221"/>
      <c r="F3173" s="221"/>
      <c r="G3173" s="221"/>
      <c r="H3173" s="228" t="s">
        <v>2826</v>
      </c>
      <c r="I3173" s="221"/>
      <c r="J3173" s="221"/>
      <c r="K3173" s="229">
        <f>SUM(K3169:K3172)</f>
        <v>1001.5</v>
      </c>
      <c r="L3173" s="221">
        <f>806-K3173</f>
        <v>-195.5</v>
      </c>
      <c r="M3173" s="221"/>
    </row>
    <row r="3174" spans="5:13">
      <c r="E3174" s="221"/>
      <c r="F3174" s="221"/>
      <c r="G3174" s="221"/>
      <c r="H3174" s="221"/>
      <c r="I3174" s="221"/>
      <c r="J3174" s="221"/>
      <c r="K3174" s="221"/>
      <c r="L3174" s="221"/>
      <c r="M3174" s="221"/>
    </row>
    <row r="3175" spans="5:13">
      <c r="E3175" s="221"/>
      <c r="F3175" s="221"/>
      <c r="G3175" s="221"/>
      <c r="H3175" s="221"/>
      <c r="I3175" s="221"/>
      <c r="J3175" s="221"/>
      <c r="K3175" s="221"/>
      <c r="L3175" s="221"/>
      <c r="M3175" s="221"/>
    </row>
    <row r="3176" spans="5:13" ht="20.100000000000001" customHeight="1">
      <c r="E3176" s="221"/>
      <c r="F3176" s="221"/>
      <c r="G3176" s="221"/>
      <c r="H3176" s="229" t="s">
        <v>3267</v>
      </c>
      <c r="I3176" s="221"/>
      <c r="J3176" s="221"/>
      <c r="K3176" s="221"/>
      <c r="L3176" s="221"/>
      <c r="M3176" s="221"/>
    </row>
    <row r="3177" spans="5:13">
      <c r="E3177" s="221"/>
      <c r="F3177" s="221"/>
      <c r="G3177" s="221"/>
      <c r="H3177" s="221"/>
      <c r="I3177" s="221"/>
      <c r="J3177" s="221"/>
      <c r="K3177" s="221"/>
      <c r="L3177" s="221"/>
      <c r="M3177" s="221"/>
    </row>
    <row r="3178" spans="5:13" ht="58.5" customHeight="1">
      <c r="E3178" s="221"/>
      <c r="F3178" s="221"/>
      <c r="G3178" s="221"/>
      <c r="H3178" s="220" t="s">
        <v>2431</v>
      </c>
      <c r="I3178" s="221"/>
      <c r="J3178" s="221"/>
      <c r="K3178" s="221"/>
      <c r="L3178" s="221"/>
      <c r="M3178" s="221"/>
    </row>
    <row r="3179" spans="5:13">
      <c r="E3179" s="221"/>
      <c r="F3179" s="221"/>
      <c r="G3179" s="221"/>
      <c r="H3179" s="221"/>
      <c r="I3179" s="221"/>
      <c r="J3179" s="221"/>
      <c r="K3179" s="221"/>
      <c r="L3179" s="221"/>
      <c r="M3179" s="221"/>
    </row>
    <row r="3180" spans="5:13" ht="40.5" customHeight="1">
      <c r="E3180" s="221"/>
      <c r="F3180" s="221">
        <v>1</v>
      </c>
      <c r="G3180" s="221" t="s">
        <v>1414</v>
      </c>
      <c r="H3180" s="220" t="s">
        <v>4392</v>
      </c>
      <c r="I3180" s="222">
        <v>439</v>
      </c>
      <c r="J3180" s="221" t="s">
        <v>1414</v>
      </c>
      <c r="K3180" s="221">
        <f>F3180*I3180</f>
        <v>439</v>
      </c>
      <c r="L3180" s="221"/>
      <c r="M3180" s="221"/>
    </row>
    <row r="3181" spans="5:13" ht="20.100000000000001" customHeight="1">
      <c r="E3181" s="221"/>
      <c r="F3181" s="221">
        <v>1</v>
      </c>
      <c r="G3181" s="221" t="s">
        <v>1414</v>
      </c>
      <c r="H3181" s="221" t="s">
        <v>2432</v>
      </c>
      <c r="I3181" s="221">
        <f>I3170</f>
        <v>81.349999999999994</v>
      </c>
      <c r="J3181" s="221" t="s">
        <v>1414</v>
      </c>
      <c r="K3181" s="221">
        <f>F3181*I3181</f>
        <v>81.349999999999994</v>
      </c>
      <c r="L3181" s="221"/>
      <c r="M3181" s="221"/>
    </row>
    <row r="3182" spans="5:13" ht="20.100000000000001" customHeight="1">
      <c r="E3182" s="221"/>
      <c r="F3182" s="221"/>
      <c r="G3182" s="221"/>
      <c r="H3182" s="221" t="s">
        <v>2296</v>
      </c>
      <c r="I3182" s="221"/>
      <c r="J3182" s="221"/>
      <c r="K3182" s="221">
        <f>8.65+1.07+0.43</f>
        <v>10.15</v>
      </c>
      <c r="L3182" s="221"/>
      <c r="M3182" s="221"/>
    </row>
    <row r="3183" spans="5:13" ht="20.100000000000001" customHeight="1">
      <c r="E3183" s="221"/>
      <c r="F3183" s="221"/>
      <c r="G3183" s="221"/>
      <c r="H3183" s="221" t="s">
        <v>2433</v>
      </c>
      <c r="I3183" s="221"/>
      <c r="J3183" s="221"/>
      <c r="K3183" s="221">
        <f>K3161</f>
        <v>456</v>
      </c>
      <c r="L3183" s="221"/>
      <c r="M3183" s="221"/>
    </row>
    <row r="3184" spans="5:13" ht="30" customHeight="1">
      <c r="E3184" s="221"/>
      <c r="F3184" s="221"/>
      <c r="G3184" s="221"/>
      <c r="H3184" s="228" t="s">
        <v>1080</v>
      </c>
      <c r="I3184" s="221"/>
      <c r="J3184" s="221"/>
      <c r="K3184" s="229">
        <f>SUM(K3180:K3183)</f>
        <v>986.5</v>
      </c>
      <c r="L3184" s="221">
        <f>891-K3184</f>
        <v>-95.5</v>
      </c>
      <c r="M3184" s="221"/>
    </row>
    <row r="3185" spans="5:13">
      <c r="E3185" s="221"/>
      <c r="F3185" s="221"/>
      <c r="G3185" s="221"/>
      <c r="H3185" s="221"/>
      <c r="I3185" s="221"/>
      <c r="J3185" s="221"/>
      <c r="K3185" s="221"/>
      <c r="L3185" s="221"/>
      <c r="M3185" s="221"/>
    </row>
    <row r="3186" spans="5:13" ht="20.100000000000001" customHeight="1">
      <c r="E3186" s="221"/>
      <c r="F3186" s="221"/>
      <c r="G3186" s="221"/>
      <c r="H3186" s="229" t="s">
        <v>2802</v>
      </c>
      <c r="I3186" s="221"/>
      <c r="J3186" s="221"/>
      <c r="K3186" s="221"/>
      <c r="L3186" s="221"/>
      <c r="M3186" s="221"/>
    </row>
    <row r="3187" spans="5:13">
      <c r="E3187" s="221"/>
      <c r="F3187" s="221"/>
      <c r="G3187" s="221"/>
      <c r="H3187" s="221"/>
      <c r="I3187" s="221"/>
      <c r="J3187" s="221"/>
      <c r="K3187" s="221"/>
      <c r="L3187" s="221"/>
      <c r="M3187" s="221"/>
    </row>
    <row r="3188" spans="5:13" ht="52.5" customHeight="1">
      <c r="E3188" s="221"/>
      <c r="F3188" s="221"/>
      <c r="G3188" s="221"/>
      <c r="H3188" s="219" t="s">
        <v>3475</v>
      </c>
      <c r="I3188" s="221"/>
      <c r="J3188" s="221"/>
      <c r="K3188" s="221"/>
      <c r="L3188" s="221"/>
      <c r="M3188" s="221"/>
    </row>
    <row r="3189" spans="5:13">
      <c r="E3189" s="221"/>
      <c r="F3189" s="221"/>
      <c r="G3189" s="221"/>
      <c r="H3189" s="221"/>
      <c r="I3189" s="221"/>
      <c r="J3189" s="221"/>
      <c r="K3189" s="221"/>
      <c r="L3189" s="221"/>
      <c r="M3189" s="221"/>
    </row>
    <row r="3190" spans="5:13" ht="88.5" customHeight="1">
      <c r="E3190" s="221"/>
      <c r="F3190" s="221"/>
      <c r="G3190" s="221"/>
      <c r="H3190" s="220" t="s">
        <v>3476</v>
      </c>
      <c r="I3190" s="221"/>
      <c r="J3190" s="221"/>
      <c r="K3190" s="221"/>
      <c r="L3190" s="221"/>
      <c r="M3190" s="221"/>
    </row>
    <row r="3191" spans="5:13" ht="38.25" customHeight="1">
      <c r="E3191" s="221"/>
      <c r="F3191" s="221">
        <v>1</v>
      </c>
      <c r="G3191" s="221" t="s">
        <v>1414</v>
      </c>
      <c r="H3191" s="220" t="s">
        <v>3477</v>
      </c>
      <c r="I3191" s="303">
        <v>480</v>
      </c>
      <c r="J3191" s="221" t="s">
        <v>1414</v>
      </c>
      <c r="K3191" s="221">
        <f>F3191*I3191</f>
        <v>480</v>
      </c>
      <c r="L3191" s="221"/>
      <c r="M3191" s="221"/>
    </row>
    <row r="3192" spans="5:13" ht="40.5" customHeight="1">
      <c r="E3192" s="221"/>
      <c r="F3192" s="221">
        <v>1</v>
      </c>
      <c r="G3192" s="221" t="s">
        <v>1414</v>
      </c>
      <c r="H3192" s="220" t="s">
        <v>2630</v>
      </c>
      <c r="I3192" s="221">
        <v>130</v>
      </c>
      <c r="J3192" s="221" t="s">
        <v>1414</v>
      </c>
      <c r="K3192" s="221">
        <f>F3192*I3192</f>
        <v>130</v>
      </c>
      <c r="L3192" s="221"/>
      <c r="M3192" s="221"/>
    </row>
    <row r="3193" spans="5:13" ht="38.25" customHeight="1">
      <c r="E3193" s="221"/>
      <c r="F3193" s="221"/>
      <c r="G3193" s="221"/>
      <c r="H3193" s="220" t="s">
        <v>2631</v>
      </c>
      <c r="I3193" s="221"/>
      <c r="J3193" s="221"/>
      <c r="K3193" s="221">
        <v>12.67</v>
      </c>
      <c r="L3193" s="221"/>
      <c r="M3193" s="221"/>
    </row>
    <row r="3194" spans="5:13" ht="23.25" customHeight="1">
      <c r="E3194" s="221"/>
      <c r="F3194" s="221"/>
      <c r="G3194" s="221"/>
      <c r="H3194" s="221" t="s">
        <v>924</v>
      </c>
      <c r="I3194" s="221"/>
      <c r="J3194" s="221"/>
      <c r="K3194" s="221">
        <f>K3201</f>
        <v>608</v>
      </c>
      <c r="L3194" s="221"/>
      <c r="M3194" s="221"/>
    </row>
    <row r="3195" spans="5:13" ht="30" customHeight="1">
      <c r="E3195" s="221"/>
      <c r="F3195" s="221"/>
      <c r="G3195" s="221"/>
      <c r="H3195" s="228" t="s">
        <v>1080</v>
      </c>
      <c r="I3195" s="221"/>
      <c r="J3195" s="221"/>
      <c r="K3195" s="229">
        <f>SUM(K3191:K3194)</f>
        <v>1230.67</v>
      </c>
      <c r="L3195" s="221">
        <f>968-K3195</f>
        <v>-262.67</v>
      </c>
      <c r="M3195" s="221"/>
    </row>
    <row r="3196" spans="5:13">
      <c r="E3196" s="221"/>
      <c r="F3196" s="221"/>
      <c r="G3196" s="221"/>
      <c r="H3196" s="221"/>
      <c r="I3196" s="221"/>
      <c r="J3196" s="221"/>
      <c r="K3196" s="221"/>
      <c r="L3196" s="221"/>
      <c r="M3196" s="221"/>
    </row>
    <row r="3197" spans="5:13" ht="20.100000000000001" customHeight="1">
      <c r="E3197" s="221"/>
      <c r="F3197" s="221"/>
      <c r="G3197" s="221"/>
      <c r="H3197" s="227" t="s">
        <v>924</v>
      </c>
      <c r="I3197" s="221"/>
      <c r="J3197" s="221"/>
      <c r="K3197" s="221"/>
      <c r="L3197" s="221"/>
      <c r="M3197" s="221"/>
    </row>
    <row r="3198" spans="5:13">
      <c r="E3198" s="221"/>
      <c r="F3198" s="221">
        <v>1</v>
      </c>
      <c r="G3198" s="221" t="s">
        <v>1414</v>
      </c>
      <c r="H3198" s="221" t="s">
        <v>2632</v>
      </c>
      <c r="I3198" s="221">
        <f>I3158</f>
        <v>712</v>
      </c>
      <c r="J3198" s="221" t="s">
        <v>1414</v>
      </c>
      <c r="K3198" s="221">
        <f>F3198*I3198</f>
        <v>712</v>
      </c>
      <c r="L3198" s="221"/>
      <c r="M3198" s="221"/>
    </row>
    <row r="3199" spans="5:13">
      <c r="E3199" s="221"/>
      <c r="F3199" s="221">
        <v>2</v>
      </c>
      <c r="G3199" s="221" t="s">
        <v>1414</v>
      </c>
      <c r="H3199" s="221" t="s">
        <v>3121</v>
      </c>
      <c r="I3199" s="221">
        <f>I3159</f>
        <v>556</v>
      </c>
      <c r="J3199" s="221" t="s">
        <v>1414</v>
      </c>
      <c r="K3199" s="221">
        <f>F3199*I3199</f>
        <v>1112</v>
      </c>
      <c r="L3199" s="221"/>
      <c r="M3199" s="221"/>
    </row>
    <row r="3200" spans="5:13" ht="20.100000000000001" customHeight="1">
      <c r="E3200" s="221"/>
      <c r="F3200" s="221"/>
      <c r="G3200" s="221"/>
      <c r="H3200" s="226" t="s">
        <v>3123</v>
      </c>
      <c r="I3200" s="221"/>
      <c r="J3200" s="221"/>
      <c r="K3200" s="221">
        <f>SUM(K3198:K3199)</f>
        <v>1824</v>
      </c>
      <c r="L3200" s="221"/>
      <c r="M3200" s="221"/>
    </row>
    <row r="3201" spans="5:13" ht="20.100000000000001" customHeight="1">
      <c r="E3201" s="221"/>
      <c r="F3201" s="221"/>
      <c r="G3201" s="221"/>
      <c r="H3201" s="228" t="s">
        <v>2826</v>
      </c>
      <c r="I3201" s="221"/>
      <c r="J3201" s="221"/>
      <c r="K3201" s="229">
        <f>K3200/3</f>
        <v>608</v>
      </c>
      <c r="L3201" s="221"/>
      <c r="M3201" s="221"/>
    </row>
    <row r="3202" spans="5:13">
      <c r="E3202" s="221"/>
      <c r="F3202" s="221"/>
      <c r="G3202" s="221"/>
      <c r="H3202" s="221"/>
      <c r="I3202" s="221"/>
      <c r="J3202" s="221"/>
      <c r="K3202" s="221"/>
      <c r="L3202" s="221"/>
      <c r="M3202" s="221"/>
    </row>
    <row r="3203" spans="5:13" ht="30" customHeight="1">
      <c r="E3203" s="221"/>
      <c r="F3203" s="221"/>
      <c r="G3203" s="221"/>
      <c r="H3203" s="229" t="s">
        <v>2633</v>
      </c>
      <c r="I3203" s="221"/>
      <c r="J3203" s="221"/>
      <c r="K3203" s="221"/>
      <c r="L3203" s="221"/>
      <c r="M3203" s="221"/>
    </row>
    <row r="3204" spans="5:13">
      <c r="E3204" s="221"/>
      <c r="F3204" s="221"/>
      <c r="G3204" s="221"/>
      <c r="H3204" s="221"/>
      <c r="I3204" s="221"/>
      <c r="J3204" s="221"/>
      <c r="K3204" s="221"/>
      <c r="L3204" s="221"/>
      <c r="M3204" s="221"/>
    </row>
    <row r="3205" spans="5:13" ht="91.5" customHeight="1">
      <c r="E3205" s="221"/>
      <c r="F3205" s="221"/>
      <c r="G3205" s="221"/>
      <c r="H3205" s="219" t="s">
        <v>2880</v>
      </c>
      <c r="I3205" s="221"/>
      <c r="J3205" s="221"/>
      <c r="K3205" s="221"/>
      <c r="L3205" s="221"/>
      <c r="M3205" s="221"/>
    </row>
    <row r="3206" spans="5:13" ht="30" customHeight="1">
      <c r="E3206" s="221"/>
      <c r="F3206" s="221">
        <v>1</v>
      </c>
      <c r="G3206" s="221" t="s">
        <v>1414</v>
      </c>
      <c r="H3206" s="221" t="s">
        <v>2647</v>
      </c>
      <c r="I3206" s="303">
        <v>800</v>
      </c>
      <c r="J3206" s="221" t="s">
        <v>1414</v>
      </c>
      <c r="K3206" s="221">
        <f>F3206*I3206</f>
        <v>800</v>
      </c>
      <c r="L3206" s="221"/>
      <c r="M3206" s="221"/>
    </row>
    <row r="3207" spans="5:13" ht="43.5" customHeight="1">
      <c r="E3207" s="221"/>
      <c r="F3207" s="221">
        <v>1</v>
      </c>
      <c r="G3207" s="221" t="s">
        <v>1414</v>
      </c>
      <c r="H3207" s="220" t="s">
        <v>2630</v>
      </c>
      <c r="I3207" s="221">
        <f>I3192</f>
        <v>130</v>
      </c>
      <c r="J3207" s="221" t="s">
        <v>1414</v>
      </c>
      <c r="K3207" s="221">
        <f>F3207*I3207</f>
        <v>130</v>
      </c>
      <c r="L3207" s="221"/>
      <c r="M3207" s="221"/>
    </row>
    <row r="3208" spans="5:13" ht="41.25" customHeight="1">
      <c r="E3208" s="221"/>
      <c r="F3208" s="221"/>
      <c r="G3208" s="221"/>
      <c r="H3208" s="220" t="s">
        <v>2631</v>
      </c>
      <c r="I3208" s="221"/>
      <c r="J3208" s="221"/>
      <c r="K3208" s="221">
        <v>10.67</v>
      </c>
      <c r="L3208" s="221"/>
      <c r="M3208" s="221"/>
    </row>
    <row r="3209" spans="5:13" ht="30" customHeight="1">
      <c r="E3209" s="221"/>
      <c r="F3209" s="221"/>
      <c r="G3209" s="221"/>
      <c r="H3209" s="221" t="s">
        <v>924</v>
      </c>
      <c r="I3209" s="221"/>
      <c r="J3209" s="221"/>
      <c r="K3209" s="221">
        <f>K3201</f>
        <v>608</v>
      </c>
      <c r="L3209" s="221"/>
      <c r="M3209" s="221"/>
    </row>
    <row r="3210" spans="5:13" ht="30" customHeight="1">
      <c r="E3210" s="221"/>
      <c r="F3210" s="221"/>
      <c r="G3210" s="221"/>
      <c r="H3210" s="228" t="s">
        <v>1080</v>
      </c>
      <c r="I3210" s="221"/>
      <c r="J3210" s="221"/>
      <c r="K3210" s="229">
        <f>SUM(K3206:K3209)</f>
        <v>1548.67</v>
      </c>
      <c r="L3210" s="221">
        <f>1287-K3210</f>
        <v>-261.67</v>
      </c>
      <c r="M3210" s="221"/>
    </row>
    <row r="3211" spans="5:13">
      <c r="E3211" s="221"/>
      <c r="F3211" s="221"/>
      <c r="G3211" s="221"/>
      <c r="H3211" s="221"/>
      <c r="I3211" s="221"/>
      <c r="J3211" s="221"/>
      <c r="K3211" s="221"/>
      <c r="L3211" s="221"/>
      <c r="M3211" s="221"/>
    </row>
    <row r="3212" spans="5:13" ht="30" customHeight="1">
      <c r="E3212" s="221"/>
      <c r="F3212" s="221"/>
      <c r="G3212" s="221"/>
      <c r="H3212" s="229" t="s">
        <v>2648</v>
      </c>
      <c r="I3212" s="221"/>
      <c r="J3212" s="221"/>
      <c r="K3212" s="221"/>
      <c r="L3212" s="221"/>
      <c r="M3212" s="221"/>
    </row>
    <row r="3213" spans="5:13">
      <c r="E3213" s="221"/>
      <c r="F3213" s="221"/>
      <c r="G3213" s="221"/>
      <c r="H3213" s="221"/>
      <c r="I3213" s="221"/>
      <c r="J3213" s="221"/>
      <c r="K3213" s="221"/>
      <c r="L3213" s="221"/>
      <c r="M3213" s="221"/>
    </row>
    <row r="3214" spans="5:13" ht="74.25" customHeight="1">
      <c r="E3214" s="221"/>
      <c r="F3214" s="221"/>
      <c r="G3214" s="221"/>
      <c r="H3214" s="219" t="s">
        <v>3180</v>
      </c>
      <c r="I3214" s="221"/>
      <c r="J3214" s="221"/>
      <c r="K3214" s="221"/>
      <c r="L3214" s="221"/>
      <c r="M3214" s="221"/>
    </row>
    <row r="3215" spans="5:13" ht="95.25" customHeight="1">
      <c r="E3215" s="221"/>
      <c r="F3215" s="221"/>
      <c r="G3215" s="221"/>
      <c r="H3215" s="220" t="s">
        <v>3446</v>
      </c>
      <c r="I3215" s="221"/>
      <c r="J3215" s="221"/>
      <c r="K3215" s="221"/>
      <c r="L3215" s="221"/>
      <c r="M3215" s="221"/>
    </row>
    <row r="3216" spans="5:13">
      <c r="E3216" s="221"/>
      <c r="F3216" s="221"/>
      <c r="G3216" s="221"/>
      <c r="H3216" s="221"/>
      <c r="I3216" s="221"/>
      <c r="J3216" s="221"/>
      <c r="K3216" s="221"/>
      <c r="L3216" s="221"/>
      <c r="M3216" s="221"/>
    </row>
    <row r="3217" spans="5:14" ht="45" customHeight="1">
      <c r="E3217" s="221"/>
      <c r="F3217" s="221">
        <v>1</v>
      </c>
      <c r="G3217" s="221" t="s">
        <v>1414</v>
      </c>
      <c r="H3217" s="220" t="s">
        <v>4393</v>
      </c>
      <c r="I3217" s="222">
        <v>2190</v>
      </c>
      <c r="J3217" s="221" t="s">
        <v>1414</v>
      </c>
      <c r="K3217" s="221">
        <f>F3217*I3217</f>
        <v>2190</v>
      </c>
      <c r="L3217" s="221"/>
      <c r="M3217" s="221"/>
    </row>
    <row r="3218" spans="5:14" ht="30" customHeight="1">
      <c r="E3218" s="221"/>
      <c r="F3218" s="221">
        <v>1</v>
      </c>
      <c r="G3218" s="221" t="s">
        <v>1414</v>
      </c>
      <c r="H3218" s="221" t="s">
        <v>3447</v>
      </c>
      <c r="I3218" s="222">
        <f>K3222</f>
        <v>433.59</v>
      </c>
      <c r="J3218" s="221" t="s">
        <v>1414</v>
      </c>
      <c r="K3218" s="221">
        <f>F3218*I3218</f>
        <v>433.59</v>
      </c>
      <c r="L3218" s="221"/>
      <c r="M3218" s="221"/>
    </row>
    <row r="3219" spans="5:14" ht="44.25" customHeight="1">
      <c r="E3219" s="221"/>
      <c r="F3219" s="221"/>
      <c r="G3219" s="221"/>
      <c r="H3219" s="220" t="s">
        <v>3448</v>
      </c>
      <c r="I3219" s="221"/>
      <c r="J3219" s="221"/>
      <c r="K3219" s="221">
        <f>26.9+0.18</f>
        <v>27.08</v>
      </c>
      <c r="L3219" s="221"/>
      <c r="M3219" s="221"/>
    </row>
    <row r="3220" spans="5:14" ht="30" customHeight="1">
      <c r="E3220" s="221"/>
      <c r="F3220" s="221"/>
      <c r="G3220" s="221"/>
      <c r="H3220" s="221" t="s">
        <v>924</v>
      </c>
      <c r="I3220" s="221"/>
      <c r="J3220" s="221"/>
      <c r="K3220" s="221">
        <f>K3201</f>
        <v>608</v>
      </c>
      <c r="L3220" s="221"/>
      <c r="M3220" s="221"/>
    </row>
    <row r="3221" spans="5:14" ht="30" customHeight="1">
      <c r="E3221" s="221"/>
      <c r="F3221" s="221"/>
      <c r="G3221" s="221"/>
      <c r="H3221" s="228" t="s">
        <v>1080</v>
      </c>
      <c r="I3221" s="221"/>
      <c r="J3221" s="221"/>
      <c r="K3221" s="229">
        <f>SUM(K3217:K3220)</f>
        <v>3258.67</v>
      </c>
      <c r="L3221" s="221">
        <f>K3221-3050</f>
        <v>208.67</v>
      </c>
      <c r="M3221" s="221"/>
    </row>
    <row r="3222" spans="5:14" ht="30" customHeight="1">
      <c r="E3222" s="221"/>
      <c r="F3222" s="221"/>
      <c r="G3222" s="221"/>
      <c r="H3222" s="221" t="s">
        <v>3914</v>
      </c>
      <c r="I3222" s="222">
        <f>N3222</f>
        <v>107060</v>
      </c>
      <c r="J3222" s="238">
        <f>0.75*0.45*0.012</f>
        <v>4.0499999999999998E-3</v>
      </c>
      <c r="K3222" s="221">
        <f>J3222*I3222</f>
        <v>433.59</v>
      </c>
      <c r="L3222" s="221"/>
      <c r="M3222" s="221">
        <f>6180+82300</f>
        <v>88480</v>
      </c>
      <c r="N3222" s="87">
        <f>7460+99600</f>
        <v>107060</v>
      </c>
    </row>
    <row r="3223" spans="5:14" ht="30" customHeight="1">
      <c r="E3223" s="221"/>
      <c r="F3223" s="221"/>
      <c r="G3223" s="221"/>
      <c r="H3223" s="229" t="s">
        <v>3449</v>
      </c>
      <c r="I3223" s="221"/>
      <c r="J3223" s="221"/>
      <c r="K3223" s="221"/>
      <c r="L3223" s="221"/>
      <c r="M3223" s="221"/>
    </row>
    <row r="3224" spans="5:14">
      <c r="E3224" s="221"/>
      <c r="F3224" s="221"/>
      <c r="G3224" s="221"/>
      <c r="H3224" s="221"/>
      <c r="I3224" s="221"/>
      <c r="J3224" s="221"/>
      <c r="K3224" s="221"/>
      <c r="L3224" s="221"/>
      <c r="M3224" s="221"/>
    </row>
    <row r="3225" spans="5:14" ht="92.25" customHeight="1">
      <c r="E3225" s="221"/>
      <c r="F3225" s="221"/>
      <c r="G3225" s="221"/>
      <c r="H3225" s="219" t="s">
        <v>2616</v>
      </c>
      <c r="I3225" s="221"/>
      <c r="J3225" s="221"/>
      <c r="K3225" s="221"/>
      <c r="L3225" s="221"/>
      <c r="M3225" s="221"/>
    </row>
    <row r="3226" spans="5:14">
      <c r="E3226" s="221"/>
      <c r="F3226" s="221"/>
      <c r="G3226" s="221"/>
      <c r="H3226" s="221"/>
      <c r="I3226" s="221"/>
      <c r="J3226" s="221"/>
      <c r="K3226" s="221"/>
      <c r="L3226" s="221"/>
      <c r="M3226" s="221"/>
    </row>
    <row r="3227" spans="5:14" ht="30" customHeight="1">
      <c r="E3227" s="221"/>
      <c r="F3227" s="221"/>
      <c r="G3227" s="221"/>
      <c r="H3227" s="221" t="s">
        <v>2617</v>
      </c>
      <c r="I3227" s="221"/>
      <c r="J3227" s="221"/>
      <c r="K3227" s="221"/>
      <c r="L3227" s="221"/>
      <c r="M3227" s="221"/>
    </row>
    <row r="3228" spans="5:14">
      <c r="E3228" s="221"/>
      <c r="F3228" s="221"/>
      <c r="G3228" s="221"/>
      <c r="H3228" s="221"/>
      <c r="I3228" s="221"/>
      <c r="J3228" s="221"/>
      <c r="K3228" s="221"/>
      <c r="L3228" s="221"/>
      <c r="M3228" s="221"/>
    </row>
    <row r="3229" spans="5:14" ht="30" customHeight="1">
      <c r="E3229" s="221"/>
      <c r="F3229" s="221"/>
      <c r="G3229" s="221"/>
      <c r="H3229" s="221" t="s">
        <v>3004</v>
      </c>
      <c r="I3229" s="221"/>
      <c r="J3229" s="221"/>
      <c r="K3229" s="221">
        <f>K3221</f>
        <v>3258.67</v>
      </c>
      <c r="L3229" s="221"/>
      <c r="M3229" s="221"/>
    </row>
    <row r="3230" spans="5:14" ht="30" customHeight="1">
      <c r="E3230" s="221"/>
      <c r="F3230" s="221">
        <v>1</v>
      </c>
      <c r="G3230" s="221" t="s">
        <v>1414</v>
      </c>
      <c r="H3230" s="221" t="s">
        <v>4394</v>
      </c>
      <c r="I3230" s="222">
        <v>2925</v>
      </c>
      <c r="J3230" s="221" t="s">
        <v>1414</v>
      </c>
      <c r="K3230" s="221">
        <f>F3230*I3230</f>
        <v>2925</v>
      </c>
      <c r="L3230" s="221"/>
      <c r="M3230" s="221"/>
    </row>
    <row r="3231" spans="5:14" ht="30" customHeight="1">
      <c r="E3231" s="221"/>
      <c r="F3231" s="221">
        <v>1</v>
      </c>
      <c r="G3231" s="221" t="s">
        <v>1414</v>
      </c>
      <c r="H3231" s="221" t="s">
        <v>4395</v>
      </c>
      <c r="I3231" s="260">
        <f>I3217</f>
        <v>2190</v>
      </c>
      <c r="J3231" s="221" t="s">
        <v>1414</v>
      </c>
      <c r="K3231" s="221">
        <f>F3231*I3231</f>
        <v>2190</v>
      </c>
      <c r="L3231" s="221"/>
      <c r="M3231" s="221"/>
    </row>
    <row r="3232" spans="5:14" ht="30" customHeight="1">
      <c r="E3232" s="221"/>
      <c r="F3232" s="221"/>
      <c r="G3232" s="221"/>
      <c r="H3232" s="221" t="s">
        <v>2296</v>
      </c>
      <c r="I3232" s="221"/>
      <c r="J3232" s="221"/>
      <c r="K3232" s="221">
        <f>1.31+0.69</f>
        <v>2</v>
      </c>
      <c r="L3232" s="221"/>
      <c r="M3232" s="221"/>
    </row>
    <row r="3233" spans="5:13" ht="30" customHeight="1">
      <c r="E3233" s="221"/>
      <c r="F3233" s="221"/>
      <c r="G3233" s="221"/>
      <c r="H3233" s="228" t="s">
        <v>1080</v>
      </c>
      <c r="I3233" s="221"/>
      <c r="J3233" s="221"/>
      <c r="K3233" s="229">
        <f>K3229+K3230-K3231+K3232</f>
        <v>3995.67</v>
      </c>
      <c r="L3233" s="221"/>
      <c r="M3233" s="221"/>
    </row>
    <row r="3234" spans="5:13" ht="39.75" customHeight="1">
      <c r="E3234" s="221"/>
      <c r="F3234" s="221"/>
      <c r="G3234" s="221"/>
      <c r="H3234" s="221"/>
      <c r="I3234" s="221"/>
      <c r="J3234" s="221"/>
      <c r="K3234" s="221"/>
      <c r="L3234" s="221"/>
      <c r="M3234" s="221"/>
    </row>
    <row r="3235" spans="5:13" ht="24.95" customHeight="1">
      <c r="E3235" s="221"/>
      <c r="F3235" s="221"/>
      <c r="G3235" s="221"/>
      <c r="H3235" s="229" t="s">
        <v>2633</v>
      </c>
      <c r="I3235" s="221"/>
      <c r="J3235" s="221"/>
      <c r="K3235" s="221"/>
      <c r="L3235" s="221"/>
      <c r="M3235" s="221"/>
    </row>
    <row r="3236" spans="5:13">
      <c r="E3236" s="221"/>
      <c r="F3236" s="221"/>
      <c r="G3236" s="221"/>
      <c r="H3236" s="221"/>
      <c r="I3236" s="221"/>
      <c r="J3236" s="221"/>
      <c r="K3236" s="221"/>
      <c r="L3236" s="221"/>
      <c r="M3236" s="221"/>
    </row>
    <row r="3237" spans="5:13" ht="39" customHeight="1">
      <c r="E3237" s="221"/>
      <c r="F3237" s="221"/>
      <c r="G3237" s="221"/>
      <c r="H3237" s="219" t="s">
        <v>3395</v>
      </c>
      <c r="I3237" s="221"/>
      <c r="J3237" s="221"/>
      <c r="K3237" s="221"/>
      <c r="L3237" s="221"/>
      <c r="M3237" s="221"/>
    </row>
    <row r="3238" spans="5:13">
      <c r="E3238" s="221"/>
      <c r="F3238" s="221"/>
      <c r="G3238" s="221"/>
      <c r="H3238" s="221"/>
      <c r="I3238" s="221"/>
      <c r="J3238" s="221"/>
      <c r="K3238" s="221"/>
      <c r="L3238" s="221"/>
      <c r="M3238" s="221"/>
    </row>
    <row r="3239" spans="5:13" ht="95.25" customHeight="1">
      <c r="E3239" s="221"/>
      <c r="F3239" s="221"/>
      <c r="G3239" s="221"/>
      <c r="H3239" s="220" t="s">
        <v>2348</v>
      </c>
      <c r="I3239" s="221"/>
      <c r="J3239" s="221"/>
      <c r="K3239" s="221"/>
      <c r="L3239" s="221"/>
      <c r="M3239" s="221"/>
    </row>
    <row r="3240" spans="5:13" ht="24.95" customHeight="1">
      <c r="E3240" s="221"/>
      <c r="F3240" s="221">
        <v>2</v>
      </c>
      <c r="G3240" s="221" t="s">
        <v>1414</v>
      </c>
      <c r="H3240" s="221" t="s">
        <v>4396</v>
      </c>
      <c r="I3240" s="222">
        <v>527</v>
      </c>
      <c r="J3240" s="221" t="s">
        <v>2919</v>
      </c>
      <c r="K3240" s="221">
        <f>F3240*(I3240/100)</f>
        <v>10.54</v>
      </c>
      <c r="L3240" s="221"/>
      <c r="M3240" s="221"/>
    </row>
    <row r="3241" spans="5:13" ht="24.95" customHeight="1">
      <c r="E3241" s="221"/>
      <c r="F3241" s="221">
        <v>2</v>
      </c>
      <c r="G3241" s="221" t="s">
        <v>835</v>
      </c>
      <c r="H3241" s="221" t="s">
        <v>2349</v>
      </c>
      <c r="I3241" s="274">
        <v>914.1</v>
      </c>
      <c r="J3241" s="221" t="s">
        <v>2350</v>
      </c>
      <c r="K3241" s="221">
        <f>F3241*(I3241/100)</f>
        <v>18.28</v>
      </c>
      <c r="L3241" s="221"/>
      <c r="M3241" s="221"/>
    </row>
    <row r="3242" spans="5:13" ht="24.95" customHeight="1">
      <c r="E3242" s="221"/>
      <c r="F3242" s="221"/>
      <c r="G3242" s="221"/>
      <c r="H3242" s="221" t="s">
        <v>2351</v>
      </c>
      <c r="I3242" s="221"/>
      <c r="J3242" s="221"/>
      <c r="K3242" s="221">
        <v>7.93</v>
      </c>
      <c r="L3242" s="221"/>
      <c r="M3242" s="221"/>
    </row>
    <row r="3243" spans="5:13" ht="24.95" customHeight="1">
      <c r="E3243" s="221"/>
      <c r="F3243" s="221"/>
      <c r="G3243" s="221"/>
      <c r="H3243" s="221" t="s">
        <v>3410</v>
      </c>
      <c r="I3243" s="221"/>
      <c r="J3243" s="221"/>
      <c r="K3243" s="221">
        <f>K3251</f>
        <v>237.25</v>
      </c>
      <c r="L3243" s="221"/>
      <c r="M3243" s="221"/>
    </row>
    <row r="3244" spans="5:13" ht="24.95" customHeight="1">
      <c r="E3244" s="221"/>
      <c r="F3244" s="221"/>
      <c r="G3244" s="221"/>
      <c r="H3244" s="228" t="s">
        <v>1080</v>
      </c>
      <c r="I3244" s="221"/>
      <c r="J3244" s="221"/>
      <c r="K3244" s="229">
        <f>SUM(K3240:K3243)</f>
        <v>274</v>
      </c>
      <c r="L3244" s="221"/>
      <c r="M3244" s="221"/>
    </row>
    <row r="3245" spans="5:13">
      <c r="E3245" s="221"/>
      <c r="F3245" s="221"/>
      <c r="G3245" s="221"/>
      <c r="H3245" s="221"/>
      <c r="I3245" s="221"/>
      <c r="J3245" s="221"/>
      <c r="K3245" s="221"/>
      <c r="L3245" s="221"/>
      <c r="M3245" s="221"/>
    </row>
    <row r="3246" spans="5:13">
      <c r="E3246" s="221"/>
      <c r="F3246" s="221"/>
      <c r="H3246" s="227" t="s">
        <v>3411</v>
      </c>
      <c r="I3246" s="221"/>
      <c r="J3246" s="221"/>
      <c r="K3246" s="221"/>
      <c r="L3246" s="221"/>
      <c r="M3246" s="221"/>
    </row>
    <row r="3247" spans="5:13">
      <c r="E3247" s="221"/>
      <c r="F3247" s="221">
        <v>1</v>
      </c>
      <c r="G3247" s="221" t="s">
        <v>1414</v>
      </c>
      <c r="H3247" s="221" t="s">
        <v>2800</v>
      </c>
      <c r="I3247" s="221">
        <f>I2867</f>
        <v>712</v>
      </c>
      <c r="J3247" s="221" t="s">
        <v>1414</v>
      </c>
      <c r="K3247" s="221">
        <f>F3247*I3247</f>
        <v>712</v>
      </c>
      <c r="L3247" s="221"/>
      <c r="M3247" s="221"/>
    </row>
    <row r="3248" spans="5:13">
      <c r="E3248" s="221"/>
      <c r="F3248" s="221">
        <v>2</v>
      </c>
      <c r="G3248" s="221" t="s">
        <v>1414</v>
      </c>
      <c r="H3248" s="221" t="s">
        <v>2619</v>
      </c>
      <c r="I3248" s="221">
        <f>I2868</f>
        <v>708</v>
      </c>
      <c r="J3248" s="221" t="s">
        <v>1414</v>
      </c>
      <c r="K3248" s="221">
        <f>F3248*I3248</f>
        <v>1416</v>
      </c>
      <c r="L3248" s="221"/>
      <c r="M3248" s="221"/>
    </row>
    <row r="3249" spans="5:13">
      <c r="E3249" s="221"/>
      <c r="F3249" s="221">
        <v>3</v>
      </c>
      <c r="G3249" s="221" t="s">
        <v>1414</v>
      </c>
      <c r="H3249" s="221" t="s">
        <v>3121</v>
      </c>
      <c r="I3249" s="221">
        <f>I2869</f>
        <v>556</v>
      </c>
      <c r="J3249" s="221" t="s">
        <v>1414</v>
      </c>
      <c r="K3249" s="221">
        <f>F3249*I3249</f>
        <v>1668</v>
      </c>
      <c r="L3249" s="221"/>
      <c r="M3249" s="221"/>
    </row>
    <row r="3250" spans="5:13">
      <c r="E3250" s="221"/>
      <c r="F3250" s="221"/>
      <c r="G3250" s="221"/>
      <c r="H3250" s="226" t="s">
        <v>3412</v>
      </c>
      <c r="I3250" s="221"/>
      <c r="J3250" s="221"/>
      <c r="K3250" s="227">
        <f>SUM(K3247:K3249)</f>
        <v>3796</v>
      </c>
      <c r="L3250" s="221"/>
      <c r="M3250" s="221"/>
    </row>
    <row r="3251" spans="5:13">
      <c r="E3251" s="221"/>
      <c r="F3251" s="221"/>
      <c r="G3251" s="221"/>
      <c r="H3251" s="228" t="s">
        <v>2826</v>
      </c>
      <c r="I3251" s="221"/>
      <c r="J3251" s="221"/>
      <c r="K3251" s="229">
        <f>K3250/16</f>
        <v>237.25</v>
      </c>
      <c r="L3251" s="221"/>
      <c r="M3251" s="221"/>
    </row>
    <row r="3252" spans="5:13">
      <c r="E3252" s="221"/>
      <c r="F3252" s="221"/>
      <c r="G3252" s="221"/>
      <c r="H3252" s="221"/>
      <c r="I3252" s="221"/>
      <c r="J3252" s="221"/>
      <c r="K3252" s="221"/>
      <c r="L3252" s="221"/>
      <c r="M3252" s="221"/>
    </row>
    <row r="3253" spans="5:13">
      <c r="E3253" s="221"/>
      <c r="F3253" s="221"/>
      <c r="G3253" s="221"/>
      <c r="H3253" s="229" t="s">
        <v>3413</v>
      </c>
      <c r="I3253" s="221"/>
      <c r="J3253" s="221"/>
      <c r="K3253" s="221"/>
      <c r="L3253" s="221"/>
      <c r="M3253" s="221"/>
    </row>
    <row r="3254" spans="5:13" ht="36" customHeight="1">
      <c r="E3254" s="221"/>
      <c r="F3254" s="221"/>
      <c r="G3254" s="221"/>
      <c r="H3254" s="219" t="s">
        <v>3414</v>
      </c>
      <c r="I3254" s="221"/>
      <c r="J3254" s="221"/>
      <c r="K3254" s="221"/>
      <c r="L3254" s="221"/>
      <c r="M3254" s="221"/>
    </row>
    <row r="3255" spans="5:13">
      <c r="E3255" s="221"/>
      <c r="F3255" s="221"/>
      <c r="G3255" s="221"/>
      <c r="H3255" s="221"/>
      <c r="I3255" s="221"/>
      <c r="J3255" s="221"/>
      <c r="K3255" s="221"/>
      <c r="L3255" s="221"/>
      <c r="M3255" s="221"/>
    </row>
    <row r="3256" spans="5:13" ht="112.5" customHeight="1">
      <c r="E3256" s="221"/>
      <c r="F3256" s="221"/>
      <c r="G3256" s="221"/>
      <c r="H3256" s="220" t="s">
        <v>2775</v>
      </c>
      <c r="I3256" s="221"/>
      <c r="J3256" s="221"/>
      <c r="K3256" s="221"/>
      <c r="L3256" s="221"/>
      <c r="M3256" s="221"/>
    </row>
    <row r="3257" spans="5:13">
      <c r="E3257" s="221"/>
      <c r="F3257" s="221">
        <v>1.5</v>
      </c>
      <c r="G3257" s="221" t="s">
        <v>835</v>
      </c>
      <c r="H3257" s="221" t="s">
        <v>3951</v>
      </c>
      <c r="I3257" s="222">
        <v>27.2</v>
      </c>
      <c r="J3257" s="221" t="s">
        <v>835</v>
      </c>
      <c r="K3257" s="221">
        <f>F3257*I3257</f>
        <v>40.799999999999997</v>
      </c>
      <c r="L3257" s="221"/>
      <c r="M3257" s="221"/>
    </row>
    <row r="3258" spans="5:13">
      <c r="E3258" s="221"/>
      <c r="F3258" s="221">
        <v>2</v>
      </c>
      <c r="G3258" s="221" t="s">
        <v>1414</v>
      </c>
      <c r="H3258" s="221" t="s">
        <v>2776</v>
      </c>
      <c r="I3258" s="221">
        <f>I3240</f>
        <v>527</v>
      </c>
      <c r="J3258" s="221" t="s">
        <v>2919</v>
      </c>
      <c r="K3258" s="221">
        <f>F3258*(I3258/100)</f>
        <v>10.54</v>
      </c>
      <c r="L3258" s="221"/>
      <c r="M3258" s="221"/>
    </row>
    <row r="3259" spans="5:13">
      <c r="E3259" s="221"/>
      <c r="F3259" s="221">
        <v>2</v>
      </c>
      <c r="G3259" s="221" t="s">
        <v>835</v>
      </c>
      <c r="H3259" s="221" t="s">
        <v>2349</v>
      </c>
      <c r="I3259" s="221">
        <f>I3241</f>
        <v>914.1</v>
      </c>
      <c r="J3259" s="221" t="s">
        <v>835</v>
      </c>
      <c r="K3259" s="221">
        <f>F3259*(I3259/100)</f>
        <v>18.28</v>
      </c>
      <c r="L3259" s="221"/>
      <c r="M3259" s="221"/>
    </row>
    <row r="3260" spans="5:13" ht="31.5" customHeight="1">
      <c r="E3260" s="221"/>
      <c r="F3260" s="221"/>
      <c r="G3260" s="221"/>
      <c r="H3260" s="220" t="s">
        <v>2777</v>
      </c>
      <c r="I3260" s="221"/>
      <c r="J3260" s="221"/>
      <c r="K3260" s="221">
        <v>5.98</v>
      </c>
      <c r="L3260" s="221"/>
      <c r="M3260" s="221"/>
    </row>
    <row r="3261" spans="5:13">
      <c r="E3261" s="221"/>
      <c r="F3261" s="221"/>
      <c r="G3261" s="221"/>
      <c r="H3261" s="221" t="s">
        <v>924</v>
      </c>
      <c r="I3261" s="221"/>
      <c r="J3261" s="221"/>
      <c r="K3261" s="221">
        <f>K3269</f>
        <v>379.6</v>
      </c>
      <c r="L3261" s="221"/>
      <c r="M3261" s="221"/>
    </row>
    <row r="3262" spans="5:13" ht="24.95" customHeight="1">
      <c r="E3262" s="221"/>
      <c r="F3262" s="221"/>
      <c r="G3262" s="221"/>
      <c r="H3262" s="228" t="s">
        <v>1080</v>
      </c>
      <c r="I3262" s="221"/>
      <c r="J3262" s="221"/>
      <c r="K3262" s="229">
        <f>SUM(K3257:K3261)</f>
        <v>455.2</v>
      </c>
      <c r="L3262" s="221"/>
      <c r="M3262" s="221"/>
    </row>
    <row r="3263" spans="5:13">
      <c r="E3263" s="221"/>
      <c r="F3263" s="221"/>
      <c r="G3263" s="221"/>
      <c r="H3263" s="221"/>
      <c r="I3263" s="221"/>
      <c r="J3263" s="221"/>
      <c r="K3263" s="221"/>
      <c r="L3263" s="221"/>
      <c r="M3263" s="221"/>
    </row>
    <row r="3264" spans="5:13">
      <c r="E3264" s="221"/>
      <c r="F3264" s="221"/>
      <c r="G3264" s="221"/>
      <c r="H3264" s="229" t="s">
        <v>142</v>
      </c>
      <c r="I3264" s="221"/>
      <c r="J3264" s="221"/>
      <c r="K3264" s="221"/>
      <c r="L3264" s="221"/>
      <c r="M3264" s="221"/>
    </row>
    <row r="3265" spans="5:13">
      <c r="E3265" s="221"/>
      <c r="F3265" s="221">
        <v>1</v>
      </c>
      <c r="G3265" s="221" t="s">
        <v>1414</v>
      </c>
      <c r="H3265" s="221" t="s">
        <v>2800</v>
      </c>
      <c r="I3265" s="221">
        <f>I3247</f>
        <v>712</v>
      </c>
      <c r="J3265" s="221" t="s">
        <v>1414</v>
      </c>
      <c r="K3265" s="221">
        <f>F3265*I3265</f>
        <v>712</v>
      </c>
      <c r="L3265" s="221"/>
      <c r="M3265" s="221"/>
    </row>
    <row r="3266" spans="5:13">
      <c r="E3266" s="221"/>
      <c r="F3266" s="221">
        <v>2</v>
      </c>
      <c r="G3266" s="221" t="s">
        <v>1414</v>
      </c>
      <c r="H3266" s="221" t="s">
        <v>2619</v>
      </c>
      <c r="I3266" s="221">
        <f>I3248</f>
        <v>708</v>
      </c>
      <c r="J3266" s="221" t="s">
        <v>1414</v>
      </c>
      <c r="K3266" s="221">
        <f>F3266*I3266</f>
        <v>1416</v>
      </c>
      <c r="L3266" s="221"/>
      <c r="M3266" s="221"/>
    </row>
    <row r="3267" spans="5:13">
      <c r="E3267" s="221"/>
      <c r="F3267" s="221">
        <v>3</v>
      </c>
      <c r="G3267" s="221" t="s">
        <v>1414</v>
      </c>
      <c r="H3267" s="221" t="s">
        <v>3121</v>
      </c>
      <c r="I3267" s="221">
        <f>I3249</f>
        <v>556</v>
      </c>
      <c r="J3267" s="221" t="s">
        <v>1414</v>
      </c>
      <c r="K3267" s="221">
        <f>F3267*I3267</f>
        <v>1668</v>
      </c>
      <c r="L3267" s="221"/>
      <c r="M3267" s="221"/>
    </row>
    <row r="3268" spans="5:13">
      <c r="E3268" s="221"/>
      <c r="F3268" s="221"/>
      <c r="G3268" s="221"/>
      <c r="H3268" s="226" t="s">
        <v>2778</v>
      </c>
      <c r="I3268" s="221"/>
      <c r="J3268" s="221"/>
      <c r="K3268" s="227">
        <f>SUM(K3265:K3267)</f>
        <v>3796</v>
      </c>
      <c r="L3268" s="221"/>
      <c r="M3268" s="221"/>
    </row>
    <row r="3269" spans="5:13">
      <c r="E3269" s="221"/>
      <c r="F3269" s="221"/>
      <c r="G3269" s="221"/>
      <c r="H3269" s="228" t="s">
        <v>2826</v>
      </c>
      <c r="I3269" s="221"/>
      <c r="J3269" s="221"/>
      <c r="K3269" s="229">
        <f>K3268/10</f>
        <v>379.6</v>
      </c>
      <c r="L3269" s="221"/>
      <c r="M3269" s="221"/>
    </row>
    <row r="3270" spans="5:13">
      <c r="E3270" s="221"/>
      <c r="F3270" s="221"/>
      <c r="G3270" s="221"/>
      <c r="H3270" s="221"/>
      <c r="I3270" s="221"/>
      <c r="J3270" s="221"/>
      <c r="K3270" s="221"/>
      <c r="L3270" s="221"/>
      <c r="M3270" s="221"/>
    </row>
    <row r="3271" spans="5:13">
      <c r="E3271" s="221"/>
      <c r="F3271" s="221"/>
      <c r="G3271" s="221"/>
      <c r="H3271" s="229" t="s">
        <v>3449</v>
      </c>
      <c r="I3271" s="221"/>
      <c r="J3271" s="221"/>
      <c r="K3271" s="221"/>
      <c r="L3271" s="221"/>
      <c r="M3271" s="221"/>
    </row>
    <row r="3272" spans="5:13" ht="83.25" customHeight="1">
      <c r="E3272" s="221"/>
      <c r="F3272" s="221"/>
      <c r="G3272" s="221"/>
      <c r="H3272" s="220" t="s">
        <v>3160</v>
      </c>
      <c r="I3272" s="221"/>
      <c r="J3272" s="221"/>
      <c r="K3272" s="221"/>
      <c r="L3272" s="221"/>
      <c r="M3272" s="221"/>
    </row>
    <row r="3273" spans="5:13">
      <c r="E3273" s="221"/>
      <c r="F3273" s="221"/>
      <c r="G3273" s="221"/>
      <c r="H3273" s="221"/>
      <c r="I3273" s="221"/>
      <c r="J3273" s="221"/>
      <c r="K3273" s="221"/>
      <c r="L3273" s="221"/>
      <c r="M3273" s="221"/>
    </row>
    <row r="3274" spans="5:13" ht="22.5" customHeight="1">
      <c r="E3274" s="221"/>
      <c r="F3274" s="221">
        <v>1</v>
      </c>
      <c r="G3274" s="221" t="s">
        <v>835</v>
      </c>
      <c r="H3274" s="221" t="s">
        <v>2349</v>
      </c>
      <c r="I3274" s="221">
        <f>I3259</f>
        <v>914.1</v>
      </c>
      <c r="J3274" s="221" t="s">
        <v>3161</v>
      </c>
      <c r="K3274" s="221">
        <f>F3274*(I3274/100)</f>
        <v>9.14</v>
      </c>
      <c r="L3274" s="221"/>
      <c r="M3274" s="221"/>
    </row>
    <row r="3275" spans="5:13" ht="24.95" customHeight="1">
      <c r="E3275" s="221"/>
      <c r="F3275" s="221"/>
      <c r="G3275" s="221"/>
      <c r="H3275" s="221" t="s">
        <v>142</v>
      </c>
      <c r="I3275" s="221"/>
      <c r="J3275" s="221"/>
      <c r="K3275" s="221">
        <f>K3282</f>
        <v>506.4</v>
      </c>
      <c r="L3275" s="221"/>
      <c r="M3275" s="221"/>
    </row>
    <row r="3276" spans="5:13" ht="24.95" customHeight="1">
      <c r="E3276" s="221"/>
      <c r="F3276" s="221"/>
      <c r="G3276" s="221"/>
      <c r="H3276" s="221" t="s">
        <v>2352</v>
      </c>
      <c r="J3276" s="221"/>
      <c r="K3276" s="221">
        <v>4.8600000000000003</v>
      </c>
      <c r="L3276" s="221"/>
      <c r="M3276" s="221"/>
    </row>
    <row r="3277" spans="5:13" ht="24.95" customHeight="1">
      <c r="E3277" s="221"/>
      <c r="F3277" s="221"/>
      <c r="G3277" s="221"/>
      <c r="H3277" s="227" t="s">
        <v>3162</v>
      </c>
      <c r="I3277" s="229" t="s">
        <v>1080</v>
      </c>
      <c r="J3277" s="221"/>
      <c r="K3277" s="229">
        <f>SUM(K3274:K3276)</f>
        <v>520.4</v>
      </c>
      <c r="L3277" s="221">
        <f>304-K3277</f>
        <v>-216.4</v>
      </c>
      <c r="M3277" s="221"/>
    </row>
    <row r="3278" spans="5:13" ht="21" customHeight="1">
      <c r="E3278" s="221"/>
      <c r="F3278" s="221">
        <v>1</v>
      </c>
      <c r="G3278" s="221" t="s">
        <v>1414</v>
      </c>
      <c r="H3278" s="221" t="s">
        <v>2800</v>
      </c>
      <c r="I3278" s="221">
        <f>I3265</f>
        <v>712</v>
      </c>
      <c r="J3278" s="221" t="s">
        <v>1414</v>
      </c>
      <c r="K3278" s="221">
        <f>F3278*I3278</f>
        <v>712</v>
      </c>
      <c r="L3278" s="221"/>
      <c r="M3278" s="221"/>
    </row>
    <row r="3279" spans="5:13" ht="21" customHeight="1">
      <c r="E3279" s="221"/>
      <c r="F3279" s="221">
        <v>1</v>
      </c>
      <c r="G3279" s="221" t="s">
        <v>1414</v>
      </c>
      <c r="H3279" s="221" t="s">
        <v>2619</v>
      </c>
      <c r="I3279" s="221">
        <f>I3266</f>
        <v>708</v>
      </c>
      <c r="J3279" s="221" t="s">
        <v>1414</v>
      </c>
      <c r="K3279" s="221">
        <f>F3279*I3279</f>
        <v>708</v>
      </c>
      <c r="L3279" s="221"/>
      <c r="M3279" s="221"/>
    </row>
    <row r="3280" spans="5:13" ht="21" customHeight="1">
      <c r="E3280" s="221"/>
      <c r="F3280" s="221">
        <v>2</v>
      </c>
      <c r="G3280" s="221" t="s">
        <v>1414</v>
      </c>
      <c r="H3280" s="221" t="s">
        <v>3121</v>
      </c>
      <c r="I3280" s="221">
        <f>I3267</f>
        <v>556</v>
      </c>
      <c r="J3280" s="221" t="s">
        <v>1414</v>
      </c>
      <c r="K3280" s="221">
        <f>F3280*I3280</f>
        <v>1112</v>
      </c>
      <c r="L3280" s="221"/>
      <c r="M3280" s="221"/>
    </row>
    <row r="3281" spans="5:13" ht="24.95" customHeight="1">
      <c r="E3281" s="221"/>
      <c r="F3281" s="221"/>
      <c r="G3281" s="221"/>
      <c r="H3281" s="226" t="s">
        <v>3163</v>
      </c>
      <c r="I3281" s="221"/>
      <c r="J3281" s="221"/>
      <c r="K3281" s="227">
        <f>SUM(K3278:K3280)</f>
        <v>2532</v>
      </c>
      <c r="L3281" s="221"/>
      <c r="M3281" s="221"/>
    </row>
    <row r="3282" spans="5:13" ht="19.5" customHeight="1">
      <c r="E3282" s="221"/>
      <c r="F3282" s="221"/>
      <c r="G3282" s="221"/>
      <c r="H3282" s="228" t="s">
        <v>1080</v>
      </c>
      <c r="I3282" s="221"/>
      <c r="J3282" s="221"/>
      <c r="K3282" s="229">
        <f>K3281/5</f>
        <v>506.4</v>
      </c>
      <c r="L3282" s="221"/>
      <c r="M3282" s="221"/>
    </row>
    <row r="3283" spans="5:13" ht="24.95" customHeight="1">
      <c r="E3283" s="221"/>
      <c r="F3283" s="221"/>
      <c r="G3283" s="221"/>
      <c r="H3283" s="239" t="s">
        <v>3164</v>
      </c>
      <c r="I3283" s="221"/>
      <c r="J3283" s="221"/>
      <c r="K3283" s="221"/>
      <c r="L3283" s="221"/>
      <c r="M3283" s="221"/>
    </row>
    <row r="3284" spans="5:13">
      <c r="E3284" s="221"/>
      <c r="F3284" s="221"/>
      <c r="G3284" s="221"/>
      <c r="H3284" s="229" t="s">
        <v>3165</v>
      </c>
      <c r="I3284" s="221"/>
      <c r="J3284" s="221"/>
      <c r="K3284" s="221"/>
      <c r="L3284" s="221"/>
      <c r="M3284" s="221"/>
    </row>
    <row r="3285" spans="5:13">
      <c r="E3285" s="221"/>
      <c r="F3285" s="221"/>
      <c r="G3285" s="221"/>
      <c r="H3285" s="229" t="s">
        <v>3166</v>
      </c>
      <c r="I3285" s="221"/>
      <c r="J3285" s="221"/>
      <c r="K3285" s="221"/>
      <c r="L3285" s="221"/>
      <c r="M3285" s="221"/>
    </row>
    <row r="3286" spans="5:13">
      <c r="E3286" s="221"/>
      <c r="F3286" s="221"/>
      <c r="G3286" s="221"/>
      <c r="H3286" s="230" t="s">
        <v>3167</v>
      </c>
      <c r="I3286" s="221"/>
      <c r="J3286" s="221"/>
      <c r="K3286" s="221"/>
      <c r="L3286" s="221"/>
      <c r="M3286" s="221"/>
    </row>
    <row r="3287" spans="5:13" ht="68.25" customHeight="1">
      <c r="E3287" s="221"/>
      <c r="F3287" s="221"/>
      <c r="G3287" s="221"/>
      <c r="H3287" s="220" t="s">
        <v>3501</v>
      </c>
      <c r="I3287" s="221"/>
      <c r="J3287" s="221"/>
      <c r="K3287" s="221"/>
      <c r="L3287" s="221"/>
      <c r="M3287" s="221"/>
    </row>
    <row r="3288" spans="5:13">
      <c r="E3288" s="221"/>
      <c r="F3288" s="221"/>
      <c r="G3288" s="221"/>
      <c r="H3288" s="221"/>
      <c r="I3288" s="221"/>
      <c r="J3288" s="221"/>
      <c r="K3288" s="221"/>
      <c r="L3288" s="221"/>
      <c r="M3288" s="221"/>
    </row>
    <row r="3289" spans="5:13">
      <c r="E3289" s="221"/>
      <c r="F3289" s="221">
        <v>9.5</v>
      </c>
      <c r="G3289" s="221" t="s">
        <v>1670</v>
      </c>
      <c r="H3289" s="221" t="s">
        <v>4399</v>
      </c>
      <c r="I3289" s="222">
        <v>79.7</v>
      </c>
      <c r="J3289" s="221" t="s">
        <v>1670</v>
      </c>
      <c r="K3289" s="221">
        <f>F3289*I3289</f>
        <v>757.15</v>
      </c>
      <c r="L3289" s="221"/>
      <c r="M3289" s="221"/>
    </row>
    <row r="3290" spans="5:13">
      <c r="E3290" s="221"/>
      <c r="F3290" s="221">
        <v>0.5</v>
      </c>
      <c r="G3290" s="221" t="s">
        <v>1670</v>
      </c>
      <c r="H3290" s="221" t="s">
        <v>4117</v>
      </c>
      <c r="I3290" s="222">
        <v>19.22</v>
      </c>
      <c r="J3290" s="221"/>
      <c r="K3290" s="221">
        <f>F3290*I3290</f>
        <v>9.61</v>
      </c>
      <c r="L3290" s="221"/>
      <c r="M3290" s="221"/>
    </row>
    <row r="3291" spans="5:13">
      <c r="E3291" s="221"/>
      <c r="F3291" s="221"/>
      <c r="G3291" s="221"/>
      <c r="H3291" s="221" t="s">
        <v>1847</v>
      </c>
      <c r="I3291" s="221"/>
      <c r="J3291" s="221"/>
      <c r="K3291" s="221">
        <f>K3299</f>
        <v>1268</v>
      </c>
      <c r="L3291" s="221"/>
      <c r="M3291" s="221"/>
    </row>
    <row r="3292" spans="5:13">
      <c r="E3292" s="221"/>
      <c r="F3292" s="221"/>
      <c r="G3292" s="221"/>
      <c r="H3292" s="221" t="s">
        <v>2296</v>
      </c>
      <c r="I3292" s="221"/>
      <c r="J3292" s="221"/>
      <c r="K3292" s="221">
        <v>7.24</v>
      </c>
      <c r="L3292" s="221"/>
      <c r="M3292" s="221"/>
    </row>
    <row r="3293" spans="5:13">
      <c r="E3293" s="221"/>
      <c r="F3293" s="221"/>
      <c r="G3293" s="221"/>
      <c r="H3293" s="226" t="s">
        <v>3417</v>
      </c>
      <c r="I3293" s="221"/>
      <c r="J3293" s="221"/>
      <c r="K3293" s="227">
        <f>SUM(K3289:K3292)</f>
        <v>2042</v>
      </c>
      <c r="L3293" s="221"/>
      <c r="M3293" s="221"/>
    </row>
    <row r="3294" spans="5:13">
      <c r="E3294" s="221"/>
      <c r="F3294" s="221"/>
      <c r="G3294" s="221"/>
      <c r="H3294" s="228" t="s">
        <v>2795</v>
      </c>
      <c r="I3294" s="221"/>
      <c r="J3294" s="221"/>
      <c r="K3294" s="229">
        <f>K3293/90</f>
        <v>22.69</v>
      </c>
      <c r="L3294" s="221"/>
      <c r="M3294" s="221"/>
    </row>
    <row r="3295" spans="5:13">
      <c r="E3295" s="221"/>
      <c r="F3295" s="221"/>
      <c r="G3295" s="221"/>
      <c r="H3295" s="221"/>
      <c r="I3295" s="221"/>
      <c r="J3295" s="221"/>
      <c r="K3295" s="221"/>
      <c r="L3295" s="221"/>
      <c r="M3295" s="221"/>
    </row>
    <row r="3296" spans="5:13">
      <c r="E3296" s="221"/>
      <c r="F3296" s="221"/>
      <c r="G3296" s="221"/>
      <c r="H3296" s="227" t="s">
        <v>2677</v>
      </c>
      <c r="I3296" s="221"/>
      <c r="J3296" s="221"/>
      <c r="K3296" s="221"/>
      <c r="L3296" s="221"/>
      <c r="M3296" s="221"/>
    </row>
    <row r="3297" spans="5:13">
      <c r="E3297" s="221"/>
      <c r="F3297" s="221">
        <v>1</v>
      </c>
      <c r="G3297" s="221"/>
      <c r="H3297" s="221" t="s">
        <v>2800</v>
      </c>
      <c r="I3297" s="221">
        <f>I3278</f>
        <v>712</v>
      </c>
      <c r="J3297" s="221" t="s">
        <v>1414</v>
      </c>
      <c r="K3297" s="221">
        <f>F3297*I3297</f>
        <v>712</v>
      </c>
      <c r="L3297" s="221"/>
      <c r="M3297" s="221"/>
    </row>
    <row r="3298" spans="5:13">
      <c r="E3298" s="221"/>
      <c r="F3298" s="221">
        <v>1</v>
      </c>
      <c r="G3298" s="221"/>
      <c r="H3298" s="221" t="s">
        <v>3121</v>
      </c>
      <c r="I3298" s="221">
        <f>I3280</f>
        <v>556</v>
      </c>
      <c r="J3298" s="221" t="s">
        <v>1414</v>
      </c>
      <c r="K3298" s="221">
        <f>F3298*I3298</f>
        <v>556</v>
      </c>
      <c r="L3298" s="221"/>
      <c r="M3298" s="221"/>
    </row>
    <row r="3299" spans="5:13">
      <c r="E3299" s="221"/>
      <c r="F3299" s="221"/>
      <c r="G3299" s="221"/>
      <c r="H3299" s="221"/>
      <c r="I3299" s="221"/>
      <c r="J3299" s="221"/>
      <c r="K3299" s="229">
        <f>SUM(K3297:K3298)</f>
        <v>1268</v>
      </c>
      <c r="L3299" s="221"/>
      <c r="M3299" s="221"/>
    </row>
    <row r="3300" spans="5:13">
      <c r="E3300" s="221"/>
      <c r="F3300" s="221" t="s">
        <v>2678</v>
      </c>
      <c r="G3300" s="221"/>
      <c r="H3300" s="221"/>
      <c r="I3300" s="221"/>
      <c r="J3300" s="221"/>
      <c r="K3300" s="221"/>
      <c r="L3300" s="221"/>
      <c r="M3300" s="221"/>
    </row>
    <row r="3301" spans="5:13">
      <c r="E3301" s="221"/>
      <c r="F3301" s="221"/>
      <c r="G3301" s="221"/>
      <c r="H3301" s="221"/>
      <c r="I3301" s="221"/>
      <c r="J3301" s="221"/>
      <c r="K3301" s="221"/>
      <c r="L3301" s="221"/>
      <c r="M3301" s="221"/>
    </row>
    <row r="3302" spans="5:13">
      <c r="E3302" s="221"/>
      <c r="F3302" s="221"/>
      <c r="G3302" s="221"/>
      <c r="H3302" s="229" t="s">
        <v>2679</v>
      </c>
      <c r="I3302" s="221"/>
      <c r="J3302" s="221"/>
      <c r="K3302" s="221"/>
      <c r="L3302" s="221"/>
      <c r="M3302" s="221"/>
    </row>
    <row r="3303" spans="5:13">
      <c r="E3303" s="221"/>
      <c r="F3303" s="221"/>
      <c r="G3303" s="221"/>
      <c r="H3303" s="229" t="s">
        <v>2680</v>
      </c>
      <c r="I3303" s="221"/>
      <c r="J3303" s="221"/>
      <c r="K3303" s="221"/>
      <c r="L3303" s="221"/>
      <c r="M3303" s="221"/>
    </row>
    <row r="3304" spans="5:13">
      <c r="E3304" s="221"/>
      <c r="F3304" s="221"/>
      <c r="G3304" s="221"/>
      <c r="H3304" s="221"/>
      <c r="I3304" s="221"/>
      <c r="J3304" s="221"/>
      <c r="K3304" s="221"/>
      <c r="L3304" s="221"/>
      <c r="M3304" s="221"/>
    </row>
    <row r="3305" spans="5:13" ht="57" customHeight="1">
      <c r="E3305" s="221"/>
      <c r="F3305" s="221"/>
      <c r="G3305" s="221"/>
      <c r="H3305" s="220" t="s">
        <v>2681</v>
      </c>
      <c r="I3305" s="221"/>
      <c r="J3305" s="221"/>
      <c r="K3305" s="221"/>
      <c r="L3305" s="221"/>
      <c r="M3305" s="221"/>
    </row>
    <row r="3306" spans="5:13">
      <c r="E3306" s="221"/>
      <c r="F3306" s="221">
        <v>2.5</v>
      </c>
      <c r="G3306" s="221" t="s">
        <v>835</v>
      </c>
      <c r="H3306" s="221" t="s">
        <v>2682</v>
      </c>
      <c r="I3306" s="222">
        <f>Elec.Data!I3306</f>
        <v>163</v>
      </c>
      <c r="J3306" s="221" t="s">
        <v>835</v>
      </c>
      <c r="K3306" s="221">
        <f>F3306*I3306</f>
        <v>407.5</v>
      </c>
      <c r="L3306" s="221"/>
      <c r="M3306" s="221"/>
    </row>
    <row r="3307" spans="5:13">
      <c r="E3307" s="221"/>
      <c r="F3307" s="221">
        <v>1</v>
      </c>
      <c r="G3307" s="221" t="s">
        <v>835</v>
      </c>
      <c r="H3307" s="221" t="s">
        <v>2683</v>
      </c>
      <c r="I3307" s="222">
        <f>Elec.Data!I3307</f>
        <v>98.6</v>
      </c>
      <c r="J3307" s="221" t="s">
        <v>835</v>
      </c>
      <c r="K3307" s="221">
        <f>F3307*I3307</f>
        <v>98.6</v>
      </c>
      <c r="L3307" s="221"/>
      <c r="M3307" s="221"/>
    </row>
    <row r="3308" spans="5:13">
      <c r="E3308" s="221"/>
      <c r="F3308" s="221">
        <v>1</v>
      </c>
      <c r="G3308" s="221" t="s">
        <v>835</v>
      </c>
      <c r="H3308" s="221" t="s">
        <v>2684</v>
      </c>
      <c r="I3308" s="222">
        <f>Elec.Data!I3308</f>
        <v>69.8</v>
      </c>
      <c r="J3308" s="221" t="s">
        <v>835</v>
      </c>
      <c r="K3308" s="221">
        <f>F3308*I3308</f>
        <v>69.8</v>
      </c>
      <c r="L3308" s="221"/>
      <c r="M3308" s="221"/>
    </row>
    <row r="3309" spans="5:13">
      <c r="E3309" s="221"/>
      <c r="F3309" s="221">
        <v>1</v>
      </c>
      <c r="G3309" s="221" t="s">
        <v>1414</v>
      </c>
      <c r="H3309" s="221" t="s">
        <v>3906</v>
      </c>
      <c r="I3309" s="222">
        <f>Elec.Data!I3309</f>
        <v>52</v>
      </c>
      <c r="J3309" s="221" t="s">
        <v>1414</v>
      </c>
      <c r="K3309" s="221">
        <f>F3309*I3309</f>
        <v>52</v>
      </c>
      <c r="L3309" s="221"/>
      <c r="M3309" s="221"/>
    </row>
    <row r="3310" spans="5:13">
      <c r="E3310" s="221"/>
      <c r="F3310" s="221">
        <v>1</v>
      </c>
      <c r="G3310" s="221" t="s">
        <v>282</v>
      </c>
      <c r="H3310" s="221" t="s">
        <v>2685</v>
      </c>
      <c r="I3310" s="222" t="str">
        <f>Elec.Data!I3310</f>
        <v>LS</v>
      </c>
      <c r="J3310" s="221" t="s">
        <v>282</v>
      </c>
      <c r="K3310" s="221">
        <v>15</v>
      </c>
      <c r="L3310" s="221"/>
      <c r="M3310" s="221"/>
    </row>
    <row r="3311" spans="5:13">
      <c r="E3311" s="221"/>
      <c r="F3311" s="221"/>
      <c r="G3311" s="221" t="s">
        <v>663</v>
      </c>
      <c r="H3311" s="221" t="s">
        <v>2686</v>
      </c>
      <c r="I3311" s="222" t="str">
        <f>Elec.Data!I3311</f>
        <v>LS</v>
      </c>
      <c r="J3311" s="221" t="s">
        <v>663</v>
      </c>
      <c r="K3311" s="221">
        <v>150</v>
      </c>
      <c r="L3311" s="221"/>
      <c r="M3311" s="221"/>
    </row>
    <row r="3312" spans="5:13">
      <c r="E3312" s="221"/>
      <c r="F3312" s="221">
        <v>1</v>
      </c>
      <c r="G3312" s="221" t="s">
        <v>1414</v>
      </c>
      <c r="H3312" s="221" t="s">
        <v>2687</v>
      </c>
      <c r="I3312" s="222">
        <f>Elec.Data!I3312</f>
        <v>100</v>
      </c>
      <c r="J3312" s="221" t="s">
        <v>1414</v>
      </c>
      <c r="K3312" s="221">
        <f>F3312*I3312</f>
        <v>100</v>
      </c>
      <c r="L3312" s="221"/>
      <c r="M3312" s="221"/>
    </row>
    <row r="3313" spans="5:13">
      <c r="E3313" s="221"/>
      <c r="F3313" s="221">
        <v>40</v>
      </c>
      <c r="G3313" s="221" t="s">
        <v>1670</v>
      </c>
      <c r="H3313" s="221" t="s">
        <v>2688</v>
      </c>
      <c r="I3313" s="222">
        <f>Elec.Data!I3313</f>
        <v>4.96</v>
      </c>
      <c r="J3313" s="221" t="s">
        <v>1670</v>
      </c>
      <c r="K3313" s="221">
        <f>F3313*I3313</f>
        <v>198.4</v>
      </c>
      <c r="L3313" s="221"/>
      <c r="M3313" s="221"/>
    </row>
    <row r="3314" spans="5:13">
      <c r="E3314" s="221"/>
      <c r="F3314" s="221">
        <v>2</v>
      </c>
      <c r="G3314" s="221" t="s">
        <v>1414</v>
      </c>
      <c r="H3314" s="221" t="s">
        <v>2689</v>
      </c>
      <c r="I3314" s="222">
        <f>Elec.Data!I3314</f>
        <v>13.6</v>
      </c>
      <c r="J3314" s="221" t="s">
        <v>1414</v>
      </c>
      <c r="K3314" s="221">
        <f>F3314*I3314</f>
        <v>27.2</v>
      </c>
      <c r="L3314" s="221"/>
      <c r="M3314" s="221"/>
    </row>
    <row r="3315" spans="5:13">
      <c r="E3315" s="221"/>
      <c r="F3315" s="221">
        <v>4</v>
      </c>
      <c r="G3315" s="221" t="s">
        <v>1414</v>
      </c>
      <c r="H3315" s="221" t="s">
        <v>2690</v>
      </c>
      <c r="I3315" s="222">
        <f>Elec.Data!I3315</f>
        <v>13.6</v>
      </c>
      <c r="J3315" s="221" t="s">
        <v>1414</v>
      </c>
      <c r="K3315" s="221">
        <f>F3315*I3315</f>
        <v>54.4</v>
      </c>
      <c r="L3315" s="221"/>
      <c r="M3315" s="221"/>
    </row>
    <row r="3316" spans="5:13">
      <c r="E3316" s="221"/>
      <c r="F3316" s="221">
        <v>10</v>
      </c>
      <c r="G3316" s="221" t="s">
        <v>1670</v>
      </c>
      <c r="H3316" s="221" t="s">
        <v>2691</v>
      </c>
      <c r="I3316" s="222">
        <f>Elec.Data!I3316</f>
        <v>3.7</v>
      </c>
      <c r="J3316" s="221" t="s">
        <v>1670</v>
      </c>
      <c r="K3316" s="221">
        <f>F3316*I3316</f>
        <v>37</v>
      </c>
      <c r="L3316" s="221"/>
      <c r="M3316" s="221"/>
    </row>
    <row r="3317" spans="5:13">
      <c r="E3317" s="221"/>
      <c r="F3317" s="221"/>
      <c r="G3317" s="221"/>
      <c r="H3317" s="221" t="s">
        <v>2296</v>
      </c>
      <c r="I3317" s="221"/>
      <c r="J3317" s="221"/>
      <c r="K3317" s="221">
        <v>11.85</v>
      </c>
      <c r="L3317" s="221"/>
      <c r="M3317" s="221"/>
    </row>
    <row r="3318" spans="5:13">
      <c r="E3318" s="221"/>
      <c r="F3318" s="221"/>
      <c r="G3318" s="221"/>
      <c r="H3318" s="221" t="s">
        <v>924</v>
      </c>
      <c r="I3318" s="221"/>
      <c r="J3318" s="221"/>
      <c r="K3318" s="230">
        <f>K3324</f>
        <v>1268</v>
      </c>
      <c r="L3318" s="221"/>
      <c r="M3318" s="221"/>
    </row>
    <row r="3319" spans="5:13">
      <c r="E3319" s="221"/>
      <c r="F3319" s="221"/>
      <c r="G3319" s="221"/>
      <c r="H3319" s="228" t="s">
        <v>1080</v>
      </c>
      <c r="I3319" s="221"/>
      <c r="J3319" s="221"/>
      <c r="K3319" s="229">
        <f>SUM(K3306:K3318)</f>
        <v>2489.75</v>
      </c>
      <c r="L3319" s="221">
        <f>2035-K3319</f>
        <v>-454.75</v>
      </c>
      <c r="M3319" s="221"/>
    </row>
    <row r="3320" spans="5:13">
      <c r="E3320" s="221"/>
      <c r="F3320" s="221"/>
      <c r="G3320" s="221"/>
      <c r="H3320" s="221"/>
      <c r="I3320" s="221"/>
      <c r="J3320" s="221"/>
      <c r="K3320" s="221"/>
      <c r="L3320" s="221"/>
      <c r="M3320" s="221"/>
    </row>
    <row r="3321" spans="5:13">
      <c r="E3321" s="221"/>
      <c r="F3321" s="221"/>
      <c r="G3321" s="221"/>
      <c r="H3321" s="227" t="s">
        <v>924</v>
      </c>
      <c r="I3321" s="221"/>
      <c r="J3321" s="221"/>
      <c r="K3321" s="221"/>
      <c r="L3321" s="221"/>
      <c r="M3321" s="221"/>
    </row>
    <row r="3322" spans="5:13">
      <c r="E3322" s="221"/>
      <c r="F3322" s="221">
        <v>1</v>
      </c>
      <c r="G3322" s="221" t="s">
        <v>1414</v>
      </c>
      <c r="H3322" s="221" t="s">
        <v>2800</v>
      </c>
      <c r="I3322" s="221">
        <f>I3297</f>
        <v>712</v>
      </c>
      <c r="J3322" s="221" t="s">
        <v>1414</v>
      </c>
      <c r="K3322" s="221">
        <f>F3322*I3322</f>
        <v>712</v>
      </c>
      <c r="L3322" s="221"/>
      <c r="M3322" s="221"/>
    </row>
    <row r="3323" spans="5:13">
      <c r="E3323" s="221"/>
      <c r="F3323" s="221">
        <v>1</v>
      </c>
      <c r="G3323" s="221" t="s">
        <v>1414</v>
      </c>
      <c r="H3323" s="221" t="s">
        <v>3121</v>
      </c>
      <c r="I3323" s="221">
        <f>I3298</f>
        <v>556</v>
      </c>
      <c r="J3323" s="221" t="s">
        <v>1414</v>
      </c>
      <c r="K3323" s="221">
        <f>F3323*I3323</f>
        <v>556</v>
      </c>
      <c r="L3323" s="221"/>
      <c r="M3323" s="221"/>
    </row>
    <row r="3324" spans="5:13">
      <c r="E3324" s="221"/>
      <c r="F3324" s="221"/>
      <c r="G3324" s="221"/>
      <c r="H3324" s="221"/>
      <c r="I3324" s="221"/>
      <c r="J3324" s="221"/>
      <c r="K3324" s="229">
        <f>SUM(K3322:K3323)</f>
        <v>1268</v>
      </c>
      <c r="L3324" s="221"/>
      <c r="M3324" s="221"/>
    </row>
    <row r="3325" spans="5:13">
      <c r="E3325" s="221"/>
      <c r="F3325" s="221"/>
      <c r="G3325" s="221"/>
      <c r="H3325" s="229" t="s">
        <v>2692</v>
      </c>
      <c r="I3325" s="221"/>
      <c r="J3325" s="221"/>
      <c r="K3325" s="221"/>
      <c r="L3325" s="221"/>
      <c r="M3325" s="221"/>
    </row>
    <row r="3326" spans="5:13">
      <c r="E3326" s="221"/>
      <c r="F3326" s="221"/>
      <c r="G3326" s="221"/>
      <c r="H3326" s="229" t="s">
        <v>2693</v>
      </c>
      <c r="I3326" s="221"/>
      <c r="J3326" s="221"/>
      <c r="K3326" s="221"/>
      <c r="L3326" s="221"/>
      <c r="M3326" s="221"/>
    </row>
    <row r="3327" spans="5:13">
      <c r="E3327" s="221"/>
      <c r="F3327" s="221"/>
      <c r="G3327" s="221"/>
      <c r="H3327" s="221"/>
      <c r="I3327" s="221"/>
      <c r="J3327" s="221"/>
      <c r="K3327" s="221"/>
      <c r="L3327" s="221"/>
      <c r="M3327" s="221"/>
    </row>
    <row r="3328" spans="5:13" ht="86.25" customHeight="1">
      <c r="E3328" s="221"/>
      <c r="F3328" s="221"/>
      <c r="G3328" s="221"/>
      <c r="H3328" s="220" t="s">
        <v>3359</v>
      </c>
      <c r="I3328" s="221"/>
      <c r="J3328" s="221"/>
      <c r="K3328" s="221"/>
      <c r="L3328" s="221"/>
      <c r="M3328" s="221"/>
    </row>
    <row r="3329" spans="5:13">
      <c r="E3329" s="221"/>
      <c r="F3329" s="221"/>
      <c r="G3329" s="221"/>
      <c r="H3329" s="221"/>
      <c r="I3329" s="221"/>
      <c r="J3329" s="221"/>
      <c r="K3329" s="221"/>
      <c r="L3329" s="221"/>
      <c r="M3329" s="221"/>
    </row>
    <row r="3330" spans="5:13">
      <c r="E3330" s="221"/>
      <c r="F3330" s="221">
        <v>1</v>
      </c>
      <c r="G3330" s="221" t="s">
        <v>1414</v>
      </c>
      <c r="H3330" s="221" t="s">
        <v>3232</v>
      </c>
      <c r="I3330" s="221">
        <f>K3335</f>
        <v>64.239999999999995</v>
      </c>
      <c r="J3330" s="221" t="s">
        <v>1418</v>
      </c>
      <c r="K3330" s="221">
        <f>F3330*I3330</f>
        <v>64.239999999999995</v>
      </c>
      <c r="L3330" s="221"/>
      <c r="M3330" s="221"/>
    </row>
    <row r="3331" spans="5:13" ht="56.25" customHeight="1">
      <c r="E3331" s="221"/>
      <c r="F3331" s="221"/>
      <c r="G3331" s="221"/>
      <c r="H3331" s="220" t="s">
        <v>3233</v>
      </c>
      <c r="I3331" s="221"/>
      <c r="J3331" s="221" t="s">
        <v>663</v>
      </c>
      <c r="K3331" s="221">
        <f>13.65+0.61</f>
        <v>14.26</v>
      </c>
      <c r="L3331" s="221"/>
      <c r="M3331" s="221"/>
    </row>
    <row r="3332" spans="5:13">
      <c r="E3332" s="221"/>
      <c r="F3332" s="221"/>
      <c r="G3332" s="221"/>
      <c r="H3332" s="221" t="s">
        <v>142</v>
      </c>
      <c r="I3332" s="221"/>
      <c r="J3332" s="221"/>
      <c r="K3332" s="221">
        <f>K3340</f>
        <v>283.60000000000002</v>
      </c>
      <c r="L3332" s="221"/>
      <c r="M3332" s="221"/>
    </row>
    <row r="3333" spans="5:13">
      <c r="E3333" s="221"/>
      <c r="F3333" s="221"/>
      <c r="G3333" s="221"/>
      <c r="H3333" s="228" t="s">
        <v>1080</v>
      </c>
      <c r="I3333" s="221"/>
      <c r="J3333" s="221"/>
      <c r="K3333" s="229">
        <f>SUM(K3330:K3332)</f>
        <v>362.1</v>
      </c>
      <c r="L3333" s="221">
        <f>K3333-268</f>
        <v>94.1</v>
      </c>
      <c r="M3333" s="221"/>
    </row>
    <row r="3334" spans="5:13">
      <c r="E3334" s="221"/>
      <c r="F3334" s="221"/>
      <c r="G3334" s="221"/>
      <c r="H3334" s="221"/>
      <c r="I3334" s="221"/>
      <c r="J3334" s="221"/>
      <c r="K3334" s="221"/>
      <c r="L3334" s="221"/>
      <c r="M3334" s="221"/>
    </row>
    <row r="3335" spans="5:13">
      <c r="E3335" s="221"/>
      <c r="F3335" s="221"/>
      <c r="G3335" s="221"/>
      <c r="H3335" s="229" t="s">
        <v>3234</v>
      </c>
      <c r="I3335" s="276">
        <f>I3222</f>
        <v>107060</v>
      </c>
      <c r="J3335" s="277">
        <v>5.9999999999999995E-4</v>
      </c>
      <c r="K3335" s="276">
        <f>ROUND(I3335*J3335,2)</f>
        <v>64.239999999999995</v>
      </c>
      <c r="L3335" s="221"/>
      <c r="M3335" s="221"/>
    </row>
    <row r="3336" spans="5:13">
      <c r="E3336" s="221"/>
      <c r="F3336" s="221"/>
      <c r="G3336" s="221"/>
      <c r="H3336" s="221" t="s">
        <v>142</v>
      </c>
      <c r="I3336" s="221"/>
      <c r="J3336" s="221"/>
      <c r="K3336" s="221"/>
      <c r="L3336" s="221"/>
      <c r="M3336" s="221"/>
    </row>
    <row r="3337" spans="5:13">
      <c r="E3337" s="221"/>
      <c r="F3337" s="221">
        <v>1</v>
      </c>
      <c r="G3337" s="221" t="s">
        <v>1414</v>
      </c>
      <c r="H3337" s="221" t="s">
        <v>3235</v>
      </c>
      <c r="I3337" s="221">
        <f>I3278</f>
        <v>712</v>
      </c>
      <c r="J3337" s="221" t="s">
        <v>1418</v>
      </c>
      <c r="K3337" s="221">
        <f>F3337*I3337</f>
        <v>712</v>
      </c>
      <c r="L3337" s="221"/>
      <c r="M3337" s="221"/>
    </row>
    <row r="3338" spans="5:13">
      <c r="E3338" s="221"/>
      <c r="F3338" s="221">
        <v>3</v>
      </c>
      <c r="G3338" s="221" t="s">
        <v>1414</v>
      </c>
      <c r="H3338" s="221" t="s">
        <v>2619</v>
      </c>
      <c r="I3338" s="221">
        <f>I3279</f>
        <v>708</v>
      </c>
      <c r="J3338" s="221" t="s">
        <v>1418</v>
      </c>
      <c r="K3338" s="221">
        <f>F3338*I3338</f>
        <v>2124</v>
      </c>
      <c r="L3338" s="221"/>
      <c r="M3338" s="221"/>
    </row>
    <row r="3339" spans="5:13">
      <c r="E3339" s="221"/>
      <c r="F3339" s="221"/>
      <c r="G3339" s="221"/>
      <c r="H3339" s="226" t="s">
        <v>3236</v>
      </c>
      <c r="I3339" s="221"/>
      <c r="J3339" s="221"/>
      <c r="K3339" s="230">
        <f>SUM(K3337:K3338)</f>
        <v>2836</v>
      </c>
      <c r="L3339" s="221"/>
      <c r="M3339" s="221"/>
    </row>
    <row r="3340" spans="5:13">
      <c r="E3340" s="221"/>
      <c r="F3340" s="221"/>
      <c r="G3340" s="221"/>
      <c r="H3340" s="226" t="s">
        <v>3237</v>
      </c>
      <c r="I3340" s="221"/>
      <c r="J3340" s="221"/>
      <c r="K3340" s="229">
        <f>K3339/10</f>
        <v>283.60000000000002</v>
      </c>
      <c r="L3340" s="221"/>
      <c r="M3340" s="221"/>
    </row>
    <row r="3341" spans="5:13">
      <c r="E3341" s="221"/>
      <c r="F3341" s="221"/>
      <c r="G3341" s="221"/>
      <c r="H3341" s="221"/>
      <c r="I3341" s="221"/>
      <c r="J3341" s="221"/>
      <c r="K3341" s="221"/>
      <c r="L3341" s="221"/>
      <c r="M3341" s="221"/>
    </row>
    <row r="3342" spans="5:13">
      <c r="E3342" s="221"/>
      <c r="F3342" s="221"/>
      <c r="G3342" s="221"/>
      <c r="H3342" s="229" t="s">
        <v>3238</v>
      </c>
      <c r="I3342" s="221"/>
      <c r="J3342" s="221"/>
      <c r="K3342" s="221"/>
      <c r="L3342" s="221"/>
      <c r="M3342" s="221"/>
    </row>
    <row r="3343" spans="5:13" ht="103.5" customHeight="1">
      <c r="E3343" s="221"/>
      <c r="F3343" s="221"/>
      <c r="G3343" s="221"/>
      <c r="H3343" s="220" t="s">
        <v>3905</v>
      </c>
      <c r="I3343" s="221"/>
      <c r="J3343" s="221"/>
      <c r="K3343" s="221"/>
      <c r="L3343" s="221"/>
      <c r="M3343" s="221"/>
    </row>
    <row r="3344" spans="5:13">
      <c r="E3344" s="221"/>
      <c r="F3344" s="221"/>
      <c r="G3344" s="221"/>
      <c r="H3344" s="221"/>
      <c r="I3344" s="221"/>
      <c r="J3344" s="221"/>
      <c r="K3344" s="221"/>
      <c r="L3344" s="221"/>
      <c r="M3344" s="221"/>
    </row>
    <row r="3345" spans="5:13">
      <c r="E3345" s="221"/>
      <c r="F3345" s="221">
        <v>1</v>
      </c>
      <c r="G3345" s="221" t="s">
        <v>1414</v>
      </c>
      <c r="H3345" s="229" t="s">
        <v>3903</v>
      </c>
      <c r="I3345" s="327">
        <v>110</v>
      </c>
      <c r="J3345" s="221" t="s">
        <v>1414</v>
      </c>
      <c r="K3345" s="221">
        <f>F3345*I3345</f>
        <v>110</v>
      </c>
      <c r="L3345" s="221"/>
      <c r="M3345" s="221"/>
    </row>
    <row r="3346" spans="5:13" ht="52.5" customHeight="1">
      <c r="E3346" s="221"/>
      <c r="F3346" s="221"/>
      <c r="G3346" s="221"/>
      <c r="H3346" s="220" t="s">
        <v>3241</v>
      </c>
      <c r="I3346" s="221"/>
      <c r="J3346" s="221"/>
      <c r="K3346" s="221">
        <v>22.75</v>
      </c>
      <c r="L3346" s="221"/>
      <c r="M3346" s="221"/>
    </row>
    <row r="3347" spans="5:13">
      <c r="E3347" s="221"/>
      <c r="F3347" s="221"/>
      <c r="G3347" s="221"/>
      <c r="H3347" s="221" t="s">
        <v>924</v>
      </c>
      <c r="I3347" s="221"/>
      <c r="J3347" s="221"/>
      <c r="K3347" s="221">
        <f>K3356</f>
        <v>382.25</v>
      </c>
      <c r="L3347" s="221"/>
      <c r="M3347" s="221"/>
    </row>
    <row r="3348" spans="5:13">
      <c r="E3348" s="221"/>
      <c r="F3348" s="221"/>
      <c r="G3348" s="221"/>
      <c r="H3348" s="228" t="s">
        <v>1080</v>
      </c>
      <c r="I3348" s="221"/>
      <c r="J3348" s="221"/>
      <c r="K3348" s="229">
        <f>SUM(K3345:K3347)</f>
        <v>515</v>
      </c>
      <c r="L3348" s="221">
        <f>K3348-376</f>
        <v>139</v>
      </c>
      <c r="M3348" s="221"/>
    </row>
    <row r="3349" spans="5:13">
      <c r="E3349" s="221"/>
      <c r="F3349" s="221"/>
      <c r="G3349" s="221"/>
      <c r="H3349" s="228"/>
      <c r="I3349" s="221"/>
      <c r="J3349" s="221"/>
      <c r="K3349" s="229"/>
      <c r="L3349" s="221"/>
      <c r="M3349" s="221"/>
    </row>
    <row r="3350" spans="5:13">
      <c r="E3350" s="221"/>
      <c r="F3350" s="221"/>
      <c r="G3350" s="221"/>
      <c r="H3350" s="221" t="s">
        <v>142</v>
      </c>
      <c r="I3350" s="221"/>
      <c r="J3350" s="221"/>
      <c r="K3350" s="221"/>
      <c r="L3350" s="221"/>
      <c r="M3350" s="221"/>
    </row>
    <row r="3351" spans="5:13">
      <c r="E3351" s="221"/>
      <c r="F3351" s="221">
        <v>1</v>
      </c>
      <c r="G3351" s="221"/>
      <c r="H3351" s="221" t="s">
        <v>2800</v>
      </c>
      <c r="I3351" s="221">
        <f>I2867</f>
        <v>712</v>
      </c>
      <c r="J3351" s="221" t="s">
        <v>1414</v>
      </c>
      <c r="K3351" s="221">
        <f>F3351*I3351</f>
        <v>712</v>
      </c>
      <c r="L3351" s="221"/>
      <c r="M3351" s="221"/>
    </row>
    <row r="3352" spans="5:13">
      <c r="E3352" s="221"/>
      <c r="F3352" s="221">
        <v>3</v>
      </c>
      <c r="G3352" s="221"/>
      <c r="H3352" s="221" t="s">
        <v>2619</v>
      </c>
      <c r="I3352" s="221">
        <f>I2868</f>
        <v>708</v>
      </c>
      <c r="J3352" s="221" t="s">
        <v>1414</v>
      </c>
      <c r="K3352" s="221">
        <f>F3352*I3352</f>
        <v>2124</v>
      </c>
      <c r="L3352" s="221"/>
      <c r="M3352" s="221"/>
    </row>
    <row r="3353" spans="5:13">
      <c r="E3353" s="221"/>
      <c r="F3353" s="221">
        <v>1</v>
      </c>
      <c r="G3353" s="221"/>
      <c r="H3353" s="221" t="s">
        <v>2356</v>
      </c>
      <c r="I3353" s="221">
        <f>I2869</f>
        <v>556</v>
      </c>
      <c r="J3353" s="221" t="s">
        <v>1414</v>
      </c>
      <c r="K3353" s="221">
        <f>F3353*I3353</f>
        <v>556</v>
      </c>
      <c r="L3353" s="221"/>
      <c r="M3353" s="221"/>
    </row>
    <row r="3354" spans="5:13">
      <c r="E3354" s="221"/>
      <c r="F3354" s="221">
        <v>0.5</v>
      </c>
      <c r="G3354" s="221"/>
      <c r="H3354" s="221" t="str">
        <f>Elec.Data!H3354</f>
        <v>Mason I ( it-25 /37  ,p-11)</v>
      </c>
      <c r="I3354" s="222">
        <f>Elec.Data!I3354</f>
        <v>861</v>
      </c>
      <c r="J3354" s="221" t="s">
        <v>1414</v>
      </c>
      <c r="K3354" s="221">
        <f>F3354*I3354</f>
        <v>430.5</v>
      </c>
      <c r="L3354" s="221"/>
      <c r="M3354" s="221"/>
    </row>
    <row r="3355" spans="5:13">
      <c r="E3355" s="221"/>
      <c r="F3355" s="221"/>
      <c r="G3355" s="221"/>
      <c r="H3355" s="226" t="s">
        <v>3242</v>
      </c>
      <c r="I3355" s="221"/>
      <c r="J3355" s="221"/>
      <c r="K3355" s="227">
        <f>SUM(K3351:K3354)</f>
        <v>3822.5</v>
      </c>
      <c r="L3355" s="221"/>
      <c r="M3355" s="221"/>
    </row>
    <row r="3356" spans="5:13">
      <c r="E3356" s="221"/>
      <c r="F3356" s="221"/>
      <c r="G3356" s="221"/>
      <c r="H3356" s="228" t="s">
        <v>3243</v>
      </c>
      <c r="I3356" s="229"/>
      <c r="J3356" s="229"/>
      <c r="K3356" s="229">
        <f>K3355/10</f>
        <v>382.25</v>
      </c>
      <c r="L3356" s="221"/>
      <c r="M3356" s="221"/>
    </row>
    <row r="3357" spans="5:13">
      <c r="E3357" s="221"/>
      <c r="F3357" s="221"/>
      <c r="G3357" s="221"/>
      <c r="H3357" s="221"/>
      <c r="I3357" s="221"/>
      <c r="J3357" s="221"/>
      <c r="K3357" s="221"/>
      <c r="L3357" s="221"/>
      <c r="M3357" s="221"/>
    </row>
    <row r="3358" spans="5:13">
      <c r="E3358" s="221"/>
      <c r="F3358" s="221"/>
      <c r="G3358" s="221"/>
      <c r="H3358" s="229" t="s">
        <v>3244</v>
      </c>
      <c r="I3358" s="221"/>
      <c r="J3358" s="221"/>
      <c r="K3358" s="221"/>
      <c r="L3358" s="221"/>
      <c r="M3358" s="221"/>
    </row>
    <row r="3359" spans="5:13">
      <c r="E3359" s="221"/>
      <c r="F3359" s="221"/>
      <c r="G3359" s="221"/>
      <c r="H3359" s="229" t="s">
        <v>3245</v>
      </c>
      <c r="I3359" s="221"/>
      <c r="J3359" s="221"/>
      <c r="K3359" s="221"/>
      <c r="L3359" s="221"/>
      <c r="M3359" s="221"/>
    </row>
    <row r="3360" spans="5:13">
      <c r="E3360" s="221"/>
      <c r="F3360" s="221"/>
      <c r="G3360" s="221"/>
      <c r="H3360" s="221"/>
      <c r="I3360" s="221"/>
      <c r="J3360" s="221"/>
      <c r="K3360" s="221"/>
      <c r="L3360" s="221"/>
      <c r="M3360" s="221"/>
    </row>
    <row r="3361" spans="5:13" ht="103.5" customHeight="1">
      <c r="E3361" s="221"/>
      <c r="F3361" s="221"/>
      <c r="G3361" s="221"/>
      <c r="H3361" s="220" t="s">
        <v>3275</v>
      </c>
      <c r="I3361" s="221"/>
      <c r="J3361" s="221"/>
      <c r="K3361" s="221"/>
      <c r="L3361" s="221"/>
      <c r="M3361" s="221"/>
    </row>
    <row r="3362" spans="5:13">
      <c r="E3362" s="221"/>
      <c r="F3362" s="221"/>
      <c r="G3362" s="221"/>
      <c r="H3362" s="221"/>
      <c r="I3362" s="221"/>
      <c r="J3362" s="221"/>
      <c r="K3362" s="221"/>
      <c r="L3362" s="221"/>
      <c r="M3362" s="221"/>
    </row>
    <row r="3363" spans="5:13">
      <c r="E3363" s="221"/>
      <c r="F3363" s="221">
        <v>1</v>
      </c>
      <c r="G3363" s="221" t="s">
        <v>1414</v>
      </c>
      <c r="H3363" s="221" t="s">
        <v>3276</v>
      </c>
      <c r="I3363" s="221">
        <f>K3368</f>
        <v>128.47</v>
      </c>
      <c r="J3363" s="221" t="s">
        <v>1418</v>
      </c>
      <c r="K3363" s="221">
        <f>F3363*I3363</f>
        <v>128.47</v>
      </c>
      <c r="L3363" s="221"/>
      <c r="M3363" s="221"/>
    </row>
    <row r="3364" spans="5:13" ht="51" customHeight="1">
      <c r="E3364" s="221"/>
      <c r="F3364" s="221" t="s">
        <v>663</v>
      </c>
      <c r="G3364" s="221" t="s">
        <v>663</v>
      </c>
      <c r="H3364" s="220" t="s">
        <v>3277</v>
      </c>
      <c r="I3364" s="221" t="s">
        <v>663</v>
      </c>
      <c r="J3364" s="221" t="s">
        <v>663</v>
      </c>
      <c r="K3364" s="221">
        <v>40.33</v>
      </c>
      <c r="L3364" s="221"/>
      <c r="M3364" s="221"/>
    </row>
    <row r="3365" spans="5:13">
      <c r="E3365" s="221"/>
      <c r="F3365" s="221"/>
      <c r="G3365" s="221"/>
      <c r="H3365" s="221" t="s">
        <v>142</v>
      </c>
      <c r="I3365" s="221"/>
      <c r="J3365" s="221"/>
      <c r="K3365" s="221">
        <f>K3340</f>
        <v>283.60000000000002</v>
      </c>
      <c r="L3365" s="221"/>
      <c r="M3365" s="221"/>
    </row>
    <row r="3366" spans="5:13">
      <c r="E3366" s="221"/>
      <c r="F3366" s="221"/>
      <c r="G3366" s="221"/>
      <c r="H3366" s="228" t="s">
        <v>1080</v>
      </c>
      <c r="I3366" s="221"/>
      <c r="J3366" s="221"/>
      <c r="K3366" s="229">
        <f>SUM(K3363:K3365)</f>
        <v>452.4</v>
      </c>
      <c r="L3366" s="221"/>
      <c r="M3366" s="221"/>
    </row>
    <row r="3367" spans="5:13">
      <c r="E3367" s="221"/>
      <c r="F3367" s="221"/>
      <c r="G3367" s="221"/>
      <c r="H3367" s="221"/>
      <c r="I3367" s="221"/>
      <c r="J3367" s="221"/>
      <c r="K3367" s="229"/>
      <c r="L3367" s="221"/>
      <c r="M3367" s="221"/>
    </row>
    <row r="3368" spans="5:13">
      <c r="E3368" s="221"/>
      <c r="F3368" s="221"/>
      <c r="G3368" s="221"/>
      <c r="H3368" s="229" t="s">
        <v>3276</v>
      </c>
      <c r="I3368" s="221">
        <f>I3335</f>
        <v>107060</v>
      </c>
      <c r="J3368" s="235">
        <f>0.0012</f>
        <v>1.1999999999999999E-3</v>
      </c>
      <c r="K3368" s="229">
        <f>I3368*J3368</f>
        <v>128.47</v>
      </c>
      <c r="L3368" s="221"/>
      <c r="M3368" s="221"/>
    </row>
    <row r="3369" spans="5:13">
      <c r="E3369" s="221"/>
      <c r="F3369" s="221"/>
      <c r="G3369" s="221"/>
      <c r="H3369" s="221"/>
      <c r="I3369" s="221"/>
      <c r="J3369" s="221"/>
      <c r="K3369" s="221"/>
      <c r="L3369" s="221"/>
      <c r="M3369" s="221"/>
    </row>
    <row r="3370" spans="5:13">
      <c r="E3370" s="221"/>
      <c r="F3370" s="221"/>
      <c r="G3370" s="221"/>
      <c r="H3370" s="229" t="s">
        <v>2692</v>
      </c>
      <c r="I3370" s="221"/>
      <c r="J3370" s="221"/>
      <c r="K3370" s="221"/>
      <c r="L3370" s="221"/>
      <c r="M3370" s="221"/>
    </row>
    <row r="3371" spans="5:13">
      <c r="E3371" s="221"/>
      <c r="F3371" s="221"/>
      <c r="G3371" s="221"/>
      <c r="H3371" s="221"/>
      <c r="I3371" s="221"/>
      <c r="J3371" s="221"/>
      <c r="K3371" s="221"/>
      <c r="L3371" s="221"/>
      <c r="M3371" s="221"/>
    </row>
    <row r="3372" spans="5:13">
      <c r="E3372" s="221"/>
      <c r="F3372" s="221"/>
      <c r="G3372" s="221"/>
      <c r="H3372" s="229" t="s">
        <v>2566</v>
      </c>
      <c r="I3372" s="221"/>
      <c r="J3372" s="221"/>
      <c r="K3372" s="221"/>
      <c r="L3372" s="221"/>
      <c r="M3372" s="221"/>
    </row>
    <row r="3373" spans="5:13">
      <c r="E3373" s="221"/>
      <c r="F3373" s="221"/>
      <c r="G3373" s="221"/>
      <c r="H3373" s="221"/>
      <c r="I3373" s="221"/>
      <c r="J3373" s="221"/>
      <c r="K3373" s="221"/>
      <c r="L3373" s="221"/>
      <c r="M3373" s="221"/>
    </row>
    <row r="3374" spans="5:13" ht="102" customHeight="1">
      <c r="E3374" s="221"/>
      <c r="F3374" s="221"/>
      <c r="G3374" s="221"/>
      <c r="H3374" s="220" t="s">
        <v>3904</v>
      </c>
      <c r="I3374" s="221"/>
      <c r="J3374" s="221"/>
      <c r="K3374" s="221"/>
      <c r="L3374" s="221"/>
      <c r="M3374" s="221"/>
    </row>
    <row r="3375" spans="5:13">
      <c r="E3375" s="221"/>
      <c r="F3375" s="221"/>
      <c r="G3375" s="221"/>
      <c r="H3375" s="221"/>
      <c r="I3375" s="221"/>
      <c r="J3375" s="221"/>
      <c r="K3375" s="221"/>
      <c r="L3375" s="221"/>
      <c r="M3375" s="221"/>
    </row>
    <row r="3376" spans="5:13">
      <c r="E3376" s="221"/>
      <c r="F3376" s="221">
        <v>1</v>
      </c>
      <c r="G3376" s="221" t="s">
        <v>1414</v>
      </c>
      <c r="H3376" s="229" t="s">
        <v>3903</v>
      </c>
      <c r="I3376" s="327">
        <v>110</v>
      </c>
      <c r="J3376" s="221" t="s">
        <v>1414</v>
      </c>
      <c r="K3376" s="221">
        <f>F3376*I3376</f>
        <v>110</v>
      </c>
      <c r="L3376" s="221"/>
      <c r="M3376" s="221"/>
    </row>
    <row r="3377" spans="5:13" ht="31.5">
      <c r="E3377" s="221"/>
      <c r="F3377" s="221"/>
      <c r="G3377" s="221"/>
      <c r="H3377" s="220" t="s">
        <v>3241</v>
      </c>
      <c r="I3377" s="221"/>
      <c r="J3377" s="221"/>
      <c r="K3377" s="221">
        <v>35.75</v>
      </c>
      <c r="L3377" s="221"/>
      <c r="M3377" s="221"/>
    </row>
    <row r="3378" spans="5:13">
      <c r="E3378" s="221"/>
      <c r="F3378" s="221"/>
      <c r="G3378" s="221"/>
      <c r="H3378" s="221" t="s">
        <v>924</v>
      </c>
      <c r="I3378" s="221"/>
      <c r="J3378" s="221"/>
      <c r="K3378" s="221">
        <f>K3356</f>
        <v>382.25</v>
      </c>
      <c r="L3378" s="221"/>
      <c r="M3378" s="221"/>
    </row>
    <row r="3379" spans="5:13">
      <c r="E3379" s="221"/>
      <c r="F3379" s="221"/>
      <c r="G3379" s="221"/>
      <c r="H3379" s="228" t="s">
        <v>1080</v>
      </c>
      <c r="I3379" s="221"/>
      <c r="J3379" s="221"/>
      <c r="K3379" s="229">
        <f>SUM(K3376:K3378)</f>
        <v>528</v>
      </c>
      <c r="L3379" s="221">
        <f>389-K3379</f>
        <v>-139</v>
      </c>
      <c r="M3379" s="221"/>
    </row>
    <row r="3380" spans="5:13">
      <c r="E3380" s="221"/>
      <c r="F3380" s="221"/>
      <c r="G3380" s="221"/>
      <c r="H3380" s="221"/>
      <c r="I3380" s="221"/>
      <c r="J3380" s="221"/>
      <c r="K3380" s="221"/>
      <c r="L3380" s="221"/>
      <c r="M3380" s="221"/>
    </row>
    <row r="3381" spans="5:13">
      <c r="E3381" s="221"/>
      <c r="F3381" s="221"/>
      <c r="G3381" s="221"/>
      <c r="H3381" s="229" t="s">
        <v>2438</v>
      </c>
      <c r="I3381" s="221"/>
      <c r="J3381" s="221"/>
      <c r="K3381" s="221"/>
      <c r="L3381" s="221"/>
      <c r="M3381" s="221"/>
    </row>
    <row r="3382" spans="5:13">
      <c r="E3382" s="221"/>
      <c r="F3382" s="221"/>
      <c r="G3382" s="221"/>
      <c r="H3382" s="229" t="s">
        <v>2439</v>
      </c>
      <c r="I3382" s="221"/>
      <c r="J3382" s="221"/>
      <c r="K3382" s="221"/>
      <c r="L3382" s="221"/>
      <c r="M3382" s="221"/>
    </row>
    <row r="3383" spans="5:13">
      <c r="E3383" s="221"/>
      <c r="F3383" s="221"/>
      <c r="G3383" s="221"/>
      <c r="H3383" s="221"/>
      <c r="I3383" s="221"/>
      <c r="J3383" s="221"/>
      <c r="K3383" s="221"/>
      <c r="L3383" s="221"/>
      <c r="M3383" s="221"/>
    </row>
    <row r="3384" spans="5:13" ht="39" customHeight="1">
      <c r="E3384" s="221"/>
      <c r="F3384" s="221">
        <v>1</v>
      </c>
      <c r="G3384" s="221" t="s">
        <v>1414</v>
      </c>
      <c r="H3384" s="220" t="str">
        <f>Elec.Data!H3384</f>
        <v>25 Amps rating single phase ELCB with 10 to 25 MA sensitivity (ISI make ) (DP) P-133   10-b havells  part -L</v>
      </c>
      <c r="I3384" s="222">
        <f>Elec.Data!I3384</f>
        <v>1754</v>
      </c>
      <c r="J3384" s="221" t="s">
        <v>1414</v>
      </c>
      <c r="K3384" s="229">
        <f>F3384*I3384</f>
        <v>1754</v>
      </c>
      <c r="L3384" s="221"/>
      <c r="M3384" s="221"/>
    </row>
    <row r="3385" spans="5:13">
      <c r="E3385" s="221"/>
      <c r="F3385" s="221"/>
      <c r="G3385" s="221"/>
      <c r="H3385" s="221"/>
      <c r="I3385" s="221"/>
      <c r="J3385" s="221"/>
      <c r="K3385" s="221"/>
      <c r="L3385" s="221"/>
      <c r="M3385" s="221"/>
    </row>
    <row r="3386" spans="5:13">
      <c r="E3386" s="221"/>
      <c r="F3386" s="221"/>
      <c r="G3386" s="221"/>
      <c r="H3386" s="229" t="s">
        <v>2440</v>
      </c>
      <c r="I3386" s="221"/>
      <c r="J3386" s="221"/>
      <c r="K3386" s="221"/>
      <c r="L3386" s="221"/>
      <c r="M3386" s="221"/>
    </row>
    <row r="3387" spans="5:13">
      <c r="E3387" s="221"/>
      <c r="F3387" s="221"/>
      <c r="G3387" s="221"/>
      <c r="H3387" s="229" t="s">
        <v>2427</v>
      </c>
      <c r="I3387" s="221"/>
      <c r="J3387" s="221"/>
      <c r="K3387" s="221"/>
      <c r="L3387" s="221"/>
      <c r="M3387" s="221"/>
    </row>
    <row r="3388" spans="5:13">
      <c r="E3388" s="221"/>
      <c r="F3388" s="221"/>
      <c r="G3388" s="221"/>
      <c r="H3388" s="221"/>
      <c r="I3388" s="221"/>
      <c r="J3388" s="221"/>
      <c r="K3388" s="221"/>
      <c r="L3388" s="221"/>
      <c r="M3388" s="221"/>
    </row>
    <row r="3389" spans="5:13" ht="36.75" customHeight="1">
      <c r="E3389" s="221"/>
      <c r="F3389" s="221">
        <v>1</v>
      </c>
      <c r="G3389" s="221" t="s">
        <v>1414</v>
      </c>
      <c r="H3389" s="220" t="s">
        <v>4400</v>
      </c>
      <c r="I3389" s="222">
        <f>Elec.Data!I3389</f>
        <v>1858</v>
      </c>
      <c r="J3389" s="221" t="s">
        <v>1414</v>
      </c>
      <c r="K3389" s="240">
        <f>F3389*I3389</f>
        <v>1858</v>
      </c>
      <c r="L3389" s="221"/>
      <c r="M3389" s="221"/>
    </row>
    <row r="3390" spans="5:13" ht="7.5" customHeight="1">
      <c r="E3390" s="221"/>
      <c r="F3390" s="221"/>
      <c r="G3390" s="221"/>
      <c r="H3390" s="221"/>
      <c r="I3390" s="221"/>
      <c r="J3390" s="221"/>
      <c r="K3390" s="221"/>
      <c r="L3390" s="221"/>
      <c r="M3390" s="221"/>
    </row>
    <row r="3391" spans="5:13">
      <c r="E3391" s="221"/>
      <c r="F3391" s="221"/>
      <c r="G3391" s="221"/>
      <c r="H3391" s="229" t="s">
        <v>2428</v>
      </c>
      <c r="I3391" s="221"/>
      <c r="J3391" s="221"/>
      <c r="K3391" s="221"/>
      <c r="L3391" s="221"/>
      <c r="M3391" s="221"/>
    </row>
    <row r="3392" spans="5:13">
      <c r="E3392" s="221"/>
      <c r="F3392" s="221"/>
      <c r="G3392" s="221"/>
      <c r="H3392" s="229" t="s">
        <v>2429</v>
      </c>
      <c r="I3392" s="221"/>
      <c r="J3392" s="221"/>
      <c r="K3392" s="221"/>
      <c r="L3392" s="221"/>
      <c r="M3392" s="221"/>
    </row>
    <row r="3393" spans="5:15">
      <c r="E3393" s="221"/>
      <c r="F3393" s="221"/>
      <c r="G3393" s="221"/>
      <c r="H3393" s="227" t="s">
        <v>2430</v>
      </c>
      <c r="I3393" s="221"/>
      <c r="J3393" s="221"/>
      <c r="K3393" s="221"/>
      <c r="L3393" s="221"/>
      <c r="M3393" s="221"/>
    </row>
    <row r="3394" spans="5:15">
      <c r="E3394" s="221"/>
      <c r="F3394" s="221"/>
      <c r="G3394" s="221"/>
      <c r="H3394" s="221"/>
      <c r="I3394" s="221"/>
      <c r="J3394" s="221"/>
      <c r="K3394" s="221"/>
      <c r="L3394" s="221"/>
      <c r="M3394" s="221"/>
    </row>
    <row r="3395" spans="5:15" ht="63">
      <c r="E3395" s="221"/>
      <c r="F3395" s="221"/>
      <c r="G3395" s="221"/>
      <c r="H3395" s="220" t="s">
        <v>2741</v>
      </c>
      <c r="I3395" s="221"/>
      <c r="J3395" s="221"/>
      <c r="K3395" s="221"/>
      <c r="L3395" s="220" t="s">
        <v>3519</v>
      </c>
      <c r="M3395" s="220" t="s">
        <v>3520</v>
      </c>
      <c r="N3395" s="220" t="s">
        <v>3747</v>
      </c>
      <c r="O3395" s="220" t="s">
        <v>3915</v>
      </c>
    </row>
    <row r="3396" spans="5:15">
      <c r="E3396" s="221"/>
      <c r="F3396" s="221">
        <v>1</v>
      </c>
      <c r="G3396" s="221" t="s">
        <v>1414</v>
      </c>
      <c r="H3396" s="221" t="s">
        <v>2742</v>
      </c>
      <c r="I3396" s="222">
        <f>Elec.Data!I3396</f>
        <v>84.4</v>
      </c>
      <c r="J3396" s="221" t="s">
        <v>1414</v>
      </c>
      <c r="K3396" s="221">
        <f>F3396*I3396</f>
        <v>84.4</v>
      </c>
      <c r="L3396" s="221">
        <f>Elec.Data!L3396</f>
        <v>188.4</v>
      </c>
      <c r="M3396" s="221">
        <f>Elec.Data!M3396</f>
        <v>47.6</v>
      </c>
      <c r="N3396" s="221">
        <f>Elec.Data!N3396</f>
        <v>340.3</v>
      </c>
      <c r="O3396" s="233">
        <f>Elec.Data!O3396</f>
        <v>550</v>
      </c>
    </row>
    <row r="3397" spans="5:15">
      <c r="E3397" s="221"/>
      <c r="F3397" s="221">
        <v>1</v>
      </c>
      <c r="G3397" s="221" t="s">
        <v>1414</v>
      </c>
      <c r="H3397" s="221" t="s">
        <v>2743</v>
      </c>
      <c r="I3397" s="221">
        <f>K3402</f>
        <v>32.119999999999997</v>
      </c>
      <c r="J3397" s="221" t="s">
        <v>1414</v>
      </c>
      <c r="K3397" s="221">
        <f>F3397*I3397</f>
        <v>32.119999999999997</v>
      </c>
      <c r="L3397" s="221">
        <f t="shared" ref="L3397:O3399" si="103">K3397</f>
        <v>32.119999999999997</v>
      </c>
      <c r="M3397" s="221">
        <f t="shared" si="103"/>
        <v>32.119999999999997</v>
      </c>
      <c r="N3397" s="221">
        <f t="shared" si="103"/>
        <v>32.119999999999997</v>
      </c>
      <c r="O3397" s="88">
        <f t="shared" si="103"/>
        <v>32.119999999999997</v>
      </c>
    </row>
    <row r="3398" spans="5:15">
      <c r="E3398" s="221"/>
      <c r="F3398" s="221"/>
      <c r="G3398" s="221"/>
      <c r="H3398" s="221" t="s">
        <v>924</v>
      </c>
      <c r="I3398" s="221"/>
      <c r="J3398" s="221"/>
      <c r="K3398" s="221">
        <f>K3409</f>
        <v>386</v>
      </c>
      <c r="L3398" s="221">
        <f t="shared" si="103"/>
        <v>386</v>
      </c>
      <c r="M3398" s="221">
        <f t="shared" si="103"/>
        <v>386</v>
      </c>
      <c r="N3398" s="221">
        <f t="shared" si="103"/>
        <v>386</v>
      </c>
      <c r="O3398" s="88">
        <f t="shared" si="103"/>
        <v>386</v>
      </c>
    </row>
    <row r="3399" spans="5:15">
      <c r="E3399" s="221"/>
      <c r="F3399" s="221"/>
      <c r="G3399" s="221"/>
      <c r="H3399" s="221" t="s">
        <v>2744</v>
      </c>
      <c r="I3399" s="221" t="s">
        <v>663</v>
      </c>
      <c r="J3399" s="221"/>
      <c r="K3399" s="221">
        <v>5.05</v>
      </c>
      <c r="L3399" s="221">
        <f t="shared" si="103"/>
        <v>5.05</v>
      </c>
      <c r="M3399" s="221">
        <f t="shared" si="103"/>
        <v>5.05</v>
      </c>
      <c r="N3399" s="221">
        <f t="shared" si="103"/>
        <v>5.05</v>
      </c>
      <c r="O3399" s="88">
        <f t="shared" si="103"/>
        <v>5.05</v>
      </c>
    </row>
    <row r="3400" spans="5:15">
      <c r="E3400" s="221"/>
      <c r="F3400" s="221"/>
      <c r="G3400" s="221"/>
      <c r="H3400" s="228" t="s">
        <v>1080</v>
      </c>
      <c r="I3400" s="221"/>
      <c r="J3400" s="221"/>
      <c r="K3400" s="229">
        <f>SUM(K3396:K3399)</f>
        <v>507.57</v>
      </c>
      <c r="L3400" s="229">
        <f>SUM(L3396:L3399)</f>
        <v>611.57000000000005</v>
      </c>
      <c r="M3400" s="229">
        <f>SUM(M3396:M3399)</f>
        <v>470.77</v>
      </c>
      <c r="N3400" s="229">
        <f>SUM(N3396:N3399)</f>
        <v>763.47</v>
      </c>
      <c r="O3400" s="229">
        <f>SUM(O3396:O3399)</f>
        <v>973.17</v>
      </c>
    </row>
    <row r="3401" spans="5:15" ht="9.75" customHeight="1">
      <c r="E3401" s="221"/>
      <c r="F3401" s="221"/>
      <c r="G3401" s="221"/>
      <c r="H3401" s="221"/>
      <c r="I3401" s="221"/>
      <c r="J3401" s="221"/>
      <c r="K3401" s="221"/>
      <c r="L3401" s="221"/>
      <c r="M3401" s="221"/>
    </row>
    <row r="3402" spans="5:15">
      <c r="E3402" s="221"/>
      <c r="F3402" s="221"/>
      <c r="G3402" s="221"/>
      <c r="H3402" s="229" t="s">
        <v>2745</v>
      </c>
      <c r="I3402" s="221">
        <f>I3368</f>
        <v>107060</v>
      </c>
      <c r="J3402" s="235">
        <v>2.9999999999999997E-4</v>
      </c>
      <c r="K3402" s="229">
        <f>I3402*J3402</f>
        <v>32.119999999999997</v>
      </c>
      <c r="L3402" s="221"/>
      <c r="M3402" s="221"/>
    </row>
    <row r="3403" spans="5:15">
      <c r="E3403" s="221"/>
      <c r="F3403" s="221"/>
      <c r="G3403" s="221"/>
      <c r="H3403" s="221"/>
      <c r="I3403" s="221"/>
      <c r="J3403" s="221"/>
      <c r="K3403" s="221"/>
      <c r="L3403" s="221"/>
      <c r="M3403" s="221"/>
    </row>
    <row r="3404" spans="5:15">
      <c r="E3404" s="221"/>
      <c r="F3404" s="221"/>
      <c r="G3404" s="221"/>
      <c r="H3404" s="227" t="s">
        <v>142</v>
      </c>
      <c r="I3404" s="221"/>
      <c r="J3404" s="221"/>
      <c r="K3404" s="221"/>
      <c r="L3404" s="221"/>
      <c r="M3404" s="221"/>
    </row>
    <row r="3405" spans="5:15">
      <c r="E3405" s="221"/>
      <c r="F3405" s="221">
        <v>1</v>
      </c>
      <c r="G3405" s="221" t="s">
        <v>1414</v>
      </c>
      <c r="H3405" s="221" t="s">
        <v>2800</v>
      </c>
      <c r="I3405" s="221">
        <f>I3351</f>
        <v>712</v>
      </c>
      <c r="J3405" s="221" t="s">
        <v>1414</v>
      </c>
      <c r="K3405" s="221">
        <f>F3405*I3405</f>
        <v>712</v>
      </c>
      <c r="L3405" s="221"/>
      <c r="M3405" s="221"/>
    </row>
    <row r="3406" spans="5:15">
      <c r="E3406" s="221"/>
      <c r="F3406" s="221">
        <v>1</v>
      </c>
      <c r="G3406" s="221" t="s">
        <v>1414</v>
      </c>
      <c r="H3406" s="221" t="s">
        <v>2619</v>
      </c>
      <c r="I3406" s="221">
        <f>I3352</f>
        <v>708</v>
      </c>
      <c r="J3406" s="221" t="s">
        <v>1414</v>
      </c>
      <c r="K3406" s="221">
        <f>F3406*I3406</f>
        <v>708</v>
      </c>
      <c r="L3406" s="221"/>
      <c r="M3406" s="221"/>
    </row>
    <row r="3407" spans="5:15">
      <c r="E3407" s="221"/>
      <c r="F3407" s="221">
        <v>3</v>
      </c>
      <c r="G3407" s="221" t="s">
        <v>1414</v>
      </c>
      <c r="H3407" s="221" t="s">
        <v>2356</v>
      </c>
      <c r="I3407" s="221">
        <f>I3353</f>
        <v>556</v>
      </c>
      <c r="J3407" s="221" t="s">
        <v>1414</v>
      </c>
      <c r="K3407" s="221">
        <f>F3407*I3407</f>
        <v>1668</v>
      </c>
      <c r="L3407" s="221"/>
      <c r="M3407" s="221"/>
    </row>
    <row r="3408" spans="5:15">
      <c r="E3408" s="221"/>
      <c r="F3408" s="221"/>
      <c r="G3408" s="221"/>
      <c r="H3408" s="226" t="s">
        <v>2694</v>
      </c>
      <c r="I3408" s="221"/>
      <c r="J3408" s="221"/>
      <c r="K3408" s="221">
        <f>SUM(K3405:K3407)</f>
        <v>3088</v>
      </c>
      <c r="L3408" s="221"/>
      <c r="M3408" s="221"/>
    </row>
    <row r="3409" spans="5:13">
      <c r="E3409" s="221"/>
      <c r="F3409" s="221"/>
      <c r="G3409" s="221"/>
      <c r="H3409" s="228" t="s">
        <v>2826</v>
      </c>
      <c r="I3409" s="221"/>
      <c r="J3409" s="221"/>
      <c r="K3409" s="229">
        <f>K3408/8</f>
        <v>386</v>
      </c>
      <c r="L3409" s="221"/>
      <c r="M3409" s="221"/>
    </row>
    <row r="3410" spans="5:13" ht="9" customHeight="1">
      <c r="E3410" s="221"/>
      <c r="F3410" s="221"/>
      <c r="G3410" s="221"/>
      <c r="H3410" s="221"/>
      <c r="I3410" s="221"/>
      <c r="J3410" s="221"/>
      <c r="K3410" s="221"/>
      <c r="L3410" s="221"/>
      <c r="M3410" s="221"/>
    </row>
    <row r="3411" spans="5:13">
      <c r="E3411" s="221"/>
      <c r="F3411" s="221"/>
      <c r="G3411" s="221"/>
      <c r="H3411" s="229" t="s">
        <v>2695</v>
      </c>
      <c r="I3411" s="221"/>
      <c r="J3411" s="221"/>
      <c r="K3411" s="221"/>
      <c r="L3411" s="221"/>
      <c r="M3411" s="221"/>
    </row>
    <row r="3412" spans="5:13">
      <c r="E3412" s="221"/>
      <c r="F3412" s="221"/>
      <c r="G3412" s="221"/>
      <c r="H3412" s="229" t="s">
        <v>2696</v>
      </c>
      <c r="I3412" s="221"/>
      <c r="J3412" s="221"/>
      <c r="K3412" s="221"/>
      <c r="L3412" s="221"/>
      <c r="M3412" s="221"/>
    </row>
    <row r="3413" spans="5:13">
      <c r="E3413" s="221"/>
      <c r="F3413" s="221"/>
      <c r="G3413" s="221"/>
      <c r="H3413" s="221"/>
      <c r="I3413" s="221"/>
      <c r="J3413" s="221"/>
      <c r="K3413" s="221"/>
      <c r="L3413" s="221"/>
      <c r="M3413" s="221"/>
    </row>
    <row r="3414" spans="5:13" ht="63">
      <c r="E3414" s="221"/>
      <c r="F3414" s="221"/>
      <c r="G3414" s="221"/>
      <c r="H3414" s="220" t="s">
        <v>2701</v>
      </c>
      <c r="I3414" s="221"/>
      <c r="J3414" s="221"/>
      <c r="K3414" s="221"/>
      <c r="L3414" s="221" t="s">
        <v>3572</v>
      </c>
      <c r="M3414" s="221"/>
    </row>
    <row r="3415" spans="5:13">
      <c r="E3415" s="221"/>
      <c r="F3415" s="221">
        <v>3</v>
      </c>
      <c r="G3415" s="221" t="s">
        <v>1414</v>
      </c>
      <c r="H3415" s="221" t="s">
        <v>2742</v>
      </c>
      <c r="I3415" s="260">
        <f>I3396</f>
        <v>84.4</v>
      </c>
      <c r="J3415" s="221" t="s">
        <v>1418</v>
      </c>
      <c r="K3415" s="221">
        <f>F3415*I3415</f>
        <v>253.2</v>
      </c>
      <c r="L3415" s="221">
        <f>L3396*3</f>
        <v>565.20000000000005</v>
      </c>
      <c r="M3415" s="221"/>
    </row>
    <row r="3416" spans="5:13">
      <c r="E3416" s="221"/>
      <c r="F3416" s="221">
        <v>1</v>
      </c>
      <c r="G3416" s="221" t="s">
        <v>1414</v>
      </c>
      <c r="H3416" s="221" t="s">
        <v>3232</v>
      </c>
      <c r="I3416" s="221">
        <f>K3421</f>
        <v>64.239999999999995</v>
      </c>
      <c r="J3416" s="221" t="s">
        <v>1414</v>
      </c>
      <c r="K3416" s="221">
        <f>F3416*I3416</f>
        <v>64.239999999999995</v>
      </c>
      <c r="L3416" s="221">
        <f>K3416</f>
        <v>64.239999999999995</v>
      </c>
      <c r="M3416" s="221"/>
    </row>
    <row r="3417" spans="5:13">
      <c r="E3417" s="221"/>
      <c r="F3417" s="221"/>
      <c r="G3417" s="221"/>
      <c r="H3417" s="221" t="s">
        <v>924</v>
      </c>
      <c r="I3417" s="221"/>
      <c r="J3417" s="221"/>
      <c r="K3417" s="221">
        <f>K3428</f>
        <v>455.5</v>
      </c>
      <c r="L3417" s="221">
        <f>K3417</f>
        <v>455.5</v>
      </c>
      <c r="M3417" s="221"/>
    </row>
    <row r="3418" spans="5:13">
      <c r="E3418" s="221"/>
      <c r="F3418" s="221"/>
      <c r="G3418" s="221"/>
      <c r="H3418" s="221" t="s">
        <v>2744</v>
      </c>
      <c r="I3418" s="221" t="s">
        <v>663</v>
      </c>
      <c r="J3418" s="221"/>
      <c r="K3418" s="221">
        <v>8.5299999999999994</v>
      </c>
      <c r="L3418" s="221">
        <f>K3418</f>
        <v>8.5299999999999994</v>
      </c>
      <c r="M3418" s="221"/>
    </row>
    <row r="3419" spans="5:13">
      <c r="E3419" s="221"/>
      <c r="F3419" s="221"/>
      <c r="G3419" s="221"/>
      <c r="H3419" s="228" t="s">
        <v>1080</v>
      </c>
      <c r="I3419" s="221"/>
      <c r="J3419" s="221"/>
      <c r="K3419" s="229">
        <f>SUM(K3415:K3418)</f>
        <v>781.47</v>
      </c>
      <c r="L3419" s="229">
        <f>SUM(L3415:L3418)</f>
        <v>1093.47</v>
      </c>
      <c r="M3419" s="221"/>
    </row>
    <row r="3420" spans="5:13">
      <c r="E3420" s="221"/>
      <c r="F3420" s="221"/>
      <c r="G3420" s="221"/>
      <c r="H3420" s="228"/>
      <c r="I3420" s="221"/>
      <c r="J3420" s="221"/>
      <c r="K3420" s="229"/>
      <c r="L3420" s="221"/>
      <c r="M3420" s="221"/>
    </row>
    <row r="3421" spans="5:13">
      <c r="E3421" s="221"/>
      <c r="F3421" s="221"/>
      <c r="G3421" s="221"/>
      <c r="H3421" s="229" t="s">
        <v>3232</v>
      </c>
      <c r="I3421" s="221">
        <f>I3402</f>
        <v>107060</v>
      </c>
      <c r="J3421" s="235">
        <v>5.9999999999999995E-4</v>
      </c>
      <c r="K3421" s="229">
        <f>I3421*J3421</f>
        <v>64.239999999999995</v>
      </c>
      <c r="L3421" s="221"/>
      <c r="M3421" s="221"/>
    </row>
    <row r="3422" spans="5:13">
      <c r="E3422" s="221"/>
      <c r="F3422" s="221"/>
      <c r="G3422" s="221"/>
      <c r="H3422" s="228"/>
      <c r="I3422" s="221"/>
      <c r="J3422" s="221"/>
      <c r="K3422" s="221"/>
      <c r="L3422" s="221"/>
      <c r="M3422" s="221"/>
    </row>
    <row r="3423" spans="5:13">
      <c r="E3423" s="221"/>
      <c r="F3423" s="221"/>
      <c r="G3423" s="221"/>
      <c r="H3423" s="227" t="s">
        <v>142</v>
      </c>
      <c r="I3423" s="221"/>
      <c r="J3423" s="221"/>
      <c r="K3423" s="221"/>
      <c r="L3423" s="221"/>
      <c r="M3423" s="221"/>
    </row>
    <row r="3424" spans="5:13">
      <c r="E3424" s="221"/>
      <c r="F3424" s="221">
        <v>1</v>
      </c>
      <c r="G3424" s="221" t="s">
        <v>1414</v>
      </c>
      <c r="H3424" s="221" t="s">
        <v>2800</v>
      </c>
      <c r="I3424" s="221">
        <f>I3405</f>
        <v>712</v>
      </c>
      <c r="J3424" s="221" t="s">
        <v>1414</v>
      </c>
      <c r="K3424" s="221">
        <f>F3424*I3424</f>
        <v>712</v>
      </c>
      <c r="L3424" s="221"/>
      <c r="M3424" s="221"/>
    </row>
    <row r="3425" spans="5:13">
      <c r="E3425" s="221"/>
      <c r="F3425" s="221">
        <v>1</v>
      </c>
      <c r="G3425" s="221" t="s">
        <v>1414</v>
      </c>
      <c r="H3425" s="221" t="s">
        <v>2619</v>
      </c>
      <c r="I3425" s="221">
        <f>I3406</f>
        <v>708</v>
      </c>
      <c r="J3425" s="221" t="s">
        <v>1414</v>
      </c>
      <c r="K3425" s="221">
        <f>F3425*I3425</f>
        <v>708</v>
      </c>
      <c r="L3425" s="221"/>
      <c r="M3425" s="221"/>
    </row>
    <row r="3426" spans="5:13">
      <c r="E3426" s="221"/>
      <c r="F3426" s="221">
        <v>4</v>
      </c>
      <c r="G3426" s="221" t="s">
        <v>1414</v>
      </c>
      <c r="H3426" s="221" t="s">
        <v>2356</v>
      </c>
      <c r="I3426" s="221">
        <f>I3407</f>
        <v>556</v>
      </c>
      <c r="J3426" s="221" t="s">
        <v>1414</v>
      </c>
      <c r="K3426" s="221">
        <f>F3426*I3426</f>
        <v>2224</v>
      </c>
      <c r="L3426" s="221"/>
      <c r="M3426" s="221"/>
    </row>
    <row r="3427" spans="5:13">
      <c r="E3427" s="221"/>
      <c r="F3427" s="221"/>
      <c r="G3427" s="221"/>
      <c r="H3427" s="226" t="s">
        <v>2694</v>
      </c>
      <c r="I3427" s="221"/>
      <c r="J3427" s="221"/>
      <c r="K3427" s="221">
        <f>SUM(K3424:K3426)</f>
        <v>3644</v>
      </c>
      <c r="L3427" s="221"/>
      <c r="M3427" s="221"/>
    </row>
    <row r="3428" spans="5:13">
      <c r="E3428" s="221"/>
      <c r="F3428" s="221"/>
      <c r="G3428" s="221"/>
      <c r="H3428" s="228" t="s">
        <v>2926</v>
      </c>
      <c r="I3428" s="221"/>
      <c r="J3428" s="221"/>
      <c r="K3428" s="229">
        <f>K3427/8</f>
        <v>455.5</v>
      </c>
      <c r="L3428" s="221"/>
      <c r="M3428" s="221"/>
    </row>
    <row r="3429" spans="5:13">
      <c r="E3429" s="221"/>
      <c r="F3429" s="221"/>
      <c r="G3429" s="221"/>
      <c r="H3429" s="221"/>
      <c r="I3429" s="221"/>
      <c r="J3429" s="221"/>
      <c r="K3429" s="221"/>
      <c r="L3429" s="221"/>
      <c r="M3429" s="221"/>
    </row>
    <row r="3430" spans="5:13">
      <c r="E3430" s="221"/>
      <c r="F3430" s="221"/>
      <c r="G3430" s="221"/>
      <c r="H3430" s="229" t="s">
        <v>2702</v>
      </c>
      <c r="I3430" s="221"/>
      <c r="J3430" s="221"/>
      <c r="K3430" s="221"/>
      <c r="L3430" s="221"/>
      <c r="M3430" s="221"/>
    </row>
    <row r="3431" spans="5:13">
      <c r="E3431" s="221"/>
      <c r="F3431" s="221"/>
      <c r="G3431" s="221"/>
      <c r="H3431" s="221"/>
      <c r="I3431" s="221"/>
      <c r="J3431" s="221"/>
      <c r="K3431" s="221"/>
      <c r="L3431" s="221"/>
      <c r="M3431" s="221"/>
    </row>
    <row r="3432" spans="5:13">
      <c r="E3432" s="221"/>
      <c r="F3432" s="221"/>
      <c r="G3432" s="221"/>
      <c r="H3432" s="229" t="s">
        <v>2703</v>
      </c>
      <c r="I3432" s="221"/>
      <c r="J3432" s="221"/>
      <c r="K3432" s="221"/>
      <c r="L3432" s="221"/>
      <c r="M3432" s="221"/>
    </row>
    <row r="3433" spans="5:13">
      <c r="E3433" s="221"/>
      <c r="F3433" s="221"/>
      <c r="G3433" s="221"/>
      <c r="H3433" s="221"/>
      <c r="I3433" s="221"/>
      <c r="J3433" s="221"/>
      <c r="K3433" s="221"/>
      <c r="L3433" s="221"/>
      <c r="M3433" s="221"/>
    </row>
    <row r="3434" spans="5:13" ht="81" customHeight="1">
      <c r="E3434" s="221"/>
      <c r="F3434" s="221"/>
      <c r="G3434" s="221"/>
      <c r="H3434" s="220" t="s">
        <v>2392</v>
      </c>
      <c r="I3434" s="221"/>
      <c r="J3434" s="221"/>
      <c r="K3434" s="221"/>
      <c r="L3434" s="221"/>
      <c r="M3434" s="221"/>
    </row>
    <row r="3435" spans="5:13">
      <c r="E3435" s="221"/>
      <c r="F3435" s="221"/>
      <c r="G3435" s="221"/>
      <c r="H3435" s="221"/>
      <c r="I3435" s="221"/>
      <c r="J3435" s="221"/>
      <c r="K3435" s="221"/>
      <c r="L3435" s="221"/>
      <c r="M3435" s="221"/>
    </row>
    <row r="3436" spans="5:13">
      <c r="E3436" s="221"/>
      <c r="F3436" s="221">
        <v>1</v>
      </c>
      <c r="G3436" s="221" t="s">
        <v>1414</v>
      </c>
      <c r="H3436" s="221" t="s">
        <v>4401</v>
      </c>
      <c r="I3436" s="260">
        <v>45.6</v>
      </c>
      <c r="J3436" s="221" t="s">
        <v>1414</v>
      </c>
      <c r="K3436" s="221">
        <f>F3436*I3436</f>
        <v>45.6</v>
      </c>
      <c r="L3436" s="221"/>
      <c r="M3436" s="221"/>
    </row>
    <row r="3437" spans="5:13">
      <c r="E3437" s="221"/>
      <c r="F3437" s="221">
        <v>1</v>
      </c>
      <c r="G3437" s="221" t="s">
        <v>1414</v>
      </c>
      <c r="H3437" s="220" t="s">
        <v>2393</v>
      </c>
      <c r="I3437" s="221">
        <f>K3443</f>
        <v>240.89</v>
      </c>
      <c r="J3437" s="221" t="s">
        <v>1414</v>
      </c>
      <c r="K3437" s="221">
        <f>F3437*I3437</f>
        <v>240.89</v>
      </c>
      <c r="L3437" s="221"/>
      <c r="M3437" s="221"/>
    </row>
    <row r="3438" spans="5:13">
      <c r="E3438" s="221"/>
      <c r="F3438" s="221">
        <v>1</v>
      </c>
      <c r="G3438" s="221" t="s">
        <v>1414</v>
      </c>
      <c r="H3438" s="221" t="s">
        <v>2394</v>
      </c>
      <c r="I3438" s="274">
        <v>25</v>
      </c>
      <c r="J3438" s="221" t="s">
        <v>2395</v>
      </c>
      <c r="K3438" s="221">
        <f>F3438*I3438</f>
        <v>25</v>
      </c>
      <c r="L3438" s="221"/>
      <c r="M3438" s="221"/>
    </row>
    <row r="3439" spans="5:13">
      <c r="E3439" s="221"/>
      <c r="F3439" s="221"/>
      <c r="G3439" s="221"/>
      <c r="H3439" s="221" t="s">
        <v>142</v>
      </c>
      <c r="I3439" s="221"/>
      <c r="J3439" s="221"/>
      <c r="K3439" s="221">
        <f>K3449</f>
        <v>456</v>
      </c>
      <c r="L3439" s="221"/>
      <c r="M3439" s="221"/>
    </row>
    <row r="3440" spans="5:13">
      <c r="E3440" s="221"/>
      <c r="F3440" s="221"/>
      <c r="G3440" s="221"/>
      <c r="H3440" s="221" t="s">
        <v>2396</v>
      </c>
      <c r="I3440" s="221"/>
      <c r="J3440" s="221"/>
      <c r="K3440" s="221">
        <v>8.01</v>
      </c>
      <c r="L3440" s="221"/>
      <c r="M3440" s="221"/>
    </row>
    <row r="3441" spans="5:13">
      <c r="E3441" s="221"/>
      <c r="F3441" s="221"/>
      <c r="G3441" s="221"/>
      <c r="H3441" s="228" t="s">
        <v>2397</v>
      </c>
      <c r="I3441" s="221"/>
      <c r="J3441" s="221"/>
      <c r="K3441" s="229">
        <f>SUM(K3436:K3440)</f>
        <v>775.5</v>
      </c>
      <c r="L3441" s="221"/>
      <c r="M3441" s="221"/>
    </row>
    <row r="3442" spans="5:13" ht="8.25" customHeight="1">
      <c r="E3442" s="221"/>
      <c r="F3442" s="221"/>
      <c r="G3442" s="221"/>
      <c r="H3442" s="221"/>
      <c r="I3442" s="221"/>
      <c r="J3442" s="221"/>
      <c r="K3442" s="221"/>
      <c r="L3442" s="221"/>
      <c r="M3442" s="221"/>
    </row>
    <row r="3443" spans="5:13">
      <c r="E3443" s="221"/>
      <c r="F3443" s="221"/>
      <c r="G3443" s="221"/>
      <c r="H3443" s="229" t="s">
        <v>2398</v>
      </c>
      <c r="I3443" s="221">
        <f>I3421</f>
        <v>107060</v>
      </c>
      <c r="J3443" s="241">
        <v>2.2499999999999998E-3</v>
      </c>
      <c r="K3443" s="221">
        <f>I3443*J3443</f>
        <v>240.89</v>
      </c>
      <c r="L3443" s="221"/>
      <c r="M3443" s="221"/>
    </row>
    <row r="3444" spans="5:13" ht="7.5" customHeight="1">
      <c r="E3444" s="221"/>
      <c r="F3444" s="221"/>
      <c r="G3444" s="221"/>
      <c r="H3444" s="221"/>
      <c r="I3444" s="221"/>
      <c r="J3444" s="221"/>
      <c r="K3444" s="221"/>
      <c r="L3444" s="221"/>
      <c r="M3444" s="221"/>
    </row>
    <row r="3445" spans="5:13">
      <c r="E3445" s="221"/>
      <c r="F3445" s="221"/>
      <c r="G3445" s="221"/>
      <c r="H3445" s="229" t="s">
        <v>924</v>
      </c>
      <c r="I3445" s="221"/>
      <c r="J3445" s="221"/>
      <c r="K3445" s="221"/>
      <c r="L3445" s="221"/>
      <c r="M3445" s="221"/>
    </row>
    <row r="3446" spans="5:13">
      <c r="E3446" s="221"/>
      <c r="F3446" s="221">
        <v>1</v>
      </c>
      <c r="G3446" s="221" t="s">
        <v>1414</v>
      </c>
      <c r="H3446" s="221" t="s">
        <v>2800</v>
      </c>
      <c r="I3446" s="88">
        <f>I3424</f>
        <v>712</v>
      </c>
      <c r="J3446" s="221" t="s">
        <v>1414</v>
      </c>
      <c r="K3446" s="221">
        <f>F3446*I3446</f>
        <v>712</v>
      </c>
      <c r="L3446" s="221"/>
      <c r="M3446" s="221"/>
    </row>
    <row r="3447" spans="5:13">
      <c r="E3447" s="221"/>
      <c r="F3447" s="221">
        <v>2</v>
      </c>
      <c r="G3447" s="221" t="s">
        <v>1414</v>
      </c>
      <c r="H3447" s="221" t="s">
        <v>2620</v>
      </c>
      <c r="I3447" s="88">
        <f>I3426</f>
        <v>556</v>
      </c>
      <c r="J3447" s="221" t="s">
        <v>1414</v>
      </c>
      <c r="K3447" s="221">
        <f>F3447*I3447</f>
        <v>1112</v>
      </c>
      <c r="L3447" s="221"/>
      <c r="M3447" s="221"/>
    </row>
    <row r="3448" spans="5:13">
      <c r="E3448" s="221"/>
      <c r="F3448" s="221"/>
      <c r="G3448" s="221"/>
      <c r="H3448" s="226" t="s">
        <v>2801</v>
      </c>
      <c r="I3448" s="221"/>
      <c r="J3448" s="221"/>
      <c r="K3448" s="221">
        <f>SUM(K3446:K3447)</f>
        <v>1824</v>
      </c>
      <c r="L3448" s="221"/>
      <c r="M3448" s="221"/>
    </row>
    <row r="3449" spans="5:13">
      <c r="E3449" s="221"/>
      <c r="F3449" s="221"/>
      <c r="G3449" s="221"/>
      <c r="H3449" s="228" t="s">
        <v>2826</v>
      </c>
      <c r="I3449" s="221"/>
      <c r="J3449" s="221"/>
      <c r="K3449" s="229">
        <f>K3448/4</f>
        <v>456</v>
      </c>
      <c r="L3449" s="221"/>
      <c r="M3449" s="221"/>
    </row>
    <row r="3450" spans="5:13">
      <c r="E3450" s="221"/>
      <c r="F3450" s="221"/>
      <c r="G3450" s="221"/>
      <c r="H3450" s="221"/>
      <c r="I3450" s="221"/>
      <c r="J3450" s="221"/>
      <c r="K3450" s="221"/>
      <c r="L3450" s="221"/>
      <c r="M3450" s="221"/>
    </row>
    <row r="3451" spans="5:13">
      <c r="E3451" s="221"/>
      <c r="F3451" s="221"/>
      <c r="G3451" s="221"/>
      <c r="H3451" s="229" t="s">
        <v>2399</v>
      </c>
      <c r="I3451" s="221"/>
      <c r="J3451" s="221"/>
      <c r="K3451" s="221"/>
      <c r="L3451" s="221"/>
      <c r="M3451" s="221"/>
    </row>
    <row r="3452" spans="5:13">
      <c r="E3452" s="221"/>
      <c r="F3452" s="221"/>
      <c r="G3452" s="221"/>
      <c r="H3452" s="229" t="s">
        <v>2400</v>
      </c>
      <c r="I3452" s="221"/>
      <c r="J3452" s="221"/>
      <c r="K3452" s="221"/>
      <c r="L3452" s="221"/>
      <c r="M3452" s="221"/>
    </row>
    <row r="3453" spans="5:13">
      <c r="E3453" s="221"/>
      <c r="F3453" s="221"/>
      <c r="G3453" s="221"/>
      <c r="H3453" s="221" t="s">
        <v>987</v>
      </c>
      <c r="I3453" s="221"/>
      <c r="J3453" s="221"/>
      <c r="K3453" s="221"/>
      <c r="L3453" s="221"/>
      <c r="M3453" s="221"/>
    </row>
    <row r="3454" spans="5:13">
      <c r="E3454" s="221"/>
      <c r="F3454" s="221">
        <v>1</v>
      </c>
      <c r="G3454" s="221" t="s">
        <v>1414</v>
      </c>
      <c r="H3454" s="221" t="s">
        <v>2527</v>
      </c>
      <c r="I3454" s="260">
        <f>Elec.Data!I3454</f>
        <v>1754</v>
      </c>
      <c r="J3454" s="221" t="s">
        <v>1414</v>
      </c>
      <c r="K3454" s="221">
        <f>F3454*I3454</f>
        <v>1754</v>
      </c>
      <c r="L3454" s="221"/>
      <c r="M3454" s="221"/>
    </row>
    <row r="3455" spans="5:13">
      <c r="E3455" s="221"/>
      <c r="F3455" s="221">
        <v>3</v>
      </c>
      <c r="G3455" s="221" t="s">
        <v>1414</v>
      </c>
      <c r="H3455" s="221" t="str">
        <f>Elec.Data!H3455</f>
        <v>3 No of 30 amps MCB ( Part -L, P-132   6-a havells)</v>
      </c>
      <c r="I3455" s="260">
        <f>Elec.Data!I3455</f>
        <v>127</v>
      </c>
      <c r="J3455" s="221" t="s">
        <v>1414</v>
      </c>
      <c r="K3455" s="221">
        <f>F3455*I3455</f>
        <v>381</v>
      </c>
      <c r="L3455" s="221"/>
      <c r="M3455" s="221"/>
    </row>
    <row r="3456" spans="5:13">
      <c r="E3456" s="221"/>
      <c r="F3456" s="221"/>
      <c r="G3456" s="221"/>
      <c r="H3456" s="221" t="s">
        <v>2528</v>
      </c>
      <c r="I3456" s="221"/>
      <c r="J3456" s="221"/>
      <c r="K3456" s="221">
        <f>K3348</f>
        <v>515</v>
      </c>
      <c r="L3456" s="221"/>
      <c r="M3456" s="221"/>
    </row>
    <row r="3457" spans="5:13">
      <c r="E3457" s="221"/>
      <c r="F3457" s="221"/>
      <c r="G3457" s="221"/>
      <c r="H3457" s="221" t="s">
        <v>2296</v>
      </c>
      <c r="I3457" s="221"/>
      <c r="J3457" s="221"/>
      <c r="K3457" s="221">
        <v>0</v>
      </c>
      <c r="L3457" s="221"/>
      <c r="M3457" s="221"/>
    </row>
    <row r="3458" spans="5:13">
      <c r="E3458" s="221"/>
      <c r="F3458" s="221"/>
      <c r="G3458" s="221"/>
      <c r="H3458" s="228" t="s">
        <v>2529</v>
      </c>
      <c r="I3458" s="221"/>
      <c r="J3458" s="221"/>
      <c r="K3458" s="229">
        <f>SUM(K3454:K3457)</f>
        <v>2650</v>
      </c>
      <c r="L3458" s="221"/>
      <c r="M3458" s="221"/>
    </row>
    <row r="3459" spans="5:13">
      <c r="E3459" s="221"/>
      <c r="F3459" s="221"/>
      <c r="G3459" s="221"/>
      <c r="H3459" s="221"/>
      <c r="I3459" s="221"/>
      <c r="J3459" s="221"/>
      <c r="K3459" s="221"/>
      <c r="L3459" s="221"/>
      <c r="M3459" s="221"/>
    </row>
    <row r="3460" spans="5:13">
      <c r="E3460" s="221"/>
      <c r="F3460" s="221"/>
      <c r="G3460" s="221"/>
      <c r="H3460" s="229" t="s">
        <v>2399</v>
      </c>
      <c r="I3460" s="221"/>
      <c r="J3460" s="221"/>
      <c r="K3460" s="221"/>
      <c r="L3460" s="221"/>
      <c r="M3460" s="221"/>
    </row>
    <row r="3461" spans="5:13">
      <c r="E3461" s="221"/>
      <c r="F3461" s="221"/>
      <c r="G3461" s="221"/>
      <c r="H3461" s="221"/>
      <c r="I3461" s="221"/>
      <c r="J3461" s="221"/>
      <c r="K3461" s="221"/>
      <c r="L3461" s="221"/>
      <c r="M3461" s="221"/>
    </row>
    <row r="3462" spans="5:13">
      <c r="E3462" s="221"/>
      <c r="F3462" s="221"/>
      <c r="G3462" s="221"/>
      <c r="H3462" s="229" t="s">
        <v>2530</v>
      </c>
      <c r="I3462" s="221"/>
      <c r="J3462" s="221"/>
      <c r="K3462" s="221"/>
      <c r="L3462" s="221"/>
      <c r="M3462" s="221"/>
    </row>
    <row r="3463" spans="5:13">
      <c r="E3463" s="221"/>
      <c r="F3463" s="221"/>
      <c r="G3463" s="221"/>
      <c r="H3463" s="221"/>
      <c r="I3463" s="221"/>
      <c r="J3463" s="221"/>
      <c r="K3463" s="221"/>
      <c r="L3463" s="221"/>
      <c r="M3463" s="221"/>
    </row>
    <row r="3464" spans="5:13">
      <c r="E3464" s="221"/>
      <c r="F3464" s="221">
        <v>1</v>
      </c>
      <c r="G3464" s="221" t="s">
        <v>1414</v>
      </c>
      <c r="H3464" s="221" t="str">
        <f>Elec.Data!H3454</f>
        <v>Single phase ELCB (ISI 25 Amps 30 MA)P-94  9-b</v>
      </c>
      <c r="I3464" s="260">
        <f>K3389</f>
        <v>1858</v>
      </c>
      <c r="J3464" s="221" t="s">
        <v>1414</v>
      </c>
      <c r="K3464" s="221">
        <f>F3464*I3464</f>
        <v>1858</v>
      </c>
      <c r="L3464" s="221"/>
      <c r="M3464" s="221"/>
    </row>
    <row r="3465" spans="5:13">
      <c r="E3465" s="221"/>
      <c r="F3465" s="221">
        <v>3</v>
      </c>
      <c r="G3465" s="221" t="s">
        <v>1414</v>
      </c>
      <c r="H3465" s="221" t="str">
        <f>Elec.Data!H3455</f>
        <v>3 No of 30 amps MCB ( Part -L, P-132   6-a havells)</v>
      </c>
      <c r="I3465" s="221">
        <f>I3455</f>
        <v>127</v>
      </c>
      <c r="J3465" s="221" t="s">
        <v>1414</v>
      </c>
      <c r="K3465" s="221">
        <f>F3465*I3465</f>
        <v>381</v>
      </c>
      <c r="L3465" s="221"/>
      <c r="M3465" s="221"/>
    </row>
    <row r="3466" spans="5:13">
      <c r="E3466" s="221"/>
      <c r="F3466" s="221"/>
      <c r="G3466" s="221"/>
      <c r="H3466" s="221" t="s">
        <v>2894</v>
      </c>
      <c r="I3466" s="221"/>
      <c r="J3466" s="221"/>
      <c r="K3466" s="221">
        <f>K3379</f>
        <v>528</v>
      </c>
      <c r="L3466" s="221"/>
      <c r="M3466" s="221"/>
    </row>
    <row r="3467" spans="5:13">
      <c r="E3467" s="221"/>
      <c r="F3467" s="221"/>
      <c r="G3467" s="221"/>
      <c r="H3467" s="221" t="s">
        <v>2296</v>
      </c>
      <c r="I3467" s="221"/>
      <c r="J3467" s="221"/>
      <c r="K3467" s="221"/>
      <c r="L3467" s="221"/>
      <c r="M3467" s="221"/>
    </row>
    <row r="3468" spans="5:13">
      <c r="E3468" s="221"/>
      <c r="F3468" s="221"/>
      <c r="G3468" s="221"/>
      <c r="H3468" s="228" t="s">
        <v>2895</v>
      </c>
      <c r="I3468" s="221"/>
      <c r="J3468" s="221"/>
      <c r="K3468" s="229">
        <f>SUM(K3464:K3467)</f>
        <v>2767</v>
      </c>
      <c r="L3468" s="221"/>
      <c r="M3468" s="221"/>
    </row>
    <row r="3469" spans="5:13">
      <c r="E3469" s="221"/>
      <c r="F3469" s="221"/>
      <c r="G3469" s="221"/>
      <c r="H3469" s="221"/>
      <c r="I3469" s="221"/>
      <c r="J3469" s="221"/>
      <c r="K3469" s="221"/>
      <c r="L3469" s="221"/>
      <c r="M3469" s="221"/>
    </row>
    <row r="3470" spans="5:13">
      <c r="E3470" s="221"/>
      <c r="F3470" s="221"/>
      <c r="G3470" s="221"/>
      <c r="H3470" s="229" t="s">
        <v>2896</v>
      </c>
      <c r="I3470" s="221"/>
      <c r="J3470" s="221"/>
      <c r="K3470" s="221"/>
      <c r="L3470" s="221"/>
      <c r="M3470" s="221"/>
    </row>
    <row r="3471" spans="5:13">
      <c r="E3471" s="221"/>
      <c r="F3471" s="221"/>
      <c r="G3471" s="221"/>
      <c r="H3471" s="221"/>
      <c r="I3471" s="221"/>
      <c r="J3471" s="221"/>
      <c r="K3471" s="221"/>
      <c r="L3471" s="221"/>
      <c r="M3471" s="221"/>
    </row>
    <row r="3472" spans="5:13">
      <c r="E3472" s="221"/>
      <c r="F3472" s="221"/>
      <c r="G3472" s="221"/>
      <c r="H3472" s="229" t="s">
        <v>2897</v>
      </c>
      <c r="I3472" s="221"/>
      <c r="J3472" s="221"/>
      <c r="K3472" s="221"/>
      <c r="L3472" s="221"/>
      <c r="M3472" s="221"/>
    </row>
    <row r="3473" spans="5:13">
      <c r="E3473" s="221"/>
      <c r="F3473" s="221"/>
      <c r="G3473" s="221"/>
      <c r="H3473" s="221"/>
      <c r="I3473" s="221"/>
      <c r="J3473" s="221"/>
      <c r="K3473" s="221"/>
      <c r="L3473" s="221"/>
      <c r="M3473" s="221"/>
    </row>
    <row r="3474" spans="5:13" ht="78.75">
      <c r="E3474" s="221"/>
      <c r="F3474" s="221"/>
      <c r="G3474" s="221"/>
      <c r="H3474" s="220" t="s">
        <v>3436</v>
      </c>
      <c r="I3474" s="221"/>
      <c r="J3474" s="221"/>
      <c r="K3474" s="221"/>
      <c r="L3474" s="221"/>
      <c r="M3474" s="221"/>
    </row>
    <row r="3475" spans="5:13">
      <c r="E3475" s="221"/>
      <c r="F3475" s="221"/>
      <c r="G3475" s="221"/>
      <c r="H3475" s="221"/>
      <c r="I3475" s="221"/>
      <c r="J3475" s="221"/>
      <c r="K3475" s="221"/>
      <c r="L3475" s="221"/>
      <c r="M3475" s="221"/>
    </row>
    <row r="3476" spans="5:13" ht="24.95" customHeight="1">
      <c r="E3476" s="221"/>
      <c r="F3476" s="221">
        <v>3</v>
      </c>
      <c r="G3476" s="221" t="s">
        <v>1414</v>
      </c>
      <c r="H3476" s="221" t="s">
        <v>2898</v>
      </c>
      <c r="I3476" s="221">
        <f>I3396</f>
        <v>84.4</v>
      </c>
      <c r="J3476" s="221" t="s">
        <v>1414</v>
      </c>
      <c r="K3476" s="221">
        <f>F3476*I3476</f>
        <v>253.2</v>
      </c>
      <c r="L3476" s="221"/>
      <c r="M3476" s="221"/>
    </row>
    <row r="3477" spans="5:13" ht="24.95" customHeight="1">
      <c r="E3477" s="221"/>
      <c r="F3477" s="221">
        <v>1</v>
      </c>
      <c r="G3477" s="221" t="s">
        <v>1414</v>
      </c>
      <c r="H3477" s="220" t="s">
        <v>2899</v>
      </c>
      <c r="I3477" s="221">
        <f>K3483</f>
        <v>361.33</v>
      </c>
      <c r="J3477" s="221" t="s">
        <v>1414</v>
      </c>
      <c r="K3477" s="221">
        <f>F3477*I3477</f>
        <v>361.33</v>
      </c>
      <c r="L3477" s="221"/>
      <c r="M3477" s="221"/>
    </row>
    <row r="3478" spans="5:13" ht="24.95" customHeight="1">
      <c r="E3478" s="221"/>
      <c r="F3478" s="221">
        <v>1</v>
      </c>
      <c r="G3478" s="221" t="s">
        <v>1414</v>
      </c>
      <c r="H3478" s="221" t="s">
        <v>2394</v>
      </c>
      <c r="I3478" s="221">
        <f>I3438</f>
        <v>25</v>
      </c>
      <c r="J3478" s="221" t="s">
        <v>2395</v>
      </c>
      <c r="K3478" s="221">
        <f>F3478*I3478</f>
        <v>25</v>
      </c>
      <c r="L3478" s="221"/>
      <c r="M3478" s="221"/>
    </row>
    <row r="3479" spans="5:13" ht="24.95" customHeight="1">
      <c r="E3479" s="221"/>
      <c r="F3479" s="221"/>
      <c r="G3479" s="221"/>
      <c r="H3479" s="221" t="s">
        <v>142</v>
      </c>
      <c r="I3479" s="221"/>
      <c r="J3479" s="221"/>
      <c r="K3479" s="221">
        <f>K3489</f>
        <v>608</v>
      </c>
      <c r="L3479" s="221"/>
      <c r="M3479" s="221"/>
    </row>
    <row r="3480" spans="5:13">
      <c r="E3480" s="221"/>
      <c r="F3480" s="221"/>
      <c r="G3480" s="221"/>
      <c r="H3480" s="221" t="s">
        <v>2396</v>
      </c>
      <c r="I3480" s="221"/>
      <c r="J3480" s="221"/>
      <c r="K3480" s="221">
        <f>3.77+0.47</f>
        <v>4.24</v>
      </c>
      <c r="L3480" s="221"/>
      <c r="M3480" s="221"/>
    </row>
    <row r="3481" spans="5:13" ht="24.95" customHeight="1">
      <c r="E3481" s="221"/>
      <c r="F3481" s="221"/>
      <c r="G3481" s="221"/>
      <c r="H3481" s="228" t="s">
        <v>2397</v>
      </c>
      <c r="I3481" s="221"/>
      <c r="J3481" s="221"/>
      <c r="K3481" s="229">
        <f>SUM(K3476:K3480)</f>
        <v>1251.77</v>
      </c>
      <c r="L3481" s="221">
        <f>K3481-1032</f>
        <v>219.77</v>
      </c>
      <c r="M3481" s="221"/>
    </row>
    <row r="3482" spans="5:13">
      <c r="E3482" s="221"/>
      <c r="F3482" s="221"/>
      <c r="G3482" s="221"/>
      <c r="H3482" s="221"/>
      <c r="I3482" s="221"/>
      <c r="J3482" s="221"/>
      <c r="K3482" s="221"/>
      <c r="L3482" s="221"/>
      <c r="M3482" s="221"/>
    </row>
    <row r="3483" spans="5:13">
      <c r="E3483" s="221"/>
      <c r="F3483" s="221"/>
      <c r="G3483" s="221"/>
      <c r="H3483" s="229" t="s">
        <v>2900</v>
      </c>
      <c r="I3483" s="221">
        <f>I3443</f>
        <v>107060</v>
      </c>
      <c r="J3483" s="241">
        <v>3.375E-3</v>
      </c>
      <c r="K3483" s="221">
        <f>I3483*J3483</f>
        <v>361.33</v>
      </c>
      <c r="L3483" s="221"/>
      <c r="M3483" s="221"/>
    </row>
    <row r="3484" spans="5:13">
      <c r="E3484" s="221"/>
      <c r="F3484" s="221"/>
      <c r="G3484" s="221"/>
      <c r="H3484" s="221"/>
      <c r="I3484" s="221"/>
      <c r="J3484" s="221"/>
      <c r="K3484" s="221"/>
      <c r="L3484" s="221"/>
      <c r="M3484" s="221"/>
    </row>
    <row r="3485" spans="5:13" ht="21.75" customHeight="1">
      <c r="E3485" s="221"/>
      <c r="F3485" s="221"/>
      <c r="G3485" s="221"/>
      <c r="H3485" s="227" t="s">
        <v>924</v>
      </c>
      <c r="I3485" s="221"/>
      <c r="J3485" s="221"/>
      <c r="K3485" s="221"/>
      <c r="L3485" s="221"/>
      <c r="M3485" s="221"/>
    </row>
    <row r="3486" spans="5:13" ht="21.75" customHeight="1">
      <c r="E3486" s="221"/>
      <c r="F3486" s="221">
        <v>1</v>
      </c>
      <c r="G3486" s="221" t="s">
        <v>1414</v>
      </c>
      <c r="H3486" s="221" t="s">
        <v>2800</v>
      </c>
      <c r="I3486" s="221">
        <f>I3446</f>
        <v>712</v>
      </c>
      <c r="J3486" s="221" t="s">
        <v>1414</v>
      </c>
      <c r="K3486" s="221">
        <f>F3486*I3486</f>
        <v>712</v>
      </c>
      <c r="L3486" s="221"/>
      <c r="M3486" s="221"/>
    </row>
    <row r="3487" spans="5:13" ht="21.75" customHeight="1">
      <c r="E3487" s="221"/>
      <c r="F3487" s="221">
        <v>2</v>
      </c>
      <c r="G3487" s="221" t="s">
        <v>1414</v>
      </c>
      <c r="H3487" s="221" t="s">
        <v>2620</v>
      </c>
      <c r="I3487" s="221">
        <f>I3447</f>
        <v>556</v>
      </c>
      <c r="J3487" s="221" t="s">
        <v>1414</v>
      </c>
      <c r="K3487" s="221">
        <f>F3487*I3487</f>
        <v>1112</v>
      </c>
      <c r="L3487" s="221"/>
      <c r="M3487" s="221"/>
    </row>
    <row r="3488" spans="5:13" ht="21.75" customHeight="1">
      <c r="E3488" s="221"/>
      <c r="F3488" s="221"/>
      <c r="G3488" s="221"/>
      <c r="H3488" s="226" t="s">
        <v>2901</v>
      </c>
      <c r="I3488" s="221"/>
      <c r="J3488" s="229"/>
      <c r="K3488" s="230">
        <f>SUM(K3486:K3487)</f>
        <v>1824</v>
      </c>
      <c r="L3488" s="221"/>
      <c r="M3488" s="221"/>
    </row>
    <row r="3489" spans="5:18" ht="21.75" customHeight="1">
      <c r="E3489" s="221"/>
      <c r="F3489" s="221"/>
      <c r="G3489" s="221"/>
      <c r="H3489" s="228" t="s">
        <v>2826</v>
      </c>
      <c r="I3489" s="221"/>
      <c r="J3489" s="229"/>
      <c r="K3489" s="229">
        <f>K3488/3</f>
        <v>608</v>
      </c>
      <c r="L3489" s="221"/>
      <c r="M3489" s="221"/>
    </row>
    <row r="3490" spans="5:18">
      <c r="E3490" s="221"/>
      <c r="F3490" s="221"/>
      <c r="G3490" s="221"/>
      <c r="H3490" s="221"/>
      <c r="I3490" s="221"/>
      <c r="J3490" s="221"/>
      <c r="K3490" s="221"/>
      <c r="L3490" s="221"/>
      <c r="M3490" s="221"/>
    </row>
    <row r="3491" spans="5:18">
      <c r="E3491" s="221"/>
      <c r="F3491" s="221"/>
      <c r="G3491" s="221"/>
      <c r="H3491" s="229" t="s">
        <v>2902</v>
      </c>
      <c r="I3491" s="221"/>
      <c r="J3491" s="221"/>
      <c r="K3491" s="221"/>
      <c r="L3491" s="221"/>
      <c r="M3491" s="221"/>
    </row>
    <row r="3492" spans="5:18">
      <c r="E3492" s="221"/>
      <c r="F3492" s="221"/>
      <c r="G3492" s="221"/>
      <c r="H3492" s="221"/>
      <c r="I3492" s="221"/>
      <c r="J3492" s="221"/>
      <c r="K3492" s="221"/>
      <c r="L3492" s="221"/>
      <c r="M3492" s="221"/>
    </row>
    <row r="3493" spans="5:18" ht="61.5" customHeight="1">
      <c r="E3493" s="221"/>
      <c r="F3493" s="221"/>
      <c r="G3493" s="221"/>
      <c r="H3493" s="219" t="s">
        <v>2733</v>
      </c>
      <c r="I3493" s="221"/>
      <c r="J3493" s="221"/>
      <c r="K3493" s="221"/>
      <c r="L3493" s="221"/>
      <c r="M3493" s="221"/>
      <c r="N3493" s="221"/>
      <c r="O3493" s="219" t="s">
        <v>304</v>
      </c>
      <c r="P3493" s="221"/>
      <c r="Q3493" s="221"/>
      <c r="R3493" s="221"/>
    </row>
    <row r="3494" spans="5:18" ht="36" customHeight="1">
      <c r="E3494" s="221"/>
      <c r="F3494" s="221">
        <v>180</v>
      </c>
      <c r="G3494" s="221" t="s">
        <v>835</v>
      </c>
      <c r="H3494" s="220" t="s">
        <v>3953</v>
      </c>
      <c r="I3494" s="222">
        <f>I3112</f>
        <v>32.200000000000003</v>
      </c>
      <c r="J3494" s="221" t="s">
        <v>835</v>
      </c>
      <c r="K3494" s="221">
        <f>F3494*I3494</f>
        <v>5796</v>
      </c>
      <c r="L3494" s="221"/>
      <c r="M3494" s="221">
        <v>180</v>
      </c>
      <c r="N3494" s="221" t="s">
        <v>835</v>
      </c>
      <c r="O3494" s="220" t="s">
        <v>305</v>
      </c>
      <c r="P3494" s="222">
        <f>I3101</f>
        <v>20.3</v>
      </c>
      <c r="Q3494" s="221" t="s">
        <v>835</v>
      </c>
      <c r="R3494" s="221">
        <f>M3494*P3494</f>
        <v>3654</v>
      </c>
    </row>
    <row r="3495" spans="5:18" ht="24.95" customHeight="1">
      <c r="E3495" s="221"/>
      <c r="F3495" s="221">
        <v>4</v>
      </c>
      <c r="G3495" s="221" t="s">
        <v>1670</v>
      </c>
      <c r="H3495" s="221" t="s">
        <v>3381</v>
      </c>
      <c r="I3495" s="222">
        <v>89.7</v>
      </c>
      <c r="J3495" s="221" t="s">
        <v>1670</v>
      </c>
      <c r="K3495" s="221">
        <f>F3495*I3495</f>
        <v>358.8</v>
      </c>
      <c r="L3495" s="221"/>
      <c r="M3495" s="221">
        <v>4</v>
      </c>
      <c r="N3495" s="221" t="s">
        <v>1670</v>
      </c>
      <c r="O3495" s="221" t="s">
        <v>3381</v>
      </c>
      <c r="P3495" s="222">
        <f>I3495</f>
        <v>89.7</v>
      </c>
      <c r="Q3495" s="221" t="s">
        <v>1670</v>
      </c>
      <c r="R3495" s="221">
        <f>M3495*P3495</f>
        <v>358.8</v>
      </c>
    </row>
    <row r="3496" spans="5:18" ht="24.95" customHeight="1">
      <c r="E3496" s="221"/>
      <c r="F3496" s="221">
        <v>180</v>
      </c>
      <c r="G3496" s="221" t="s">
        <v>1418</v>
      </c>
      <c r="H3496" s="221" t="s">
        <v>2735</v>
      </c>
      <c r="I3496" s="222">
        <f>ROUND(6.7/12,2)</f>
        <v>0.56000000000000005</v>
      </c>
      <c r="J3496" s="221" t="s">
        <v>1418</v>
      </c>
      <c r="K3496" s="221">
        <f>F3496*I3496</f>
        <v>100.8</v>
      </c>
      <c r="L3496" s="221"/>
      <c r="M3496" s="221">
        <v>180</v>
      </c>
      <c r="N3496" s="221" t="s">
        <v>1418</v>
      </c>
      <c r="O3496" s="221" t="s">
        <v>2735</v>
      </c>
      <c r="P3496" s="222">
        <f>I3496</f>
        <v>0.56000000000000005</v>
      </c>
      <c r="Q3496" s="221" t="s">
        <v>1418</v>
      </c>
      <c r="R3496" s="221">
        <f>M3496*P3496</f>
        <v>100.8</v>
      </c>
    </row>
    <row r="3497" spans="5:18" ht="24.95" customHeight="1">
      <c r="E3497" s="221"/>
      <c r="F3497" s="221">
        <v>1</v>
      </c>
      <c r="G3497" s="221" t="s">
        <v>1670</v>
      </c>
      <c r="H3497" s="221" t="s">
        <v>2736</v>
      </c>
      <c r="I3497" s="222">
        <f>I3495</f>
        <v>89.7</v>
      </c>
      <c r="J3497" s="221" t="s">
        <v>1670</v>
      </c>
      <c r="K3497" s="221">
        <f>F3497*I3497</f>
        <v>89.7</v>
      </c>
      <c r="L3497" s="221"/>
      <c r="M3497" s="221">
        <v>1</v>
      </c>
      <c r="N3497" s="221" t="s">
        <v>1670</v>
      </c>
      <c r="O3497" s="221" t="s">
        <v>2736</v>
      </c>
      <c r="P3497" s="222">
        <f>I3497</f>
        <v>89.7</v>
      </c>
      <c r="Q3497" s="221" t="s">
        <v>1670</v>
      </c>
      <c r="R3497" s="221">
        <f>M3497*P3497</f>
        <v>89.7</v>
      </c>
    </row>
    <row r="3498" spans="5:18" ht="24.95" customHeight="1">
      <c r="E3498" s="221"/>
      <c r="F3498" s="221"/>
      <c r="G3498" s="221"/>
      <c r="H3498" s="221" t="s">
        <v>924</v>
      </c>
      <c r="I3498" s="221"/>
      <c r="J3498" s="221"/>
      <c r="K3498" s="221">
        <f>K3507</f>
        <v>5325</v>
      </c>
      <c r="L3498" s="221"/>
      <c r="M3498" s="221"/>
      <c r="N3498" s="221"/>
      <c r="O3498" s="221" t="s">
        <v>924</v>
      </c>
      <c r="P3498" s="221"/>
      <c r="Q3498" s="221"/>
      <c r="R3498" s="221">
        <f>R3507</f>
        <v>5325</v>
      </c>
    </row>
    <row r="3499" spans="5:18" ht="24.95" customHeight="1">
      <c r="E3499" s="221"/>
      <c r="F3499" s="221"/>
      <c r="G3499" s="221"/>
      <c r="H3499" s="221" t="s">
        <v>2737</v>
      </c>
      <c r="I3499" s="221"/>
      <c r="J3499" s="221"/>
      <c r="K3499" s="221">
        <v>38</v>
      </c>
      <c r="L3499" s="221">
        <v>26.5</v>
      </c>
      <c r="M3499" s="221"/>
      <c r="N3499" s="221"/>
      <c r="O3499" s="221" t="s">
        <v>2737</v>
      </c>
      <c r="P3499" s="221"/>
      <c r="Q3499" s="221"/>
      <c r="R3499" s="221">
        <v>30.7</v>
      </c>
    </row>
    <row r="3500" spans="5:18" ht="24.95" customHeight="1">
      <c r="E3500" s="221"/>
      <c r="F3500" s="221"/>
      <c r="G3500" s="221"/>
      <c r="H3500" s="226" t="s">
        <v>2738</v>
      </c>
      <c r="I3500" s="221"/>
      <c r="J3500" s="221"/>
      <c r="K3500" s="221">
        <f>SUM(K3494:K3499)</f>
        <v>11708.3</v>
      </c>
      <c r="L3500" s="221"/>
      <c r="M3500" s="221"/>
      <c r="N3500" s="221"/>
      <c r="O3500" s="226" t="s">
        <v>2738</v>
      </c>
      <c r="P3500" s="221"/>
      <c r="Q3500" s="221"/>
      <c r="R3500" s="221">
        <v>30.7</v>
      </c>
    </row>
    <row r="3501" spans="5:18" ht="24.95" customHeight="1">
      <c r="E3501" s="221"/>
      <c r="F3501" s="221"/>
      <c r="G3501" s="221"/>
      <c r="H3501" s="228" t="s">
        <v>2419</v>
      </c>
      <c r="I3501" s="221"/>
      <c r="J3501" s="221"/>
      <c r="K3501" s="229">
        <f>K3500/90</f>
        <v>130.09</v>
      </c>
      <c r="L3501" s="221"/>
      <c r="M3501" s="221"/>
      <c r="N3501" s="221"/>
      <c r="O3501" s="228" t="s">
        <v>2419</v>
      </c>
      <c r="P3501" s="221"/>
      <c r="Q3501" s="221"/>
      <c r="R3501" s="229">
        <f>R3500/90</f>
        <v>0.34</v>
      </c>
    </row>
    <row r="3502" spans="5:18">
      <c r="E3502" s="221"/>
      <c r="F3502" s="221"/>
      <c r="G3502" s="221"/>
      <c r="H3502" s="227" t="s">
        <v>2677</v>
      </c>
      <c r="I3502" s="221"/>
      <c r="J3502" s="221"/>
      <c r="K3502" s="221"/>
      <c r="L3502" s="221">
        <f>L3501-K3500</f>
        <v>-11708.3</v>
      </c>
      <c r="M3502" s="221"/>
      <c r="N3502" s="221"/>
      <c r="O3502" s="227" t="s">
        <v>2677</v>
      </c>
      <c r="P3502" s="221"/>
      <c r="Q3502" s="221"/>
      <c r="R3502" s="221"/>
    </row>
    <row r="3503" spans="5:18">
      <c r="E3503" s="221"/>
      <c r="F3503" s="221">
        <v>1</v>
      </c>
      <c r="G3503" s="221" t="s">
        <v>1414</v>
      </c>
      <c r="H3503" s="230" t="s">
        <v>2739</v>
      </c>
      <c r="I3503" s="221">
        <f>I2866</f>
        <v>817</v>
      </c>
      <c r="J3503" s="221" t="s">
        <v>1414</v>
      </c>
      <c r="K3503" s="221">
        <f>F3503*I3503</f>
        <v>817</v>
      </c>
      <c r="L3503" s="221"/>
      <c r="M3503" s="221">
        <v>1</v>
      </c>
      <c r="N3503" s="221" t="s">
        <v>1414</v>
      </c>
      <c r="O3503" s="230" t="s">
        <v>2739</v>
      </c>
      <c r="P3503" s="221">
        <f>I3503</f>
        <v>817</v>
      </c>
      <c r="Q3503" s="221" t="s">
        <v>1414</v>
      </c>
      <c r="R3503" s="221">
        <f>M3503*P3503</f>
        <v>817</v>
      </c>
    </row>
    <row r="3504" spans="5:18">
      <c r="E3504" s="221"/>
      <c r="F3504" s="221">
        <v>2</v>
      </c>
      <c r="G3504" s="221" t="s">
        <v>1414</v>
      </c>
      <c r="H3504" s="221" t="s">
        <v>2800</v>
      </c>
      <c r="I3504" s="221">
        <f>I2867</f>
        <v>712</v>
      </c>
      <c r="J3504" s="221" t="s">
        <v>1414</v>
      </c>
      <c r="K3504" s="221">
        <f>F3504*I3504</f>
        <v>1424</v>
      </c>
      <c r="L3504" s="221"/>
      <c r="M3504" s="221">
        <v>2</v>
      </c>
      <c r="N3504" s="221" t="s">
        <v>1414</v>
      </c>
      <c r="O3504" s="221" t="s">
        <v>2800</v>
      </c>
      <c r="P3504" s="221">
        <f>I3504</f>
        <v>712</v>
      </c>
      <c r="Q3504" s="221" t="s">
        <v>1414</v>
      </c>
      <c r="R3504" s="221">
        <f>M3504*P3504</f>
        <v>1424</v>
      </c>
    </row>
    <row r="3505" spans="5:18">
      <c r="E3505" s="221"/>
      <c r="F3505" s="221">
        <v>2</v>
      </c>
      <c r="G3505" s="221" t="s">
        <v>1414</v>
      </c>
      <c r="H3505" s="221" t="s">
        <v>2619</v>
      </c>
      <c r="I3505" s="221">
        <f>I2868</f>
        <v>708</v>
      </c>
      <c r="J3505" s="221" t="s">
        <v>1414</v>
      </c>
      <c r="K3505" s="221">
        <f>F3505*I3505</f>
        <v>1416</v>
      </c>
      <c r="L3505" s="221"/>
      <c r="M3505" s="221">
        <v>2</v>
      </c>
      <c r="N3505" s="221" t="s">
        <v>1414</v>
      </c>
      <c r="O3505" s="221" t="s">
        <v>2619</v>
      </c>
      <c r="P3505" s="221">
        <f>I3505</f>
        <v>708</v>
      </c>
      <c r="Q3505" s="221" t="s">
        <v>1414</v>
      </c>
      <c r="R3505" s="221">
        <f>M3505*P3505</f>
        <v>1416</v>
      </c>
    </row>
    <row r="3506" spans="5:18">
      <c r="E3506" s="221"/>
      <c r="F3506" s="221">
        <v>3</v>
      </c>
      <c r="G3506" s="221" t="s">
        <v>1414</v>
      </c>
      <c r="H3506" s="221" t="s">
        <v>2356</v>
      </c>
      <c r="I3506" s="221">
        <f>I2869</f>
        <v>556</v>
      </c>
      <c r="J3506" s="221" t="s">
        <v>1414</v>
      </c>
      <c r="K3506" s="221">
        <f>F3506*I3506</f>
        <v>1668</v>
      </c>
      <c r="L3506" s="221"/>
      <c r="M3506" s="221">
        <v>3</v>
      </c>
      <c r="N3506" s="221" t="s">
        <v>1414</v>
      </c>
      <c r="O3506" s="221" t="s">
        <v>2356</v>
      </c>
      <c r="P3506" s="221">
        <f>I3506</f>
        <v>556</v>
      </c>
      <c r="Q3506" s="221" t="s">
        <v>1414</v>
      </c>
      <c r="R3506" s="221">
        <f>M3506*P3506</f>
        <v>1668</v>
      </c>
    </row>
    <row r="3507" spans="5:18" ht="24.95" customHeight="1">
      <c r="E3507" s="221"/>
      <c r="F3507" s="221"/>
      <c r="G3507" s="221"/>
      <c r="H3507" s="221"/>
      <c r="I3507" s="221"/>
      <c r="J3507" s="221"/>
      <c r="K3507" s="229">
        <f>SUM(K3503:K3506)</f>
        <v>5325</v>
      </c>
      <c r="L3507" s="221"/>
      <c r="M3507" s="221"/>
      <c r="N3507" s="221"/>
      <c r="O3507" s="221"/>
      <c r="P3507" s="221"/>
      <c r="Q3507" s="221"/>
      <c r="R3507" s="229">
        <f>SUM(R3503:R3506)</f>
        <v>5325</v>
      </c>
    </row>
    <row r="3508" spans="5:18" ht="21.75" customHeight="1">
      <c r="E3508" s="221"/>
      <c r="F3508" s="221"/>
      <c r="G3508" s="221"/>
      <c r="H3508" s="221"/>
      <c r="I3508" s="221"/>
      <c r="J3508" s="221"/>
      <c r="K3508" s="221"/>
      <c r="L3508" s="221"/>
      <c r="M3508" s="221"/>
    </row>
    <row r="3509" spans="5:18">
      <c r="E3509" s="221"/>
      <c r="F3509" s="221"/>
      <c r="G3509" s="221"/>
      <c r="H3509" s="229" t="s">
        <v>2740</v>
      </c>
      <c r="I3509" s="221"/>
      <c r="J3509" s="221"/>
      <c r="K3509" s="221"/>
      <c r="L3509" s="221"/>
      <c r="M3509" s="221"/>
    </row>
    <row r="3510" spans="5:18" ht="29.25" customHeight="1">
      <c r="E3510" s="221"/>
      <c r="F3510" s="221"/>
      <c r="G3510" s="221"/>
      <c r="H3510" s="219" t="s">
        <v>2331</v>
      </c>
      <c r="I3510" s="221"/>
      <c r="J3510" s="221"/>
      <c r="K3510" s="221"/>
      <c r="L3510" s="221"/>
      <c r="M3510" s="221"/>
    </row>
    <row r="3511" spans="5:18" ht="18" customHeight="1">
      <c r="E3511" s="221"/>
      <c r="F3511" s="221"/>
      <c r="G3511" s="221"/>
      <c r="H3511" s="221"/>
      <c r="I3511" s="221"/>
      <c r="J3511" s="221"/>
      <c r="K3511" s="221"/>
      <c r="L3511" s="221"/>
      <c r="M3511" s="221"/>
    </row>
    <row r="3512" spans="5:18" ht="47.25" customHeight="1">
      <c r="E3512" s="221"/>
      <c r="F3512" s="221"/>
      <c r="G3512" s="221"/>
      <c r="H3512" s="242" t="s">
        <v>2676</v>
      </c>
      <c r="I3512" s="221"/>
      <c r="J3512" s="221"/>
      <c r="K3512" s="221"/>
      <c r="L3512" s="221"/>
      <c r="M3512" s="221"/>
    </row>
    <row r="3513" spans="5:18">
      <c r="E3513" s="221"/>
      <c r="F3513" s="221">
        <v>1</v>
      </c>
      <c r="G3513" s="221" t="s">
        <v>835</v>
      </c>
      <c r="H3513" s="221" t="s">
        <v>4405</v>
      </c>
      <c r="I3513" s="222">
        <v>120.8</v>
      </c>
      <c r="J3513" s="221" t="s">
        <v>835</v>
      </c>
      <c r="K3513" s="226">
        <f>F3513*I3513</f>
        <v>120.8</v>
      </c>
      <c r="L3513" s="221"/>
      <c r="M3513" s="221"/>
    </row>
    <row r="3514" spans="5:18">
      <c r="E3514" s="221"/>
      <c r="F3514" s="221"/>
      <c r="G3514" s="221"/>
      <c r="H3514" s="221" t="s">
        <v>2296</v>
      </c>
      <c r="I3514" s="221"/>
      <c r="J3514" s="221"/>
      <c r="K3514" s="226">
        <f>1.87+0.33</f>
        <v>2.2000000000000002</v>
      </c>
      <c r="L3514" s="221"/>
      <c r="M3514" s="221"/>
    </row>
    <row r="3515" spans="5:18">
      <c r="E3515" s="221"/>
      <c r="F3515" s="221"/>
      <c r="G3515" s="221"/>
      <c r="H3515" s="228" t="s">
        <v>3420</v>
      </c>
      <c r="I3515" s="221"/>
      <c r="J3515" s="221"/>
      <c r="K3515" s="228">
        <f>SUM(K3513:K3514)</f>
        <v>123</v>
      </c>
      <c r="L3515" s="221"/>
      <c r="M3515" s="221"/>
    </row>
    <row r="3516" spans="5:18" ht="9.75" customHeight="1">
      <c r="E3516" s="221"/>
      <c r="F3516" s="221"/>
      <c r="G3516" s="221"/>
      <c r="H3516" s="221"/>
      <c r="I3516" s="221"/>
      <c r="J3516" s="221"/>
      <c r="K3516" s="221"/>
      <c r="L3516" s="221"/>
      <c r="M3516" s="221"/>
    </row>
    <row r="3517" spans="5:18">
      <c r="E3517" s="221"/>
      <c r="F3517" s="221"/>
      <c r="G3517" s="221"/>
      <c r="H3517" s="229" t="s">
        <v>3421</v>
      </c>
      <c r="I3517" s="221"/>
      <c r="J3517" s="221"/>
      <c r="K3517" s="221"/>
      <c r="L3517" s="221"/>
      <c r="M3517" s="221"/>
    </row>
    <row r="3518" spans="5:18">
      <c r="E3518" s="221"/>
      <c r="F3518" s="221"/>
      <c r="G3518" s="221"/>
      <c r="H3518" s="229" t="s">
        <v>3422</v>
      </c>
      <c r="I3518" s="221"/>
      <c r="J3518" s="221"/>
      <c r="K3518" s="221"/>
      <c r="L3518" s="221"/>
      <c r="M3518" s="221"/>
    </row>
    <row r="3519" spans="5:18">
      <c r="E3519" s="221"/>
      <c r="F3519" s="221"/>
      <c r="G3519" s="221"/>
      <c r="H3519" s="221"/>
      <c r="I3519" s="221"/>
      <c r="J3519" s="221"/>
      <c r="K3519" s="221"/>
      <c r="L3519" s="221"/>
      <c r="M3519" s="221"/>
    </row>
    <row r="3520" spans="5:18" ht="49.5" customHeight="1">
      <c r="E3520" s="221"/>
      <c r="F3520" s="221"/>
      <c r="G3520" s="221"/>
      <c r="H3520" s="242" t="s">
        <v>3423</v>
      </c>
      <c r="I3520" s="221"/>
      <c r="J3520" s="221"/>
      <c r="K3520" s="221"/>
      <c r="L3520" s="221"/>
      <c r="M3520" s="221"/>
    </row>
    <row r="3521" spans="5:13">
      <c r="E3521" s="221"/>
      <c r="F3521" s="221">
        <v>1</v>
      </c>
      <c r="G3521" s="221" t="s">
        <v>835</v>
      </c>
      <c r="H3521" s="221" t="s">
        <v>4406</v>
      </c>
      <c r="I3521" s="222">
        <v>43.9</v>
      </c>
      <c r="J3521" s="221" t="s">
        <v>359</v>
      </c>
      <c r="K3521" s="221">
        <f>F3522*I3521</f>
        <v>142.68</v>
      </c>
      <c r="L3521" s="221"/>
      <c r="M3521" s="221"/>
    </row>
    <row r="3522" spans="5:13">
      <c r="E3522" s="221"/>
      <c r="F3522" s="221">
        <v>3.25</v>
      </c>
      <c r="G3522" s="221" t="s">
        <v>3424</v>
      </c>
      <c r="H3522" s="221"/>
      <c r="I3522" s="221"/>
      <c r="J3522" s="221"/>
      <c r="K3522" s="221"/>
      <c r="L3522" s="221"/>
      <c r="M3522" s="221"/>
    </row>
    <row r="3523" spans="5:13">
      <c r="E3523" s="221"/>
      <c r="F3523" s="221"/>
      <c r="G3523" s="221"/>
      <c r="H3523" s="221" t="s">
        <v>2296</v>
      </c>
      <c r="I3523" s="221"/>
      <c r="J3523" s="221"/>
      <c r="K3523" s="221">
        <f>1.95+0.64-0.27</f>
        <v>2.3199999999999998</v>
      </c>
      <c r="L3523" s="221"/>
      <c r="M3523" s="221"/>
    </row>
    <row r="3524" spans="5:13">
      <c r="E3524" s="221"/>
      <c r="F3524" s="221"/>
      <c r="G3524" s="221"/>
      <c r="H3524" s="228" t="s">
        <v>2795</v>
      </c>
      <c r="I3524" s="221"/>
      <c r="J3524" s="221"/>
      <c r="K3524" s="229">
        <f>SUM(K3521:K3523)</f>
        <v>145</v>
      </c>
      <c r="L3524" s="221">
        <f>169-K3524</f>
        <v>24</v>
      </c>
      <c r="M3524" s="221"/>
    </row>
    <row r="3525" spans="5:13">
      <c r="E3525" s="221"/>
      <c r="F3525" s="221"/>
      <c r="G3525" s="221"/>
      <c r="H3525" s="228"/>
      <c r="I3525" s="221"/>
      <c r="J3525" s="221"/>
      <c r="K3525" s="229"/>
      <c r="L3525" s="221"/>
      <c r="M3525" s="221"/>
    </row>
    <row r="3526" spans="5:13">
      <c r="E3526" s="221"/>
      <c r="F3526" s="221"/>
      <c r="G3526" s="221"/>
      <c r="H3526" s="229" t="s">
        <v>3425</v>
      </c>
      <c r="I3526" s="221"/>
      <c r="J3526" s="221"/>
      <c r="K3526" s="221"/>
      <c r="L3526" s="221"/>
      <c r="M3526" s="221"/>
    </row>
    <row r="3527" spans="5:13">
      <c r="E3527" s="221"/>
      <c r="F3527" s="221"/>
      <c r="G3527" s="221"/>
      <c r="H3527" s="221"/>
      <c r="I3527" s="221"/>
      <c r="J3527" s="221"/>
      <c r="K3527" s="221"/>
      <c r="L3527" s="221"/>
      <c r="M3527" s="221"/>
    </row>
    <row r="3528" spans="5:13" ht="45" customHeight="1">
      <c r="E3528" s="221"/>
      <c r="F3528" s="221"/>
      <c r="G3528" s="221"/>
      <c r="H3528" s="219" t="s">
        <v>3426</v>
      </c>
      <c r="I3528" s="221"/>
      <c r="J3528" s="221"/>
      <c r="K3528" s="221"/>
      <c r="L3528" s="221"/>
      <c r="M3528" s="221"/>
    </row>
    <row r="3529" spans="5:13">
      <c r="E3529" s="221"/>
      <c r="F3529" s="221"/>
      <c r="G3529" s="221"/>
      <c r="H3529" s="221"/>
      <c r="I3529" s="221"/>
      <c r="J3529" s="221"/>
      <c r="K3529" s="221"/>
      <c r="L3529" s="221"/>
      <c r="M3529" s="221"/>
    </row>
    <row r="3530" spans="5:13" ht="135.75" customHeight="1">
      <c r="E3530" s="221"/>
      <c r="F3530" s="221"/>
      <c r="G3530" s="221"/>
      <c r="H3530" s="242" t="s">
        <v>2956</v>
      </c>
      <c r="I3530" s="221"/>
      <c r="J3530" s="221"/>
      <c r="K3530" s="221"/>
      <c r="L3530" s="221"/>
      <c r="M3530" s="221"/>
    </row>
    <row r="3531" spans="5:13">
      <c r="E3531" s="221"/>
      <c r="F3531" s="221"/>
      <c r="G3531" s="221"/>
      <c r="H3531" s="221"/>
      <c r="I3531" s="221"/>
      <c r="J3531" s="221"/>
      <c r="K3531" s="221"/>
      <c r="L3531" s="221"/>
      <c r="M3531" s="221"/>
    </row>
    <row r="3532" spans="5:13" ht="29.25" customHeight="1">
      <c r="E3532" s="221"/>
      <c r="F3532" s="221">
        <v>360</v>
      </c>
      <c r="G3532" s="221" t="s">
        <v>835</v>
      </c>
      <c r="H3532" s="220" t="s">
        <v>2734</v>
      </c>
      <c r="I3532" s="221">
        <f>I3494</f>
        <v>32.200000000000003</v>
      </c>
      <c r="J3532" s="221" t="s">
        <v>835</v>
      </c>
      <c r="K3532" s="221">
        <f>F3532*I3532</f>
        <v>11592</v>
      </c>
      <c r="L3532" s="221"/>
      <c r="M3532" s="221"/>
    </row>
    <row r="3533" spans="5:13" ht="15.75" customHeight="1">
      <c r="E3533" s="221"/>
      <c r="F3533" s="221">
        <v>4</v>
      </c>
      <c r="G3533" s="221" t="s">
        <v>1670</v>
      </c>
      <c r="H3533" s="221" t="s">
        <v>3381</v>
      </c>
      <c r="I3533" s="221">
        <f>I3495</f>
        <v>89.7</v>
      </c>
      <c r="J3533" s="221" t="s">
        <v>1670</v>
      </c>
      <c r="K3533" s="221">
        <f>F3533*I3533</f>
        <v>358.8</v>
      </c>
      <c r="L3533" s="221"/>
      <c r="M3533" s="221"/>
    </row>
    <row r="3534" spans="5:13">
      <c r="E3534" s="221"/>
      <c r="F3534" s="221">
        <v>360</v>
      </c>
      <c r="G3534" s="221" t="s">
        <v>1418</v>
      </c>
      <c r="H3534" s="221" t="s">
        <v>2735</v>
      </c>
      <c r="I3534" s="221">
        <f>I3496</f>
        <v>0.56000000000000005</v>
      </c>
      <c r="J3534" s="221" t="s">
        <v>1418</v>
      </c>
      <c r="K3534" s="221">
        <f>F3534*I3534</f>
        <v>201.6</v>
      </c>
      <c r="L3534" s="221"/>
      <c r="M3534" s="221"/>
    </row>
    <row r="3535" spans="5:13">
      <c r="E3535" s="221"/>
      <c r="F3535" s="221">
        <v>1.5</v>
      </c>
      <c r="G3535" s="221" t="s">
        <v>1670</v>
      </c>
      <c r="H3535" s="221" t="s">
        <v>2736</v>
      </c>
      <c r="I3535" s="221">
        <f>I3497</f>
        <v>89.7</v>
      </c>
      <c r="J3535" s="221" t="s">
        <v>1670</v>
      </c>
      <c r="K3535" s="221">
        <f>F3535*I3535</f>
        <v>134.55000000000001</v>
      </c>
      <c r="L3535" s="221"/>
      <c r="M3535" s="221"/>
    </row>
    <row r="3536" spans="5:13">
      <c r="E3536" s="221"/>
      <c r="F3536" s="221"/>
      <c r="G3536" s="221"/>
      <c r="H3536" s="221" t="s">
        <v>2957</v>
      </c>
      <c r="I3536" s="221"/>
      <c r="J3536" s="221"/>
      <c r="K3536" s="221">
        <f>K3507*1.5</f>
        <v>7987.5</v>
      </c>
      <c r="L3536" s="221"/>
      <c r="M3536" s="221"/>
    </row>
    <row r="3537" spans="5:13">
      <c r="E3537" s="221"/>
      <c r="F3537" s="221"/>
      <c r="G3537" s="221"/>
      <c r="H3537" s="221" t="s">
        <v>2737</v>
      </c>
      <c r="I3537" s="221"/>
      <c r="J3537" s="221"/>
      <c r="K3537" s="221">
        <v>167.55</v>
      </c>
      <c r="L3537" s="221"/>
      <c r="M3537" s="221"/>
    </row>
    <row r="3538" spans="5:13">
      <c r="E3538" s="221"/>
      <c r="F3538" s="221"/>
      <c r="G3538" s="221"/>
      <c r="H3538" s="226" t="s">
        <v>2738</v>
      </c>
      <c r="I3538" s="221"/>
      <c r="J3538" s="221"/>
      <c r="K3538" s="221">
        <f>SUM(K3532:K3537)</f>
        <v>20442</v>
      </c>
      <c r="L3538" s="221"/>
      <c r="M3538" s="221"/>
    </row>
    <row r="3539" spans="5:13">
      <c r="E3539" s="221"/>
      <c r="F3539" s="221"/>
      <c r="G3539" s="221"/>
      <c r="H3539" s="228" t="s">
        <v>2419</v>
      </c>
      <c r="I3539" s="221"/>
      <c r="J3539" s="221"/>
      <c r="K3539" s="229">
        <f>K3538/90</f>
        <v>227.13</v>
      </c>
      <c r="L3539" s="221"/>
      <c r="M3539" s="221"/>
    </row>
    <row r="3540" spans="5:13" ht="20.25" customHeight="1">
      <c r="E3540" s="221"/>
      <c r="F3540" s="221"/>
      <c r="G3540" s="221"/>
      <c r="H3540" s="221"/>
      <c r="I3540" s="221"/>
      <c r="J3540" s="221"/>
      <c r="K3540" s="221"/>
      <c r="L3540" s="221"/>
      <c r="M3540" s="221"/>
    </row>
    <row r="3541" spans="5:13">
      <c r="E3541" s="221"/>
      <c r="F3541" s="221"/>
      <c r="G3541" s="221"/>
      <c r="H3541" s="229" t="s">
        <v>2958</v>
      </c>
      <c r="I3541" s="221"/>
      <c r="J3541" s="221"/>
      <c r="K3541" s="221"/>
      <c r="L3541" s="221"/>
      <c r="M3541" s="221"/>
    </row>
    <row r="3542" spans="5:13" ht="32.25" customHeight="1">
      <c r="E3542" s="221"/>
      <c r="F3542" s="221"/>
      <c r="G3542" s="221"/>
      <c r="H3542" s="219" t="s">
        <v>2401</v>
      </c>
      <c r="I3542" s="221"/>
      <c r="J3542" s="221"/>
      <c r="K3542" s="221"/>
      <c r="L3542" s="221"/>
      <c r="M3542" s="221"/>
    </row>
    <row r="3543" spans="5:13">
      <c r="E3543" s="221"/>
      <c r="F3543" s="221"/>
      <c r="G3543" s="221"/>
      <c r="H3543" s="221"/>
      <c r="I3543" s="221"/>
      <c r="J3543" s="221"/>
      <c r="K3543" s="221"/>
      <c r="L3543" s="221"/>
      <c r="M3543" s="221"/>
    </row>
    <row r="3544" spans="5:13" ht="47.25" customHeight="1">
      <c r="E3544" s="221"/>
      <c r="F3544" s="221"/>
      <c r="G3544" s="221"/>
      <c r="H3544" s="242" t="s">
        <v>2332</v>
      </c>
      <c r="I3544" s="221"/>
      <c r="J3544" s="221"/>
      <c r="K3544" s="221"/>
      <c r="L3544" s="221"/>
      <c r="M3544" s="221"/>
    </row>
    <row r="3545" spans="5:13">
      <c r="E3545" s="221"/>
      <c r="F3545" s="221">
        <v>1</v>
      </c>
      <c r="G3545" s="221" t="s">
        <v>835</v>
      </c>
      <c r="H3545" s="221" t="str">
        <f>Elec.Data!H3545</f>
        <v>GI pipe of 40 mm dia  (P-45 154 -iii)</v>
      </c>
      <c r="I3545" s="260">
        <f>Elec.Data!I3545</f>
        <v>163</v>
      </c>
      <c r="J3545" s="221" t="s">
        <v>835</v>
      </c>
      <c r="K3545" s="226">
        <f>F3545*I3545</f>
        <v>163</v>
      </c>
      <c r="L3545" s="221"/>
      <c r="M3545" s="221"/>
    </row>
    <row r="3546" spans="5:13">
      <c r="E3546" s="221"/>
      <c r="F3546" s="221"/>
      <c r="G3546" s="221"/>
      <c r="H3546" s="221" t="s">
        <v>2296</v>
      </c>
      <c r="I3546" s="221"/>
      <c r="J3546" s="221"/>
      <c r="K3546" s="226">
        <v>1.1000000000000001</v>
      </c>
      <c r="L3546" s="221"/>
      <c r="M3546" s="221"/>
    </row>
    <row r="3547" spans="5:13">
      <c r="E3547" s="221"/>
      <c r="F3547" s="221"/>
      <c r="G3547" s="221"/>
      <c r="H3547" s="228" t="s">
        <v>3420</v>
      </c>
      <c r="I3547" s="221"/>
      <c r="J3547" s="221"/>
      <c r="K3547" s="228">
        <f>SUM(K3545:K3546)</f>
        <v>164.1</v>
      </c>
      <c r="L3547" s="221"/>
      <c r="M3547" s="221"/>
    </row>
    <row r="3548" spans="5:13" ht="7.5" customHeight="1">
      <c r="E3548" s="221"/>
      <c r="F3548" s="221"/>
      <c r="G3548" s="221"/>
      <c r="H3548" s="221"/>
      <c r="I3548" s="221"/>
      <c r="J3548" s="221"/>
      <c r="K3548" s="221"/>
      <c r="L3548" s="221"/>
      <c r="M3548" s="221"/>
    </row>
    <row r="3549" spans="5:13">
      <c r="E3549" s="221"/>
      <c r="F3549" s="221"/>
      <c r="G3549" s="221"/>
      <c r="H3549" s="229" t="s">
        <v>2333</v>
      </c>
      <c r="I3549" s="221"/>
      <c r="J3549" s="221"/>
      <c r="K3549" s="221"/>
      <c r="L3549" s="221"/>
      <c r="M3549" s="221"/>
    </row>
    <row r="3550" spans="5:13">
      <c r="E3550" s="221"/>
      <c r="F3550" s="221"/>
      <c r="G3550" s="221"/>
      <c r="H3550" s="229" t="s">
        <v>3422</v>
      </c>
      <c r="I3550" s="221"/>
      <c r="J3550" s="221"/>
      <c r="K3550" s="221"/>
      <c r="L3550" s="221"/>
      <c r="M3550" s="221"/>
    </row>
    <row r="3551" spans="5:13">
      <c r="E3551" s="221"/>
      <c r="F3551" s="221"/>
      <c r="G3551" s="221"/>
      <c r="H3551" s="221"/>
      <c r="I3551" s="221"/>
      <c r="J3551" s="221"/>
      <c r="K3551" s="221"/>
      <c r="L3551" s="221"/>
      <c r="M3551" s="221"/>
    </row>
    <row r="3552" spans="5:13" ht="47.25">
      <c r="E3552" s="221"/>
      <c r="F3552" s="221"/>
      <c r="G3552" s="221"/>
      <c r="H3552" s="242" t="s">
        <v>3423</v>
      </c>
      <c r="I3552" s="221"/>
      <c r="J3552" s="221"/>
      <c r="K3552" s="221"/>
      <c r="L3552" s="221"/>
      <c r="M3552" s="221"/>
    </row>
    <row r="3553" spans="5:15">
      <c r="E3553" s="221"/>
      <c r="F3553" s="221">
        <v>1</v>
      </c>
      <c r="G3553" s="221" t="s">
        <v>835</v>
      </c>
      <c r="H3553" s="221" t="str">
        <f>Elec.Data!H3553</f>
        <v>40 x 40 x 6 mm MS angle (P-126  part -G)</v>
      </c>
      <c r="I3553" s="222">
        <f>I3521</f>
        <v>43.9</v>
      </c>
      <c r="J3553" s="221" t="s">
        <v>359</v>
      </c>
      <c r="K3553" s="221">
        <f>F3554*I3553</f>
        <v>142.68</v>
      </c>
      <c r="L3553" s="221"/>
      <c r="M3553" s="221"/>
    </row>
    <row r="3554" spans="5:15">
      <c r="E3554" s="221"/>
      <c r="F3554" s="221">
        <v>3.25</v>
      </c>
      <c r="G3554" s="221" t="s">
        <v>3424</v>
      </c>
      <c r="H3554" s="221"/>
      <c r="I3554" s="221"/>
      <c r="J3554" s="221"/>
      <c r="K3554" s="221"/>
      <c r="L3554" s="221"/>
      <c r="M3554" s="221"/>
    </row>
    <row r="3555" spans="5:15">
      <c r="E3555" s="221"/>
      <c r="F3555" s="221"/>
      <c r="G3555" s="221"/>
      <c r="H3555" s="221" t="s">
        <v>2296</v>
      </c>
      <c r="I3555" s="221"/>
      <c r="J3555" s="221"/>
      <c r="K3555" s="221">
        <v>3.32</v>
      </c>
      <c r="L3555" s="221"/>
      <c r="M3555" s="221"/>
    </row>
    <row r="3556" spans="5:15">
      <c r="E3556" s="221"/>
      <c r="F3556" s="221"/>
      <c r="G3556" s="221"/>
      <c r="H3556" s="228" t="s">
        <v>2795</v>
      </c>
      <c r="I3556" s="221"/>
      <c r="J3556" s="221"/>
      <c r="K3556" s="229">
        <f>SUM(K3553:K3555)</f>
        <v>146</v>
      </c>
      <c r="L3556" s="221"/>
      <c r="M3556" s="221"/>
    </row>
    <row r="3557" spans="5:15">
      <c r="E3557" s="221"/>
      <c r="F3557" s="221"/>
      <c r="G3557" s="221"/>
      <c r="H3557" s="221"/>
      <c r="I3557" s="221"/>
      <c r="J3557" s="221"/>
      <c r="K3557" s="221"/>
      <c r="L3557" s="221"/>
      <c r="M3557" s="221"/>
    </row>
    <row r="3558" spans="5:15">
      <c r="E3558" s="221"/>
      <c r="F3558" s="221"/>
      <c r="G3558" s="221"/>
      <c r="H3558" s="229" t="s">
        <v>2334</v>
      </c>
      <c r="I3558" s="221"/>
      <c r="J3558" s="221"/>
      <c r="K3558" s="221"/>
      <c r="L3558" s="221"/>
      <c r="M3558" s="221"/>
    </row>
    <row r="3559" spans="5:15">
      <c r="E3559" s="221"/>
      <c r="F3559" s="221"/>
      <c r="G3559" s="221"/>
      <c r="H3559" s="221"/>
      <c r="I3559" s="221"/>
      <c r="J3559" s="221"/>
      <c r="K3559" s="221"/>
      <c r="L3559" s="221"/>
      <c r="M3559" s="221"/>
    </row>
    <row r="3560" spans="5:15" ht="80.25" customHeight="1">
      <c r="E3560" s="221"/>
      <c r="F3560" s="221"/>
      <c r="G3560" s="221"/>
      <c r="H3560" s="242" t="s">
        <v>3437</v>
      </c>
      <c r="I3560" s="221"/>
      <c r="J3560" s="221"/>
      <c r="K3560" s="221"/>
      <c r="L3560" s="221"/>
      <c r="M3560" s="221"/>
    </row>
    <row r="3561" spans="5:15" ht="15.75" customHeight="1">
      <c r="E3561" s="221"/>
      <c r="F3561" s="221">
        <v>30.42</v>
      </c>
      <c r="G3561" s="221" t="s">
        <v>2176</v>
      </c>
      <c r="H3561" s="221" t="s">
        <v>4407</v>
      </c>
      <c r="I3561" s="269">
        <v>134.6</v>
      </c>
      <c r="J3561" s="221" t="s">
        <v>2176</v>
      </c>
      <c r="K3561" s="221">
        <f>F3561*I3561</f>
        <v>4094.53</v>
      </c>
      <c r="L3561" s="221"/>
      <c r="M3561" s="221"/>
      <c r="O3561" s="87">
        <f>M3561+N3561</f>
        <v>0</v>
      </c>
    </row>
    <row r="3562" spans="5:15" ht="15.75" customHeight="1">
      <c r="E3562" s="221"/>
      <c r="F3562" s="221">
        <v>6.1</v>
      </c>
      <c r="G3562" s="221" t="s">
        <v>2176</v>
      </c>
      <c r="H3562" s="1" t="s">
        <v>4366</v>
      </c>
      <c r="I3562" s="260">
        <v>168</v>
      </c>
      <c r="J3562" s="221" t="s">
        <v>2176</v>
      </c>
      <c r="K3562" s="221">
        <f>F3562*I3562</f>
        <v>1024.8</v>
      </c>
      <c r="L3562" s="221"/>
      <c r="M3562" s="221"/>
    </row>
    <row r="3563" spans="5:15" ht="15.75" customHeight="1">
      <c r="E3563" s="221"/>
      <c r="F3563" s="221">
        <v>750</v>
      </c>
      <c r="G3563" s="221" t="s">
        <v>1414</v>
      </c>
      <c r="H3563" s="221" t="s">
        <v>3916</v>
      </c>
      <c r="I3563" s="222">
        <f>Data!Y16</f>
        <v>5570</v>
      </c>
      <c r="J3563" s="221" t="s">
        <v>1503</v>
      </c>
      <c r="K3563" s="221">
        <f>F3563*(I3563/1000)</f>
        <v>4177.5</v>
      </c>
      <c r="L3563" s="221"/>
      <c r="M3563" s="221"/>
    </row>
    <row r="3564" spans="5:15" ht="15.75" customHeight="1">
      <c r="E3564" s="221"/>
      <c r="F3564" s="221"/>
      <c r="G3564" s="221"/>
      <c r="H3564" s="221" t="s">
        <v>924</v>
      </c>
      <c r="I3564" s="221"/>
      <c r="J3564" s="221"/>
      <c r="K3564" s="221">
        <f>K3573</f>
        <v>3753</v>
      </c>
      <c r="L3564" s="221"/>
      <c r="M3564" s="221"/>
    </row>
    <row r="3565" spans="5:15" ht="15.75" customHeight="1">
      <c r="E3565" s="221"/>
      <c r="F3565" s="221"/>
      <c r="G3565" s="221"/>
      <c r="H3565" s="221" t="s">
        <v>2296</v>
      </c>
      <c r="I3565" s="221"/>
      <c r="J3565" s="221"/>
      <c r="K3565" s="221">
        <v>112.17</v>
      </c>
      <c r="L3565" s="221"/>
      <c r="M3565" s="221"/>
    </row>
    <row r="3566" spans="5:15" ht="15.75" customHeight="1">
      <c r="E3566" s="221"/>
      <c r="F3566" s="221"/>
      <c r="G3566" s="221"/>
      <c r="H3566" s="226" t="s">
        <v>2738</v>
      </c>
      <c r="I3566" s="221"/>
      <c r="J3566" s="221"/>
      <c r="K3566" s="221">
        <f>SUM(K3561:K3565)</f>
        <v>13162</v>
      </c>
      <c r="L3566" s="221"/>
      <c r="M3566" s="221"/>
    </row>
    <row r="3567" spans="5:15" ht="15.75" customHeight="1">
      <c r="E3567" s="221"/>
      <c r="F3567" s="221"/>
      <c r="G3567" s="221"/>
      <c r="H3567" s="228" t="s">
        <v>2419</v>
      </c>
      <c r="I3567" s="221"/>
      <c r="J3567" s="221"/>
      <c r="K3567" s="229">
        <f>K3566/90</f>
        <v>146.24</v>
      </c>
      <c r="L3567" s="221"/>
      <c r="M3567" s="221"/>
    </row>
    <row r="3568" spans="5:15" ht="8.25" customHeight="1">
      <c r="E3568" s="221"/>
      <c r="F3568" s="221"/>
      <c r="G3568" s="221"/>
      <c r="H3568" s="221"/>
      <c r="I3568" s="221"/>
      <c r="J3568" s="221"/>
      <c r="K3568" s="221"/>
      <c r="L3568" s="221"/>
      <c r="M3568" s="221"/>
    </row>
    <row r="3569" spans="5:13" ht="15.75" customHeight="1">
      <c r="E3569" s="221"/>
      <c r="F3569" s="221"/>
      <c r="G3569" s="221"/>
      <c r="H3569" s="227" t="s">
        <v>142</v>
      </c>
      <c r="K3569" s="221"/>
      <c r="L3569" s="221"/>
      <c r="M3569" s="221"/>
    </row>
    <row r="3570" spans="5:13" ht="15.75" customHeight="1">
      <c r="E3570" s="221"/>
      <c r="F3570" s="221">
        <v>1</v>
      </c>
      <c r="G3570" s="221" t="s">
        <v>1414</v>
      </c>
      <c r="H3570" s="230" t="s">
        <v>2739</v>
      </c>
      <c r="I3570" s="88">
        <f>I3503</f>
        <v>817</v>
      </c>
      <c r="J3570" s="221" t="s">
        <v>1414</v>
      </c>
      <c r="K3570" s="221">
        <f>F3570*I3570</f>
        <v>817</v>
      </c>
      <c r="L3570" s="221"/>
      <c r="M3570" s="221"/>
    </row>
    <row r="3571" spans="5:13" ht="15.75" customHeight="1">
      <c r="E3571" s="221"/>
      <c r="F3571" s="221">
        <v>1</v>
      </c>
      <c r="G3571" s="221" t="s">
        <v>1414</v>
      </c>
      <c r="H3571" s="221" t="s">
        <v>2800</v>
      </c>
      <c r="I3571" s="88">
        <f>I3504</f>
        <v>712</v>
      </c>
      <c r="J3571" s="221" t="s">
        <v>1414</v>
      </c>
      <c r="K3571" s="221">
        <f>F3571*I3571</f>
        <v>712</v>
      </c>
      <c r="L3571" s="221"/>
      <c r="M3571" s="221"/>
    </row>
    <row r="3572" spans="5:13" ht="15.75" customHeight="1">
      <c r="E3572" s="221"/>
      <c r="F3572" s="221">
        <v>4</v>
      </c>
      <c r="G3572" s="221" t="s">
        <v>1414</v>
      </c>
      <c r="H3572" s="221" t="s">
        <v>2356</v>
      </c>
      <c r="I3572" s="221">
        <f>I3506</f>
        <v>556</v>
      </c>
      <c r="J3572" s="221" t="s">
        <v>1414</v>
      </c>
      <c r="K3572" s="221">
        <f>F3572*I3572</f>
        <v>2224</v>
      </c>
      <c r="L3572" s="221"/>
      <c r="M3572" s="221"/>
    </row>
    <row r="3573" spans="5:13" ht="15.75" customHeight="1">
      <c r="E3573" s="221"/>
      <c r="F3573" s="221"/>
      <c r="G3573" s="221"/>
      <c r="H3573" s="221"/>
      <c r="I3573" s="221"/>
      <c r="J3573" s="221"/>
      <c r="K3573" s="229">
        <f>SUM(K3570:K3572)</f>
        <v>3753</v>
      </c>
      <c r="L3573" s="221"/>
      <c r="M3573" s="221"/>
    </row>
    <row r="3574" spans="5:13">
      <c r="E3574" s="221"/>
      <c r="F3574" s="221"/>
      <c r="G3574" s="221"/>
      <c r="H3574" s="229" t="s">
        <v>2402</v>
      </c>
      <c r="I3574" s="221"/>
      <c r="J3574" s="221"/>
      <c r="K3574" s="221"/>
      <c r="L3574" s="221"/>
      <c r="M3574" s="221"/>
    </row>
    <row r="3575" spans="5:13">
      <c r="E3575" s="221"/>
      <c r="F3575" s="221"/>
      <c r="G3575" s="221"/>
      <c r="H3575" s="221"/>
      <c r="I3575" s="221"/>
      <c r="J3575" s="221"/>
      <c r="K3575" s="221"/>
      <c r="L3575" s="221"/>
      <c r="M3575" s="221"/>
    </row>
    <row r="3576" spans="5:13" ht="29.25" customHeight="1">
      <c r="E3576" s="221"/>
      <c r="F3576" s="221"/>
      <c r="G3576" s="221"/>
      <c r="H3576" s="229" t="s">
        <v>3363</v>
      </c>
      <c r="I3576" s="221"/>
      <c r="J3576" s="221"/>
      <c r="K3576" s="221"/>
      <c r="L3576" s="221"/>
      <c r="M3576" s="221"/>
    </row>
    <row r="3577" spans="5:13" ht="75" customHeight="1">
      <c r="E3577" s="221"/>
      <c r="F3577" s="221"/>
      <c r="G3577" s="221"/>
      <c r="H3577" s="242" t="s">
        <v>2783</v>
      </c>
      <c r="I3577" s="221"/>
      <c r="J3577" s="221"/>
      <c r="K3577" s="221"/>
      <c r="L3577" s="221"/>
      <c r="M3577" s="221"/>
    </row>
    <row r="3578" spans="5:13" ht="26.25" customHeight="1">
      <c r="E3578" s="221"/>
      <c r="F3578" s="221">
        <v>1</v>
      </c>
      <c r="G3578" s="221" t="s">
        <v>2670</v>
      </c>
      <c r="H3578" s="221" t="str">
        <f>Elec.Data!H3578</f>
        <v>M.S. Clamps/ Saddles 32mm (It- 3d p-132 ,part-L )</v>
      </c>
      <c r="I3578" s="222">
        <f>Elec.Data!I3578</f>
        <v>59.6</v>
      </c>
      <c r="J3578" s="221" t="s">
        <v>2670</v>
      </c>
      <c r="K3578" s="221">
        <f>F3578*I3578</f>
        <v>59.6</v>
      </c>
      <c r="L3578" s="221"/>
      <c r="M3578" s="221"/>
    </row>
    <row r="3579" spans="5:13" ht="26.25" customHeight="1">
      <c r="E3579" s="221"/>
      <c r="F3579" s="221">
        <v>300</v>
      </c>
      <c r="G3579" s="221" t="s">
        <v>1414</v>
      </c>
      <c r="H3579" s="221" t="str">
        <f>Elec.Data!H3579</f>
        <v>Brass screws  ( 40 mm x 6 no) P131  Part-L 1-c</v>
      </c>
      <c r="I3579" s="222">
        <f>Elec.Data!I3579</f>
        <v>68.8</v>
      </c>
      <c r="J3579" s="221" t="s">
        <v>2670</v>
      </c>
      <c r="K3579" s="221">
        <f>F3579*(I3579/144)</f>
        <v>143.33000000000001</v>
      </c>
      <c r="L3579" s="221"/>
      <c r="M3579" s="221"/>
    </row>
    <row r="3580" spans="5:13" ht="26.25" customHeight="1">
      <c r="E3580" s="221"/>
      <c r="F3580" s="221">
        <v>300</v>
      </c>
      <c r="G3580" s="221" t="s">
        <v>1414</v>
      </c>
      <c r="H3580" s="221" t="str">
        <f>Elec.Data!H3580</f>
        <v>TW plugs 1 1/2" x 1"x2"( part-J 1-e P-130  )</v>
      </c>
      <c r="I3580" s="222">
        <f>Elec.Data!I3580</f>
        <v>287</v>
      </c>
      <c r="J3580" s="221" t="s">
        <v>1503</v>
      </c>
      <c r="K3580" s="221">
        <f>F3580*(I3580/1000)</f>
        <v>86.1</v>
      </c>
      <c r="L3580" s="221"/>
      <c r="M3580" s="221"/>
    </row>
    <row r="3581" spans="5:13" ht="26.25" customHeight="1">
      <c r="E3581" s="221"/>
      <c r="F3581" s="221"/>
      <c r="G3581" s="221"/>
      <c r="H3581" s="221" t="s">
        <v>2784</v>
      </c>
      <c r="I3581" s="221"/>
      <c r="J3581" s="221"/>
      <c r="K3581" s="221">
        <v>63.36</v>
      </c>
      <c r="L3581" s="221"/>
      <c r="M3581" s="221"/>
    </row>
    <row r="3582" spans="5:13" ht="26.25" customHeight="1">
      <c r="E3582" s="221"/>
      <c r="F3582" s="221"/>
      <c r="G3582" s="221"/>
      <c r="H3582" s="221" t="s">
        <v>924</v>
      </c>
      <c r="I3582" s="221"/>
      <c r="J3582" s="221"/>
      <c r="K3582" s="221">
        <f>K3592</f>
        <v>13266</v>
      </c>
      <c r="L3582" s="221"/>
      <c r="M3582" s="221"/>
    </row>
    <row r="3583" spans="5:13" ht="26.25" customHeight="1">
      <c r="E3583" s="221"/>
      <c r="F3583" s="221"/>
      <c r="G3583" s="221"/>
      <c r="H3583" s="226" t="s">
        <v>2785</v>
      </c>
      <c r="I3583" s="221"/>
      <c r="J3583" s="221"/>
      <c r="K3583" s="227">
        <f>SUM(K3578:K3582)</f>
        <v>13618.39</v>
      </c>
      <c r="L3583" s="221"/>
      <c r="M3583" s="221"/>
    </row>
    <row r="3584" spans="5:13" ht="26.25" customHeight="1">
      <c r="E3584" s="221"/>
      <c r="F3584" s="221"/>
      <c r="G3584" s="221"/>
      <c r="H3584" s="228" t="s">
        <v>2795</v>
      </c>
      <c r="I3584" s="221"/>
      <c r="J3584" s="221"/>
      <c r="K3584" s="229">
        <f>K3583/90</f>
        <v>151.32</v>
      </c>
      <c r="L3584" s="221"/>
      <c r="M3584" s="221"/>
    </row>
    <row r="3585" spans="5:13">
      <c r="E3585" s="221"/>
      <c r="F3585" s="221"/>
      <c r="G3585" s="221"/>
      <c r="H3585" s="221"/>
      <c r="I3585" s="221"/>
      <c r="J3585" s="221"/>
      <c r="K3585" s="221"/>
      <c r="L3585" s="221"/>
      <c r="M3585" s="221"/>
    </row>
    <row r="3586" spans="5:13" ht="24.95" customHeight="1">
      <c r="E3586" s="221"/>
      <c r="F3586" s="221"/>
      <c r="G3586" s="221"/>
      <c r="H3586" s="227" t="s">
        <v>2677</v>
      </c>
      <c r="I3586" s="221"/>
      <c r="J3586" s="221"/>
      <c r="K3586" s="221"/>
      <c r="L3586" s="221"/>
      <c r="M3586" s="221"/>
    </row>
    <row r="3587" spans="5:13" ht="24.95" customHeight="1">
      <c r="E3587" s="221"/>
      <c r="F3587" s="221">
        <v>1</v>
      </c>
      <c r="G3587" s="221" t="s">
        <v>1414</v>
      </c>
      <c r="H3587" s="230" t="s">
        <v>2786</v>
      </c>
      <c r="I3587" s="222">
        <f>I3354</f>
        <v>861</v>
      </c>
      <c r="J3587" s="221" t="s">
        <v>1414</v>
      </c>
      <c r="K3587" s="221">
        <f>F3587*I3587</f>
        <v>861</v>
      </c>
      <c r="L3587" s="221"/>
      <c r="M3587" s="221"/>
    </row>
    <row r="3588" spans="5:13" ht="24.95" customHeight="1">
      <c r="E3588" s="221"/>
      <c r="F3588" s="221">
        <v>2</v>
      </c>
      <c r="G3588" s="221" t="s">
        <v>1414</v>
      </c>
      <c r="H3588" s="221" t="s">
        <v>2800</v>
      </c>
      <c r="I3588" s="221">
        <f>I3504</f>
        <v>712</v>
      </c>
      <c r="J3588" s="221" t="s">
        <v>1414</v>
      </c>
      <c r="K3588" s="221">
        <f>F3588*I3588</f>
        <v>1424</v>
      </c>
      <c r="L3588" s="221"/>
      <c r="M3588" s="221"/>
    </row>
    <row r="3589" spans="5:13" ht="24.95" customHeight="1">
      <c r="E3589" s="221"/>
      <c r="F3589" s="221">
        <v>3</v>
      </c>
      <c r="G3589" s="221" t="s">
        <v>1414</v>
      </c>
      <c r="H3589" s="221" t="s">
        <v>2619</v>
      </c>
      <c r="I3589" s="221">
        <f>I3505</f>
        <v>708</v>
      </c>
      <c r="J3589" s="221" t="s">
        <v>1414</v>
      </c>
      <c r="K3589" s="221">
        <f>F3589*I3589</f>
        <v>2124</v>
      </c>
      <c r="L3589" s="221"/>
      <c r="M3589" s="221"/>
    </row>
    <row r="3590" spans="5:13" ht="24.95" customHeight="1">
      <c r="E3590" s="221"/>
      <c r="F3590" s="221">
        <v>4</v>
      </c>
      <c r="G3590" s="221" t="s">
        <v>1414</v>
      </c>
      <c r="H3590" s="221" t="s">
        <v>2356</v>
      </c>
      <c r="I3590" s="221">
        <f>I3506</f>
        <v>556</v>
      </c>
      <c r="J3590" s="221" t="s">
        <v>1414</v>
      </c>
      <c r="K3590" s="221">
        <f>F3590*I3590</f>
        <v>2224</v>
      </c>
      <c r="L3590" s="221"/>
      <c r="M3590" s="221"/>
    </row>
    <row r="3591" spans="5:13" ht="24.95" customHeight="1">
      <c r="E3591" s="221"/>
      <c r="F3591" s="221"/>
      <c r="G3591" s="221"/>
      <c r="H3591" s="226" t="s">
        <v>2787</v>
      </c>
      <c r="I3591" s="221"/>
      <c r="J3591" s="221"/>
      <c r="K3591" s="221">
        <f>SUM(K3587:K3590)</f>
        <v>6633</v>
      </c>
      <c r="L3591" s="221"/>
      <c r="M3591" s="221"/>
    </row>
    <row r="3592" spans="5:13" ht="24.95" customHeight="1">
      <c r="E3592" s="221"/>
      <c r="F3592" s="221"/>
      <c r="G3592" s="221"/>
      <c r="H3592" s="228" t="s">
        <v>2788</v>
      </c>
      <c r="I3592" s="221"/>
      <c r="J3592" s="221"/>
      <c r="K3592" s="229">
        <f>K3591*2</f>
        <v>13266</v>
      </c>
      <c r="L3592" s="221"/>
      <c r="M3592" s="221"/>
    </row>
    <row r="3593" spans="5:13">
      <c r="E3593" s="221"/>
      <c r="F3593" s="221"/>
      <c r="G3593" s="221"/>
      <c r="H3593" s="221"/>
      <c r="I3593" s="221"/>
      <c r="J3593" s="221"/>
      <c r="K3593" s="221"/>
      <c r="L3593" s="221"/>
      <c r="M3593" s="221"/>
    </row>
    <row r="3594" spans="5:13" ht="21" customHeight="1">
      <c r="E3594" s="221"/>
      <c r="F3594" s="221"/>
      <c r="G3594" s="221"/>
      <c r="H3594" s="229" t="s">
        <v>2789</v>
      </c>
      <c r="I3594" s="221"/>
      <c r="J3594" s="221"/>
      <c r="K3594" s="221"/>
      <c r="L3594" s="221"/>
      <c r="M3594" s="221"/>
    </row>
    <row r="3595" spans="5:13">
      <c r="E3595" s="221"/>
      <c r="F3595" s="221"/>
      <c r="G3595" s="221"/>
      <c r="H3595" s="221"/>
      <c r="I3595" s="221"/>
      <c r="J3595" s="221"/>
      <c r="K3595" s="221"/>
      <c r="L3595" s="221"/>
      <c r="M3595" s="221"/>
    </row>
    <row r="3596" spans="5:13" ht="27" customHeight="1">
      <c r="E3596" s="221"/>
      <c r="F3596" s="221"/>
      <c r="G3596" s="221"/>
      <c r="H3596" s="229" t="s">
        <v>2790</v>
      </c>
      <c r="I3596" s="221"/>
      <c r="J3596" s="221"/>
      <c r="K3596" s="221"/>
      <c r="L3596" s="221"/>
      <c r="M3596" s="221"/>
    </row>
    <row r="3597" spans="5:13">
      <c r="E3597" s="221"/>
      <c r="F3597" s="221"/>
      <c r="G3597" s="221"/>
      <c r="H3597" s="221"/>
      <c r="I3597" s="221"/>
      <c r="J3597" s="221"/>
      <c r="K3597" s="221"/>
      <c r="L3597" s="221"/>
      <c r="M3597" s="221"/>
    </row>
    <row r="3598" spans="5:13" ht="182.25" customHeight="1">
      <c r="E3598" s="221"/>
      <c r="F3598" s="221"/>
      <c r="G3598" s="221"/>
      <c r="H3598" s="242" t="s">
        <v>3151</v>
      </c>
      <c r="I3598" s="221"/>
      <c r="J3598" s="221"/>
      <c r="K3598" s="221"/>
      <c r="L3598" s="221"/>
      <c r="M3598" s="221"/>
    </row>
    <row r="3599" spans="5:13" ht="26.25" customHeight="1">
      <c r="E3599" s="221"/>
      <c r="F3599" s="221"/>
      <c r="G3599" s="221"/>
      <c r="H3599" s="229" t="s">
        <v>3141</v>
      </c>
      <c r="I3599" s="221"/>
      <c r="J3599" s="221"/>
      <c r="K3599" s="221"/>
      <c r="L3599" s="221"/>
      <c r="M3599" s="221"/>
    </row>
    <row r="3600" spans="5:13">
      <c r="E3600" s="221"/>
      <c r="F3600" s="221"/>
      <c r="G3600" s="221"/>
      <c r="H3600" s="221"/>
      <c r="I3600" s="221"/>
      <c r="J3600" s="221"/>
      <c r="K3600" s="221"/>
      <c r="L3600" s="221"/>
      <c r="M3600" s="221"/>
    </row>
    <row r="3601" spans="5:18" ht="225" customHeight="1">
      <c r="E3601" s="221"/>
      <c r="F3601" s="221"/>
      <c r="G3601" s="221"/>
      <c r="H3601" s="242" t="s">
        <v>2849</v>
      </c>
      <c r="I3601" s="221"/>
      <c r="J3601" s="221"/>
      <c r="K3601" s="221"/>
      <c r="L3601" s="221"/>
      <c r="M3601" s="221"/>
    </row>
    <row r="3602" spans="5:18" ht="22.5" customHeight="1">
      <c r="E3602" s="221"/>
      <c r="F3602" s="221"/>
      <c r="G3602" s="221"/>
      <c r="H3602" s="227" t="s">
        <v>2850</v>
      </c>
      <c r="I3602" s="227" t="s">
        <v>2851</v>
      </c>
      <c r="J3602" s="227" t="s">
        <v>2852</v>
      </c>
      <c r="K3602" s="227" t="s">
        <v>2853</v>
      </c>
      <c r="L3602" s="227" t="s">
        <v>2854</v>
      </c>
      <c r="M3602" s="221"/>
    </row>
    <row r="3603" spans="5:18" ht="22.5" customHeight="1">
      <c r="E3603" s="221"/>
      <c r="F3603" s="221"/>
      <c r="G3603" s="221"/>
      <c r="H3603" s="221" t="s">
        <v>4409</v>
      </c>
      <c r="I3603" s="222">
        <v>2970</v>
      </c>
      <c r="J3603" s="222">
        <v>2970</v>
      </c>
      <c r="K3603" s="222">
        <v>2850</v>
      </c>
      <c r="L3603" s="222">
        <v>2890</v>
      </c>
      <c r="M3603" s="221"/>
    </row>
    <row r="3604" spans="5:18" ht="22.5" customHeight="1">
      <c r="E3604" s="221"/>
      <c r="F3604" s="221"/>
      <c r="G3604" s="221"/>
      <c r="H3604" s="221" t="s">
        <v>4408</v>
      </c>
      <c r="I3604" s="221">
        <v>166</v>
      </c>
      <c r="J3604" s="221">
        <v>405</v>
      </c>
      <c r="K3604" s="243">
        <v>548</v>
      </c>
      <c r="L3604" s="243">
        <v>639</v>
      </c>
      <c r="M3604" s="221"/>
    </row>
    <row r="3605" spans="5:18" ht="29.25" customHeight="1">
      <c r="E3605" s="221"/>
      <c r="F3605" s="221"/>
      <c r="G3605" s="221"/>
      <c r="H3605" s="228" t="s">
        <v>2855</v>
      </c>
      <c r="I3605" s="229">
        <f>SUM(I3603:I3604)</f>
        <v>3136</v>
      </c>
      <c r="J3605" s="229">
        <f>SUM(J3603:J3604)</f>
        <v>3375</v>
      </c>
      <c r="K3605" s="240">
        <f>SUM(K3603:K3604)</f>
        <v>3398</v>
      </c>
      <c r="L3605" s="240">
        <f>SUM(L3603:L3604)</f>
        <v>3529</v>
      </c>
      <c r="M3605" s="221"/>
    </row>
    <row r="3606" spans="5:18">
      <c r="E3606" s="221"/>
      <c r="F3606" s="221"/>
      <c r="G3606" s="221"/>
      <c r="H3606" s="221"/>
      <c r="I3606" s="221"/>
      <c r="J3606" s="221"/>
      <c r="K3606" s="221"/>
      <c r="L3606" s="221"/>
      <c r="M3606" s="221"/>
    </row>
    <row r="3607" spans="5:18">
      <c r="E3607" s="221"/>
      <c r="F3607" s="221"/>
      <c r="G3607" s="221"/>
      <c r="H3607" s="229" t="s">
        <v>2856</v>
      </c>
      <c r="I3607" s="221"/>
      <c r="J3607" s="221"/>
      <c r="K3607" s="221"/>
      <c r="L3607" s="221"/>
      <c r="M3607" s="221"/>
    </row>
    <row r="3608" spans="5:18" ht="15.75" customHeight="1">
      <c r="E3608" s="221"/>
      <c r="F3608" s="221"/>
      <c r="G3608" s="221"/>
      <c r="H3608" s="221"/>
      <c r="I3608" s="221"/>
      <c r="J3608" s="221"/>
      <c r="K3608" s="221"/>
      <c r="L3608" s="221"/>
      <c r="M3608" s="221"/>
    </row>
    <row r="3609" spans="5:18">
      <c r="E3609" s="221"/>
      <c r="F3609" s="221"/>
      <c r="G3609" s="221"/>
      <c r="H3609" s="229" t="s">
        <v>2857</v>
      </c>
      <c r="I3609" s="221"/>
      <c r="J3609" s="221"/>
      <c r="K3609" s="221"/>
      <c r="L3609" s="221"/>
      <c r="M3609" s="221"/>
    </row>
    <row r="3610" spans="5:18" ht="86.25" customHeight="1">
      <c r="E3610" s="221"/>
      <c r="F3610" s="221"/>
      <c r="G3610" s="221"/>
      <c r="H3610" s="242" t="s">
        <v>2911</v>
      </c>
      <c r="I3610" s="221"/>
      <c r="J3610" s="221"/>
      <c r="K3610" s="221"/>
      <c r="L3610" s="221"/>
      <c r="M3610" s="1847" t="s">
        <v>3753</v>
      </c>
      <c r="N3610" s="1847"/>
      <c r="O3610" s="1847"/>
      <c r="P3610" s="1847"/>
      <c r="Q3610" s="1847"/>
      <c r="R3610" s="1847"/>
    </row>
    <row r="3611" spans="5:18" ht="15.75" customHeight="1">
      <c r="E3611" s="221"/>
      <c r="F3611" s="221"/>
      <c r="G3611" s="221"/>
      <c r="H3611" s="221"/>
      <c r="I3611" s="221"/>
      <c r="J3611" s="221"/>
      <c r="K3611" s="221"/>
      <c r="L3611" s="221"/>
      <c r="M3611" s="1848" t="s">
        <v>3754</v>
      </c>
      <c r="N3611" s="1848"/>
      <c r="O3611" s="1848"/>
      <c r="P3611" s="1848"/>
      <c r="Q3611" s="1848"/>
      <c r="R3611" s="1848"/>
    </row>
    <row r="3612" spans="5:18" ht="26.25" customHeight="1">
      <c r="E3612" s="221"/>
      <c r="F3612" s="221">
        <v>2</v>
      </c>
      <c r="G3612" s="221" t="s">
        <v>835</v>
      </c>
      <c r="H3612" s="221" t="str">
        <f>Elec.Data!H3612</f>
        <v>GI pipe of 20 mm dia  (P-45 142 -iv)</v>
      </c>
      <c r="I3612" s="222">
        <f>Elec.Data!I3612</f>
        <v>98.6</v>
      </c>
      <c r="J3612" s="221" t="s">
        <v>835</v>
      </c>
      <c r="K3612" s="221">
        <f>F3612*I3612</f>
        <v>197.2</v>
      </c>
      <c r="L3612" s="221"/>
      <c r="M3612" s="285"/>
      <c r="N3612" s="285"/>
      <c r="O3612" s="285"/>
      <c r="P3612" s="285"/>
      <c r="Q3612" s="285"/>
      <c r="R3612" s="285"/>
    </row>
    <row r="3613" spans="5:18" ht="26.25" customHeight="1">
      <c r="E3613" s="221"/>
      <c r="F3613" s="221">
        <v>2</v>
      </c>
      <c r="G3613" s="221" t="s">
        <v>2020</v>
      </c>
      <c r="H3613" s="221" t="s">
        <v>2912</v>
      </c>
      <c r="I3613" s="221">
        <v>35</v>
      </c>
      <c r="J3613" s="221" t="s">
        <v>2020</v>
      </c>
      <c r="K3613" s="221">
        <f>F3613*I3613</f>
        <v>70</v>
      </c>
      <c r="L3613" s="221"/>
      <c r="M3613" s="287">
        <v>1.5</v>
      </c>
      <c r="N3613" s="285" t="s">
        <v>835</v>
      </c>
      <c r="O3613" s="285" t="s">
        <v>3755</v>
      </c>
      <c r="P3613" s="288">
        <v>136</v>
      </c>
      <c r="Q3613" s="285" t="s">
        <v>835</v>
      </c>
      <c r="R3613" s="287">
        <f>P3613*M3613</f>
        <v>204</v>
      </c>
    </row>
    <row r="3614" spans="5:18" ht="26.25" customHeight="1">
      <c r="E3614" s="221"/>
      <c r="F3614" s="221">
        <v>1</v>
      </c>
      <c r="G3614" s="221" t="s">
        <v>1414</v>
      </c>
      <c r="H3614" s="221" t="s">
        <v>3789</v>
      </c>
      <c r="I3614" s="222">
        <f>Elec.Data!I3614</f>
        <v>47.6</v>
      </c>
      <c r="J3614" s="221" t="s">
        <v>1418</v>
      </c>
      <c r="K3614" s="221">
        <f>F3614*I3614</f>
        <v>47.6</v>
      </c>
      <c r="L3614" s="221"/>
      <c r="M3614" s="287">
        <v>2</v>
      </c>
      <c r="N3614" s="285" t="s">
        <v>2020</v>
      </c>
      <c r="O3614" s="285" t="s">
        <v>2912</v>
      </c>
      <c r="P3614" s="287">
        <f>I3613</f>
        <v>35</v>
      </c>
      <c r="Q3614" s="285" t="s">
        <v>2020</v>
      </c>
      <c r="R3614" s="287">
        <f>M3614*P3614</f>
        <v>70</v>
      </c>
    </row>
    <row r="3615" spans="5:18" ht="26.25" customHeight="1">
      <c r="E3615" s="221"/>
      <c r="F3615" s="221">
        <v>1</v>
      </c>
      <c r="G3615" s="221" t="s">
        <v>1414</v>
      </c>
      <c r="H3615" s="221" t="s">
        <v>2913</v>
      </c>
      <c r="I3615" s="221">
        <f>K3628</f>
        <v>32.119999999999997</v>
      </c>
      <c r="J3615" s="221" t="s">
        <v>1418</v>
      </c>
      <c r="K3615" s="221">
        <f>F3615*I3615</f>
        <v>32.119999999999997</v>
      </c>
      <c r="L3615" s="221"/>
      <c r="M3615" s="287"/>
      <c r="N3615" s="285"/>
      <c r="O3615" s="285"/>
      <c r="P3615" s="288"/>
      <c r="Q3615" s="285"/>
      <c r="R3615" s="287"/>
    </row>
    <row r="3616" spans="5:18" ht="26.25" customHeight="1">
      <c r="E3616" s="221"/>
      <c r="F3616" s="221">
        <v>8</v>
      </c>
      <c r="G3616" s="221" t="s">
        <v>835</v>
      </c>
      <c r="H3616" s="221" t="s">
        <v>2914</v>
      </c>
      <c r="I3616" s="221">
        <f>I3101</f>
        <v>20.3</v>
      </c>
      <c r="J3616" s="221" t="s">
        <v>3347</v>
      </c>
      <c r="K3616" s="221">
        <f>F3616*I3616</f>
        <v>162.4</v>
      </c>
      <c r="L3616" s="221"/>
      <c r="M3616" s="287"/>
      <c r="N3616" s="285"/>
      <c r="O3616" s="285"/>
      <c r="P3616" s="287"/>
      <c r="Q3616" s="285"/>
      <c r="R3616" s="287"/>
    </row>
    <row r="3617" spans="5:18" ht="51" customHeight="1">
      <c r="E3617" s="221"/>
      <c r="F3617" s="221">
        <v>1</v>
      </c>
      <c r="G3617" s="221" t="s">
        <v>1414</v>
      </c>
      <c r="H3617" s="242" t="s">
        <v>2915</v>
      </c>
      <c r="I3617" s="221"/>
      <c r="J3617" s="221"/>
      <c r="K3617" s="221">
        <f>K3627</f>
        <v>1537.67</v>
      </c>
      <c r="L3617" s="221"/>
      <c r="M3617" s="287">
        <v>8</v>
      </c>
      <c r="N3617" s="285" t="s">
        <v>835</v>
      </c>
      <c r="O3617" s="289" t="s">
        <v>2914</v>
      </c>
      <c r="P3617" s="287">
        <f>I3616</f>
        <v>20.3</v>
      </c>
      <c r="Q3617" s="285" t="s">
        <v>3347</v>
      </c>
      <c r="R3617" s="287">
        <f>M3617*P3617</f>
        <v>162.4</v>
      </c>
    </row>
    <row r="3618" spans="5:18" ht="49.5" customHeight="1">
      <c r="E3618" s="221"/>
      <c r="F3618" s="221"/>
      <c r="G3618" s="221"/>
      <c r="H3618" s="242" t="s">
        <v>2524</v>
      </c>
      <c r="I3618" s="221" t="s">
        <v>663</v>
      </c>
      <c r="J3618" s="221"/>
      <c r="K3618" s="221">
        <f>15.7+0.31</f>
        <v>16.010000000000002</v>
      </c>
      <c r="L3618" s="221"/>
      <c r="M3618" s="287">
        <v>1</v>
      </c>
      <c r="N3618" s="285" t="s">
        <v>1414</v>
      </c>
      <c r="O3618" s="289" t="s">
        <v>2915</v>
      </c>
      <c r="P3618" s="287">
        <f>R3628</f>
        <v>881.67</v>
      </c>
      <c r="Q3618" s="285" t="s">
        <v>1418</v>
      </c>
      <c r="R3618" s="287">
        <f>R3628</f>
        <v>881.67</v>
      </c>
    </row>
    <row r="3619" spans="5:18" ht="29.25" customHeight="1">
      <c r="E3619" s="221"/>
      <c r="F3619" s="221"/>
      <c r="G3619" s="221"/>
      <c r="H3619" s="228" t="s">
        <v>2397</v>
      </c>
      <c r="I3619" s="221"/>
      <c r="J3619" s="221"/>
      <c r="K3619" s="229">
        <f>SUM(K3612:K3618)</f>
        <v>2063</v>
      </c>
      <c r="L3619" s="221">
        <f>K3619-1520</f>
        <v>543</v>
      </c>
      <c r="M3619" s="287"/>
      <c r="N3619" s="285"/>
      <c r="O3619" s="289" t="s">
        <v>2524</v>
      </c>
      <c r="P3619" s="1849" t="s">
        <v>663</v>
      </c>
      <c r="Q3619" s="1849"/>
      <c r="R3619" s="287">
        <v>15.73</v>
      </c>
    </row>
    <row r="3620" spans="5:18">
      <c r="E3620" s="221"/>
      <c r="F3620" s="221"/>
      <c r="G3620" s="221"/>
      <c r="H3620" s="221"/>
      <c r="I3620" s="221"/>
      <c r="J3620" s="221"/>
      <c r="K3620" s="221"/>
      <c r="L3620" s="221"/>
      <c r="M3620" s="287"/>
      <c r="N3620" s="285"/>
      <c r="O3620" s="290" t="s">
        <v>2397</v>
      </c>
      <c r="P3620" s="285"/>
      <c r="Q3620" s="285"/>
      <c r="R3620" s="290">
        <f>SUM(R3613:R3619)</f>
        <v>1333.8</v>
      </c>
    </row>
    <row r="3621" spans="5:18">
      <c r="E3621" s="221"/>
      <c r="F3621" s="221"/>
      <c r="G3621" s="221"/>
      <c r="H3621" s="227" t="s">
        <v>2525</v>
      </c>
      <c r="I3621" s="221"/>
      <c r="J3621" s="221"/>
      <c r="K3621" s="221"/>
      <c r="L3621" s="221"/>
      <c r="M3621" s="287"/>
      <c r="N3621" s="285"/>
      <c r="O3621" s="285"/>
      <c r="P3621" s="285"/>
      <c r="Q3621" s="285"/>
      <c r="R3621" s="285"/>
    </row>
    <row r="3622" spans="5:18">
      <c r="E3622" s="221"/>
      <c r="F3622" s="221">
        <v>1</v>
      </c>
      <c r="G3622" s="221" t="s">
        <v>1414</v>
      </c>
      <c r="H3622" s="230" t="s">
        <v>2739</v>
      </c>
      <c r="I3622" s="221">
        <f>I3503</f>
        <v>817</v>
      </c>
      <c r="J3622" s="221" t="s">
        <v>1414</v>
      </c>
      <c r="K3622" s="221">
        <f>F3622*I3622</f>
        <v>817</v>
      </c>
      <c r="L3622" s="221"/>
      <c r="M3622" s="287"/>
      <c r="N3622" s="285"/>
      <c r="O3622" s="291" t="s">
        <v>2525</v>
      </c>
      <c r="P3622" s="285"/>
      <c r="Q3622" s="285"/>
      <c r="R3622" s="285"/>
    </row>
    <row r="3623" spans="5:18">
      <c r="E3623" s="221"/>
      <c r="F3623" s="221">
        <v>1</v>
      </c>
      <c r="G3623" s="221" t="s">
        <v>1414</v>
      </c>
      <c r="H3623" s="221" t="s">
        <v>2800</v>
      </c>
      <c r="I3623" s="221">
        <f>I3504</f>
        <v>712</v>
      </c>
      <c r="J3623" s="221" t="s">
        <v>1414</v>
      </c>
      <c r="K3623" s="221">
        <f>F3623*I3623</f>
        <v>712</v>
      </c>
      <c r="L3623" s="221"/>
      <c r="M3623" s="287">
        <v>1</v>
      </c>
      <c r="N3623" s="285" t="s">
        <v>1414</v>
      </c>
      <c r="O3623" s="285" t="s">
        <v>2739</v>
      </c>
      <c r="P3623" s="287">
        <v>471</v>
      </c>
      <c r="Q3623" s="285" t="s">
        <v>1414</v>
      </c>
      <c r="R3623" s="285">
        <f>M3623*P3623</f>
        <v>471</v>
      </c>
    </row>
    <row r="3624" spans="5:18">
      <c r="E3624" s="221"/>
      <c r="F3624" s="221">
        <v>2</v>
      </c>
      <c r="G3624" s="221" t="s">
        <v>1414</v>
      </c>
      <c r="H3624" s="221" t="s">
        <v>2619</v>
      </c>
      <c r="I3624" s="221">
        <f>I3505</f>
        <v>708</v>
      </c>
      <c r="J3624" s="221" t="s">
        <v>1414</v>
      </c>
      <c r="K3624" s="221">
        <f>F3624*I3624</f>
        <v>1416</v>
      </c>
      <c r="L3624" s="221"/>
      <c r="M3624" s="287">
        <v>1</v>
      </c>
      <c r="N3624" s="285" t="s">
        <v>1414</v>
      </c>
      <c r="O3624" s="285" t="s">
        <v>2800</v>
      </c>
      <c r="P3624" s="287">
        <v>432</v>
      </c>
      <c r="Q3624" s="285" t="s">
        <v>1414</v>
      </c>
      <c r="R3624" s="285">
        <f>M3624*P3624</f>
        <v>432</v>
      </c>
    </row>
    <row r="3625" spans="5:18">
      <c r="E3625" s="221"/>
      <c r="F3625" s="221">
        <v>3</v>
      </c>
      <c r="G3625" s="221" t="s">
        <v>1414</v>
      </c>
      <c r="H3625" s="221" t="s">
        <v>2356</v>
      </c>
      <c r="I3625" s="221">
        <f>I3506</f>
        <v>556</v>
      </c>
      <c r="J3625" s="221" t="s">
        <v>1414</v>
      </c>
      <c r="K3625" s="221">
        <f>F3625*I3625</f>
        <v>1668</v>
      </c>
      <c r="L3625" s="221"/>
      <c r="M3625" s="287">
        <v>2</v>
      </c>
      <c r="N3625" s="285" t="s">
        <v>1414</v>
      </c>
      <c r="O3625" s="285" t="s">
        <v>2619</v>
      </c>
      <c r="P3625" s="287">
        <v>409</v>
      </c>
      <c r="Q3625" s="285" t="s">
        <v>1414</v>
      </c>
      <c r="R3625" s="285">
        <f>M3625*P3625</f>
        <v>818</v>
      </c>
    </row>
    <row r="3626" spans="5:18">
      <c r="E3626" s="221"/>
      <c r="F3626" s="221"/>
      <c r="G3626" s="221"/>
      <c r="H3626" s="226" t="s">
        <v>2901</v>
      </c>
      <c r="I3626" s="221"/>
      <c r="J3626" s="221"/>
      <c r="K3626" s="227">
        <f>SUM(K3622:K3625)</f>
        <v>4613</v>
      </c>
      <c r="L3626" s="221"/>
      <c r="M3626" s="287">
        <v>3</v>
      </c>
      <c r="N3626" s="285" t="s">
        <v>1414</v>
      </c>
      <c r="O3626" s="285" t="s">
        <v>2356</v>
      </c>
      <c r="P3626" s="287">
        <v>308</v>
      </c>
      <c r="Q3626" s="285" t="s">
        <v>1414</v>
      </c>
      <c r="R3626" s="285">
        <f>M3626*P3626</f>
        <v>924</v>
      </c>
    </row>
    <row r="3627" spans="5:18">
      <c r="E3627" s="221"/>
      <c r="F3627" s="221"/>
      <c r="G3627" s="221"/>
      <c r="H3627" s="228" t="s">
        <v>2826</v>
      </c>
      <c r="I3627" s="221"/>
      <c r="J3627" s="221"/>
      <c r="K3627" s="229">
        <f>K3626/3</f>
        <v>1537.67</v>
      </c>
      <c r="L3627" s="221"/>
      <c r="M3627" s="285"/>
      <c r="N3627" s="285"/>
      <c r="O3627" s="287" t="s">
        <v>2901</v>
      </c>
      <c r="P3627" s="285"/>
      <c r="Q3627" s="285"/>
      <c r="R3627" s="291">
        <f>SUM(R3623:R3626)</f>
        <v>2645</v>
      </c>
    </row>
    <row r="3628" spans="5:18">
      <c r="E3628" s="221"/>
      <c r="F3628" s="221"/>
      <c r="G3628" s="221"/>
      <c r="H3628" s="229" t="s">
        <v>2526</v>
      </c>
      <c r="I3628" s="221">
        <f>I3483</f>
        <v>107060</v>
      </c>
      <c r="J3628" s="235">
        <v>2.9999999999999997E-4</v>
      </c>
      <c r="K3628" s="229">
        <f>I3628*J3628</f>
        <v>32.119999999999997</v>
      </c>
      <c r="L3628" s="221"/>
      <c r="M3628" s="285"/>
      <c r="N3628" s="285"/>
      <c r="O3628" s="290" t="s">
        <v>2826</v>
      </c>
      <c r="P3628" s="285"/>
      <c r="Q3628" s="285"/>
      <c r="R3628" s="286">
        <f>R3627/3</f>
        <v>881.67</v>
      </c>
    </row>
    <row r="3629" spans="5:18">
      <c r="E3629" s="221"/>
      <c r="F3629" s="221"/>
      <c r="G3629" s="221"/>
      <c r="H3629" s="221"/>
      <c r="I3629" s="221"/>
      <c r="J3629" s="221"/>
      <c r="K3629" s="221"/>
      <c r="L3629" s="221"/>
      <c r="M3629" s="285"/>
      <c r="N3629" s="285"/>
      <c r="O3629" s="292"/>
      <c r="P3629" s="293"/>
      <c r="Q3629" s="294"/>
      <c r="R3629" s="292"/>
    </row>
    <row r="3630" spans="5:18" ht="23.25" customHeight="1">
      <c r="E3630" s="221"/>
      <c r="F3630" s="221"/>
      <c r="G3630" s="221"/>
      <c r="H3630" s="229" t="s">
        <v>2399</v>
      </c>
      <c r="I3630" s="221"/>
      <c r="J3630" s="221"/>
      <c r="K3630" s="221"/>
      <c r="L3630" s="221"/>
      <c r="M3630" s="285"/>
      <c r="N3630" s="285"/>
      <c r="O3630" s="285"/>
      <c r="P3630" s="285"/>
      <c r="Q3630" s="285"/>
      <c r="R3630" s="285"/>
    </row>
    <row r="3631" spans="5:18" ht="15.75" customHeight="1">
      <c r="E3631" s="221"/>
      <c r="F3631" s="221"/>
      <c r="G3631" s="221"/>
      <c r="H3631" s="221"/>
      <c r="I3631" s="221"/>
      <c r="J3631" s="221"/>
      <c r="K3631" s="221"/>
      <c r="L3631" s="221"/>
      <c r="M3631" s="285"/>
      <c r="N3631" s="285"/>
      <c r="O3631" s="286" t="s">
        <v>2399</v>
      </c>
      <c r="P3631" s="285"/>
      <c r="Q3631" s="285"/>
      <c r="R3631" s="285"/>
    </row>
    <row r="3632" spans="5:18" ht="24.95" customHeight="1">
      <c r="E3632" s="221"/>
      <c r="F3632" s="221"/>
      <c r="G3632" s="221"/>
      <c r="H3632" s="229" t="s">
        <v>3149</v>
      </c>
      <c r="I3632" s="221"/>
      <c r="J3632" s="221"/>
      <c r="K3632" s="221"/>
      <c r="L3632" s="221"/>
      <c r="M3632" s="285"/>
      <c r="N3632" s="285"/>
      <c r="O3632" s="286"/>
      <c r="P3632" s="285"/>
      <c r="Q3632" s="285"/>
      <c r="R3632" s="285"/>
    </row>
    <row r="3633" spans="5:18" ht="15.75" customHeight="1">
      <c r="E3633" s="221"/>
      <c r="F3633" s="221"/>
      <c r="G3633" s="221"/>
      <c r="H3633" s="221"/>
      <c r="I3633" s="221"/>
      <c r="J3633" s="221"/>
      <c r="K3633" s="221"/>
      <c r="L3633" s="221"/>
      <c r="M3633" s="285"/>
      <c r="N3633" s="285"/>
      <c r="O3633" s="286" t="s">
        <v>3756</v>
      </c>
      <c r="P3633" s="285"/>
      <c r="Q3633" s="285"/>
      <c r="R3633" s="285"/>
    </row>
    <row r="3634" spans="5:18" ht="24.95" customHeight="1">
      <c r="E3634" s="221"/>
      <c r="F3634" s="221">
        <v>1</v>
      </c>
      <c r="G3634" s="221" t="s">
        <v>1414</v>
      </c>
      <c r="H3634" s="220" t="str">
        <f>Elec.Data!H3634</f>
        <v>Tube light fittings P-113 ,11a-An-VII</v>
      </c>
      <c r="I3634" s="223">
        <f>Elec.Data!I3634</f>
        <v>642</v>
      </c>
      <c r="J3634" s="221" t="s">
        <v>1414</v>
      </c>
      <c r="K3634" s="221">
        <f>F3634*I3634</f>
        <v>642</v>
      </c>
      <c r="L3634" s="221"/>
      <c r="M3634" s="285"/>
      <c r="N3634" s="285"/>
      <c r="O3634" s="286"/>
      <c r="P3634" s="285"/>
      <c r="Q3634" s="285"/>
      <c r="R3634" s="285"/>
    </row>
    <row r="3635" spans="5:18" ht="24.95" customHeight="1">
      <c r="E3635" s="221"/>
      <c r="F3635" s="221">
        <v>1</v>
      </c>
      <c r="G3635" s="221" t="s">
        <v>1414</v>
      </c>
      <c r="H3635" s="220" t="str">
        <f>Elec.Data!H3635</f>
        <v>Tubular lamp P-112 ,4b</v>
      </c>
      <c r="I3635" s="223">
        <f>Elec.Data!I3635</f>
        <v>35.9</v>
      </c>
      <c r="J3635" s="221" t="s">
        <v>1414</v>
      </c>
      <c r="K3635" s="221">
        <f>F3635*I3635</f>
        <v>35.9</v>
      </c>
      <c r="L3635" s="221"/>
      <c r="M3635" s="285">
        <v>1</v>
      </c>
      <c r="N3635" s="285" t="s">
        <v>1414</v>
      </c>
      <c r="O3635" s="289" t="s">
        <v>3757</v>
      </c>
      <c r="P3635" s="295">
        <v>1717.5</v>
      </c>
      <c r="Q3635" s="285" t="s">
        <v>1414</v>
      </c>
      <c r="R3635" s="285">
        <f>M3635*P3635</f>
        <v>1717.5</v>
      </c>
    </row>
    <row r="3636" spans="5:18" ht="24.95" customHeight="1">
      <c r="E3636" s="221"/>
      <c r="F3636" s="221">
        <v>1</v>
      </c>
      <c r="G3636" s="221" t="s">
        <v>1414</v>
      </c>
      <c r="H3636" s="242" t="s">
        <v>924</v>
      </c>
      <c r="I3636" s="221">
        <f>K3619</f>
        <v>2063</v>
      </c>
      <c r="J3636" s="221" t="s">
        <v>1414</v>
      </c>
      <c r="K3636" s="221">
        <f>F3636*I3636</f>
        <v>2063</v>
      </c>
      <c r="L3636" s="221"/>
      <c r="M3636" s="285">
        <v>1</v>
      </c>
      <c r="N3636" s="285" t="s">
        <v>1414</v>
      </c>
      <c r="O3636" s="289" t="s">
        <v>924</v>
      </c>
      <c r="P3636" s="295">
        <f>R3620</f>
        <v>1333.8</v>
      </c>
      <c r="Q3636" s="285" t="s">
        <v>1414</v>
      </c>
      <c r="R3636" s="285">
        <f>M3636*P3636</f>
        <v>1333.8</v>
      </c>
    </row>
    <row r="3637" spans="5:18" ht="24.95" customHeight="1">
      <c r="E3637" s="221"/>
      <c r="F3637" s="221"/>
      <c r="G3637" s="221"/>
      <c r="H3637" s="220" t="s">
        <v>2296</v>
      </c>
      <c r="I3637" s="221"/>
      <c r="J3637" s="221"/>
      <c r="K3637" s="221">
        <f>2.5-0.9</f>
        <v>1.6</v>
      </c>
      <c r="L3637" s="221"/>
      <c r="M3637" s="285"/>
      <c r="N3637" s="285"/>
      <c r="O3637" s="289" t="s">
        <v>2296</v>
      </c>
      <c r="P3637" s="285"/>
      <c r="Q3637" s="285"/>
      <c r="R3637" s="285">
        <v>0.5</v>
      </c>
    </row>
    <row r="3638" spans="5:18" ht="24.95" customHeight="1">
      <c r="E3638" s="221"/>
      <c r="F3638" s="221"/>
      <c r="G3638" s="221"/>
      <c r="H3638" s="228" t="s">
        <v>1080</v>
      </c>
      <c r="I3638" s="221"/>
      <c r="J3638" s="221"/>
      <c r="K3638" s="229">
        <f>SUM(K3634:K3637)</f>
        <v>2742.5</v>
      </c>
      <c r="L3638" s="221">
        <f>K3638-2170</f>
        <v>572.5</v>
      </c>
      <c r="M3638" s="285"/>
      <c r="N3638" s="285"/>
      <c r="O3638" s="290" t="s">
        <v>1080</v>
      </c>
      <c r="P3638" s="285"/>
      <c r="Q3638" s="285"/>
      <c r="R3638" s="286">
        <f>SUM(R3635:R3637)</f>
        <v>3051.8</v>
      </c>
    </row>
    <row r="3639" spans="5:18">
      <c r="E3639" s="221"/>
      <c r="F3639" s="221"/>
      <c r="G3639" s="221"/>
      <c r="H3639" s="221"/>
      <c r="I3639" s="221"/>
      <c r="J3639" s="221"/>
      <c r="K3639" s="221"/>
      <c r="L3639" s="221"/>
      <c r="M3639" s="285"/>
      <c r="N3639" s="285"/>
      <c r="P3639" s="285"/>
      <c r="Q3639" s="285"/>
      <c r="R3639" s="286"/>
    </row>
    <row r="3640" spans="5:18" ht="24.75" customHeight="1">
      <c r="E3640" s="221"/>
      <c r="F3640" s="221"/>
      <c r="G3640" s="221"/>
      <c r="H3640" s="229" t="s">
        <v>3136</v>
      </c>
      <c r="I3640" s="221"/>
      <c r="J3640" s="221"/>
      <c r="K3640" s="221"/>
      <c r="L3640" s="221"/>
      <c r="M3640" s="221"/>
    </row>
    <row r="3641" spans="5:18" ht="63">
      <c r="E3641" s="221"/>
      <c r="F3641" s="221"/>
      <c r="G3641" s="221"/>
      <c r="H3641" s="242" t="s">
        <v>3137</v>
      </c>
      <c r="I3641" s="221"/>
      <c r="J3641" s="221"/>
      <c r="K3641" s="221"/>
      <c r="L3641" s="221"/>
      <c r="M3641" s="221"/>
    </row>
    <row r="3642" spans="5:18">
      <c r="E3642" s="221"/>
      <c r="F3642" s="221"/>
      <c r="G3642" s="221"/>
      <c r="H3642" s="221"/>
      <c r="I3642" s="221"/>
      <c r="J3642" s="221"/>
      <c r="K3642" s="221"/>
      <c r="L3642" s="221"/>
      <c r="M3642" s="221"/>
    </row>
    <row r="3643" spans="5:18" ht="24.75" customHeight="1">
      <c r="E3643" s="221"/>
      <c r="F3643" s="221">
        <v>1.5</v>
      </c>
      <c r="G3643" s="221" t="s">
        <v>835</v>
      </c>
      <c r="H3643" s="221" t="str">
        <f>Elec.Data!H3643</f>
        <v>GI pipe B class of 50 mm dia  (P-45 154 -ii)</v>
      </c>
      <c r="I3643" s="222">
        <f>Elec.Data!I3643</f>
        <v>209</v>
      </c>
      <c r="J3643" s="221" t="s">
        <v>835</v>
      </c>
      <c r="K3643" s="221">
        <f>F3643*I3643</f>
        <v>313.5</v>
      </c>
      <c r="L3643" s="221"/>
      <c r="M3643" s="221"/>
    </row>
    <row r="3644" spans="5:18" ht="24.75" customHeight="1">
      <c r="E3644" s="221"/>
      <c r="F3644" s="221">
        <v>2</v>
      </c>
      <c r="G3644" s="221" t="s">
        <v>3147</v>
      </c>
      <c r="H3644" s="221" t="s">
        <v>3148</v>
      </c>
      <c r="I3644" s="221">
        <f>I3613</f>
        <v>35</v>
      </c>
      <c r="J3644" s="221" t="s">
        <v>3147</v>
      </c>
      <c r="K3644" s="221">
        <f>F3644*I3644</f>
        <v>70</v>
      </c>
      <c r="L3644" s="221"/>
      <c r="M3644" s="221"/>
    </row>
    <row r="3645" spans="5:18" ht="24.75" customHeight="1">
      <c r="E3645" s="221"/>
      <c r="F3645" s="221">
        <v>1</v>
      </c>
      <c r="G3645" s="221" t="s">
        <v>1414</v>
      </c>
      <c r="H3645" s="221" t="s">
        <v>3138</v>
      </c>
      <c r="I3645" s="221">
        <f>I3614</f>
        <v>47.6</v>
      </c>
      <c r="J3645" s="221" t="s">
        <v>1414</v>
      </c>
      <c r="K3645" s="221">
        <f>F3645*I3645</f>
        <v>47.6</v>
      </c>
      <c r="L3645" s="221"/>
      <c r="M3645" s="221"/>
    </row>
    <row r="3646" spans="5:18" ht="24.75" customHeight="1">
      <c r="E3646" s="221"/>
      <c r="F3646" s="221">
        <v>1</v>
      </c>
      <c r="G3646" s="221" t="s">
        <v>1414</v>
      </c>
      <c r="H3646" s="221" t="s">
        <v>3272</v>
      </c>
      <c r="I3646" s="221">
        <f>I3615</f>
        <v>32.119999999999997</v>
      </c>
      <c r="J3646" s="221" t="s">
        <v>1414</v>
      </c>
      <c r="K3646" s="221">
        <f>F3646*I3646</f>
        <v>32.119999999999997</v>
      </c>
      <c r="L3646" s="221"/>
      <c r="M3646" s="221"/>
    </row>
    <row r="3647" spans="5:18" ht="24.75" customHeight="1">
      <c r="E3647" s="221"/>
      <c r="F3647" s="221">
        <v>8</v>
      </c>
      <c r="G3647" s="221" t="s">
        <v>835</v>
      </c>
      <c r="H3647" s="221" t="s">
        <v>2914</v>
      </c>
      <c r="I3647" s="221">
        <f>I3616</f>
        <v>20.3</v>
      </c>
      <c r="J3647" s="221" t="s">
        <v>3347</v>
      </c>
      <c r="K3647" s="221">
        <f>F3647*I3647</f>
        <v>162.4</v>
      </c>
      <c r="L3647" s="221"/>
      <c r="M3647" s="221"/>
    </row>
    <row r="3648" spans="5:18" ht="61.5" customHeight="1">
      <c r="E3648" s="221"/>
      <c r="F3648" s="221"/>
      <c r="G3648" s="221"/>
      <c r="H3648" s="242" t="s">
        <v>2915</v>
      </c>
      <c r="I3648" s="221"/>
      <c r="J3648" s="221"/>
      <c r="K3648" s="221">
        <f>K3627</f>
        <v>1537.67</v>
      </c>
      <c r="L3648" s="221"/>
      <c r="M3648" s="221"/>
    </row>
    <row r="3649" spans="5:13" ht="52.5" customHeight="1">
      <c r="E3649" s="221"/>
      <c r="F3649" s="221"/>
      <c r="G3649" s="221"/>
      <c r="H3649" s="242" t="s">
        <v>2524</v>
      </c>
      <c r="I3649" s="221"/>
      <c r="J3649" s="221" t="s">
        <v>663</v>
      </c>
      <c r="K3649" s="221">
        <f>14.2-0.69</f>
        <v>13.51</v>
      </c>
      <c r="L3649" s="221"/>
      <c r="M3649" s="221"/>
    </row>
    <row r="3650" spans="5:13" ht="24" customHeight="1">
      <c r="E3650" s="221"/>
      <c r="F3650" s="221"/>
      <c r="G3650" s="221"/>
      <c r="H3650" s="228" t="s">
        <v>2397</v>
      </c>
      <c r="I3650" s="221"/>
      <c r="J3650" s="221"/>
      <c r="K3650" s="229">
        <f>SUM(K3643:K3649)</f>
        <v>2176.8000000000002</v>
      </c>
      <c r="L3650" s="221"/>
      <c r="M3650" s="221"/>
    </row>
    <row r="3651" spans="5:13">
      <c r="E3651" s="221"/>
      <c r="F3651" s="221"/>
      <c r="G3651" s="221"/>
      <c r="H3651" s="221"/>
      <c r="I3651" s="221"/>
      <c r="J3651" s="221"/>
      <c r="K3651" s="221"/>
      <c r="L3651" s="221"/>
      <c r="M3651" s="221"/>
    </row>
    <row r="3652" spans="5:13">
      <c r="E3652" s="221"/>
      <c r="F3652" s="221"/>
      <c r="G3652" s="221"/>
      <c r="H3652" s="221"/>
      <c r="I3652" s="221"/>
      <c r="J3652" s="221"/>
      <c r="K3652" s="221"/>
      <c r="L3652" s="221"/>
      <c r="M3652" s="221"/>
    </row>
    <row r="3653" spans="5:13">
      <c r="E3653" s="221"/>
      <c r="F3653" s="221"/>
      <c r="G3653" s="221"/>
      <c r="H3653" s="221"/>
      <c r="I3653" s="221"/>
      <c r="J3653" s="221"/>
      <c r="K3653" s="221"/>
      <c r="L3653" s="221"/>
      <c r="M3653" s="221"/>
    </row>
    <row r="3654" spans="5:13">
      <c r="E3654" s="221"/>
      <c r="F3654" s="221"/>
      <c r="G3654" s="221"/>
      <c r="H3654" s="221"/>
      <c r="I3654" s="221"/>
      <c r="J3654" s="221"/>
      <c r="K3654" s="221"/>
      <c r="L3654" s="221"/>
      <c r="M3654" s="221"/>
    </row>
    <row r="3655" spans="5:13">
      <c r="E3655" s="221"/>
      <c r="F3655" s="221"/>
      <c r="G3655" s="221"/>
      <c r="H3655" s="240" t="s">
        <v>2856</v>
      </c>
      <c r="I3655" s="221"/>
      <c r="J3655" s="221"/>
      <c r="K3655" s="221"/>
      <c r="L3655" s="221"/>
      <c r="M3655" s="221"/>
    </row>
    <row r="3656" spans="5:13">
      <c r="E3656" s="221"/>
      <c r="F3656" s="221"/>
      <c r="G3656" s="221"/>
      <c r="H3656" s="221"/>
      <c r="I3656" s="221"/>
      <c r="J3656" s="221"/>
      <c r="K3656" s="221"/>
      <c r="L3656" s="221"/>
      <c r="M3656" s="221"/>
    </row>
    <row r="3657" spans="5:13">
      <c r="E3657" s="221"/>
      <c r="F3657" s="221"/>
      <c r="G3657" s="221"/>
      <c r="H3657" s="240" t="s">
        <v>3054</v>
      </c>
      <c r="I3657" s="221"/>
      <c r="J3657" s="221"/>
      <c r="K3657" s="221"/>
      <c r="L3657" s="221"/>
      <c r="M3657" s="221"/>
    </row>
    <row r="3658" spans="5:13">
      <c r="E3658" s="221"/>
      <c r="F3658" s="221"/>
      <c r="G3658" s="221"/>
      <c r="H3658" s="221"/>
      <c r="I3658" s="221"/>
      <c r="J3658" s="221"/>
      <c r="K3658" s="221"/>
      <c r="L3658" s="221"/>
      <c r="M3658" s="221"/>
    </row>
    <row r="3659" spans="5:13" ht="315">
      <c r="E3659" s="221"/>
      <c r="F3659" s="221"/>
      <c r="G3659" s="221"/>
      <c r="H3659" s="242" t="s">
        <v>2567</v>
      </c>
      <c r="I3659" s="221"/>
      <c r="J3659" s="221"/>
      <c r="K3659" s="221"/>
      <c r="L3659" s="221"/>
      <c r="M3659" s="221"/>
    </row>
    <row r="3660" spans="5:13">
      <c r="E3660" s="221"/>
      <c r="F3660" s="221"/>
      <c r="G3660" s="221"/>
      <c r="H3660" s="221"/>
      <c r="I3660" s="221"/>
      <c r="J3660" s="221"/>
      <c r="K3660" s="221"/>
      <c r="L3660" s="221"/>
      <c r="M3660" s="221"/>
    </row>
    <row r="3661" spans="5:13">
      <c r="E3661" s="221"/>
      <c r="F3661" s="221"/>
      <c r="G3661" s="221"/>
      <c r="H3661" s="229" t="s">
        <v>2871</v>
      </c>
      <c r="I3661" s="221"/>
      <c r="K3661" s="221"/>
      <c r="L3661" s="221"/>
      <c r="M3661" s="221"/>
    </row>
    <row r="3662" spans="5:13" ht="47.25">
      <c r="E3662" s="221"/>
      <c r="F3662" s="221">
        <v>1</v>
      </c>
      <c r="G3662" s="221" t="s">
        <v>1414</v>
      </c>
      <c r="H3662" s="220" t="s">
        <v>3902</v>
      </c>
      <c r="I3662" s="260">
        <f>Elec.Data!I3662</f>
        <v>310</v>
      </c>
      <c r="J3662" s="221" t="s">
        <v>1414</v>
      </c>
      <c r="K3662" s="221">
        <f t="shared" ref="K3662:K3667" si="104">F3662*I3662</f>
        <v>310</v>
      </c>
      <c r="L3662" s="221"/>
      <c r="M3662" s="221"/>
    </row>
    <row r="3663" spans="5:13" ht="20.100000000000001" customHeight="1">
      <c r="E3663" s="221"/>
      <c r="F3663" s="221">
        <v>1</v>
      </c>
      <c r="G3663" s="221" t="s">
        <v>1414</v>
      </c>
      <c r="H3663" s="221" t="s">
        <v>2872</v>
      </c>
      <c r="I3663" s="221">
        <f>K3677</f>
        <v>289.06</v>
      </c>
      <c r="J3663" s="221" t="s">
        <v>1414</v>
      </c>
      <c r="K3663" s="221">
        <f t="shared" si="104"/>
        <v>289.06</v>
      </c>
      <c r="L3663" s="221"/>
      <c r="M3663" s="221"/>
    </row>
    <row r="3664" spans="5:13" ht="20.100000000000001" customHeight="1">
      <c r="E3664" s="221"/>
      <c r="F3664" s="221">
        <v>1</v>
      </c>
      <c r="G3664" s="221" t="s">
        <v>1414</v>
      </c>
      <c r="H3664" s="221" t="s">
        <v>2873</v>
      </c>
      <c r="I3664" s="222">
        <f>Elec.Data!I3664</f>
        <v>84.4</v>
      </c>
      <c r="J3664" s="221" t="s">
        <v>1414</v>
      </c>
      <c r="K3664" s="221">
        <f t="shared" si="104"/>
        <v>84.4</v>
      </c>
      <c r="L3664" s="221"/>
      <c r="M3664" s="221"/>
    </row>
    <row r="3665" spans="4:13" ht="20.100000000000001" customHeight="1">
      <c r="E3665" s="221"/>
      <c r="F3665" s="221">
        <v>1</v>
      </c>
      <c r="G3665" s="221" t="s">
        <v>1414</v>
      </c>
      <c r="H3665" s="221" t="s">
        <v>2874</v>
      </c>
      <c r="I3665" s="221">
        <f>I3478</f>
        <v>25</v>
      </c>
      <c r="J3665" s="221" t="s">
        <v>1414</v>
      </c>
      <c r="K3665" s="221">
        <f t="shared" si="104"/>
        <v>25</v>
      </c>
      <c r="L3665" s="221"/>
      <c r="M3665" s="221"/>
    </row>
    <row r="3666" spans="4:13" ht="20.100000000000001" customHeight="1">
      <c r="E3666" s="221"/>
      <c r="F3666" s="221">
        <v>5</v>
      </c>
      <c r="G3666" s="221" t="s">
        <v>835</v>
      </c>
      <c r="H3666" s="221" t="s">
        <v>3265</v>
      </c>
      <c r="I3666" s="222">
        <f>Elec.Data!I3666</f>
        <v>98.6</v>
      </c>
      <c r="J3666" s="221" t="s">
        <v>835</v>
      </c>
      <c r="K3666" s="221">
        <f t="shared" si="104"/>
        <v>493</v>
      </c>
      <c r="L3666" s="221"/>
      <c r="M3666" s="221"/>
    </row>
    <row r="3667" spans="4:13" ht="31.5">
      <c r="E3667" s="221"/>
      <c r="F3667" s="221">
        <v>20</v>
      </c>
      <c r="G3667" s="221" t="s">
        <v>835</v>
      </c>
      <c r="H3667" s="242" t="s">
        <v>2734</v>
      </c>
      <c r="I3667" s="221">
        <f>I3098</f>
        <v>32.200000000000003</v>
      </c>
      <c r="J3667" s="221" t="s">
        <v>835</v>
      </c>
      <c r="K3667" s="221">
        <f t="shared" si="104"/>
        <v>644</v>
      </c>
      <c r="L3667" s="221"/>
      <c r="M3667" s="221"/>
    </row>
    <row r="3668" spans="4:13" ht="20.100000000000001" customHeight="1">
      <c r="E3668" s="221"/>
      <c r="F3668" s="221"/>
      <c r="G3668" s="221"/>
      <c r="H3668" s="229" t="s">
        <v>3266</v>
      </c>
      <c r="I3668" s="221"/>
      <c r="J3668" s="221"/>
      <c r="K3668" s="221"/>
      <c r="L3668" s="221"/>
      <c r="M3668" s="221"/>
    </row>
    <row r="3669" spans="4:13" ht="56.25" customHeight="1">
      <c r="E3669" s="221"/>
      <c r="F3669" s="221">
        <v>1</v>
      </c>
      <c r="G3669" s="221" t="s">
        <v>1414</v>
      </c>
      <c r="H3669" s="242" t="s">
        <v>3300</v>
      </c>
      <c r="I3669" s="221">
        <f>I3662</f>
        <v>310</v>
      </c>
      <c r="J3669" s="221" t="s">
        <v>1414</v>
      </c>
      <c r="K3669" s="221">
        <f>F3669*I3669</f>
        <v>310</v>
      </c>
      <c r="L3669" s="221"/>
      <c r="M3669" s="221"/>
    </row>
    <row r="3670" spans="4:13">
      <c r="E3670" s="221"/>
      <c r="F3670" s="221">
        <v>1</v>
      </c>
      <c r="G3670" s="221" t="s">
        <v>1414</v>
      </c>
      <c r="H3670" s="221" t="str">
        <f>Elec.Data!H3670</f>
        <v>32 A DPIC switch p-119 2d, Part-C</v>
      </c>
      <c r="I3670" s="260">
        <f>Elec.Data!I3670</f>
        <v>768</v>
      </c>
      <c r="J3670" s="221" t="s">
        <v>1414</v>
      </c>
      <c r="K3670" s="221">
        <f>F3670*I3670</f>
        <v>768</v>
      </c>
      <c r="L3670" s="221"/>
      <c r="M3670" s="221"/>
    </row>
    <row r="3671" spans="4:13">
      <c r="E3671" s="221"/>
      <c r="F3671" s="221">
        <v>1</v>
      </c>
      <c r="G3671" s="221" t="s">
        <v>1414</v>
      </c>
      <c r="H3671" s="221" t="s">
        <v>3901</v>
      </c>
      <c r="I3671" s="221">
        <v>93.5</v>
      </c>
      <c r="J3671" s="221" t="s">
        <v>1414</v>
      </c>
      <c r="K3671" s="221">
        <f>F3671*I3671</f>
        <v>93.5</v>
      </c>
      <c r="L3671" s="221"/>
      <c r="M3671" s="221"/>
    </row>
    <row r="3672" spans="4:13">
      <c r="E3672" s="221"/>
      <c r="F3672" s="221">
        <v>1</v>
      </c>
      <c r="G3672" s="221" t="s">
        <v>1414</v>
      </c>
      <c r="H3672" s="221" t="s">
        <v>3302</v>
      </c>
      <c r="I3672" s="221">
        <v>89.6</v>
      </c>
      <c r="J3672" s="221" t="s">
        <v>1414</v>
      </c>
      <c r="K3672" s="221">
        <f>F3672*I3672</f>
        <v>89.6</v>
      </c>
      <c r="L3672" s="221"/>
      <c r="M3672" s="221"/>
    </row>
    <row r="3673" spans="4:13">
      <c r="E3673" s="221"/>
      <c r="F3673" s="221">
        <v>1</v>
      </c>
      <c r="G3673" s="221" t="s">
        <v>1414</v>
      </c>
      <c r="H3673" s="221" t="s">
        <v>2872</v>
      </c>
      <c r="I3673" s="221">
        <f>K3677</f>
        <v>289.06</v>
      </c>
      <c r="J3673" s="221" t="s">
        <v>1414</v>
      </c>
      <c r="K3673" s="221">
        <f>F3673*I3673</f>
        <v>289.06</v>
      </c>
      <c r="L3673" s="221"/>
      <c r="M3673" s="221"/>
    </row>
    <row r="3674" spans="4:13">
      <c r="D3674" s="244">
        <f>0.6*0.225*0.02</f>
        <v>2.7000000000000001E-3</v>
      </c>
      <c r="E3674" s="221"/>
      <c r="F3674" s="221"/>
      <c r="G3674" s="221"/>
      <c r="H3674" s="221" t="s">
        <v>2654</v>
      </c>
      <c r="I3674" s="221"/>
      <c r="J3674" s="221"/>
      <c r="K3674" s="221">
        <f>K3627</f>
        <v>1537.67</v>
      </c>
      <c r="L3674" s="221"/>
      <c r="M3674" s="221"/>
    </row>
    <row r="3675" spans="4:13" ht="41.25" customHeight="1">
      <c r="E3675" s="221"/>
      <c r="F3675" s="221"/>
      <c r="G3675" s="221"/>
      <c r="H3675" s="242" t="s">
        <v>2655</v>
      </c>
      <c r="I3675" s="221"/>
      <c r="J3675" s="221"/>
      <c r="K3675" s="221">
        <f>8-0.09</f>
        <v>7.91</v>
      </c>
      <c r="L3675" s="221"/>
      <c r="M3675" s="221"/>
    </row>
    <row r="3676" spans="4:13" ht="24.95" customHeight="1">
      <c r="E3676" s="221"/>
      <c r="F3676" s="221"/>
      <c r="G3676" s="221"/>
      <c r="H3676" s="226" t="s">
        <v>1080</v>
      </c>
      <c r="I3676" s="221"/>
      <c r="J3676" s="221"/>
      <c r="K3676" s="229">
        <f>SUM(K3662:K3675)</f>
        <v>4941.2</v>
      </c>
      <c r="L3676" s="221"/>
      <c r="M3676" s="221">
        <f>4254-K3676</f>
        <v>-687.2</v>
      </c>
    </row>
    <row r="3677" spans="4:13" ht="20.100000000000001" customHeight="1">
      <c r="E3677" s="221"/>
      <c r="F3677" s="221"/>
      <c r="G3677" s="221"/>
      <c r="H3677" s="229" t="s">
        <v>3276</v>
      </c>
      <c r="I3677" s="221">
        <f>I3628</f>
        <v>107060</v>
      </c>
      <c r="J3677" s="235">
        <v>2.7000000000000001E-3</v>
      </c>
      <c r="K3677" s="229">
        <f>I3677*J3677</f>
        <v>289.06</v>
      </c>
      <c r="L3677" s="221"/>
      <c r="M3677" s="221"/>
    </row>
    <row r="3678" spans="4:13">
      <c r="E3678" s="221"/>
      <c r="F3678" s="221"/>
      <c r="G3678" s="221"/>
      <c r="H3678" s="229" t="s">
        <v>2656</v>
      </c>
      <c r="I3678" s="221"/>
      <c r="J3678" s="221"/>
      <c r="K3678" s="221"/>
      <c r="L3678" s="221"/>
      <c r="M3678" s="221"/>
    </row>
    <row r="3679" spans="4:13">
      <c r="E3679" s="221"/>
      <c r="F3679" s="221"/>
      <c r="G3679" s="221"/>
      <c r="H3679" s="229"/>
      <c r="I3679" s="221"/>
      <c r="J3679" s="221"/>
      <c r="K3679" s="221"/>
      <c r="L3679" s="221"/>
      <c r="M3679" s="221"/>
    </row>
    <row r="3680" spans="4:13" ht="31.5">
      <c r="E3680" s="221"/>
      <c r="F3680" s="221"/>
      <c r="G3680" s="221"/>
      <c r="H3680" s="219" t="s">
        <v>1747</v>
      </c>
      <c r="I3680" s="221"/>
      <c r="J3680" s="221"/>
      <c r="K3680" s="221"/>
      <c r="L3680" s="221"/>
      <c r="M3680" s="221"/>
    </row>
    <row r="3681" spans="5:13">
      <c r="E3681" s="221"/>
      <c r="F3681" s="221"/>
      <c r="G3681" s="221"/>
      <c r="H3681" s="221" t="s">
        <v>806</v>
      </c>
      <c r="I3681" s="221"/>
      <c r="J3681" s="221"/>
      <c r="K3681" s="221"/>
      <c r="L3681" s="221"/>
      <c r="M3681" s="221"/>
    </row>
    <row r="3682" spans="5:13" ht="35.25" customHeight="1">
      <c r="E3682" s="221"/>
      <c r="F3682" s="221">
        <v>90</v>
      </c>
      <c r="G3682" s="221" t="s">
        <v>372</v>
      </c>
      <c r="H3682" s="220" t="s">
        <v>2239</v>
      </c>
      <c r="I3682" s="221">
        <f>I2996</f>
        <v>19.100000000000001</v>
      </c>
      <c r="J3682" s="221" t="s">
        <v>372</v>
      </c>
      <c r="K3682" s="221">
        <f>F3682*I3682</f>
        <v>1719</v>
      </c>
      <c r="L3682" s="221"/>
      <c r="M3682" s="221"/>
    </row>
    <row r="3683" spans="5:13">
      <c r="E3683" s="221"/>
      <c r="F3683" s="221">
        <v>0.15</v>
      </c>
      <c r="G3683" s="221" t="s">
        <v>530</v>
      </c>
      <c r="H3683" s="221" t="s">
        <v>871</v>
      </c>
      <c r="I3683" s="222">
        <f>Elec.Data!I3683</f>
        <v>5960</v>
      </c>
      <c r="J3683" s="221" t="s">
        <v>530</v>
      </c>
      <c r="K3683" s="221">
        <f>F3683*I3683</f>
        <v>894</v>
      </c>
      <c r="L3683" s="221"/>
      <c r="M3683" s="221"/>
    </row>
    <row r="3684" spans="5:13">
      <c r="E3684" s="221"/>
      <c r="F3684" s="221">
        <v>1</v>
      </c>
      <c r="G3684" s="221" t="s">
        <v>778</v>
      </c>
      <c r="H3684" s="221" t="s">
        <v>371</v>
      </c>
      <c r="I3684" s="221">
        <f>I3623</f>
        <v>712</v>
      </c>
      <c r="J3684" s="221" t="s">
        <v>778</v>
      </c>
      <c r="K3684" s="221">
        <f>F3684*I3684</f>
        <v>712</v>
      </c>
      <c r="L3684" s="221"/>
      <c r="M3684" s="221"/>
    </row>
    <row r="3685" spans="5:13">
      <c r="E3685" s="221"/>
      <c r="F3685" s="221">
        <v>2</v>
      </c>
      <c r="G3685" s="221" t="s">
        <v>778</v>
      </c>
      <c r="H3685" s="221" t="s">
        <v>1737</v>
      </c>
      <c r="I3685" s="222">
        <f>I2871</f>
        <v>804</v>
      </c>
      <c r="J3685" s="221" t="s">
        <v>778</v>
      </c>
      <c r="K3685" s="221">
        <f>F3685*I3685</f>
        <v>1608</v>
      </c>
      <c r="L3685" s="221"/>
      <c r="M3685" s="221"/>
    </row>
    <row r="3686" spans="5:13">
      <c r="E3686" s="221"/>
      <c r="F3686" s="221">
        <v>4</v>
      </c>
      <c r="G3686" s="221" t="s">
        <v>778</v>
      </c>
      <c r="H3686" s="221" t="s">
        <v>1304</v>
      </c>
      <c r="I3686" s="221">
        <f>I3590</f>
        <v>556</v>
      </c>
      <c r="J3686" s="221" t="s">
        <v>778</v>
      </c>
      <c r="K3686" s="221">
        <f>F3686*I3686</f>
        <v>2224</v>
      </c>
      <c r="L3686" s="221"/>
      <c r="M3686" s="221"/>
    </row>
    <row r="3687" spans="5:13" ht="30" customHeight="1">
      <c r="E3687" s="221"/>
      <c r="F3687" s="221"/>
      <c r="G3687" s="221"/>
      <c r="H3687" s="220" t="s">
        <v>373</v>
      </c>
      <c r="I3687" s="221"/>
      <c r="J3687" s="221"/>
      <c r="K3687" s="221">
        <v>50.5</v>
      </c>
      <c r="L3687" s="221"/>
      <c r="M3687" s="221"/>
    </row>
    <row r="3688" spans="5:13" ht="18.75" customHeight="1">
      <c r="E3688" s="221"/>
      <c r="F3688" s="221"/>
      <c r="G3688" s="221"/>
      <c r="H3688" s="226" t="s">
        <v>2292</v>
      </c>
      <c r="I3688" s="221"/>
      <c r="J3688" s="221"/>
      <c r="K3688" s="221">
        <f>SUM(K3682:K3687)</f>
        <v>7207.5</v>
      </c>
      <c r="L3688" s="221"/>
      <c r="M3688" s="221"/>
    </row>
    <row r="3689" spans="5:13" ht="18.75" customHeight="1">
      <c r="E3689" s="221"/>
      <c r="F3689" s="221"/>
      <c r="G3689" s="221"/>
      <c r="H3689" s="228" t="s">
        <v>1141</v>
      </c>
      <c r="I3689" s="221"/>
      <c r="J3689" s="221"/>
      <c r="K3689" s="245">
        <f>K3688/90</f>
        <v>80.08</v>
      </c>
      <c r="L3689" s="221">
        <f>60.7*90</f>
        <v>5463</v>
      </c>
      <c r="M3689" s="221"/>
    </row>
    <row r="3690" spans="5:13">
      <c r="E3690" s="221"/>
      <c r="F3690" s="221"/>
      <c r="G3690" s="221"/>
      <c r="H3690" s="221"/>
      <c r="I3690" s="221"/>
      <c r="J3690" s="221"/>
      <c r="K3690" s="221"/>
      <c r="L3690" s="221">
        <f>L3689-K3688</f>
        <v>-1744.5</v>
      </c>
      <c r="M3690" s="221"/>
    </row>
    <row r="3691" spans="5:13" ht="20.25" customHeight="1">
      <c r="E3691" s="221"/>
      <c r="F3691" s="221"/>
      <c r="G3691" s="221"/>
      <c r="H3691" s="229" t="s">
        <v>2657</v>
      </c>
      <c r="I3691" s="221"/>
      <c r="J3691" s="221"/>
      <c r="K3691" s="221"/>
      <c r="L3691" s="221"/>
      <c r="M3691" s="221"/>
    </row>
    <row r="3692" spans="5:13" ht="20.25" customHeight="1">
      <c r="E3692" s="221"/>
      <c r="F3692" s="221"/>
      <c r="G3692" s="221"/>
      <c r="H3692" s="221" t="s">
        <v>2658</v>
      </c>
      <c r="I3692" s="221"/>
      <c r="J3692" s="221"/>
      <c r="K3692" s="221">
        <f>K3689</f>
        <v>80.08</v>
      </c>
      <c r="L3692" s="221"/>
      <c r="M3692" s="221"/>
    </row>
    <row r="3693" spans="5:13" ht="20.25" customHeight="1">
      <c r="E3693" s="221"/>
      <c r="F3693" s="221">
        <v>1</v>
      </c>
      <c r="G3693" s="221" t="s">
        <v>835</v>
      </c>
      <c r="H3693" s="221" t="s">
        <v>2659</v>
      </c>
      <c r="I3693" s="221">
        <f>I3682</f>
        <v>19.100000000000001</v>
      </c>
      <c r="J3693" s="221" t="s">
        <v>835</v>
      </c>
      <c r="K3693" s="221">
        <f>F3693*I3693</f>
        <v>19.100000000000001</v>
      </c>
      <c r="L3693" s="221"/>
      <c r="M3693" s="221"/>
    </row>
    <row r="3694" spans="5:13" ht="20.25" customHeight="1">
      <c r="E3694" s="221"/>
      <c r="F3694" s="221">
        <v>1</v>
      </c>
      <c r="G3694" s="221" t="s">
        <v>835</v>
      </c>
      <c r="H3694" s="221" t="str">
        <f>Elec.Data!H3694</f>
        <v>Add cost of 25 mm dia PVC pipe heavy dutyp-89 part -I c</v>
      </c>
      <c r="I3694" s="222">
        <f>Elec.Data!I3694</f>
        <v>28.4</v>
      </c>
      <c r="J3694" s="221" t="s">
        <v>835</v>
      </c>
      <c r="K3694" s="221">
        <f>F3694*I3694</f>
        <v>28.4</v>
      </c>
      <c r="L3694" s="221"/>
      <c r="M3694" s="221"/>
    </row>
    <row r="3695" spans="5:13" ht="20.25" customHeight="1">
      <c r="E3695" s="221"/>
      <c r="F3695" s="221"/>
      <c r="G3695" s="221"/>
      <c r="H3695" s="221"/>
      <c r="I3695" s="221"/>
      <c r="J3695" s="221"/>
      <c r="K3695" s="229">
        <f>(K3692-K3693)+K3694</f>
        <v>89.38</v>
      </c>
      <c r="L3695" s="221"/>
      <c r="M3695" s="221"/>
    </row>
    <row r="3696" spans="5:13" ht="20.25" customHeight="1">
      <c r="E3696" s="221"/>
      <c r="F3696" s="221"/>
      <c r="G3696" s="221"/>
      <c r="H3696" s="229" t="s">
        <v>2660</v>
      </c>
      <c r="I3696" s="221"/>
      <c r="J3696" s="221"/>
      <c r="K3696" s="221"/>
      <c r="L3696" s="221"/>
      <c r="M3696" s="221"/>
    </row>
    <row r="3697" spans="5:13">
      <c r="E3697" s="221"/>
      <c r="F3697" s="221"/>
      <c r="G3697" s="221"/>
      <c r="H3697" s="229"/>
      <c r="I3697" s="221"/>
      <c r="J3697" s="221"/>
      <c r="K3697" s="221"/>
      <c r="L3697" s="221"/>
      <c r="M3697" s="221"/>
    </row>
    <row r="3698" spans="5:13" ht="19.5" customHeight="1">
      <c r="E3698" s="221"/>
      <c r="F3698" s="221"/>
      <c r="G3698" s="221"/>
      <c r="H3698" s="229" t="s">
        <v>2661</v>
      </c>
      <c r="I3698" s="221"/>
      <c r="J3698" s="221"/>
      <c r="K3698" s="221"/>
      <c r="L3698" s="221"/>
      <c r="M3698" s="221"/>
    </row>
    <row r="3699" spans="5:13" ht="21.75" customHeight="1">
      <c r="E3699" s="221"/>
      <c r="F3699" s="221">
        <v>1</v>
      </c>
      <c r="G3699" s="221" t="s">
        <v>1414</v>
      </c>
      <c r="H3699" s="221" t="str">
        <f>Elec.Data!H3699</f>
        <v>TW board 8" x6" x3" (p-130, part-j/b)</v>
      </c>
      <c r="I3699" s="222">
        <f>Elec.Data!I3699</f>
        <v>37.1</v>
      </c>
      <c r="J3699" s="221" t="s">
        <v>1414</v>
      </c>
      <c r="K3699" s="221">
        <f>F3699*I3699</f>
        <v>37.1</v>
      </c>
      <c r="L3699" s="221"/>
      <c r="M3699" s="221"/>
    </row>
    <row r="3700" spans="5:13" ht="21.75" customHeight="1">
      <c r="E3700" s="221"/>
      <c r="F3700" s="224">
        <v>1.4999999999999999E-2</v>
      </c>
      <c r="G3700" s="221" t="s">
        <v>2308</v>
      </c>
      <c r="H3700" s="242" t="s">
        <v>3517</v>
      </c>
      <c r="I3700" s="221">
        <f>I3000</f>
        <v>630</v>
      </c>
      <c r="J3700" s="221" t="s">
        <v>2308</v>
      </c>
      <c r="K3700" s="221">
        <f>F3700*I3700</f>
        <v>9.4499999999999993</v>
      </c>
      <c r="L3700" s="221"/>
      <c r="M3700" s="221"/>
    </row>
    <row r="3701" spans="5:13" ht="21.75" customHeight="1">
      <c r="E3701" s="221"/>
      <c r="F3701" s="221"/>
      <c r="G3701" s="221"/>
      <c r="H3701" s="221" t="s">
        <v>3507</v>
      </c>
      <c r="I3701" s="221"/>
      <c r="J3701" s="221" t="s">
        <v>663</v>
      </c>
      <c r="K3701" s="221">
        <v>5.84</v>
      </c>
      <c r="L3701" s="221"/>
      <c r="M3701" s="221"/>
    </row>
    <row r="3702" spans="5:13" ht="21.75" customHeight="1">
      <c r="E3702" s="221"/>
      <c r="F3702" s="221"/>
      <c r="G3702" s="221"/>
      <c r="H3702" s="228" t="s">
        <v>1080</v>
      </c>
      <c r="I3702" s="221"/>
      <c r="J3702" s="221"/>
      <c r="K3702" s="229">
        <f>SUM(K3699:K3701)</f>
        <v>52.39</v>
      </c>
      <c r="L3702" s="221"/>
      <c r="M3702" s="221"/>
    </row>
    <row r="3703" spans="5:13">
      <c r="E3703" s="221"/>
      <c r="F3703" s="221"/>
      <c r="G3703" s="221"/>
      <c r="H3703" s="221"/>
      <c r="I3703" s="221"/>
      <c r="J3703" s="221"/>
      <c r="K3703" s="221"/>
      <c r="L3703" s="221"/>
      <c r="M3703" s="221"/>
    </row>
    <row r="3704" spans="5:13">
      <c r="E3704" s="221"/>
      <c r="F3704" s="221"/>
      <c r="G3704" s="221"/>
      <c r="H3704" s="229" t="s">
        <v>3508</v>
      </c>
      <c r="I3704" s="221"/>
      <c r="J3704" s="221"/>
      <c r="K3704" s="221"/>
      <c r="L3704" s="221"/>
      <c r="M3704" s="221"/>
    </row>
    <row r="3705" spans="5:13">
      <c r="E3705" s="221"/>
      <c r="F3705" s="221"/>
      <c r="G3705" s="221"/>
      <c r="H3705" s="221"/>
      <c r="I3705" s="221"/>
      <c r="J3705" s="221"/>
      <c r="K3705" s="221"/>
      <c r="L3705" s="221"/>
      <c r="M3705" s="221"/>
    </row>
    <row r="3706" spans="5:13" ht="57.75" customHeight="1">
      <c r="E3706" s="221"/>
      <c r="F3706" s="221"/>
      <c r="G3706" s="221"/>
      <c r="H3706" s="297" t="s">
        <v>3438</v>
      </c>
      <c r="I3706" s="221"/>
      <c r="J3706" s="221"/>
      <c r="K3706" s="221"/>
      <c r="L3706" s="221"/>
      <c r="M3706" s="221"/>
    </row>
    <row r="3707" spans="5:13">
      <c r="E3707" s="221"/>
      <c r="F3707" s="221"/>
      <c r="G3707" s="221"/>
      <c r="H3707" s="221"/>
      <c r="I3707" s="221"/>
      <c r="J3707" s="221"/>
      <c r="K3707" s="221"/>
      <c r="L3707" s="221"/>
      <c r="M3707" s="221"/>
    </row>
    <row r="3708" spans="5:13" ht="21.75" customHeight="1">
      <c r="E3708" s="221"/>
      <c r="F3708" s="221">
        <v>1</v>
      </c>
      <c r="G3708" s="221" t="s">
        <v>1414</v>
      </c>
      <c r="H3708" s="221" t="str">
        <f>Elec.Data!H3708</f>
        <v>TW board 4" x4" x3" (p-130, part-j/d)</v>
      </c>
      <c r="I3708" s="222">
        <f>Elec.Data!I3708</f>
        <v>13.8</v>
      </c>
      <c r="J3708" s="221" t="s">
        <v>1414</v>
      </c>
      <c r="K3708" s="221">
        <f>F3708*I3708</f>
        <v>13.8</v>
      </c>
      <c r="L3708" s="221"/>
      <c r="M3708" s="221"/>
    </row>
    <row r="3709" spans="5:13" ht="21.75" customHeight="1">
      <c r="E3709" s="221"/>
      <c r="F3709" s="221">
        <v>0.01</v>
      </c>
      <c r="G3709" s="221" t="s">
        <v>3509</v>
      </c>
      <c r="H3709" s="221" t="s">
        <v>3517</v>
      </c>
      <c r="I3709" s="221">
        <f>I3700</f>
        <v>630</v>
      </c>
      <c r="J3709" s="221" t="s">
        <v>2308</v>
      </c>
      <c r="K3709" s="221">
        <f>F3709*I3709</f>
        <v>6.3</v>
      </c>
      <c r="L3709" s="221"/>
      <c r="M3709" s="221"/>
    </row>
    <row r="3710" spans="5:13" ht="21.75" customHeight="1">
      <c r="E3710" s="221"/>
      <c r="F3710" s="221">
        <v>1</v>
      </c>
      <c r="G3710" s="221" t="s">
        <v>1414</v>
      </c>
      <c r="H3710" s="221" t="s">
        <v>3510</v>
      </c>
      <c r="I3710" s="303">
        <f>Elec.Data!I3710</f>
        <v>49.5</v>
      </c>
      <c r="J3710" s="221" t="s">
        <v>1414</v>
      </c>
      <c r="K3710" s="221">
        <f>F3710*I3710</f>
        <v>49.5</v>
      </c>
      <c r="L3710" s="221"/>
      <c r="M3710" s="221"/>
    </row>
    <row r="3711" spans="5:13" ht="21.75" customHeight="1">
      <c r="E3711" s="221"/>
      <c r="F3711" s="221"/>
      <c r="G3711" s="221"/>
      <c r="H3711" s="221" t="s">
        <v>3511</v>
      </c>
      <c r="I3711" s="221" t="s">
        <v>663</v>
      </c>
      <c r="J3711" s="221"/>
      <c r="K3711" s="221">
        <v>7.08</v>
      </c>
      <c r="L3711" s="221"/>
      <c r="M3711" s="221"/>
    </row>
    <row r="3712" spans="5:13" ht="21.75" customHeight="1">
      <c r="E3712" s="221"/>
      <c r="F3712" s="221"/>
      <c r="G3712" s="221"/>
      <c r="H3712" s="228" t="s">
        <v>3512</v>
      </c>
      <c r="I3712" s="221"/>
      <c r="J3712" s="221"/>
      <c r="K3712" s="229">
        <f>SUM(K3708:K3711)</f>
        <v>76.680000000000007</v>
      </c>
      <c r="L3712" s="221"/>
      <c r="M3712" s="221">
        <f>54-K3712</f>
        <v>-22.68</v>
      </c>
    </row>
    <row r="3713" spans="5:13">
      <c r="E3713" s="221"/>
      <c r="F3713" s="221"/>
      <c r="G3713" s="221"/>
      <c r="H3713" s="221"/>
      <c r="I3713" s="221"/>
      <c r="J3713" s="221"/>
      <c r="K3713" s="221"/>
      <c r="L3713" s="221"/>
      <c r="M3713" s="221"/>
    </row>
    <row r="3714" spans="5:13">
      <c r="E3714" s="221"/>
      <c r="F3714" s="221"/>
      <c r="G3714" s="221"/>
      <c r="H3714" s="229" t="s">
        <v>3513</v>
      </c>
      <c r="I3714" s="221"/>
      <c r="J3714" s="221"/>
      <c r="K3714" s="221"/>
      <c r="L3714" s="221"/>
      <c r="M3714" s="221"/>
    </row>
    <row r="3715" spans="5:13">
      <c r="E3715" s="221"/>
      <c r="F3715" s="221"/>
      <c r="G3715" s="221"/>
      <c r="H3715" s="221"/>
      <c r="I3715" s="221"/>
      <c r="J3715" s="221"/>
      <c r="K3715" s="221"/>
      <c r="L3715" s="221"/>
      <c r="M3715" s="221"/>
    </row>
    <row r="3716" spans="5:13" ht="287.25" customHeight="1">
      <c r="E3716" s="221"/>
      <c r="F3716" s="221"/>
      <c r="G3716" s="221"/>
      <c r="H3716" s="284" t="s">
        <v>3020</v>
      </c>
      <c r="I3716" s="221"/>
      <c r="J3716" s="221"/>
      <c r="K3716" s="221"/>
      <c r="L3716" s="221"/>
      <c r="M3716" s="221"/>
    </row>
    <row r="3717" spans="5:13">
      <c r="E3717" s="221"/>
      <c r="F3717" s="221"/>
      <c r="G3717" s="221"/>
      <c r="H3717" s="221"/>
      <c r="I3717" s="221"/>
      <c r="J3717" s="221"/>
      <c r="K3717" s="221"/>
      <c r="L3717" s="221"/>
      <c r="M3717" s="221"/>
    </row>
    <row r="3718" spans="5:13" ht="22.5" customHeight="1">
      <c r="F3718" s="221">
        <v>6</v>
      </c>
      <c r="G3718" s="221" t="s">
        <v>835</v>
      </c>
      <c r="H3718" s="221" t="str">
        <f>Elec.Data!H3718</f>
        <v>65 mm dia GI pipe ' B' class p45,154-i</v>
      </c>
      <c r="I3718" s="222">
        <f>Elec.Data!I3718</f>
        <v>244.4</v>
      </c>
      <c r="J3718" s="221" t="s">
        <v>835</v>
      </c>
      <c r="K3718" s="221">
        <f>F3718*I3718</f>
        <v>1466.4</v>
      </c>
      <c r="L3718" s="221"/>
      <c r="M3718" s="221"/>
    </row>
    <row r="3719" spans="5:13" ht="22.5" customHeight="1">
      <c r="F3719" s="221">
        <v>2</v>
      </c>
      <c r="G3719" s="221" t="s">
        <v>835</v>
      </c>
      <c r="H3719" s="221" t="str">
        <f>Elec.Data!H3719</f>
        <v>20 mm dia 'B' class GI pipe p- 50 it-142 iv</v>
      </c>
      <c r="I3719" s="222">
        <f>Elec.Data!I3719</f>
        <v>98.6</v>
      </c>
      <c r="J3719" s="221" t="s">
        <v>835</v>
      </c>
      <c r="K3719" s="221">
        <f>F3719*I3719</f>
        <v>197.2</v>
      </c>
      <c r="L3719" s="221"/>
      <c r="M3719" s="221"/>
    </row>
    <row r="3720" spans="5:13" ht="22.5" customHeight="1">
      <c r="F3720" s="221">
        <v>1</v>
      </c>
      <c r="G3720" s="221" t="s">
        <v>1414</v>
      </c>
      <c r="H3720" s="221" t="s">
        <v>3443</v>
      </c>
      <c r="I3720" s="221">
        <v>130</v>
      </c>
      <c r="J3720" s="221" t="s">
        <v>1414</v>
      </c>
      <c r="K3720" s="221">
        <f>F3720*I3720</f>
        <v>130</v>
      </c>
      <c r="L3720" s="221"/>
      <c r="M3720" s="221"/>
    </row>
    <row r="3721" spans="5:13" ht="22.5" customHeight="1">
      <c r="F3721" s="221">
        <v>1</v>
      </c>
      <c r="G3721" s="221" t="s">
        <v>1414</v>
      </c>
      <c r="H3721" s="221" t="s">
        <v>4413</v>
      </c>
      <c r="I3721" s="260">
        <f>Elec.Data!I3721</f>
        <v>102.7</v>
      </c>
      <c r="J3721" s="221" t="s">
        <v>1414</v>
      </c>
      <c r="K3721" s="221">
        <f>F3721*I3721</f>
        <v>102.7</v>
      </c>
      <c r="L3721" s="221"/>
      <c r="M3721" s="221"/>
    </row>
    <row r="3722" spans="5:13" ht="22.5" customHeight="1">
      <c r="F3722" s="224">
        <v>0.23799999999999999</v>
      </c>
      <c r="G3722" s="221" t="s">
        <v>2176</v>
      </c>
      <c r="H3722" s="221" t="s">
        <v>2870</v>
      </c>
      <c r="I3722" s="222">
        <f>Elec.Data!I3722</f>
        <v>6400</v>
      </c>
      <c r="J3722" s="221" t="s">
        <v>2176</v>
      </c>
      <c r="K3722" s="221">
        <f>F3722*I3722</f>
        <v>1523.2</v>
      </c>
      <c r="L3722" s="221"/>
      <c r="M3722" s="221"/>
    </row>
    <row r="3723" spans="5:13" ht="43.5" customHeight="1">
      <c r="F3723" s="221"/>
      <c r="G3723" s="221" t="s">
        <v>663</v>
      </c>
      <c r="H3723" s="242" t="s">
        <v>3102</v>
      </c>
      <c r="I3723" s="221" t="s">
        <v>663</v>
      </c>
      <c r="J3723" s="221"/>
      <c r="K3723" s="221">
        <v>226.3</v>
      </c>
      <c r="L3723" s="221"/>
      <c r="M3723" s="221"/>
    </row>
    <row r="3724" spans="5:13" ht="60.75" customHeight="1">
      <c r="F3724" s="221">
        <v>1</v>
      </c>
      <c r="G3724" s="221" t="s">
        <v>1414</v>
      </c>
      <c r="H3724" s="220" t="s">
        <v>2746</v>
      </c>
      <c r="I3724" s="221" t="s">
        <v>663</v>
      </c>
      <c r="J3724" s="221"/>
      <c r="K3724" s="221">
        <v>64.3</v>
      </c>
      <c r="L3724" s="221">
        <f>5300-5225.8</f>
        <v>74.2</v>
      </c>
      <c r="M3724" s="221"/>
    </row>
    <row r="3725" spans="5:13" ht="37.5" customHeight="1">
      <c r="F3725" s="221">
        <v>8</v>
      </c>
      <c r="G3725" s="221" t="s">
        <v>835</v>
      </c>
      <c r="H3725" s="242" t="s">
        <v>2747</v>
      </c>
      <c r="I3725" s="221">
        <f>I2843</f>
        <v>15.5</v>
      </c>
      <c r="J3725" s="221"/>
      <c r="K3725" s="221">
        <f>F3725*I3725</f>
        <v>124</v>
      </c>
      <c r="L3725" s="221"/>
      <c r="M3725" s="221"/>
    </row>
    <row r="3726" spans="5:13">
      <c r="E3726" s="221"/>
      <c r="F3726" s="221"/>
      <c r="G3726" s="221"/>
      <c r="H3726" s="221" t="s">
        <v>924</v>
      </c>
      <c r="I3726" s="221"/>
      <c r="J3726" s="221"/>
      <c r="K3726" s="221">
        <f>K3733</f>
        <v>2884</v>
      </c>
      <c r="L3726" s="221"/>
      <c r="M3726" s="221"/>
    </row>
    <row r="3727" spans="5:13">
      <c r="E3727" s="221"/>
      <c r="F3727" s="221"/>
      <c r="G3727" s="221"/>
      <c r="H3727" s="228" t="s">
        <v>1080</v>
      </c>
      <c r="I3727" s="221"/>
      <c r="J3727" s="221"/>
      <c r="K3727" s="229">
        <f>SUM(K3718:K3726)</f>
        <v>6718.1</v>
      </c>
      <c r="L3727" s="221"/>
      <c r="M3727" s="221">
        <f>5120-K3727</f>
        <v>-1598.1</v>
      </c>
    </row>
    <row r="3728" spans="5:13" ht="3.75" customHeight="1">
      <c r="E3728" s="221"/>
      <c r="F3728" s="221"/>
      <c r="G3728" s="221"/>
      <c r="H3728" s="221"/>
      <c r="I3728" s="221"/>
      <c r="J3728" s="221"/>
      <c r="K3728" s="221"/>
      <c r="L3728" s="221"/>
      <c r="M3728" s="221"/>
    </row>
    <row r="3729" spans="5:13">
      <c r="E3729" s="221"/>
      <c r="F3729" s="221"/>
      <c r="G3729" s="221"/>
      <c r="H3729" s="227" t="s">
        <v>142</v>
      </c>
      <c r="I3729" s="221"/>
      <c r="J3729" s="221"/>
      <c r="K3729" s="221"/>
      <c r="L3729" s="221"/>
      <c r="M3729" s="221"/>
    </row>
    <row r="3730" spans="5:13">
      <c r="E3730" s="221"/>
      <c r="F3730" s="221">
        <v>0.5</v>
      </c>
      <c r="G3730" s="221" t="s">
        <v>1414</v>
      </c>
      <c r="H3730" s="221" t="s">
        <v>2800</v>
      </c>
      <c r="I3730" s="221">
        <f>I3623</f>
        <v>712</v>
      </c>
      <c r="J3730" s="221" t="s">
        <v>1414</v>
      </c>
      <c r="K3730" s="221">
        <f>F3730*I3730</f>
        <v>356</v>
      </c>
      <c r="L3730" s="221"/>
      <c r="M3730" s="221"/>
    </row>
    <row r="3731" spans="5:13">
      <c r="E3731" s="221"/>
      <c r="F3731" s="221">
        <v>2</v>
      </c>
      <c r="G3731" s="221" t="s">
        <v>1414</v>
      </c>
      <c r="H3731" s="221" t="s">
        <v>2619</v>
      </c>
      <c r="I3731" s="221">
        <f>I3624</f>
        <v>708</v>
      </c>
      <c r="J3731" s="221" t="s">
        <v>1414</v>
      </c>
      <c r="K3731" s="221">
        <f>F3731*I3731</f>
        <v>1416</v>
      </c>
      <c r="L3731" s="221"/>
      <c r="M3731" s="221"/>
    </row>
    <row r="3732" spans="5:13">
      <c r="E3732" s="221"/>
      <c r="F3732" s="221">
        <v>2</v>
      </c>
      <c r="G3732" s="221" t="s">
        <v>1414</v>
      </c>
      <c r="H3732" s="221" t="s">
        <v>2356</v>
      </c>
      <c r="I3732" s="221">
        <f>I3625</f>
        <v>556</v>
      </c>
      <c r="J3732" s="221" t="s">
        <v>1414</v>
      </c>
      <c r="K3732" s="221">
        <f>F3732*I3732</f>
        <v>1112</v>
      </c>
      <c r="L3732" s="221"/>
      <c r="M3732" s="221"/>
    </row>
    <row r="3733" spans="5:13">
      <c r="E3733" s="221"/>
      <c r="F3733" s="221"/>
      <c r="G3733" s="221"/>
      <c r="H3733" s="221"/>
      <c r="I3733" s="221"/>
      <c r="J3733" s="221"/>
      <c r="K3733" s="227">
        <f>SUM(K3730:K3732)</f>
        <v>2884</v>
      </c>
      <c r="L3733" s="221"/>
      <c r="M3733" s="221"/>
    </row>
    <row r="3734" spans="5:13">
      <c r="E3734" s="221"/>
      <c r="F3734" s="221"/>
      <c r="G3734" s="221"/>
      <c r="H3734" s="221"/>
      <c r="I3734" s="221"/>
      <c r="J3734" s="221"/>
      <c r="K3734" s="221"/>
      <c r="L3734" s="221"/>
      <c r="M3734" s="221"/>
    </row>
    <row r="3735" spans="5:13" ht="24.95" customHeight="1">
      <c r="E3735" s="221"/>
      <c r="F3735" s="221"/>
      <c r="G3735" s="221"/>
      <c r="H3735" s="229" t="s">
        <v>2748</v>
      </c>
      <c r="I3735" s="221"/>
      <c r="J3735" s="221"/>
      <c r="K3735" s="221"/>
      <c r="L3735" s="221"/>
      <c r="M3735" s="221"/>
    </row>
    <row r="3736" spans="5:13">
      <c r="E3736" s="221"/>
      <c r="F3736" s="221"/>
      <c r="G3736" s="221"/>
      <c r="H3736" s="221"/>
      <c r="I3736" s="221"/>
      <c r="J3736" s="221"/>
      <c r="K3736" s="221"/>
      <c r="L3736" s="221"/>
      <c r="M3736" s="221"/>
    </row>
    <row r="3737" spans="5:13" ht="24.95" customHeight="1">
      <c r="E3737" s="221"/>
      <c r="F3737" s="221"/>
      <c r="G3737" s="221"/>
      <c r="H3737" s="229" t="s">
        <v>2749</v>
      </c>
      <c r="I3737" s="221"/>
      <c r="J3737" s="221"/>
      <c r="K3737" s="221"/>
      <c r="L3737" s="221"/>
      <c r="M3737" s="221"/>
    </row>
    <row r="3738" spans="5:13">
      <c r="E3738" s="221"/>
      <c r="F3738" s="221"/>
      <c r="G3738" s="221"/>
      <c r="H3738" s="221"/>
      <c r="I3738" s="221"/>
      <c r="J3738" s="221"/>
      <c r="K3738" s="221"/>
      <c r="L3738" s="221"/>
      <c r="M3738" s="221"/>
    </row>
    <row r="3739" spans="5:13">
      <c r="E3739" s="221"/>
      <c r="F3739" s="221">
        <v>1</v>
      </c>
      <c r="G3739" s="221" t="s">
        <v>1414</v>
      </c>
      <c r="H3739" s="221" t="s">
        <v>4414</v>
      </c>
      <c r="I3739" s="243">
        <v>1155</v>
      </c>
      <c r="J3739" s="221" t="s">
        <v>1414</v>
      </c>
      <c r="K3739" s="221">
        <f>F3739*I3739</f>
        <v>1155</v>
      </c>
      <c r="L3739" s="221"/>
      <c r="M3739" s="221"/>
    </row>
    <row r="3740" spans="5:13" ht="30.75" customHeight="1">
      <c r="E3740" s="221"/>
      <c r="F3740" s="221"/>
      <c r="G3740" s="221"/>
      <c r="H3740" s="221" t="s">
        <v>2496</v>
      </c>
      <c r="I3740" s="222">
        <v>197</v>
      </c>
      <c r="J3740" s="221" t="s">
        <v>1414</v>
      </c>
      <c r="K3740" s="221">
        <f>I3740</f>
        <v>197</v>
      </c>
      <c r="L3740" s="221"/>
      <c r="M3740" s="221"/>
    </row>
    <row r="3741" spans="5:13" ht="39" customHeight="1">
      <c r="E3741" s="221"/>
      <c r="F3741" s="221"/>
      <c r="G3741" s="221"/>
      <c r="H3741" s="220" t="s">
        <v>4120</v>
      </c>
      <c r="I3741" s="221"/>
      <c r="J3741" s="221"/>
      <c r="K3741" s="222">
        <v>18.5</v>
      </c>
      <c r="L3741" s="221"/>
      <c r="M3741" s="221"/>
    </row>
    <row r="3742" spans="5:13">
      <c r="E3742" s="221"/>
      <c r="F3742" s="221"/>
      <c r="G3742" s="221"/>
      <c r="H3742" s="221" t="s">
        <v>2904</v>
      </c>
      <c r="I3742" s="221"/>
      <c r="J3742" s="230">
        <f>SUM(K3739:K3741)</f>
        <v>1370.5</v>
      </c>
      <c r="K3742" s="221">
        <f>J3742*1%</f>
        <v>13.71</v>
      </c>
      <c r="L3742" s="221"/>
      <c r="M3742" s="221"/>
    </row>
    <row r="3743" spans="5:13">
      <c r="E3743" s="221"/>
      <c r="F3743" s="221"/>
      <c r="G3743" s="221"/>
      <c r="H3743" s="221" t="s">
        <v>2905</v>
      </c>
      <c r="I3743" s="221"/>
      <c r="J3743" s="221"/>
      <c r="K3743" s="221">
        <f>K3750</f>
        <v>456</v>
      </c>
      <c r="L3743" s="221"/>
      <c r="M3743" s="221"/>
    </row>
    <row r="3744" spans="5:13" ht="24.95" customHeight="1">
      <c r="E3744" s="221"/>
      <c r="F3744" s="221"/>
      <c r="G3744" s="221"/>
      <c r="H3744" s="228" t="s">
        <v>2906</v>
      </c>
      <c r="I3744" s="221"/>
      <c r="J3744" s="221"/>
      <c r="K3744" s="229">
        <f>SUM(K3739:K3743)</f>
        <v>1840.21</v>
      </c>
      <c r="L3744" s="221"/>
      <c r="M3744" s="221">
        <f>1883-K3744</f>
        <v>42.79</v>
      </c>
    </row>
    <row r="3745" spans="5:13">
      <c r="E3745" s="221"/>
      <c r="F3745" s="221"/>
      <c r="G3745" s="221"/>
      <c r="H3745" s="221"/>
      <c r="I3745" s="221"/>
      <c r="J3745" s="221"/>
      <c r="K3745" s="221"/>
      <c r="L3745" s="221"/>
      <c r="M3745" s="221"/>
    </row>
    <row r="3746" spans="5:13">
      <c r="E3746" s="221"/>
      <c r="F3746" s="221"/>
      <c r="G3746" s="221"/>
      <c r="H3746" s="227" t="s">
        <v>924</v>
      </c>
      <c r="I3746" s="221"/>
      <c r="J3746" s="221"/>
      <c r="K3746" s="221"/>
      <c r="L3746" s="221"/>
      <c r="M3746" s="221"/>
    </row>
    <row r="3747" spans="5:13">
      <c r="E3747" s="221"/>
      <c r="F3747" s="221">
        <v>1</v>
      </c>
      <c r="G3747" s="221" t="s">
        <v>1414</v>
      </c>
      <c r="H3747" s="221" t="s">
        <v>2800</v>
      </c>
      <c r="I3747" s="221">
        <f>I3730</f>
        <v>712</v>
      </c>
      <c r="J3747" s="221" t="s">
        <v>1414</v>
      </c>
      <c r="K3747" s="221">
        <f>F3747*I3747</f>
        <v>712</v>
      </c>
      <c r="L3747" s="221"/>
      <c r="M3747" s="221"/>
    </row>
    <row r="3748" spans="5:13">
      <c r="E3748" s="221"/>
      <c r="F3748" s="221">
        <v>2</v>
      </c>
      <c r="G3748" s="221" t="s">
        <v>1414</v>
      </c>
      <c r="H3748" s="221" t="s">
        <v>2356</v>
      </c>
      <c r="I3748" s="221">
        <f>I3732</f>
        <v>556</v>
      </c>
      <c r="J3748" s="221" t="s">
        <v>1414</v>
      </c>
      <c r="K3748" s="221">
        <f>F3748*I3748</f>
        <v>1112</v>
      </c>
      <c r="L3748" s="221"/>
      <c r="M3748" s="221"/>
    </row>
    <row r="3749" spans="5:13">
      <c r="E3749" s="221"/>
      <c r="F3749" s="221"/>
      <c r="G3749" s="221"/>
      <c r="H3749" s="226" t="s">
        <v>2907</v>
      </c>
      <c r="I3749" s="221"/>
      <c r="J3749" s="221"/>
      <c r="K3749" s="227">
        <f>SUM(K3747:K3748)</f>
        <v>1824</v>
      </c>
      <c r="L3749" s="221"/>
      <c r="M3749" s="221"/>
    </row>
    <row r="3750" spans="5:13" ht="24.95" customHeight="1">
      <c r="E3750" s="221"/>
      <c r="F3750" s="221"/>
      <c r="G3750" s="221"/>
      <c r="H3750" s="228" t="s">
        <v>2826</v>
      </c>
      <c r="I3750" s="221"/>
      <c r="J3750" s="221"/>
      <c r="K3750" s="229">
        <f>K3749/4</f>
        <v>456</v>
      </c>
      <c r="L3750" s="221"/>
      <c r="M3750" s="221"/>
    </row>
    <row r="3751" spans="5:13">
      <c r="E3751" s="221"/>
      <c r="F3751" s="221"/>
      <c r="G3751" s="221"/>
      <c r="H3751" s="221"/>
      <c r="I3751" s="221"/>
      <c r="J3751" s="221"/>
      <c r="K3751" s="221"/>
      <c r="L3751" s="221"/>
      <c r="M3751" s="221"/>
    </row>
    <row r="3752" spans="5:13">
      <c r="E3752" s="221"/>
      <c r="F3752" s="221"/>
      <c r="G3752" s="221"/>
      <c r="H3752" s="221"/>
      <c r="I3752" s="221"/>
      <c r="J3752" s="221"/>
      <c r="K3752" s="221"/>
      <c r="L3752" s="221"/>
      <c r="M3752" s="221"/>
    </row>
    <row r="3753" spans="5:13" ht="24.95" customHeight="1">
      <c r="E3753" s="221"/>
      <c r="F3753" s="221"/>
      <c r="G3753" s="221"/>
      <c r="H3753" s="229" t="s">
        <v>2908</v>
      </c>
      <c r="I3753" s="221"/>
      <c r="J3753" s="221"/>
      <c r="K3753" s="221"/>
      <c r="L3753" s="221"/>
      <c r="M3753" s="221"/>
    </row>
    <row r="3754" spans="5:13">
      <c r="E3754" s="221"/>
      <c r="F3754" s="221"/>
      <c r="G3754" s="221"/>
      <c r="H3754" s="221"/>
      <c r="I3754" s="221"/>
      <c r="J3754" s="221"/>
      <c r="K3754" s="221"/>
      <c r="L3754" s="221"/>
      <c r="M3754" s="221"/>
    </row>
    <row r="3755" spans="5:13" ht="24.95" customHeight="1">
      <c r="E3755" s="221"/>
      <c r="F3755" s="221"/>
      <c r="G3755" s="221"/>
      <c r="H3755" s="229" t="s">
        <v>2909</v>
      </c>
      <c r="I3755" s="221"/>
      <c r="J3755" s="221"/>
      <c r="K3755" s="221"/>
      <c r="L3755" s="221"/>
      <c r="M3755" s="221"/>
    </row>
    <row r="3756" spans="5:13">
      <c r="E3756" s="221"/>
      <c r="F3756" s="221"/>
      <c r="G3756" s="221"/>
      <c r="H3756" s="221"/>
      <c r="I3756" s="221"/>
      <c r="J3756" s="221"/>
      <c r="K3756" s="221"/>
      <c r="L3756" s="221"/>
      <c r="M3756" s="221"/>
    </row>
    <row r="3757" spans="5:13">
      <c r="E3757" s="221"/>
      <c r="F3757" s="221"/>
      <c r="G3757" s="221"/>
      <c r="H3757" s="221" t="s">
        <v>4415</v>
      </c>
      <c r="I3757" s="243">
        <v>1010</v>
      </c>
      <c r="J3757" s="221" t="s">
        <v>1414</v>
      </c>
      <c r="K3757" s="221">
        <f>I3757</f>
        <v>1010</v>
      </c>
      <c r="L3757" s="221"/>
      <c r="M3757" s="221"/>
    </row>
    <row r="3758" spans="5:13">
      <c r="E3758" s="221"/>
      <c r="F3758" s="221"/>
      <c r="G3758" s="221"/>
      <c r="H3758" s="221" t="s">
        <v>2496</v>
      </c>
      <c r="I3758" s="221">
        <f>I3740</f>
        <v>197</v>
      </c>
      <c r="J3758" s="221" t="s">
        <v>1414</v>
      </c>
      <c r="K3758" s="221">
        <f>I3758</f>
        <v>197</v>
      </c>
      <c r="L3758" s="221"/>
      <c r="M3758" s="221"/>
    </row>
    <row r="3759" spans="5:13" ht="31.5">
      <c r="E3759" s="221"/>
      <c r="F3759" s="221"/>
      <c r="G3759" s="221"/>
      <c r="H3759" s="242" t="s">
        <v>2903</v>
      </c>
      <c r="I3759" s="221"/>
      <c r="J3759" s="221"/>
      <c r="K3759" s="221">
        <f>K3741</f>
        <v>18.5</v>
      </c>
      <c r="L3759" s="221"/>
      <c r="M3759" s="221"/>
    </row>
    <row r="3760" spans="5:13">
      <c r="E3760" s="221"/>
      <c r="F3760" s="221"/>
      <c r="G3760" s="221"/>
      <c r="H3760" s="221" t="s">
        <v>2904</v>
      </c>
      <c r="I3760" s="221"/>
      <c r="J3760" s="221"/>
      <c r="K3760" s="221">
        <f>K3742</f>
        <v>13.71</v>
      </c>
      <c r="L3760" s="221"/>
      <c r="M3760" s="221"/>
    </row>
    <row r="3761" spans="5:18">
      <c r="E3761" s="221"/>
      <c r="F3761" s="221"/>
      <c r="G3761" s="221"/>
      <c r="H3761" s="221" t="s">
        <v>2905</v>
      </c>
      <c r="I3761" s="221"/>
      <c r="J3761" s="221"/>
      <c r="K3761" s="221">
        <f>K3743</f>
        <v>456</v>
      </c>
      <c r="L3761" s="221"/>
      <c r="M3761" s="221"/>
    </row>
    <row r="3762" spans="5:18" ht="24.95" customHeight="1">
      <c r="E3762" s="221"/>
      <c r="F3762" s="221"/>
      <c r="G3762" s="221"/>
      <c r="H3762" s="228" t="s">
        <v>2906</v>
      </c>
      <c r="I3762" s="221"/>
      <c r="J3762" s="221"/>
      <c r="K3762" s="229">
        <f>SUM(K3757:K3761)</f>
        <v>1695.21</v>
      </c>
      <c r="L3762" s="221"/>
      <c r="M3762" s="221"/>
    </row>
    <row r="3763" spans="5:18">
      <c r="E3763" s="221"/>
      <c r="F3763" s="221"/>
      <c r="G3763" s="221"/>
      <c r="H3763" s="221"/>
      <c r="I3763" s="221"/>
      <c r="J3763" s="221"/>
      <c r="K3763" s="221"/>
      <c r="L3763" s="221"/>
      <c r="M3763" s="221"/>
    </row>
    <row r="3764" spans="5:18" ht="24.95" customHeight="1">
      <c r="E3764" s="221"/>
      <c r="F3764" s="221"/>
      <c r="G3764" s="221"/>
      <c r="H3764" s="229" t="s">
        <v>2910</v>
      </c>
      <c r="I3764" s="221"/>
      <c r="J3764" s="221"/>
      <c r="K3764" s="221"/>
      <c r="L3764" s="221"/>
      <c r="M3764" s="221"/>
    </row>
    <row r="3765" spans="5:18" ht="24.95" customHeight="1">
      <c r="E3765" s="221"/>
      <c r="F3765" s="221">
        <v>1</v>
      </c>
      <c r="G3765" s="221" t="s">
        <v>1414</v>
      </c>
      <c r="H3765" s="221" t="str">
        <f>Elec.Data!H3765</f>
        <v>1200mm A.C ceiling fan (without regulator)( Part- B 1 a p-117</v>
      </c>
      <c r="I3765" s="222">
        <f>Elec.Data!I3765</f>
        <v>1265</v>
      </c>
      <c r="J3765" s="221" t="s">
        <v>1414</v>
      </c>
      <c r="K3765" s="221">
        <f>F3765*I3765</f>
        <v>1265</v>
      </c>
      <c r="L3765" s="221"/>
      <c r="M3765" s="221"/>
    </row>
    <row r="3766" spans="5:18" ht="24.95" customHeight="1">
      <c r="E3766" s="221"/>
      <c r="F3766" s="221">
        <v>1</v>
      </c>
      <c r="G3766" s="221" t="s">
        <v>1414</v>
      </c>
      <c r="H3766" s="221" t="s">
        <v>2463</v>
      </c>
      <c r="I3766" s="222">
        <f>Elec.Data!I3766</f>
        <v>172.2</v>
      </c>
      <c r="J3766" s="221" t="s">
        <v>1414</v>
      </c>
      <c r="K3766" s="221">
        <f>F3766*I3766</f>
        <v>172.2</v>
      </c>
      <c r="L3766" s="221"/>
      <c r="M3766" s="221"/>
    </row>
    <row r="3767" spans="5:18" ht="24.95" customHeight="1">
      <c r="E3767" s="221"/>
      <c r="F3767" s="221"/>
      <c r="G3767" s="221"/>
      <c r="H3767" s="228" t="s">
        <v>2906</v>
      </c>
      <c r="I3767" s="221"/>
      <c r="J3767" s="221"/>
      <c r="K3767" s="229">
        <f>SUM(K3765:K3766)</f>
        <v>1437.2</v>
      </c>
      <c r="L3767" s="221"/>
      <c r="M3767" s="221"/>
    </row>
    <row r="3768" spans="5:18" ht="23.25" customHeight="1">
      <c r="E3768" s="221"/>
      <c r="F3768" s="221"/>
      <c r="G3768" s="221"/>
      <c r="H3768" s="228"/>
      <c r="I3768" s="221"/>
      <c r="J3768" s="221"/>
      <c r="K3768" s="229"/>
      <c r="L3768" s="221"/>
      <c r="M3768" s="221"/>
    </row>
    <row r="3769" spans="5:18" ht="24.95" customHeight="1">
      <c r="E3769" s="221"/>
      <c r="F3769" s="221"/>
      <c r="G3769" s="221"/>
      <c r="H3769" s="298" t="s">
        <v>3900</v>
      </c>
      <c r="I3769" s="221"/>
      <c r="J3769" s="221"/>
      <c r="K3769" s="221"/>
      <c r="L3769" s="221"/>
      <c r="M3769" s="221"/>
      <c r="N3769" s="298" t="s">
        <v>3899</v>
      </c>
      <c r="O3769" s="221"/>
      <c r="P3769" s="221"/>
      <c r="Q3769" s="221"/>
    </row>
    <row r="3770" spans="5:18" ht="24.95" customHeight="1">
      <c r="E3770" s="221"/>
      <c r="F3770" s="221">
        <v>1</v>
      </c>
      <c r="G3770" s="221" t="s">
        <v>1414</v>
      </c>
      <c r="H3770" s="221" t="str">
        <f>Elec.Data!H3770</f>
        <v>4' tube light fitting with \electronic ballast P-  113 7 A [SD 88]</v>
      </c>
      <c r="I3770" s="260">
        <f>Elec.Data!I3770</f>
        <v>306</v>
      </c>
      <c r="J3770" s="221" t="s">
        <v>1414</v>
      </c>
      <c r="K3770" s="221">
        <f>F3770*I3770</f>
        <v>306</v>
      </c>
      <c r="L3770" s="221">
        <v>1</v>
      </c>
      <c r="M3770" s="221" t="s">
        <v>1414</v>
      </c>
      <c r="O3770" s="221" t="s">
        <v>2465</v>
      </c>
      <c r="P3770" s="260">
        <v>529</v>
      </c>
      <c r="Q3770" s="221" t="s">
        <v>1414</v>
      </c>
      <c r="R3770" s="221">
        <f>L3770*P3770</f>
        <v>529</v>
      </c>
    </row>
    <row r="3771" spans="5:18" ht="24.95" customHeight="1">
      <c r="E3771" s="221"/>
      <c r="F3771" s="221">
        <v>1</v>
      </c>
      <c r="G3771" s="221" t="s">
        <v>1414</v>
      </c>
      <c r="H3771" s="221" t="s">
        <v>2466</v>
      </c>
      <c r="I3771" s="243">
        <f>Elec.Data!I3778</f>
        <v>35.1</v>
      </c>
      <c r="J3771" s="221" t="s">
        <v>1414</v>
      </c>
      <c r="K3771" s="221">
        <f>F3771*I3771</f>
        <v>35.1</v>
      </c>
      <c r="L3771" s="221">
        <v>1</v>
      </c>
      <c r="M3771" s="221" t="s">
        <v>1414</v>
      </c>
      <c r="O3771" s="221" t="s">
        <v>3898</v>
      </c>
      <c r="P3771" s="243">
        <v>42.3</v>
      </c>
      <c r="Q3771" s="221" t="s">
        <v>1414</v>
      </c>
      <c r="R3771" s="221">
        <f>L3771*P3771</f>
        <v>42.3</v>
      </c>
    </row>
    <row r="3772" spans="5:18" ht="24.95" customHeight="1">
      <c r="E3772" s="221"/>
      <c r="F3772" s="221"/>
      <c r="G3772" s="221"/>
      <c r="H3772" s="221" t="s">
        <v>2467</v>
      </c>
      <c r="I3772" s="221"/>
      <c r="J3772" s="221"/>
      <c r="K3772" s="221">
        <f>K3244</f>
        <v>274</v>
      </c>
      <c r="L3772" s="221"/>
      <c r="M3772" s="221"/>
      <c r="O3772" s="221" t="s">
        <v>2467</v>
      </c>
      <c r="P3772" s="221"/>
      <c r="Q3772" s="221"/>
      <c r="R3772" s="221">
        <f>K3244</f>
        <v>274</v>
      </c>
    </row>
    <row r="3773" spans="5:18" ht="24.95" customHeight="1">
      <c r="E3773" s="221"/>
      <c r="F3773" s="221"/>
      <c r="G3773" s="221"/>
      <c r="H3773" s="221" t="s">
        <v>2296</v>
      </c>
      <c r="I3773" s="221"/>
      <c r="J3773" s="221"/>
      <c r="K3773" s="221">
        <v>1.4</v>
      </c>
      <c r="L3773" s="221"/>
      <c r="M3773" s="221"/>
      <c r="O3773" s="221" t="s">
        <v>2296</v>
      </c>
      <c r="P3773" s="221"/>
      <c r="Q3773" s="221"/>
      <c r="R3773" s="221">
        <v>0.7</v>
      </c>
    </row>
    <row r="3774" spans="5:18" ht="24.95" customHeight="1">
      <c r="E3774" s="221"/>
      <c r="F3774" s="221"/>
      <c r="G3774" s="221"/>
      <c r="H3774" s="228" t="s">
        <v>2906</v>
      </c>
      <c r="I3774" s="221"/>
      <c r="J3774" s="221"/>
      <c r="K3774" s="229">
        <f>SUM(K3770:K3773)</f>
        <v>616.5</v>
      </c>
      <c r="L3774" s="221"/>
      <c r="M3774" s="221"/>
      <c r="O3774" s="228" t="s">
        <v>2906</v>
      </c>
      <c r="P3774" s="221"/>
      <c r="Q3774" s="221"/>
      <c r="R3774" s="229">
        <f>SUM(R3770:R3773)</f>
        <v>846</v>
      </c>
    </row>
    <row r="3775" spans="5:18">
      <c r="E3775" s="221"/>
      <c r="F3775" s="221"/>
      <c r="G3775" s="221"/>
      <c r="H3775" s="221"/>
      <c r="I3775" s="221"/>
      <c r="J3775" s="221"/>
      <c r="K3775" s="221"/>
      <c r="L3775" s="221"/>
      <c r="M3775" s="221"/>
      <c r="O3775" s="221"/>
      <c r="P3775" s="221"/>
      <c r="Q3775" s="221"/>
      <c r="R3775" s="221"/>
    </row>
    <row r="3776" spans="5:18" ht="24.95" customHeight="1">
      <c r="E3776" s="221"/>
      <c r="F3776" s="221"/>
      <c r="G3776" s="221"/>
      <c r="H3776" s="298" t="s">
        <v>3897</v>
      </c>
      <c r="I3776" s="221"/>
      <c r="J3776" s="221"/>
      <c r="K3776" s="221"/>
      <c r="L3776" s="221"/>
      <c r="M3776" s="221"/>
      <c r="O3776" s="298" t="s">
        <v>2468</v>
      </c>
      <c r="P3776" s="221"/>
      <c r="Q3776" s="221"/>
      <c r="R3776" s="221"/>
    </row>
    <row r="3777" spans="5:18" ht="24.95" customHeight="1">
      <c r="E3777" s="221"/>
      <c r="F3777" s="221">
        <v>1</v>
      </c>
      <c r="G3777" s="221" t="s">
        <v>1414</v>
      </c>
      <c r="H3777" s="221" t="str">
        <f>Elec.Data!H3777</f>
        <v>4' tube light fitting with \electronic ballast p-116 it-22 B [SD87]</v>
      </c>
      <c r="I3777" s="260">
        <f>Elec.Data!I3777</f>
        <v>261</v>
      </c>
      <c r="J3777" s="221" t="s">
        <v>1414</v>
      </c>
      <c r="K3777" s="221">
        <f>F3777*I3777</f>
        <v>261</v>
      </c>
      <c r="L3777" s="221">
        <v>1</v>
      </c>
      <c r="M3777" s="221" t="s">
        <v>1414</v>
      </c>
      <c r="O3777" s="221" t="s">
        <v>2465</v>
      </c>
      <c r="P3777" s="260">
        <v>360</v>
      </c>
      <c r="Q3777" s="221" t="s">
        <v>1414</v>
      </c>
      <c r="R3777" s="221">
        <f>L3777*P3777</f>
        <v>360</v>
      </c>
    </row>
    <row r="3778" spans="5:18" ht="24.95" customHeight="1">
      <c r="E3778" s="221"/>
      <c r="F3778" s="221">
        <v>1</v>
      </c>
      <c r="G3778" s="221" t="s">
        <v>1414</v>
      </c>
      <c r="H3778" s="221" t="str">
        <f>H3771</f>
        <v>slim tube light 36 w</v>
      </c>
      <c r="I3778" s="243">
        <f>I3771</f>
        <v>35.1</v>
      </c>
      <c r="J3778" s="221" t="s">
        <v>1414</v>
      </c>
      <c r="K3778" s="221">
        <f>F3778*I3778</f>
        <v>35.1</v>
      </c>
      <c r="L3778" s="221">
        <v>1</v>
      </c>
      <c r="M3778" s="221" t="s">
        <v>1414</v>
      </c>
      <c r="O3778" s="221" t="str">
        <f>O3771</f>
        <v>slim tube light 40 w</v>
      </c>
      <c r="P3778" s="243">
        <f>P3771</f>
        <v>42.3</v>
      </c>
      <c r="Q3778" s="221" t="s">
        <v>1414</v>
      </c>
      <c r="R3778" s="221">
        <f>L3778*P3778</f>
        <v>42.3</v>
      </c>
    </row>
    <row r="3779" spans="5:18" ht="24.95" customHeight="1">
      <c r="E3779" s="221"/>
      <c r="F3779" s="221"/>
      <c r="G3779" s="221"/>
      <c r="H3779" s="221" t="s">
        <v>2467</v>
      </c>
      <c r="I3779" s="221"/>
      <c r="J3779" s="221"/>
      <c r="K3779" s="221">
        <f>K3772</f>
        <v>274</v>
      </c>
      <c r="L3779" s="221"/>
      <c r="M3779" s="221"/>
      <c r="O3779" s="221" t="s">
        <v>2467</v>
      </c>
      <c r="P3779" s="221"/>
      <c r="Q3779" s="221"/>
      <c r="R3779" s="221">
        <f>R3772</f>
        <v>274</v>
      </c>
    </row>
    <row r="3780" spans="5:18" ht="24.95" customHeight="1">
      <c r="E3780" s="221"/>
      <c r="F3780" s="221"/>
      <c r="G3780" s="221"/>
      <c r="H3780" s="221" t="s">
        <v>2296</v>
      </c>
      <c r="I3780" s="221"/>
      <c r="J3780" s="221"/>
      <c r="K3780" s="221">
        <v>1.4</v>
      </c>
      <c r="L3780" s="221"/>
      <c r="M3780" s="221"/>
      <c r="O3780" s="221" t="s">
        <v>2296</v>
      </c>
      <c r="P3780" s="221"/>
      <c r="Q3780" s="221"/>
      <c r="R3780" s="221">
        <v>0.7</v>
      </c>
    </row>
    <row r="3781" spans="5:18" ht="24.95" customHeight="1">
      <c r="E3781" s="221"/>
      <c r="F3781" s="221"/>
      <c r="G3781" s="221"/>
      <c r="H3781" s="228" t="s">
        <v>2906</v>
      </c>
      <c r="I3781" s="221"/>
      <c r="J3781" s="221"/>
      <c r="K3781" s="229">
        <f>SUM(K3777:K3780)</f>
        <v>571.5</v>
      </c>
      <c r="L3781" s="221"/>
      <c r="M3781" s="221"/>
      <c r="O3781" s="228" t="s">
        <v>2906</v>
      </c>
      <c r="P3781" s="221"/>
      <c r="R3781" s="229">
        <f>SUM(R3777:R3780)</f>
        <v>677</v>
      </c>
    </row>
    <row r="3782" spans="5:18">
      <c r="E3782" s="221"/>
      <c r="F3782" s="221"/>
      <c r="G3782" s="221"/>
      <c r="H3782" s="221"/>
      <c r="I3782" s="221"/>
      <c r="J3782" s="221"/>
      <c r="K3782" s="221"/>
      <c r="L3782" s="221"/>
      <c r="M3782" s="221"/>
    </row>
    <row r="3783" spans="5:18">
      <c r="E3783" s="221"/>
      <c r="F3783" s="221"/>
      <c r="G3783" s="221"/>
      <c r="H3783" s="221"/>
      <c r="I3783" s="221"/>
      <c r="J3783" s="221"/>
      <c r="K3783" s="221"/>
      <c r="L3783" s="221"/>
      <c r="M3783" s="221"/>
    </row>
    <row r="3784" spans="5:18">
      <c r="E3784" s="221"/>
      <c r="F3784" s="221"/>
      <c r="G3784" s="221"/>
      <c r="H3784" s="221"/>
      <c r="I3784" s="221"/>
      <c r="J3784" s="221"/>
      <c r="K3784" s="221"/>
      <c r="L3784" s="221"/>
      <c r="M3784" s="221"/>
    </row>
    <row r="3785" spans="5:18">
      <c r="E3785" s="221"/>
      <c r="F3785" s="221"/>
      <c r="G3785" s="221"/>
      <c r="H3785" s="221"/>
      <c r="I3785" s="221"/>
      <c r="J3785" s="221"/>
      <c r="K3785" s="221"/>
      <c r="L3785" s="221"/>
      <c r="M3785" s="221"/>
    </row>
    <row r="3786" spans="5:18">
      <c r="E3786" s="221"/>
      <c r="F3786" s="221"/>
      <c r="G3786" s="221"/>
      <c r="H3786" s="221"/>
      <c r="I3786" s="221"/>
      <c r="J3786" s="221"/>
      <c r="K3786" s="221"/>
      <c r="L3786" s="221"/>
      <c r="M3786" s="221"/>
    </row>
    <row r="3787" spans="5:18">
      <c r="E3787" s="221"/>
      <c r="F3787" s="221"/>
      <c r="G3787" s="221"/>
      <c r="J3787" s="87"/>
      <c r="L3787" s="221"/>
      <c r="M3787" s="221"/>
    </row>
    <row r="3788" spans="5:18">
      <c r="E3788" s="221"/>
      <c r="F3788" s="221"/>
      <c r="G3788" s="221"/>
      <c r="H3788" s="221"/>
      <c r="I3788" s="221"/>
      <c r="J3788" s="221"/>
      <c r="K3788" s="229"/>
      <c r="L3788" s="221"/>
      <c r="M3788" s="221"/>
    </row>
    <row r="3789" spans="5:18">
      <c r="E3789" s="221"/>
      <c r="F3789" s="221"/>
      <c r="G3789" s="221"/>
      <c r="H3789" s="221"/>
      <c r="I3789" s="221"/>
      <c r="J3789" s="221"/>
      <c r="K3789" s="221"/>
      <c r="L3789" s="221"/>
      <c r="M3789" s="221"/>
    </row>
    <row r="3790" spans="5:18">
      <c r="E3790" s="221"/>
      <c r="H3790" s="93" t="s">
        <v>2474</v>
      </c>
      <c r="L3790" s="221"/>
      <c r="M3790" s="221"/>
    </row>
    <row r="3791" spans="5:18">
      <c r="E3791" s="221"/>
      <c r="L3791" s="221"/>
      <c r="M3791" s="221"/>
    </row>
    <row r="3792" spans="5:18">
      <c r="E3792" s="221"/>
      <c r="H3792" s="93" t="s">
        <v>2316</v>
      </c>
      <c r="L3792" s="221"/>
      <c r="M3792" s="221"/>
    </row>
    <row r="3793" spans="5:13">
      <c r="E3793" s="221"/>
      <c r="L3793" s="221"/>
      <c r="M3793" s="221"/>
    </row>
    <row r="3794" spans="5:13" ht="157.5">
      <c r="E3794" s="221"/>
      <c r="H3794" s="220" t="s">
        <v>2707</v>
      </c>
      <c r="L3794" s="221"/>
      <c r="M3794" s="221"/>
    </row>
    <row r="3795" spans="5:13" ht="31.5">
      <c r="E3795" s="221"/>
      <c r="F3795" s="221">
        <v>90</v>
      </c>
      <c r="G3795" s="221" t="s">
        <v>835</v>
      </c>
      <c r="H3795" s="142" t="s">
        <v>2572</v>
      </c>
      <c r="I3795" s="221">
        <f>I2843</f>
        <v>15.5</v>
      </c>
      <c r="J3795" s="221" t="s">
        <v>2573</v>
      </c>
      <c r="K3795" s="221">
        <f>F3795*I3795</f>
        <v>1395</v>
      </c>
      <c r="L3795" s="221"/>
      <c r="M3795" s="221"/>
    </row>
    <row r="3796" spans="5:13" ht="31.5">
      <c r="E3796" s="221"/>
      <c r="F3796" s="221">
        <v>45</v>
      </c>
      <c r="G3796" s="221" t="s">
        <v>835</v>
      </c>
      <c r="H3796" s="220" t="s">
        <v>2389</v>
      </c>
      <c r="I3796" s="221">
        <f>I2844</f>
        <v>19.100000000000001</v>
      </c>
      <c r="J3796" s="221" t="s">
        <v>2390</v>
      </c>
      <c r="K3796" s="221">
        <f>F3796*I3796</f>
        <v>859.5</v>
      </c>
      <c r="L3796" s="221"/>
      <c r="M3796" s="221"/>
    </row>
    <row r="3797" spans="5:13">
      <c r="E3797" s="221"/>
      <c r="F3797" s="221">
        <v>20</v>
      </c>
      <c r="G3797" s="221" t="s">
        <v>1414</v>
      </c>
      <c r="H3797" s="221" t="s">
        <v>2391</v>
      </c>
      <c r="I3797" s="221">
        <f>I2845</f>
        <v>3</v>
      </c>
      <c r="J3797" s="221" t="s">
        <v>1414</v>
      </c>
      <c r="K3797" s="221">
        <f>F3797*I3797</f>
        <v>60</v>
      </c>
      <c r="L3797" s="221"/>
      <c r="M3797" s="221"/>
    </row>
    <row r="3798" spans="5:13">
      <c r="E3798" s="221"/>
      <c r="F3798" s="221">
        <v>150</v>
      </c>
      <c r="G3798" s="221" t="s">
        <v>1414</v>
      </c>
      <c r="H3798" s="221" t="s">
        <v>2708</v>
      </c>
      <c r="I3798" s="222">
        <v>347</v>
      </c>
      <c r="J3798" s="221" t="s">
        <v>2709</v>
      </c>
      <c r="K3798" s="221">
        <f>(F3798*I3798)/1000</f>
        <v>52.05</v>
      </c>
      <c r="L3798" s="221"/>
      <c r="M3798" s="221"/>
    </row>
    <row r="3799" spans="5:13">
      <c r="E3799" s="221"/>
      <c r="F3799" s="221">
        <v>10</v>
      </c>
      <c r="G3799" s="221" t="s">
        <v>1414</v>
      </c>
      <c r="H3799" s="221" t="s">
        <v>3432</v>
      </c>
      <c r="I3799" s="221">
        <f>I2846</f>
        <v>1.28</v>
      </c>
      <c r="J3799" s="221" t="s">
        <v>1414</v>
      </c>
      <c r="K3799" s="221">
        <f>F3799*I3799</f>
        <v>12.8</v>
      </c>
      <c r="L3799" s="221"/>
      <c r="M3799" s="221"/>
    </row>
    <row r="3800" spans="5:13">
      <c r="E3800" s="221"/>
      <c r="F3800" s="221">
        <v>10</v>
      </c>
      <c r="G3800" s="221" t="s">
        <v>1414</v>
      </c>
      <c r="H3800" s="221" t="s">
        <v>2710</v>
      </c>
      <c r="I3800" s="260">
        <v>44.8</v>
      </c>
      <c r="J3800" s="221" t="s">
        <v>3435</v>
      </c>
      <c r="K3800" s="221">
        <f>(F3800*I3800)/12</f>
        <v>37.33</v>
      </c>
      <c r="L3800" s="221"/>
      <c r="M3800" s="221"/>
    </row>
    <row r="3801" spans="5:13">
      <c r="E3801" s="221"/>
      <c r="F3801" s="224">
        <v>1.4999999999999999E-2</v>
      </c>
      <c r="G3801" s="221" t="s">
        <v>2308</v>
      </c>
      <c r="H3801" s="221" t="s">
        <v>3303</v>
      </c>
      <c r="I3801" s="221">
        <f>I2849</f>
        <v>630</v>
      </c>
      <c r="J3801" s="221" t="s">
        <v>2308</v>
      </c>
      <c r="K3801" s="221">
        <f>F3801*I3801</f>
        <v>9.4499999999999993</v>
      </c>
      <c r="L3801" s="221"/>
      <c r="M3801" s="221"/>
    </row>
    <row r="3802" spans="5:13">
      <c r="E3802" s="221"/>
      <c r="F3802" s="221">
        <v>10</v>
      </c>
      <c r="G3802" s="221" t="s">
        <v>1414</v>
      </c>
      <c r="H3802" s="221" t="s">
        <v>3304</v>
      </c>
      <c r="I3802" s="221">
        <f>I2850</f>
        <v>16.05</v>
      </c>
      <c r="J3802" s="221" t="s">
        <v>1414</v>
      </c>
      <c r="K3802" s="221">
        <f>(F3802*I3802)</f>
        <v>160.5</v>
      </c>
      <c r="L3802" s="221"/>
      <c r="M3802" s="221"/>
    </row>
    <row r="3803" spans="5:13">
      <c r="E3803" s="221"/>
      <c r="F3803" s="221">
        <v>10</v>
      </c>
      <c r="G3803" s="221" t="s">
        <v>1414</v>
      </c>
      <c r="H3803" s="221" t="s">
        <v>2662</v>
      </c>
      <c r="I3803" s="221">
        <f>I2851</f>
        <v>13.6</v>
      </c>
      <c r="J3803" s="221" t="s">
        <v>1414</v>
      </c>
      <c r="K3803" s="221">
        <f>F3803*I3803</f>
        <v>136</v>
      </c>
      <c r="L3803" s="221"/>
      <c r="M3803" s="221"/>
    </row>
    <row r="3804" spans="5:13">
      <c r="E3804" s="221"/>
      <c r="F3804" s="221">
        <v>1</v>
      </c>
      <c r="G3804" s="221" t="s">
        <v>2670</v>
      </c>
      <c r="H3804" s="221" t="s">
        <v>3896</v>
      </c>
      <c r="I3804" s="222">
        <v>84.1</v>
      </c>
      <c r="J3804" s="221" t="s">
        <v>2670</v>
      </c>
      <c r="K3804" s="221">
        <f>F3804*I3804</f>
        <v>84.1</v>
      </c>
      <c r="L3804" s="221"/>
      <c r="M3804" s="221"/>
    </row>
    <row r="3805" spans="5:13">
      <c r="E3805" s="221"/>
      <c r="F3805" s="221">
        <v>72</v>
      </c>
      <c r="G3805" s="221" t="s">
        <v>1414</v>
      </c>
      <c r="H3805" s="221" t="s">
        <v>3895</v>
      </c>
      <c r="I3805" s="326">
        <v>47.7</v>
      </c>
      <c r="J3805" s="221" t="s">
        <v>2670</v>
      </c>
      <c r="K3805" s="221">
        <f>(F3805*I3805)/144</f>
        <v>23.85</v>
      </c>
      <c r="L3805" s="221"/>
      <c r="M3805" s="221"/>
    </row>
    <row r="3806" spans="5:13">
      <c r="E3806" s="221"/>
      <c r="F3806" s="225">
        <v>0.16666666666666666</v>
      </c>
      <c r="G3806" s="221" t="s">
        <v>2666</v>
      </c>
      <c r="H3806" s="221" t="s">
        <v>390</v>
      </c>
      <c r="I3806" s="260">
        <f>6850/20</f>
        <v>342.5</v>
      </c>
      <c r="J3806" s="221" t="s">
        <v>2666</v>
      </c>
      <c r="K3806" s="221">
        <f t="shared" ref="K3806:K3811" si="105">F3806*I3806</f>
        <v>57.08</v>
      </c>
      <c r="L3806" s="221"/>
      <c r="M3806" s="221"/>
    </row>
    <row r="3807" spans="5:13">
      <c r="E3807" s="221"/>
      <c r="F3807" s="221">
        <v>10</v>
      </c>
      <c r="G3807" s="221" t="s">
        <v>1414</v>
      </c>
      <c r="H3807" s="221" t="s">
        <v>2712</v>
      </c>
      <c r="I3807" s="260">
        <v>16.7</v>
      </c>
      <c r="J3807" s="221" t="s">
        <v>1414</v>
      </c>
      <c r="K3807" s="221">
        <f t="shared" si="105"/>
        <v>167</v>
      </c>
      <c r="L3807" s="221"/>
      <c r="M3807" s="221"/>
    </row>
    <row r="3808" spans="5:13">
      <c r="E3808" s="221"/>
      <c r="F3808" s="221">
        <v>1</v>
      </c>
      <c r="G3808" s="221" t="s">
        <v>1414</v>
      </c>
      <c r="H3808" s="221" t="s">
        <v>3068</v>
      </c>
      <c r="I3808" s="260">
        <v>20.100000000000001</v>
      </c>
      <c r="J3808" s="221" t="s">
        <v>1414</v>
      </c>
      <c r="K3808" s="221">
        <f t="shared" si="105"/>
        <v>20.100000000000001</v>
      </c>
      <c r="L3808" s="221"/>
      <c r="M3808" s="221"/>
    </row>
    <row r="3809" spans="5:13">
      <c r="E3809" s="221"/>
      <c r="F3809" s="221">
        <v>0.1</v>
      </c>
      <c r="G3809" s="221" t="s">
        <v>2308</v>
      </c>
      <c r="H3809" s="221" t="s">
        <v>3069</v>
      </c>
      <c r="I3809" s="221">
        <f>I2855</f>
        <v>630</v>
      </c>
      <c r="J3809" s="221" t="s">
        <v>2308</v>
      </c>
      <c r="K3809" s="221">
        <f t="shared" si="105"/>
        <v>63</v>
      </c>
      <c r="L3809" s="221"/>
      <c r="M3809" s="221"/>
    </row>
    <row r="3810" spans="5:13" ht="31.5">
      <c r="E3810" s="221"/>
      <c r="F3810" s="221">
        <v>45</v>
      </c>
      <c r="G3810" s="221" t="s">
        <v>835</v>
      </c>
      <c r="H3810" s="142" t="s">
        <v>2672</v>
      </c>
      <c r="I3810" s="221">
        <f>I2856</f>
        <v>15.5</v>
      </c>
      <c r="J3810" s="221" t="s">
        <v>3347</v>
      </c>
      <c r="K3810" s="221">
        <f t="shared" si="105"/>
        <v>697.5</v>
      </c>
      <c r="L3810" s="221"/>
      <c r="M3810" s="221"/>
    </row>
    <row r="3811" spans="5:13">
      <c r="E3811" s="221"/>
      <c r="F3811" s="225">
        <v>0.5</v>
      </c>
      <c r="G3811" s="221" t="s">
        <v>55</v>
      </c>
      <c r="H3811" s="142" t="s">
        <v>3582</v>
      </c>
      <c r="I3811" s="260">
        <v>247.4</v>
      </c>
      <c r="J3811" s="221" t="s">
        <v>55</v>
      </c>
      <c r="K3811" s="221">
        <f t="shared" si="105"/>
        <v>123.7</v>
      </c>
      <c r="L3811" s="221"/>
      <c r="M3811" s="221"/>
    </row>
    <row r="3812" spans="5:13">
      <c r="E3812" s="221"/>
      <c r="F3812" s="221">
        <v>10</v>
      </c>
      <c r="G3812" s="221" t="s">
        <v>3351</v>
      </c>
      <c r="H3812" s="221" t="s">
        <v>924</v>
      </c>
      <c r="I3812" s="221"/>
      <c r="J3812" s="221" t="s">
        <v>663</v>
      </c>
      <c r="K3812" s="221">
        <f>K3831</f>
        <v>4392.67</v>
      </c>
      <c r="L3812" s="221"/>
      <c r="M3812" s="221"/>
    </row>
    <row r="3813" spans="5:13">
      <c r="E3813" s="221"/>
      <c r="F3813" s="221" t="s">
        <v>663</v>
      </c>
      <c r="G3813" s="221"/>
      <c r="H3813" s="221" t="s">
        <v>3070</v>
      </c>
      <c r="I3813" s="221"/>
      <c r="J3813" s="221" t="s">
        <v>663</v>
      </c>
      <c r="K3813" s="221">
        <f>22+0.07</f>
        <v>22.07</v>
      </c>
      <c r="L3813" s="221"/>
      <c r="M3813" s="221"/>
    </row>
    <row r="3814" spans="5:13">
      <c r="E3814" s="221"/>
      <c r="F3814" s="221"/>
      <c r="G3814" s="221"/>
      <c r="H3814" s="226" t="s">
        <v>3350</v>
      </c>
      <c r="I3814" s="221"/>
      <c r="J3814" s="221"/>
      <c r="K3814" s="227">
        <f>SUM(K3795:K3813)</f>
        <v>8373.7000000000007</v>
      </c>
      <c r="L3814" s="221"/>
      <c r="M3814" s="221"/>
    </row>
    <row r="3815" spans="5:13">
      <c r="E3815" s="221"/>
      <c r="F3815" s="221"/>
      <c r="G3815" s="221"/>
      <c r="H3815" s="228" t="s">
        <v>3352</v>
      </c>
      <c r="I3815" s="221"/>
      <c r="J3815" s="221"/>
      <c r="K3815" s="229">
        <f>K3814/10</f>
        <v>837.37</v>
      </c>
      <c r="L3815" s="221">
        <f>K3815-639</f>
        <v>198.37</v>
      </c>
      <c r="M3815" s="221"/>
    </row>
    <row r="3816" spans="5:13">
      <c r="E3816" s="221"/>
      <c r="F3816" s="221"/>
      <c r="G3816" s="221"/>
      <c r="H3816" s="221"/>
      <c r="I3816" s="221"/>
      <c r="J3816" s="221"/>
      <c r="K3816" s="221"/>
      <c r="L3816" s="221"/>
      <c r="M3816" s="221"/>
    </row>
    <row r="3817" spans="5:13">
      <c r="E3817" s="221"/>
      <c r="F3817" s="221"/>
      <c r="G3817" s="221"/>
      <c r="H3817" s="221"/>
      <c r="I3817" s="221"/>
      <c r="J3817" s="221"/>
      <c r="K3817" s="221"/>
      <c r="L3817" s="221"/>
      <c r="M3817" s="221"/>
    </row>
    <row r="3818" spans="5:13">
      <c r="E3818" s="221"/>
      <c r="F3818" s="221"/>
      <c r="G3818" s="221"/>
      <c r="H3818" s="221"/>
      <c r="I3818" s="221"/>
      <c r="J3818" s="221"/>
      <c r="K3818" s="221"/>
      <c r="L3818" s="221"/>
      <c r="M3818" s="221"/>
    </row>
    <row r="3819" spans="5:13">
      <c r="E3819" s="221"/>
      <c r="F3819" s="221"/>
      <c r="G3819" s="221"/>
      <c r="H3819" s="221"/>
      <c r="I3819" s="221"/>
      <c r="J3819" s="221"/>
      <c r="K3819" s="221"/>
      <c r="L3819" s="221"/>
      <c r="M3819" s="221"/>
    </row>
    <row r="3820" spans="5:13">
      <c r="E3820" s="221"/>
      <c r="F3820" s="221"/>
      <c r="G3820" s="229" t="s">
        <v>3354</v>
      </c>
      <c r="H3820" s="221"/>
      <c r="I3820" s="221"/>
      <c r="J3820" s="221"/>
      <c r="M3820" s="221"/>
    </row>
    <row r="3821" spans="5:13">
      <c r="E3821" s="221"/>
      <c r="F3821" s="221"/>
      <c r="G3821" s="221"/>
      <c r="H3821" s="221"/>
      <c r="I3821" s="221"/>
      <c r="J3821" s="221"/>
      <c r="M3821" s="221"/>
    </row>
    <row r="3822" spans="5:13">
      <c r="E3822" s="221"/>
      <c r="F3822" s="221"/>
      <c r="G3822" s="229" t="s">
        <v>3430</v>
      </c>
      <c r="H3822" s="221"/>
      <c r="I3822" s="221"/>
      <c r="J3822" s="221"/>
      <c r="M3822" s="221"/>
    </row>
    <row r="3823" spans="5:13">
      <c r="E3823" s="221"/>
      <c r="F3823" s="221"/>
      <c r="G3823" s="221"/>
      <c r="H3823" s="221"/>
      <c r="I3823" s="221"/>
      <c r="J3823" s="221"/>
      <c r="M3823" s="221"/>
    </row>
    <row r="3824" spans="5:13">
      <c r="F3824" s="221">
        <v>1</v>
      </c>
      <c r="G3824" s="221" t="s">
        <v>1414</v>
      </c>
      <c r="H3824" s="221" t="s">
        <v>3356</v>
      </c>
      <c r="I3824" s="221">
        <f>I2866</f>
        <v>817</v>
      </c>
      <c r="J3824" s="221" t="s">
        <v>1414</v>
      </c>
      <c r="K3824" s="221">
        <f>F3824*I3824</f>
        <v>817</v>
      </c>
      <c r="L3824" s="221"/>
      <c r="M3824" s="221"/>
    </row>
    <row r="3825" spans="5:13">
      <c r="F3825" s="221">
        <v>2</v>
      </c>
      <c r="G3825" s="221" t="s">
        <v>1414</v>
      </c>
      <c r="H3825" s="221" t="s">
        <v>3357</v>
      </c>
      <c r="I3825" s="221">
        <f>I2867</f>
        <v>712</v>
      </c>
      <c r="J3825" s="221" t="s">
        <v>1414</v>
      </c>
      <c r="K3825" s="221">
        <f>F3825*I3825</f>
        <v>1424</v>
      </c>
      <c r="L3825" s="221"/>
      <c r="M3825" s="221"/>
    </row>
    <row r="3826" spans="5:13">
      <c r="F3826" s="221">
        <v>3</v>
      </c>
      <c r="G3826" s="221" t="s">
        <v>1414</v>
      </c>
      <c r="H3826" s="221" t="s">
        <v>3358</v>
      </c>
      <c r="I3826" s="221">
        <f>I2868</f>
        <v>708</v>
      </c>
      <c r="J3826" s="221" t="s">
        <v>1414</v>
      </c>
      <c r="K3826" s="221">
        <f>F3826*I3826</f>
        <v>2124</v>
      </c>
      <c r="L3826" s="221"/>
      <c r="M3826" s="221"/>
    </row>
    <row r="3827" spans="5:13">
      <c r="F3827" s="221">
        <v>4</v>
      </c>
      <c r="G3827" s="221" t="s">
        <v>1414</v>
      </c>
      <c r="H3827" s="221" t="s">
        <v>2356</v>
      </c>
      <c r="I3827" s="221">
        <f>I2869</f>
        <v>556</v>
      </c>
      <c r="J3827" s="221" t="s">
        <v>1414</v>
      </c>
      <c r="K3827" s="221">
        <f>F3827*I3827</f>
        <v>2224</v>
      </c>
      <c r="L3827" s="221"/>
      <c r="M3827" s="221"/>
    </row>
    <row r="3828" spans="5:13">
      <c r="F3828" s="221"/>
      <c r="G3828" s="221"/>
      <c r="H3828" s="221"/>
      <c r="I3828" s="221"/>
      <c r="J3828" s="221"/>
      <c r="K3828" s="221"/>
      <c r="L3828" s="221"/>
      <c r="M3828" s="221"/>
    </row>
    <row r="3829" spans="5:13" ht="51">
      <c r="E3829" s="221"/>
      <c r="F3829" s="221"/>
      <c r="G3829" s="87"/>
      <c r="H3829" s="231" t="s">
        <v>2877</v>
      </c>
      <c r="J3829" s="87"/>
      <c r="K3829" s="232">
        <f>SUM(K3824:K3827)</f>
        <v>6589</v>
      </c>
      <c r="L3829" s="232"/>
      <c r="M3829" s="221"/>
    </row>
    <row r="3830" spans="5:13">
      <c r="E3830" s="221"/>
      <c r="F3830" s="221"/>
      <c r="G3830" s="87"/>
      <c r="J3830" s="87"/>
      <c r="M3830" s="221"/>
    </row>
    <row r="3831" spans="5:13">
      <c r="E3831" s="221"/>
      <c r="F3831" s="221"/>
      <c r="G3831" s="87"/>
      <c r="J3831" s="233"/>
      <c r="K3831" s="94">
        <f>K3829*2/3</f>
        <v>4392.67</v>
      </c>
      <c r="L3831" s="94"/>
      <c r="M3831" s="221"/>
    </row>
    <row r="3832" spans="5:13">
      <c r="E3832" s="221"/>
      <c r="F3832" s="221"/>
      <c r="G3832" s="221"/>
      <c r="H3832" s="221"/>
      <c r="I3832" s="221"/>
      <c r="J3832" s="221"/>
      <c r="K3832" s="221"/>
      <c r="L3832" s="221"/>
      <c r="M3832" s="221"/>
    </row>
    <row r="3833" spans="5:13">
      <c r="E3833" s="221"/>
      <c r="F3833" s="221"/>
      <c r="G3833" s="221"/>
      <c r="H3833" s="93" t="s">
        <v>3071</v>
      </c>
      <c r="I3833" s="221"/>
      <c r="J3833" s="221"/>
      <c r="K3833" s="221"/>
      <c r="L3833" s="221"/>
      <c r="M3833" s="221"/>
    </row>
    <row r="3834" spans="5:13">
      <c r="E3834" s="221"/>
      <c r="F3834" s="221"/>
      <c r="G3834" s="221"/>
      <c r="H3834" s="221"/>
      <c r="I3834" s="221"/>
      <c r="J3834" s="221"/>
      <c r="K3834" s="221"/>
      <c r="L3834" s="221"/>
      <c r="M3834" s="221"/>
    </row>
    <row r="3835" spans="5:13" ht="173.25">
      <c r="E3835" s="221"/>
      <c r="F3835" s="221"/>
      <c r="G3835" s="221"/>
      <c r="H3835" s="220" t="s">
        <v>3089</v>
      </c>
      <c r="I3835" s="221"/>
      <c r="J3835" s="221"/>
      <c r="K3835" s="221"/>
      <c r="L3835" s="221"/>
      <c r="M3835" s="221"/>
    </row>
    <row r="3836" spans="5:13">
      <c r="E3836" s="221"/>
      <c r="F3836" s="221"/>
      <c r="G3836" s="221"/>
      <c r="H3836" s="221" t="s">
        <v>2479</v>
      </c>
      <c r="I3836" s="221"/>
      <c r="J3836" s="221"/>
      <c r="K3836" s="221">
        <f>K3814-K3813</f>
        <v>8351.6299999999992</v>
      </c>
      <c r="L3836" s="221"/>
      <c r="M3836" s="221"/>
    </row>
    <row r="3837" spans="5:13">
      <c r="E3837" s="221"/>
      <c r="F3837" s="221"/>
      <c r="G3837" s="221"/>
      <c r="H3837" s="221" t="s">
        <v>2480</v>
      </c>
      <c r="I3837" s="221"/>
      <c r="J3837" s="221"/>
      <c r="K3837" s="221">
        <f>K3803</f>
        <v>136</v>
      </c>
      <c r="L3837" s="221"/>
      <c r="M3837" s="221"/>
    </row>
    <row r="3838" spans="5:13">
      <c r="E3838" s="221"/>
      <c r="F3838" s="221"/>
      <c r="G3838" s="221"/>
      <c r="H3838" s="221" t="s">
        <v>3748</v>
      </c>
      <c r="I3838" s="221"/>
      <c r="J3838" s="221"/>
      <c r="K3838" s="260">
        <f>10*20.2</f>
        <v>202</v>
      </c>
      <c r="L3838" s="221"/>
      <c r="M3838" s="221"/>
    </row>
    <row r="3839" spans="5:13">
      <c r="E3839" s="221"/>
      <c r="F3839" s="221"/>
      <c r="G3839" s="221"/>
      <c r="H3839" s="221" t="s">
        <v>2296</v>
      </c>
      <c r="I3839" s="221"/>
      <c r="J3839" s="221"/>
      <c r="K3839" s="221">
        <v>22.11</v>
      </c>
      <c r="L3839" s="221"/>
      <c r="M3839" s="221"/>
    </row>
    <row r="3840" spans="5:13">
      <c r="E3840" s="221"/>
      <c r="F3840" s="221"/>
      <c r="G3840" s="221"/>
      <c r="H3840" s="226" t="s">
        <v>2458</v>
      </c>
      <c r="I3840" s="221"/>
      <c r="J3840" s="221"/>
      <c r="K3840" s="227">
        <f>K3836-K3837+K3838+K3839</f>
        <v>8439.74</v>
      </c>
      <c r="L3840" s="221"/>
      <c r="M3840" s="221"/>
    </row>
    <row r="3841" spans="5:14">
      <c r="E3841" s="221"/>
      <c r="F3841" s="221"/>
      <c r="G3841" s="221"/>
      <c r="H3841" s="228" t="s">
        <v>2459</v>
      </c>
      <c r="I3841" s="221"/>
      <c r="J3841" s="221"/>
      <c r="K3841" s="229">
        <f>K3840/10</f>
        <v>843.97</v>
      </c>
      <c r="L3841" s="221"/>
      <c r="M3841" s="221"/>
    </row>
    <row r="3842" spans="5:14">
      <c r="E3842" s="221"/>
      <c r="F3842" s="221"/>
      <c r="G3842" s="221"/>
      <c r="H3842" s="221"/>
      <c r="I3842" s="221"/>
      <c r="J3842" s="221"/>
      <c r="K3842" s="221"/>
      <c r="L3842" s="221"/>
      <c r="M3842" s="221"/>
    </row>
    <row r="3843" spans="5:14">
      <c r="E3843" s="221"/>
      <c r="F3843" s="221"/>
      <c r="G3843" s="221"/>
      <c r="H3843" s="221"/>
      <c r="I3843" s="221"/>
      <c r="J3843" s="221"/>
      <c r="K3843" s="221"/>
      <c r="L3843" s="221"/>
      <c r="M3843" s="221"/>
    </row>
    <row r="3844" spans="5:14">
      <c r="E3844" s="221"/>
      <c r="F3844" s="221"/>
      <c r="G3844" s="221"/>
      <c r="H3844" s="221"/>
      <c r="I3844" s="221"/>
      <c r="J3844" s="221"/>
      <c r="K3844" s="221"/>
      <c r="L3844" s="221"/>
      <c r="M3844" s="221"/>
    </row>
    <row r="3845" spans="5:14" ht="47.25">
      <c r="E3845" s="221"/>
      <c r="F3845" s="221"/>
      <c r="G3845" s="221"/>
      <c r="H3845" s="219" t="s">
        <v>3431</v>
      </c>
      <c r="I3845" s="221"/>
      <c r="J3845" s="221"/>
      <c r="K3845" s="221"/>
      <c r="L3845" s="221"/>
      <c r="M3845" s="221"/>
    </row>
    <row r="3846" spans="5:14">
      <c r="E3846" s="221"/>
      <c r="F3846" s="221"/>
      <c r="G3846" s="221"/>
      <c r="H3846" s="221"/>
      <c r="I3846" s="221"/>
      <c r="J3846" s="221"/>
      <c r="K3846" s="221"/>
      <c r="L3846" s="221"/>
      <c r="M3846" s="221"/>
    </row>
    <row r="3847" spans="5:14" ht="173.25">
      <c r="E3847" s="221"/>
      <c r="F3847" s="221"/>
      <c r="G3847" s="221"/>
      <c r="H3847" s="220" t="s">
        <v>3418</v>
      </c>
      <c r="I3847" s="221"/>
      <c r="J3847" s="221"/>
      <c r="K3847" s="221"/>
      <c r="L3847" s="221"/>
      <c r="M3847" s="221"/>
    </row>
    <row r="3848" spans="5:14">
      <c r="E3848" s="221"/>
      <c r="F3848" s="221"/>
      <c r="G3848" s="221"/>
      <c r="H3848" s="221" t="s">
        <v>3440</v>
      </c>
      <c r="I3848" s="221"/>
      <c r="J3848" s="221"/>
      <c r="K3848" s="221">
        <f>K3836</f>
        <v>8351.6299999999992</v>
      </c>
      <c r="L3848" s="221"/>
      <c r="M3848" s="221"/>
    </row>
    <row r="3849" spans="5:14">
      <c r="E3849" s="221"/>
      <c r="F3849" s="221"/>
      <c r="G3849" s="221"/>
      <c r="H3849" s="221" t="s">
        <v>3027</v>
      </c>
      <c r="I3849" s="221"/>
      <c r="J3849" s="221"/>
      <c r="K3849" s="221">
        <f>K3837</f>
        <v>136</v>
      </c>
      <c r="L3849" s="221"/>
      <c r="M3849" s="221"/>
    </row>
    <row r="3850" spans="5:14">
      <c r="E3850" s="221"/>
      <c r="F3850" s="221"/>
      <c r="G3850" s="221"/>
      <c r="H3850" s="221" t="s">
        <v>3028</v>
      </c>
      <c r="I3850" s="221"/>
      <c r="J3850" s="221"/>
      <c r="K3850" s="221">
        <f>K2892</f>
        <v>34.299999999999997</v>
      </c>
      <c r="L3850" s="221"/>
      <c r="M3850" s="221"/>
    </row>
    <row r="3851" spans="5:14">
      <c r="E3851" s="221"/>
      <c r="F3851" s="221"/>
      <c r="G3851" s="221"/>
      <c r="H3851" s="221" t="s">
        <v>3029</v>
      </c>
      <c r="I3851" s="221"/>
      <c r="J3851" s="221"/>
      <c r="K3851" s="221">
        <f>K2893</f>
        <v>160.5</v>
      </c>
      <c r="L3851" s="221"/>
      <c r="M3851" s="221"/>
    </row>
    <row r="3852" spans="5:14">
      <c r="E3852" s="221"/>
      <c r="F3852" s="221"/>
      <c r="G3852" s="221"/>
      <c r="H3852" s="221" t="s">
        <v>3744</v>
      </c>
      <c r="I3852" s="221"/>
      <c r="J3852" s="221"/>
      <c r="K3852" s="260">
        <f>50.4*10</f>
        <v>504</v>
      </c>
      <c r="L3852" s="221"/>
      <c r="M3852" s="221"/>
      <c r="N3852" s="87">
        <f>50.4*10</f>
        <v>504</v>
      </c>
    </row>
    <row r="3853" spans="5:14">
      <c r="E3853" s="221"/>
      <c r="F3853" s="221"/>
      <c r="G3853" s="221"/>
      <c r="H3853" s="221" t="s">
        <v>3894</v>
      </c>
      <c r="I3853" s="221"/>
      <c r="J3853" s="221"/>
      <c r="K3853" s="260">
        <f>10*17.25</f>
        <v>172.5</v>
      </c>
      <c r="L3853" s="221"/>
      <c r="M3853" s="221"/>
    </row>
    <row r="3854" spans="5:14">
      <c r="E3854" s="221"/>
      <c r="F3854" s="221"/>
      <c r="G3854" s="221"/>
      <c r="H3854" s="221" t="s">
        <v>3745</v>
      </c>
      <c r="I3854" s="221"/>
      <c r="J3854" s="221"/>
      <c r="K3854" s="260">
        <f>20.1*10</f>
        <v>201</v>
      </c>
      <c r="L3854" s="221"/>
      <c r="M3854" s="221"/>
    </row>
    <row r="3855" spans="5:14">
      <c r="E3855" s="221"/>
      <c r="F3855" s="221"/>
      <c r="G3855" s="221"/>
      <c r="H3855" s="221" t="s">
        <v>2296</v>
      </c>
      <c r="I3855" s="221"/>
      <c r="J3855" s="221"/>
      <c r="K3855" s="221">
        <v>16.41</v>
      </c>
      <c r="L3855" s="221"/>
      <c r="M3855" s="221"/>
    </row>
    <row r="3856" spans="5:14">
      <c r="E3856" s="221"/>
      <c r="F3856" s="221"/>
      <c r="G3856" s="221"/>
      <c r="H3856" s="226" t="s">
        <v>2458</v>
      </c>
      <c r="I3856" s="221"/>
      <c r="J3856" s="221"/>
      <c r="K3856" s="227">
        <f>(K3848-K3849-K3850-K3851)+(K3852+K3853+K3854+K3855)</f>
        <v>8914.74</v>
      </c>
      <c r="L3856" s="221"/>
      <c r="M3856" s="221"/>
      <c r="N3856" s="87">
        <f>17.25*10</f>
        <v>172.5</v>
      </c>
    </row>
    <row r="3857" spans="5:13">
      <c r="E3857" s="221"/>
      <c r="F3857" s="221"/>
      <c r="G3857" s="221"/>
      <c r="H3857" s="228" t="s">
        <v>3204</v>
      </c>
      <c r="I3857" s="221"/>
      <c r="J3857" s="221"/>
      <c r="K3857" s="229">
        <f>K3856/10</f>
        <v>891.47</v>
      </c>
      <c r="L3857" s="221"/>
      <c r="M3857" s="221"/>
    </row>
    <row r="3858" spans="5:13">
      <c r="E3858" s="221"/>
      <c r="F3858" s="221"/>
      <c r="G3858" s="221"/>
      <c r="H3858" s="221"/>
      <c r="I3858" s="221"/>
      <c r="J3858" s="221"/>
      <c r="K3858" s="221"/>
      <c r="L3858" s="221"/>
      <c r="M3858" s="221"/>
    </row>
    <row r="3859" spans="5:13">
      <c r="E3859" s="221"/>
      <c r="F3859" s="221"/>
      <c r="G3859" s="221"/>
      <c r="H3859" s="221"/>
      <c r="I3859" s="221"/>
      <c r="J3859" s="221"/>
      <c r="K3859" s="221"/>
      <c r="L3859" s="221"/>
      <c r="M3859" s="221"/>
    </row>
    <row r="3860" spans="5:13">
      <c r="E3860" s="221"/>
      <c r="F3860" s="221"/>
      <c r="G3860" s="221"/>
      <c r="H3860" s="221"/>
      <c r="I3860" s="221"/>
      <c r="J3860" s="221"/>
      <c r="K3860" s="221"/>
      <c r="L3860" s="221"/>
      <c r="M3860" s="221"/>
    </row>
    <row r="3861" spans="5:13">
      <c r="E3861" s="221"/>
      <c r="F3861" s="221"/>
      <c r="G3861" s="221"/>
      <c r="H3861" s="221"/>
      <c r="I3861" s="221"/>
      <c r="J3861" s="221"/>
      <c r="K3861" s="221"/>
      <c r="L3861" s="221"/>
      <c r="M3861" s="221"/>
    </row>
    <row r="3862" spans="5:13">
      <c r="E3862" s="221"/>
      <c r="F3862" s="221"/>
      <c r="G3862" s="221"/>
      <c r="H3862" s="221"/>
      <c r="I3862" s="221"/>
      <c r="J3862" s="221"/>
      <c r="K3862" s="221"/>
      <c r="L3862" s="221"/>
      <c r="M3862" s="221"/>
    </row>
    <row r="3863" spans="5:13" ht="31.5">
      <c r="E3863" s="221"/>
      <c r="F3863" s="221"/>
      <c r="G3863" s="221"/>
      <c r="H3863" s="219" t="s">
        <v>2929</v>
      </c>
      <c r="I3863" s="221"/>
      <c r="J3863" s="221"/>
      <c r="K3863" s="221"/>
      <c r="L3863" s="221"/>
      <c r="M3863" s="221"/>
    </row>
    <row r="3864" spans="5:13">
      <c r="E3864" s="221"/>
      <c r="F3864" s="221"/>
      <c r="G3864" s="221"/>
      <c r="I3864" s="221"/>
      <c r="J3864" s="221"/>
      <c r="K3864" s="221"/>
      <c r="L3864" s="221"/>
      <c r="M3864" s="221"/>
    </row>
    <row r="3865" spans="5:13">
      <c r="E3865" s="221"/>
      <c r="F3865" s="221"/>
      <c r="G3865" s="221"/>
      <c r="I3865" s="221"/>
      <c r="J3865" s="221"/>
      <c r="K3865" s="221"/>
      <c r="L3865" s="221"/>
      <c r="M3865" s="221"/>
    </row>
    <row r="3866" spans="5:13">
      <c r="E3866" s="221"/>
      <c r="F3866" s="221"/>
      <c r="G3866" s="221"/>
      <c r="I3866" s="221"/>
      <c r="J3866" s="221"/>
      <c r="K3866" s="221"/>
      <c r="L3866" s="221"/>
      <c r="M3866" s="221"/>
    </row>
    <row r="3867" spans="5:13">
      <c r="E3867" s="221"/>
      <c r="F3867" s="221"/>
      <c r="G3867" s="221"/>
      <c r="I3867" s="221"/>
      <c r="J3867" s="221"/>
      <c r="K3867" s="221"/>
      <c r="L3867" s="221"/>
      <c r="M3867" s="221"/>
    </row>
    <row r="3868" spans="5:13" ht="173.25">
      <c r="E3868" s="221"/>
      <c r="F3868" s="221"/>
      <c r="G3868" s="221"/>
      <c r="H3868" s="220" t="s">
        <v>2875</v>
      </c>
      <c r="I3868" s="221"/>
      <c r="J3868" s="221"/>
      <c r="K3868" s="221"/>
      <c r="L3868" s="221"/>
      <c r="M3868" s="221"/>
    </row>
    <row r="3869" spans="5:13">
      <c r="E3869" s="221"/>
      <c r="F3869" s="221"/>
      <c r="G3869" s="221"/>
      <c r="H3869" s="221"/>
      <c r="I3869" s="221"/>
      <c r="J3869" s="221"/>
      <c r="K3869" s="221"/>
      <c r="L3869" s="221"/>
      <c r="M3869" s="221"/>
    </row>
    <row r="3870" spans="5:13">
      <c r="E3870" s="221"/>
      <c r="F3870" s="221"/>
      <c r="G3870" s="221"/>
      <c r="H3870" s="221"/>
      <c r="I3870" s="221"/>
      <c r="J3870" s="221"/>
      <c r="K3870" s="221"/>
      <c r="L3870" s="221"/>
      <c r="M3870" s="221"/>
    </row>
    <row r="3871" spans="5:13">
      <c r="E3871" s="221"/>
      <c r="F3871" s="221"/>
      <c r="G3871" s="221"/>
      <c r="H3871" s="221"/>
      <c r="I3871" s="221"/>
      <c r="J3871" s="221"/>
      <c r="K3871" s="221"/>
      <c r="L3871" s="221"/>
      <c r="M3871" s="221"/>
    </row>
    <row r="3872" spans="5:13">
      <c r="E3872" s="221"/>
      <c r="F3872" s="221"/>
      <c r="G3872" s="221"/>
      <c r="H3872" s="221" t="s">
        <v>2479</v>
      </c>
      <c r="I3872" s="221"/>
      <c r="J3872" s="221"/>
      <c r="K3872" s="221">
        <f>K3814</f>
        <v>8373.7000000000007</v>
      </c>
      <c r="L3872" s="221"/>
      <c r="M3872" s="221"/>
    </row>
    <row r="3873" spans="5:13">
      <c r="E3873" s="221"/>
      <c r="F3873" s="221"/>
      <c r="G3873" s="221"/>
      <c r="H3873" s="221" t="s">
        <v>3750</v>
      </c>
      <c r="I3873" s="221"/>
      <c r="J3873" s="221"/>
      <c r="K3873" s="221">
        <f>K3807</f>
        <v>167</v>
      </c>
      <c r="L3873" s="221"/>
      <c r="M3873" s="221"/>
    </row>
    <row r="3874" spans="5:13">
      <c r="E3874" s="221"/>
      <c r="F3874" s="221"/>
      <c r="G3874" s="221"/>
      <c r="H3874" s="221" t="s">
        <v>2848</v>
      </c>
      <c r="I3874" s="221"/>
      <c r="J3874" s="221"/>
      <c r="K3874" s="221">
        <f>K3809</f>
        <v>63</v>
      </c>
      <c r="L3874" s="221"/>
      <c r="M3874" s="221"/>
    </row>
    <row r="3875" spans="5:13">
      <c r="E3875" s="221"/>
      <c r="F3875" s="221"/>
      <c r="G3875" s="221"/>
      <c r="H3875" s="221" t="s">
        <v>3751</v>
      </c>
      <c r="I3875" s="221"/>
      <c r="J3875" s="221"/>
      <c r="K3875" s="260">
        <f>84.2*10</f>
        <v>842</v>
      </c>
      <c r="L3875" s="221"/>
      <c r="M3875" s="221"/>
    </row>
    <row r="3876" spans="5:13">
      <c r="E3876" s="221"/>
      <c r="F3876" s="221"/>
      <c r="G3876" s="221"/>
      <c r="H3876" s="221" t="s">
        <v>3752</v>
      </c>
      <c r="I3876" s="221"/>
      <c r="J3876" s="221"/>
      <c r="K3876" s="260">
        <f>0.6*685</f>
        <v>411</v>
      </c>
      <c r="L3876" s="221"/>
      <c r="M3876" s="221"/>
    </row>
    <row r="3877" spans="5:13">
      <c r="E3877" s="221"/>
      <c r="F3877" s="221"/>
      <c r="G3877" s="221"/>
      <c r="H3877" s="221" t="s">
        <v>3072</v>
      </c>
      <c r="I3877" s="221"/>
      <c r="J3877" s="221"/>
      <c r="K3877" s="221">
        <v>12.5</v>
      </c>
      <c r="L3877" s="221"/>
      <c r="M3877" s="221"/>
    </row>
    <row r="3878" spans="5:13">
      <c r="E3878" s="221"/>
      <c r="F3878" s="221"/>
      <c r="G3878" s="221"/>
      <c r="H3878" s="226" t="s">
        <v>2458</v>
      </c>
      <c r="I3878" s="221"/>
      <c r="J3878" s="221"/>
      <c r="K3878" s="227">
        <f>K3872-K3873-K3874+K3875+K3876+K3877</f>
        <v>9409.2000000000007</v>
      </c>
      <c r="L3878" s="221"/>
      <c r="M3878" s="221"/>
    </row>
    <row r="3879" spans="5:13">
      <c r="E3879" s="221"/>
      <c r="F3879" s="221"/>
      <c r="G3879" s="221"/>
      <c r="H3879" s="228" t="s">
        <v>2459</v>
      </c>
      <c r="I3879" s="221"/>
      <c r="J3879" s="221"/>
      <c r="K3879" s="229">
        <f>K3878/10</f>
        <v>940.92</v>
      </c>
      <c r="L3879" s="221"/>
      <c r="M3879" s="221"/>
    </row>
    <row r="3880" spans="5:13">
      <c r="E3880" s="221"/>
      <c r="F3880" s="221"/>
      <c r="G3880" s="221"/>
      <c r="H3880" s="221"/>
      <c r="I3880" s="221"/>
      <c r="J3880" s="221"/>
      <c r="K3880" s="221"/>
      <c r="L3880" s="221"/>
      <c r="M3880" s="221"/>
    </row>
    <row r="3881" spans="5:13">
      <c r="E3881" s="221"/>
      <c r="F3881" s="221"/>
      <c r="G3881" s="221"/>
      <c r="H3881" s="221"/>
      <c r="I3881" s="221"/>
      <c r="J3881" s="221"/>
      <c r="K3881" s="221"/>
      <c r="L3881" s="221"/>
      <c r="M3881" s="221"/>
    </row>
    <row r="3882" spans="5:13">
      <c r="E3882" s="221"/>
      <c r="F3882" s="221"/>
      <c r="G3882" s="221"/>
      <c r="H3882" s="221"/>
      <c r="I3882" s="221"/>
      <c r="J3882" s="221"/>
      <c r="K3882" s="221"/>
      <c r="L3882" s="221"/>
      <c r="M3882" s="221"/>
    </row>
    <row r="3883" spans="5:13" ht="31.5">
      <c r="E3883" s="221"/>
      <c r="F3883" s="221"/>
      <c r="G3883" s="221"/>
      <c r="H3883" s="219" t="s">
        <v>3021</v>
      </c>
      <c r="I3883" s="221"/>
      <c r="J3883" s="221"/>
      <c r="K3883" s="221"/>
      <c r="L3883" s="221"/>
      <c r="M3883" s="221"/>
    </row>
    <row r="3884" spans="5:13" ht="189" customHeight="1">
      <c r="E3884" s="221"/>
      <c r="F3884" s="221"/>
      <c r="G3884" s="221"/>
      <c r="H3884" s="220" t="s">
        <v>3017</v>
      </c>
      <c r="I3884" s="221"/>
      <c r="J3884" s="221"/>
      <c r="K3884" s="221"/>
      <c r="L3884" s="221"/>
      <c r="M3884" s="221"/>
    </row>
    <row r="3885" spans="5:13" ht="31.5">
      <c r="E3885" s="221"/>
      <c r="F3885" s="221">
        <v>90</v>
      </c>
      <c r="G3885" s="221" t="s">
        <v>835</v>
      </c>
      <c r="H3885" s="142" t="s">
        <v>2572</v>
      </c>
      <c r="I3885" s="221">
        <f>I3049</f>
        <v>15.5</v>
      </c>
      <c r="J3885" s="221" t="s">
        <v>2573</v>
      </c>
      <c r="K3885" s="221">
        <f t="shared" ref="K3885:K3895" si="106">F3885*I3885</f>
        <v>1395</v>
      </c>
      <c r="L3885" s="221"/>
      <c r="M3885" s="221"/>
    </row>
    <row r="3886" spans="5:13" ht="31.5">
      <c r="E3886" s="221"/>
      <c r="F3886" s="221">
        <v>30</v>
      </c>
      <c r="G3886" s="221" t="s">
        <v>835</v>
      </c>
      <c r="H3886" s="220" t="s">
        <v>2389</v>
      </c>
      <c r="I3886" s="221">
        <f>I3050</f>
        <v>19.100000000000001</v>
      </c>
      <c r="J3886" s="221" t="s">
        <v>835</v>
      </c>
      <c r="K3886" s="221">
        <f t="shared" si="106"/>
        <v>573</v>
      </c>
      <c r="L3886" s="221"/>
      <c r="M3886" s="221"/>
    </row>
    <row r="3887" spans="5:13">
      <c r="E3887" s="221"/>
      <c r="F3887" s="221">
        <v>10</v>
      </c>
      <c r="G3887" s="221" t="s">
        <v>1414</v>
      </c>
      <c r="H3887" s="221" t="s">
        <v>2391</v>
      </c>
      <c r="I3887" s="221">
        <f>I3051</f>
        <v>3</v>
      </c>
      <c r="J3887" s="221" t="s">
        <v>1414</v>
      </c>
      <c r="K3887" s="221">
        <f t="shared" si="106"/>
        <v>30</v>
      </c>
      <c r="L3887" s="221"/>
      <c r="M3887" s="221"/>
    </row>
    <row r="3888" spans="5:13">
      <c r="E3888" s="221"/>
      <c r="F3888" s="221">
        <v>5</v>
      </c>
      <c r="G3888" s="221" t="s">
        <v>1414</v>
      </c>
      <c r="H3888" s="221" t="s">
        <v>3432</v>
      </c>
      <c r="I3888" s="221">
        <f>I3052</f>
        <v>1.28</v>
      </c>
      <c r="J3888" s="221" t="s">
        <v>1414</v>
      </c>
      <c r="K3888" s="221">
        <f t="shared" si="106"/>
        <v>6.4</v>
      </c>
      <c r="L3888" s="221"/>
      <c r="M3888" s="221"/>
    </row>
    <row r="3889" spans="5:13">
      <c r="E3889" s="221"/>
      <c r="F3889" s="221">
        <v>10</v>
      </c>
      <c r="G3889" s="221" t="s">
        <v>1414</v>
      </c>
      <c r="H3889" s="221" t="s">
        <v>2476</v>
      </c>
      <c r="I3889" s="221">
        <f>I3053</f>
        <v>19.920000000000002</v>
      </c>
      <c r="J3889" s="221" t="s">
        <v>1414</v>
      </c>
      <c r="K3889" s="221">
        <f t="shared" si="106"/>
        <v>199.2</v>
      </c>
      <c r="L3889" s="221"/>
      <c r="M3889" s="221"/>
    </row>
    <row r="3890" spans="5:13">
      <c r="E3890" s="221"/>
      <c r="F3890" s="221">
        <v>5</v>
      </c>
      <c r="G3890" s="221" t="s">
        <v>1414</v>
      </c>
      <c r="H3890" s="221" t="s">
        <v>3018</v>
      </c>
      <c r="I3890" s="221">
        <v>2.5</v>
      </c>
      <c r="J3890" s="221" t="s">
        <v>1418</v>
      </c>
      <c r="K3890" s="221">
        <f t="shared" si="106"/>
        <v>12.5</v>
      </c>
      <c r="L3890" s="221"/>
      <c r="M3890" s="221"/>
    </row>
    <row r="3891" spans="5:13">
      <c r="E3891" s="221"/>
      <c r="F3891" s="221">
        <v>5</v>
      </c>
      <c r="G3891" s="221" t="s">
        <v>1414</v>
      </c>
      <c r="H3891" s="221" t="s">
        <v>2662</v>
      </c>
      <c r="I3891" s="221">
        <f>I3054</f>
        <v>13.6</v>
      </c>
      <c r="J3891" s="221" t="s">
        <v>1414</v>
      </c>
      <c r="K3891" s="221">
        <f t="shared" si="106"/>
        <v>68</v>
      </c>
      <c r="L3891" s="221"/>
      <c r="M3891" s="221"/>
    </row>
    <row r="3892" spans="5:13">
      <c r="E3892" s="221"/>
      <c r="F3892" s="224">
        <v>0.09</v>
      </c>
      <c r="G3892" s="221" t="s">
        <v>2308</v>
      </c>
      <c r="H3892" s="221" t="s">
        <v>2585</v>
      </c>
      <c r="I3892" s="221">
        <f>I3057</f>
        <v>630</v>
      </c>
      <c r="J3892" s="221" t="s">
        <v>2308</v>
      </c>
      <c r="K3892" s="221">
        <f t="shared" si="106"/>
        <v>56.7</v>
      </c>
      <c r="L3892" s="221"/>
      <c r="M3892" s="221"/>
    </row>
    <row r="3893" spans="5:13">
      <c r="E3893" s="221"/>
      <c r="F3893" s="221">
        <v>1</v>
      </c>
      <c r="G3893" s="221" t="s">
        <v>2666</v>
      </c>
      <c r="H3893" s="221" t="s">
        <v>390</v>
      </c>
      <c r="I3893" s="260">
        <f>6850/20</f>
        <v>342.5</v>
      </c>
      <c r="J3893" s="221" t="s">
        <v>2666</v>
      </c>
      <c r="K3893" s="221">
        <f t="shared" si="106"/>
        <v>342.5</v>
      </c>
      <c r="L3893" s="221"/>
      <c r="M3893" s="221">
        <f>1000/50</f>
        <v>20</v>
      </c>
    </row>
    <row r="3894" spans="5:13">
      <c r="E3894" s="221"/>
      <c r="F3894" s="221">
        <v>6</v>
      </c>
      <c r="G3894" s="221" t="s">
        <v>1414</v>
      </c>
      <c r="H3894" s="221" t="s">
        <v>3019</v>
      </c>
      <c r="I3894" s="260">
        <v>20.100000000000001</v>
      </c>
      <c r="J3894" s="221" t="s">
        <v>1418</v>
      </c>
      <c r="K3894" s="221">
        <f t="shared" si="106"/>
        <v>120.6</v>
      </c>
      <c r="L3894" s="221"/>
      <c r="M3894" s="221"/>
    </row>
    <row r="3895" spans="5:13" ht="31.5">
      <c r="E3895" s="221"/>
      <c r="F3895" s="221">
        <v>30</v>
      </c>
      <c r="G3895" s="221" t="s">
        <v>835</v>
      </c>
      <c r="H3895" s="142" t="s">
        <v>2672</v>
      </c>
      <c r="I3895" s="221">
        <f>I3885</f>
        <v>15.5</v>
      </c>
      <c r="J3895" s="221" t="s">
        <v>2573</v>
      </c>
      <c r="K3895" s="221">
        <f t="shared" si="106"/>
        <v>465</v>
      </c>
      <c r="L3895" s="221"/>
      <c r="M3895" s="221"/>
    </row>
    <row r="3896" spans="5:13">
      <c r="E3896" s="221"/>
      <c r="F3896" s="221"/>
      <c r="G3896" s="221"/>
      <c r="H3896" s="221" t="s">
        <v>924</v>
      </c>
      <c r="I3896" s="221"/>
      <c r="J3896" s="221"/>
      <c r="K3896" s="221">
        <f>K3829</f>
        <v>6589</v>
      </c>
      <c r="L3896" s="221"/>
      <c r="M3896" s="221"/>
    </row>
    <row r="3897" spans="5:13">
      <c r="E3897" s="221"/>
      <c r="F3897" s="221"/>
      <c r="G3897" s="221"/>
      <c r="H3897" s="221" t="s">
        <v>2296</v>
      </c>
      <c r="I3897" s="221"/>
      <c r="J3897" s="221"/>
      <c r="K3897" s="221">
        <v>8.3000000000000007</v>
      </c>
      <c r="L3897" s="221"/>
      <c r="M3897" s="221"/>
    </row>
    <row r="3898" spans="5:13">
      <c r="E3898" s="221"/>
      <c r="F3898" s="221"/>
      <c r="G3898" s="221"/>
      <c r="H3898" s="226" t="s">
        <v>2586</v>
      </c>
      <c r="I3898" s="221"/>
      <c r="J3898" s="221"/>
      <c r="K3898" s="227">
        <f>SUM(K3885:K3897)</f>
        <v>9866.2000000000007</v>
      </c>
      <c r="L3898" s="221"/>
      <c r="M3898" s="221"/>
    </row>
    <row r="3899" spans="5:13">
      <c r="E3899" s="221"/>
      <c r="F3899" s="221"/>
      <c r="G3899" s="221"/>
      <c r="H3899" s="228" t="s">
        <v>3204</v>
      </c>
      <c r="I3899" s="221"/>
      <c r="J3899" s="221"/>
      <c r="K3899" s="229">
        <f>K3898/5</f>
        <v>1973.24</v>
      </c>
      <c r="L3899" s="221"/>
      <c r="M3899" s="221"/>
    </row>
    <row r="3900" spans="5:13">
      <c r="E3900" s="221"/>
      <c r="F3900" s="221"/>
      <c r="G3900" s="221"/>
      <c r="H3900" s="229"/>
      <c r="I3900" s="221"/>
      <c r="J3900" s="221"/>
      <c r="K3900" s="221"/>
      <c r="L3900" s="221"/>
      <c r="M3900" s="221"/>
    </row>
    <row r="3901" spans="5:13">
      <c r="E3901" s="221"/>
      <c r="F3901" s="221"/>
      <c r="G3901" s="221"/>
      <c r="H3901" s="229" t="s">
        <v>1541</v>
      </c>
      <c r="I3901" s="221"/>
      <c r="J3901" s="221"/>
      <c r="K3901" s="221"/>
      <c r="L3901" s="221"/>
      <c r="M3901" s="221"/>
    </row>
    <row r="3902" spans="5:13">
      <c r="E3902" s="221"/>
      <c r="F3902" s="221"/>
      <c r="G3902" s="221"/>
      <c r="H3902" s="221"/>
      <c r="I3902" s="221"/>
      <c r="J3902" s="221"/>
      <c r="K3902" s="221"/>
      <c r="L3902" s="221"/>
      <c r="M3902" s="221"/>
    </row>
    <row r="3903" spans="5:13" ht="157.5">
      <c r="E3903" s="221"/>
      <c r="F3903" s="221"/>
      <c r="G3903" s="221"/>
      <c r="H3903" s="220" t="s">
        <v>2756</v>
      </c>
      <c r="I3903" s="221"/>
      <c r="J3903" s="221"/>
      <c r="K3903" s="221"/>
      <c r="L3903" s="221"/>
      <c r="M3903" s="221"/>
    </row>
    <row r="3904" spans="5:13" ht="31.5">
      <c r="E3904" s="221"/>
      <c r="F3904" s="221">
        <v>90</v>
      </c>
      <c r="G3904" s="221" t="s">
        <v>835</v>
      </c>
      <c r="H3904" s="142" t="s">
        <v>2572</v>
      </c>
      <c r="I3904" s="221">
        <f t="shared" ref="I3904:I3914" si="107">I2951</f>
        <v>15.5</v>
      </c>
      <c r="J3904" s="221" t="s">
        <v>3347</v>
      </c>
      <c r="K3904" s="221">
        <f t="shared" ref="K3904:K3914" si="108">F3904*I3904</f>
        <v>1395</v>
      </c>
      <c r="L3904" s="221"/>
      <c r="M3904" s="221"/>
    </row>
    <row r="3905" spans="5:13" ht="31.5">
      <c r="E3905" s="221"/>
      <c r="F3905" s="221">
        <v>45</v>
      </c>
      <c r="G3905" s="221" t="s">
        <v>835</v>
      </c>
      <c r="H3905" s="220" t="s">
        <v>2389</v>
      </c>
      <c r="I3905" s="221">
        <f t="shared" si="107"/>
        <v>19.100000000000001</v>
      </c>
      <c r="J3905" s="221" t="s">
        <v>835</v>
      </c>
      <c r="K3905" s="221">
        <f t="shared" si="108"/>
        <v>859.5</v>
      </c>
      <c r="L3905" s="221"/>
      <c r="M3905" s="221"/>
    </row>
    <row r="3906" spans="5:13">
      <c r="E3906" s="221"/>
      <c r="F3906" s="221">
        <v>20</v>
      </c>
      <c r="G3906" s="221" t="s">
        <v>1414</v>
      </c>
      <c r="H3906" s="221" t="s">
        <v>2391</v>
      </c>
      <c r="I3906" s="221">
        <f t="shared" si="107"/>
        <v>3</v>
      </c>
      <c r="J3906" s="221" t="s">
        <v>3435</v>
      </c>
      <c r="K3906" s="221">
        <f t="shared" si="108"/>
        <v>60</v>
      </c>
      <c r="L3906" s="221"/>
      <c r="M3906" s="221"/>
    </row>
    <row r="3907" spans="5:13">
      <c r="E3907" s="221"/>
      <c r="F3907" s="221">
        <v>10</v>
      </c>
      <c r="G3907" s="221" t="s">
        <v>1414</v>
      </c>
      <c r="H3907" s="221" t="s">
        <v>3432</v>
      </c>
      <c r="I3907" s="221">
        <f t="shared" si="107"/>
        <v>1.28</v>
      </c>
      <c r="J3907" s="221" t="s">
        <v>3435</v>
      </c>
      <c r="K3907" s="221">
        <f t="shared" si="108"/>
        <v>12.8</v>
      </c>
      <c r="L3907" s="221"/>
      <c r="M3907" s="221"/>
    </row>
    <row r="3908" spans="5:13" s="263" customFormat="1">
      <c r="E3908" s="262"/>
      <c r="F3908" s="593">
        <v>1</v>
      </c>
      <c r="G3908" s="593" t="s">
        <v>1414</v>
      </c>
      <c r="H3908" s="229" t="s">
        <v>3907</v>
      </c>
      <c r="I3908" s="593">
        <f>I2955</f>
        <v>58</v>
      </c>
      <c r="J3908" s="593" t="s">
        <v>1414</v>
      </c>
      <c r="K3908" s="593">
        <f t="shared" si="108"/>
        <v>58</v>
      </c>
      <c r="L3908" s="262"/>
      <c r="M3908" s="262"/>
    </row>
    <row r="3909" spans="5:13">
      <c r="E3909" s="221"/>
      <c r="F3909" s="224">
        <v>1.4999999999999999E-2</v>
      </c>
      <c r="G3909" s="221" t="s">
        <v>2308</v>
      </c>
      <c r="H3909" s="221" t="s">
        <v>2585</v>
      </c>
      <c r="I3909" s="221">
        <f t="shared" si="107"/>
        <v>630</v>
      </c>
      <c r="J3909" s="221" t="s">
        <v>2308</v>
      </c>
      <c r="K3909" s="221">
        <f t="shared" si="108"/>
        <v>9.4499999999999993</v>
      </c>
      <c r="L3909" s="221"/>
      <c r="M3909" s="221"/>
    </row>
    <row r="3910" spans="5:13">
      <c r="E3910" s="221"/>
      <c r="F3910" s="221">
        <v>15</v>
      </c>
      <c r="G3910" s="221" t="s">
        <v>1414</v>
      </c>
      <c r="H3910" s="221" t="s">
        <v>2757</v>
      </c>
      <c r="I3910" s="221">
        <f t="shared" si="107"/>
        <v>39.950000000000003</v>
      </c>
      <c r="J3910" s="221" t="s">
        <v>1414</v>
      </c>
      <c r="K3910" s="221">
        <f t="shared" si="108"/>
        <v>599.25</v>
      </c>
      <c r="L3910" s="221"/>
      <c r="M3910" s="221"/>
    </row>
    <row r="3911" spans="5:13">
      <c r="E3911" s="221"/>
      <c r="F3911" s="260">
        <v>15</v>
      </c>
      <c r="G3911" s="260" t="s">
        <v>1414</v>
      </c>
      <c r="H3911" s="260" t="str">
        <f>H3908</f>
        <v>6" PVC Electrical Box (150mm)</v>
      </c>
      <c r="I3911" s="594">
        <f>I3908</f>
        <v>58</v>
      </c>
      <c r="J3911" s="260" t="s">
        <v>1414</v>
      </c>
      <c r="K3911" s="260">
        <f t="shared" si="108"/>
        <v>870</v>
      </c>
      <c r="L3911" s="221"/>
      <c r="M3911" s="221"/>
    </row>
    <row r="3912" spans="5:13">
      <c r="E3912" s="221"/>
      <c r="F3912" s="224">
        <v>0.22500000000000001</v>
      </c>
      <c r="G3912" s="221" t="s">
        <v>2308</v>
      </c>
      <c r="H3912" s="221" t="s">
        <v>2585</v>
      </c>
      <c r="I3912" s="221">
        <f t="shared" si="107"/>
        <v>630</v>
      </c>
      <c r="J3912" s="221" t="s">
        <v>2758</v>
      </c>
      <c r="K3912" s="221">
        <f t="shared" si="108"/>
        <v>141.75</v>
      </c>
      <c r="L3912" s="221"/>
      <c r="M3912" s="221"/>
    </row>
    <row r="3913" spans="5:13">
      <c r="E3913" s="221"/>
      <c r="F3913" s="221">
        <v>1.25</v>
      </c>
      <c r="G3913" s="221" t="s">
        <v>2666</v>
      </c>
      <c r="H3913" s="221" t="s">
        <v>390</v>
      </c>
      <c r="I3913" s="221">
        <f t="shared" si="107"/>
        <v>298</v>
      </c>
      <c r="J3913" s="221" t="s">
        <v>2666</v>
      </c>
      <c r="K3913" s="221">
        <f t="shared" si="108"/>
        <v>372.5</v>
      </c>
      <c r="L3913" s="221"/>
      <c r="M3913" s="221"/>
    </row>
    <row r="3914" spans="5:13" ht="31.5">
      <c r="E3914" s="221"/>
      <c r="F3914" s="221">
        <v>45</v>
      </c>
      <c r="G3914" s="221" t="s">
        <v>2308</v>
      </c>
      <c r="H3914" s="142" t="s">
        <v>2672</v>
      </c>
      <c r="I3914" s="221">
        <f t="shared" si="107"/>
        <v>15.5</v>
      </c>
      <c r="J3914" s="221" t="s">
        <v>3347</v>
      </c>
      <c r="K3914" s="221">
        <f t="shared" si="108"/>
        <v>697.5</v>
      </c>
      <c r="L3914" s="221"/>
      <c r="M3914" s="221"/>
    </row>
    <row r="3915" spans="5:13">
      <c r="E3915" s="221"/>
      <c r="F3915" s="221"/>
      <c r="G3915" s="221"/>
      <c r="H3915" s="221" t="s">
        <v>924</v>
      </c>
      <c r="I3915" s="221"/>
      <c r="J3915" s="221"/>
      <c r="K3915" s="221">
        <f>K3831</f>
        <v>4392.67</v>
      </c>
      <c r="L3915" s="221"/>
      <c r="M3915" s="221"/>
    </row>
    <row r="3916" spans="5:13">
      <c r="E3916" s="221"/>
      <c r="F3916" s="221"/>
      <c r="G3916" s="221"/>
      <c r="H3916" s="221" t="s">
        <v>2296</v>
      </c>
      <c r="I3916" s="221"/>
      <c r="J3916" s="221"/>
      <c r="K3916" s="221">
        <v>30.66</v>
      </c>
      <c r="L3916" s="221"/>
      <c r="M3916" s="221"/>
    </row>
    <row r="3917" spans="5:13">
      <c r="E3917" s="221"/>
      <c r="F3917" s="221"/>
      <c r="G3917" s="221"/>
      <c r="H3917" s="226" t="s">
        <v>2759</v>
      </c>
      <c r="I3917" s="221"/>
      <c r="J3917" s="221"/>
      <c r="K3917" s="227">
        <f>SUM(K3904:K3916)</f>
        <v>9499.08</v>
      </c>
      <c r="L3917" s="221"/>
      <c r="M3917" s="221"/>
    </row>
    <row r="3918" spans="5:13">
      <c r="E3918" s="221"/>
      <c r="F3918" s="221"/>
      <c r="G3918" s="221"/>
      <c r="H3918" s="228" t="s">
        <v>3204</v>
      </c>
      <c r="I3918" s="221"/>
      <c r="J3918" s="221"/>
      <c r="K3918" s="229">
        <f>K3917/15</f>
        <v>633.27</v>
      </c>
      <c r="L3918" s="221">
        <f>537*15</f>
        <v>8055</v>
      </c>
      <c r="M3918" s="221"/>
    </row>
    <row r="3919" spans="5:13">
      <c r="E3919" s="221"/>
      <c r="F3919" s="221"/>
      <c r="G3919" s="221"/>
      <c r="H3919" s="229" t="s">
        <v>924</v>
      </c>
      <c r="I3919" s="221"/>
      <c r="J3919" s="221"/>
      <c r="K3919" s="229"/>
      <c r="L3919" s="221">
        <f>L3918-K3917</f>
        <v>-1444.08</v>
      </c>
      <c r="M3919" s="221"/>
    </row>
    <row r="3920" spans="5:13">
      <c r="E3920" s="221"/>
      <c r="F3920" s="221">
        <v>1</v>
      </c>
      <c r="G3920" s="221" t="s">
        <v>1414</v>
      </c>
      <c r="H3920" s="221" t="s">
        <v>3356</v>
      </c>
      <c r="I3920" s="221">
        <f>I2866</f>
        <v>817</v>
      </c>
      <c r="J3920" s="221" t="s">
        <v>1414</v>
      </c>
      <c r="K3920" s="221">
        <f>F3920*I3920</f>
        <v>817</v>
      </c>
      <c r="L3920" s="221"/>
      <c r="M3920" s="221"/>
    </row>
    <row r="3921" spans="5:13">
      <c r="E3921" s="221"/>
      <c r="F3921" s="221">
        <v>2</v>
      </c>
      <c r="G3921" s="221" t="s">
        <v>1414</v>
      </c>
      <c r="H3921" s="221" t="s">
        <v>3357</v>
      </c>
      <c r="I3921" s="221">
        <f>I2867</f>
        <v>712</v>
      </c>
      <c r="J3921" s="221" t="s">
        <v>1414</v>
      </c>
      <c r="K3921" s="221">
        <f>F3921*I3921</f>
        <v>1424</v>
      </c>
      <c r="L3921" s="221"/>
      <c r="M3921" s="221"/>
    </row>
    <row r="3922" spans="5:13">
      <c r="E3922" s="221"/>
      <c r="F3922" s="221">
        <v>3</v>
      </c>
      <c r="G3922" s="221" t="s">
        <v>1414</v>
      </c>
      <c r="H3922" s="221" t="s">
        <v>3358</v>
      </c>
      <c r="I3922" s="221">
        <f>I2868</f>
        <v>708</v>
      </c>
      <c r="J3922" s="221" t="s">
        <v>1414</v>
      </c>
      <c r="K3922" s="221">
        <f>F3922*I3922</f>
        <v>2124</v>
      </c>
      <c r="L3922" s="221"/>
      <c r="M3922" s="221"/>
    </row>
    <row r="3923" spans="5:13">
      <c r="E3923" s="221"/>
      <c r="F3923" s="221">
        <v>4</v>
      </c>
      <c r="G3923" s="221" t="s">
        <v>1414</v>
      </c>
      <c r="H3923" s="221" t="s">
        <v>2356</v>
      </c>
      <c r="I3923" s="221">
        <f>I2869</f>
        <v>556</v>
      </c>
      <c r="J3923" s="221" t="s">
        <v>1414</v>
      </c>
      <c r="K3923" s="221">
        <f>F3923*I3923</f>
        <v>2224</v>
      </c>
      <c r="L3923" s="221"/>
      <c r="M3923" s="221"/>
    </row>
    <row r="3924" spans="5:13">
      <c r="E3924" s="221"/>
      <c r="F3924" s="221"/>
      <c r="G3924" s="221"/>
      <c r="H3924" s="228"/>
      <c r="I3924" s="221"/>
      <c r="J3924" s="221"/>
      <c r="K3924" s="229">
        <f>SUM(K3920:K3923)</f>
        <v>6589</v>
      </c>
      <c r="L3924" s="221"/>
      <c r="M3924" s="221"/>
    </row>
    <row r="3925" spans="5:13">
      <c r="E3925" s="221"/>
      <c r="F3925" s="221"/>
      <c r="G3925" s="221"/>
      <c r="H3925" s="228"/>
      <c r="I3925" s="221"/>
      <c r="J3925" s="221"/>
      <c r="K3925" s="229"/>
      <c r="L3925" s="221"/>
      <c r="M3925" s="221"/>
    </row>
    <row r="3926" spans="5:13">
      <c r="E3926" s="221"/>
      <c r="F3926" s="221"/>
      <c r="G3926" s="221"/>
      <c r="H3926" s="228"/>
      <c r="I3926" s="221"/>
      <c r="J3926" s="221"/>
      <c r="K3926" s="229"/>
      <c r="L3926" s="221"/>
      <c r="M3926" s="221"/>
    </row>
    <row r="3927" spans="5:13">
      <c r="E3927" s="221"/>
      <c r="F3927" s="221"/>
      <c r="G3927" s="221"/>
      <c r="H3927" s="229" t="s">
        <v>2416</v>
      </c>
      <c r="I3927" s="221"/>
      <c r="J3927" s="221"/>
      <c r="K3927" s="221"/>
      <c r="L3927" s="221"/>
      <c r="M3927" s="221"/>
    </row>
    <row r="3928" spans="5:13">
      <c r="E3928" s="221"/>
      <c r="F3928" s="221"/>
      <c r="G3928" s="221"/>
      <c r="H3928" s="221"/>
      <c r="I3928" s="221"/>
      <c r="J3928" s="221"/>
      <c r="K3928" s="221"/>
      <c r="L3928" s="221"/>
      <c r="M3928" s="221"/>
    </row>
    <row r="3929" spans="5:13" ht="110.25">
      <c r="E3929" s="221"/>
      <c r="F3929" s="221"/>
      <c r="G3929" s="221"/>
      <c r="H3929" s="220" t="s">
        <v>3571</v>
      </c>
      <c r="I3929" s="221"/>
      <c r="J3929" s="221"/>
      <c r="K3929" s="221"/>
      <c r="L3929" s="221"/>
      <c r="M3929" s="221"/>
    </row>
    <row r="3930" spans="5:13">
      <c r="E3930" s="221"/>
      <c r="F3930" s="221"/>
      <c r="G3930" s="221"/>
      <c r="H3930" s="221"/>
      <c r="I3930" s="221"/>
      <c r="J3930" s="221"/>
      <c r="K3930" s="221"/>
      <c r="L3930" s="221"/>
      <c r="M3930" s="221"/>
    </row>
    <row r="3931" spans="5:13" ht="31.5">
      <c r="E3931" s="221"/>
      <c r="F3931" s="221">
        <v>180</v>
      </c>
      <c r="G3931" s="221" t="s">
        <v>835</v>
      </c>
      <c r="H3931" s="142" t="s">
        <v>2572</v>
      </c>
      <c r="I3931" s="221">
        <f>I3072</f>
        <v>15.5</v>
      </c>
      <c r="J3931" s="221" t="s">
        <v>835</v>
      </c>
      <c r="K3931" s="221">
        <f>I3931*F3931</f>
        <v>2790</v>
      </c>
      <c r="L3931" s="221"/>
      <c r="M3931" s="221"/>
    </row>
    <row r="3932" spans="5:13" ht="31.5">
      <c r="E3932" s="221"/>
      <c r="F3932" s="221">
        <v>90</v>
      </c>
      <c r="G3932" s="221" t="s">
        <v>835</v>
      </c>
      <c r="H3932" s="220" t="s">
        <v>2389</v>
      </c>
      <c r="I3932" s="221">
        <f>I3073</f>
        <v>19.100000000000001</v>
      </c>
      <c r="J3932" s="221" t="s">
        <v>835</v>
      </c>
      <c r="K3932" s="221">
        <f>I3932*F3932</f>
        <v>1719</v>
      </c>
      <c r="L3932" s="221"/>
      <c r="M3932" s="221"/>
    </row>
    <row r="3933" spans="5:13">
      <c r="E3933" s="221"/>
      <c r="F3933" s="221">
        <v>1</v>
      </c>
      <c r="G3933" s="221" t="s">
        <v>3172</v>
      </c>
      <c r="H3933" s="220" t="s">
        <v>3173</v>
      </c>
      <c r="I3933" s="260">
        <f>Elec.Data!I3942</f>
        <v>39</v>
      </c>
      <c r="J3933" s="221" t="s">
        <v>3172</v>
      </c>
      <c r="K3933" s="221">
        <f>I3933*F3933</f>
        <v>39</v>
      </c>
      <c r="L3933" s="221"/>
      <c r="M3933" s="221"/>
    </row>
    <row r="3934" spans="5:13">
      <c r="E3934" s="221"/>
      <c r="F3934" s="221">
        <v>300</v>
      </c>
      <c r="G3934" s="221" t="s">
        <v>1452</v>
      </c>
      <c r="H3934" s="220" t="s">
        <v>3174</v>
      </c>
      <c r="I3934" s="260">
        <f>Elec.Data!I3943</f>
        <v>287</v>
      </c>
      <c r="J3934" s="221" t="s">
        <v>3176</v>
      </c>
      <c r="K3934" s="221">
        <f>(I3934*F3934)/1000</f>
        <v>86.1</v>
      </c>
      <c r="L3934" s="221"/>
      <c r="M3934" s="221"/>
    </row>
    <row r="3935" spans="5:13">
      <c r="E3935" s="221"/>
      <c r="F3935" s="221">
        <v>2</v>
      </c>
      <c r="G3935" s="221" t="s">
        <v>2670</v>
      </c>
      <c r="H3935" s="220" t="s">
        <v>3175</v>
      </c>
      <c r="I3935" s="221">
        <f>I3804</f>
        <v>84.1</v>
      </c>
      <c r="J3935" s="221" t="s">
        <v>3172</v>
      </c>
      <c r="K3935" s="221">
        <f>I3935*F3935</f>
        <v>168.2</v>
      </c>
      <c r="L3935" s="221"/>
      <c r="M3935" s="221"/>
    </row>
    <row r="3936" spans="5:13">
      <c r="E3936" s="221"/>
      <c r="F3936" s="221">
        <v>0.33</v>
      </c>
      <c r="G3936" s="221" t="s">
        <v>2666</v>
      </c>
      <c r="H3936" s="221" t="s">
        <v>390</v>
      </c>
      <c r="I3936" s="221">
        <f>I3074</f>
        <v>298</v>
      </c>
      <c r="J3936" s="221" t="s">
        <v>2666</v>
      </c>
      <c r="K3936" s="221">
        <f>I3936*F3936</f>
        <v>98.34</v>
      </c>
      <c r="L3936" s="221"/>
      <c r="M3936" s="221"/>
    </row>
    <row r="3937" spans="5:13" ht="31.5">
      <c r="E3937" s="221"/>
      <c r="F3937" s="221">
        <v>90</v>
      </c>
      <c r="G3937" s="221" t="s">
        <v>835</v>
      </c>
      <c r="H3937" s="142" t="s">
        <v>2672</v>
      </c>
      <c r="I3937" s="221">
        <f>I3075</f>
        <v>15.5</v>
      </c>
      <c r="J3937" s="221" t="s">
        <v>2573</v>
      </c>
      <c r="K3937" s="221">
        <f>I3937*F3937</f>
        <v>1395</v>
      </c>
      <c r="L3937" s="221"/>
      <c r="M3937" s="221"/>
    </row>
    <row r="3938" spans="5:13">
      <c r="E3938" s="221"/>
      <c r="F3938" s="253" t="s">
        <v>3179</v>
      </c>
      <c r="G3938" s="221"/>
      <c r="H3938" s="221" t="s">
        <v>924</v>
      </c>
      <c r="I3938" s="221">
        <f>K3924</f>
        <v>6589</v>
      </c>
      <c r="J3938" s="221"/>
      <c r="K3938" s="221">
        <f>2/3*I3938</f>
        <v>4392.67</v>
      </c>
      <c r="L3938" s="221"/>
      <c r="M3938" s="221"/>
    </row>
    <row r="3939" spans="5:13">
      <c r="E3939" s="221"/>
      <c r="F3939" s="221"/>
      <c r="G3939" s="221"/>
      <c r="H3939" s="221"/>
      <c r="I3939" s="221"/>
      <c r="J3939" s="221"/>
      <c r="K3939" s="221">
        <f>SUM(K3931:K3938)</f>
        <v>10688.31</v>
      </c>
      <c r="L3939" s="221"/>
      <c r="M3939" s="221"/>
    </row>
    <row r="3940" spans="5:13">
      <c r="E3940" s="221"/>
      <c r="F3940" s="221"/>
      <c r="G3940" s="221"/>
      <c r="H3940" s="221" t="s">
        <v>2296</v>
      </c>
      <c r="I3940" s="221"/>
      <c r="J3940" s="221"/>
      <c r="K3940" s="221">
        <v>52.28</v>
      </c>
      <c r="L3940" s="221"/>
      <c r="M3940" s="221"/>
    </row>
    <row r="3941" spans="5:13">
      <c r="E3941" s="221"/>
      <c r="F3941" s="221"/>
      <c r="G3941" s="221"/>
      <c r="H3941" s="226" t="s">
        <v>2418</v>
      </c>
      <c r="I3941" s="221"/>
      <c r="J3941" s="221"/>
      <c r="K3941" s="227">
        <f>SUM(K3939:K3940)</f>
        <v>10740.59</v>
      </c>
      <c r="L3941" s="221"/>
      <c r="M3941" s="221"/>
    </row>
    <row r="3942" spans="5:13">
      <c r="E3942" s="221"/>
      <c r="F3942" s="221"/>
      <c r="G3942" s="221"/>
      <c r="H3942" s="228" t="s">
        <v>2419</v>
      </c>
      <c r="I3942" s="221"/>
      <c r="J3942" s="221"/>
      <c r="K3942" s="229">
        <f>K3941/90</f>
        <v>119.34</v>
      </c>
      <c r="L3942" s="221"/>
      <c r="M3942" s="221"/>
    </row>
    <row r="3943" spans="5:13">
      <c r="E3943" s="221"/>
      <c r="F3943" s="221"/>
      <c r="G3943" s="221"/>
      <c r="H3943" s="221"/>
      <c r="I3943" s="221"/>
      <c r="J3943" s="221"/>
      <c r="K3943" s="221"/>
      <c r="L3943" s="221"/>
      <c r="M3943" s="221"/>
    </row>
    <row r="3944" spans="5:13">
      <c r="E3944" s="221"/>
      <c r="F3944" s="221"/>
      <c r="G3944" s="221"/>
      <c r="H3944" s="229" t="s">
        <v>3177</v>
      </c>
      <c r="I3944" s="221"/>
      <c r="J3944" s="221"/>
      <c r="K3944" s="221"/>
      <c r="L3944" s="221"/>
      <c r="M3944" s="221"/>
    </row>
    <row r="3945" spans="5:13">
      <c r="E3945" s="221"/>
      <c r="F3945" s="221"/>
      <c r="G3945" s="221"/>
      <c r="H3945" s="221"/>
      <c r="I3945" s="221"/>
      <c r="J3945" s="221"/>
      <c r="K3945" s="221"/>
      <c r="L3945" s="221"/>
      <c r="M3945" s="221"/>
    </row>
    <row r="3946" spans="5:13" ht="110.25">
      <c r="E3946" s="221"/>
      <c r="F3946" s="221"/>
      <c r="G3946" s="221"/>
      <c r="H3946" s="220" t="s">
        <v>3050</v>
      </c>
      <c r="I3946" s="221"/>
      <c r="J3946" s="221"/>
      <c r="K3946" s="221"/>
      <c r="L3946" s="221"/>
      <c r="M3946" s="221"/>
    </row>
    <row r="3947" spans="5:13">
      <c r="E3947" s="221"/>
      <c r="F3947" s="221"/>
      <c r="G3947" s="221"/>
      <c r="H3947" s="221"/>
      <c r="I3947" s="221"/>
      <c r="J3947" s="221"/>
      <c r="K3947" s="221"/>
      <c r="L3947" s="221"/>
      <c r="M3947" s="221"/>
    </row>
    <row r="3948" spans="5:13">
      <c r="E3948" s="221"/>
      <c r="F3948" s="221"/>
      <c r="G3948" s="221"/>
      <c r="H3948" s="221" t="s">
        <v>3178</v>
      </c>
      <c r="I3948" s="221"/>
      <c r="J3948" s="221"/>
      <c r="K3948" s="221">
        <f>K3941</f>
        <v>10740.59</v>
      </c>
      <c r="L3948" s="221"/>
      <c r="M3948" s="221"/>
    </row>
    <row r="3949" spans="5:13" ht="31.5">
      <c r="E3949" s="221"/>
      <c r="F3949" s="221">
        <v>180</v>
      </c>
      <c r="G3949" s="221" t="s">
        <v>835</v>
      </c>
      <c r="H3949" s="220" t="s">
        <v>3283</v>
      </c>
      <c r="I3949" s="221">
        <f>I3088</f>
        <v>20.3</v>
      </c>
      <c r="J3949" s="221" t="s">
        <v>835</v>
      </c>
      <c r="K3949" s="221">
        <f>F3949*I3949</f>
        <v>3654</v>
      </c>
      <c r="L3949" s="221"/>
      <c r="M3949" s="221"/>
    </row>
    <row r="3950" spans="5:13" ht="31.5">
      <c r="E3950" s="221"/>
      <c r="F3950" s="221">
        <v>180</v>
      </c>
      <c r="G3950" s="221" t="s">
        <v>835</v>
      </c>
      <c r="H3950" s="220" t="s">
        <v>2999</v>
      </c>
      <c r="I3950" s="221">
        <f>I3931</f>
        <v>15.5</v>
      </c>
      <c r="J3950" s="221" t="s">
        <v>2573</v>
      </c>
      <c r="K3950" s="221">
        <f>F3950*I3950</f>
        <v>2790</v>
      </c>
      <c r="L3950" s="221"/>
      <c r="M3950" s="221"/>
    </row>
    <row r="3951" spans="5:13">
      <c r="E3951" s="221"/>
      <c r="F3951" s="221"/>
      <c r="G3951" s="221"/>
      <c r="H3951" s="221" t="s">
        <v>2296</v>
      </c>
      <c r="I3951" s="221"/>
      <c r="J3951" s="221"/>
      <c r="K3951" s="221">
        <v>36</v>
      </c>
      <c r="L3951" s="221"/>
      <c r="M3951" s="221"/>
    </row>
    <row r="3952" spans="5:13">
      <c r="E3952" s="221"/>
      <c r="F3952" s="221"/>
      <c r="G3952" s="221"/>
      <c r="H3952" s="226" t="s">
        <v>3000</v>
      </c>
      <c r="I3952" s="221"/>
      <c r="J3952" s="221"/>
      <c r="K3952" s="227">
        <f>K3948+K3949-K3950+K3951</f>
        <v>11640.59</v>
      </c>
      <c r="L3952" s="221"/>
      <c r="M3952" s="221"/>
    </row>
    <row r="3953" spans="5:13">
      <c r="E3953" s="221"/>
      <c r="F3953" s="221"/>
      <c r="G3953" s="221"/>
      <c r="H3953" s="228" t="s">
        <v>2419</v>
      </c>
      <c r="I3953" s="221"/>
      <c r="J3953" s="221"/>
      <c r="K3953" s="229">
        <f>K3952/90</f>
        <v>129.34</v>
      </c>
      <c r="L3953" s="221"/>
      <c r="M3953" s="221"/>
    </row>
    <row r="3954" spans="5:13">
      <c r="E3954" s="221"/>
      <c r="F3954" s="221"/>
      <c r="G3954" s="221"/>
      <c r="H3954" s="221"/>
      <c r="I3954" s="221"/>
      <c r="J3954" s="221"/>
      <c r="K3954" s="221"/>
      <c r="L3954" s="221"/>
      <c r="M3954" s="221"/>
    </row>
    <row r="3955" spans="5:13">
      <c r="E3955" s="221"/>
      <c r="F3955" s="221"/>
      <c r="G3955" s="221"/>
      <c r="H3955" s="221"/>
      <c r="I3955" s="221"/>
      <c r="J3955" s="221"/>
      <c r="K3955" s="221"/>
      <c r="L3955" s="221"/>
      <c r="M3955" s="221"/>
    </row>
    <row r="3956" spans="5:13">
      <c r="E3956" s="221"/>
      <c r="F3956" s="221"/>
      <c r="G3956" s="221"/>
      <c r="H3956" s="229"/>
      <c r="I3956" s="221"/>
      <c r="J3956" s="221"/>
      <c r="K3956" s="221"/>
      <c r="L3956" s="221"/>
      <c r="M3956" s="221"/>
    </row>
    <row r="3957" spans="5:13">
      <c r="E3957" s="221"/>
      <c r="F3957" s="221"/>
      <c r="G3957" s="221"/>
      <c r="H3957" s="220"/>
      <c r="I3957" s="221"/>
      <c r="J3957" s="221"/>
      <c r="K3957" s="221"/>
      <c r="L3957" s="221"/>
      <c r="M3957" s="221"/>
    </row>
    <row r="3958" spans="5:13">
      <c r="E3958" s="221"/>
      <c r="F3958" s="221"/>
      <c r="G3958" s="221"/>
      <c r="H3958" s="142"/>
      <c r="I3958" s="221"/>
      <c r="J3958" s="221"/>
      <c r="K3958" s="221"/>
      <c r="L3958" s="221"/>
      <c r="M3958" s="221"/>
    </row>
    <row r="3959" spans="5:13">
      <c r="E3959" s="221"/>
      <c r="F3959" s="221"/>
      <c r="G3959" s="221"/>
      <c r="H3959" s="220"/>
      <c r="I3959" s="221"/>
      <c r="J3959" s="221"/>
      <c r="K3959" s="221"/>
      <c r="L3959" s="221"/>
      <c r="M3959" s="221"/>
    </row>
    <row r="3960" spans="5:13">
      <c r="E3960" s="221"/>
      <c r="F3960" s="221"/>
      <c r="G3960" s="221"/>
      <c r="H3960" s="221"/>
      <c r="I3960" s="221"/>
      <c r="J3960" s="221"/>
      <c r="K3960" s="221"/>
      <c r="L3960" s="221"/>
      <c r="M3960" s="221"/>
    </row>
    <row r="3961" spans="5:13">
      <c r="E3961" s="221"/>
      <c r="F3961" s="221"/>
      <c r="G3961" s="221"/>
      <c r="H3961" s="221"/>
      <c r="I3961" s="221"/>
      <c r="J3961" s="221"/>
      <c r="K3961" s="221"/>
      <c r="L3961" s="221"/>
      <c r="M3961" s="221"/>
    </row>
    <row r="3962" spans="5:13">
      <c r="E3962" s="221"/>
      <c r="F3962" s="221"/>
      <c r="G3962" s="221"/>
      <c r="H3962" s="221"/>
      <c r="I3962" s="221"/>
      <c r="J3962" s="221"/>
      <c r="K3962" s="221"/>
      <c r="L3962" s="221"/>
      <c r="M3962" s="221"/>
    </row>
    <row r="3963" spans="5:13">
      <c r="E3963" s="221"/>
      <c r="F3963" s="221"/>
      <c r="G3963" s="221"/>
      <c r="H3963" s="221"/>
      <c r="I3963" s="221"/>
      <c r="J3963" s="221"/>
      <c r="K3963" s="221"/>
      <c r="L3963" s="221"/>
      <c r="M3963" s="221"/>
    </row>
    <row r="3964" spans="5:13">
      <c r="E3964" s="221"/>
      <c r="F3964" s="221"/>
      <c r="G3964" s="221"/>
      <c r="H3964" s="221"/>
      <c r="I3964" s="221"/>
      <c r="J3964" s="221"/>
      <c r="K3964" s="221"/>
      <c r="L3964" s="221"/>
      <c r="M3964" s="221"/>
    </row>
    <row r="3965" spans="5:13">
      <c r="E3965" s="221"/>
      <c r="F3965" s="221"/>
      <c r="G3965" s="221"/>
      <c r="H3965" s="221"/>
      <c r="I3965" s="221"/>
      <c r="J3965" s="221"/>
      <c r="K3965" s="221"/>
      <c r="L3965" s="221"/>
      <c r="M3965" s="221"/>
    </row>
    <row r="3966" spans="5:13">
      <c r="E3966" s="221"/>
      <c r="F3966" s="221"/>
      <c r="G3966" s="221"/>
      <c r="H3966" s="221"/>
      <c r="I3966" s="221"/>
      <c r="J3966" s="221"/>
      <c r="K3966" s="221"/>
      <c r="L3966" s="221"/>
      <c r="M3966" s="221"/>
    </row>
    <row r="3967" spans="5:13">
      <c r="E3967" s="221"/>
      <c r="F3967" s="221"/>
      <c r="G3967" s="221"/>
      <c r="H3967" s="221"/>
      <c r="I3967" s="221"/>
      <c r="J3967" s="221"/>
      <c r="K3967" s="221"/>
      <c r="L3967" s="221"/>
      <c r="M3967" s="221"/>
    </row>
    <row r="3968" spans="5:13">
      <c r="E3968" s="221"/>
      <c r="F3968" s="221"/>
      <c r="G3968" s="221"/>
      <c r="H3968" s="142"/>
      <c r="I3968" s="221"/>
      <c r="J3968" s="221"/>
      <c r="K3968" s="221"/>
      <c r="L3968" s="221"/>
      <c r="M3968" s="221"/>
    </row>
    <row r="3969" spans="5:13">
      <c r="E3969" s="221"/>
      <c r="F3969" s="221"/>
      <c r="G3969" s="221"/>
      <c r="H3969" s="221"/>
      <c r="I3969" s="221"/>
      <c r="J3969" s="221"/>
      <c r="K3969" s="221"/>
      <c r="L3969" s="221"/>
      <c r="M3969" s="221"/>
    </row>
    <row r="3970" spans="5:13">
      <c r="E3970" s="221"/>
      <c r="F3970" s="221"/>
      <c r="G3970" s="221"/>
      <c r="H3970" s="221"/>
      <c r="I3970" s="221"/>
      <c r="J3970" s="221"/>
      <c r="K3970" s="230"/>
      <c r="L3970" s="221"/>
      <c r="M3970" s="221"/>
    </row>
    <row r="3971" spans="5:13">
      <c r="E3971" s="221"/>
      <c r="F3971" s="221"/>
      <c r="G3971" s="221"/>
      <c r="H3971" s="226"/>
      <c r="I3971" s="221"/>
      <c r="J3971" s="221"/>
      <c r="K3971" s="227"/>
      <c r="L3971" s="221"/>
      <c r="M3971" s="221"/>
    </row>
    <row r="3972" spans="5:13">
      <c r="E3972" s="221"/>
      <c r="F3972" s="221"/>
      <c r="G3972" s="221"/>
      <c r="H3972" s="228"/>
      <c r="I3972" s="221"/>
      <c r="J3972" s="221"/>
      <c r="K3972" s="229"/>
      <c r="L3972" s="221"/>
      <c r="M3972" s="221"/>
    </row>
    <row r="3973" spans="5:13">
      <c r="E3973" s="221"/>
      <c r="F3973" s="221"/>
      <c r="G3973" s="221"/>
      <c r="H3973" s="221"/>
      <c r="I3973" s="221"/>
      <c r="J3973" s="221"/>
      <c r="K3973" s="221"/>
      <c r="L3973" s="221"/>
      <c r="M3973" s="221"/>
    </row>
    <row r="3974" spans="5:13">
      <c r="E3974" s="221"/>
      <c r="F3974" s="221"/>
      <c r="G3974" s="221"/>
      <c r="H3974" s="221"/>
      <c r="I3974" s="221"/>
      <c r="J3974" s="221"/>
      <c r="K3974" s="221"/>
      <c r="L3974" s="221"/>
      <c r="M3974" s="221"/>
    </row>
    <row r="3975" spans="5:13">
      <c r="E3975" s="221"/>
      <c r="F3975" s="221"/>
      <c r="G3975" s="221"/>
      <c r="H3975" s="221"/>
      <c r="I3975" s="221"/>
      <c r="J3975" s="221"/>
      <c r="K3975" s="221"/>
      <c r="L3975" s="221"/>
      <c r="M3975" s="221"/>
    </row>
    <row r="3976" spans="5:13">
      <c r="E3976" s="221"/>
      <c r="F3976" s="221"/>
      <c r="G3976" s="221"/>
      <c r="H3976" s="221"/>
      <c r="I3976" s="221"/>
      <c r="J3976" s="221"/>
      <c r="K3976" s="221"/>
      <c r="L3976" s="221"/>
      <c r="M3976" s="221"/>
    </row>
    <row r="3977" spans="5:13">
      <c r="E3977" s="221"/>
      <c r="F3977" s="221"/>
      <c r="G3977" s="221"/>
      <c r="H3977" s="221"/>
      <c r="I3977" s="221"/>
      <c r="J3977" s="221"/>
      <c r="K3977" s="221"/>
      <c r="L3977" s="221"/>
      <c r="M3977" s="221"/>
    </row>
    <row r="3978" spans="5:13">
      <c r="E3978" s="221"/>
      <c r="F3978" s="221"/>
      <c r="G3978" s="221"/>
      <c r="H3978" s="221"/>
      <c r="I3978" s="221"/>
      <c r="J3978" s="221"/>
      <c r="K3978" s="221"/>
      <c r="L3978" s="221"/>
      <c r="M3978" s="221"/>
    </row>
    <row r="3979" spans="5:13">
      <c r="E3979" s="221"/>
      <c r="F3979" s="221"/>
      <c r="G3979" s="221"/>
      <c r="H3979" s="221"/>
      <c r="I3979" s="221"/>
      <c r="J3979" s="221"/>
      <c r="K3979" s="221"/>
      <c r="L3979" s="221"/>
      <c r="M3979" s="221"/>
    </row>
    <row r="3980" spans="5:13">
      <c r="E3980" s="221"/>
      <c r="F3980" s="221"/>
      <c r="G3980" s="221"/>
      <c r="H3980" s="221"/>
      <c r="I3980" s="221"/>
      <c r="J3980" s="221"/>
      <c r="K3980" s="221"/>
      <c r="L3980" s="221"/>
      <c r="M3980" s="221"/>
    </row>
    <row r="3981" spans="5:13">
      <c r="E3981" s="221"/>
      <c r="F3981" s="221"/>
      <c r="G3981" s="221"/>
      <c r="H3981" s="221"/>
      <c r="I3981" s="221"/>
      <c r="J3981" s="221"/>
      <c r="K3981" s="221"/>
      <c r="L3981" s="221"/>
      <c r="M3981" s="221"/>
    </row>
    <row r="3982" spans="5:13">
      <c r="E3982" s="221"/>
      <c r="F3982" s="221"/>
      <c r="G3982" s="221"/>
      <c r="H3982" s="221"/>
      <c r="I3982" s="221"/>
      <c r="J3982" s="221"/>
      <c r="K3982" s="221"/>
      <c r="L3982" s="221"/>
      <c r="M3982" s="221"/>
    </row>
    <row r="3983" spans="5:13">
      <c r="E3983" s="221"/>
      <c r="F3983" s="221"/>
      <c r="G3983" s="221"/>
      <c r="H3983" s="221"/>
      <c r="I3983" s="221"/>
      <c r="J3983" s="221"/>
      <c r="K3983" s="221"/>
      <c r="L3983" s="221"/>
      <c r="M3983" s="221"/>
    </row>
    <row r="3984" spans="5:13">
      <c r="E3984" s="221"/>
      <c r="F3984" s="221"/>
      <c r="G3984" s="221"/>
      <c r="H3984" s="221"/>
      <c r="I3984" s="221"/>
      <c r="J3984" s="221"/>
      <c r="K3984" s="221"/>
      <c r="L3984" s="221"/>
      <c r="M3984" s="221"/>
    </row>
    <row r="3985" spans="5:13">
      <c r="E3985" s="221"/>
      <c r="F3985" s="221"/>
      <c r="G3985" s="221"/>
      <c r="H3985" s="221"/>
      <c r="I3985" s="221"/>
      <c r="J3985" s="221"/>
      <c r="K3985" s="221"/>
      <c r="L3985" s="221"/>
      <c r="M3985" s="221"/>
    </row>
    <row r="3986" spans="5:13">
      <c r="E3986" s="221"/>
      <c r="F3986" s="221"/>
      <c r="G3986" s="221"/>
      <c r="H3986" s="221"/>
      <c r="I3986" s="221"/>
      <c r="J3986" s="221"/>
      <c r="K3986" s="221"/>
      <c r="L3986" s="221"/>
      <c r="M3986" s="221"/>
    </row>
    <row r="3987" spans="5:13">
      <c r="E3987" s="221"/>
      <c r="F3987" s="221"/>
      <c r="G3987" s="221"/>
      <c r="H3987" s="221"/>
      <c r="I3987" s="221"/>
      <c r="J3987" s="221"/>
      <c r="K3987" s="221"/>
      <c r="L3987" s="221"/>
      <c r="M3987" s="221"/>
    </row>
    <row r="3988" spans="5:13">
      <c r="E3988" s="221"/>
      <c r="F3988" s="221"/>
      <c r="G3988" s="221"/>
      <c r="H3988" s="221"/>
      <c r="I3988" s="221"/>
      <c r="J3988" s="221"/>
      <c r="K3988" s="221"/>
      <c r="L3988" s="221"/>
      <c r="M3988" s="221"/>
    </row>
    <row r="3989" spans="5:13">
      <c r="E3989" s="221"/>
      <c r="F3989" s="221"/>
      <c r="G3989" s="221"/>
      <c r="H3989" s="221"/>
      <c r="I3989" s="221"/>
      <c r="J3989" s="221"/>
      <c r="K3989" s="221"/>
      <c r="L3989" s="221"/>
      <c r="M3989" s="221"/>
    </row>
    <row r="3990" spans="5:13">
      <c r="E3990" s="221"/>
      <c r="F3990" s="221"/>
      <c r="G3990" s="221"/>
      <c r="H3990" s="221"/>
      <c r="I3990" s="221"/>
      <c r="J3990" s="221"/>
      <c r="K3990" s="221"/>
      <c r="L3990" s="221"/>
      <c r="M3990" s="221"/>
    </row>
    <row r="3991" spans="5:13">
      <c r="E3991" s="221"/>
      <c r="F3991" s="221"/>
      <c r="G3991" s="221"/>
      <c r="H3991" s="221"/>
      <c r="I3991" s="221"/>
      <c r="J3991" s="221"/>
      <c r="K3991" s="221"/>
      <c r="L3991" s="221"/>
      <c r="M3991" s="221"/>
    </row>
    <row r="3992" spans="5:13">
      <c r="E3992" s="221"/>
      <c r="F3992" s="221"/>
      <c r="G3992" s="221"/>
      <c r="H3992" s="221"/>
      <c r="I3992" s="221"/>
      <c r="J3992" s="221"/>
      <c r="K3992" s="221"/>
      <c r="L3992" s="221"/>
      <c r="M3992" s="221"/>
    </row>
    <row r="3993" spans="5:13">
      <c r="E3993" s="221"/>
      <c r="F3993" s="221"/>
      <c r="G3993" s="221"/>
      <c r="H3993" s="221"/>
      <c r="I3993" s="221"/>
      <c r="J3993" s="221"/>
      <c r="K3993" s="221"/>
      <c r="L3993" s="221"/>
      <c r="M3993" s="221"/>
    </row>
    <row r="3994" spans="5:13">
      <c r="E3994" s="221"/>
      <c r="F3994" s="221"/>
      <c r="G3994" s="221"/>
      <c r="H3994" s="221"/>
      <c r="I3994" s="221"/>
      <c r="J3994" s="221"/>
      <c r="K3994" s="221"/>
      <c r="L3994" s="221"/>
      <c r="M3994" s="221"/>
    </row>
    <row r="3995" spans="5:13">
      <c r="E3995" s="221"/>
      <c r="F3995" s="221"/>
      <c r="G3995" s="221"/>
      <c r="H3995" s="221"/>
      <c r="I3995" s="221"/>
      <c r="J3995" s="221"/>
      <c r="K3995" s="221"/>
      <c r="L3995" s="221"/>
      <c r="M3995" s="221"/>
    </row>
    <row r="3996" spans="5:13">
      <c r="E3996" s="221"/>
      <c r="F3996" s="221"/>
      <c r="G3996" s="221"/>
      <c r="H3996" s="221"/>
      <c r="I3996" s="221"/>
      <c r="J3996" s="221"/>
      <c r="K3996" s="221"/>
      <c r="L3996" s="221"/>
      <c r="M3996" s="221"/>
    </row>
    <row r="3997" spans="5:13">
      <c r="E3997" s="221"/>
      <c r="F3997" s="221"/>
      <c r="G3997" s="221"/>
      <c r="H3997" s="221"/>
      <c r="I3997" s="221"/>
      <c r="J3997" s="221"/>
      <c r="K3997" s="221"/>
      <c r="L3997" s="221"/>
      <c r="M3997" s="221"/>
    </row>
    <row r="3998" spans="5:13">
      <c r="E3998" s="221"/>
      <c r="F3998" s="221"/>
      <c r="G3998" s="221"/>
      <c r="H3998" s="221"/>
      <c r="I3998" s="221"/>
      <c r="J3998" s="221"/>
      <c r="K3998" s="221"/>
      <c r="L3998" s="221"/>
      <c r="M3998" s="221"/>
    </row>
    <row r="3999" spans="5:13">
      <c r="E3999" s="221"/>
      <c r="F3999" s="221"/>
      <c r="G3999" s="221"/>
      <c r="H3999" s="221"/>
      <c r="I3999" s="221"/>
      <c r="J3999" s="221"/>
      <c r="K3999" s="221"/>
      <c r="L3999" s="221"/>
      <c r="M3999" s="221"/>
    </row>
    <row r="4000" spans="5:13">
      <c r="E4000" s="221"/>
      <c r="F4000" s="221"/>
      <c r="G4000" s="221"/>
      <c r="H4000" s="221"/>
      <c r="I4000" s="221"/>
      <c r="J4000" s="221"/>
      <c r="K4000" s="221"/>
      <c r="L4000" s="221"/>
      <c r="M4000" s="221"/>
    </row>
    <row r="4001" spans="5:13">
      <c r="E4001" s="221"/>
      <c r="F4001" s="221"/>
      <c r="G4001" s="221"/>
      <c r="H4001" s="221"/>
      <c r="I4001" s="221"/>
      <c r="J4001" s="221"/>
      <c r="K4001" s="221"/>
      <c r="L4001" s="221"/>
      <c r="M4001" s="221"/>
    </row>
    <row r="4002" spans="5:13">
      <c r="E4002" s="221"/>
      <c r="F4002" s="221"/>
      <c r="G4002" s="221"/>
      <c r="H4002" s="221"/>
      <c r="I4002" s="221"/>
      <c r="J4002" s="221"/>
      <c r="K4002" s="221"/>
      <c r="L4002" s="221"/>
      <c r="M4002" s="221"/>
    </row>
    <row r="4003" spans="5:13">
      <c r="E4003" s="221"/>
      <c r="F4003" s="221"/>
      <c r="G4003" s="221"/>
      <c r="H4003" s="221"/>
      <c r="I4003" s="221"/>
      <c r="J4003" s="221"/>
      <c r="K4003" s="221"/>
      <c r="L4003" s="221"/>
      <c r="M4003" s="221"/>
    </row>
    <row r="4004" spans="5:13">
      <c r="E4004" s="221"/>
      <c r="F4004" s="221"/>
      <c r="G4004" s="221"/>
      <c r="H4004" s="221"/>
      <c r="I4004" s="221"/>
      <c r="J4004" s="221"/>
      <c r="K4004" s="221"/>
      <c r="L4004" s="221"/>
      <c r="M4004" s="221"/>
    </row>
    <row r="4005" spans="5:13">
      <c r="E4005" s="221"/>
      <c r="F4005" s="221"/>
      <c r="G4005" s="221"/>
      <c r="H4005" s="221"/>
      <c r="I4005" s="221"/>
      <c r="J4005" s="221"/>
      <c r="K4005" s="221"/>
      <c r="L4005" s="221"/>
      <c r="M4005" s="221"/>
    </row>
    <row r="4006" spans="5:13">
      <c r="E4006" s="221"/>
      <c r="F4006" s="221"/>
      <c r="G4006" s="221"/>
      <c r="H4006" s="221"/>
      <c r="I4006" s="221"/>
      <c r="J4006" s="221"/>
      <c r="K4006" s="221"/>
      <c r="L4006" s="221"/>
      <c r="M4006" s="221"/>
    </row>
    <row r="4007" spans="5:13">
      <c r="E4007" s="221"/>
      <c r="F4007" s="221"/>
      <c r="G4007" s="221"/>
      <c r="H4007" s="221"/>
      <c r="I4007" s="221"/>
      <c r="J4007" s="221"/>
      <c r="K4007" s="221"/>
      <c r="L4007" s="221"/>
      <c r="M4007" s="221"/>
    </row>
    <row r="4008" spans="5:13">
      <c r="E4008" s="221"/>
      <c r="F4008" s="221"/>
      <c r="G4008" s="221"/>
      <c r="H4008" s="221"/>
      <c r="I4008" s="221"/>
      <c r="J4008" s="221"/>
      <c r="K4008" s="221"/>
      <c r="L4008" s="221"/>
      <c r="M4008" s="221"/>
    </row>
    <row r="4009" spans="5:13">
      <c r="E4009" s="221"/>
      <c r="F4009" s="221"/>
      <c r="G4009" s="221"/>
      <c r="H4009" s="221"/>
      <c r="I4009" s="221"/>
      <c r="J4009" s="221"/>
      <c r="K4009" s="221"/>
      <c r="L4009" s="221"/>
      <c r="M4009" s="221"/>
    </row>
    <row r="4010" spans="5:13">
      <c r="E4010" s="221"/>
      <c r="F4010" s="221"/>
      <c r="G4010" s="221"/>
      <c r="H4010" s="221"/>
      <c r="I4010" s="221"/>
      <c r="J4010" s="221"/>
      <c r="K4010" s="221"/>
      <c r="L4010" s="221"/>
      <c r="M4010" s="221"/>
    </row>
    <row r="4011" spans="5:13">
      <c r="E4011" s="221"/>
      <c r="F4011" s="221"/>
      <c r="G4011" s="221"/>
      <c r="H4011" s="221"/>
      <c r="I4011" s="221"/>
      <c r="J4011" s="221"/>
      <c r="K4011" s="221"/>
      <c r="L4011" s="221"/>
      <c r="M4011" s="221"/>
    </row>
    <row r="4012" spans="5:13">
      <c r="E4012" s="221"/>
      <c r="F4012" s="221"/>
      <c r="G4012" s="221"/>
      <c r="H4012" s="221"/>
      <c r="I4012" s="221"/>
      <c r="J4012" s="221"/>
      <c r="K4012" s="221"/>
      <c r="L4012" s="221"/>
      <c r="M4012" s="221"/>
    </row>
    <row r="4013" spans="5:13">
      <c r="E4013" s="221"/>
      <c r="F4013" s="221"/>
      <c r="G4013" s="221"/>
      <c r="H4013" s="221"/>
      <c r="I4013" s="221"/>
      <c r="J4013" s="221"/>
      <c r="K4013" s="221"/>
      <c r="L4013" s="221"/>
      <c r="M4013" s="221"/>
    </row>
    <row r="4014" spans="5:13">
      <c r="E4014" s="221"/>
      <c r="F4014" s="221"/>
      <c r="G4014" s="221"/>
      <c r="H4014" s="221"/>
      <c r="I4014" s="221"/>
      <c r="J4014" s="221"/>
      <c r="K4014" s="221"/>
      <c r="L4014" s="221"/>
      <c r="M4014" s="221"/>
    </row>
    <row r="4015" spans="5:13">
      <c r="E4015" s="221"/>
      <c r="F4015" s="221"/>
      <c r="G4015" s="221"/>
      <c r="H4015" s="221"/>
      <c r="I4015" s="221"/>
      <c r="J4015" s="221"/>
      <c r="K4015" s="221"/>
      <c r="L4015" s="221"/>
      <c r="M4015" s="221"/>
    </row>
    <row r="4016" spans="5:13">
      <c r="E4016" s="221"/>
      <c r="F4016" s="221"/>
      <c r="G4016" s="221"/>
      <c r="H4016" s="221"/>
      <c r="I4016" s="221"/>
      <c r="J4016" s="221"/>
      <c r="K4016" s="221"/>
      <c r="L4016" s="221"/>
      <c r="M4016" s="221"/>
    </row>
    <row r="4017" spans="5:13">
      <c r="E4017" s="221"/>
      <c r="F4017" s="221"/>
      <c r="G4017" s="221"/>
      <c r="H4017" s="221"/>
      <c r="I4017" s="221"/>
      <c r="J4017" s="221"/>
      <c r="K4017" s="221"/>
      <c r="L4017" s="221"/>
      <c r="M4017" s="221"/>
    </row>
    <row r="4018" spans="5:13">
      <c r="E4018" s="221"/>
      <c r="F4018" s="221"/>
      <c r="G4018" s="221"/>
      <c r="H4018" s="221"/>
      <c r="I4018" s="221"/>
      <c r="J4018" s="221"/>
      <c r="K4018" s="221"/>
      <c r="L4018" s="221"/>
      <c r="M4018" s="221"/>
    </row>
    <row r="4019" spans="5:13">
      <c r="E4019" s="221"/>
      <c r="F4019" s="221"/>
      <c r="G4019" s="221"/>
      <c r="H4019" s="221"/>
      <c r="I4019" s="221"/>
      <c r="J4019" s="221"/>
      <c r="K4019" s="221"/>
      <c r="L4019" s="221"/>
      <c r="M4019" s="221"/>
    </row>
    <row r="4020" spans="5:13">
      <c r="E4020" s="221"/>
      <c r="F4020" s="221"/>
      <c r="G4020" s="221"/>
      <c r="H4020" s="221"/>
      <c r="I4020" s="221"/>
      <c r="J4020" s="221"/>
      <c r="K4020" s="221"/>
      <c r="L4020" s="221"/>
      <c r="M4020" s="221"/>
    </row>
    <row r="4021" spans="5:13">
      <c r="E4021" s="221"/>
      <c r="F4021" s="221"/>
      <c r="G4021" s="221"/>
      <c r="H4021" s="221"/>
      <c r="I4021" s="221"/>
      <c r="J4021" s="221"/>
      <c r="K4021" s="221"/>
      <c r="L4021" s="221"/>
      <c r="M4021" s="221"/>
    </row>
    <row r="4022" spans="5:13">
      <c r="E4022" s="221"/>
      <c r="F4022" s="221"/>
      <c r="G4022" s="221"/>
      <c r="H4022" s="221"/>
      <c r="I4022" s="221"/>
      <c r="J4022" s="221"/>
      <c r="K4022" s="221"/>
      <c r="L4022" s="221"/>
      <c r="M4022" s="221"/>
    </row>
    <row r="4023" spans="5:13">
      <c r="E4023" s="221"/>
      <c r="F4023" s="221"/>
      <c r="G4023" s="221"/>
      <c r="H4023" s="221"/>
      <c r="I4023" s="221"/>
      <c r="J4023" s="221"/>
      <c r="K4023" s="221"/>
      <c r="L4023" s="221"/>
      <c r="M4023" s="221"/>
    </row>
    <row r="4024" spans="5:13">
      <c r="E4024" s="221"/>
      <c r="F4024" s="221"/>
      <c r="G4024" s="221"/>
      <c r="H4024" s="221"/>
      <c r="I4024" s="221"/>
      <c r="J4024" s="221"/>
      <c r="K4024" s="221"/>
      <c r="L4024" s="221"/>
      <c r="M4024" s="221"/>
    </row>
    <row r="4025" spans="5:13">
      <c r="E4025" s="221"/>
      <c r="F4025" s="221"/>
      <c r="G4025" s="221"/>
      <c r="H4025" s="221"/>
      <c r="I4025" s="221"/>
      <c r="J4025" s="221"/>
      <c r="K4025" s="221"/>
      <c r="L4025" s="221"/>
      <c r="M4025" s="221"/>
    </row>
    <row r="4026" spans="5:13">
      <c r="E4026" s="221"/>
      <c r="F4026" s="221"/>
      <c r="G4026" s="221"/>
      <c r="H4026" s="221"/>
      <c r="I4026" s="221"/>
      <c r="J4026" s="221"/>
      <c r="K4026" s="221"/>
      <c r="L4026" s="221"/>
      <c r="M4026" s="221"/>
    </row>
    <row r="4027" spans="5:13">
      <c r="E4027" s="221"/>
      <c r="F4027" s="221"/>
      <c r="G4027" s="221"/>
      <c r="H4027" s="221"/>
      <c r="I4027" s="221"/>
      <c r="J4027" s="221"/>
      <c r="K4027" s="221"/>
      <c r="L4027" s="221"/>
      <c r="M4027" s="221"/>
    </row>
    <row r="4028" spans="5:13">
      <c r="E4028" s="221"/>
      <c r="F4028" s="221"/>
      <c r="G4028" s="221"/>
      <c r="H4028" s="221"/>
      <c r="I4028" s="221"/>
      <c r="J4028" s="221"/>
      <c r="K4028" s="221"/>
      <c r="L4028" s="221"/>
      <c r="M4028" s="221"/>
    </row>
    <row r="4029" spans="5:13">
      <c r="E4029" s="221"/>
      <c r="F4029" s="221"/>
      <c r="G4029" s="221"/>
      <c r="H4029" s="221"/>
      <c r="I4029" s="221"/>
      <c r="J4029" s="221"/>
      <c r="K4029" s="221"/>
      <c r="L4029" s="221"/>
      <c r="M4029" s="221"/>
    </row>
    <row r="4030" spans="5:13">
      <c r="E4030" s="221"/>
      <c r="F4030" s="221"/>
      <c r="G4030" s="221"/>
      <c r="H4030" s="221"/>
      <c r="I4030" s="221"/>
      <c r="J4030" s="221"/>
      <c r="K4030" s="221"/>
      <c r="L4030" s="221"/>
      <c r="M4030" s="221"/>
    </row>
    <row r="4031" spans="5:13">
      <c r="E4031" s="221"/>
      <c r="F4031" s="221"/>
      <c r="G4031" s="221"/>
      <c r="H4031" s="221"/>
      <c r="I4031" s="221"/>
      <c r="J4031" s="221"/>
      <c r="K4031" s="221"/>
      <c r="L4031" s="221"/>
      <c r="M4031" s="221"/>
    </row>
    <row r="4032" spans="5:13">
      <c r="E4032" s="221"/>
      <c r="F4032" s="221"/>
      <c r="G4032" s="221"/>
      <c r="H4032" s="221"/>
      <c r="I4032" s="221"/>
      <c r="J4032" s="221"/>
      <c r="K4032" s="221"/>
      <c r="L4032" s="221"/>
      <c r="M4032" s="221"/>
    </row>
    <row r="4033" spans="5:13">
      <c r="E4033" s="221"/>
      <c r="F4033" s="221"/>
      <c r="G4033" s="221"/>
      <c r="H4033" s="221"/>
      <c r="I4033" s="221"/>
      <c r="J4033" s="221"/>
      <c r="K4033" s="221"/>
      <c r="L4033" s="221"/>
      <c r="M4033" s="221"/>
    </row>
    <row r="4034" spans="5:13">
      <c r="E4034" s="221"/>
      <c r="F4034" s="221"/>
      <c r="G4034" s="221"/>
      <c r="H4034" s="221"/>
      <c r="I4034" s="221"/>
      <c r="J4034" s="221"/>
      <c r="K4034" s="221"/>
      <c r="L4034" s="221"/>
      <c r="M4034" s="221"/>
    </row>
    <row r="4035" spans="5:13">
      <c r="E4035" s="221"/>
      <c r="F4035" s="221"/>
      <c r="G4035" s="221"/>
      <c r="H4035" s="221"/>
      <c r="I4035" s="221"/>
      <c r="J4035" s="221"/>
      <c r="K4035" s="221"/>
      <c r="L4035" s="221"/>
      <c r="M4035" s="221"/>
    </row>
    <row r="4036" spans="5:13">
      <c r="E4036" s="221"/>
      <c r="F4036" s="221"/>
      <c r="G4036" s="221"/>
      <c r="H4036" s="221"/>
      <c r="I4036" s="221"/>
      <c r="J4036" s="221"/>
      <c r="K4036" s="221"/>
      <c r="L4036" s="221"/>
      <c r="M4036" s="221"/>
    </row>
    <row r="4037" spans="5:13">
      <c r="E4037" s="221"/>
      <c r="F4037" s="221"/>
      <c r="G4037" s="221"/>
      <c r="H4037" s="221"/>
      <c r="I4037" s="221"/>
      <c r="J4037" s="221"/>
      <c r="K4037" s="221"/>
      <c r="L4037" s="221"/>
      <c r="M4037" s="221"/>
    </row>
    <row r="4038" spans="5:13">
      <c r="E4038" s="221"/>
      <c r="F4038" s="221"/>
      <c r="G4038" s="221"/>
      <c r="H4038" s="221"/>
      <c r="I4038" s="221"/>
      <c r="J4038" s="221"/>
      <c r="K4038" s="221"/>
      <c r="L4038" s="221"/>
      <c r="M4038" s="221"/>
    </row>
    <row r="4039" spans="5:13">
      <c r="E4039" s="221"/>
      <c r="F4039" s="221"/>
      <c r="G4039" s="221"/>
      <c r="H4039" s="221"/>
      <c r="I4039" s="221"/>
      <c r="J4039" s="221"/>
      <c r="K4039" s="221"/>
      <c r="L4039" s="221"/>
      <c r="M4039" s="221"/>
    </row>
    <row r="4040" spans="5:13">
      <c r="E4040" s="221"/>
      <c r="F4040" s="221"/>
      <c r="G4040" s="221"/>
      <c r="H4040" s="221"/>
      <c r="I4040" s="221"/>
      <c r="J4040" s="221"/>
      <c r="K4040" s="221"/>
      <c r="L4040" s="221"/>
      <c r="M4040" s="221"/>
    </row>
    <row r="4041" spans="5:13">
      <c r="E4041" s="221"/>
      <c r="F4041" s="221"/>
      <c r="G4041" s="221"/>
      <c r="H4041" s="221"/>
      <c r="I4041" s="221"/>
      <c r="J4041" s="221"/>
      <c r="K4041" s="221"/>
      <c r="L4041" s="221"/>
      <c r="M4041" s="221"/>
    </row>
    <row r="4042" spans="5:13">
      <c r="E4042" s="221"/>
      <c r="F4042" s="221"/>
      <c r="G4042" s="221"/>
      <c r="H4042" s="221"/>
      <c r="I4042" s="221"/>
      <c r="J4042" s="221"/>
      <c r="K4042" s="221"/>
      <c r="L4042" s="221"/>
      <c r="M4042" s="221"/>
    </row>
    <row r="4043" spans="5:13">
      <c r="E4043" s="221"/>
      <c r="F4043" s="221"/>
      <c r="G4043" s="221"/>
      <c r="H4043" s="221"/>
      <c r="I4043" s="221"/>
      <c r="J4043" s="221"/>
      <c r="K4043" s="221"/>
      <c r="L4043" s="221"/>
      <c r="M4043" s="221"/>
    </row>
    <row r="4044" spans="5:13">
      <c r="E4044" s="221"/>
      <c r="F4044" s="221"/>
      <c r="G4044" s="221"/>
      <c r="H4044" s="221"/>
      <c r="I4044" s="221"/>
      <c r="J4044" s="221"/>
      <c r="K4044" s="221"/>
      <c r="L4044" s="221"/>
      <c r="M4044" s="221"/>
    </row>
    <row r="4045" spans="5:13">
      <c r="E4045" s="221"/>
      <c r="F4045" s="221"/>
      <c r="G4045" s="221"/>
      <c r="H4045" s="221"/>
      <c r="I4045" s="221"/>
      <c r="J4045" s="221"/>
      <c r="K4045" s="221"/>
      <c r="L4045" s="221"/>
      <c r="M4045" s="221"/>
    </row>
    <row r="4046" spans="5:13">
      <c r="E4046" s="221"/>
      <c r="F4046" s="221"/>
      <c r="G4046" s="221"/>
      <c r="H4046" s="221"/>
      <c r="I4046" s="221"/>
      <c r="J4046" s="221"/>
      <c r="K4046" s="221"/>
      <c r="L4046" s="221"/>
      <c r="M4046" s="221"/>
    </row>
    <row r="4047" spans="5:13">
      <c r="E4047" s="221"/>
      <c r="F4047" s="221"/>
      <c r="G4047" s="221"/>
      <c r="H4047" s="221"/>
      <c r="I4047" s="221"/>
      <c r="J4047" s="221"/>
      <c r="K4047" s="221"/>
      <c r="L4047" s="221"/>
      <c r="M4047" s="221"/>
    </row>
    <row r="4048" spans="5:13">
      <c r="E4048" s="221"/>
      <c r="F4048" s="221"/>
      <c r="G4048" s="221"/>
      <c r="H4048" s="221"/>
      <c r="I4048" s="221"/>
      <c r="J4048" s="221"/>
      <c r="K4048" s="221"/>
      <c r="L4048" s="221"/>
      <c r="M4048" s="221"/>
    </row>
    <row r="4049" spans="5:13">
      <c r="E4049" s="221"/>
      <c r="F4049" s="221"/>
      <c r="G4049" s="221"/>
      <c r="H4049" s="221"/>
      <c r="I4049" s="221"/>
      <c r="J4049" s="221"/>
      <c r="K4049" s="221"/>
      <c r="L4049" s="221"/>
      <c r="M4049" s="221"/>
    </row>
    <row r="4050" spans="5:13">
      <c r="E4050" s="221"/>
      <c r="F4050" s="221"/>
      <c r="G4050" s="221"/>
      <c r="H4050" s="221"/>
      <c r="I4050" s="221"/>
      <c r="J4050" s="221"/>
      <c r="K4050" s="221"/>
      <c r="L4050" s="221"/>
      <c r="M4050" s="221"/>
    </row>
    <row r="4051" spans="5:13">
      <c r="E4051" s="221"/>
      <c r="F4051" s="221"/>
      <c r="G4051" s="221"/>
      <c r="H4051" s="221"/>
      <c r="I4051" s="221"/>
      <c r="J4051" s="221"/>
      <c r="K4051" s="221"/>
      <c r="L4051" s="221"/>
      <c r="M4051" s="221"/>
    </row>
    <row r="4052" spans="5:13">
      <c r="E4052" s="221"/>
      <c r="F4052" s="221"/>
      <c r="G4052" s="221"/>
      <c r="H4052" s="221"/>
      <c r="I4052" s="221"/>
      <c r="J4052" s="221"/>
      <c r="K4052" s="221"/>
      <c r="L4052" s="221"/>
      <c r="M4052" s="221"/>
    </row>
    <row r="4053" spans="5:13">
      <c r="E4053" s="221"/>
      <c r="F4053" s="221"/>
      <c r="G4053" s="221"/>
      <c r="H4053" s="221"/>
      <c r="I4053" s="221"/>
      <c r="J4053" s="221"/>
      <c r="K4053" s="221"/>
      <c r="L4053" s="221"/>
      <c r="M4053" s="221"/>
    </row>
    <row r="4054" spans="5:13">
      <c r="E4054" s="221"/>
      <c r="F4054" s="221"/>
      <c r="G4054" s="221"/>
      <c r="H4054" s="221"/>
      <c r="I4054" s="221"/>
      <c r="J4054" s="221"/>
      <c r="K4054" s="221"/>
      <c r="L4054" s="221"/>
      <c r="M4054" s="221"/>
    </row>
    <row r="4055" spans="5:13">
      <c r="E4055" s="221"/>
      <c r="F4055" s="221"/>
      <c r="G4055" s="221"/>
      <c r="H4055" s="221"/>
      <c r="I4055" s="221"/>
      <c r="J4055" s="221"/>
      <c r="K4055" s="221"/>
      <c r="L4055" s="221"/>
      <c r="M4055" s="221"/>
    </row>
    <row r="4056" spans="5:13">
      <c r="E4056" s="221"/>
      <c r="F4056" s="221"/>
      <c r="G4056" s="221"/>
      <c r="H4056" s="221"/>
      <c r="I4056" s="221"/>
      <c r="J4056" s="221"/>
      <c r="K4056" s="221"/>
      <c r="L4056" s="221"/>
      <c r="M4056" s="221"/>
    </row>
    <row r="4057" spans="5:13">
      <c r="E4057" s="221"/>
      <c r="F4057" s="221"/>
      <c r="G4057" s="221"/>
      <c r="H4057" s="221"/>
      <c r="I4057" s="221"/>
      <c r="J4057" s="221"/>
      <c r="K4057" s="221"/>
      <c r="L4057" s="221"/>
      <c r="M4057" s="221"/>
    </row>
    <row r="4058" spans="5:13">
      <c r="E4058" s="221"/>
      <c r="F4058" s="221"/>
      <c r="G4058" s="221"/>
      <c r="H4058" s="221"/>
      <c r="I4058" s="221"/>
      <c r="J4058" s="221"/>
      <c r="K4058" s="221"/>
      <c r="L4058" s="221"/>
      <c r="M4058" s="221"/>
    </row>
    <row r="4059" spans="5:13">
      <c r="E4059" s="221"/>
      <c r="F4059" s="221"/>
      <c r="G4059" s="221"/>
      <c r="H4059" s="221"/>
      <c r="I4059" s="221"/>
      <c r="J4059" s="221"/>
      <c r="K4059" s="221"/>
      <c r="L4059" s="221"/>
      <c r="M4059" s="221"/>
    </row>
    <row r="4060" spans="5:13">
      <c r="E4060" s="221"/>
      <c r="F4060" s="221"/>
      <c r="G4060" s="221"/>
      <c r="H4060" s="221"/>
      <c r="I4060" s="221"/>
      <c r="J4060" s="221"/>
      <c r="K4060" s="221"/>
      <c r="L4060" s="221"/>
      <c r="M4060" s="221"/>
    </row>
    <row r="4061" spans="5:13">
      <c r="E4061" s="221"/>
      <c r="F4061" s="221"/>
      <c r="G4061" s="221"/>
      <c r="H4061" s="221"/>
      <c r="I4061" s="221"/>
      <c r="J4061" s="221"/>
      <c r="K4061" s="221"/>
      <c r="L4061" s="221"/>
      <c r="M4061" s="221"/>
    </row>
    <row r="4062" spans="5:13">
      <c r="E4062" s="221"/>
      <c r="F4062" s="221"/>
      <c r="G4062" s="221"/>
      <c r="H4062" s="221"/>
      <c r="I4062" s="221"/>
      <c r="J4062" s="221"/>
      <c r="K4062" s="221"/>
      <c r="L4062" s="221"/>
      <c r="M4062" s="221"/>
    </row>
    <row r="4063" spans="5:13">
      <c r="E4063" s="221"/>
      <c r="F4063" s="221"/>
      <c r="G4063" s="221"/>
      <c r="H4063" s="221"/>
      <c r="I4063" s="221"/>
      <c r="J4063" s="221"/>
      <c r="K4063" s="221"/>
      <c r="L4063" s="221"/>
      <c r="M4063" s="221"/>
    </row>
    <row r="4064" spans="5:13">
      <c r="E4064" s="221"/>
      <c r="F4064" s="221"/>
      <c r="G4064" s="221"/>
      <c r="H4064" s="221"/>
      <c r="I4064" s="221"/>
      <c r="J4064" s="221"/>
      <c r="K4064" s="221"/>
      <c r="L4064" s="221"/>
      <c r="M4064" s="221"/>
    </row>
    <row r="4065" spans="5:13">
      <c r="E4065" s="221"/>
      <c r="F4065" s="221"/>
      <c r="G4065" s="221"/>
      <c r="H4065" s="221"/>
      <c r="I4065" s="221"/>
      <c r="J4065" s="221"/>
      <c r="K4065" s="221"/>
      <c r="L4065" s="221"/>
      <c r="M4065" s="221"/>
    </row>
    <row r="4066" spans="5:13">
      <c r="E4066" s="221"/>
      <c r="F4066" s="221"/>
      <c r="G4066" s="221"/>
      <c r="H4066" s="221"/>
      <c r="I4066" s="221"/>
      <c r="J4066" s="221"/>
      <c r="K4066" s="221"/>
      <c r="L4066" s="221"/>
      <c r="M4066" s="221"/>
    </row>
    <row r="4067" spans="5:13">
      <c r="E4067" s="221"/>
      <c r="F4067" s="221"/>
      <c r="G4067" s="221"/>
      <c r="H4067" s="221"/>
      <c r="I4067" s="221"/>
      <c r="J4067" s="221"/>
      <c r="K4067" s="221"/>
      <c r="L4067" s="221"/>
      <c r="M4067" s="221"/>
    </row>
    <row r="4068" spans="5:13">
      <c r="E4068" s="221"/>
      <c r="F4068" s="221"/>
      <c r="G4068" s="221"/>
      <c r="H4068" s="221"/>
      <c r="I4068" s="221"/>
      <c r="J4068" s="221"/>
      <c r="K4068" s="221"/>
      <c r="L4068" s="221"/>
      <c r="M4068" s="221"/>
    </row>
    <row r="4069" spans="5:13">
      <c r="E4069" s="221"/>
      <c r="F4069" s="221"/>
      <c r="G4069" s="221"/>
      <c r="H4069" s="221"/>
      <c r="I4069" s="221"/>
      <c r="J4069" s="221"/>
      <c r="K4069" s="221"/>
      <c r="L4069" s="221"/>
      <c r="M4069" s="221"/>
    </row>
    <row r="4070" spans="5:13">
      <c r="E4070" s="221"/>
      <c r="F4070" s="221"/>
      <c r="G4070" s="221"/>
      <c r="H4070" s="221"/>
      <c r="I4070" s="221"/>
      <c r="J4070" s="221"/>
      <c r="K4070" s="221"/>
      <c r="L4070" s="221"/>
      <c r="M4070" s="221"/>
    </row>
    <row r="4071" spans="5:13">
      <c r="E4071" s="221"/>
      <c r="F4071" s="221"/>
      <c r="G4071" s="221"/>
      <c r="H4071" s="221"/>
      <c r="I4071" s="221"/>
      <c r="J4071" s="221"/>
      <c r="K4071" s="221"/>
      <c r="L4071" s="221"/>
      <c r="M4071" s="221"/>
    </row>
    <row r="4072" spans="5:13">
      <c r="E4072" s="221"/>
      <c r="F4072" s="221"/>
      <c r="G4072" s="221"/>
      <c r="H4072" s="221"/>
      <c r="I4072" s="221"/>
      <c r="J4072" s="221"/>
      <c r="K4072" s="221"/>
      <c r="L4072" s="221"/>
      <c r="M4072" s="221"/>
    </row>
    <row r="4073" spans="5:13">
      <c r="E4073" s="221"/>
      <c r="F4073" s="221"/>
      <c r="G4073" s="221"/>
      <c r="H4073" s="221"/>
      <c r="I4073" s="221"/>
      <c r="J4073" s="221"/>
      <c r="K4073" s="221"/>
      <c r="L4073" s="221"/>
      <c r="M4073" s="221"/>
    </row>
    <row r="4074" spans="5:13">
      <c r="E4074" s="221"/>
      <c r="F4074" s="221"/>
      <c r="G4074" s="221"/>
      <c r="H4074" s="221"/>
      <c r="I4074" s="221"/>
      <c r="J4074" s="221"/>
      <c r="K4074" s="221"/>
      <c r="L4074" s="221"/>
      <c r="M4074" s="221"/>
    </row>
    <row r="4075" spans="5:13">
      <c r="E4075" s="221"/>
      <c r="F4075" s="221"/>
      <c r="G4075" s="221"/>
      <c r="H4075" s="221"/>
      <c r="I4075" s="221"/>
      <c r="J4075" s="221"/>
      <c r="K4075" s="221"/>
      <c r="L4075" s="221"/>
      <c r="M4075" s="221"/>
    </row>
    <row r="4076" spans="5:13">
      <c r="E4076" s="221"/>
      <c r="F4076" s="221"/>
      <c r="G4076" s="221"/>
      <c r="H4076" s="221"/>
      <c r="I4076" s="221"/>
      <c r="J4076" s="221"/>
      <c r="K4076" s="221"/>
      <c r="L4076" s="221"/>
      <c r="M4076" s="221"/>
    </row>
    <row r="4077" spans="5:13">
      <c r="E4077" s="221"/>
      <c r="F4077" s="221"/>
      <c r="G4077" s="221"/>
      <c r="H4077" s="221"/>
      <c r="I4077" s="221"/>
      <c r="J4077" s="221"/>
      <c r="K4077" s="221"/>
      <c r="L4077" s="221"/>
      <c r="M4077" s="221"/>
    </row>
    <row r="4078" spans="5:13">
      <c r="E4078" s="221"/>
      <c r="F4078" s="221"/>
      <c r="G4078" s="221"/>
      <c r="H4078" s="221"/>
      <c r="I4078" s="221"/>
      <c r="J4078" s="221"/>
      <c r="K4078" s="221"/>
      <c r="L4078" s="221"/>
      <c r="M4078" s="221"/>
    </row>
    <row r="4079" spans="5:13">
      <c r="E4079" s="221"/>
      <c r="F4079" s="221"/>
      <c r="G4079" s="221"/>
      <c r="H4079" s="221"/>
      <c r="I4079" s="221"/>
      <c r="J4079" s="221"/>
      <c r="K4079" s="221"/>
      <c r="L4079" s="221"/>
      <c r="M4079" s="221"/>
    </row>
    <row r="4080" spans="5:13">
      <c r="E4080" s="221"/>
      <c r="F4080" s="221"/>
      <c r="G4080" s="221"/>
      <c r="H4080" s="221"/>
      <c r="I4080" s="221"/>
      <c r="J4080" s="221"/>
      <c r="K4080" s="221"/>
      <c r="L4080" s="221"/>
      <c r="M4080" s="221"/>
    </row>
    <row r="4081" spans="5:13">
      <c r="E4081" s="221"/>
      <c r="F4081" s="221"/>
      <c r="G4081" s="221"/>
      <c r="H4081" s="221"/>
      <c r="I4081" s="221"/>
      <c r="J4081" s="221"/>
      <c r="K4081" s="221"/>
      <c r="L4081" s="221"/>
      <c r="M4081" s="221"/>
    </row>
    <row r="4082" spans="5:13">
      <c r="E4082" s="221"/>
      <c r="F4082" s="221"/>
      <c r="G4082" s="221"/>
      <c r="H4082" s="221"/>
      <c r="I4082" s="221"/>
      <c r="J4082" s="221"/>
      <c r="K4082" s="221"/>
      <c r="L4082" s="221"/>
      <c r="M4082" s="221"/>
    </row>
    <row r="4083" spans="5:13">
      <c r="E4083" s="221"/>
      <c r="F4083" s="221"/>
      <c r="G4083" s="221"/>
      <c r="H4083" s="221"/>
      <c r="I4083" s="221"/>
      <c r="J4083" s="221"/>
      <c r="K4083" s="221"/>
      <c r="L4083" s="221"/>
      <c r="M4083" s="221"/>
    </row>
    <row r="4084" spans="5:13">
      <c r="E4084" s="221"/>
      <c r="F4084" s="221"/>
      <c r="G4084" s="221"/>
      <c r="H4084" s="221"/>
      <c r="I4084" s="221"/>
      <c r="J4084" s="221"/>
      <c r="K4084" s="221"/>
      <c r="L4084" s="221"/>
      <c r="M4084" s="221"/>
    </row>
    <row r="4085" spans="5:13">
      <c r="E4085" s="221"/>
      <c r="F4085" s="221"/>
      <c r="G4085" s="221"/>
      <c r="H4085" s="221"/>
      <c r="I4085" s="221"/>
      <c r="J4085" s="221"/>
      <c r="K4085" s="221"/>
      <c r="L4085" s="221"/>
      <c r="M4085" s="221"/>
    </row>
    <row r="4086" spans="5:13">
      <c r="E4086" s="221"/>
      <c r="F4086" s="221"/>
      <c r="G4086" s="221"/>
      <c r="H4086" s="221"/>
      <c r="I4086" s="221"/>
      <c r="J4086" s="221"/>
      <c r="K4086" s="221"/>
      <c r="L4086" s="221"/>
      <c r="M4086" s="221"/>
    </row>
    <row r="4087" spans="5:13">
      <c r="E4087" s="221"/>
      <c r="F4087" s="221"/>
      <c r="G4087" s="221"/>
      <c r="H4087" s="221"/>
      <c r="I4087" s="221"/>
      <c r="J4087" s="221"/>
      <c r="K4087" s="221"/>
      <c r="L4087" s="221"/>
      <c r="M4087" s="221"/>
    </row>
    <row r="4088" spans="5:13">
      <c r="E4088" s="221"/>
      <c r="F4088" s="221"/>
      <c r="G4088" s="221"/>
      <c r="H4088" s="221"/>
      <c r="I4088" s="221"/>
      <c r="J4088" s="221"/>
      <c r="K4088" s="221"/>
      <c r="L4088" s="221"/>
      <c r="M4088" s="221"/>
    </row>
    <row r="4089" spans="5:13">
      <c r="E4089" s="221"/>
      <c r="F4089" s="221"/>
      <c r="G4089" s="221"/>
      <c r="H4089" s="221"/>
      <c r="I4089" s="221"/>
      <c r="J4089" s="221"/>
      <c r="K4089" s="221"/>
      <c r="L4089" s="221"/>
      <c r="M4089" s="221"/>
    </row>
    <row r="4090" spans="5:13">
      <c r="E4090" s="221"/>
      <c r="F4090" s="221"/>
      <c r="G4090" s="221"/>
      <c r="H4090" s="221"/>
      <c r="I4090" s="221"/>
      <c r="J4090" s="221"/>
      <c r="K4090" s="221"/>
      <c r="L4090" s="221"/>
      <c r="M4090" s="221"/>
    </row>
    <row r="4091" spans="5:13">
      <c r="E4091" s="221"/>
      <c r="F4091" s="221"/>
      <c r="G4091" s="221"/>
      <c r="H4091" s="221"/>
      <c r="I4091" s="221"/>
      <c r="J4091" s="221"/>
      <c r="K4091" s="221"/>
      <c r="L4091" s="221"/>
      <c r="M4091" s="221"/>
    </row>
    <row r="4092" spans="5:13">
      <c r="E4092" s="221"/>
      <c r="F4092" s="221"/>
      <c r="G4092" s="221"/>
      <c r="H4092" s="221"/>
      <c r="I4092" s="221"/>
      <c r="J4092" s="221"/>
      <c r="K4092" s="221"/>
      <c r="L4092" s="221"/>
      <c r="M4092" s="221"/>
    </row>
    <row r="4093" spans="5:13">
      <c r="E4093" s="221"/>
      <c r="F4093" s="221"/>
      <c r="G4093" s="221"/>
      <c r="H4093" s="221"/>
      <c r="I4093" s="221"/>
      <c r="J4093" s="221"/>
      <c r="K4093" s="221"/>
      <c r="L4093" s="221"/>
      <c r="M4093" s="221"/>
    </row>
    <row r="4094" spans="5:13">
      <c r="E4094" s="221"/>
      <c r="F4094" s="221"/>
      <c r="G4094" s="221"/>
      <c r="H4094" s="221"/>
      <c r="I4094" s="221"/>
      <c r="J4094" s="221"/>
      <c r="K4094" s="221"/>
      <c r="L4094" s="221"/>
      <c r="M4094" s="221"/>
    </row>
    <row r="4095" spans="5:13">
      <c r="E4095" s="221"/>
      <c r="F4095" s="221"/>
      <c r="G4095" s="221"/>
      <c r="H4095" s="221"/>
      <c r="I4095" s="221"/>
      <c r="J4095" s="221"/>
      <c r="K4095" s="221"/>
      <c r="L4095" s="221"/>
      <c r="M4095" s="221"/>
    </row>
    <row r="4096" spans="5:13">
      <c r="E4096" s="221"/>
      <c r="F4096" s="221"/>
      <c r="G4096" s="221"/>
      <c r="H4096" s="221"/>
      <c r="I4096" s="221"/>
      <c r="J4096" s="221"/>
      <c r="K4096" s="221"/>
      <c r="L4096" s="221"/>
      <c r="M4096" s="221"/>
    </row>
    <row r="4097" spans="5:13">
      <c r="E4097" s="221"/>
      <c r="F4097" s="221"/>
      <c r="G4097" s="221"/>
      <c r="H4097" s="221"/>
      <c r="I4097" s="221"/>
      <c r="J4097" s="221"/>
      <c r="K4097" s="221"/>
      <c r="L4097" s="221"/>
      <c r="M4097" s="221"/>
    </row>
    <row r="4098" spans="5:13">
      <c r="E4098" s="221"/>
      <c r="F4098" s="221"/>
      <c r="G4098" s="221"/>
      <c r="H4098" s="221"/>
      <c r="I4098" s="221"/>
      <c r="J4098" s="221"/>
      <c r="K4098" s="221"/>
      <c r="L4098" s="221"/>
      <c r="M4098" s="221"/>
    </row>
    <row r="4099" spans="5:13">
      <c r="E4099" s="221"/>
      <c r="F4099" s="221"/>
      <c r="G4099" s="221"/>
      <c r="H4099" s="221"/>
      <c r="I4099" s="221"/>
      <c r="J4099" s="221"/>
      <c r="K4099" s="221"/>
      <c r="L4099" s="221"/>
      <c r="M4099" s="221"/>
    </row>
    <row r="4100" spans="5:13">
      <c r="E4100" s="221"/>
      <c r="F4100" s="221"/>
      <c r="G4100" s="221"/>
      <c r="H4100" s="221"/>
      <c r="I4100" s="221"/>
      <c r="J4100" s="221"/>
      <c r="K4100" s="221"/>
      <c r="L4100" s="221"/>
      <c r="M4100" s="221"/>
    </row>
    <row r="4101" spans="5:13">
      <c r="E4101" s="221"/>
      <c r="F4101" s="221"/>
      <c r="G4101" s="221"/>
      <c r="H4101" s="221"/>
      <c r="I4101" s="221"/>
      <c r="J4101" s="221"/>
      <c r="K4101" s="221"/>
      <c r="L4101" s="221"/>
      <c r="M4101" s="221"/>
    </row>
    <row r="4102" spans="5:13">
      <c r="E4102" s="221"/>
      <c r="F4102" s="221"/>
      <c r="G4102" s="221"/>
      <c r="H4102" s="221"/>
      <c r="I4102" s="221"/>
      <c r="J4102" s="221"/>
      <c r="K4102" s="221"/>
      <c r="L4102" s="221"/>
      <c r="M4102" s="221"/>
    </row>
    <row r="4103" spans="5:13">
      <c r="E4103" s="221"/>
      <c r="F4103" s="221"/>
      <c r="G4103" s="221"/>
      <c r="H4103" s="221"/>
      <c r="I4103" s="221"/>
      <c r="J4103" s="221"/>
      <c r="K4103" s="221"/>
      <c r="L4103" s="221"/>
      <c r="M4103" s="221"/>
    </row>
    <row r="4104" spans="5:13">
      <c r="E4104" s="221"/>
      <c r="F4104" s="221"/>
      <c r="G4104" s="221"/>
      <c r="H4104" s="221"/>
      <c r="I4104" s="221"/>
      <c r="J4104" s="221"/>
      <c r="K4104" s="221"/>
      <c r="L4104" s="221"/>
      <c r="M4104" s="221"/>
    </row>
    <row r="4105" spans="5:13">
      <c r="E4105" s="221"/>
      <c r="F4105" s="221"/>
      <c r="G4105" s="221"/>
      <c r="H4105" s="221"/>
      <c r="I4105" s="221"/>
      <c r="J4105" s="221"/>
      <c r="K4105" s="221"/>
      <c r="L4105" s="221"/>
      <c r="M4105" s="221"/>
    </row>
    <row r="4106" spans="5:13">
      <c r="E4106" s="221"/>
      <c r="F4106" s="221"/>
      <c r="G4106" s="221"/>
      <c r="H4106" s="221"/>
      <c r="I4106" s="221"/>
      <c r="J4106" s="221"/>
      <c r="K4106" s="221"/>
      <c r="L4106" s="221"/>
      <c r="M4106" s="221"/>
    </row>
    <row r="4107" spans="5:13">
      <c r="E4107" s="221"/>
      <c r="F4107" s="221"/>
      <c r="G4107" s="221"/>
      <c r="H4107" s="221"/>
      <c r="I4107" s="221"/>
      <c r="J4107" s="221"/>
      <c r="K4107" s="221"/>
      <c r="L4107" s="221"/>
      <c r="M4107" s="221"/>
    </row>
    <row r="4108" spans="5:13">
      <c r="E4108" s="221"/>
      <c r="F4108" s="221"/>
      <c r="G4108" s="221"/>
      <c r="H4108" s="221"/>
      <c r="I4108" s="221"/>
      <c r="J4108" s="221"/>
      <c r="K4108" s="221"/>
      <c r="L4108" s="221"/>
      <c r="M4108" s="221"/>
    </row>
    <row r="4109" spans="5:13">
      <c r="E4109" s="221"/>
      <c r="F4109" s="221"/>
      <c r="G4109" s="221"/>
      <c r="H4109" s="221"/>
      <c r="I4109" s="221"/>
      <c r="J4109" s="221"/>
      <c r="K4109" s="221"/>
      <c r="L4109" s="221"/>
      <c r="M4109" s="221"/>
    </row>
    <row r="4110" spans="5:13">
      <c r="E4110" s="221"/>
      <c r="F4110" s="221"/>
      <c r="G4110" s="221"/>
      <c r="H4110" s="221"/>
      <c r="I4110" s="221"/>
      <c r="J4110" s="221"/>
      <c r="K4110" s="221"/>
      <c r="L4110" s="221"/>
      <c r="M4110" s="221"/>
    </row>
    <row r="4111" spans="5:13">
      <c r="E4111" s="221"/>
      <c r="F4111" s="221"/>
      <c r="G4111" s="221"/>
      <c r="H4111" s="221"/>
      <c r="I4111" s="221"/>
      <c r="J4111" s="221"/>
      <c r="K4111" s="221"/>
      <c r="L4111" s="221"/>
      <c r="M4111" s="221"/>
    </row>
    <row r="4112" spans="5:13">
      <c r="E4112" s="221"/>
      <c r="F4112" s="221"/>
      <c r="G4112" s="221"/>
      <c r="H4112" s="221"/>
      <c r="I4112" s="221"/>
      <c r="J4112" s="221"/>
      <c r="K4112" s="221"/>
      <c r="L4112" s="221"/>
      <c r="M4112" s="221"/>
    </row>
    <row r="4113" spans="5:13">
      <c r="E4113" s="221"/>
      <c r="F4113" s="221"/>
      <c r="G4113" s="221"/>
      <c r="H4113" s="221"/>
      <c r="I4113" s="221"/>
      <c r="J4113" s="221"/>
      <c r="K4113" s="221"/>
      <c r="L4113" s="221"/>
      <c r="M4113" s="221"/>
    </row>
    <row r="4114" spans="5:13">
      <c r="E4114" s="221"/>
      <c r="F4114" s="221"/>
      <c r="G4114" s="221"/>
      <c r="H4114" s="221"/>
      <c r="I4114" s="221"/>
      <c r="J4114" s="221"/>
      <c r="K4114" s="221"/>
      <c r="L4114" s="221"/>
      <c r="M4114" s="221"/>
    </row>
    <row r="4115" spans="5:13">
      <c r="E4115" s="221"/>
      <c r="F4115" s="221"/>
      <c r="G4115" s="221"/>
      <c r="H4115" s="221"/>
      <c r="I4115" s="221"/>
      <c r="J4115" s="221"/>
      <c r="K4115" s="221"/>
      <c r="L4115" s="221"/>
      <c r="M4115" s="221"/>
    </row>
    <row r="4116" spans="5:13">
      <c r="E4116" s="221"/>
      <c r="F4116" s="221"/>
      <c r="G4116" s="221"/>
      <c r="H4116" s="221"/>
      <c r="I4116" s="221"/>
      <c r="J4116" s="221"/>
      <c r="K4116" s="221"/>
      <c r="L4116" s="221"/>
      <c r="M4116" s="221"/>
    </row>
    <row r="4117" spans="5:13">
      <c r="E4117" s="221"/>
      <c r="F4117" s="221"/>
      <c r="G4117" s="221"/>
      <c r="H4117" s="221"/>
      <c r="I4117" s="221"/>
      <c r="J4117" s="221"/>
      <c r="K4117" s="221"/>
      <c r="L4117" s="221"/>
      <c r="M4117" s="221"/>
    </row>
    <row r="4118" spans="5:13">
      <c r="E4118" s="221"/>
      <c r="F4118" s="221"/>
      <c r="G4118" s="221"/>
      <c r="H4118" s="221"/>
      <c r="I4118" s="221"/>
      <c r="J4118" s="221"/>
      <c r="K4118" s="221"/>
      <c r="L4118" s="221"/>
      <c r="M4118" s="221"/>
    </row>
    <row r="4119" spans="5:13">
      <c r="E4119" s="221"/>
      <c r="F4119" s="221"/>
      <c r="G4119" s="221"/>
      <c r="H4119" s="221"/>
      <c r="I4119" s="221"/>
      <c r="J4119" s="221"/>
      <c r="K4119" s="221"/>
      <c r="L4119" s="221"/>
      <c r="M4119" s="221"/>
    </row>
    <row r="4120" spans="5:13">
      <c r="E4120" s="221"/>
      <c r="F4120" s="221"/>
      <c r="G4120" s="221"/>
      <c r="H4120" s="221"/>
      <c r="I4120" s="221"/>
      <c r="J4120" s="221"/>
      <c r="K4120" s="221"/>
      <c r="L4120" s="221"/>
      <c r="M4120" s="221"/>
    </row>
    <row r="4121" spans="5:13">
      <c r="E4121" s="221"/>
      <c r="F4121" s="221"/>
      <c r="G4121" s="221"/>
      <c r="H4121" s="221"/>
      <c r="I4121" s="221"/>
      <c r="J4121" s="221"/>
      <c r="K4121" s="221"/>
      <c r="L4121" s="221"/>
      <c r="M4121" s="221"/>
    </row>
    <row r="4122" spans="5:13">
      <c r="E4122" s="221"/>
      <c r="F4122" s="221"/>
      <c r="G4122" s="221"/>
      <c r="H4122" s="221"/>
      <c r="I4122" s="221"/>
      <c r="J4122" s="221"/>
      <c r="K4122" s="221"/>
      <c r="L4122" s="221"/>
      <c r="M4122" s="221"/>
    </row>
    <row r="4123" spans="5:13">
      <c r="E4123" s="221"/>
      <c r="F4123" s="221"/>
      <c r="G4123" s="221"/>
      <c r="H4123" s="221"/>
      <c r="I4123" s="221"/>
      <c r="J4123" s="221"/>
      <c r="K4123" s="221"/>
      <c r="L4123" s="221"/>
      <c r="M4123" s="221"/>
    </row>
    <row r="4124" spans="5:13">
      <c r="E4124" s="221"/>
      <c r="F4124" s="221"/>
      <c r="G4124" s="221"/>
      <c r="H4124" s="221"/>
      <c r="I4124" s="221"/>
      <c r="J4124" s="221"/>
      <c r="K4124" s="221"/>
      <c r="L4124" s="221"/>
      <c r="M4124" s="221"/>
    </row>
    <row r="4125" spans="5:13">
      <c r="E4125" s="221"/>
      <c r="F4125" s="221"/>
      <c r="G4125" s="221"/>
      <c r="H4125" s="221"/>
      <c r="I4125" s="221"/>
      <c r="J4125" s="221"/>
      <c r="K4125" s="221"/>
      <c r="L4125" s="221"/>
      <c r="M4125" s="221"/>
    </row>
    <row r="4126" spans="5:13">
      <c r="E4126" s="221"/>
      <c r="F4126" s="221"/>
      <c r="G4126" s="221"/>
      <c r="H4126" s="221"/>
      <c r="I4126" s="221"/>
      <c r="J4126" s="221"/>
      <c r="K4126" s="221"/>
      <c r="L4126" s="221"/>
      <c r="M4126" s="221"/>
    </row>
    <row r="4127" spans="5:13">
      <c r="E4127" s="221"/>
      <c r="F4127" s="221"/>
      <c r="G4127" s="221"/>
      <c r="H4127" s="221"/>
      <c r="I4127" s="221"/>
      <c r="J4127" s="221"/>
      <c r="K4127" s="221"/>
      <c r="L4127" s="221"/>
      <c r="M4127" s="221"/>
    </row>
    <row r="4128" spans="5:13">
      <c r="E4128" s="221"/>
      <c r="F4128" s="221"/>
      <c r="G4128" s="221"/>
      <c r="H4128" s="221"/>
      <c r="I4128" s="221"/>
      <c r="J4128" s="221"/>
      <c r="K4128" s="221"/>
      <c r="L4128" s="221"/>
      <c r="M4128" s="221"/>
    </row>
    <row r="4129" spans="5:13">
      <c r="E4129" s="221"/>
      <c r="F4129" s="221"/>
      <c r="G4129" s="221"/>
      <c r="H4129" s="221"/>
      <c r="I4129" s="221"/>
      <c r="J4129" s="221"/>
      <c r="K4129" s="221"/>
      <c r="L4129" s="221"/>
      <c r="M4129" s="221"/>
    </row>
    <row r="4130" spans="5:13">
      <c r="E4130" s="221"/>
      <c r="F4130" s="221"/>
      <c r="G4130" s="221"/>
      <c r="H4130" s="221"/>
      <c r="I4130" s="221"/>
      <c r="J4130" s="221"/>
      <c r="K4130" s="221"/>
      <c r="L4130" s="221"/>
      <c r="M4130" s="221"/>
    </row>
    <row r="4131" spans="5:13">
      <c r="E4131" s="221"/>
      <c r="F4131" s="221"/>
      <c r="G4131" s="221"/>
      <c r="H4131" s="221"/>
      <c r="I4131" s="221"/>
      <c r="J4131" s="221"/>
      <c r="K4131" s="221"/>
      <c r="L4131" s="221"/>
      <c r="M4131" s="221"/>
    </row>
    <row r="4132" spans="5:13">
      <c r="E4132" s="221"/>
      <c r="F4132" s="221"/>
      <c r="G4132" s="221"/>
      <c r="H4132" s="221"/>
      <c r="I4132" s="221"/>
      <c r="J4132" s="221"/>
      <c r="K4132" s="221"/>
      <c r="L4132" s="221"/>
      <c r="M4132" s="221"/>
    </row>
    <row r="4133" spans="5:13">
      <c r="E4133" s="221"/>
      <c r="F4133" s="221"/>
      <c r="G4133" s="221"/>
      <c r="H4133" s="221"/>
      <c r="I4133" s="221"/>
      <c r="J4133" s="221"/>
      <c r="K4133" s="221"/>
      <c r="L4133" s="221"/>
      <c r="M4133" s="221"/>
    </row>
    <row r="4134" spans="5:13">
      <c r="E4134" s="221"/>
      <c r="F4134" s="221"/>
      <c r="G4134" s="221"/>
      <c r="H4134" s="221"/>
      <c r="I4134" s="221"/>
      <c r="J4134" s="221"/>
      <c r="K4134" s="221"/>
      <c r="L4134" s="221"/>
      <c r="M4134" s="221"/>
    </row>
    <row r="4135" spans="5:13">
      <c r="E4135" s="221"/>
      <c r="F4135" s="221"/>
      <c r="G4135" s="221"/>
      <c r="H4135" s="221"/>
      <c r="I4135" s="221"/>
      <c r="J4135" s="221"/>
      <c r="K4135" s="221"/>
      <c r="L4135" s="221"/>
      <c r="M4135" s="221"/>
    </row>
    <row r="4136" spans="5:13">
      <c r="E4136" s="221"/>
      <c r="F4136" s="221"/>
      <c r="G4136" s="221"/>
      <c r="H4136" s="221"/>
      <c r="I4136" s="221"/>
      <c r="J4136" s="221"/>
      <c r="K4136" s="221"/>
      <c r="L4136" s="221"/>
      <c r="M4136" s="221"/>
    </row>
    <row r="4137" spans="5:13">
      <c r="E4137" s="221"/>
      <c r="F4137" s="221"/>
      <c r="G4137" s="221"/>
      <c r="H4137" s="221"/>
      <c r="I4137" s="221"/>
      <c r="J4137" s="221"/>
      <c r="K4137" s="221"/>
      <c r="L4137" s="221"/>
      <c r="M4137" s="221"/>
    </row>
    <row r="4138" spans="5:13">
      <c r="E4138" s="221"/>
      <c r="F4138" s="221"/>
      <c r="G4138" s="221"/>
      <c r="H4138" s="221"/>
      <c r="I4138" s="221"/>
      <c r="J4138" s="221"/>
      <c r="K4138" s="221"/>
      <c r="L4138" s="221"/>
      <c r="M4138" s="221"/>
    </row>
    <row r="4139" spans="5:13">
      <c r="E4139" s="221"/>
      <c r="F4139" s="221"/>
      <c r="G4139" s="221"/>
      <c r="H4139" s="221"/>
      <c r="I4139" s="221"/>
      <c r="J4139" s="221"/>
      <c r="K4139" s="221"/>
      <c r="L4139" s="221"/>
      <c r="M4139" s="221"/>
    </row>
    <row r="4140" spans="5:13">
      <c r="E4140" s="221"/>
      <c r="F4140" s="221"/>
      <c r="G4140" s="221"/>
      <c r="H4140" s="221"/>
      <c r="I4140" s="221"/>
      <c r="J4140" s="221"/>
      <c r="K4140" s="221"/>
      <c r="L4140" s="221"/>
      <c r="M4140" s="221"/>
    </row>
    <row r="4141" spans="5:13">
      <c r="E4141" s="221"/>
      <c r="F4141" s="221"/>
      <c r="G4141" s="221"/>
      <c r="H4141" s="221"/>
      <c r="I4141" s="221"/>
      <c r="J4141" s="221"/>
      <c r="K4141" s="221"/>
      <c r="L4141" s="221"/>
      <c r="M4141" s="221"/>
    </row>
    <row r="4142" spans="5:13">
      <c r="E4142" s="221"/>
      <c r="F4142" s="221"/>
      <c r="G4142" s="221"/>
      <c r="H4142" s="221"/>
      <c r="I4142" s="221"/>
      <c r="J4142" s="221"/>
      <c r="K4142" s="221"/>
      <c r="L4142" s="221"/>
      <c r="M4142" s="221"/>
    </row>
    <row r="4143" spans="5:13">
      <c r="E4143" s="221"/>
      <c r="F4143" s="221"/>
      <c r="G4143" s="221"/>
      <c r="H4143" s="221"/>
      <c r="I4143" s="221"/>
      <c r="J4143" s="221"/>
      <c r="K4143" s="221"/>
      <c r="L4143" s="221"/>
      <c r="M4143" s="221"/>
    </row>
    <row r="4144" spans="5:13">
      <c r="E4144" s="221"/>
      <c r="F4144" s="221"/>
      <c r="G4144" s="221"/>
      <c r="H4144" s="221"/>
      <c r="I4144" s="221"/>
      <c r="J4144" s="221"/>
      <c r="K4144" s="221"/>
      <c r="L4144" s="221"/>
      <c r="M4144" s="221"/>
    </row>
    <row r="4145" spans="5:13">
      <c r="E4145" s="221"/>
      <c r="F4145" s="221"/>
      <c r="G4145" s="221"/>
      <c r="H4145" s="221"/>
      <c r="I4145" s="221"/>
      <c r="J4145" s="221"/>
      <c r="K4145" s="221"/>
      <c r="L4145" s="221"/>
      <c r="M4145" s="221"/>
    </row>
    <row r="4146" spans="5:13">
      <c r="E4146" s="221"/>
      <c r="F4146" s="221"/>
      <c r="G4146" s="221"/>
      <c r="H4146" s="221"/>
      <c r="I4146" s="221"/>
      <c r="J4146" s="221"/>
      <c r="K4146" s="221"/>
      <c r="L4146" s="221"/>
      <c r="M4146" s="221"/>
    </row>
    <row r="4147" spans="5:13">
      <c r="E4147" s="221"/>
      <c r="F4147" s="221"/>
      <c r="G4147" s="221"/>
      <c r="H4147" s="221"/>
      <c r="I4147" s="221"/>
      <c r="J4147" s="221"/>
      <c r="K4147" s="221"/>
      <c r="L4147" s="221"/>
      <c r="M4147" s="221"/>
    </row>
    <row r="4148" spans="5:13">
      <c r="E4148" s="221"/>
      <c r="F4148" s="221"/>
      <c r="G4148" s="221"/>
      <c r="H4148" s="221"/>
      <c r="I4148" s="221"/>
      <c r="J4148" s="221"/>
      <c r="K4148" s="221"/>
      <c r="L4148" s="221"/>
      <c r="M4148" s="221"/>
    </row>
    <row r="4149" spans="5:13">
      <c r="E4149" s="221"/>
      <c r="F4149" s="221"/>
      <c r="G4149" s="221"/>
      <c r="H4149" s="221"/>
      <c r="I4149" s="221"/>
      <c r="J4149" s="221"/>
      <c r="K4149" s="221"/>
      <c r="L4149" s="221"/>
      <c r="M4149" s="221"/>
    </row>
    <row r="4150" spans="5:13">
      <c r="E4150" s="221"/>
      <c r="F4150" s="221"/>
      <c r="G4150" s="221"/>
      <c r="H4150" s="221"/>
      <c r="I4150" s="221"/>
      <c r="J4150" s="221"/>
      <c r="K4150" s="221"/>
      <c r="L4150" s="221"/>
      <c r="M4150" s="221"/>
    </row>
    <row r="4151" spans="5:13">
      <c r="E4151" s="221"/>
      <c r="F4151" s="221"/>
      <c r="G4151" s="221"/>
      <c r="H4151" s="221"/>
      <c r="I4151" s="221"/>
      <c r="J4151" s="221"/>
      <c r="K4151" s="221"/>
      <c r="L4151" s="221"/>
      <c r="M4151" s="221"/>
    </row>
    <row r="4152" spans="5:13">
      <c r="E4152" s="221"/>
      <c r="F4152" s="221"/>
      <c r="G4152" s="221"/>
      <c r="H4152" s="221"/>
      <c r="I4152" s="221"/>
      <c r="J4152" s="221"/>
      <c r="K4152" s="221"/>
      <c r="L4152" s="221"/>
      <c r="M4152" s="221"/>
    </row>
    <row r="4153" spans="5:13">
      <c r="E4153" s="221"/>
      <c r="F4153" s="221"/>
      <c r="G4153" s="221"/>
      <c r="H4153" s="221"/>
      <c r="I4153" s="221"/>
      <c r="J4153" s="221"/>
      <c r="K4153" s="221"/>
      <c r="L4153" s="221"/>
      <c r="M4153" s="221"/>
    </row>
    <row r="4154" spans="5:13">
      <c r="E4154" s="221"/>
      <c r="F4154" s="221"/>
      <c r="G4154" s="221"/>
      <c r="H4154" s="221"/>
      <c r="I4154" s="221"/>
      <c r="J4154" s="221"/>
      <c r="K4154" s="221"/>
      <c r="L4154" s="221"/>
      <c r="M4154" s="221"/>
    </row>
    <row r="4155" spans="5:13">
      <c r="E4155" s="221"/>
      <c r="F4155" s="221"/>
      <c r="G4155" s="221"/>
      <c r="H4155" s="221"/>
      <c r="I4155" s="221"/>
      <c r="J4155" s="221"/>
      <c r="K4155" s="221"/>
      <c r="L4155" s="221"/>
      <c r="M4155" s="221"/>
    </row>
    <row r="4156" spans="5:13">
      <c r="E4156" s="221"/>
      <c r="F4156" s="221"/>
      <c r="G4156" s="221"/>
      <c r="H4156" s="221"/>
      <c r="I4156" s="221"/>
      <c r="J4156" s="221"/>
      <c r="K4156" s="221"/>
      <c r="L4156" s="221"/>
      <c r="M4156" s="221"/>
    </row>
    <row r="4157" spans="5:13">
      <c r="E4157" s="221"/>
      <c r="F4157" s="221"/>
      <c r="G4157" s="221"/>
      <c r="H4157" s="221"/>
      <c r="I4157" s="221"/>
      <c r="J4157" s="221"/>
      <c r="K4157" s="221"/>
      <c r="L4157" s="221"/>
      <c r="M4157" s="221"/>
    </row>
    <row r="4158" spans="5:13">
      <c r="E4158" s="221"/>
      <c r="F4158" s="221"/>
      <c r="G4158" s="221"/>
      <c r="H4158" s="221"/>
      <c r="I4158" s="221"/>
      <c r="J4158" s="221"/>
      <c r="K4158" s="221"/>
      <c r="L4158" s="221"/>
      <c r="M4158" s="221"/>
    </row>
    <row r="4159" spans="5:13">
      <c r="E4159" s="221"/>
      <c r="F4159" s="221"/>
      <c r="G4159" s="221"/>
      <c r="H4159" s="221"/>
      <c r="I4159" s="221"/>
      <c r="J4159" s="221"/>
      <c r="K4159" s="221"/>
      <c r="L4159" s="221"/>
      <c r="M4159" s="221"/>
    </row>
    <row r="4160" spans="5:13">
      <c r="E4160" s="221"/>
      <c r="F4160" s="221"/>
      <c r="G4160" s="221"/>
      <c r="H4160" s="221"/>
      <c r="I4160" s="221"/>
      <c r="J4160" s="221"/>
      <c r="K4160" s="221"/>
      <c r="L4160" s="221"/>
      <c r="M4160" s="221"/>
    </row>
    <row r="4161" spans="5:13">
      <c r="E4161" s="221"/>
      <c r="F4161" s="221"/>
      <c r="G4161" s="221"/>
      <c r="H4161" s="221"/>
      <c r="I4161" s="221"/>
      <c r="J4161" s="221"/>
      <c r="K4161" s="221"/>
      <c r="L4161" s="221"/>
      <c r="M4161" s="221"/>
    </row>
    <row r="4162" spans="5:13">
      <c r="E4162" s="221"/>
      <c r="F4162" s="221"/>
      <c r="G4162" s="221"/>
      <c r="H4162" s="221"/>
      <c r="I4162" s="221"/>
      <c r="J4162" s="221"/>
      <c r="K4162" s="221"/>
      <c r="L4162" s="221"/>
      <c r="M4162" s="221"/>
    </row>
    <row r="4163" spans="5:13">
      <c r="E4163" s="221"/>
      <c r="F4163" s="221"/>
      <c r="G4163" s="221"/>
      <c r="H4163" s="221"/>
      <c r="I4163" s="221"/>
      <c r="J4163" s="221"/>
      <c r="K4163" s="221"/>
      <c r="L4163" s="221"/>
      <c r="M4163" s="221"/>
    </row>
    <row r="4164" spans="5:13">
      <c r="E4164" s="221"/>
      <c r="F4164" s="221"/>
      <c r="G4164" s="221"/>
      <c r="H4164" s="221"/>
      <c r="I4164" s="221"/>
      <c r="J4164" s="221"/>
      <c r="K4164" s="221"/>
      <c r="L4164" s="221"/>
      <c r="M4164" s="221"/>
    </row>
    <row r="4165" spans="5:13">
      <c r="E4165" s="221"/>
      <c r="F4165" s="221"/>
      <c r="G4165" s="221"/>
      <c r="H4165" s="221"/>
      <c r="I4165" s="221"/>
      <c r="J4165" s="221"/>
      <c r="K4165" s="221"/>
      <c r="L4165" s="221"/>
      <c r="M4165" s="221"/>
    </row>
    <row r="4166" spans="5:13">
      <c r="E4166" s="221"/>
      <c r="F4166" s="221"/>
      <c r="G4166" s="221"/>
      <c r="H4166" s="221"/>
      <c r="I4166" s="221"/>
      <c r="J4166" s="221"/>
      <c r="K4166" s="221"/>
      <c r="L4166" s="221"/>
      <c r="M4166" s="221"/>
    </row>
    <row r="4167" spans="5:13">
      <c r="E4167" s="221"/>
      <c r="F4167" s="221"/>
      <c r="G4167" s="221"/>
      <c r="H4167" s="221"/>
      <c r="I4167" s="221"/>
      <c r="J4167" s="221"/>
      <c r="K4167" s="221"/>
      <c r="L4167" s="221"/>
      <c r="M4167" s="221"/>
    </row>
    <row r="4168" spans="5:13">
      <c r="E4168" s="221"/>
      <c r="F4168" s="221"/>
      <c r="G4168" s="221"/>
      <c r="H4168" s="221"/>
      <c r="I4168" s="221"/>
      <c r="J4168" s="221"/>
      <c r="K4168" s="221"/>
      <c r="L4168" s="221"/>
      <c r="M4168" s="221"/>
    </row>
    <row r="4169" spans="5:13">
      <c r="E4169" s="221"/>
      <c r="F4169" s="221"/>
      <c r="G4169" s="221"/>
      <c r="H4169" s="221"/>
      <c r="I4169" s="221"/>
      <c r="J4169" s="221"/>
      <c r="K4169" s="221"/>
      <c r="L4169" s="221"/>
      <c r="M4169" s="221"/>
    </row>
    <row r="4170" spans="5:13">
      <c r="E4170" s="221"/>
      <c r="F4170" s="221"/>
      <c r="G4170" s="221"/>
      <c r="H4170" s="221"/>
      <c r="I4170" s="221"/>
      <c r="J4170" s="221"/>
      <c r="K4170" s="221"/>
      <c r="L4170" s="221"/>
      <c r="M4170" s="221"/>
    </row>
    <row r="4171" spans="5:13">
      <c r="E4171" s="221"/>
      <c r="F4171" s="221"/>
      <c r="G4171" s="221"/>
      <c r="H4171" s="221"/>
      <c r="I4171" s="221"/>
      <c r="J4171" s="221"/>
      <c r="K4171" s="221"/>
      <c r="L4171" s="221"/>
      <c r="M4171" s="221"/>
    </row>
    <row r="4172" spans="5:13">
      <c r="E4172" s="221"/>
      <c r="F4172" s="221"/>
      <c r="G4172" s="221"/>
      <c r="H4172" s="221"/>
      <c r="I4172" s="221"/>
      <c r="J4172" s="221"/>
      <c r="K4172" s="221"/>
      <c r="L4172" s="221"/>
      <c r="M4172" s="221"/>
    </row>
    <row r="4173" spans="5:13">
      <c r="E4173" s="221"/>
      <c r="F4173" s="221"/>
      <c r="G4173" s="221"/>
      <c r="H4173" s="221"/>
      <c r="I4173" s="221"/>
      <c r="J4173" s="221"/>
      <c r="K4173" s="221"/>
      <c r="L4173" s="221"/>
      <c r="M4173" s="221"/>
    </row>
    <row r="4174" spans="5:13">
      <c r="E4174" s="221"/>
      <c r="F4174" s="221"/>
      <c r="G4174" s="221"/>
      <c r="H4174" s="221"/>
      <c r="I4174" s="221"/>
      <c r="J4174" s="221"/>
      <c r="K4174" s="221"/>
      <c r="L4174" s="221"/>
      <c r="M4174" s="221"/>
    </row>
    <row r="4175" spans="5:13">
      <c r="E4175" s="221"/>
      <c r="F4175" s="221"/>
      <c r="G4175" s="221"/>
      <c r="H4175" s="221"/>
      <c r="I4175" s="221"/>
      <c r="J4175" s="221"/>
      <c r="K4175" s="221"/>
      <c r="L4175" s="221"/>
      <c r="M4175" s="221"/>
    </row>
    <row r="4176" spans="5:13">
      <c r="E4176" s="221"/>
      <c r="F4176" s="221"/>
      <c r="G4176" s="221"/>
      <c r="H4176" s="221"/>
      <c r="I4176" s="221"/>
      <c r="J4176" s="221"/>
      <c r="K4176" s="221"/>
      <c r="L4176" s="221"/>
      <c r="M4176" s="221"/>
    </row>
    <row r="4177" spans="5:13">
      <c r="E4177" s="221"/>
      <c r="F4177" s="221"/>
      <c r="G4177" s="221"/>
      <c r="H4177" s="221"/>
      <c r="I4177" s="221"/>
      <c r="J4177" s="221"/>
      <c r="K4177" s="221"/>
      <c r="L4177" s="221"/>
      <c r="M4177" s="221"/>
    </row>
    <row r="4178" spans="5:13">
      <c r="E4178" s="221"/>
      <c r="F4178" s="221"/>
      <c r="G4178" s="221"/>
      <c r="H4178" s="221"/>
      <c r="I4178" s="221"/>
      <c r="J4178" s="221"/>
      <c r="K4178" s="221"/>
      <c r="L4178" s="221"/>
      <c r="M4178" s="221"/>
    </row>
    <row r="4179" spans="5:13">
      <c r="E4179" s="221"/>
      <c r="F4179" s="221"/>
      <c r="G4179" s="221"/>
      <c r="H4179" s="221"/>
      <c r="I4179" s="221"/>
      <c r="J4179" s="221"/>
      <c r="K4179" s="221"/>
      <c r="L4179" s="221"/>
      <c r="M4179" s="221"/>
    </row>
    <row r="4180" spans="5:13">
      <c r="E4180" s="221"/>
      <c r="F4180" s="221"/>
      <c r="G4180" s="221"/>
      <c r="H4180" s="221"/>
      <c r="I4180" s="221"/>
      <c r="J4180" s="221"/>
      <c r="K4180" s="221"/>
      <c r="L4180" s="221"/>
      <c r="M4180" s="221"/>
    </row>
    <row r="4181" spans="5:13">
      <c r="E4181" s="221"/>
      <c r="F4181" s="221"/>
      <c r="G4181" s="221"/>
      <c r="H4181" s="221"/>
      <c r="I4181" s="221"/>
      <c r="J4181" s="221"/>
      <c r="K4181" s="221"/>
      <c r="L4181" s="221"/>
      <c r="M4181" s="221"/>
    </row>
    <row r="4182" spans="5:13">
      <c r="E4182" s="221"/>
      <c r="F4182" s="221"/>
      <c r="G4182" s="221"/>
      <c r="H4182" s="221"/>
      <c r="I4182" s="221"/>
      <c r="J4182" s="221"/>
      <c r="K4182" s="221"/>
      <c r="L4182" s="221"/>
      <c r="M4182" s="221"/>
    </row>
    <row r="4183" spans="5:13">
      <c r="E4183" s="221"/>
      <c r="F4183" s="221"/>
      <c r="G4183" s="221"/>
      <c r="H4183" s="221"/>
      <c r="I4183" s="221"/>
      <c r="J4183" s="221"/>
      <c r="K4183" s="221"/>
      <c r="L4183" s="221"/>
      <c r="M4183" s="221"/>
    </row>
    <row r="4184" spans="5:13">
      <c r="E4184" s="221"/>
      <c r="F4184" s="221"/>
      <c r="G4184" s="221"/>
      <c r="H4184" s="221"/>
      <c r="I4184" s="221"/>
      <c r="J4184" s="221"/>
      <c r="K4184" s="221"/>
      <c r="L4184" s="221"/>
      <c r="M4184" s="221"/>
    </row>
    <row r="4185" spans="5:13">
      <c r="E4185" s="221"/>
      <c r="F4185" s="221"/>
      <c r="G4185" s="221"/>
      <c r="H4185" s="221"/>
      <c r="I4185" s="221"/>
      <c r="J4185" s="221"/>
      <c r="K4185" s="221"/>
      <c r="L4185" s="221"/>
      <c r="M4185" s="221"/>
    </row>
    <row r="4186" spans="5:13">
      <c r="E4186" s="221"/>
      <c r="F4186" s="221"/>
      <c r="G4186" s="221"/>
      <c r="H4186" s="221"/>
      <c r="I4186" s="221"/>
      <c r="J4186" s="221"/>
      <c r="K4186" s="221"/>
      <c r="L4186" s="221"/>
      <c r="M4186" s="221"/>
    </row>
    <row r="4187" spans="5:13">
      <c r="E4187" s="221"/>
      <c r="F4187" s="221"/>
      <c r="G4187" s="221"/>
      <c r="H4187" s="221"/>
      <c r="I4187" s="221"/>
      <c r="J4187" s="221"/>
      <c r="K4187" s="221"/>
      <c r="L4187" s="221"/>
      <c r="M4187" s="221"/>
    </row>
    <row r="4188" spans="5:13">
      <c r="E4188" s="221"/>
      <c r="F4188" s="221"/>
      <c r="G4188" s="221"/>
      <c r="H4188" s="221"/>
      <c r="I4188" s="221"/>
      <c r="J4188" s="221"/>
      <c r="K4188" s="221"/>
      <c r="L4188" s="221"/>
      <c r="M4188" s="221"/>
    </row>
    <row r="4189" spans="5:13">
      <c r="E4189" s="221"/>
      <c r="F4189" s="221"/>
      <c r="G4189" s="221"/>
      <c r="H4189" s="221"/>
      <c r="I4189" s="221"/>
      <c r="J4189" s="221"/>
      <c r="K4189" s="221"/>
      <c r="L4189" s="221"/>
      <c r="M4189" s="221"/>
    </row>
    <row r="4190" spans="5:13">
      <c r="E4190" s="221"/>
      <c r="F4190" s="221"/>
      <c r="G4190" s="221"/>
      <c r="H4190" s="221"/>
      <c r="I4190" s="221"/>
      <c r="J4190" s="221"/>
      <c r="K4190" s="221"/>
      <c r="L4190" s="221"/>
      <c r="M4190" s="221"/>
    </row>
    <row r="4191" spans="5:13">
      <c r="E4191" s="221"/>
      <c r="F4191" s="221"/>
      <c r="G4191" s="221"/>
      <c r="H4191" s="221"/>
      <c r="I4191" s="221"/>
      <c r="J4191" s="221"/>
      <c r="K4191" s="221"/>
      <c r="L4191" s="221"/>
      <c r="M4191" s="221"/>
    </row>
    <row r="4192" spans="5:13">
      <c r="E4192" s="221"/>
      <c r="F4192" s="221"/>
      <c r="G4192" s="221"/>
      <c r="H4192" s="221"/>
      <c r="I4192" s="221"/>
      <c r="J4192" s="221"/>
      <c r="K4192" s="221"/>
      <c r="L4192" s="221"/>
      <c r="M4192" s="221"/>
    </row>
    <row r="4193" spans="5:13">
      <c r="E4193" s="221"/>
      <c r="F4193" s="221"/>
      <c r="G4193" s="221"/>
      <c r="H4193" s="221"/>
      <c r="I4193" s="221"/>
      <c r="J4193" s="221"/>
      <c r="K4193" s="221"/>
      <c r="L4193" s="221"/>
      <c r="M4193" s="221"/>
    </row>
    <row r="4194" spans="5:13">
      <c r="E4194" s="221"/>
      <c r="F4194" s="221"/>
      <c r="G4194" s="221"/>
      <c r="H4194" s="221"/>
      <c r="I4194" s="221"/>
      <c r="J4194" s="221"/>
      <c r="K4194" s="221"/>
      <c r="L4194" s="221"/>
      <c r="M4194" s="221"/>
    </row>
    <row r="4195" spans="5:13">
      <c r="E4195" s="221"/>
      <c r="F4195" s="221"/>
      <c r="G4195" s="221"/>
      <c r="H4195" s="221"/>
      <c r="I4195" s="221"/>
      <c r="J4195" s="221"/>
      <c r="K4195" s="221"/>
      <c r="L4195" s="221"/>
      <c r="M4195" s="221"/>
    </row>
    <row r="4196" spans="5:13">
      <c r="E4196" s="221"/>
      <c r="F4196" s="221"/>
      <c r="G4196" s="221"/>
      <c r="H4196" s="221"/>
      <c r="I4196" s="221"/>
      <c r="J4196" s="221"/>
      <c r="K4196" s="221"/>
      <c r="L4196" s="221"/>
      <c r="M4196" s="221"/>
    </row>
    <row r="4197" spans="5:13">
      <c r="E4197" s="221"/>
      <c r="F4197" s="221"/>
      <c r="G4197" s="221"/>
      <c r="H4197" s="221"/>
      <c r="I4197" s="221"/>
      <c r="J4197" s="221"/>
      <c r="K4197" s="221"/>
      <c r="L4197" s="221"/>
      <c r="M4197" s="221"/>
    </row>
    <row r="4198" spans="5:13">
      <c r="E4198" s="221"/>
      <c r="F4198" s="221"/>
      <c r="G4198" s="221"/>
      <c r="H4198" s="221"/>
      <c r="I4198" s="221"/>
      <c r="J4198" s="221"/>
      <c r="K4198" s="221"/>
      <c r="L4198" s="221"/>
      <c r="M4198" s="221"/>
    </row>
    <row r="4199" spans="5:13">
      <c r="E4199" s="221"/>
      <c r="F4199" s="221"/>
      <c r="G4199" s="221"/>
      <c r="H4199" s="221"/>
      <c r="I4199" s="221"/>
      <c r="J4199" s="221"/>
      <c r="K4199" s="221"/>
      <c r="L4199" s="221"/>
      <c r="M4199" s="221"/>
    </row>
    <row r="4200" spans="5:13">
      <c r="E4200" s="221"/>
      <c r="F4200" s="221"/>
      <c r="G4200" s="221"/>
      <c r="H4200" s="221"/>
      <c r="I4200" s="221"/>
      <c r="J4200" s="221"/>
      <c r="K4200" s="221"/>
      <c r="L4200" s="221"/>
      <c r="M4200" s="221"/>
    </row>
    <row r="4201" spans="5:13">
      <c r="E4201" s="221"/>
      <c r="F4201" s="221"/>
      <c r="G4201" s="221"/>
      <c r="H4201" s="221"/>
      <c r="I4201" s="221"/>
      <c r="J4201" s="221"/>
      <c r="K4201" s="221"/>
      <c r="L4201" s="221"/>
      <c r="M4201" s="221"/>
    </row>
    <row r="4202" spans="5:13">
      <c r="E4202" s="221"/>
      <c r="F4202" s="221"/>
      <c r="G4202" s="221"/>
      <c r="H4202" s="221"/>
      <c r="I4202" s="221"/>
      <c r="J4202" s="221"/>
      <c r="K4202" s="221"/>
      <c r="L4202" s="221"/>
      <c r="M4202" s="221"/>
    </row>
    <row r="4203" spans="5:13">
      <c r="E4203" s="221"/>
      <c r="F4203" s="221"/>
      <c r="G4203" s="221"/>
      <c r="H4203" s="221"/>
      <c r="I4203" s="221"/>
      <c r="J4203" s="221"/>
      <c r="K4203" s="221"/>
      <c r="L4203" s="221"/>
      <c r="M4203" s="221"/>
    </row>
    <row r="4204" spans="5:13">
      <c r="E4204" s="221"/>
      <c r="F4204" s="221"/>
      <c r="G4204" s="221"/>
      <c r="H4204" s="221"/>
      <c r="I4204" s="221"/>
      <c r="J4204" s="221"/>
      <c r="K4204" s="221"/>
      <c r="L4204" s="221"/>
      <c r="M4204" s="221"/>
    </row>
    <row r="4205" spans="5:13">
      <c r="E4205" s="221"/>
      <c r="F4205" s="221"/>
      <c r="G4205" s="221"/>
      <c r="H4205" s="221"/>
      <c r="I4205" s="221"/>
      <c r="J4205" s="221"/>
      <c r="K4205" s="221"/>
      <c r="L4205" s="221"/>
      <c r="M4205" s="221"/>
    </row>
    <row r="4206" spans="5:13">
      <c r="E4206" s="221"/>
      <c r="F4206" s="221"/>
      <c r="G4206" s="221"/>
      <c r="H4206" s="221"/>
      <c r="I4206" s="221"/>
      <c r="J4206" s="221"/>
      <c r="K4206" s="221"/>
      <c r="L4206" s="221"/>
      <c r="M4206" s="221"/>
    </row>
    <row r="4207" spans="5:13">
      <c r="E4207" s="221"/>
      <c r="F4207" s="221"/>
      <c r="G4207" s="221"/>
      <c r="H4207" s="221"/>
      <c r="I4207" s="221"/>
      <c r="J4207" s="221"/>
      <c r="K4207" s="221"/>
      <c r="L4207" s="221"/>
      <c r="M4207" s="221"/>
    </row>
    <row r="4208" spans="5:13">
      <c r="E4208" s="221"/>
      <c r="F4208" s="221"/>
      <c r="G4208" s="221"/>
      <c r="H4208" s="221"/>
      <c r="I4208" s="221"/>
      <c r="J4208" s="221"/>
      <c r="K4208" s="221"/>
      <c r="L4208" s="221"/>
      <c r="M4208" s="221"/>
    </row>
    <row r="4209" spans="5:13">
      <c r="E4209" s="221"/>
      <c r="F4209" s="221"/>
      <c r="G4209" s="221"/>
      <c r="H4209" s="221"/>
      <c r="I4209" s="221"/>
      <c r="J4209" s="221"/>
      <c r="K4209" s="221"/>
      <c r="L4209" s="221"/>
      <c r="M4209" s="221"/>
    </row>
    <row r="4210" spans="5:13">
      <c r="E4210" s="221"/>
      <c r="F4210" s="221"/>
      <c r="G4210" s="221"/>
      <c r="H4210" s="221"/>
      <c r="I4210" s="221"/>
      <c r="J4210" s="221"/>
      <c r="K4210" s="221"/>
      <c r="L4210" s="221"/>
      <c r="M4210" s="221"/>
    </row>
    <row r="4211" spans="5:13">
      <c r="E4211" s="221"/>
      <c r="F4211" s="221"/>
      <c r="G4211" s="221"/>
      <c r="H4211" s="221"/>
      <c r="I4211" s="221"/>
      <c r="J4211" s="221"/>
      <c r="K4211" s="221"/>
      <c r="L4211" s="221"/>
      <c r="M4211" s="221"/>
    </row>
    <row r="4212" spans="5:13">
      <c r="E4212" s="221"/>
      <c r="F4212" s="221"/>
      <c r="G4212" s="221"/>
      <c r="H4212" s="221"/>
      <c r="I4212" s="221"/>
      <c r="J4212" s="221"/>
      <c r="K4212" s="221"/>
      <c r="L4212" s="221"/>
      <c r="M4212" s="221"/>
    </row>
    <row r="4213" spans="5:13">
      <c r="E4213" s="221"/>
      <c r="F4213" s="221"/>
      <c r="G4213" s="221"/>
      <c r="H4213" s="221"/>
      <c r="I4213" s="221"/>
      <c r="J4213" s="221"/>
      <c r="K4213" s="221"/>
      <c r="L4213" s="221"/>
      <c r="M4213" s="221"/>
    </row>
    <row r="4214" spans="5:13">
      <c r="E4214" s="221"/>
      <c r="F4214" s="221"/>
      <c r="G4214" s="221"/>
      <c r="H4214" s="221"/>
      <c r="I4214" s="221"/>
      <c r="J4214" s="221"/>
      <c r="K4214" s="221"/>
      <c r="L4214" s="221"/>
      <c r="M4214" s="221"/>
    </row>
    <row r="4215" spans="5:13">
      <c r="E4215" s="221"/>
      <c r="F4215" s="221"/>
      <c r="G4215" s="221"/>
      <c r="H4215" s="221"/>
      <c r="I4215" s="221"/>
      <c r="J4215" s="221"/>
      <c r="K4215" s="221"/>
      <c r="L4215" s="221"/>
      <c r="M4215" s="221"/>
    </row>
    <row r="4216" spans="5:13">
      <c r="E4216" s="221"/>
      <c r="F4216" s="221"/>
      <c r="G4216" s="221"/>
      <c r="H4216" s="221"/>
      <c r="I4216" s="221"/>
      <c r="J4216" s="221"/>
      <c r="K4216" s="221"/>
      <c r="L4216" s="221"/>
      <c r="M4216" s="221"/>
    </row>
    <row r="4217" spans="5:13">
      <c r="E4217" s="221"/>
      <c r="F4217" s="221"/>
      <c r="G4217" s="221"/>
      <c r="H4217" s="221"/>
      <c r="I4217" s="221"/>
      <c r="J4217" s="221"/>
      <c r="K4217" s="221"/>
      <c r="L4217" s="221"/>
      <c r="M4217" s="221"/>
    </row>
    <row r="4218" spans="5:13">
      <c r="E4218" s="221"/>
      <c r="F4218" s="221"/>
      <c r="G4218" s="221"/>
      <c r="H4218" s="221"/>
      <c r="I4218" s="221"/>
      <c r="J4218" s="221"/>
      <c r="K4218" s="221"/>
      <c r="L4218" s="221"/>
      <c r="M4218" s="221"/>
    </row>
    <row r="4219" spans="5:13">
      <c r="E4219" s="221"/>
      <c r="F4219" s="221"/>
      <c r="G4219" s="221"/>
      <c r="H4219" s="221"/>
      <c r="I4219" s="221"/>
      <c r="J4219" s="221"/>
      <c r="K4219" s="221"/>
      <c r="L4219" s="221"/>
      <c r="M4219" s="221"/>
    </row>
    <row r="4220" spans="5:13">
      <c r="E4220" s="221"/>
      <c r="F4220" s="221"/>
      <c r="G4220" s="221"/>
      <c r="H4220" s="221"/>
      <c r="I4220" s="221"/>
      <c r="J4220" s="221"/>
      <c r="K4220" s="221"/>
      <c r="L4220" s="221"/>
      <c r="M4220" s="221"/>
    </row>
    <row r="4221" spans="5:13">
      <c r="E4221" s="221"/>
      <c r="F4221" s="221"/>
      <c r="G4221" s="221"/>
      <c r="H4221" s="221"/>
      <c r="I4221" s="221"/>
      <c r="J4221" s="221"/>
      <c r="K4221" s="221"/>
      <c r="L4221" s="221"/>
      <c r="M4221" s="221"/>
    </row>
    <row r="4222" spans="5:13">
      <c r="E4222" s="221"/>
      <c r="F4222" s="221"/>
      <c r="G4222" s="221"/>
      <c r="H4222" s="221"/>
      <c r="I4222" s="221"/>
      <c r="J4222" s="221"/>
      <c r="K4222" s="221"/>
      <c r="L4222" s="221"/>
      <c r="M4222" s="221"/>
    </row>
    <row r="4223" spans="5:13">
      <c r="E4223" s="221"/>
      <c r="F4223" s="221"/>
      <c r="G4223" s="221"/>
      <c r="H4223" s="221"/>
      <c r="I4223" s="221"/>
      <c r="J4223" s="221"/>
      <c r="K4223" s="221"/>
      <c r="L4223" s="221"/>
      <c r="M4223" s="221"/>
    </row>
    <row r="4224" spans="5:13">
      <c r="E4224" s="221"/>
      <c r="F4224" s="221"/>
      <c r="G4224" s="221"/>
      <c r="H4224" s="221"/>
      <c r="I4224" s="221"/>
      <c r="J4224" s="221"/>
      <c r="K4224" s="221"/>
      <c r="L4224" s="221"/>
      <c r="M4224" s="221"/>
    </row>
    <row r="4225" spans="5:13">
      <c r="E4225" s="221"/>
      <c r="F4225" s="221"/>
      <c r="G4225" s="221"/>
      <c r="H4225" s="221"/>
      <c r="I4225" s="221"/>
      <c r="J4225" s="221"/>
      <c r="K4225" s="221"/>
      <c r="L4225" s="221"/>
      <c r="M4225" s="221"/>
    </row>
    <row r="4226" spans="5:13">
      <c r="E4226" s="221"/>
      <c r="F4226" s="221"/>
      <c r="G4226" s="221"/>
      <c r="H4226" s="221"/>
      <c r="I4226" s="221"/>
      <c r="J4226" s="221"/>
      <c r="K4226" s="221"/>
      <c r="L4226" s="221"/>
      <c r="M4226" s="221"/>
    </row>
    <row r="4227" spans="5:13">
      <c r="E4227" s="221"/>
      <c r="F4227" s="221"/>
      <c r="G4227" s="221"/>
      <c r="H4227" s="221"/>
      <c r="I4227" s="221"/>
      <c r="J4227" s="221"/>
      <c r="K4227" s="221"/>
      <c r="L4227" s="221"/>
      <c r="M4227" s="221"/>
    </row>
    <row r="4228" spans="5:13">
      <c r="E4228" s="221"/>
      <c r="F4228" s="221"/>
      <c r="G4228" s="221"/>
      <c r="H4228" s="221"/>
      <c r="I4228" s="221"/>
      <c r="J4228" s="221"/>
      <c r="K4228" s="221"/>
      <c r="L4228" s="221"/>
      <c r="M4228" s="221"/>
    </row>
    <row r="4229" spans="5:13">
      <c r="E4229" s="221"/>
      <c r="F4229" s="221"/>
      <c r="G4229" s="221"/>
      <c r="H4229" s="221"/>
      <c r="I4229" s="221"/>
      <c r="J4229" s="221"/>
      <c r="K4229" s="221"/>
      <c r="L4229" s="221"/>
      <c r="M4229" s="221"/>
    </row>
    <row r="4230" spans="5:13">
      <c r="E4230" s="221"/>
      <c r="F4230" s="221"/>
      <c r="G4230" s="221"/>
      <c r="H4230" s="221"/>
      <c r="I4230" s="221"/>
      <c r="J4230" s="221"/>
      <c r="K4230" s="221"/>
      <c r="L4230" s="221"/>
      <c r="M4230" s="221"/>
    </row>
    <row r="4231" spans="5:13">
      <c r="E4231" s="221"/>
      <c r="F4231" s="221"/>
      <c r="G4231" s="221"/>
      <c r="H4231" s="221"/>
      <c r="I4231" s="221"/>
      <c r="J4231" s="221"/>
      <c r="K4231" s="221"/>
      <c r="L4231" s="221"/>
      <c r="M4231" s="221"/>
    </row>
    <row r="4232" spans="5:13">
      <c r="E4232" s="221"/>
      <c r="F4232" s="221"/>
      <c r="G4232" s="221"/>
      <c r="H4232" s="221"/>
      <c r="I4232" s="221"/>
      <c r="J4232" s="221"/>
      <c r="K4232" s="221"/>
      <c r="L4232" s="221"/>
      <c r="M4232" s="221"/>
    </row>
    <row r="4233" spans="5:13">
      <c r="E4233" s="221"/>
      <c r="F4233" s="221"/>
      <c r="G4233" s="221"/>
      <c r="H4233" s="221"/>
      <c r="I4233" s="221"/>
      <c r="J4233" s="221"/>
      <c r="K4233" s="221"/>
      <c r="L4233" s="221"/>
      <c r="M4233" s="221"/>
    </row>
    <row r="4234" spans="5:13">
      <c r="E4234" s="221"/>
      <c r="F4234" s="221"/>
      <c r="G4234" s="221"/>
      <c r="H4234" s="221"/>
      <c r="I4234" s="221"/>
      <c r="J4234" s="221"/>
      <c r="K4234" s="221"/>
      <c r="L4234" s="221"/>
      <c r="M4234" s="221"/>
    </row>
    <row r="4235" spans="5:13">
      <c r="E4235" s="221"/>
      <c r="F4235" s="221"/>
      <c r="G4235" s="221"/>
      <c r="H4235" s="221"/>
      <c r="I4235" s="221"/>
      <c r="J4235" s="221"/>
      <c r="K4235" s="221"/>
      <c r="L4235" s="221"/>
      <c r="M4235" s="221"/>
    </row>
    <row r="4236" spans="5:13">
      <c r="E4236" s="221"/>
      <c r="F4236" s="221"/>
      <c r="G4236" s="221"/>
      <c r="H4236" s="221"/>
      <c r="I4236" s="221"/>
      <c r="J4236" s="221"/>
      <c r="K4236" s="221"/>
      <c r="L4236" s="221"/>
      <c r="M4236" s="221"/>
    </row>
    <row r="4237" spans="5:13">
      <c r="E4237" s="221"/>
      <c r="F4237" s="221"/>
      <c r="G4237" s="221"/>
      <c r="H4237" s="221"/>
      <c r="I4237" s="221"/>
      <c r="J4237" s="221"/>
      <c r="K4237" s="221"/>
      <c r="L4237" s="221"/>
      <c r="M4237" s="221"/>
    </row>
    <row r="4238" spans="5:13">
      <c r="E4238" s="221"/>
      <c r="F4238" s="221"/>
      <c r="G4238" s="221"/>
      <c r="H4238" s="221"/>
      <c r="I4238" s="221"/>
      <c r="J4238" s="221"/>
      <c r="K4238" s="221"/>
      <c r="L4238" s="221"/>
      <c r="M4238" s="221"/>
    </row>
    <row r="4239" spans="5:13">
      <c r="E4239" s="221"/>
      <c r="F4239" s="221"/>
      <c r="G4239" s="221"/>
      <c r="H4239" s="221"/>
      <c r="I4239" s="221"/>
      <c r="J4239" s="221"/>
      <c r="K4239" s="221"/>
      <c r="L4239" s="221"/>
      <c r="M4239" s="221"/>
    </row>
    <row r="4240" spans="5:13">
      <c r="E4240" s="221"/>
      <c r="F4240" s="221"/>
      <c r="G4240" s="221"/>
      <c r="H4240" s="221"/>
      <c r="I4240" s="221"/>
      <c r="J4240" s="221"/>
      <c r="K4240" s="221"/>
      <c r="L4240" s="221"/>
      <c r="M4240" s="221"/>
    </row>
    <row r="4241" spans="5:13">
      <c r="E4241" s="221"/>
      <c r="F4241" s="221"/>
      <c r="G4241" s="221"/>
      <c r="H4241" s="221"/>
      <c r="I4241" s="221"/>
      <c r="J4241" s="221"/>
      <c r="K4241" s="221"/>
      <c r="L4241" s="221"/>
      <c r="M4241" s="221"/>
    </row>
    <row r="4242" spans="5:13">
      <c r="E4242" s="221"/>
      <c r="F4242" s="221"/>
      <c r="G4242" s="221"/>
      <c r="H4242" s="221"/>
      <c r="I4242" s="221"/>
      <c r="J4242" s="221"/>
      <c r="K4242" s="221"/>
      <c r="L4242" s="221"/>
      <c r="M4242" s="221"/>
    </row>
    <row r="4243" spans="5:13">
      <c r="E4243" s="221"/>
      <c r="F4243" s="221"/>
      <c r="G4243" s="221"/>
      <c r="H4243" s="221"/>
      <c r="I4243" s="221"/>
      <c r="J4243" s="221"/>
      <c r="K4243" s="221"/>
      <c r="L4243" s="221"/>
      <c r="M4243" s="221"/>
    </row>
    <row r="4244" spans="5:13">
      <c r="E4244" s="221"/>
      <c r="F4244" s="221"/>
      <c r="G4244" s="221"/>
      <c r="H4244" s="221"/>
      <c r="I4244" s="221"/>
      <c r="J4244" s="221"/>
      <c r="K4244" s="221"/>
      <c r="L4244" s="221"/>
      <c r="M4244" s="221"/>
    </row>
    <row r="4245" spans="5:13">
      <c r="E4245" s="221"/>
      <c r="F4245" s="221"/>
      <c r="G4245" s="221"/>
      <c r="H4245" s="221"/>
      <c r="I4245" s="221"/>
      <c r="J4245" s="221"/>
      <c r="K4245" s="221"/>
      <c r="L4245" s="221"/>
      <c r="M4245" s="221"/>
    </row>
    <row r="4246" spans="5:13">
      <c r="E4246" s="221"/>
      <c r="F4246" s="221"/>
      <c r="G4246" s="221"/>
      <c r="H4246" s="221"/>
      <c r="I4246" s="221"/>
      <c r="J4246" s="221"/>
      <c r="K4246" s="221"/>
      <c r="L4246" s="221"/>
      <c r="M4246" s="221"/>
    </row>
    <row r="4247" spans="5:13">
      <c r="E4247" s="221"/>
      <c r="F4247" s="221"/>
      <c r="G4247" s="221"/>
      <c r="H4247" s="221"/>
      <c r="I4247" s="221"/>
      <c r="J4247" s="221"/>
      <c r="K4247" s="221"/>
      <c r="L4247" s="221"/>
      <c r="M4247" s="221"/>
    </row>
    <row r="4248" spans="5:13">
      <c r="E4248" s="221"/>
      <c r="F4248" s="221"/>
      <c r="G4248" s="221"/>
      <c r="H4248" s="221"/>
      <c r="I4248" s="221"/>
      <c r="J4248" s="221"/>
      <c r="K4248" s="221"/>
      <c r="L4248" s="221"/>
      <c r="M4248" s="221"/>
    </row>
    <row r="4249" spans="5:13">
      <c r="E4249" s="221"/>
      <c r="F4249" s="221"/>
      <c r="G4249" s="221"/>
      <c r="H4249" s="221"/>
      <c r="I4249" s="221"/>
      <c r="J4249" s="221"/>
      <c r="K4249" s="221"/>
      <c r="L4249" s="221"/>
      <c r="M4249" s="221"/>
    </row>
    <row r="4250" spans="5:13">
      <c r="E4250" s="221"/>
      <c r="F4250" s="221"/>
      <c r="G4250" s="221"/>
      <c r="H4250" s="221"/>
      <c r="I4250" s="221"/>
      <c r="J4250" s="221"/>
      <c r="K4250" s="221"/>
      <c r="L4250" s="221"/>
      <c r="M4250" s="221"/>
    </row>
    <row r="4251" spans="5:13">
      <c r="E4251" s="221"/>
      <c r="F4251" s="221"/>
      <c r="G4251" s="221"/>
      <c r="H4251" s="221"/>
      <c r="I4251" s="221"/>
      <c r="J4251" s="221"/>
      <c r="K4251" s="221"/>
      <c r="L4251" s="221"/>
      <c r="M4251" s="221"/>
    </row>
    <row r="4252" spans="5:13">
      <c r="E4252" s="221"/>
      <c r="F4252" s="221"/>
      <c r="G4252" s="221"/>
      <c r="H4252" s="221"/>
      <c r="I4252" s="221"/>
      <c r="J4252" s="221"/>
      <c r="K4252" s="221"/>
      <c r="L4252" s="221"/>
      <c r="M4252" s="221"/>
    </row>
    <row r="4253" spans="5:13">
      <c r="E4253" s="221"/>
      <c r="F4253" s="221"/>
      <c r="G4253" s="221"/>
      <c r="H4253" s="221"/>
      <c r="I4253" s="221"/>
      <c r="J4253" s="221"/>
      <c r="K4253" s="221"/>
      <c r="L4253" s="221"/>
      <c r="M4253" s="221"/>
    </row>
    <row r="4254" spans="5:13">
      <c r="E4254" s="221"/>
      <c r="F4254" s="221"/>
      <c r="G4254" s="221"/>
      <c r="H4254" s="221"/>
      <c r="I4254" s="221"/>
      <c r="J4254" s="221"/>
      <c r="K4254" s="221"/>
      <c r="L4254" s="221"/>
      <c r="M4254" s="221"/>
    </row>
    <row r="4255" spans="5:13">
      <c r="E4255" s="221"/>
      <c r="F4255" s="221"/>
      <c r="G4255" s="221"/>
      <c r="H4255" s="221"/>
      <c r="I4255" s="221"/>
      <c r="J4255" s="221"/>
      <c r="K4255" s="221"/>
      <c r="L4255" s="221"/>
      <c r="M4255" s="221"/>
    </row>
    <row r="4256" spans="5:13">
      <c r="E4256" s="221"/>
      <c r="F4256" s="221"/>
      <c r="G4256" s="221"/>
      <c r="H4256" s="221"/>
      <c r="I4256" s="221"/>
      <c r="J4256" s="221"/>
      <c r="K4256" s="221"/>
      <c r="L4256" s="221"/>
      <c r="M4256" s="221"/>
    </row>
    <row r="4257" spans="5:13">
      <c r="E4257" s="221"/>
      <c r="F4257" s="221"/>
      <c r="G4257" s="221"/>
      <c r="H4257" s="221"/>
      <c r="I4257" s="221"/>
      <c r="J4257" s="221"/>
      <c r="K4257" s="221"/>
      <c r="L4257" s="221"/>
      <c r="M4257" s="221"/>
    </row>
    <row r="4258" spans="5:13">
      <c r="E4258" s="221"/>
      <c r="F4258" s="221"/>
      <c r="G4258" s="221"/>
      <c r="H4258" s="221"/>
      <c r="I4258" s="221"/>
      <c r="J4258" s="221"/>
      <c r="K4258" s="221"/>
      <c r="L4258" s="221"/>
      <c r="M4258" s="221"/>
    </row>
    <row r="4259" spans="5:13">
      <c r="E4259" s="221"/>
      <c r="F4259" s="221"/>
      <c r="G4259" s="221"/>
      <c r="H4259" s="221"/>
      <c r="I4259" s="221"/>
      <c r="J4259" s="221"/>
      <c r="K4259" s="221"/>
      <c r="L4259" s="221"/>
      <c r="M4259" s="221"/>
    </row>
    <row r="4260" spans="5:13">
      <c r="E4260" s="221"/>
      <c r="F4260" s="221"/>
      <c r="G4260" s="221"/>
      <c r="H4260" s="221"/>
      <c r="I4260" s="221"/>
      <c r="J4260" s="221"/>
      <c r="K4260" s="221"/>
      <c r="L4260" s="221"/>
      <c r="M4260" s="221"/>
    </row>
    <row r="4261" spans="5:13">
      <c r="E4261" s="221"/>
      <c r="F4261" s="221"/>
      <c r="G4261" s="221"/>
      <c r="H4261" s="221"/>
      <c r="I4261" s="221"/>
      <c r="J4261" s="221"/>
      <c r="K4261" s="221"/>
      <c r="L4261" s="221"/>
      <c r="M4261" s="221"/>
    </row>
    <row r="4262" spans="5:13">
      <c r="E4262" s="221"/>
      <c r="F4262" s="221"/>
      <c r="G4262" s="221"/>
      <c r="H4262" s="221"/>
      <c r="I4262" s="221"/>
      <c r="J4262" s="221"/>
      <c r="K4262" s="221"/>
      <c r="L4262" s="221"/>
      <c r="M4262" s="221"/>
    </row>
    <row r="4263" spans="5:13">
      <c r="E4263" s="221"/>
      <c r="F4263" s="221"/>
      <c r="G4263" s="221"/>
      <c r="H4263" s="221"/>
      <c r="I4263" s="221"/>
      <c r="J4263" s="221"/>
      <c r="K4263" s="221"/>
      <c r="L4263" s="221"/>
      <c r="M4263" s="221"/>
    </row>
    <row r="4264" spans="5:13">
      <c r="E4264" s="221"/>
      <c r="F4264" s="221"/>
      <c r="G4264" s="221"/>
      <c r="H4264" s="221"/>
      <c r="I4264" s="221"/>
      <c r="J4264" s="221"/>
      <c r="K4264" s="221"/>
      <c r="L4264" s="221"/>
      <c r="M4264" s="221"/>
    </row>
    <row r="4265" spans="5:13">
      <c r="E4265" s="221"/>
      <c r="F4265" s="221"/>
      <c r="G4265" s="221"/>
      <c r="H4265" s="221"/>
      <c r="I4265" s="221"/>
      <c r="J4265" s="221"/>
      <c r="K4265" s="221"/>
      <c r="L4265" s="221"/>
      <c r="M4265" s="221"/>
    </row>
    <row r="4266" spans="5:13">
      <c r="E4266" s="221"/>
      <c r="F4266" s="221"/>
      <c r="G4266" s="221"/>
      <c r="H4266" s="221"/>
      <c r="I4266" s="221"/>
      <c r="J4266" s="221"/>
      <c r="K4266" s="221"/>
      <c r="L4266" s="221"/>
      <c r="M4266" s="221"/>
    </row>
    <row r="4267" spans="5:13">
      <c r="E4267" s="221"/>
      <c r="F4267" s="221"/>
      <c r="G4267" s="221"/>
      <c r="H4267" s="221"/>
      <c r="I4267" s="221"/>
      <c r="J4267" s="221"/>
      <c r="K4267" s="221"/>
      <c r="L4267" s="221"/>
      <c r="M4267" s="221"/>
    </row>
    <row r="4268" spans="5:13">
      <c r="E4268" s="221"/>
      <c r="F4268" s="221"/>
      <c r="G4268" s="221"/>
      <c r="H4268" s="221"/>
      <c r="I4268" s="221"/>
      <c r="J4268" s="221"/>
      <c r="K4268" s="221"/>
      <c r="L4268" s="221"/>
      <c r="M4268" s="221"/>
    </row>
    <row r="4269" spans="5:13">
      <c r="E4269" s="221"/>
      <c r="F4269" s="221"/>
      <c r="G4269" s="221"/>
      <c r="H4269" s="221"/>
      <c r="I4269" s="221"/>
      <c r="J4269" s="221"/>
      <c r="K4269" s="221"/>
      <c r="L4269" s="221"/>
      <c r="M4269" s="221"/>
    </row>
    <row r="4270" spans="5:13">
      <c r="E4270" s="221"/>
      <c r="F4270" s="221"/>
      <c r="G4270" s="221"/>
      <c r="H4270" s="221"/>
      <c r="I4270" s="221"/>
      <c r="J4270" s="221"/>
      <c r="K4270" s="221"/>
      <c r="L4270" s="221"/>
      <c r="M4270" s="221"/>
    </row>
    <row r="4271" spans="5:13">
      <c r="E4271" s="221"/>
      <c r="F4271" s="221"/>
      <c r="G4271" s="221"/>
      <c r="H4271" s="221"/>
      <c r="I4271" s="221"/>
      <c r="J4271" s="221"/>
      <c r="K4271" s="221"/>
      <c r="L4271" s="221"/>
      <c r="M4271" s="221"/>
    </row>
    <row r="4272" spans="5:13">
      <c r="E4272" s="221"/>
      <c r="F4272" s="221"/>
      <c r="G4272" s="221"/>
      <c r="H4272" s="221"/>
      <c r="I4272" s="221"/>
      <c r="J4272" s="221"/>
      <c r="K4272" s="221"/>
      <c r="L4272" s="221"/>
      <c r="M4272" s="221"/>
    </row>
    <row r="4273" spans="5:13">
      <c r="E4273" s="221"/>
      <c r="F4273" s="221"/>
      <c r="G4273" s="221"/>
      <c r="H4273" s="221"/>
      <c r="I4273" s="221"/>
      <c r="J4273" s="221"/>
      <c r="K4273" s="221"/>
      <c r="L4273" s="221"/>
      <c r="M4273" s="221"/>
    </row>
    <row r="4274" spans="5:13">
      <c r="E4274" s="221"/>
      <c r="F4274" s="221"/>
      <c r="G4274" s="221"/>
      <c r="H4274" s="221"/>
      <c r="I4274" s="221"/>
      <c r="J4274" s="221"/>
      <c r="K4274" s="221"/>
      <c r="L4274" s="221"/>
      <c r="M4274" s="221"/>
    </row>
    <row r="4275" spans="5:13">
      <c r="E4275" s="221"/>
      <c r="F4275" s="221"/>
      <c r="G4275" s="221"/>
      <c r="H4275" s="221"/>
      <c r="I4275" s="221"/>
      <c r="J4275" s="221"/>
      <c r="K4275" s="221"/>
      <c r="L4275" s="221"/>
      <c r="M4275" s="221"/>
    </row>
    <row r="4276" spans="5:13">
      <c r="E4276" s="221"/>
      <c r="F4276" s="221"/>
      <c r="G4276" s="221"/>
      <c r="H4276" s="221"/>
      <c r="I4276" s="221"/>
      <c r="J4276" s="221"/>
      <c r="K4276" s="221"/>
      <c r="L4276" s="221"/>
      <c r="M4276" s="221"/>
    </row>
    <row r="4277" spans="5:13">
      <c r="E4277" s="221"/>
      <c r="F4277" s="221"/>
      <c r="G4277" s="221"/>
      <c r="H4277" s="221"/>
      <c r="I4277" s="221"/>
      <c r="J4277" s="221"/>
      <c r="K4277" s="221"/>
      <c r="L4277" s="221"/>
      <c r="M4277" s="221"/>
    </row>
    <row r="4278" spans="5:13">
      <c r="E4278" s="221"/>
      <c r="F4278" s="221"/>
      <c r="G4278" s="221"/>
      <c r="H4278" s="221"/>
      <c r="I4278" s="221"/>
      <c r="J4278" s="221"/>
      <c r="K4278" s="221"/>
      <c r="L4278" s="221"/>
      <c r="M4278" s="221"/>
    </row>
    <row r="4279" spans="5:13">
      <c r="E4279" s="221"/>
      <c r="F4279" s="221"/>
      <c r="G4279" s="221"/>
      <c r="H4279" s="221"/>
      <c r="I4279" s="221"/>
      <c r="J4279" s="221"/>
      <c r="K4279" s="221"/>
      <c r="L4279" s="221"/>
      <c r="M4279" s="221"/>
    </row>
    <row r="4280" spans="5:13">
      <c r="E4280" s="221"/>
      <c r="F4280" s="221"/>
      <c r="G4280" s="221"/>
      <c r="H4280" s="221"/>
      <c r="I4280" s="221"/>
      <c r="J4280" s="221"/>
      <c r="K4280" s="221"/>
      <c r="L4280" s="221"/>
      <c r="M4280" s="221"/>
    </row>
    <row r="4281" spans="5:13">
      <c r="E4281" s="221"/>
      <c r="F4281" s="221"/>
      <c r="G4281" s="221"/>
      <c r="H4281" s="221"/>
      <c r="I4281" s="221"/>
      <c r="J4281" s="221"/>
      <c r="K4281" s="221"/>
      <c r="L4281" s="221"/>
      <c r="M4281" s="221"/>
    </row>
    <row r="4282" spans="5:13">
      <c r="E4282" s="221"/>
      <c r="F4282" s="221"/>
      <c r="G4282" s="221"/>
      <c r="H4282" s="221"/>
      <c r="I4282" s="221"/>
      <c r="J4282" s="221"/>
      <c r="K4282" s="221"/>
      <c r="L4282" s="221"/>
      <c r="M4282" s="221"/>
    </row>
    <row r="4283" spans="5:13">
      <c r="E4283" s="221"/>
      <c r="F4283" s="221"/>
      <c r="G4283" s="221"/>
      <c r="H4283" s="221"/>
      <c r="I4283" s="221"/>
      <c r="J4283" s="221"/>
      <c r="K4283" s="221"/>
      <c r="L4283" s="221"/>
      <c r="M4283" s="221"/>
    </row>
    <row r="4284" spans="5:13">
      <c r="E4284" s="221"/>
      <c r="F4284" s="221"/>
      <c r="G4284" s="221"/>
      <c r="H4284" s="221"/>
      <c r="I4284" s="221"/>
      <c r="J4284" s="221"/>
      <c r="K4284" s="221"/>
      <c r="L4284" s="221"/>
      <c r="M4284" s="221"/>
    </row>
    <row r="4285" spans="5:13">
      <c r="E4285" s="221"/>
      <c r="F4285" s="221"/>
      <c r="G4285" s="221"/>
      <c r="H4285" s="221"/>
      <c r="I4285" s="221"/>
      <c r="J4285" s="221"/>
      <c r="K4285" s="221"/>
      <c r="L4285" s="221"/>
      <c r="M4285" s="221"/>
    </row>
    <row r="4286" spans="5:13">
      <c r="E4286" s="221"/>
      <c r="F4286" s="221"/>
      <c r="G4286" s="221"/>
      <c r="H4286" s="221"/>
      <c r="I4286" s="221"/>
      <c r="J4286" s="221"/>
      <c r="K4286" s="221"/>
      <c r="L4286" s="221"/>
      <c r="M4286" s="221"/>
    </row>
    <row r="4287" spans="5:13">
      <c r="E4287" s="221"/>
      <c r="F4287" s="221"/>
      <c r="G4287" s="221"/>
      <c r="H4287" s="221"/>
      <c r="I4287" s="221"/>
      <c r="J4287" s="221"/>
      <c r="K4287" s="221"/>
      <c r="L4287" s="221"/>
      <c r="M4287" s="221"/>
    </row>
    <row r="4288" spans="5:13">
      <c r="E4288" s="221"/>
      <c r="F4288" s="221"/>
      <c r="G4288" s="221"/>
      <c r="H4288" s="221"/>
      <c r="I4288" s="221"/>
      <c r="J4288" s="221"/>
      <c r="K4288" s="221"/>
      <c r="L4288" s="221"/>
      <c r="M4288" s="221"/>
    </row>
    <row r="4289" spans="5:13">
      <c r="E4289" s="221"/>
      <c r="F4289" s="221"/>
      <c r="G4289" s="221"/>
      <c r="H4289" s="221"/>
      <c r="I4289" s="221"/>
      <c r="J4289" s="221"/>
      <c r="K4289" s="221"/>
      <c r="L4289" s="221"/>
      <c r="M4289" s="221"/>
    </row>
    <row r="4290" spans="5:13">
      <c r="E4290" s="221"/>
      <c r="F4290" s="221"/>
      <c r="G4290" s="221"/>
      <c r="H4290" s="221"/>
      <c r="I4290" s="221"/>
      <c r="J4290" s="221"/>
      <c r="K4290" s="221"/>
      <c r="L4290" s="221"/>
      <c r="M4290" s="221"/>
    </row>
    <row r="4291" spans="5:13">
      <c r="E4291" s="221"/>
      <c r="F4291" s="221"/>
      <c r="G4291" s="221"/>
      <c r="H4291" s="221"/>
      <c r="I4291" s="221"/>
      <c r="J4291" s="221"/>
      <c r="K4291" s="221"/>
      <c r="L4291" s="221"/>
      <c r="M4291" s="221"/>
    </row>
    <row r="4292" spans="5:13">
      <c r="E4292" s="221"/>
      <c r="F4292" s="221"/>
      <c r="G4292" s="221"/>
      <c r="H4292" s="221"/>
      <c r="I4292" s="221"/>
      <c r="J4292" s="221"/>
      <c r="K4292" s="221"/>
      <c r="L4292" s="221"/>
      <c r="M4292" s="221"/>
    </row>
    <row r="4293" spans="5:13">
      <c r="E4293" s="221"/>
      <c r="F4293" s="221"/>
      <c r="G4293" s="221"/>
      <c r="H4293" s="221"/>
      <c r="I4293" s="221"/>
      <c r="J4293" s="221"/>
      <c r="K4293" s="221"/>
      <c r="L4293" s="221"/>
      <c r="M4293" s="221"/>
    </row>
    <row r="4294" spans="5:13">
      <c r="E4294" s="221"/>
      <c r="F4294" s="221"/>
      <c r="G4294" s="221"/>
      <c r="H4294" s="221"/>
      <c r="I4294" s="221"/>
      <c r="J4294" s="221"/>
      <c r="K4294" s="221"/>
      <c r="L4294" s="221"/>
      <c r="M4294" s="221"/>
    </row>
    <row r="4295" spans="5:13">
      <c r="E4295" s="221"/>
      <c r="F4295" s="221"/>
      <c r="G4295" s="221"/>
      <c r="H4295" s="221"/>
      <c r="I4295" s="221"/>
      <c r="J4295" s="221"/>
      <c r="K4295" s="221"/>
      <c r="L4295" s="221"/>
      <c r="M4295" s="221"/>
    </row>
    <row r="4296" spans="5:13">
      <c r="E4296" s="221"/>
      <c r="F4296" s="221"/>
      <c r="G4296" s="221"/>
      <c r="H4296" s="221"/>
      <c r="I4296" s="221"/>
      <c r="J4296" s="221"/>
      <c r="K4296" s="221"/>
      <c r="L4296" s="221"/>
      <c r="M4296" s="221"/>
    </row>
    <row r="4297" spans="5:13">
      <c r="E4297" s="221"/>
      <c r="F4297" s="221"/>
      <c r="G4297" s="221"/>
      <c r="H4297" s="221"/>
      <c r="I4297" s="221"/>
      <c r="J4297" s="221"/>
      <c r="K4297" s="221"/>
      <c r="L4297" s="221"/>
      <c r="M4297" s="221"/>
    </row>
    <row r="4298" spans="5:13">
      <c r="E4298" s="221"/>
      <c r="F4298" s="221"/>
      <c r="G4298" s="221"/>
      <c r="H4298" s="221"/>
      <c r="I4298" s="221"/>
      <c r="J4298" s="221"/>
      <c r="K4298" s="221"/>
      <c r="L4298" s="221"/>
      <c r="M4298" s="221"/>
    </row>
    <row r="4299" spans="5:13">
      <c r="E4299" s="221"/>
      <c r="F4299" s="221"/>
      <c r="G4299" s="221"/>
      <c r="H4299" s="221"/>
      <c r="I4299" s="221"/>
      <c r="J4299" s="221"/>
      <c r="K4299" s="221"/>
      <c r="L4299" s="221"/>
      <c r="M4299" s="221"/>
    </row>
    <row r="4300" spans="5:13">
      <c r="E4300" s="221"/>
      <c r="F4300" s="221"/>
      <c r="G4300" s="221"/>
      <c r="H4300" s="221"/>
      <c r="I4300" s="221"/>
      <c r="J4300" s="221"/>
      <c r="K4300" s="221"/>
      <c r="L4300" s="221"/>
      <c r="M4300" s="221"/>
    </row>
    <row r="4301" spans="5:13">
      <c r="E4301" s="221"/>
      <c r="F4301" s="221"/>
      <c r="G4301" s="221"/>
      <c r="H4301" s="221"/>
      <c r="I4301" s="221"/>
      <c r="J4301" s="221"/>
      <c r="K4301" s="221"/>
      <c r="L4301" s="221"/>
      <c r="M4301" s="221"/>
    </row>
    <row r="4302" spans="5:13">
      <c r="E4302" s="221"/>
      <c r="F4302" s="221"/>
      <c r="G4302" s="221"/>
      <c r="H4302" s="221"/>
      <c r="I4302" s="221"/>
      <c r="J4302" s="221"/>
      <c r="K4302" s="221"/>
      <c r="L4302" s="221"/>
      <c r="M4302" s="221"/>
    </row>
    <row r="4303" spans="5:13">
      <c r="E4303" s="221"/>
      <c r="F4303" s="221"/>
      <c r="G4303" s="221"/>
      <c r="H4303" s="221"/>
      <c r="I4303" s="221"/>
      <c r="J4303" s="221"/>
      <c r="K4303" s="221"/>
      <c r="L4303" s="221"/>
      <c r="M4303" s="221"/>
    </row>
    <row r="4304" spans="5:13">
      <c r="E4304" s="221"/>
      <c r="F4304" s="221"/>
      <c r="G4304" s="221"/>
      <c r="H4304" s="221"/>
      <c r="I4304" s="221"/>
      <c r="J4304" s="221"/>
      <c r="K4304" s="221"/>
      <c r="L4304" s="221"/>
      <c r="M4304" s="221"/>
    </row>
    <row r="4305" spans="5:13">
      <c r="E4305" s="221"/>
      <c r="F4305" s="221"/>
      <c r="G4305" s="221"/>
      <c r="H4305" s="221"/>
      <c r="I4305" s="221"/>
      <c r="J4305" s="221"/>
      <c r="K4305" s="221"/>
      <c r="L4305" s="221"/>
      <c r="M4305" s="221"/>
    </row>
    <row r="4306" spans="5:13">
      <c r="E4306" s="221"/>
      <c r="F4306" s="221"/>
      <c r="G4306" s="221"/>
      <c r="H4306" s="221"/>
      <c r="I4306" s="221"/>
      <c r="J4306" s="221"/>
      <c r="K4306" s="221"/>
      <c r="L4306" s="221"/>
      <c r="M4306" s="221"/>
    </row>
    <row r="4307" spans="5:13">
      <c r="E4307" s="221"/>
      <c r="F4307" s="221"/>
      <c r="G4307" s="221"/>
      <c r="H4307" s="221"/>
      <c r="I4307" s="221"/>
      <c r="J4307" s="221"/>
      <c r="K4307" s="221"/>
      <c r="L4307" s="221"/>
      <c r="M4307" s="221"/>
    </row>
    <row r="4308" spans="5:13">
      <c r="E4308" s="221"/>
      <c r="F4308" s="221"/>
      <c r="G4308" s="221"/>
      <c r="H4308" s="221"/>
      <c r="I4308" s="221"/>
      <c r="J4308" s="221"/>
      <c r="K4308" s="221"/>
      <c r="L4308" s="221"/>
      <c r="M4308" s="221"/>
    </row>
    <row r="4309" spans="5:13">
      <c r="E4309" s="221"/>
      <c r="F4309" s="221"/>
      <c r="G4309" s="221"/>
      <c r="H4309" s="221"/>
      <c r="I4309" s="221"/>
      <c r="J4309" s="221"/>
      <c r="K4309" s="221"/>
      <c r="L4309" s="221"/>
      <c r="M4309" s="221"/>
    </row>
    <row r="4310" spans="5:13">
      <c r="E4310" s="221"/>
      <c r="F4310" s="221"/>
      <c r="G4310" s="221"/>
      <c r="H4310" s="221"/>
      <c r="I4310" s="221"/>
      <c r="J4310" s="221"/>
      <c r="K4310" s="221"/>
      <c r="L4310" s="221"/>
      <c r="M4310" s="221"/>
    </row>
    <row r="4311" spans="5:13">
      <c r="E4311" s="221"/>
      <c r="F4311" s="221"/>
      <c r="G4311" s="221"/>
      <c r="H4311" s="221"/>
      <c r="I4311" s="221"/>
      <c r="J4311" s="221"/>
      <c r="K4311" s="221"/>
      <c r="L4311" s="221"/>
      <c r="M4311" s="221"/>
    </row>
    <row r="4312" spans="5:13">
      <c r="E4312" s="221"/>
      <c r="F4312" s="221"/>
      <c r="G4312" s="221"/>
      <c r="H4312" s="221"/>
      <c r="I4312" s="221"/>
      <c r="J4312" s="221"/>
      <c r="K4312" s="221"/>
      <c r="L4312" s="221"/>
      <c r="M4312" s="221"/>
    </row>
    <row r="4313" spans="5:13">
      <c r="E4313" s="221"/>
      <c r="F4313" s="221"/>
      <c r="G4313" s="221"/>
      <c r="H4313" s="221"/>
      <c r="I4313" s="221"/>
      <c r="J4313" s="221"/>
      <c r="K4313" s="221"/>
      <c r="L4313" s="221"/>
      <c r="M4313" s="221"/>
    </row>
    <row r="4314" spans="5:13">
      <c r="E4314" s="221"/>
      <c r="F4314" s="221"/>
      <c r="G4314" s="221"/>
      <c r="H4314" s="221"/>
      <c r="I4314" s="221"/>
      <c r="J4314" s="221"/>
      <c r="K4314" s="221"/>
      <c r="L4314" s="221"/>
      <c r="M4314" s="221"/>
    </row>
    <row r="4315" spans="5:13">
      <c r="E4315" s="221"/>
      <c r="F4315" s="221"/>
      <c r="G4315" s="221"/>
      <c r="H4315" s="221"/>
      <c r="I4315" s="221"/>
      <c r="J4315" s="221"/>
      <c r="K4315" s="221"/>
      <c r="L4315" s="221"/>
      <c r="M4315" s="221"/>
    </row>
    <row r="4316" spans="5:13">
      <c r="E4316" s="221"/>
      <c r="F4316" s="221"/>
      <c r="G4316" s="221"/>
      <c r="H4316" s="221"/>
      <c r="I4316" s="221"/>
      <c r="J4316" s="221"/>
      <c r="K4316" s="221"/>
      <c r="L4316" s="221"/>
      <c r="M4316" s="221"/>
    </row>
    <row r="4317" spans="5:13">
      <c r="E4317" s="221"/>
      <c r="F4317" s="221"/>
      <c r="G4317" s="221"/>
      <c r="H4317" s="221"/>
      <c r="I4317" s="221"/>
      <c r="J4317" s="221"/>
      <c r="K4317" s="221"/>
      <c r="L4317" s="221"/>
      <c r="M4317" s="221"/>
    </row>
    <row r="4318" spans="5:13">
      <c r="E4318" s="221"/>
      <c r="F4318" s="221"/>
      <c r="G4318" s="221"/>
      <c r="H4318" s="221"/>
      <c r="I4318" s="221"/>
      <c r="J4318" s="221"/>
      <c r="K4318" s="221"/>
      <c r="L4318" s="221"/>
      <c r="M4318" s="221"/>
    </row>
    <row r="4319" spans="5:13">
      <c r="E4319" s="221"/>
      <c r="F4319" s="221"/>
      <c r="G4319" s="221"/>
      <c r="H4319" s="221"/>
      <c r="I4319" s="221"/>
      <c r="J4319" s="221"/>
      <c r="K4319" s="221"/>
      <c r="L4319" s="221"/>
      <c r="M4319" s="221"/>
    </row>
    <row r="4320" spans="5:13">
      <c r="E4320" s="221"/>
      <c r="F4320" s="221"/>
      <c r="G4320" s="221"/>
      <c r="H4320" s="221"/>
      <c r="I4320" s="221"/>
      <c r="J4320" s="221"/>
      <c r="K4320" s="221"/>
      <c r="L4320" s="221"/>
      <c r="M4320" s="221"/>
    </row>
    <row r="4321" spans="5:13">
      <c r="E4321" s="221"/>
      <c r="F4321" s="221"/>
      <c r="G4321" s="221"/>
      <c r="H4321" s="221"/>
      <c r="I4321" s="221"/>
      <c r="J4321" s="221"/>
      <c r="K4321" s="221"/>
      <c r="L4321" s="221"/>
      <c r="M4321" s="221"/>
    </row>
    <row r="4322" spans="5:13">
      <c r="E4322" s="221"/>
      <c r="F4322" s="221"/>
      <c r="G4322" s="221"/>
      <c r="H4322" s="221"/>
      <c r="I4322" s="221"/>
      <c r="J4322" s="221"/>
      <c r="K4322" s="221"/>
      <c r="L4322" s="221"/>
      <c r="M4322" s="221"/>
    </row>
    <row r="4323" spans="5:13">
      <c r="E4323" s="221"/>
      <c r="F4323" s="221"/>
      <c r="G4323" s="221"/>
      <c r="H4323" s="221"/>
      <c r="I4323" s="221"/>
      <c r="J4323" s="221"/>
      <c r="K4323" s="221"/>
      <c r="L4323" s="221"/>
      <c r="M4323" s="221"/>
    </row>
    <row r="4324" spans="5:13">
      <c r="E4324" s="221"/>
      <c r="F4324" s="221"/>
      <c r="G4324" s="221"/>
      <c r="H4324" s="221"/>
      <c r="I4324" s="221"/>
      <c r="J4324" s="221"/>
      <c r="K4324" s="221"/>
      <c r="L4324" s="221"/>
      <c r="M4324" s="221"/>
    </row>
    <row r="4325" spans="5:13">
      <c r="E4325" s="221"/>
      <c r="F4325" s="221"/>
      <c r="G4325" s="221"/>
      <c r="H4325" s="221"/>
      <c r="I4325" s="221"/>
      <c r="J4325" s="221"/>
      <c r="K4325" s="221"/>
      <c r="L4325" s="221"/>
      <c r="M4325" s="221"/>
    </row>
    <row r="4326" spans="5:13">
      <c r="E4326" s="221"/>
      <c r="F4326" s="221"/>
      <c r="G4326" s="221"/>
      <c r="H4326" s="221"/>
      <c r="I4326" s="221"/>
      <c r="J4326" s="221"/>
      <c r="K4326" s="221"/>
      <c r="L4326" s="221"/>
      <c r="M4326" s="221"/>
    </row>
    <row r="4327" spans="5:13">
      <c r="E4327" s="221"/>
      <c r="F4327" s="221"/>
      <c r="G4327" s="221"/>
      <c r="H4327" s="221"/>
      <c r="I4327" s="221"/>
      <c r="J4327" s="221"/>
      <c r="K4327" s="221"/>
      <c r="L4327" s="221"/>
      <c r="M4327" s="221"/>
    </row>
    <row r="4328" spans="5:13">
      <c r="E4328" s="221"/>
      <c r="F4328" s="221"/>
      <c r="G4328" s="221"/>
      <c r="H4328" s="221"/>
      <c r="I4328" s="221"/>
      <c r="J4328" s="221"/>
      <c r="K4328" s="221"/>
      <c r="L4328" s="221"/>
      <c r="M4328" s="221"/>
    </row>
    <row r="4329" spans="5:13">
      <c r="E4329" s="221"/>
      <c r="F4329" s="221"/>
      <c r="G4329" s="221"/>
      <c r="H4329" s="221"/>
      <c r="I4329" s="221"/>
      <c r="J4329" s="221"/>
      <c r="K4329" s="221"/>
      <c r="L4329" s="221"/>
      <c r="M4329" s="221"/>
    </row>
    <row r="4330" spans="5:13">
      <c r="E4330" s="221"/>
      <c r="F4330" s="221"/>
      <c r="G4330" s="221"/>
      <c r="H4330" s="221"/>
      <c r="I4330" s="221"/>
      <c r="J4330" s="221"/>
      <c r="K4330" s="221"/>
      <c r="L4330" s="221"/>
      <c r="M4330" s="221"/>
    </row>
    <row r="4331" spans="5:13">
      <c r="E4331" s="221"/>
      <c r="F4331" s="221"/>
      <c r="G4331" s="221"/>
      <c r="H4331" s="221"/>
      <c r="I4331" s="221"/>
      <c r="J4331" s="221"/>
      <c r="K4331" s="221"/>
      <c r="L4331" s="221"/>
      <c r="M4331" s="221"/>
    </row>
    <row r="4332" spans="5:13">
      <c r="E4332" s="221"/>
      <c r="F4332" s="221"/>
      <c r="G4332" s="221"/>
      <c r="H4332" s="221"/>
      <c r="I4332" s="221"/>
      <c r="J4332" s="221"/>
      <c r="K4332" s="221"/>
      <c r="L4332" s="221"/>
      <c r="M4332" s="221"/>
    </row>
    <row r="4333" spans="5:13">
      <c r="E4333" s="221"/>
      <c r="F4333" s="221"/>
      <c r="G4333" s="221"/>
      <c r="H4333" s="221"/>
      <c r="I4333" s="221"/>
      <c r="J4333" s="221"/>
      <c r="K4333" s="221"/>
      <c r="L4333" s="221"/>
      <c r="M4333" s="221"/>
    </row>
    <row r="4334" spans="5:13">
      <c r="E4334" s="221"/>
      <c r="F4334" s="221"/>
      <c r="G4334" s="221"/>
      <c r="H4334" s="221"/>
      <c r="I4334" s="221"/>
      <c r="J4334" s="221"/>
      <c r="K4334" s="221"/>
      <c r="L4334" s="221"/>
      <c r="M4334" s="221"/>
    </row>
    <row r="4335" spans="5:13">
      <c r="E4335" s="221"/>
      <c r="F4335" s="221"/>
      <c r="G4335" s="221"/>
      <c r="H4335" s="221"/>
      <c r="I4335" s="221"/>
      <c r="J4335" s="221"/>
      <c r="K4335" s="221"/>
      <c r="L4335" s="221"/>
      <c r="M4335" s="221"/>
    </row>
    <row r="4336" spans="5:13">
      <c r="E4336" s="221"/>
      <c r="F4336" s="221"/>
      <c r="G4336" s="221"/>
      <c r="H4336" s="221"/>
      <c r="I4336" s="221"/>
      <c r="J4336" s="221"/>
      <c r="K4336" s="221"/>
      <c r="L4336" s="221"/>
      <c r="M4336" s="221"/>
    </row>
    <row r="4337" spans="5:13">
      <c r="E4337" s="221"/>
      <c r="F4337" s="221"/>
      <c r="G4337" s="221"/>
      <c r="H4337" s="221"/>
      <c r="I4337" s="221"/>
      <c r="J4337" s="221"/>
      <c r="K4337" s="221"/>
      <c r="L4337" s="221"/>
      <c r="M4337" s="221"/>
    </row>
    <row r="4338" spans="5:13">
      <c r="E4338" s="221"/>
      <c r="F4338" s="221"/>
      <c r="G4338" s="221"/>
      <c r="H4338" s="221"/>
      <c r="I4338" s="221"/>
      <c r="J4338" s="221"/>
      <c r="K4338" s="221"/>
      <c r="L4338" s="221"/>
      <c r="M4338" s="221"/>
    </row>
    <row r="4339" spans="5:13">
      <c r="E4339" s="221"/>
      <c r="F4339" s="221"/>
      <c r="G4339" s="221"/>
      <c r="H4339" s="221"/>
      <c r="I4339" s="221"/>
      <c r="J4339" s="221"/>
      <c r="K4339" s="221"/>
      <c r="L4339" s="221"/>
      <c r="M4339" s="221"/>
    </row>
    <row r="4340" spans="5:13">
      <c r="E4340" s="221"/>
      <c r="F4340" s="221"/>
      <c r="G4340" s="221"/>
      <c r="H4340" s="221"/>
      <c r="I4340" s="221"/>
      <c r="J4340" s="221"/>
      <c r="K4340" s="221"/>
      <c r="L4340" s="221"/>
      <c r="M4340" s="221"/>
    </row>
    <row r="4341" spans="5:13">
      <c r="E4341" s="221"/>
      <c r="F4341" s="221"/>
      <c r="G4341" s="221"/>
      <c r="H4341" s="221"/>
      <c r="I4341" s="221"/>
      <c r="J4341" s="221"/>
      <c r="K4341" s="221"/>
      <c r="L4341" s="221"/>
      <c r="M4341" s="221"/>
    </row>
    <row r="4342" spans="5:13">
      <c r="E4342" s="221"/>
      <c r="F4342" s="221"/>
      <c r="G4342" s="221"/>
      <c r="H4342" s="221"/>
      <c r="I4342" s="221"/>
      <c r="J4342" s="221"/>
      <c r="K4342" s="221"/>
      <c r="L4342" s="221"/>
      <c r="M4342" s="221"/>
    </row>
    <row r="4343" spans="5:13">
      <c r="E4343" s="221"/>
      <c r="F4343" s="221"/>
      <c r="G4343" s="221"/>
      <c r="H4343" s="221"/>
      <c r="I4343" s="221"/>
      <c r="J4343" s="221"/>
      <c r="K4343" s="221"/>
      <c r="L4343" s="221"/>
      <c r="M4343" s="221"/>
    </row>
    <row r="4344" spans="5:13">
      <c r="E4344" s="221"/>
      <c r="F4344" s="221"/>
      <c r="G4344" s="221"/>
      <c r="H4344" s="221"/>
      <c r="I4344" s="221"/>
      <c r="J4344" s="221"/>
      <c r="K4344" s="221"/>
      <c r="L4344" s="221"/>
      <c r="M4344" s="221"/>
    </row>
    <row r="4345" spans="5:13">
      <c r="E4345" s="221"/>
      <c r="F4345" s="221"/>
      <c r="G4345" s="221"/>
      <c r="H4345" s="221"/>
      <c r="I4345" s="221"/>
      <c r="J4345" s="221"/>
      <c r="K4345" s="221"/>
      <c r="L4345" s="221"/>
      <c r="M4345" s="221"/>
    </row>
    <row r="4346" spans="5:13">
      <c r="E4346" s="221"/>
      <c r="F4346" s="221"/>
      <c r="G4346" s="221"/>
      <c r="H4346" s="221"/>
      <c r="I4346" s="221"/>
      <c r="J4346" s="221"/>
      <c r="K4346" s="221"/>
      <c r="L4346" s="221"/>
      <c r="M4346" s="221"/>
    </row>
    <row r="4347" spans="5:13">
      <c r="E4347" s="221"/>
      <c r="F4347" s="221"/>
      <c r="G4347" s="221"/>
      <c r="H4347" s="221"/>
      <c r="I4347" s="221"/>
      <c r="J4347" s="221"/>
      <c r="K4347" s="221"/>
      <c r="L4347" s="221"/>
      <c r="M4347" s="221"/>
    </row>
    <row r="4348" spans="5:13">
      <c r="E4348" s="221"/>
      <c r="F4348" s="221"/>
      <c r="G4348" s="221"/>
      <c r="H4348" s="221"/>
      <c r="I4348" s="221"/>
      <c r="J4348" s="221"/>
      <c r="K4348" s="221"/>
      <c r="L4348" s="221"/>
      <c r="M4348" s="221"/>
    </row>
    <row r="4349" spans="5:13">
      <c r="E4349" s="221"/>
      <c r="F4349" s="221"/>
      <c r="G4349" s="221"/>
      <c r="H4349" s="221"/>
      <c r="I4349" s="221"/>
      <c r="J4349" s="221"/>
      <c r="K4349" s="221"/>
      <c r="L4349" s="221"/>
      <c r="M4349" s="221"/>
    </row>
    <row r="4350" spans="5:13">
      <c r="E4350" s="221"/>
      <c r="F4350" s="221"/>
      <c r="G4350" s="221"/>
      <c r="H4350" s="221"/>
      <c r="I4350" s="221"/>
      <c r="J4350" s="221"/>
      <c r="K4350" s="221"/>
      <c r="L4350" s="221"/>
      <c r="M4350" s="221"/>
    </row>
    <row r="4351" spans="5:13">
      <c r="E4351" s="221"/>
      <c r="F4351" s="221"/>
      <c r="G4351" s="221"/>
      <c r="H4351" s="221"/>
      <c r="I4351" s="221"/>
      <c r="J4351" s="221"/>
      <c r="K4351" s="221"/>
      <c r="L4351" s="221"/>
      <c r="M4351" s="221"/>
    </row>
    <row r="4352" spans="5:13">
      <c r="E4352" s="221"/>
      <c r="F4352" s="221"/>
      <c r="G4352" s="221"/>
      <c r="H4352" s="221"/>
      <c r="I4352" s="221"/>
      <c r="J4352" s="221"/>
      <c r="K4352" s="221"/>
      <c r="L4352" s="221"/>
      <c r="M4352" s="221"/>
    </row>
    <row r="4353" spans="5:13">
      <c r="E4353" s="221"/>
      <c r="F4353" s="221"/>
      <c r="G4353" s="221"/>
      <c r="H4353" s="221"/>
      <c r="I4353" s="221"/>
      <c r="J4353" s="221"/>
      <c r="K4353" s="221"/>
      <c r="L4353" s="221"/>
      <c r="M4353" s="221"/>
    </row>
    <row r="4354" spans="5:13">
      <c r="E4354" s="221"/>
      <c r="F4354" s="221"/>
      <c r="G4354" s="221"/>
      <c r="H4354" s="221"/>
      <c r="I4354" s="221"/>
      <c r="J4354" s="221"/>
      <c r="K4354" s="221"/>
      <c r="L4354" s="221"/>
      <c r="M4354" s="221"/>
    </row>
    <row r="4355" spans="5:13">
      <c r="E4355" s="221"/>
      <c r="F4355" s="221"/>
      <c r="G4355" s="221"/>
      <c r="H4355" s="221"/>
      <c r="I4355" s="221"/>
      <c r="J4355" s="221"/>
      <c r="K4355" s="221"/>
      <c r="L4355" s="221"/>
      <c r="M4355" s="221"/>
    </row>
    <row r="4356" spans="5:13">
      <c r="E4356" s="221"/>
      <c r="F4356" s="221"/>
      <c r="G4356" s="221"/>
      <c r="H4356" s="221"/>
      <c r="I4356" s="221"/>
      <c r="J4356" s="221"/>
      <c r="K4356" s="221"/>
      <c r="L4356" s="221"/>
      <c r="M4356" s="221"/>
    </row>
    <row r="4357" spans="5:13">
      <c r="E4357" s="221"/>
      <c r="F4357" s="221"/>
      <c r="G4357" s="221"/>
      <c r="H4357" s="221"/>
      <c r="I4357" s="221"/>
      <c r="J4357" s="221"/>
      <c r="K4357" s="221"/>
      <c r="L4357" s="221"/>
      <c r="M4357" s="221"/>
    </row>
    <row r="4358" spans="5:13">
      <c r="E4358" s="221"/>
      <c r="F4358" s="221"/>
      <c r="G4358" s="221"/>
      <c r="H4358" s="221"/>
      <c r="I4358" s="221"/>
      <c r="J4358" s="221"/>
      <c r="K4358" s="221"/>
      <c r="L4358" s="221"/>
      <c r="M4358" s="221"/>
    </row>
    <row r="4359" spans="5:13">
      <c r="E4359" s="221"/>
      <c r="F4359" s="221"/>
      <c r="G4359" s="221"/>
      <c r="H4359" s="221"/>
      <c r="I4359" s="221"/>
      <c r="J4359" s="221"/>
      <c r="K4359" s="221"/>
      <c r="L4359" s="221"/>
      <c r="M4359" s="221"/>
    </row>
    <row r="4360" spans="5:13">
      <c r="E4360" s="221"/>
      <c r="F4360" s="221"/>
      <c r="G4360" s="221"/>
      <c r="H4360" s="221"/>
      <c r="I4360" s="221"/>
      <c r="J4360" s="221"/>
      <c r="K4360" s="221"/>
      <c r="L4360" s="221"/>
      <c r="M4360" s="221"/>
    </row>
    <row r="4361" spans="5:13">
      <c r="E4361" s="221"/>
      <c r="F4361" s="221"/>
      <c r="G4361" s="221"/>
      <c r="H4361" s="221"/>
      <c r="I4361" s="221"/>
      <c r="J4361" s="221"/>
      <c r="K4361" s="221"/>
      <c r="L4361" s="221"/>
      <c r="M4361" s="221"/>
    </row>
    <row r="4362" spans="5:13">
      <c r="E4362" s="221"/>
      <c r="F4362" s="221"/>
      <c r="G4362" s="221"/>
      <c r="H4362" s="221"/>
      <c r="I4362" s="221"/>
      <c r="J4362" s="221"/>
      <c r="K4362" s="221"/>
      <c r="L4362" s="221"/>
      <c r="M4362" s="221"/>
    </row>
    <row r="4363" spans="5:13">
      <c r="E4363" s="221"/>
      <c r="F4363" s="221"/>
      <c r="G4363" s="221"/>
      <c r="H4363" s="221"/>
      <c r="I4363" s="221"/>
      <c r="J4363" s="221"/>
      <c r="K4363" s="221"/>
      <c r="L4363" s="221"/>
      <c r="M4363" s="221"/>
    </row>
    <row r="4364" spans="5:13">
      <c r="E4364" s="221"/>
      <c r="F4364" s="221"/>
      <c r="G4364" s="221"/>
      <c r="H4364" s="221"/>
      <c r="I4364" s="221"/>
      <c r="J4364" s="221"/>
      <c r="K4364" s="221"/>
      <c r="L4364" s="221"/>
      <c r="M4364" s="221"/>
    </row>
    <row r="4365" spans="5:13">
      <c r="E4365" s="221"/>
      <c r="F4365" s="221"/>
      <c r="G4365" s="221"/>
      <c r="H4365" s="221"/>
      <c r="I4365" s="221"/>
      <c r="J4365" s="221"/>
      <c r="K4365" s="221"/>
      <c r="L4365" s="221"/>
      <c r="M4365" s="221"/>
    </row>
    <row r="4366" spans="5:13">
      <c r="E4366" s="221"/>
      <c r="F4366" s="221"/>
      <c r="G4366" s="221"/>
      <c r="H4366" s="221"/>
      <c r="I4366" s="221"/>
      <c r="J4366" s="221"/>
      <c r="K4366" s="221"/>
      <c r="L4366" s="221"/>
      <c r="M4366" s="221"/>
    </row>
    <row r="4367" spans="5:13">
      <c r="E4367" s="221"/>
      <c r="F4367" s="221"/>
      <c r="G4367" s="221"/>
      <c r="H4367" s="221"/>
      <c r="I4367" s="221"/>
      <c r="J4367" s="221"/>
      <c r="K4367" s="221"/>
      <c r="L4367" s="221"/>
      <c r="M4367" s="221"/>
    </row>
    <row r="4368" spans="5:13">
      <c r="E4368" s="221"/>
      <c r="F4368" s="221"/>
      <c r="G4368" s="221"/>
      <c r="H4368" s="221"/>
      <c r="I4368" s="221"/>
      <c r="J4368" s="221"/>
      <c r="K4368" s="221"/>
      <c r="L4368" s="221"/>
      <c r="M4368" s="221"/>
    </row>
    <row r="4369" spans="5:13">
      <c r="E4369" s="221"/>
      <c r="F4369" s="221"/>
      <c r="G4369" s="221"/>
      <c r="H4369" s="221"/>
      <c r="I4369" s="221"/>
      <c r="J4369" s="221"/>
      <c r="K4369" s="221"/>
      <c r="L4369" s="221"/>
      <c r="M4369" s="221"/>
    </row>
    <row r="4370" spans="5:13">
      <c r="E4370" s="221"/>
      <c r="F4370" s="221"/>
      <c r="G4370" s="221"/>
      <c r="H4370" s="221"/>
      <c r="I4370" s="221"/>
      <c r="J4370" s="221"/>
      <c r="K4370" s="221"/>
      <c r="L4370" s="221"/>
      <c r="M4370" s="221"/>
    </row>
    <row r="4371" spans="5:13">
      <c r="E4371" s="221"/>
      <c r="F4371" s="221"/>
      <c r="G4371" s="221"/>
      <c r="H4371" s="221"/>
      <c r="I4371" s="221"/>
      <c r="J4371" s="221"/>
      <c r="K4371" s="221"/>
      <c r="L4371" s="221"/>
      <c r="M4371" s="221"/>
    </row>
    <row r="4372" spans="5:13">
      <c r="E4372" s="221"/>
      <c r="F4372" s="221"/>
      <c r="G4372" s="221"/>
      <c r="H4372" s="221"/>
      <c r="I4372" s="221"/>
      <c r="J4372" s="221"/>
      <c r="K4372" s="221"/>
      <c r="L4372" s="221"/>
      <c r="M4372" s="221"/>
    </row>
    <row r="4373" spans="5:13">
      <c r="E4373" s="221"/>
      <c r="F4373" s="221"/>
      <c r="G4373" s="221"/>
      <c r="H4373" s="221"/>
      <c r="I4373" s="221"/>
      <c r="J4373" s="221"/>
      <c r="K4373" s="221"/>
      <c r="L4373" s="221"/>
      <c r="M4373" s="221"/>
    </row>
    <row r="4374" spans="5:13">
      <c r="E4374" s="221"/>
      <c r="F4374" s="221"/>
      <c r="G4374" s="221"/>
      <c r="H4374" s="221"/>
      <c r="I4374" s="221"/>
      <c r="J4374" s="221"/>
      <c r="K4374" s="221"/>
      <c r="L4374" s="221"/>
      <c r="M4374" s="221"/>
    </row>
    <row r="4375" spans="5:13">
      <c r="E4375" s="221"/>
      <c r="F4375" s="221"/>
      <c r="G4375" s="221"/>
      <c r="H4375" s="221"/>
      <c r="I4375" s="221"/>
      <c r="J4375" s="221"/>
      <c r="K4375" s="221"/>
      <c r="L4375" s="221"/>
      <c r="M4375" s="221"/>
    </row>
    <row r="4376" spans="5:13">
      <c r="E4376" s="221"/>
      <c r="F4376" s="221"/>
      <c r="G4376" s="221"/>
      <c r="H4376" s="221"/>
      <c r="I4376" s="221"/>
      <c r="J4376" s="221"/>
      <c r="K4376" s="221"/>
      <c r="L4376" s="221"/>
      <c r="M4376" s="221"/>
    </row>
    <row r="4377" spans="5:13">
      <c r="E4377" s="221"/>
      <c r="F4377" s="221"/>
      <c r="G4377" s="221"/>
      <c r="H4377" s="221"/>
      <c r="I4377" s="221"/>
      <c r="J4377" s="221"/>
      <c r="K4377" s="221"/>
      <c r="L4377" s="221"/>
      <c r="M4377" s="221"/>
    </row>
    <row r="4378" spans="5:13">
      <c r="E4378" s="221"/>
      <c r="F4378" s="221"/>
      <c r="G4378" s="221"/>
      <c r="H4378" s="221"/>
      <c r="I4378" s="221"/>
      <c r="J4378" s="221"/>
      <c r="K4378" s="221"/>
      <c r="L4378" s="221"/>
      <c r="M4378" s="221"/>
    </row>
    <row r="4379" spans="5:13">
      <c r="E4379" s="221"/>
      <c r="F4379" s="221"/>
      <c r="G4379" s="221"/>
      <c r="H4379" s="221"/>
      <c r="I4379" s="221"/>
      <c r="J4379" s="221"/>
      <c r="K4379" s="221"/>
      <c r="L4379" s="221"/>
      <c r="M4379" s="221"/>
    </row>
    <row r="4380" spans="5:13">
      <c r="E4380" s="221"/>
      <c r="F4380" s="221"/>
      <c r="G4380" s="221"/>
      <c r="H4380" s="221"/>
      <c r="I4380" s="221"/>
      <c r="J4380" s="221"/>
      <c r="K4380" s="221"/>
      <c r="L4380" s="221"/>
      <c r="M4380" s="221"/>
    </row>
    <row r="4381" spans="5:13">
      <c r="E4381" s="221"/>
      <c r="F4381" s="221"/>
      <c r="G4381" s="221"/>
      <c r="H4381" s="221"/>
      <c r="I4381" s="221"/>
      <c r="J4381" s="221"/>
      <c r="K4381" s="221"/>
      <c r="L4381" s="221"/>
      <c r="M4381" s="221"/>
    </row>
    <row r="4382" spans="5:13">
      <c r="E4382" s="221"/>
      <c r="F4382" s="221"/>
      <c r="G4382" s="221"/>
      <c r="H4382" s="221"/>
      <c r="I4382" s="221"/>
      <c r="J4382" s="221"/>
      <c r="K4382" s="221"/>
      <c r="L4382" s="221"/>
      <c r="M4382" s="221"/>
    </row>
    <row r="4383" spans="5:13">
      <c r="E4383" s="221"/>
      <c r="F4383" s="221"/>
      <c r="G4383" s="221"/>
      <c r="H4383" s="221"/>
      <c r="I4383" s="221"/>
      <c r="J4383" s="221"/>
      <c r="K4383" s="221"/>
      <c r="L4383" s="221"/>
      <c r="M4383" s="221"/>
    </row>
    <row r="4384" spans="5:13">
      <c r="E4384" s="221"/>
      <c r="F4384" s="221"/>
      <c r="G4384" s="221"/>
      <c r="H4384" s="221"/>
      <c r="I4384" s="221"/>
      <c r="J4384" s="221"/>
      <c r="K4384" s="221"/>
      <c r="L4384" s="221"/>
      <c r="M4384" s="221"/>
    </row>
    <row r="4385" spans="5:13">
      <c r="E4385" s="221"/>
      <c r="F4385" s="221"/>
      <c r="G4385" s="221"/>
      <c r="H4385" s="221"/>
      <c r="I4385" s="221"/>
      <c r="J4385" s="221"/>
      <c r="K4385" s="221"/>
      <c r="L4385" s="221"/>
      <c r="M4385" s="221"/>
    </row>
    <row r="4386" spans="5:13">
      <c r="E4386" s="221"/>
      <c r="F4386" s="221"/>
      <c r="G4386" s="221"/>
      <c r="H4386" s="221"/>
      <c r="I4386" s="221"/>
      <c r="J4386" s="221"/>
      <c r="K4386" s="221"/>
      <c r="L4386" s="221"/>
      <c r="M4386" s="221"/>
    </row>
    <row r="4387" spans="5:13">
      <c r="E4387" s="221"/>
      <c r="F4387" s="221"/>
      <c r="G4387" s="221"/>
      <c r="H4387" s="221"/>
      <c r="I4387" s="221"/>
      <c r="J4387" s="221"/>
      <c r="K4387" s="221"/>
      <c r="L4387" s="221"/>
      <c r="M4387" s="221"/>
    </row>
    <row r="4388" spans="5:13">
      <c r="E4388" s="221"/>
      <c r="F4388" s="221"/>
      <c r="G4388" s="221"/>
      <c r="H4388" s="221"/>
      <c r="I4388" s="221"/>
      <c r="J4388" s="221"/>
      <c r="K4388" s="221"/>
      <c r="L4388" s="221"/>
      <c r="M4388" s="221"/>
    </row>
    <row r="4389" spans="5:13">
      <c r="E4389" s="221"/>
      <c r="F4389" s="221"/>
      <c r="G4389" s="221"/>
      <c r="H4389" s="221"/>
      <c r="I4389" s="221"/>
      <c r="J4389" s="221"/>
      <c r="K4389" s="221"/>
      <c r="L4389" s="221"/>
      <c r="M4389" s="221"/>
    </row>
    <row r="4390" spans="5:13">
      <c r="E4390" s="221"/>
      <c r="F4390" s="221"/>
      <c r="G4390" s="221"/>
      <c r="H4390" s="221"/>
      <c r="I4390" s="221"/>
      <c r="J4390" s="221"/>
      <c r="K4390" s="221"/>
      <c r="L4390" s="221"/>
      <c r="M4390" s="221"/>
    </row>
    <row r="4391" spans="5:13">
      <c r="E4391" s="221"/>
      <c r="F4391" s="221"/>
      <c r="G4391" s="221"/>
      <c r="H4391" s="221"/>
      <c r="I4391" s="221"/>
      <c r="J4391" s="221"/>
      <c r="K4391" s="221"/>
      <c r="L4391" s="221"/>
      <c r="M4391" s="221"/>
    </row>
    <row r="4392" spans="5:13">
      <c r="E4392" s="221"/>
      <c r="F4392" s="221"/>
      <c r="G4392" s="221"/>
      <c r="H4392" s="221"/>
      <c r="I4392" s="221"/>
      <c r="J4392" s="221"/>
      <c r="K4392" s="221"/>
      <c r="L4392" s="221"/>
      <c r="M4392" s="221"/>
    </row>
    <row r="4393" spans="5:13">
      <c r="E4393" s="221"/>
      <c r="F4393" s="221"/>
      <c r="G4393" s="221"/>
      <c r="H4393" s="221"/>
      <c r="I4393" s="221"/>
      <c r="J4393" s="221"/>
      <c r="K4393" s="221"/>
      <c r="L4393" s="221"/>
      <c r="M4393" s="221"/>
    </row>
    <row r="4394" spans="5:13">
      <c r="E4394" s="221"/>
      <c r="F4394" s="221"/>
      <c r="G4394" s="221"/>
      <c r="H4394" s="221"/>
      <c r="I4394" s="221"/>
      <c r="J4394" s="221"/>
      <c r="K4394" s="221"/>
      <c r="L4394" s="221"/>
      <c r="M4394" s="221"/>
    </row>
    <row r="4395" spans="5:13">
      <c r="E4395" s="221"/>
      <c r="F4395" s="221"/>
      <c r="G4395" s="221"/>
      <c r="H4395" s="221"/>
      <c r="I4395" s="221"/>
      <c r="J4395" s="221"/>
      <c r="K4395" s="221"/>
      <c r="L4395" s="221"/>
      <c r="M4395" s="221"/>
    </row>
    <row r="4396" spans="5:13">
      <c r="E4396" s="221"/>
      <c r="F4396" s="221"/>
      <c r="G4396" s="221"/>
      <c r="H4396" s="221"/>
      <c r="I4396" s="221"/>
      <c r="J4396" s="221"/>
      <c r="K4396" s="221"/>
      <c r="L4396" s="221"/>
      <c r="M4396" s="221"/>
    </row>
    <row r="4397" spans="5:13">
      <c r="E4397" s="221"/>
      <c r="F4397" s="221"/>
      <c r="G4397" s="221"/>
      <c r="H4397" s="221"/>
      <c r="I4397" s="221"/>
      <c r="J4397" s="221"/>
      <c r="K4397" s="221"/>
      <c r="L4397" s="221"/>
      <c r="M4397" s="221"/>
    </row>
    <row r="4398" spans="5:13">
      <c r="E4398" s="221"/>
      <c r="F4398" s="221"/>
      <c r="G4398" s="221"/>
      <c r="H4398" s="221"/>
      <c r="I4398" s="221"/>
      <c r="J4398" s="221"/>
      <c r="K4398" s="221"/>
      <c r="L4398" s="221"/>
      <c r="M4398" s="221"/>
    </row>
    <row r="4399" spans="5:13">
      <c r="E4399" s="221"/>
      <c r="F4399" s="221"/>
      <c r="G4399" s="221"/>
      <c r="H4399" s="221"/>
      <c r="I4399" s="221"/>
      <c r="J4399" s="221"/>
      <c r="K4399" s="221"/>
      <c r="L4399" s="221"/>
      <c r="M4399" s="221"/>
    </row>
    <row r="4400" spans="5:13">
      <c r="E4400" s="221"/>
      <c r="F4400" s="221"/>
      <c r="G4400" s="221"/>
      <c r="H4400" s="221"/>
      <c r="I4400" s="221"/>
      <c r="J4400" s="221"/>
      <c r="K4400" s="221"/>
      <c r="L4400" s="221"/>
      <c r="M4400" s="221"/>
    </row>
    <row r="4401" spans="5:13">
      <c r="E4401" s="221"/>
      <c r="F4401" s="221"/>
      <c r="G4401" s="221"/>
      <c r="H4401" s="221"/>
      <c r="I4401" s="221"/>
      <c r="J4401" s="221"/>
      <c r="K4401" s="221"/>
      <c r="L4401" s="221"/>
      <c r="M4401" s="221"/>
    </row>
    <row r="4402" spans="5:13">
      <c r="E4402" s="221"/>
      <c r="F4402" s="221"/>
      <c r="G4402" s="221"/>
      <c r="H4402" s="221"/>
      <c r="I4402" s="221"/>
      <c r="J4402" s="221"/>
      <c r="K4402" s="221"/>
      <c r="L4402" s="221"/>
      <c r="M4402" s="221"/>
    </row>
    <row r="4403" spans="5:13">
      <c r="E4403" s="221"/>
      <c r="F4403" s="221"/>
      <c r="G4403" s="221"/>
      <c r="H4403" s="221"/>
      <c r="I4403" s="221"/>
      <c r="J4403" s="221"/>
      <c r="K4403" s="221"/>
      <c r="L4403" s="221"/>
      <c r="M4403" s="221"/>
    </row>
    <row r="4404" spans="5:13">
      <c r="E4404" s="221"/>
      <c r="F4404" s="221"/>
      <c r="G4404" s="221"/>
      <c r="H4404" s="221"/>
      <c r="I4404" s="221"/>
      <c r="J4404" s="221"/>
      <c r="K4404" s="221"/>
      <c r="L4404" s="221"/>
      <c r="M4404" s="221"/>
    </row>
    <row r="4405" spans="5:13">
      <c r="E4405" s="221"/>
      <c r="F4405" s="221"/>
      <c r="G4405" s="221"/>
      <c r="H4405" s="221"/>
      <c r="I4405" s="221"/>
      <c r="J4405" s="221"/>
      <c r="K4405" s="221"/>
      <c r="L4405" s="221"/>
      <c r="M4405" s="221"/>
    </row>
    <row r="4406" spans="5:13">
      <c r="E4406" s="221"/>
      <c r="F4406" s="221"/>
      <c r="G4406" s="221"/>
      <c r="H4406" s="221"/>
      <c r="I4406" s="221"/>
      <c r="J4406" s="221"/>
      <c r="K4406" s="221"/>
      <c r="L4406" s="221"/>
      <c r="M4406" s="221"/>
    </row>
    <row r="4407" spans="5:13">
      <c r="E4407" s="221"/>
      <c r="F4407" s="221"/>
      <c r="G4407" s="221"/>
      <c r="H4407" s="221"/>
      <c r="I4407" s="221"/>
      <c r="J4407" s="221"/>
      <c r="K4407" s="221"/>
      <c r="L4407" s="221"/>
      <c r="M4407" s="221"/>
    </row>
    <row r="4408" spans="5:13">
      <c r="E4408" s="221"/>
      <c r="F4408" s="221"/>
      <c r="G4408" s="221"/>
      <c r="H4408" s="221"/>
      <c r="I4408" s="221"/>
      <c r="J4408" s="221"/>
      <c r="K4408" s="221"/>
      <c r="L4408" s="221"/>
      <c r="M4408" s="221"/>
    </row>
    <row r="4409" spans="5:13">
      <c r="E4409" s="221"/>
      <c r="F4409" s="221"/>
      <c r="G4409" s="221"/>
      <c r="H4409" s="221"/>
      <c r="I4409" s="221"/>
      <c r="J4409" s="221"/>
      <c r="K4409" s="221"/>
      <c r="L4409" s="221"/>
      <c r="M4409" s="221"/>
    </row>
    <row r="4410" spans="5:13">
      <c r="E4410" s="221"/>
      <c r="F4410" s="221"/>
      <c r="G4410" s="221"/>
      <c r="H4410" s="221"/>
      <c r="I4410" s="221"/>
      <c r="J4410" s="221"/>
      <c r="K4410" s="221"/>
      <c r="L4410" s="221"/>
      <c r="M4410" s="221"/>
    </row>
    <row r="4411" spans="5:13">
      <c r="E4411" s="221"/>
      <c r="F4411" s="221"/>
      <c r="G4411" s="221"/>
      <c r="H4411" s="221"/>
      <c r="I4411" s="221"/>
      <c r="J4411" s="221"/>
      <c r="K4411" s="221"/>
      <c r="L4411" s="221"/>
      <c r="M4411" s="221"/>
    </row>
    <row r="4412" spans="5:13">
      <c r="E4412" s="221"/>
      <c r="F4412" s="221"/>
      <c r="G4412" s="221"/>
      <c r="H4412" s="221"/>
      <c r="I4412" s="221"/>
      <c r="J4412" s="221"/>
      <c r="K4412" s="221"/>
      <c r="L4412" s="221"/>
      <c r="M4412" s="221"/>
    </row>
    <row r="4413" spans="5:13">
      <c r="E4413" s="221"/>
      <c r="F4413" s="221"/>
      <c r="G4413" s="221"/>
      <c r="H4413" s="221"/>
      <c r="I4413" s="221"/>
      <c r="J4413" s="221"/>
      <c r="K4413" s="221"/>
      <c r="L4413" s="221"/>
      <c r="M4413" s="221"/>
    </row>
    <row r="4414" spans="5:13">
      <c r="E4414" s="221"/>
      <c r="F4414" s="221"/>
      <c r="G4414" s="221"/>
      <c r="H4414" s="221"/>
      <c r="I4414" s="221"/>
      <c r="J4414" s="221"/>
      <c r="K4414" s="221"/>
      <c r="L4414" s="221"/>
      <c r="M4414" s="221"/>
    </row>
    <row r="4415" spans="5:13">
      <c r="E4415" s="221"/>
      <c r="F4415" s="221"/>
      <c r="G4415" s="221"/>
      <c r="H4415" s="221"/>
      <c r="I4415" s="221"/>
      <c r="J4415" s="221"/>
      <c r="K4415" s="221"/>
      <c r="L4415" s="221"/>
      <c r="M4415" s="221"/>
    </row>
    <row r="4416" spans="5:13">
      <c r="E4416" s="221"/>
      <c r="F4416" s="221"/>
      <c r="G4416" s="221"/>
      <c r="H4416" s="221"/>
      <c r="I4416" s="221"/>
      <c r="J4416" s="221"/>
      <c r="K4416" s="221"/>
      <c r="L4416" s="221"/>
      <c r="M4416" s="221"/>
    </row>
    <row r="4417" spans="5:13">
      <c r="E4417" s="221"/>
      <c r="F4417" s="221"/>
      <c r="G4417" s="221"/>
      <c r="H4417" s="221"/>
      <c r="I4417" s="221"/>
      <c r="J4417" s="221"/>
      <c r="K4417" s="221"/>
      <c r="L4417" s="221"/>
      <c r="M4417" s="221"/>
    </row>
    <row r="4418" spans="5:13">
      <c r="E4418" s="221"/>
      <c r="F4418" s="221"/>
      <c r="G4418" s="221"/>
      <c r="H4418" s="221"/>
      <c r="I4418" s="221"/>
      <c r="J4418" s="221"/>
      <c r="K4418" s="221"/>
      <c r="L4418" s="221"/>
      <c r="M4418" s="221"/>
    </row>
    <row r="4419" spans="5:13">
      <c r="E4419" s="221"/>
      <c r="F4419" s="221"/>
      <c r="G4419" s="221"/>
      <c r="H4419" s="221"/>
      <c r="I4419" s="221"/>
      <c r="J4419" s="221"/>
      <c r="K4419" s="221"/>
      <c r="L4419" s="221"/>
      <c r="M4419" s="221"/>
    </row>
    <row r="4420" spans="5:13">
      <c r="E4420" s="221"/>
      <c r="F4420" s="221"/>
      <c r="G4420" s="221"/>
      <c r="H4420" s="221"/>
      <c r="I4420" s="221"/>
      <c r="J4420" s="221"/>
      <c r="K4420" s="221"/>
      <c r="L4420" s="221"/>
      <c r="M4420" s="221"/>
    </row>
    <row r="4421" spans="5:13">
      <c r="E4421" s="221"/>
      <c r="F4421" s="221"/>
      <c r="G4421" s="221"/>
      <c r="H4421" s="221"/>
      <c r="I4421" s="221"/>
      <c r="J4421" s="221"/>
      <c r="K4421" s="221"/>
      <c r="L4421" s="221"/>
      <c r="M4421" s="221"/>
    </row>
    <row r="4422" spans="5:13">
      <c r="E4422" s="221"/>
      <c r="F4422" s="221"/>
      <c r="G4422" s="221"/>
      <c r="H4422" s="221"/>
      <c r="I4422" s="221"/>
      <c r="J4422" s="221"/>
      <c r="K4422" s="221"/>
      <c r="L4422" s="221"/>
      <c r="M4422" s="221"/>
    </row>
    <row r="4423" spans="5:13">
      <c r="E4423" s="221"/>
      <c r="F4423" s="221"/>
      <c r="G4423" s="221"/>
      <c r="H4423" s="221"/>
      <c r="I4423" s="221"/>
      <c r="J4423" s="221"/>
      <c r="K4423" s="221"/>
      <c r="L4423" s="221"/>
      <c r="M4423" s="221"/>
    </row>
    <row r="4424" spans="5:13">
      <c r="E4424" s="221"/>
      <c r="F4424" s="221"/>
      <c r="G4424" s="221"/>
      <c r="H4424" s="221"/>
      <c r="I4424" s="221"/>
      <c r="J4424" s="221"/>
      <c r="K4424" s="221"/>
      <c r="L4424" s="221"/>
      <c r="M4424" s="221"/>
    </row>
    <row r="4425" spans="5:13">
      <c r="E4425" s="221"/>
      <c r="F4425" s="221"/>
      <c r="G4425" s="221"/>
      <c r="H4425" s="221"/>
      <c r="I4425" s="221"/>
      <c r="J4425" s="221"/>
      <c r="K4425" s="221"/>
      <c r="L4425" s="221"/>
      <c r="M4425" s="221"/>
    </row>
    <row r="4426" spans="5:13">
      <c r="E4426" s="221"/>
      <c r="F4426" s="221"/>
      <c r="G4426" s="221"/>
      <c r="H4426" s="221"/>
      <c r="I4426" s="221"/>
      <c r="J4426" s="221"/>
      <c r="K4426" s="221"/>
      <c r="L4426" s="221"/>
      <c r="M4426" s="221"/>
    </row>
    <row r="4427" spans="5:13">
      <c r="E4427" s="221"/>
      <c r="F4427" s="221"/>
      <c r="G4427" s="221"/>
      <c r="H4427" s="221"/>
      <c r="I4427" s="221"/>
      <c r="J4427" s="221"/>
      <c r="K4427" s="221"/>
      <c r="L4427" s="221"/>
      <c r="M4427" s="221"/>
    </row>
    <row r="4428" spans="5:13">
      <c r="E4428" s="221"/>
      <c r="F4428" s="221"/>
      <c r="G4428" s="221"/>
      <c r="H4428" s="221"/>
      <c r="I4428" s="221"/>
      <c r="J4428" s="221"/>
      <c r="K4428" s="221"/>
      <c r="L4428" s="221"/>
      <c r="M4428" s="221"/>
    </row>
    <row r="4429" spans="5:13">
      <c r="E4429" s="221"/>
      <c r="F4429" s="221"/>
      <c r="G4429" s="221"/>
      <c r="H4429" s="221"/>
      <c r="I4429" s="221"/>
      <c r="J4429" s="221"/>
      <c r="K4429" s="221"/>
      <c r="L4429" s="221"/>
      <c r="M4429" s="221"/>
    </row>
    <row r="4430" spans="5:13">
      <c r="E4430" s="221"/>
      <c r="F4430" s="221"/>
      <c r="G4430" s="221"/>
      <c r="H4430" s="221"/>
      <c r="I4430" s="221"/>
      <c r="J4430" s="221"/>
      <c r="K4430" s="221"/>
      <c r="L4430" s="221"/>
      <c r="M4430" s="221"/>
    </row>
    <row r="4431" spans="5:13">
      <c r="E4431" s="221"/>
      <c r="F4431" s="221"/>
      <c r="G4431" s="221"/>
      <c r="H4431" s="221"/>
      <c r="I4431" s="221"/>
      <c r="J4431" s="221"/>
      <c r="K4431" s="221"/>
      <c r="L4431" s="221"/>
      <c r="M4431" s="221"/>
    </row>
    <row r="4432" spans="5:13">
      <c r="E4432" s="221"/>
      <c r="F4432" s="221"/>
      <c r="G4432" s="221"/>
      <c r="H4432" s="221"/>
      <c r="I4432" s="221"/>
      <c r="J4432" s="221"/>
      <c r="K4432" s="221"/>
      <c r="L4432" s="221"/>
      <c r="M4432" s="221"/>
    </row>
    <row r="4433" spans="5:13">
      <c r="E4433" s="221"/>
      <c r="F4433" s="221"/>
      <c r="G4433" s="221"/>
      <c r="H4433" s="221"/>
      <c r="I4433" s="221"/>
      <c r="J4433" s="221"/>
      <c r="K4433" s="221"/>
      <c r="L4433" s="221"/>
      <c r="M4433" s="221"/>
    </row>
    <row r="4434" spans="5:13">
      <c r="E4434" s="221"/>
      <c r="F4434" s="221"/>
      <c r="G4434" s="221"/>
      <c r="H4434" s="221"/>
      <c r="I4434" s="221"/>
      <c r="J4434" s="221"/>
      <c r="K4434" s="221"/>
      <c r="L4434" s="221"/>
      <c r="M4434" s="221"/>
    </row>
    <row r="4435" spans="5:13">
      <c r="E4435" s="221"/>
      <c r="F4435" s="221"/>
      <c r="G4435" s="221"/>
      <c r="H4435" s="221"/>
      <c r="I4435" s="221"/>
      <c r="J4435" s="221"/>
      <c r="K4435" s="221"/>
      <c r="L4435" s="221"/>
      <c r="M4435" s="221"/>
    </row>
    <row r="4436" spans="5:13">
      <c r="E4436" s="221"/>
      <c r="F4436" s="221"/>
      <c r="G4436" s="221"/>
      <c r="H4436" s="221"/>
      <c r="I4436" s="221"/>
      <c r="J4436" s="221"/>
      <c r="K4436" s="221"/>
      <c r="L4436" s="221"/>
      <c r="M4436" s="221"/>
    </row>
    <row r="4437" spans="5:13">
      <c r="E4437" s="221"/>
      <c r="F4437" s="221"/>
      <c r="G4437" s="221"/>
      <c r="H4437" s="221"/>
      <c r="I4437" s="221"/>
      <c r="J4437" s="221"/>
      <c r="K4437" s="221"/>
      <c r="L4437" s="221"/>
      <c r="M4437" s="221"/>
    </row>
    <row r="4438" spans="5:13">
      <c r="E4438" s="221"/>
      <c r="F4438" s="221"/>
      <c r="G4438" s="221"/>
      <c r="H4438" s="221"/>
      <c r="I4438" s="221"/>
      <c r="J4438" s="221"/>
      <c r="K4438" s="221"/>
      <c r="L4438" s="221"/>
      <c r="M4438" s="221"/>
    </row>
    <row r="4439" spans="5:13">
      <c r="E4439" s="221"/>
      <c r="F4439" s="221"/>
      <c r="G4439" s="221"/>
      <c r="H4439" s="221"/>
      <c r="I4439" s="221"/>
      <c r="J4439" s="221"/>
      <c r="K4439" s="221"/>
      <c r="L4439" s="221"/>
      <c r="M4439" s="221"/>
    </row>
    <row r="4440" spans="5:13">
      <c r="E4440" s="221"/>
      <c r="F4440" s="221"/>
      <c r="G4440" s="221"/>
      <c r="H4440" s="221"/>
      <c r="I4440" s="221"/>
      <c r="J4440" s="221"/>
      <c r="K4440" s="221"/>
      <c r="L4440" s="221"/>
      <c r="M4440" s="221"/>
    </row>
    <row r="4441" spans="5:13">
      <c r="E4441" s="221"/>
      <c r="F4441" s="221"/>
      <c r="G4441" s="221"/>
      <c r="H4441" s="221"/>
      <c r="I4441" s="221"/>
      <c r="J4441" s="221"/>
      <c r="K4441" s="221"/>
      <c r="L4441" s="221"/>
      <c r="M4441" s="221"/>
    </row>
    <row r="4442" spans="5:13">
      <c r="E4442" s="221"/>
      <c r="F4442" s="221"/>
      <c r="G4442" s="221"/>
      <c r="H4442" s="221"/>
      <c r="I4442" s="221"/>
      <c r="J4442" s="221"/>
      <c r="K4442" s="221"/>
      <c r="L4442" s="221"/>
      <c r="M4442" s="221"/>
    </row>
    <row r="4443" spans="5:13">
      <c r="E4443" s="221"/>
      <c r="F4443" s="221"/>
      <c r="G4443" s="221"/>
      <c r="H4443" s="221"/>
      <c r="I4443" s="221"/>
      <c r="J4443" s="221"/>
      <c r="K4443" s="221"/>
      <c r="L4443" s="221"/>
      <c r="M4443" s="221"/>
    </row>
    <row r="4444" spans="5:13">
      <c r="E4444" s="221"/>
      <c r="F4444" s="221"/>
      <c r="G4444" s="221"/>
      <c r="H4444" s="221"/>
      <c r="I4444" s="221"/>
      <c r="J4444" s="221"/>
      <c r="K4444" s="221"/>
      <c r="L4444" s="221"/>
      <c r="M4444" s="221"/>
    </row>
    <row r="4445" spans="5:13">
      <c r="E4445" s="221"/>
      <c r="F4445" s="221"/>
      <c r="G4445" s="221"/>
      <c r="H4445" s="221"/>
      <c r="I4445" s="221"/>
      <c r="J4445" s="221"/>
      <c r="K4445" s="221"/>
      <c r="L4445" s="221"/>
      <c r="M4445" s="221"/>
    </row>
    <row r="4446" spans="5:13">
      <c r="E4446" s="221"/>
      <c r="F4446" s="221"/>
      <c r="G4446" s="221"/>
      <c r="H4446" s="221"/>
      <c r="I4446" s="221"/>
      <c r="J4446" s="221"/>
      <c r="K4446" s="221"/>
      <c r="L4446" s="221"/>
      <c r="M4446" s="221"/>
    </row>
    <row r="4447" spans="5:13">
      <c r="E4447" s="221"/>
      <c r="F4447" s="221"/>
      <c r="G4447" s="221"/>
      <c r="H4447" s="221"/>
      <c r="I4447" s="221"/>
      <c r="J4447" s="221"/>
      <c r="K4447" s="221"/>
      <c r="L4447" s="221"/>
      <c r="M4447" s="221"/>
    </row>
    <row r="4448" spans="5:13">
      <c r="E4448" s="221"/>
      <c r="F4448" s="221"/>
      <c r="G4448" s="221"/>
      <c r="H4448" s="221"/>
      <c r="I4448" s="221"/>
      <c r="J4448" s="221"/>
      <c r="K4448" s="221"/>
      <c r="L4448" s="221"/>
      <c r="M4448" s="221"/>
    </row>
    <row r="4449" spans="5:13">
      <c r="E4449" s="221"/>
      <c r="F4449" s="221"/>
      <c r="G4449" s="221"/>
      <c r="H4449" s="221"/>
      <c r="I4449" s="221"/>
      <c r="J4449" s="221"/>
      <c r="K4449" s="221"/>
      <c r="L4449" s="221"/>
      <c r="M4449" s="221"/>
    </row>
    <row r="4450" spans="5:13">
      <c r="E4450" s="221"/>
      <c r="F4450" s="221"/>
      <c r="G4450" s="221"/>
      <c r="H4450" s="221"/>
      <c r="I4450" s="221"/>
      <c r="J4450" s="221"/>
      <c r="K4450" s="221"/>
      <c r="L4450" s="221"/>
      <c r="M4450" s="221"/>
    </row>
    <row r="4451" spans="5:13">
      <c r="E4451" s="221"/>
      <c r="F4451" s="221"/>
      <c r="G4451" s="221"/>
      <c r="H4451" s="221"/>
      <c r="I4451" s="221"/>
      <c r="J4451" s="221"/>
      <c r="K4451" s="221"/>
      <c r="L4451" s="221"/>
      <c r="M4451" s="221"/>
    </row>
    <row r="4452" spans="5:13">
      <c r="E4452" s="221"/>
      <c r="F4452" s="221"/>
      <c r="G4452" s="221"/>
      <c r="H4452" s="221"/>
      <c r="I4452" s="221"/>
      <c r="J4452" s="221"/>
      <c r="K4452" s="221"/>
      <c r="L4452" s="221"/>
      <c r="M4452" s="221"/>
    </row>
    <row r="4453" spans="5:13">
      <c r="E4453" s="221"/>
      <c r="F4453" s="221"/>
      <c r="G4453" s="221"/>
      <c r="H4453" s="221"/>
      <c r="I4453" s="221"/>
      <c r="J4453" s="221"/>
      <c r="K4453" s="221"/>
      <c r="L4453" s="221"/>
      <c r="M4453" s="221"/>
    </row>
    <row r="4454" spans="5:13">
      <c r="E4454" s="221"/>
      <c r="F4454" s="221"/>
      <c r="G4454" s="221"/>
      <c r="H4454" s="221"/>
      <c r="I4454" s="221"/>
      <c r="J4454" s="221"/>
      <c r="K4454" s="221"/>
      <c r="L4454" s="221"/>
      <c r="M4454" s="221"/>
    </row>
    <row r="4455" spans="5:13">
      <c r="E4455" s="221"/>
      <c r="F4455" s="221"/>
      <c r="G4455" s="221"/>
      <c r="H4455" s="221"/>
      <c r="I4455" s="221"/>
      <c r="J4455" s="221"/>
      <c r="K4455" s="221"/>
      <c r="L4455" s="221"/>
      <c r="M4455" s="221"/>
    </row>
    <row r="4456" spans="5:13">
      <c r="E4456" s="221"/>
      <c r="F4456" s="221"/>
      <c r="G4456" s="221"/>
      <c r="H4456" s="221"/>
      <c r="I4456" s="221"/>
      <c r="J4456" s="221"/>
      <c r="K4456" s="221"/>
      <c r="L4456" s="221"/>
      <c r="M4456" s="221"/>
    </row>
    <row r="4457" spans="5:13">
      <c r="E4457" s="221"/>
      <c r="F4457" s="221"/>
      <c r="G4457" s="221"/>
      <c r="H4457" s="221"/>
      <c r="I4457" s="221"/>
      <c r="J4457" s="221"/>
      <c r="K4457" s="221"/>
      <c r="L4457" s="221"/>
      <c r="M4457" s="221"/>
    </row>
    <row r="4458" spans="5:13">
      <c r="E4458" s="221"/>
      <c r="F4458" s="221"/>
      <c r="G4458" s="221"/>
      <c r="H4458" s="221"/>
      <c r="I4458" s="221"/>
      <c r="J4458" s="221"/>
      <c r="K4458" s="221"/>
      <c r="L4458" s="221"/>
      <c r="M4458" s="221"/>
    </row>
    <row r="4459" spans="5:13">
      <c r="E4459" s="221"/>
      <c r="F4459" s="221"/>
      <c r="G4459" s="221"/>
      <c r="H4459" s="221"/>
      <c r="I4459" s="221"/>
      <c r="J4459" s="221"/>
      <c r="K4459" s="221"/>
      <c r="L4459" s="221"/>
      <c r="M4459" s="221"/>
    </row>
    <row r="4460" spans="5:13">
      <c r="E4460" s="221"/>
      <c r="F4460" s="221"/>
      <c r="G4460" s="221"/>
      <c r="H4460" s="221"/>
      <c r="I4460" s="221"/>
      <c r="J4460" s="221"/>
      <c r="K4460" s="221"/>
      <c r="L4460" s="221"/>
      <c r="M4460" s="221"/>
    </row>
    <row r="4461" spans="5:13">
      <c r="E4461" s="221"/>
      <c r="F4461" s="221"/>
      <c r="G4461" s="221"/>
      <c r="H4461" s="221"/>
      <c r="I4461" s="221"/>
      <c r="J4461" s="221"/>
      <c r="K4461" s="221"/>
      <c r="L4461" s="221"/>
      <c r="M4461" s="221"/>
    </row>
    <row r="4462" spans="5:13">
      <c r="E4462" s="221"/>
      <c r="F4462" s="221"/>
      <c r="G4462" s="221"/>
      <c r="H4462" s="221"/>
      <c r="I4462" s="221"/>
      <c r="J4462" s="221"/>
      <c r="K4462" s="221"/>
      <c r="L4462" s="221"/>
      <c r="M4462" s="221"/>
    </row>
    <row r="4463" spans="5:13">
      <c r="E4463" s="221"/>
      <c r="F4463" s="221"/>
      <c r="G4463" s="221"/>
      <c r="H4463" s="221"/>
      <c r="I4463" s="221"/>
      <c r="J4463" s="221"/>
      <c r="K4463" s="221"/>
      <c r="L4463" s="221"/>
      <c r="M4463" s="221"/>
    </row>
    <row r="4464" spans="5:13">
      <c r="E4464" s="221"/>
      <c r="F4464" s="221"/>
      <c r="G4464" s="221"/>
      <c r="H4464" s="221"/>
      <c r="I4464" s="221"/>
      <c r="J4464" s="221"/>
      <c r="K4464" s="221"/>
      <c r="L4464" s="221"/>
      <c r="M4464" s="221"/>
    </row>
    <row r="4465" spans="5:13">
      <c r="E4465" s="221"/>
      <c r="F4465" s="221"/>
      <c r="G4465" s="221"/>
      <c r="H4465" s="221"/>
      <c r="I4465" s="221"/>
      <c r="J4465" s="221"/>
      <c r="K4465" s="221"/>
      <c r="L4465" s="221"/>
      <c r="M4465" s="221"/>
    </row>
    <row r="4466" spans="5:13">
      <c r="E4466" s="221"/>
      <c r="F4466" s="221"/>
      <c r="G4466" s="221"/>
      <c r="H4466" s="221"/>
      <c r="I4466" s="221"/>
      <c r="J4466" s="221"/>
      <c r="K4466" s="221"/>
      <c r="L4466" s="221"/>
      <c r="M4466" s="221"/>
    </row>
    <row r="4467" spans="5:13">
      <c r="E4467" s="221"/>
      <c r="F4467" s="221"/>
      <c r="G4467" s="221"/>
      <c r="H4467" s="221"/>
      <c r="I4467" s="221"/>
      <c r="J4467" s="221"/>
      <c r="K4467" s="221"/>
      <c r="L4467" s="221"/>
      <c r="M4467" s="221"/>
    </row>
    <row r="4468" spans="5:13">
      <c r="E4468" s="221"/>
      <c r="F4468" s="221"/>
      <c r="G4468" s="221"/>
      <c r="H4468" s="221"/>
      <c r="I4468" s="221"/>
      <c r="J4468" s="221"/>
      <c r="K4468" s="221"/>
      <c r="L4468" s="221"/>
      <c r="M4468" s="221"/>
    </row>
    <row r="4469" spans="5:13">
      <c r="E4469" s="221"/>
      <c r="F4469" s="221"/>
      <c r="G4469" s="221"/>
      <c r="H4469" s="221"/>
      <c r="I4469" s="221"/>
      <c r="J4469" s="221"/>
      <c r="K4469" s="221"/>
      <c r="L4469" s="221"/>
      <c r="M4469" s="221"/>
    </row>
    <row r="4470" spans="5:13">
      <c r="E4470" s="221"/>
      <c r="F4470" s="221"/>
      <c r="G4470" s="221"/>
      <c r="H4470" s="221"/>
      <c r="I4470" s="221"/>
      <c r="J4470" s="221"/>
      <c r="K4470" s="221"/>
      <c r="L4470" s="221"/>
      <c r="M4470" s="221"/>
    </row>
    <row r="4471" spans="5:13">
      <c r="E4471" s="221"/>
      <c r="F4471" s="221"/>
      <c r="G4471" s="221"/>
      <c r="H4471" s="221"/>
      <c r="I4471" s="221"/>
      <c r="J4471" s="221"/>
      <c r="K4471" s="221"/>
      <c r="L4471" s="221"/>
      <c r="M4471" s="221"/>
    </row>
    <row r="4472" spans="5:13">
      <c r="E4472" s="221"/>
      <c r="F4472" s="221"/>
      <c r="G4472" s="221"/>
      <c r="H4472" s="221"/>
      <c r="I4472" s="221"/>
      <c r="J4472" s="221"/>
      <c r="K4472" s="221"/>
      <c r="L4472" s="221"/>
      <c r="M4472" s="221"/>
    </row>
    <row r="4473" spans="5:13">
      <c r="E4473" s="221"/>
      <c r="F4473" s="221"/>
      <c r="G4473" s="221"/>
      <c r="H4473" s="221"/>
      <c r="I4473" s="221"/>
      <c r="J4473" s="221"/>
      <c r="K4473" s="221"/>
      <c r="L4473" s="221"/>
      <c r="M4473" s="221"/>
    </row>
    <row r="4474" spans="5:13">
      <c r="E4474" s="221"/>
      <c r="F4474" s="221"/>
      <c r="G4474" s="221"/>
      <c r="H4474" s="221"/>
      <c r="I4474" s="221"/>
      <c r="J4474" s="221"/>
      <c r="K4474" s="221"/>
      <c r="L4474" s="221"/>
      <c r="M4474" s="221"/>
    </row>
    <row r="4475" spans="5:13">
      <c r="E4475" s="221"/>
      <c r="F4475" s="221"/>
      <c r="G4475" s="221"/>
      <c r="H4475" s="221"/>
      <c r="I4475" s="221"/>
      <c r="J4475" s="221"/>
      <c r="K4475" s="221"/>
      <c r="L4475" s="221"/>
      <c r="M4475" s="221"/>
    </row>
    <row r="4476" spans="5:13">
      <c r="E4476" s="221"/>
      <c r="F4476" s="221"/>
      <c r="G4476" s="221"/>
      <c r="H4476" s="221"/>
      <c r="I4476" s="221"/>
      <c r="J4476" s="221"/>
      <c r="K4476" s="221"/>
      <c r="L4476" s="221"/>
      <c r="M4476" s="221"/>
    </row>
    <row r="4477" spans="5:13">
      <c r="E4477" s="221"/>
      <c r="F4477" s="221"/>
      <c r="G4477" s="221"/>
      <c r="H4477" s="221"/>
      <c r="I4477" s="221"/>
      <c r="J4477" s="221"/>
      <c r="K4477" s="221"/>
      <c r="L4477" s="221"/>
      <c r="M4477" s="221"/>
    </row>
    <row r="4478" spans="5:13">
      <c r="E4478" s="221"/>
      <c r="F4478" s="221"/>
      <c r="G4478" s="221"/>
      <c r="H4478" s="221"/>
      <c r="I4478" s="221"/>
      <c r="J4478" s="221"/>
      <c r="K4478" s="221"/>
      <c r="L4478" s="221"/>
      <c r="M4478" s="221"/>
    </row>
    <row r="4479" spans="5:13">
      <c r="E4479" s="221"/>
      <c r="F4479" s="221"/>
      <c r="G4479" s="221"/>
      <c r="H4479" s="221"/>
      <c r="I4479" s="221"/>
      <c r="J4479" s="221"/>
      <c r="K4479" s="221"/>
      <c r="L4479" s="221"/>
      <c r="M4479" s="221"/>
    </row>
    <row r="4480" spans="5:13">
      <c r="E4480" s="221"/>
      <c r="F4480" s="221"/>
      <c r="G4480" s="221"/>
      <c r="H4480" s="221"/>
      <c r="I4480" s="221"/>
      <c r="J4480" s="221"/>
      <c r="K4480" s="221"/>
      <c r="L4480" s="221"/>
      <c r="M4480" s="221"/>
    </row>
    <row r="4481" spans="5:13">
      <c r="E4481" s="221"/>
      <c r="F4481" s="221"/>
      <c r="G4481" s="221"/>
      <c r="H4481" s="221"/>
      <c r="I4481" s="221"/>
      <c r="J4481" s="221"/>
      <c r="K4481" s="221"/>
      <c r="L4481" s="221"/>
      <c r="M4481" s="221"/>
    </row>
    <row r="4482" spans="5:13">
      <c r="E4482" s="221"/>
      <c r="F4482" s="221"/>
      <c r="G4482" s="221"/>
      <c r="H4482" s="221"/>
      <c r="I4482" s="221"/>
      <c r="J4482" s="221"/>
      <c r="K4482" s="221"/>
      <c r="L4482" s="221"/>
      <c r="M4482" s="221"/>
    </row>
    <row r="4483" spans="5:13">
      <c r="E4483" s="221"/>
      <c r="F4483" s="221"/>
      <c r="G4483" s="221"/>
      <c r="H4483" s="221"/>
      <c r="I4483" s="221"/>
      <c r="J4483" s="221"/>
      <c r="K4483" s="221"/>
      <c r="L4483" s="221"/>
      <c r="M4483" s="221"/>
    </row>
    <row r="4484" spans="5:13">
      <c r="E4484" s="221"/>
      <c r="F4484" s="221"/>
      <c r="G4484" s="221"/>
      <c r="H4484" s="221"/>
      <c r="I4484" s="221"/>
      <c r="J4484" s="221"/>
      <c r="K4484" s="221"/>
      <c r="L4484" s="221"/>
      <c r="M4484" s="221"/>
    </row>
    <row r="4485" spans="5:13">
      <c r="E4485" s="221"/>
      <c r="F4485" s="221"/>
      <c r="G4485" s="221"/>
      <c r="H4485" s="221"/>
      <c r="I4485" s="221"/>
      <c r="J4485" s="221"/>
      <c r="K4485" s="221"/>
      <c r="L4485" s="221"/>
      <c r="M4485" s="221"/>
    </row>
    <row r="4486" spans="5:13">
      <c r="E4486" s="221"/>
      <c r="F4486" s="221"/>
      <c r="G4486" s="221"/>
      <c r="H4486" s="221"/>
      <c r="I4486" s="221"/>
      <c r="J4486" s="221"/>
      <c r="K4486" s="221"/>
      <c r="L4486" s="221"/>
      <c r="M4486" s="221"/>
    </row>
    <row r="4487" spans="5:13">
      <c r="E4487" s="221"/>
      <c r="F4487" s="221"/>
      <c r="G4487" s="221"/>
      <c r="H4487" s="221"/>
      <c r="I4487" s="221"/>
      <c r="J4487" s="221"/>
      <c r="K4487" s="221"/>
      <c r="L4487" s="221"/>
      <c r="M4487" s="221"/>
    </row>
    <row r="4488" spans="5:13">
      <c r="E4488" s="221"/>
      <c r="F4488" s="221"/>
      <c r="G4488" s="221"/>
      <c r="H4488" s="221"/>
      <c r="I4488" s="221"/>
      <c r="J4488" s="221"/>
      <c r="K4488" s="221"/>
      <c r="L4488" s="221"/>
      <c r="M4488" s="221"/>
    </row>
    <row r="4489" spans="5:13">
      <c r="E4489" s="221"/>
      <c r="F4489" s="221"/>
      <c r="G4489" s="221"/>
      <c r="H4489" s="221"/>
      <c r="I4489" s="221"/>
      <c r="J4489" s="221"/>
      <c r="K4489" s="221"/>
      <c r="L4489" s="221"/>
      <c r="M4489" s="221"/>
    </row>
    <row r="4490" spans="5:13">
      <c r="E4490" s="221"/>
      <c r="F4490" s="221"/>
      <c r="G4490" s="221"/>
      <c r="H4490" s="221"/>
      <c r="I4490" s="221"/>
      <c r="J4490" s="221"/>
      <c r="K4490" s="221"/>
      <c r="L4490" s="221"/>
      <c r="M4490" s="221"/>
    </row>
    <row r="4491" spans="5:13">
      <c r="E4491" s="221"/>
      <c r="F4491" s="221"/>
      <c r="G4491" s="221"/>
      <c r="H4491" s="221"/>
      <c r="I4491" s="221"/>
      <c r="J4491" s="221"/>
      <c r="K4491" s="221"/>
      <c r="L4491" s="221"/>
      <c r="M4491" s="221"/>
    </row>
    <row r="4492" spans="5:13">
      <c r="E4492" s="221"/>
      <c r="F4492" s="221"/>
      <c r="G4492" s="221"/>
      <c r="H4492" s="221"/>
      <c r="I4492" s="221"/>
      <c r="J4492" s="221"/>
      <c r="K4492" s="221"/>
      <c r="L4492" s="221"/>
      <c r="M4492" s="221"/>
    </row>
    <row r="4493" spans="5:13">
      <c r="E4493" s="221"/>
      <c r="F4493" s="221"/>
      <c r="G4493" s="221"/>
      <c r="H4493" s="221"/>
      <c r="I4493" s="221"/>
      <c r="J4493" s="221"/>
      <c r="K4493" s="221"/>
      <c r="L4493" s="221"/>
      <c r="M4493" s="221"/>
    </row>
    <row r="4494" spans="5:13">
      <c r="E4494" s="221"/>
      <c r="F4494" s="221"/>
      <c r="G4494" s="221"/>
      <c r="H4494" s="221"/>
      <c r="I4494" s="221"/>
      <c r="J4494" s="221"/>
      <c r="K4494" s="221"/>
      <c r="L4494" s="221"/>
      <c r="M4494" s="221"/>
    </row>
    <row r="4495" spans="5:13">
      <c r="E4495" s="221"/>
      <c r="F4495" s="221"/>
      <c r="G4495" s="221"/>
      <c r="H4495" s="221"/>
      <c r="I4495" s="221"/>
      <c r="J4495" s="221"/>
      <c r="K4495" s="221"/>
      <c r="L4495" s="221"/>
      <c r="M4495" s="221"/>
    </row>
    <row r="4496" spans="5:13">
      <c r="E4496" s="221"/>
      <c r="F4496" s="221"/>
      <c r="G4496" s="221"/>
      <c r="H4496" s="221"/>
      <c r="I4496" s="221"/>
      <c r="J4496" s="221"/>
      <c r="K4496" s="221"/>
      <c r="L4496" s="221"/>
      <c r="M4496" s="221"/>
    </row>
    <row r="4497" spans="5:13">
      <c r="E4497" s="221"/>
      <c r="F4497" s="221"/>
      <c r="G4497" s="221"/>
      <c r="H4497" s="221"/>
      <c r="I4497" s="221"/>
      <c r="J4497" s="221"/>
      <c r="K4497" s="221"/>
      <c r="L4497" s="221"/>
      <c r="M4497" s="221"/>
    </row>
    <row r="4498" spans="5:13">
      <c r="E4498" s="221"/>
      <c r="F4498" s="221"/>
      <c r="G4498" s="221"/>
      <c r="H4498" s="221"/>
      <c r="I4498" s="221"/>
      <c r="J4498" s="221"/>
      <c r="K4498" s="221"/>
      <c r="L4498" s="221"/>
      <c r="M4498" s="221"/>
    </row>
    <row r="4499" spans="5:13">
      <c r="E4499" s="221"/>
      <c r="F4499" s="221"/>
      <c r="G4499" s="221"/>
      <c r="H4499" s="221"/>
      <c r="I4499" s="221"/>
      <c r="J4499" s="221"/>
      <c r="K4499" s="221"/>
      <c r="L4499" s="221"/>
      <c r="M4499" s="221"/>
    </row>
    <row r="4500" spans="5:13">
      <c r="E4500" s="221"/>
      <c r="F4500" s="221"/>
      <c r="G4500" s="221"/>
      <c r="H4500" s="221"/>
      <c r="I4500" s="221"/>
      <c r="J4500" s="221"/>
      <c r="K4500" s="221"/>
      <c r="L4500" s="221"/>
      <c r="M4500" s="221"/>
    </row>
    <row r="4501" spans="5:13">
      <c r="E4501" s="221"/>
      <c r="F4501" s="221"/>
      <c r="G4501" s="221"/>
      <c r="H4501" s="221"/>
      <c r="I4501" s="221"/>
      <c r="J4501" s="221"/>
      <c r="K4501" s="221"/>
      <c r="L4501" s="221"/>
      <c r="M4501" s="221"/>
    </row>
    <row r="4502" spans="5:13">
      <c r="E4502" s="221"/>
      <c r="F4502" s="221"/>
      <c r="G4502" s="221"/>
      <c r="H4502" s="221"/>
      <c r="I4502" s="221"/>
      <c r="J4502" s="221"/>
      <c r="K4502" s="221"/>
      <c r="L4502" s="221"/>
      <c r="M4502" s="221"/>
    </row>
    <row r="4503" spans="5:13">
      <c r="E4503" s="221"/>
      <c r="F4503" s="221"/>
      <c r="G4503" s="221"/>
      <c r="H4503" s="221"/>
      <c r="I4503" s="221"/>
      <c r="J4503" s="221"/>
      <c r="K4503" s="221"/>
      <c r="L4503" s="221"/>
      <c r="M4503" s="221"/>
    </row>
    <row r="4504" spans="5:13">
      <c r="E4504" s="221"/>
      <c r="F4504" s="221"/>
      <c r="G4504" s="221"/>
      <c r="H4504" s="221"/>
      <c r="I4504" s="221"/>
      <c r="J4504" s="221"/>
      <c r="K4504" s="221"/>
      <c r="L4504" s="221"/>
      <c r="M4504" s="221"/>
    </row>
    <row r="4505" spans="5:13">
      <c r="E4505" s="221"/>
      <c r="F4505" s="221"/>
      <c r="G4505" s="221"/>
      <c r="H4505" s="221"/>
      <c r="I4505" s="221"/>
      <c r="J4505" s="221"/>
      <c r="K4505" s="221"/>
      <c r="L4505" s="221"/>
      <c r="M4505" s="221"/>
    </row>
    <row r="4506" spans="5:13">
      <c r="E4506" s="221"/>
      <c r="F4506" s="221"/>
      <c r="G4506" s="221"/>
      <c r="H4506" s="221"/>
      <c r="I4506" s="221"/>
      <c r="J4506" s="221"/>
      <c r="K4506" s="221"/>
      <c r="L4506" s="221"/>
      <c r="M4506" s="221"/>
    </row>
    <row r="4507" spans="5:13">
      <c r="E4507" s="221"/>
      <c r="F4507" s="221"/>
      <c r="G4507" s="221"/>
      <c r="H4507" s="221"/>
      <c r="I4507" s="221"/>
      <c r="J4507" s="221"/>
      <c r="K4507" s="221"/>
      <c r="L4507" s="221"/>
      <c r="M4507" s="221"/>
    </row>
    <row r="4508" spans="5:13">
      <c r="E4508" s="221"/>
      <c r="F4508" s="221"/>
      <c r="G4508" s="221"/>
      <c r="H4508" s="221"/>
      <c r="I4508" s="221"/>
      <c r="J4508" s="221"/>
      <c r="K4508" s="221"/>
      <c r="L4508" s="221"/>
      <c r="M4508" s="221"/>
    </row>
    <row r="4509" spans="5:13">
      <c r="E4509" s="221"/>
      <c r="F4509" s="221"/>
      <c r="G4509" s="221"/>
      <c r="H4509" s="221"/>
      <c r="I4509" s="221"/>
      <c r="J4509" s="221"/>
      <c r="K4509" s="221"/>
      <c r="L4509" s="221"/>
      <c r="M4509" s="221"/>
    </row>
    <row r="4510" spans="5:13">
      <c r="E4510" s="221"/>
      <c r="F4510" s="221"/>
      <c r="G4510" s="221"/>
      <c r="H4510" s="221"/>
      <c r="I4510" s="221"/>
      <c r="J4510" s="221"/>
      <c r="K4510" s="221"/>
      <c r="L4510" s="221"/>
      <c r="M4510" s="221"/>
    </row>
    <row r="4511" spans="5:13">
      <c r="E4511" s="221"/>
      <c r="F4511" s="221"/>
      <c r="G4511" s="221"/>
      <c r="H4511" s="221"/>
      <c r="I4511" s="221"/>
      <c r="J4511" s="221"/>
      <c r="K4511" s="221"/>
      <c r="L4511" s="221"/>
      <c r="M4511" s="221"/>
    </row>
    <row r="4512" spans="5:13">
      <c r="E4512" s="221"/>
      <c r="F4512" s="221"/>
      <c r="G4512" s="221"/>
      <c r="H4512" s="221"/>
      <c r="I4512" s="221"/>
      <c r="J4512" s="221"/>
      <c r="K4512" s="221"/>
      <c r="L4512" s="221"/>
      <c r="M4512" s="221"/>
    </row>
    <row r="4513" spans="5:13">
      <c r="E4513" s="221"/>
      <c r="F4513" s="221"/>
      <c r="G4513" s="221"/>
      <c r="H4513" s="221"/>
      <c r="I4513" s="221"/>
      <c r="J4513" s="221"/>
      <c r="K4513" s="221"/>
      <c r="L4513" s="221"/>
      <c r="M4513" s="221"/>
    </row>
    <row r="4514" spans="5:13">
      <c r="E4514" s="221"/>
      <c r="F4514" s="221"/>
      <c r="G4514" s="221"/>
      <c r="H4514" s="221"/>
      <c r="I4514" s="221"/>
      <c r="J4514" s="221"/>
      <c r="K4514" s="221"/>
      <c r="L4514" s="221"/>
      <c r="M4514" s="221"/>
    </row>
    <row r="4515" spans="5:13">
      <c r="E4515" s="221"/>
      <c r="F4515" s="221"/>
      <c r="G4515" s="221"/>
      <c r="H4515" s="221"/>
      <c r="I4515" s="221"/>
      <c r="J4515" s="221"/>
      <c r="K4515" s="221"/>
      <c r="L4515" s="221"/>
      <c r="M4515" s="221"/>
    </row>
    <row r="4516" spans="5:13">
      <c r="E4516" s="221"/>
      <c r="F4516" s="221"/>
      <c r="G4516" s="221"/>
      <c r="H4516" s="221"/>
      <c r="I4516" s="221"/>
      <c r="J4516" s="221"/>
      <c r="K4516" s="221"/>
      <c r="L4516" s="221"/>
      <c r="M4516" s="221"/>
    </row>
    <row r="4517" spans="5:13">
      <c r="E4517" s="221"/>
      <c r="F4517" s="221"/>
      <c r="G4517" s="221"/>
      <c r="H4517" s="221"/>
      <c r="I4517" s="221"/>
      <c r="J4517" s="221"/>
      <c r="K4517" s="221"/>
      <c r="L4517" s="221"/>
      <c r="M4517" s="221"/>
    </row>
    <row r="4518" spans="5:13">
      <c r="E4518" s="221"/>
      <c r="F4518" s="221"/>
      <c r="G4518" s="221"/>
      <c r="H4518" s="221"/>
      <c r="I4518" s="221"/>
      <c r="J4518" s="221"/>
      <c r="K4518" s="221"/>
      <c r="L4518" s="221"/>
      <c r="M4518" s="221"/>
    </row>
    <row r="4519" spans="5:13">
      <c r="E4519" s="221"/>
      <c r="F4519" s="221"/>
      <c r="G4519" s="221"/>
      <c r="H4519" s="221"/>
      <c r="I4519" s="221"/>
      <c r="J4519" s="221"/>
      <c r="K4519" s="221"/>
      <c r="L4519" s="221"/>
      <c r="M4519" s="221"/>
    </row>
    <row r="4520" spans="5:13">
      <c r="E4520" s="221"/>
      <c r="F4520" s="221"/>
      <c r="G4520" s="221"/>
      <c r="H4520" s="221"/>
      <c r="I4520" s="221"/>
      <c r="J4520" s="221"/>
      <c r="K4520" s="221"/>
      <c r="L4520" s="221"/>
      <c r="M4520" s="221"/>
    </row>
    <row r="4521" spans="5:13">
      <c r="E4521" s="221"/>
      <c r="F4521" s="221"/>
      <c r="G4521" s="221"/>
      <c r="H4521" s="221"/>
      <c r="I4521" s="221"/>
      <c r="J4521" s="221"/>
      <c r="K4521" s="221"/>
      <c r="L4521" s="221"/>
      <c r="M4521" s="221"/>
    </row>
    <row r="4522" spans="5:13">
      <c r="E4522" s="221"/>
      <c r="F4522" s="221"/>
      <c r="G4522" s="221"/>
      <c r="H4522" s="221"/>
      <c r="I4522" s="221"/>
      <c r="J4522" s="221"/>
      <c r="K4522" s="221"/>
      <c r="L4522" s="221"/>
      <c r="M4522" s="221"/>
    </row>
    <row r="4523" spans="5:13">
      <c r="E4523" s="221"/>
      <c r="F4523" s="221"/>
      <c r="G4523" s="221"/>
      <c r="H4523" s="221"/>
      <c r="I4523" s="221"/>
      <c r="J4523" s="221"/>
      <c r="K4523" s="221"/>
      <c r="L4523" s="221"/>
      <c r="M4523" s="221"/>
    </row>
    <row r="4524" spans="5:13">
      <c r="E4524" s="221"/>
      <c r="F4524" s="221"/>
      <c r="G4524" s="221"/>
      <c r="H4524" s="221"/>
      <c r="I4524" s="221"/>
      <c r="J4524" s="221"/>
      <c r="K4524" s="221"/>
      <c r="L4524" s="221"/>
      <c r="M4524" s="221"/>
    </row>
    <row r="4525" spans="5:13">
      <c r="E4525" s="221"/>
      <c r="F4525" s="221"/>
      <c r="G4525" s="221"/>
      <c r="H4525" s="221"/>
      <c r="I4525" s="221"/>
      <c r="J4525" s="221"/>
      <c r="K4525" s="221"/>
      <c r="L4525" s="221"/>
      <c r="M4525" s="221"/>
    </row>
    <row r="4526" spans="5:13">
      <c r="E4526" s="221"/>
      <c r="F4526" s="221"/>
      <c r="G4526" s="221"/>
      <c r="H4526" s="221"/>
      <c r="I4526" s="221"/>
      <c r="J4526" s="221"/>
      <c r="K4526" s="221"/>
      <c r="L4526" s="221"/>
      <c r="M4526" s="221"/>
    </row>
    <row r="4527" spans="5:13">
      <c r="E4527" s="221"/>
      <c r="F4527" s="221"/>
      <c r="G4527" s="221"/>
      <c r="H4527" s="221"/>
      <c r="I4527" s="221"/>
      <c r="J4527" s="221"/>
      <c r="K4527" s="221"/>
      <c r="L4527" s="221"/>
      <c r="M4527" s="221"/>
    </row>
    <row r="4528" spans="5:13">
      <c r="E4528" s="221"/>
      <c r="F4528" s="221"/>
      <c r="G4528" s="221"/>
      <c r="H4528" s="221"/>
      <c r="I4528" s="221"/>
      <c r="J4528" s="221"/>
      <c r="K4528" s="221"/>
      <c r="L4528" s="221"/>
      <c r="M4528" s="221"/>
    </row>
    <row r="4529" spans="5:13">
      <c r="E4529" s="221"/>
      <c r="F4529" s="221"/>
      <c r="G4529" s="221"/>
      <c r="H4529" s="221"/>
      <c r="I4529" s="221"/>
      <c r="J4529" s="221"/>
      <c r="K4529" s="221"/>
      <c r="L4529" s="221"/>
      <c r="M4529" s="221"/>
    </row>
    <row r="4530" spans="5:13">
      <c r="E4530" s="221"/>
      <c r="F4530" s="221"/>
      <c r="G4530" s="221"/>
      <c r="H4530" s="221"/>
      <c r="I4530" s="221"/>
      <c r="J4530" s="221"/>
      <c r="K4530" s="221"/>
      <c r="L4530" s="221"/>
      <c r="M4530" s="221"/>
    </row>
    <row r="4531" spans="5:13">
      <c r="E4531" s="221"/>
      <c r="F4531" s="221"/>
      <c r="G4531" s="221"/>
      <c r="H4531" s="221"/>
      <c r="I4531" s="221"/>
      <c r="J4531" s="221"/>
      <c r="K4531" s="221"/>
      <c r="L4531" s="221"/>
      <c r="M4531" s="221"/>
    </row>
    <row r="4532" spans="5:13">
      <c r="E4532" s="221"/>
      <c r="F4532" s="221"/>
      <c r="G4532" s="221"/>
      <c r="H4532" s="221"/>
      <c r="I4532" s="221"/>
      <c r="J4532" s="221"/>
      <c r="K4532" s="221"/>
      <c r="L4532" s="221"/>
      <c r="M4532" s="221"/>
    </row>
    <row r="4533" spans="5:13">
      <c r="E4533" s="221"/>
      <c r="F4533" s="221"/>
      <c r="G4533" s="221"/>
      <c r="H4533" s="221"/>
      <c r="I4533" s="221"/>
      <c r="J4533" s="221"/>
      <c r="K4533" s="221"/>
      <c r="L4533" s="221"/>
      <c r="M4533" s="221"/>
    </row>
    <row r="4534" spans="5:13">
      <c r="E4534" s="221"/>
      <c r="F4534" s="221"/>
      <c r="G4534" s="221"/>
      <c r="H4534" s="221"/>
      <c r="I4534" s="221"/>
      <c r="J4534" s="221"/>
      <c r="K4534" s="221"/>
      <c r="L4534" s="221"/>
      <c r="M4534" s="221"/>
    </row>
    <row r="4535" spans="5:13">
      <c r="E4535" s="221"/>
      <c r="F4535" s="221"/>
      <c r="G4535" s="221"/>
      <c r="H4535" s="221"/>
      <c r="I4535" s="221"/>
      <c r="J4535" s="221"/>
      <c r="K4535" s="221"/>
      <c r="L4535" s="221"/>
      <c r="M4535" s="221"/>
    </row>
    <row r="4536" spans="5:13">
      <c r="E4536" s="221"/>
      <c r="F4536" s="221"/>
      <c r="G4536" s="221"/>
      <c r="H4536" s="221"/>
      <c r="I4536" s="221"/>
      <c r="J4536" s="221"/>
      <c r="K4536" s="221"/>
      <c r="L4536" s="221"/>
      <c r="M4536" s="221"/>
    </row>
    <row r="4537" spans="5:13">
      <c r="E4537" s="221"/>
      <c r="F4537" s="221"/>
      <c r="G4537" s="221"/>
      <c r="H4537" s="221"/>
      <c r="I4537" s="221"/>
      <c r="J4537" s="221"/>
      <c r="K4537" s="221"/>
      <c r="L4537" s="221"/>
      <c r="M4537" s="221"/>
    </row>
    <row r="4538" spans="5:13">
      <c r="E4538" s="221"/>
      <c r="F4538" s="221"/>
      <c r="G4538" s="221"/>
      <c r="H4538" s="221"/>
      <c r="I4538" s="221"/>
      <c r="J4538" s="221"/>
      <c r="K4538" s="221"/>
      <c r="L4538" s="221"/>
      <c r="M4538" s="221"/>
    </row>
    <row r="4539" spans="5:13">
      <c r="E4539" s="221"/>
      <c r="F4539" s="221"/>
      <c r="G4539" s="221"/>
      <c r="H4539" s="221"/>
      <c r="I4539" s="221"/>
      <c r="J4539" s="221"/>
      <c r="K4539" s="221"/>
      <c r="L4539" s="221"/>
      <c r="M4539" s="221"/>
    </row>
    <row r="4540" spans="5:13">
      <c r="E4540" s="221"/>
      <c r="F4540" s="221"/>
      <c r="G4540" s="221"/>
      <c r="H4540" s="221"/>
      <c r="I4540" s="221"/>
      <c r="J4540" s="221"/>
      <c r="K4540" s="221"/>
      <c r="L4540" s="221"/>
      <c r="M4540" s="221"/>
    </row>
    <row r="4541" spans="5:13">
      <c r="E4541" s="221"/>
      <c r="F4541" s="221"/>
      <c r="G4541" s="221"/>
      <c r="H4541" s="221"/>
      <c r="I4541" s="221"/>
      <c r="J4541" s="221"/>
      <c r="K4541" s="221"/>
      <c r="L4541" s="221"/>
      <c r="M4541" s="221"/>
    </row>
    <row r="4542" spans="5:13">
      <c r="E4542" s="221"/>
      <c r="F4542" s="221"/>
      <c r="G4542" s="221"/>
      <c r="H4542" s="221"/>
      <c r="I4542" s="221"/>
      <c r="J4542" s="221"/>
      <c r="K4542" s="221"/>
      <c r="L4542" s="221"/>
      <c r="M4542" s="221"/>
    </row>
    <row r="4543" spans="5:13">
      <c r="E4543" s="221"/>
      <c r="F4543" s="221"/>
      <c r="G4543" s="221"/>
      <c r="H4543" s="221"/>
      <c r="I4543" s="221"/>
      <c r="J4543" s="221"/>
      <c r="K4543" s="221"/>
      <c r="L4543" s="221"/>
      <c r="M4543" s="221"/>
    </row>
    <row r="4544" spans="5:13">
      <c r="E4544" s="221"/>
      <c r="F4544" s="221"/>
      <c r="G4544" s="221"/>
      <c r="H4544" s="221"/>
      <c r="I4544" s="221"/>
      <c r="J4544" s="221"/>
      <c r="K4544" s="221"/>
      <c r="L4544" s="221"/>
      <c r="M4544" s="221"/>
    </row>
    <row r="4545" spans="5:13">
      <c r="E4545" s="221"/>
      <c r="F4545" s="221"/>
      <c r="G4545" s="221"/>
      <c r="H4545" s="221"/>
      <c r="I4545" s="221"/>
      <c r="J4545" s="221"/>
      <c r="K4545" s="221"/>
      <c r="L4545" s="221"/>
      <c r="M4545" s="221"/>
    </row>
    <row r="4546" spans="5:13">
      <c r="E4546" s="221"/>
      <c r="F4546" s="221"/>
      <c r="G4546" s="221"/>
      <c r="H4546" s="221"/>
      <c r="I4546" s="221"/>
      <c r="J4546" s="221"/>
      <c r="K4546" s="221"/>
      <c r="L4546" s="221"/>
      <c r="M4546" s="221"/>
    </row>
    <row r="4547" spans="5:13">
      <c r="E4547" s="221"/>
      <c r="F4547" s="221"/>
      <c r="G4547" s="221"/>
      <c r="H4547" s="221"/>
      <c r="I4547" s="221"/>
      <c r="J4547" s="221"/>
      <c r="K4547" s="221"/>
      <c r="L4547" s="221"/>
      <c r="M4547" s="221"/>
    </row>
    <row r="4548" spans="5:13">
      <c r="E4548" s="221"/>
      <c r="F4548" s="221"/>
      <c r="G4548" s="221"/>
      <c r="H4548" s="221"/>
      <c r="I4548" s="221"/>
      <c r="J4548" s="221"/>
      <c r="K4548" s="221"/>
      <c r="L4548" s="221"/>
      <c r="M4548" s="221"/>
    </row>
    <row r="4549" spans="5:13">
      <c r="E4549" s="221"/>
      <c r="F4549" s="221"/>
      <c r="G4549" s="221"/>
      <c r="H4549" s="221"/>
      <c r="I4549" s="221"/>
      <c r="J4549" s="221"/>
      <c r="K4549" s="221"/>
      <c r="L4549" s="221"/>
      <c r="M4549" s="221"/>
    </row>
    <row r="4550" spans="5:13">
      <c r="E4550" s="221"/>
      <c r="F4550" s="221"/>
      <c r="G4550" s="221"/>
      <c r="H4550" s="221"/>
      <c r="I4550" s="221"/>
      <c r="J4550" s="221"/>
      <c r="K4550" s="221"/>
      <c r="L4550" s="221"/>
      <c r="M4550" s="221"/>
    </row>
    <row r="4551" spans="5:13">
      <c r="E4551" s="221"/>
      <c r="F4551" s="221"/>
      <c r="G4551" s="221"/>
      <c r="H4551" s="221"/>
      <c r="I4551" s="221"/>
      <c r="J4551" s="221"/>
      <c r="K4551" s="221"/>
      <c r="L4551" s="221"/>
      <c r="M4551" s="221"/>
    </row>
    <row r="4552" spans="5:13">
      <c r="E4552" s="221"/>
      <c r="F4552" s="221"/>
      <c r="G4552" s="221"/>
      <c r="H4552" s="221"/>
      <c r="I4552" s="221"/>
      <c r="J4552" s="221"/>
      <c r="K4552" s="221"/>
      <c r="L4552" s="221"/>
      <c r="M4552" s="221"/>
    </row>
    <row r="4553" spans="5:13">
      <c r="E4553" s="221"/>
      <c r="F4553" s="221"/>
      <c r="G4553" s="221"/>
      <c r="H4553" s="221"/>
      <c r="I4553" s="221"/>
      <c r="J4553" s="221"/>
      <c r="K4553" s="221"/>
      <c r="L4553" s="221"/>
      <c r="M4553" s="221"/>
    </row>
    <row r="4554" spans="5:13">
      <c r="E4554" s="221"/>
      <c r="F4554" s="221"/>
      <c r="G4554" s="221"/>
      <c r="H4554" s="221"/>
      <c r="I4554" s="221"/>
      <c r="J4554" s="221"/>
      <c r="K4554" s="221"/>
      <c r="L4554" s="221"/>
      <c r="M4554" s="221"/>
    </row>
    <row r="4555" spans="5:13">
      <c r="E4555" s="221"/>
      <c r="F4555" s="221"/>
      <c r="G4555" s="221"/>
      <c r="H4555" s="221"/>
      <c r="I4555" s="221"/>
      <c r="J4555" s="221"/>
      <c r="K4555" s="221"/>
      <c r="L4555" s="221"/>
      <c r="M4555" s="221"/>
    </row>
    <row r="4556" spans="5:13">
      <c r="E4556" s="221"/>
      <c r="F4556" s="221"/>
      <c r="G4556" s="221"/>
      <c r="H4556" s="221"/>
      <c r="I4556" s="221"/>
      <c r="J4556" s="221"/>
      <c r="K4556" s="221"/>
      <c r="L4556" s="221"/>
      <c r="M4556" s="221"/>
    </row>
    <row r="4557" spans="5:13">
      <c r="E4557" s="221"/>
      <c r="F4557" s="221"/>
      <c r="G4557" s="221"/>
      <c r="H4557" s="221"/>
      <c r="I4557" s="221"/>
      <c r="J4557" s="221"/>
      <c r="K4557" s="221"/>
      <c r="L4557" s="221"/>
      <c r="M4557" s="221"/>
    </row>
    <row r="4558" spans="5:13">
      <c r="E4558" s="221"/>
      <c r="F4558" s="221"/>
      <c r="G4558" s="221"/>
      <c r="H4558" s="221"/>
      <c r="I4558" s="221"/>
      <c r="J4558" s="221"/>
      <c r="K4558" s="221"/>
      <c r="L4558" s="221"/>
      <c r="M4558" s="221"/>
    </row>
    <row r="4559" spans="5:13">
      <c r="E4559" s="221"/>
      <c r="F4559" s="221"/>
      <c r="G4559" s="221"/>
      <c r="H4559" s="221"/>
      <c r="I4559" s="221"/>
      <c r="J4559" s="221"/>
      <c r="K4559" s="221"/>
      <c r="L4559" s="221"/>
      <c r="M4559" s="221"/>
    </row>
    <row r="4560" spans="5:13">
      <c r="E4560" s="221"/>
      <c r="F4560" s="221"/>
      <c r="G4560" s="221"/>
      <c r="H4560" s="221"/>
      <c r="I4560" s="221"/>
      <c r="J4560" s="221"/>
      <c r="K4560" s="221"/>
      <c r="L4560" s="221"/>
      <c r="M4560" s="221"/>
    </row>
    <row r="4561" spans="5:13">
      <c r="E4561" s="221"/>
      <c r="F4561" s="221"/>
      <c r="G4561" s="221"/>
      <c r="H4561" s="221"/>
      <c r="I4561" s="221"/>
      <c r="J4561" s="221"/>
      <c r="K4561" s="221"/>
      <c r="L4561" s="221"/>
      <c r="M4561" s="221"/>
    </row>
    <row r="4562" spans="5:13">
      <c r="E4562" s="221"/>
      <c r="F4562" s="221"/>
      <c r="G4562" s="221"/>
      <c r="H4562" s="221"/>
      <c r="I4562" s="221"/>
      <c r="J4562" s="221"/>
      <c r="K4562" s="221"/>
      <c r="L4562" s="221"/>
      <c r="M4562" s="221"/>
    </row>
    <row r="4563" spans="5:13">
      <c r="E4563" s="221"/>
      <c r="F4563" s="221"/>
      <c r="G4563" s="221"/>
      <c r="H4563" s="221"/>
      <c r="I4563" s="221"/>
      <c r="J4563" s="221"/>
      <c r="K4563" s="221"/>
      <c r="L4563" s="221"/>
      <c r="M4563" s="221"/>
    </row>
    <row r="4564" spans="5:13">
      <c r="E4564" s="221"/>
      <c r="F4564" s="221"/>
      <c r="G4564" s="221"/>
      <c r="H4564" s="221"/>
      <c r="I4564" s="221"/>
      <c r="J4564" s="221"/>
      <c r="K4564" s="221"/>
      <c r="L4564" s="221"/>
      <c r="M4564" s="221"/>
    </row>
    <row r="4565" spans="5:13">
      <c r="E4565" s="221"/>
      <c r="F4565" s="221"/>
      <c r="G4565" s="221"/>
      <c r="H4565" s="221"/>
      <c r="I4565" s="221"/>
      <c r="J4565" s="221"/>
      <c r="K4565" s="221"/>
      <c r="L4565" s="221"/>
      <c r="M4565" s="221"/>
    </row>
    <row r="4566" spans="5:13">
      <c r="E4566" s="221"/>
      <c r="F4566" s="221"/>
      <c r="G4566" s="221"/>
      <c r="H4566" s="221"/>
      <c r="I4566" s="221"/>
      <c r="J4566" s="221"/>
      <c r="K4566" s="221"/>
      <c r="L4566" s="221"/>
      <c r="M4566" s="221"/>
    </row>
    <row r="4567" spans="5:13">
      <c r="E4567" s="221"/>
      <c r="F4567" s="221"/>
      <c r="G4567" s="221"/>
      <c r="H4567" s="221"/>
      <c r="I4567" s="221"/>
      <c r="J4567" s="221"/>
      <c r="K4567" s="221"/>
      <c r="L4567" s="221"/>
      <c r="M4567" s="221"/>
    </row>
    <row r="4568" spans="5:13">
      <c r="E4568" s="221"/>
      <c r="F4568" s="221"/>
      <c r="G4568" s="221"/>
      <c r="H4568" s="221"/>
      <c r="I4568" s="221"/>
      <c r="J4568" s="221"/>
      <c r="K4568" s="221"/>
      <c r="L4568" s="221"/>
      <c r="M4568" s="221"/>
    </row>
    <row r="4569" spans="5:13">
      <c r="E4569" s="221"/>
      <c r="F4569" s="221"/>
      <c r="G4569" s="221"/>
      <c r="H4569" s="221"/>
      <c r="I4569" s="221"/>
      <c r="J4569" s="221"/>
      <c r="K4569" s="221"/>
      <c r="L4569" s="221"/>
      <c r="M4569" s="221"/>
    </row>
    <row r="4570" spans="5:13">
      <c r="E4570" s="221"/>
      <c r="F4570" s="221"/>
      <c r="G4570" s="221"/>
      <c r="H4570" s="221"/>
      <c r="I4570" s="221"/>
      <c r="J4570" s="221"/>
      <c r="K4570" s="221"/>
      <c r="L4570" s="221"/>
      <c r="M4570" s="221"/>
    </row>
    <row r="4571" spans="5:13">
      <c r="E4571" s="221"/>
      <c r="F4571" s="221"/>
      <c r="G4571" s="221"/>
      <c r="H4571" s="221"/>
      <c r="I4571" s="221"/>
      <c r="J4571" s="221"/>
      <c r="K4571" s="221"/>
      <c r="L4571" s="221"/>
      <c r="M4571" s="221"/>
    </row>
    <row r="4572" spans="5:13">
      <c r="E4572" s="221"/>
      <c r="F4572" s="221"/>
      <c r="G4572" s="221"/>
      <c r="H4572" s="221"/>
      <c r="I4572" s="221"/>
      <c r="J4572" s="221"/>
      <c r="K4572" s="221"/>
      <c r="L4572" s="221"/>
      <c r="M4572" s="221"/>
    </row>
    <row r="4573" spans="5:13">
      <c r="E4573" s="221"/>
      <c r="F4573" s="221"/>
      <c r="G4573" s="221"/>
      <c r="H4573" s="221"/>
      <c r="I4573" s="221"/>
      <c r="J4573" s="221"/>
      <c r="K4573" s="221"/>
      <c r="L4573" s="221"/>
      <c r="M4573" s="221"/>
    </row>
    <row r="4574" spans="5:13">
      <c r="E4574" s="221"/>
      <c r="F4574" s="221"/>
      <c r="G4574" s="221"/>
      <c r="H4574" s="221"/>
      <c r="I4574" s="221"/>
      <c r="J4574" s="221"/>
      <c r="K4574" s="221"/>
      <c r="L4574" s="221"/>
      <c r="M4574" s="221"/>
    </row>
    <row r="4575" spans="5:13">
      <c r="E4575" s="221"/>
      <c r="F4575" s="221"/>
      <c r="G4575" s="221"/>
      <c r="H4575" s="221"/>
      <c r="I4575" s="221"/>
      <c r="J4575" s="221"/>
      <c r="K4575" s="221"/>
      <c r="L4575" s="221"/>
      <c r="M4575" s="221"/>
    </row>
    <row r="4576" spans="5:13">
      <c r="E4576" s="221"/>
      <c r="F4576" s="221"/>
      <c r="G4576" s="221"/>
      <c r="H4576" s="221"/>
      <c r="I4576" s="221"/>
      <c r="J4576" s="221"/>
      <c r="K4576" s="221"/>
      <c r="L4576" s="221"/>
      <c r="M4576" s="221"/>
    </row>
    <row r="4577" spans="5:13">
      <c r="E4577" s="221"/>
      <c r="F4577" s="221"/>
      <c r="G4577" s="221"/>
      <c r="H4577" s="221"/>
      <c r="I4577" s="221"/>
      <c r="J4577" s="221"/>
      <c r="K4577" s="221"/>
      <c r="L4577" s="221"/>
      <c r="M4577" s="221"/>
    </row>
    <row r="4578" spans="5:13">
      <c r="E4578" s="221"/>
      <c r="F4578" s="221"/>
      <c r="G4578" s="221"/>
      <c r="H4578" s="221"/>
      <c r="I4578" s="221"/>
      <c r="J4578" s="221"/>
      <c r="K4578" s="221"/>
      <c r="L4578" s="221"/>
      <c r="M4578" s="221"/>
    </row>
    <row r="4579" spans="5:13">
      <c r="E4579" s="221"/>
      <c r="F4579" s="221"/>
      <c r="G4579" s="221"/>
      <c r="H4579" s="221"/>
      <c r="I4579" s="221"/>
      <c r="J4579" s="221"/>
      <c r="K4579" s="221"/>
      <c r="L4579" s="221"/>
      <c r="M4579" s="221"/>
    </row>
    <row r="4580" spans="5:13">
      <c r="E4580" s="221"/>
      <c r="F4580" s="221"/>
      <c r="G4580" s="221"/>
      <c r="H4580" s="221"/>
      <c r="I4580" s="221"/>
      <c r="J4580" s="221"/>
      <c r="K4580" s="221"/>
      <c r="L4580" s="221"/>
      <c r="M4580" s="221"/>
    </row>
    <row r="4581" spans="5:13">
      <c r="E4581" s="221"/>
      <c r="F4581" s="221"/>
      <c r="G4581" s="221"/>
      <c r="H4581" s="221"/>
      <c r="I4581" s="221"/>
      <c r="J4581" s="221"/>
      <c r="K4581" s="221"/>
      <c r="L4581" s="221"/>
      <c r="M4581" s="221"/>
    </row>
    <row r="4582" spans="5:13">
      <c r="E4582" s="221"/>
      <c r="F4582" s="221"/>
      <c r="G4582" s="221"/>
      <c r="H4582" s="221"/>
      <c r="I4582" s="221"/>
      <c r="J4582" s="221"/>
      <c r="K4582" s="221"/>
      <c r="L4582" s="221"/>
      <c r="M4582" s="221"/>
    </row>
    <row r="4583" spans="5:13">
      <c r="E4583" s="221"/>
      <c r="F4583" s="221"/>
      <c r="G4583" s="221"/>
      <c r="H4583" s="221"/>
      <c r="I4583" s="221"/>
      <c r="J4583" s="221"/>
      <c r="K4583" s="221"/>
      <c r="L4583" s="221"/>
      <c r="M4583" s="221"/>
    </row>
    <row r="4584" spans="5:13">
      <c r="E4584" s="221"/>
      <c r="F4584" s="221"/>
      <c r="G4584" s="221"/>
      <c r="H4584" s="221"/>
      <c r="I4584" s="221"/>
      <c r="J4584" s="221"/>
      <c r="K4584" s="221"/>
      <c r="L4584" s="221"/>
      <c r="M4584" s="221"/>
    </row>
    <row r="4585" spans="5:13">
      <c r="E4585" s="221"/>
      <c r="F4585" s="221"/>
      <c r="G4585" s="221"/>
      <c r="H4585" s="221"/>
      <c r="I4585" s="221"/>
      <c r="J4585" s="221"/>
      <c r="K4585" s="221"/>
      <c r="L4585" s="221"/>
      <c r="M4585" s="221"/>
    </row>
    <row r="4586" spans="5:13">
      <c r="E4586" s="221"/>
      <c r="F4586" s="221"/>
      <c r="G4586" s="221"/>
      <c r="H4586" s="221"/>
      <c r="I4586" s="221"/>
      <c r="J4586" s="221"/>
      <c r="K4586" s="221"/>
      <c r="L4586" s="221"/>
      <c r="M4586" s="221"/>
    </row>
    <row r="4587" spans="5:13">
      <c r="E4587" s="221"/>
      <c r="F4587" s="221"/>
      <c r="G4587" s="221"/>
      <c r="H4587" s="221"/>
      <c r="I4587" s="221"/>
      <c r="J4587" s="221"/>
      <c r="K4587" s="221"/>
      <c r="L4587" s="221"/>
      <c r="M4587" s="221"/>
    </row>
    <row r="4588" spans="5:13">
      <c r="E4588" s="221"/>
      <c r="F4588" s="221"/>
      <c r="G4588" s="221"/>
      <c r="H4588" s="221"/>
      <c r="I4588" s="221"/>
      <c r="J4588" s="221"/>
      <c r="K4588" s="221"/>
      <c r="L4588" s="221"/>
      <c r="M4588" s="221"/>
    </row>
    <row r="4589" spans="5:13">
      <c r="E4589" s="221"/>
      <c r="F4589" s="221"/>
      <c r="G4589" s="221"/>
      <c r="H4589" s="221"/>
      <c r="I4589" s="221"/>
      <c r="J4589" s="221"/>
      <c r="K4589" s="221"/>
      <c r="L4589" s="221"/>
      <c r="M4589" s="221"/>
    </row>
    <row r="4590" spans="5:13">
      <c r="E4590" s="221"/>
      <c r="F4590" s="221"/>
      <c r="G4590" s="221"/>
      <c r="H4590" s="221"/>
      <c r="I4590" s="221"/>
      <c r="J4590" s="221"/>
      <c r="K4590" s="221"/>
      <c r="L4590" s="221"/>
      <c r="M4590" s="221"/>
    </row>
    <row r="4591" spans="5:13">
      <c r="E4591" s="221"/>
      <c r="F4591" s="221"/>
      <c r="G4591" s="221"/>
      <c r="H4591" s="221"/>
      <c r="I4591" s="221"/>
      <c r="J4591" s="221"/>
      <c r="K4591" s="221"/>
      <c r="L4591" s="221"/>
      <c r="M4591" s="221"/>
    </row>
    <row r="4592" spans="5:13">
      <c r="E4592" s="221"/>
      <c r="F4592" s="221"/>
      <c r="G4592" s="221"/>
      <c r="H4592" s="221"/>
      <c r="I4592" s="221"/>
      <c r="J4592" s="221"/>
      <c r="K4592" s="221"/>
      <c r="L4592" s="221"/>
      <c r="M4592" s="221"/>
    </row>
    <row r="4593" spans="5:13">
      <c r="E4593" s="221"/>
      <c r="F4593" s="221"/>
      <c r="G4593" s="221"/>
      <c r="H4593" s="221"/>
      <c r="I4593" s="221"/>
      <c r="J4593" s="221"/>
      <c r="K4593" s="221"/>
      <c r="L4593" s="221"/>
      <c r="M4593" s="221"/>
    </row>
    <row r="4594" spans="5:13">
      <c r="E4594" s="221"/>
      <c r="F4594" s="221"/>
      <c r="G4594" s="221"/>
      <c r="H4594" s="221"/>
      <c r="I4594" s="221"/>
      <c r="J4594" s="221"/>
      <c r="K4594" s="221"/>
      <c r="L4594" s="221"/>
      <c r="M4594" s="221"/>
    </row>
    <row r="4595" spans="5:13">
      <c r="E4595" s="221"/>
      <c r="F4595" s="221"/>
      <c r="G4595" s="221"/>
      <c r="H4595" s="221"/>
      <c r="I4595" s="221"/>
      <c r="J4595" s="221"/>
      <c r="K4595" s="221"/>
      <c r="L4595" s="221"/>
      <c r="M4595" s="221"/>
    </row>
    <row r="4596" spans="5:13">
      <c r="E4596" s="221"/>
      <c r="F4596" s="221"/>
      <c r="G4596" s="221"/>
      <c r="H4596" s="221"/>
      <c r="I4596" s="221"/>
      <c r="J4596" s="221"/>
      <c r="K4596" s="221"/>
      <c r="L4596" s="221"/>
      <c r="M4596" s="221"/>
    </row>
    <row r="4597" spans="5:13">
      <c r="E4597" s="221"/>
      <c r="F4597" s="221"/>
      <c r="G4597" s="221"/>
      <c r="H4597" s="221"/>
      <c r="I4597" s="221"/>
      <c r="J4597" s="221"/>
      <c r="K4597" s="221"/>
      <c r="L4597" s="221"/>
      <c r="M4597" s="221"/>
    </row>
    <row r="4598" spans="5:13">
      <c r="E4598" s="221"/>
      <c r="F4598" s="221"/>
      <c r="G4598" s="221"/>
      <c r="H4598" s="221"/>
      <c r="I4598" s="221"/>
      <c r="J4598" s="221"/>
      <c r="K4598" s="221"/>
      <c r="L4598" s="221"/>
      <c r="M4598" s="221"/>
    </row>
    <row r="4599" spans="5:13">
      <c r="E4599" s="221"/>
      <c r="F4599" s="221"/>
      <c r="G4599" s="221"/>
      <c r="H4599" s="221"/>
      <c r="I4599" s="221"/>
      <c r="J4599" s="221"/>
      <c r="K4599" s="221"/>
      <c r="L4599" s="221"/>
      <c r="M4599" s="221"/>
    </row>
    <row r="4600" spans="5:13">
      <c r="E4600" s="221"/>
      <c r="F4600" s="221"/>
      <c r="G4600" s="221"/>
      <c r="H4600" s="221"/>
      <c r="I4600" s="221"/>
      <c r="J4600" s="221"/>
      <c r="K4600" s="221"/>
      <c r="L4600" s="221"/>
      <c r="M4600" s="221"/>
    </row>
    <row r="4601" spans="5:13">
      <c r="E4601" s="221"/>
      <c r="F4601" s="221"/>
      <c r="G4601" s="221"/>
      <c r="H4601" s="221"/>
      <c r="I4601" s="221"/>
      <c r="J4601" s="221"/>
      <c r="K4601" s="221"/>
      <c r="L4601" s="221"/>
      <c r="M4601" s="221"/>
    </row>
    <row r="4602" spans="5:13">
      <c r="E4602" s="221"/>
      <c r="F4602" s="221"/>
      <c r="G4602" s="221"/>
      <c r="H4602" s="221"/>
      <c r="I4602" s="221"/>
      <c r="J4602" s="221"/>
      <c r="K4602" s="221"/>
      <c r="L4602" s="221"/>
      <c r="M4602" s="221"/>
    </row>
    <row r="4603" spans="5:13">
      <c r="E4603" s="221"/>
      <c r="F4603" s="221"/>
      <c r="G4603" s="221"/>
      <c r="H4603" s="221"/>
      <c r="I4603" s="221"/>
      <c r="J4603" s="221"/>
      <c r="K4603" s="221"/>
      <c r="L4603" s="221"/>
      <c r="M4603" s="221"/>
    </row>
    <row r="4604" spans="5:13">
      <c r="E4604" s="221"/>
      <c r="F4604" s="221"/>
      <c r="G4604" s="221"/>
      <c r="H4604" s="221"/>
      <c r="I4604" s="221"/>
      <c r="J4604" s="221"/>
      <c r="K4604" s="221"/>
      <c r="L4604" s="221"/>
      <c r="M4604" s="221"/>
    </row>
    <row r="4605" spans="5:13">
      <c r="E4605" s="221"/>
      <c r="F4605" s="221"/>
      <c r="G4605" s="221"/>
      <c r="H4605" s="221"/>
      <c r="I4605" s="221"/>
      <c r="J4605" s="221"/>
      <c r="K4605" s="221"/>
      <c r="L4605" s="221"/>
      <c r="M4605" s="221"/>
    </row>
    <row r="4606" spans="5:13">
      <c r="E4606" s="221"/>
      <c r="F4606" s="221"/>
      <c r="G4606" s="221"/>
      <c r="H4606" s="221"/>
      <c r="I4606" s="221"/>
      <c r="J4606" s="221"/>
      <c r="K4606" s="221"/>
      <c r="L4606" s="221"/>
      <c r="M4606" s="221"/>
    </row>
    <row r="4607" spans="5:13">
      <c r="E4607" s="221"/>
      <c r="F4607" s="221"/>
      <c r="G4607" s="221"/>
      <c r="H4607" s="221"/>
      <c r="I4607" s="221"/>
      <c r="J4607" s="221"/>
      <c r="K4607" s="221"/>
      <c r="L4607" s="221"/>
      <c r="M4607" s="221"/>
    </row>
    <row r="4608" spans="5:13">
      <c r="E4608" s="221"/>
      <c r="F4608" s="221"/>
      <c r="G4608" s="221"/>
      <c r="H4608" s="221"/>
      <c r="I4608" s="221"/>
      <c r="J4608" s="221"/>
      <c r="K4608" s="221"/>
      <c r="L4608" s="221"/>
      <c r="M4608" s="221"/>
    </row>
    <row r="4609" spans="5:13">
      <c r="E4609" s="221"/>
      <c r="F4609" s="221"/>
      <c r="G4609" s="221"/>
      <c r="H4609" s="221"/>
      <c r="I4609" s="221"/>
      <c r="J4609" s="221"/>
      <c r="K4609" s="221"/>
      <c r="L4609" s="221"/>
      <c r="M4609" s="221"/>
    </row>
    <row r="4610" spans="5:13">
      <c r="E4610" s="221"/>
      <c r="F4610" s="221"/>
      <c r="G4610" s="221"/>
      <c r="H4610" s="221"/>
      <c r="I4610" s="221"/>
      <c r="J4610" s="221"/>
      <c r="K4610" s="221"/>
      <c r="L4610" s="221"/>
      <c r="M4610" s="221"/>
    </row>
    <row r="4611" spans="5:13">
      <c r="E4611" s="221"/>
      <c r="F4611" s="221"/>
      <c r="G4611" s="221"/>
      <c r="H4611" s="221"/>
      <c r="I4611" s="221"/>
      <c r="J4611" s="221"/>
      <c r="K4611" s="221"/>
      <c r="L4611" s="221"/>
      <c r="M4611" s="221"/>
    </row>
    <row r="4612" spans="5:13">
      <c r="E4612" s="221"/>
      <c r="F4612" s="221"/>
      <c r="G4612" s="221"/>
      <c r="H4612" s="221"/>
      <c r="I4612" s="221"/>
      <c r="J4612" s="221"/>
      <c r="K4612" s="221"/>
      <c r="L4612" s="221"/>
      <c r="M4612" s="221"/>
    </row>
    <row r="4613" spans="5:13">
      <c r="E4613" s="221"/>
      <c r="F4613" s="221"/>
      <c r="G4613" s="221"/>
      <c r="H4613" s="221"/>
      <c r="I4613" s="221"/>
      <c r="J4613" s="221"/>
      <c r="K4613" s="221"/>
      <c r="L4613" s="221"/>
      <c r="M4613" s="221"/>
    </row>
    <row r="4614" spans="5:13">
      <c r="E4614" s="221"/>
      <c r="F4614" s="221"/>
      <c r="G4614" s="221"/>
      <c r="H4614" s="221"/>
      <c r="I4614" s="221"/>
      <c r="J4614" s="221"/>
      <c r="K4614" s="221"/>
      <c r="L4614" s="221"/>
      <c r="M4614" s="221"/>
    </row>
    <row r="4615" spans="5:13">
      <c r="E4615" s="221"/>
      <c r="F4615" s="221"/>
      <c r="G4615" s="221"/>
      <c r="H4615" s="221"/>
      <c r="I4615" s="221"/>
      <c r="J4615" s="221"/>
      <c r="K4615" s="221"/>
      <c r="L4615" s="221"/>
      <c r="M4615" s="221"/>
    </row>
    <row r="4616" spans="5:13">
      <c r="E4616" s="221"/>
      <c r="F4616" s="221"/>
      <c r="G4616" s="221"/>
      <c r="H4616" s="221"/>
      <c r="I4616" s="221"/>
      <c r="J4616" s="221"/>
      <c r="K4616" s="221"/>
      <c r="L4616" s="221"/>
      <c r="M4616" s="221"/>
    </row>
    <row r="4617" spans="5:13">
      <c r="E4617" s="221"/>
      <c r="F4617" s="221"/>
      <c r="G4617" s="221"/>
      <c r="H4617" s="221"/>
      <c r="I4617" s="221"/>
      <c r="J4617" s="221"/>
      <c r="K4617" s="221"/>
      <c r="L4617" s="221"/>
      <c r="M4617" s="221"/>
    </row>
    <row r="4618" spans="5:13">
      <c r="E4618" s="221"/>
      <c r="F4618" s="221"/>
      <c r="G4618" s="221"/>
      <c r="H4618" s="221"/>
      <c r="I4618" s="221"/>
      <c r="J4618" s="221"/>
      <c r="K4618" s="221"/>
      <c r="L4618" s="221"/>
      <c r="M4618" s="221"/>
    </row>
    <row r="4619" spans="5:13">
      <c r="E4619" s="221"/>
      <c r="F4619" s="221"/>
      <c r="G4619" s="221"/>
      <c r="H4619" s="221"/>
      <c r="I4619" s="221"/>
      <c r="J4619" s="221"/>
      <c r="K4619" s="221"/>
      <c r="L4619" s="221"/>
      <c r="M4619" s="221"/>
    </row>
    <row r="4620" spans="5:13">
      <c r="E4620" s="221"/>
      <c r="F4620" s="221"/>
      <c r="G4620" s="221"/>
      <c r="H4620" s="221"/>
      <c r="I4620" s="221"/>
      <c r="J4620" s="221"/>
      <c r="K4620" s="221"/>
      <c r="L4620" s="221"/>
      <c r="M4620" s="221"/>
    </row>
    <row r="4621" spans="5:13">
      <c r="E4621" s="221"/>
      <c r="F4621" s="221"/>
      <c r="G4621" s="221"/>
      <c r="H4621" s="221"/>
      <c r="I4621" s="221"/>
      <c r="J4621" s="221"/>
      <c r="K4621" s="221"/>
      <c r="L4621" s="221"/>
      <c r="M4621" s="221"/>
    </row>
    <row r="4622" spans="5:13">
      <c r="E4622" s="221"/>
      <c r="F4622" s="221"/>
      <c r="G4622" s="221"/>
      <c r="H4622" s="221"/>
      <c r="I4622" s="221"/>
      <c r="J4622" s="221"/>
      <c r="K4622" s="221"/>
      <c r="L4622" s="221"/>
      <c r="M4622" s="221"/>
    </row>
    <row r="4623" spans="5:13">
      <c r="E4623" s="221"/>
      <c r="F4623" s="221"/>
      <c r="G4623" s="221"/>
      <c r="H4623" s="221"/>
      <c r="I4623" s="221"/>
      <c r="J4623" s="221"/>
      <c r="K4623" s="221"/>
      <c r="L4623" s="221"/>
      <c r="M4623" s="221"/>
    </row>
    <row r="4624" spans="5:13">
      <c r="E4624" s="221"/>
      <c r="F4624" s="221"/>
      <c r="G4624" s="221"/>
      <c r="H4624" s="221"/>
      <c r="I4624" s="221"/>
      <c r="J4624" s="221"/>
      <c r="K4624" s="221"/>
      <c r="L4624" s="221"/>
      <c r="M4624" s="221"/>
    </row>
    <row r="4625" spans="5:13">
      <c r="E4625" s="221"/>
      <c r="F4625" s="221"/>
      <c r="G4625" s="221"/>
      <c r="H4625" s="221"/>
      <c r="I4625" s="221"/>
      <c r="J4625" s="221"/>
      <c r="K4625" s="221"/>
      <c r="L4625" s="221"/>
      <c r="M4625" s="221"/>
    </row>
    <row r="4626" spans="5:13">
      <c r="E4626" s="221"/>
      <c r="F4626" s="221"/>
      <c r="G4626" s="221"/>
      <c r="H4626" s="221"/>
      <c r="I4626" s="221"/>
      <c r="J4626" s="221"/>
      <c r="K4626" s="221"/>
      <c r="L4626" s="221"/>
      <c r="M4626" s="221"/>
    </row>
    <row r="4627" spans="5:13">
      <c r="E4627" s="221"/>
      <c r="F4627" s="221"/>
      <c r="G4627" s="221"/>
      <c r="H4627" s="221"/>
      <c r="I4627" s="221"/>
      <c r="J4627" s="221"/>
      <c r="K4627" s="221"/>
      <c r="L4627" s="221"/>
      <c r="M4627" s="221"/>
    </row>
    <row r="4628" spans="5:13">
      <c r="E4628" s="221"/>
      <c r="F4628" s="221"/>
      <c r="G4628" s="221"/>
      <c r="H4628" s="221"/>
      <c r="I4628" s="221"/>
      <c r="J4628" s="221"/>
      <c r="K4628" s="221"/>
      <c r="L4628" s="221"/>
      <c r="M4628" s="221"/>
    </row>
    <row r="4629" spans="5:13">
      <c r="E4629" s="221"/>
      <c r="F4629" s="221"/>
      <c r="G4629" s="221"/>
      <c r="H4629" s="221"/>
      <c r="I4629" s="221"/>
      <c r="J4629" s="221"/>
      <c r="K4629" s="221"/>
      <c r="L4629" s="221"/>
      <c r="M4629" s="221"/>
    </row>
    <row r="4630" spans="5:13">
      <c r="E4630" s="221"/>
      <c r="F4630" s="221"/>
      <c r="G4630" s="221"/>
      <c r="H4630" s="221"/>
      <c r="I4630" s="221"/>
      <c r="J4630" s="221"/>
      <c r="K4630" s="221"/>
      <c r="L4630" s="221"/>
      <c r="M4630" s="221"/>
    </row>
    <row r="4631" spans="5:13">
      <c r="E4631" s="221"/>
      <c r="F4631" s="221"/>
      <c r="G4631" s="221"/>
      <c r="H4631" s="221"/>
      <c r="I4631" s="221"/>
      <c r="J4631" s="221"/>
      <c r="K4631" s="221"/>
      <c r="L4631" s="221"/>
      <c r="M4631" s="221"/>
    </row>
    <row r="4632" spans="5:13">
      <c r="E4632" s="221"/>
      <c r="F4632" s="221"/>
      <c r="G4632" s="221"/>
      <c r="H4632" s="221"/>
      <c r="I4632" s="221"/>
      <c r="J4632" s="221"/>
      <c r="K4632" s="221"/>
      <c r="L4632" s="221"/>
      <c r="M4632" s="221"/>
    </row>
    <row r="4633" spans="5:13">
      <c r="E4633" s="221"/>
      <c r="F4633" s="221"/>
      <c r="G4633" s="221"/>
      <c r="H4633" s="221"/>
      <c r="I4633" s="221"/>
      <c r="J4633" s="221"/>
      <c r="K4633" s="221"/>
      <c r="L4633" s="221"/>
      <c r="M4633" s="221"/>
    </row>
    <row r="4634" spans="5:13">
      <c r="E4634" s="221"/>
      <c r="F4634" s="221"/>
      <c r="G4634" s="221"/>
      <c r="H4634" s="221"/>
      <c r="I4634" s="221"/>
      <c r="J4634" s="221"/>
      <c r="K4634" s="221"/>
      <c r="L4634" s="221"/>
      <c r="M4634" s="221"/>
    </row>
    <row r="4635" spans="5:13">
      <c r="E4635" s="221"/>
      <c r="F4635" s="221"/>
      <c r="G4635" s="221"/>
      <c r="H4635" s="221"/>
      <c r="I4635" s="221"/>
      <c r="J4635" s="221"/>
      <c r="K4635" s="221"/>
      <c r="L4635" s="221"/>
      <c r="M4635" s="221"/>
    </row>
    <row r="4636" spans="5:13">
      <c r="E4636" s="221"/>
      <c r="F4636" s="221"/>
      <c r="G4636" s="221"/>
      <c r="H4636" s="221"/>
      <c r="I4636" s="221"/>
      <c r="J4636" s="221"/>
      <c r="K4636" s="221"/>
      <c r="L4636" s="221"/>
      <c r="M4636" s="221"/>
    </row>
    <row r="4637" spans="5:13">
      <c r="E4637" s="221"/>
      <c r="F4637" s="221"/>
      <c r="G4637" s="221"/>
      <c r="H4637" s="221"/>
      <c r="I4637" s="221"/>
      <c r="J4637" s="221"/>
      <c r="K4637" s="221"/>
      <c r="L4637" s="221"/>
      <c r="M4637" s="221"/>
    </row>
    <row r="4638" spans="5:13">
      <c r="E4638" s="221"/>
      <c r="F4638" s="221"/>
      <c r="G4638" s="221"/>
      <c r="H4638" s="221"/>
      <c r="I4638" s="221"/>
      <c r="J4638" s="221"/>
      <c r="K4638" s="221"/>
      <c r="L4638" s="221"/>
      <c r="M4638" s="221"/>
    </row>
    <row r="4639" spans="5:13">
      <c r="E4639" s="221"/>
      <c r="F4639" s="221"/>
      <c r="G4639" s="221"/>
      <c r="H4639" s="221"/>
      <c r="I4639" s="221"/>
      <c r="J4639" s="221"/>
      <c r="K4639" s="221"/>
      <c r="L4639" s="221"/>
      <c r="M4639" s="221"/>
    </row>
    <row r="4640" spans="5:13">
      <c r="E4640" s="221"/>
      <c r="F4640" s="221"/>
      <c r="G4640" s="221"/>
      <c r="H4640" s="221"/>
      <c r="I4640" s="221"/>
      <c r="J4640" s="221"/>
      <c r="K4640" s="221"/>
      <c r="L4640" s="221"/>
      <c r="M4640" s="221"/>
    </row>
    <row r="4641" spans="5:13">
      <c r="E4641" s="221"/>
      <c r="F4641" s="221"/>
      <c r="G4641" s="221"/>
      <c r="H4641" s="221"/>
      <c r="I4641" s="221"/>
      <c r="J4641" s="221"/>
      <c r="K4641" s="221"/>
      <c r="L4641" s="221"/>
      <c r="M4641" s="221"/>
    </row>
    <row r="4642" spans="5:13">
      <c r="E4642" s="221"/>
      <c r="F4642" s="221"/>
      <c r="G4642" s="221"/>
      <c r="H4642" s="221"/>
      <c r="I4642" s="221"/>
      <c r="J4642" s="221"/>
      <c r="K4642" s="221"/>
      <c r="L4642" s="221"/>
      <c r="M4642" s="221"/>
    </row>
    <row r="4643" spans="5:13">
      <c r="E4643" s="221"/>
      <c r="F4643" s="221"/>
      <c r="G4643" s="221"/>
      <c r="H4643" s="221"/>
      <c r="I4643" s="221"/>
      <c r="J4643" s="221"/>
      <c r="K4643" s="221"/>
      <c r="L4643" s="221"/>
      <c r="M4643" s="221"/>
    </row>
    <row r="4644" spans="5:13">
      <c r="E4644" s="221"/>
      <c r="F4644" s="221"/>
      <c r="G4644" s="221"/>
      <c r="H4644" s="221"/>
      <c r="I4644" s="221"/>
      <c r="J4644" s="221"/>
      <c r="K4644" s="221"/>
      <c r="L4644" s="221"/>
      <c r="M4644" s="221"/>
    </row>
    <row r="4645" spans="5:13">
      <c r="E4645" s="221"/>
      <c r="F4645" s="221"/>
      <c r="G4645" s="221"/>
      <c r="H4645" s="221"/>
      <c r="I4645" s="221"/>
      <c r="J4645" s="221"/>
      <c r="K4645" s="221"/>
      <c r="L4645" s="221"/>
      <c r="M4645" s="221"/>
    </row>
    <row r="4646" spans="5:13">
      <c r="E4646" s="221"/>
      <c r="F4646" s="221"/>
      <c r="G4646" s="221"/>
      <c r="H4646" s="221"/>
      <c r="I4646" s="221"/>
      <c r="J4646" s="221"/>
      <c r="K4646" s="221"/>
      <c r="L4646" s="221"/>
      <c r="M4646" s="221"/>
    </row>
    <row r="4647" spans="5:13">
      <c r="E4647" s="221"/>
      <c r="F4647" s="221"/>
      <c r="G4647" s="221"/>
      <c r="H4647" s="221"/>
      <c r="I4647" s="221"/>
      <c r="J4647" s="221"/>
      <c r="K4647" s="221"/>
      <c r="L4647" s="221"/>
      <c r="M4647" s="221"/>
    </row>
    <row r="4648" spans="5:13">
      <c r="E4648" s="221"/>
      <c r="F4648" s="221"/>
      <c r="G4648" s="221"/>
      <c r="H4648" s="221"/>
      <c r="I4648" s="221"/>
      <c r="J4648" s="221"/>
      <c r="K4648" s="221"/>
      <c r="L4648" s="221"/>
      <c r="M4648" s="221"/>
    </row>
    <row r="4649" spans="5:13">
      <c r="E4649" s="221"/>
      <c r="F4649" s="221"/>
      <c r="G4649" s="221"/>
      <c r="H4649" s="221"/>
      <c r="I4649" s="221"/>
      <c r="J4649" s="221"/>
      <c r="K4649" s="221"/>
      <c r="L4649" s="221"/>
      <c r="M4649" s="221"/>
    </row>
    <row r="4650" spans="5:13">
      <c r="E4650" s="221"/>
      <c r="F4650" s="221"/>
      <c r="G4650" s="221"/>
      <c r="H4650" s="221"/>
      <c r="I4650" s="221"/>
      <c r="J4650" s="221"/>
      <c r="K4650" s="221"/>
      <c r="L4650" s="221"/>
      <c r="M4650" s="221"/>
    </row>
    <row r="4651" spans="5:13">
      <c r="E4651" s="221"/>
      <c r="F4651" s="221"/>
      <c r="G4651" s="221"/>
      <c r="H4651" s="221"/>
      <c r="I4651" s="221"/>
      <c r="J4651" s="221"/>
      <c r="K4651" s="221"/>
      <c r="L4651" s="221"/>
      <c r="M4651" s="221"/>
    </row>
    <row r="4652" spans="5:13">
      <c r="E4652" s="221"/>
      <c r="F4652" s="221"/>
      <c r="G4652" s="221"/>
      <c r="H4652" s="221"/>
      <c r="I4652" s="221"/>
      <c r="J4652" s="221"/>
      <c r="K4652" s="221"/>
      <c r="L4652" s="221"/>
      <c r="M4652" s="221"/>
    </row>
    <row r="4653" spans="5:13">
      <c r="E4653" s="221"/>
      <c r="F4653" s="221"/>
      <c r="G4653" s="221"/>
      <c r="H4653" s="221"/>
      <c r="I4653" s="221"/>
      <c r="J4653" s="221"/>
      <c r="K4653" s="221"/>
      <c r="L4653" s="221"/>
      <c r="M4653" s="221"/>
    </row>
    <row r="4654" spans="5:13">
      <c r="E4654" s="221"/>
      <c r="F4654" s="221"/>
      <c r="G4654" s="221"/>
      <c r="H4654" s="221"/>
      <c r="I4654" s="221"/>
      <c r="J4654" s="221"/>
      <c r="K4654" s="221"/>
      <c r="L4654" s="221"/>
      <c r="M4654" s="221"/>
    </row>
    <row r="4655" spans="5:13">
      <c r="E4655" s="221"/>
      <c r="F4655" s="221"/>
      <c r="G4655" s="221"/>
      <c r="H4655" s="221"/>
      <c r="I4655" s="221"/>
      <c r="J4655" s="221"/>
      <c r="K4655" s="221"/>
      <c r="L4655" s="221"/>
      <c r="M4655" s="221"/>
    </row>
    <row r="4656" spans="5:13">
      <c r="E4656" s="221"/>
      <c r="F4656" s="221"/>
      <c r="G4656" s="221"/>
      <c r="H4656" s="221"/>
      <c r="I4656" s="221"/>
      <c r="J4656" s="221"/>
      <c r="K4656" s="221"/>
      <c r="L4656" s="221"/>
      <c r="M4656" s="221"/>
    </row>
    <row r="4657" spans="5:13">
      <c r="E4657" s="221"/>
      <c r="F4657" s="221"/>
      <c r="G4657" s="221"/>
      <c r="H4657" s="221"/>
      <c r="I4657" s="221"/>
      <c r="J4657" s="221"/>
      <c r="K4657" s="221"/>
      <c r="L4657" s="221"/>
      <c r="M4657" s="221"/>
    </row>
    <row r="4658" spans="5:13">
      <c r="E4658" s="221"/>
      <c r="F4658" s="221"/>
      <c r="G4658" s="221"/>
      <c r="H4658" s="221"/>
      <c r="I4658" s="221"/>
      <c r="J4658" s="221"/>
      <c r="K4658" s="221"/>
      <c r="L4658" s="221"/>
      <c r="M4658" s="221"/>
    </row>
    <row r="4659" spans="5:13">
      <c r="E4659" s="221"/>
      <c r="F4659" s="221"/>
      <c r="G4659" s="221"/>
      <c r="H4659" s="221"/>
      <c r="I4659" s="221"/>
      <c r="J4659" s="221"/>
      <c r="K4659" s="221"/>
      <c r="L4659" s="221"/>
      <c r="M4659" s="221"/>
    </row>
    <row r="4660" spans="5:13">
      <c r="E4660" s="221"/>
      <c r="F4660" s="221"/>
      <c r="G4660" s="221"/>
      <c r="H4660" s="221"/>
      <c r="I4660" s="221"/>
      <c r="J4660" s="221"/>
      <c r="K4660" s="221"/>
      <c r="L4660" s="221"/>
      <c r="M4660" s="221"/>
    </row>
    <row r="4661" spans="5:13">
      <c r="E4661" s="221"/>
      <c r="F4661" s="221"/>
      <c r="G4661" s="221"/>
      <c r="H4661" s="221"/>
      <c r="I4661" s="221"/>
      <c r="J4661" s="221"/>
      <c r="K4661" s="221"/>
      <c r="L4661" s="221"/>
      <c r="M4661" s="221"/>
    </row>
    <row r="4662" spans="5:13">
      <c r="E4662" s="221"/>
      <c r="F4662" s="221"/>
      <c r="G4662" s="221"/>
      <c r="H4662" s="221"/>
      <c r="I4662" s="221"/>
      <c r="J4662" s="221"/>
      <c r="K4662" s="221"/>
      <c r="L4662" s="221"/>
      <c r="M4662" s="221"/>
    </row>
    <row r="4663" spans="5:13">
      <c r="E4663" s="221"/>
      <c r="F4663" s="221"/>
      <c r="G4663" s="221"/>
      <c r="H4663" s="221"/>
      <c r="I4663" s="221"/>
      <c r="J4663" s="221"/>
      <c r="K4663" s="221"/>
      <c r="L4663" s="221"/>
      <c r="M4663" s="221"/>
    </row>
    <row r="4664" spans="5:13">
      <c r="E4664" s="221"/>
      <c r="F4664" s="221"/>
      <c r="G4664" s="221"/>
      <c r="H4664" s="221"/>
      <c r="I4664" s="221"/>
      <c r="J4664" s="221"/>
      <c r="K4664" s="221"/>
      <c r="L4664" s="221"/>
      <c r="M4664" s="221"/>
    </row>
    <row r="4665" spans="5:13">
      <c r="E4665" s="221"/>
      <c r="F4665" s="221"/>
      <c r="G4665" s="221"/>
      <c r="H4665" s="221"/>
      <c r="I4665" s="221"/>
      <c r="J4665" s="221"/>
      <c r="K4665" s="221"/>
      <c r="L4665" s="221"/>
      <c r="M4665" s="221"/>
    </row>
    <row r="4666" spans="5:13">
      <c r="E4666" s="221"/>
      <c r="F4666" s="221"/>
      <c r="G4666" s="221"/>
      <c r="H4666" s="221"/>
      <c r="I4666" s="221"/>
      <c r="J4666" s="221"/>
      <c r="K4666" s="221"/>
      <c r="L4666" s="221"/>
      <c r="M4666" s="221"/>
    </row>
    <row r="4667" spans="5:13">
      <c r="E4667" s="221"/>
      <c r="F4667" s="221"/>
      <c r="G4667" s="221"/>
      <c r="H4667" s="221"/>
      <c r="I4667" s="221"/>
      <c r="J4667" s="221"/>
      <c r="K4667" s="221"/>
      <c r="L4667" s="221"/>
      <c r="M4667" s="221"/>
    </row>
    <row r="4668" spans="5:13">
      <c r="E4668" s="221"/>
      <c r="F4668" s="221"/>
      <c r="G4668" s="221"/>
      <c r="H4668" s="221"/>
      <c r="I4668" s="221"/>
      <c r="J4668" s="221"/>
      <c r="K4668" s="221"/>
      <c r="L4668" s="221"/>
      <c r="M4668" s="221"/>
    </row>
    <row r="4669" spans="5:13">
      <c r="E4669" s="221"/>
      <c r="F4669" s="221"/>
      <c r="G4669" s="221"/>
      <c r="H4669" s="221"/>
      <c r="I4669" s="221"/>
      <c r="J4669" s="221"/>
      <c r="K4669" s="221"/>
      <c r="L4669" s="221"/>
      <c r="M4669" s="221"/>
    </row>
    <row r="4670" spans="5:13">
      <c r="E4670" s="221"/>
      <c r="F4670" s="221"/>
      <c r="G4670" s="221"/>
      <c r="H4670" s="221"/>
      <c r="I4670" s="221"/>
      <c r="J4670" s="221"/>
      <c r="K4670" s="221"/>
      <c r="L4670" s="221"/>
      <c r="M4670" s="221"/>
    </row>
    <row r="4671" spans="5:13">
      <c r="E4671" s="221"/>
      <c r="F4671" s="221"/>
      <c r="G4671" s="221"/>
      <c r="H4671" s="221"/>
      <c r="I4671" s="221"/>
      <c r="J4671" s="221"/>
      <c r="K4671" s="221"/>
      <c r="L4671" s="221"/>
      <c r="M4671" s="221"/>
    </row>
    <row r="4672" spans="5:13">
      <c r="E4672" s="221"/>
      <c r="F4672" s="221"/>
      <c r="G4672" s="221"/>
      <c r="H4672" s="221"/>
      <c r="I4672" s="221"/>
      <c r="J4672" s="221"/>
      <c r="K4672" s="221"/>
      <c r="L4672" s="221"/>
      <c r="M4672" s="221"/>
    </row>
    <row r="4673" spans="5:13">
      <c r="E4673" s="221"/>
      <c r="F4673" s="221"/>
      <c r="G4673" s="221"/>
      <c r="H4673" s="221"/>
      <c r="I4673" s="221"/>
      <c r="J4673" s="221"/>
      <c r="K4673" s="221"/>
      <c r="L4673" s="221"/>
      <c r="M4673" s="221"/>
    </row>
    <row r="4674" spans="5:13">
      <c r="E4674" s="221"/>
      <c r="F4674" s="221"/>
      <c r="G4674" s="221"/>
      <c r="H4674" s="221"/>
      <c r="I4674" s="221"/>
      <c r="J4674" s="221"/>
      <c r="K4674" s="221"/>
      <c r="L4674" s="221"/>
      <c r="M4674" s="221"/>
    </row>
    <row r="4675" spans="5:13">
      <c r="E4675" s="221"/>
      <c r="F4675" s="221"/>
      <c r="G4675" s="221"/>
      <c r="H4675" s="221"/>
      <c r="I4675" s="221"/>
      <c r="J4675" s="221"/>
      <c r="K4675" s="221"/>
      <c r="L4675" s="221"/>
      <c r="M4675" s="221"/>
    </row>
    <row r="4676" spans="5:13">
      <c r="E4676" s="221"/>
      <c r="F4676" s="221"/>
      <c r="G4676" s="221"/>
      <c r="H4676" s="221"/>
      <c r="I4676" s="221"/>
      <c r="J4676" s="221"/>
      <c r="K4676" s="221"/>
      <c r="L4676" s="221"/>
      <c r="M4676" s="221"/>
    </row>
    <row r="4677" spans="5:13">
      <c r="E4677" s="221"/>
      <c r="F4677" s="221"/>
      <c r="G4677" s="221"/>
      <c r="H4677" s="221"/>
      <c r="I4677" s="221"/>
      <c r="J4677" s="221"/>
      <c r="K4677" s="221"/>
      <c r="L4677" s="221"/>
      <c r="M4677" s="221"/>
    </row>
    <row r="4678" spans="5:13">
      <c r="E4678" s="221"/>
      <c r="F4678" s="221"/>
      <c r="G4678" s="221"/>
      <c r="H4678" s="221"/>
      <c r="I4678" s="221"/>
      <c r="J4678" s="221"/>
      <c r="K4678" s="221"/>
      <c r="L4678" s="221"/>
      <c r="M4678" s="221"/>
    </row>
    <row r="4679" spans="5:13">
      <c r="E4679" s="221"/>
      <c r="F4679" s="221"/>
      <c r="G4679" s="221"/>
      <c r="H4679" s="221"/>
      <c r="I4679" s="221"/>
      <c r="J4679" s="221"/>
      <c r="K4679" s="221"/>
      <c r="L4679" s="221"/>
      <c r="M4679" s="221"/>
    </row>
    <row r="4680" spans="5:13">
      <c r="E4680" s="221"/>
      <c r="F4680" s="221"/>
      <c r="G4680" s="221"/>
      <c r="H4680" s="221"/>
      <c r="I4680" s="221"/>
      <c r="J4680" s="221"/>
      <c r="K4680" s="221"/>
      <c r="L4680" s="221"/>
      <c r="M4680" s="221"/>
    </row>
    <row r="4681" spans="5:13">
      <c r="E4681" s="221"/>
      <c r="F4681" s="221"/>
      <c r="G4681" s="221"/>
      <c r="H4681" s="221"/>
      <c r="I4681" s="221"/>
      <c r="J4681" s="221"/>
      <c r="K4681" s="221"/>
      <c r="L4681" s="221"/>
      <c r="M4681" s="221"/>
    </row>
    <row r="4682" spans="5:13">
      <c r="E4682" s="221"/>
      <c r="F4682" s="221"/>
      <c r="G4682" s="221"/>
      <c r="H4682" s="221"/>
      <c r="I4682" s="221"/>
      <c r="J4682" s="221"/>
      <c r="K4682" s="221"/>
      <c r="L4682" s="221"/>
      <c r="M4682" s="221"/>
    </row>
    <row r="4683" spans="5:13">
      <c r="E4683" s="221"/>
      <c r="F4683" s="221"/>
      <c r="G4683" s="221"/>
      <c r="H4683" s="221"/>
      <c r="I4683" s="221"/>
      <c r="J4683" s="221"/>
      <c r="K4683" s="221"/>
      <c r="L4683" s="221"/>
      <c r="M4683" s="221"/>
    </row>
    <row r="4684" spans="5:13">
      <c r="E4684" s="221"/>
      <c r="F4684" s="221"/>
      <c r="G4684" s="221"/>
      <c r="H4684" s="221"/>
      <c r="I4684" s="221"/>
      <c r="J4684" s="221"/>
      <c r="K4684" s="221"/>
      <c r="L4684" s="221"/>
      <c r="M4684" s="221"/>
    </row>
    <row r="4685" spans="5:13">
      <c r="E4685" s="221"/>
      <c r="F4685" s="221"/>
      <c r="G4685" s="221"/>
      <c r="H4685" s="221"/>
      <c r="I4685" s="221"/>
      <c r="J4685" s="221"/>
      <c r="K4685" s="221"/>
      <c r="L4685" s="221"/>
      <c r="M4685" s="221"/>
    </row>
    <row r="4686" spans="5:13">
      <c r="E4686" s="221"/>
      <c r="F4686" s="221"/>
      <c r="G4686" s="221"/>
      <c r="H4686" s="221"/>
      <c r="I4686" s="221"/>
      <c r="J4686" s="221"/>
      <c r="K4686" s="221"/>
      <c r="L4686" s="221"/>
      <c r="M4686" s="221"/>
    </row>
    <row r="4687" spans="5:13">
      <c r="E4687" s="221"/>
      <c r="F4687" s="221"/>
      <c r="G4687" s="221"/>
      <c r="H4687" s="221"/>
      <c r="I4687" s="221"/>
      <c r="J4687" s="221"/>
      <c r="K4687" s="221"/>
      <c r="L4687" s="221"/>
      <c r="M4687" s="221"/>
    </row>
    <row r="4688" spans="5:13">
      <c r="E4688" s="221"/>
      <c r="F4688" s="221"/>
      <c r="G4688" s="221"/>
      <c r="H4688" s="221"/>
      <c r="I4688" s="221"/>
      <c r="J4688" s="221"/>
      <c r="K4688" s="221"/>
      <c r="L4688" s="221"/>
      <c r="M4688" s="221"/>
    </row>
    <row r="4689" spans="5:13">
      <c r="E4689" s="221"/>
      <c r="F4689" s="221"/>
      <c r="G4689" s="221"/>
      <c r="H4689" s="221"/>
      <c r="I4689" s="221"/>
      <c r="J4689" s="221"/>
      <c r="K4689" s="221"/>
      <c r="L4689" s="221"/>
      <c r="M4689" s="221"/>
    </row>
    <row r="4690" spans="5:13">
      <c r="E4690" s="221"/>
      <c r="F4690" s="221"/>
      <c r="G4690" s="221"/>
      <c r="H4690" s="221"/>
      <c r="I4690" s="221"/>
      <c r="J4690" s="221"/>
      <c r="K4690" s="221"/>
      <c r="L4690" s="221"/>
      <c r="M4690" s="221"/>
    </row>
    <row r="4691" spans="5:13">
      <c r="E4691" s="221"/>
      <c r="F4691" s="221"/>
      <c r="G4691" s="221"/>
      <c r="H4691" s="221"/>
      <c r="I4691" s="221"/>
      <c r="J4691" s="221"/>
      <c r="K4691" s="221"/>
      <c r="L4691" s="221"/>
      <c r="M4691" s="221"/>
    </row>
    <row r="4692" spans="5:13">
      <c r="E4692" s="221"/>
      <c r="F4692" s="221"/>
      <c r="G4692" s="221"/>
      <c r="H4692" s="221"/>
      <c r="I4692" s="221"/>
      <c r="J4692" s="221"/>
      <c r="K4692" s="221"/>
      <c r="L4692" s="221"/>
      <c r="M4692" s="221"/>
    </row>
    <row r="4693" spans="5:13">
      <c r="E4693" s="221"/>
      <c r="F4693" s="221"/>
      <c r="G4693" s="221"/>
      <c r="H4693" s="221"/>
      <c r="I4693" s="221"/>
      <c r="J4693" s="221"/>
      <c r="K4693" s="221"/>
      <c r="L4693" s="221"/>
      <c r="M4693" s="221"/>
    </row>
    <row r="4694" spans="5:13">
      <c r="E4694" s="221"/>
      <c r="F4694" s="221"/>
      <c r="G4694" s="221"/>
      <c r="H4694" s="221"/>
      <c r="I4694" s="221"/>
      <c r="J4694" s="221"/>
      <c r="K4694" s="221"/>
      <c r="L4694" s="221"/>
      <c r="M4694" s="221"/>
    </row>
    <row r="4695" spans="5:13">
      <c r="E4695" s="221"/>
      <c r="F4695" s="221"/>
      <c r="G4695" s="221"/>
      <c r="H4695" s="221"/>
      <c r="I4695" s="221"/>
      <c r="J4695" s="221"/>
      <c r="K4695" s="221"/>
      <c r="L4695" s="221"/>
      <c r="M4695" s="221"/>
    </row>
    <row r="4696" spans="5:13">
      <c r="E4696" s="221"/>
      <c r="F4696" s="221"/>
      <c r="G4696" s="221"/>
      <c r="H4696" s="221"/>
      <c r="I4696" s="221"/>
      <c r="J4696" s="221"/>
      <c r="K4696" s="221"/>
      <c r="L4696" s="221"/>
      <c r="M4696" s="221"/>
    </row>
    <row r="4697" spans="5:13">
      <c r="E4697" s="221"/>
      <c r="F4697" s="221"/>
      <c r="G4697" s="221"/>
      <c r="H4697" s="221"/>
      <c r="I4697" s="221"/>
      <c r="J4697" s="221"/>
      <c r="K4697" s="221"/>
      <c r="L4697" s="221"/>
      <c r="M4697" s="221"/>
    </row>
    <row r="4698" spans="5:13">
      <c r="E4698" s="221"/>
      <c r="F4698" s="221"/>
      <c r="G4698" s="221"/>
      <c r="H4698" s="221"/>
      <c r="I4698" s="221"/>
      <c r="J4698" s="221"/>
      <c r="K4698" s="221"/>
      <c r="L4698" s="221"/>
      <c r="M4698" s="221"/>
    </row>
    <row r="4699" spans="5:13">
      <c r="E4699" s="221"/>
      <c r="F4699" s="221"/>
      <c r="G4699" s="221"/>
      <c r="H4699" s="221"/>
      <c r="I4699" s="221"/>
      <c r="J4699" s="221"/>
      <c r="K4699" s="221"/>
      <c r="L4699" s="221"/>
      <c r="M4699" s="221"/>
    </row>
    <row r="4700" spans="5:13">
      <c r="E4700" s="221"/>
      <c r="F4700" s="221"/>
      <c r="G4700" s="221"/>
      <c r="H4700" s="221"/>
      <c r="I4700" s="221"/>
      <c r="J4700" s="221"/>
      <c r="K4700" s="221"/>
      <c r="L4700" s="221"/>
      <c r="M4700" s="221"/>
    </row>
    <row r="4701" spans="5:13">
      <c r="E4701" s="221"/>
      <c r="F4701" s="221"/>
      <c r="G4701" s="221"/>
      <c r="H4701" s="221"/>
      <c r="I4701" s="221"/>
      <c r="J4701" s="221"/>
      <c r="K4701" s="221"/>
      <c r="L4701" s="221"/>
      <c r="M4701" s="221"/>
    </row>
    <row r="4702" spans="5:13">
      <c r="E4702" s="221"/>
      <c r="F4702" s="221"/>
      <c r="G4702" s="221"/>
      <c r="H4702" s="221"/>
      <c r="I4702" s="221"/>
      <c r="J4702" s="221"/>
      <c r="K4702" s="221"/>
      <c r="L4702" s="221"/>
      <c r="M4702" s="221"/>
    </row>
    <row r="4703" spans="5:13">
      <c r="E4703" s="221"/>
      <c r="F4703" s="221"/>
      <c r="G4703" s="221"/>
      <c r="H4703" s="221"/>
      <c r="I4703" s="221"/>
      <c r="J4703" s="221"/>
      <c r="K4703" s="221"/>
      <c r="L4703" s="221"/>
      <c r="M4703" s="221"/>
    </row>
    <row r="4704" spans="5:13">
      <c r="E4704" s="221"/>
      <c r="F4704" s="221"/>
      <c r="G4704" s="221"/>
      <c r="H4704" s="221"/>
      <c r="I4704" s="221"/>
      <c r="J4704" s="221"/>
      <c r="K4704" s="221"/>
      <c r="L4704" s="221"/>
      <c r="M4704" s="221"/>
    </row>
    <row r="4705" spans="5:13">
      <c r="E4705" s="221"/>
      <c r="F4705" s="221"/>
      <c r="G4705" s="221"/>
      <c r="H4705" s="221"/>
      <c r="I4705" s="221"/>
      <c r="J4705" s="221"/>
      <c r="K4705" s="221"/>
      <c r="L4705" s="221"/>
      <c r="M4705" s="221"/>
    </row>
    <row r="4706" spans="5:13">
      <c r="E4706" s="221"/>
      <c r="F4706" s="221"/>
      <c r="G4706" s="221"/>
      <c r="H4706" s="221"/>
      <c r="I4706" s="221"/>
      <c r="J4706" s="221"/>
      <c r="K4706" s="221"/>
      <c r="L4706" s="221"/>
      <c r="M4706" s="221"/>
    </row>
    <row r="4707" spans="5:13">
      <c r="E4707" s="221"/>
      <c r="F4707" s="221"/>
      <c r="G4707" s="221"/>
      <c r="H4707" s="221"/>
      <c r="I4707" s="221"/>
      <c r="J4707" s="221"/>
      <c r="K4707" s="221"/>
      <c r="L4707" s="221"/>
      <c r="M4707" s="221"/>
    </row>
    <row r="4708" spans="5:13">
      <c r="E4708" s="221"/>
      <c r="F4708" s="221"/>
      <c r="G4708" s="221"/>
      <c r="H4708" s="221"/>
      <c r="I4708" s="221"/>
      <c r="J4708" s="221"/>
      <c r="K4708" s="221"/>
      <c r="L4708" s="221"/>
      <c r="M4708" s="221"/>
    </row>
    <row r="4709" spans="5:13">
      <c r="E4709" s="221"/>
      <c r="F4709" s="221"/>
      <c r="G4709" s="221"/>
      <c r="H4709" s="221"/>
      <c r="I4709" s="221"/>
      <c r="J4709" s="221"/>
      <c r="K4709" s="221"/>
      <c r="L4709" s="221"/>
      <c r="M4709" s="221"/>
    </row>
    <row r="4710" spans="5:13">
      <c r="E4710" s="221"/>
      <c r="F4710" s="221"/>
      <c r="G4710" s="221"/>
      <c r="H4710" s="221"/>
      <c r="I4710" s="221"/>
      <c r="J4710" s="221"/>
      <c r="K4710" s="221"/>
      <c r="L4710" s="221"/>
      <c r="M4710" s="221"/>
    </row>
    <row r="4711" spans="5:13">
      <c r="E4711" s="221"/>
      <c r="F4711" s="221"/>
      <c r="G4711" s="221"/>
      <c r="H4711" s="221"/>
      <c r="I4711" s="221"/>
      <c r="J4711" s="221"/>
      <c r="K4711" s="221"/>
      <c r="L4711" s="221"/>
      <c r="M4711" s="221"/>
    </row>
    <row r="4712" spans="5:13">
      <c r="E4712" s="221"/>
      <c r="F4712" s="221"/>
      <c r="G4712" s="221"/>
      <c r="H4712" s="221"/>
      <c r="I4712" s="221"/>
      <c r="J4712" s="221"/>
      <c r="K4712" s="221"/>
      <c r="L4712" s="221"/>
      <c r="M4712" s="221"/>
    </row>
    <row r="4713" spans="5:13">
      <c r="E4713" s="221"/>
      <c r="F4713" s="221"/>
      <c r="G4713" s="221"/>
      <c r="H4713" s="221"/>
      <c r="I4713" s="221"/>
      <c r="J4713" s="221"/>
      <c r="K4713" s="221"/>
      <c r="L4713" s="221"/>
      <c r="M4713" s="221"/>
    </row>
    <row r="4714" spans="5:13">
      <c r="E4714" s="221"/>
      <c r="F4714" s="221"/>
      <c r="G4714" s="221"/>
      <c r="H4714" s="221"/>
      <c r="I4714" s="221"/>
      <c r="J4714" s="221"/>
      <c r="K4714" s="221"/>
      <c r="L4714" s="221"/>
      <c r="M4714" s="221"/>
    </row>
    <row r="4715" spans="5:13">
      <c r="E4715" s="221"/>
      <c r="F4715" s="221"/>
      <c r="G4715" s="221"/>
      <c r="H4715" s="221"/>
      <c r="I4715" s="221"/>
      <c r="J4715" s="221"/>
      <c r="K4715" s="221"/>
      <c r="L4715" s="221"/>
      <c r="M4715" s="221"/>
    </row>
    <row r="4716" spans="5:13">
      <c r="E4716" s="221"/>
      <c r="F4716" s="221"/>
      <c r="G4716" s="221"/>
      <c r="H4716" s="221"/>
      <c r="I4716" s="221"/>
      <c r="J4716" s="221"/>
      <c r="K4716" s="221"/>
      <c r="L4716" s="221"/>
      <c r="M4716" s="221"/>
    </row>
    <row r="4717" spans="5:13">
      <c r="E4717" s="221"/>
      <c r="F4717" s="221"/>
      <c r="G4717" s="221"/>
      <c r="H4717" s="221"/>
      <c r="I4717" s="221"/>
      <c r="J4717" s="221"/>
      <c r="K4717" s="221"/>
      <c r="L4717" s="221"/>
      <c r="M4717" s="221"/>
    </row>
    <row r="4718" spans="5:13">
      <c r="E4718" s="221"/>
      <c r="F4718" s="221"/>
      <c r="G4718" s="221"/>
      <c r="H4718" s="221"/>
      <c r="I4718" s="221"/>
      <c r="J4718" s="221"/>
      <c r="K4718" s="221"/>
      <c r="L4718" s="221"/>
      <c r="M4718" s="221"/>
    </row>
    <row r="4719" spans="5:13">
      <c r="E4719" s="221"/>
      <c r="F4719" s="221"/>
      <c r="G4719" s="221"/>
      <c r="H4719" s="221"/>
      <c r="I4719" s="221"/>
      <c r="J4719" s="221"/>
      <c r="K4719" s="221"/>
      <c r="L4719" s="221"/>
      <c r="M4719" s="221"/>
    </row>
    <row r="4720" spans="5:13">
      <c r="E4720" s="221"/>
      <c r="F4720" s="221"/>
      <c r="G4720" s="221"/>
      <c r="H4720" s="221"/>
      <c r="I4720" s="221"/>
      <c r="J4720" s="221"/>
      <c r="K4720" s="221"/>
      <c r="L4720" s="221"/>
      <c r="M4720" s="221"/>
    </row>
    <row r="4721" spans="5:13">
      <c r="E4721" s="221"/>
      <c r="F4721" s="221"/>
      <c r="G4721" s="221"/>
      <c r="H4721" s="221"/>
      <c r="I4721" s="221"/>
      <c r="J4721" s="221"/>
      <c r="K4721" s="221"/>
      <c r="L4721" s="221"/>
      <c r="M4721" s="221"/>
    </row>
    <row r="4722" spans="5:13">
      <c r="E4722" s="221"/>
      <c r="F4722" s="221"/>
      <c r="G4722" s="221"/>
      <c r="H4722" s="221"/>
      <c r="I4722" s="221"/>
      <c r="J4722" s="221"/>
      <c r="K4722" s="221"/>
      <c r="L4722" s="221"/>
      <c r="M4722" s="221"/>
    </row>
    <row r="4723" spans="5:13">
      <c r="E4723" s="221"/>
      <c r="F4723" s="221"/>
      <c r="G4723" s="221"/>
      <c r="H4723" s="221"/>
      <c r="I4723" s="221"/>
      <c r="J4723" s="221"/>
      <c r="K4723" s="221"/>
      <c r="L4723" s="221"/>
      <c r="M4723" s="221"/>
    </row>
    <row r="4724" spans="5:13">
      <c r="E4724" s="221"/>
      <c r="F4724" s="221"/>
      <c r="G4724" s="221"/>
      <c r="H4724" s="221"/>
      <c r="I4724" s="221"/>
      <c r="J4724" s="221"/>
      <c r="K4724" s="221"/>
      <c r="L4724" s="221"/>
      <c r="M4724" s="221"/>
    </row>
    <row r="4725" spans="5:13">
      <c r="E4725" s="221"/>
      <c r="F4725" s="221"/>
      <c r="G4725" s="221"/>
      <c r="H4725" s="221"/>
      <c r="I4725" s="221"/>
      <c r="J4725" s="221"/>
      <c r="K4725" s="221"/>
      <c r="L4725" s="221"/>
      <c r="M4725" s="221"/>
    </row>
    <row r="4726" spans="5:13">
      <c r="E4726" s="221"/>
      <c r="F4726" s="221"/>
      <c r="G4726" s="221"/>
      <c r="H4726" s="221"/>
      <c r="I4726" s="221"/>
      <c r="J4726" s="221"/>
      <c r="K4726" s="221"/>
      <c r="L4726" s="221"/>
      <c r="M4726" s="221"/>
    </row>
    <row r="4727" spans="5:13">
      <c r="E4727" s="221"/>
      <c r="F4727" s="221"/>
      <c r="G4727" s="221"/>
      <c r="H4727" s="221"/>
      <c r="I4727" s="221"/>
      <c r="J4727" s="221"/>
      <c r="K4727" s="221"/>
      <c r="L4727" s="221"/>
      <c r="M4727" s="221"/>
    </row>
    <row r="4728" spans="5:13">
      <c r="E4728" s="221"/>
      <c r="F4728" s="221"/>
      <c r="G4728" s="221"/>
      <c r="H4728" s="221"/>
      <c r="I4728" s="221"/>
      <c r="J4728" s="221"/>
      <c r="K4728" s="221"/>
      <c r="L4728" s="221"/>
      <c r="M4728" s="221"/>
    </row>
    <row r="4729" spans="5:13">
      <c r="E4729" s="221"/>
      <c r="F4729" s="221"/>
      <c r="G4729" s="221"/>
      <c r="H4729" s="221"/>
      <c r="I4729" s="221"/>
      <c r="J4729" s="221"/>
      <c r="K4729" s="221"/>
      <c r="L4729" s="221"/>
      <c r="M4729" s="221"/>
    </row>
    <row r="4730" spans="5:13">
      <c r="E4730" s="221"/>
      <c r="F4730" s="221"/>
      <c r="G4730" s="221"/>
      <c r="H4730" s="221"/>
      <c r="I4730" s="221"/>
      <c r="J4730" s="221"/>
      <c r="K4730" s="221"/>
      <c r="L4730" s="221"/>
      <c r="M4730" s="221"/>
    </row>
    <row r="4731" spans="5:13">
      <c r="E4731" s="221"/>
      <c r="F4731" s="221"/>
      <c r="G4731" s="221"/>
      <c r="H4731" s="221"/>
      <c r="I4731" s="221"/>
      <c r="J4731" s="221"/>
      <c r="K4731" s="221"/>
      <c r="L4731" s="221"/>
      <c r="M4731" s="221"/>
    </row>
    <row r="4732" spans="5:13">
      <c r="E4732" s="221"/>
      <c r="F4732" s="221"/>
      <c r="G4732" s="221"/>
      <c r="H4732" s="221"/>
      <c r="I4732" s="221"/>
      <c r="J4732" s="221"/>
      <c r="K4732" s="221"/>
      <c r="L4732" s="221"/>
      <c r="M4732" s="221"/>
    </row>
    <row r="4733" spans="5:13">
      <c r="E4733" s="221"/>
      <c r="F4733" s="221"/>
      <c r="G4733" s="221"/>
      <c r="H4733" s="221"/>
      <c r="I4733" s="221"/>
      <c r="J4733" s="221"/>
      <c r="K4733" s="221"/>
      <c r="L4733" s="221"/>
      <c r="M4733" s="221"/>
    </row>
    <row r="4734" spans="5:13">
      <c r="E4734" s="221"/>
      <c r="F4734" s="221"/>
      <c r="G4734" s="221"/>
      <c r="H4734" s="221"/>
      <c r="I4734" s="221"/>
      <c r="J4734" s="221"/>
      <c r="K4734" s="221"/>
      <c r="L4734" s="221"/>
      <c r="M4734" s="221"/>
    </row>
    <row r="4735" spans="5:13">
      <c r="E4735" s="221"/>
      <c r="F4735" s="221"/>
      <c r="G4735" s="221"/>
      <c r="H4735" s="221"/>
      <c r="I4735" s="221"/>
      <c r="J4735" s="221"/>
      <c r="K4735" s="221"/>
      <c r="L4735" s="221"/>
      <c r="M4735" s="221"/>
    </row>
    <row r="4736" spans="5:13">
      <c r="E4736" s="221"/>
      <c r="F4736" s="221"/>
      <c r="G4736" s="221"/>
      <c r="H4736" s="221"/>
      <c r="I4736" s="221"/>
      <c r="J4736" s="221"/>
      <c r="K4736" s="221"/>
      <c r="L4736" s="221"/>
      <c r="M4736" s="221"/>
    </row>
    <row r="4737" spans="5:13">
      <c r="E4737" s="221"/>
      <c r="F4737" s="221"/>
      <c r="G4737" s="221"/>
      <c r="H4737" s="221"/>
      <c r="I4737" s="221"/>
      <c r="J4737" s="221"/>
      <c r="K4737" s="221"/>
      <c r="L4737" s="221"/>
      <c r="M4737" s="221"/>
    </row>
    <row r="4738" spans="5:13">
      <c r="E4738" s="221"/>
      <c r="F4738" s="221"/>
      <c r="G4738" s="221"/>
      <c r="H4738" s="221"/>
      <c r="I4738" s="221"/>
      <c r="J4738" s="221"/>
      <c r="K4738" s="221"/>
      <c r="L4738" s="221"/>
      <c r="M4738" s="221"/>
    </row>
    <row r="4739" spans="5:13">
      <c r="E4739" s="221"/>
      <c r="F4739" s="221"/>
      <c r="G4739" s="221"/>
      <c r="H4739" s="221"/>
      <c r="I4739" s="221"/>
      <c r="J4739" s="221"/>
      <c r="K4739" s="221"/>
      <c r="L4739" s="221"/>
      <c r="M4739" s="221"/>
    </row>
    <row r="4740" spans="5:13">
      <c r="E4740" s="221"/>
      <c r="F4740" s="221"/>
      <c r="G4740" s="221"/>
      <c r="H4740" s="221"/>
      <c r="I4740" s="221"/>
      <c r="J4740" s="221"/>
      <c r="K4740" s="221"/>
      <c r="L4740" s="221"/>
      <c r="M4740" s="221"/>
    </row>
    <row r="4741" spans="5:13">
      <c r="E4741" s="221"/>
      <c r="F4741" s="221"/>
      <c r="G4741" s="221"/>
      <c r="H4741" s="221"/>
      <c r="I4741" s="221"/>
      <c r="J4741" s="221"/>
      <c r="K4741" s="221"/>
      <c r="L4741" s="221"/>
      <c r="M4741" s="221"/>
    </row>
    <row r="4742" spans="5:13">
      <c r="E4742" s="221"/>
      <c r="F4742" s="221"/>
      <c r="G4742" s="221"/>
      <c r="H4742" s="221"/>
      <c r="I4742" s="221"/>
      <c r="J4742" s="221"/>
      <c r="K4742" s="221"/>
      <c r="L4742" s="221"/>
      <c r="M4742" s="221"/>
    </row>
    <row r="4743" spans="5:13">
      <c r="E4743" s="221"/>
      <c r="F4743" s="221"/>
      <c r="G4743" s="221"/>
      <c r="H4743" s="221"/>
      <c r="I4743" s="221"/>
      <c r="J4743" s="221"/>
      <c r="K4743" s="221"/>
      <c r="L4743" s="221"/>
      <c r="M4743" s="221"/>
    </row>
    <row r="4744" spans="5:13">
      <c r="E4744" s="221"/>
      <c r="F4744" s="221"/>
      <c r="G4744" s="221"/>
      <c r="H4744" s="221"/>
      <c r="I4744" s="221"/>
      <c r="J4744" s="221"/>
      <c r="K4744" s="221"/>
      <c r="L4744" s="221"/>
      <c r="M4744" s="221"/>
    </row>
    <row r="4745" spans="5:13">
      <c r="E4745" s="221"/>
      <c r="F4745" s="221"/>
      <c r="G4745" s="221"/>
      <c r="H4745" s="221"/>
      <c r="I4745" s="221"/>
      <c r="J4745" s="221"/>
      <c r="K4745" s="221"/>
      <c r="L4745" s="221"/>
      <c r="M4745" s="221"/>
    </row>
    <row r="4746" spans="5:13">
      <c r="E4746" s="221"/>
      <c r="F4746" s="221"/>
      <c r="G4746" s="221"/>
      <c r="H4746" s="221"/>
      <c r="I4746" s="221"/>
      <c r="J4746" s="221"/>
      <c r="K4746" s="221"/>
      <c r="L4746" s="221"/>
      <c r="M4746" s="221"/>
    </row>
    <row r="4747" spans="5:13">
      <c r="E4747" s="221"/>
      <c r="F4747" s="221"/>
      <c r="G4747" s="221"/>
      <c r="H4747" s="221"/>
      <c r="I4747" s="221"/>
      <c r="J4747" s="221"/>
      <c r="K4747" s="221"/>
      <c r="L4747" s="221"/>
      <c r="M4747" s="221"/>
    </row>
    <row r="4748" spans="5:13">
      <c r="E4748" s="221"/>
      <c r="F4748" s="221"/>
      <c r="G4748" s="221"/>
      <c r="H4748" s="221"/>
      <c r="I4748" s="221"/>
      <c r="J4748" s="221"/>
      <c r="K4748" s="221"/>
      <c r="L4748" s="221"/>
      <c r="M4748" s="221"/>
    </row>
    <row r="4749" spans="5:13">
      <c r="E4749" s="221"/>
      <c r="F4749" s="221"/>
      <c r="G4749" s="221"/>
      <c r="H4749" s="221"/>
      <c r="I4749" s="221"/>
      <c r="J4749" s="221"/>
      <c r="K4749" s="221"/>
      <c r="L4749" s="221"/>
      <c r="M4749" s="221"/>
    </row>
    <row r="4750" spans="5:13">
      <c r="E4750" s="221"/>
      <c r="F4750" s="221"/>
      <c r="G4750" s="221"/>
      <c r="H4750" s="221"/>
      <c r="I4750" s="221"/>
      <c r="J4750" s="221"/>
      <c r="K4750" s="221"/>
      <c r="L4750" s="221"/>
      <c r="M4750" s="221"/>
    </row>
    <row r="4751" spans="5:13">
      <c r="E4751" s="221"/>
      <c r="F4751" s="221"/>
      <c r="G4751" s="221"/>
      <c r="H4751" s="221"/>
      <c r="I4751" s="221"/>
      <c r="J4751" s="221"/>
      <c r="K4751" s="221"/>
      <c r="L4751" s="221"/>
      <c r="M4751" s="221"/>
    </row>
    <row r="4752" spans="5:13">
      <c r="E4752" s="221"/>
      <c r="F4752" s="221"/>
      <c r="G4752" s="221"/>
      <c r="H4752" s="221"/>
      <c r="I4752" s="221"/>
      <c r="J4752" s="221"/>
      <c r="K4752" s="221"/>
      <c r="L4752" s="221"/>
      <c r="M4752" s="221"/>
    </row>
    <row r="4753" spans="5:13">
      <c r="E4753" s="221"/>
      <c r="F4753" s="221"/>
      <c r="G4753" s="221"/>
      <c r="H4753" s="221"/>
      <c r="I4753" s="221"/>
      <c r="J4753" s="221"/>
      <c r="K4753" s="221"/>
      <c r="L4753" s="221"/>
      <c r="M4753" s="221"/>
    </row>
    <row r="4754" spans="5:13">
      <c r="E4754" s="221"/>
      <c r="F4754" s="221"/>
      <c r="G4754" s="221"/>
      <c r="H4754" s="221"/>
      <c r="I4754" s="221"/>
      <c r="J4754" s="221"/>
      <c r="K4754" s="221"/>
      <c r="L4754" s="221"/>
      <c r="M4754" s="221"/>
    </row>
    <row r="4755" spans="5:13">
      <c r="E4755" s="221"/>
      <c r="F4755" s="221"/>
      <c r="G4755" s="221"/>
      <c r="H4755" s="221"/>
      <c r="I4755" s="221"/>
      <c r="J4755" s="221"/>
      <c r="K4755" s="221"/>
      <c r="L4755" s="221"/>
      <c r="M4755" s="221"/>
    </row>
    <row r="4756" spans="5:13">
      <c r="E4756" s="221"/>
      <c r="F4756" s="221"/>
      <c r="G4756" s="221"/>
      <c r="H4756" s="221"/>
      <c r="I4756" s="221"/>
      <c r="J4756" s="221"/>
      <c r="K4756" s="221"/>
      <c r="L4756" s="221"/>
      <c r="M4756" s="221"/>
    </row>
    <row r="4757" spans="5:13">
      <c r="E4757" s="221"/>
      <c r="F4757" s="221"/>
      <c r="G4757" s="221"/>
      <c r="H4757" s="221"/>
      <c r="I4757" s="221"/>
      <c r="J4757" s="221"/>
      <c r="K4757" s="221"/>
      <c r="L4757" s="221"/>
      <c r="M4757" s="221"/>
    </row>
    <row r="4758" spans="5:13">
      <c r="E4758" s="221"/>
      <c r="F4758" s="221"/>
      <c r="G4758" s="221"/>
      <c r="H4758" s="221"/>
      <c r="I4758" s="221"/>
      <c r="J4758" s="221"/>
      <c r="K4758" s="221"/>
      <c r="L4758" s="221"/>
      <c r="M4758" s="221"/>
    </row>
    <row r="4759" spans="5:13">
      <c r="E4759" s="221"/>
      <c r="F4759" s="221"/>
      <c r="G4759" s="221"/>
      <c r="H4759" s="221"/>
      <c r="I4759" s="221"/>
      <c r="J4759" s="221"/>
      <c r="K4759" s="221"/>
      <c r="L4759" s="221"/>
      <c r="M4759" s="221"/>
    </row>
    <row r="4760" spans="5:13">
      <c r="E4760" s="221"/>
      <c r="F4760" s="221"/>
      <c r="G4760" s="221"/>
      <c r="H4760" s="221"/>
      <c r="I4760" s="221"/>
      <c r="J4760" s="221"/>
      <c r="K4760" s="221"/>
      <c r="L4760" s="221"/>
      <c r="M4760" s="221"/>
    </row>
    <row r="4761" spans="5:13">
      <c r="E4761" s="221"/>
      <c r="F4761" s="221"/>
      <c r="G4761" s="221"/>
      <c r="H4761" s="221"/>
      <c r="I4761" s="221"/>
      <c r="J4761" s="221"/>
      <c r="K4761" s="221"/>
      <c r="L4761" s="221"/>
      <c r="M4761" s="221"/>
    </row>
    <row r="4762" spans="5:13">
      <c r="E4762" s="221"/>
      <c r="F4762" s="221"/>
      <c r="G4762" s="221"/>
      <c r="H4762" s="221"/>
      <c r="I4762" s="221"/>
      <c r="J4762" s="221"/>
      <c r="K4762" s="221"/>
      <c r="L4762" s="221"/>
      <c r="M4762" s="221"/>
    </row>
    <row r="4763" spans="5:13">
      <c r="E4763" s="221"/>
      <c r="F4763" s="221"/>
      <c r="G4763" s="221"/>
      <c r="H4763" s="221"/>
      <c r="I4763" s="221"/>
      <c r="J4763" s="221"/>
      <c r="K4763" s="221"/>
      <c r="L4763" s="221"/>
      <c r="M4763" s="221"/>
    </row>
    <row r="4764" spans="5:13">
      <c r="E4764" s="221"/>
      <c r="F4764" s="221"/>
      <c r="G4764" s="221"/>
      <c r="H4764" s="221"/>
      <c r="I4764" s="221"/>
      <c r="J4764" s="221"/>
      <c r="K4764" s="221"/>
      <c r="L4764" s="221"/>
      <c r="M4764" s="221"/>
    </row>
    <row r="4765" spans="5:13">
      <c r="E4765" s="221"/>
      <c r="F4765" s="221"/>
      <c r="G4765" s="221"/>
      <c r="H4765" s="221"/>
      <c r="I4765" s="221"/>
      <c r="J4765" s="221"/>
      <c r="K4765" s="221"/>
      <c r="L4765" s="221"/>
      <c r="M4765" s="221"/>
    </row>
    <row r="4766" spans="5:13">
      <c r="E4766" s="221"/>
      <c r="F4766" s="221"/>
      <c r="G4766" s="221"/>
      <c r="H4766" s="221"/>
      <c r="I4766" s="221"/>
      <c r="J4766" s="221"/>
      <c r="K4766" s="221"/>
      <c r="L4766" s="221"/>
      <c r="M4766" s="221"/>
    </row>
    <row r="4767" spans="5:13">
      <c r="E4767" s="221"/>
      <c r="F4767" s="221"/>
      <c r="G4767" s="221"/>
      <c r="H4767" s="221"/>
      <c r="I4767" s="221"/>
      <c r="J4767" s="221"/>
      <c r="K4767" s="221"/>
      <c r="L4767" s="221"/>
      <c r="M4767" s="221"/>
    </row>
    <row r="4768" spans="5:13">
      <c r="E4768" s="221"/>
      <c r="F4768" s="221"/>
      <c r="G4768" s="221"/>
      <c r="H4768" s="221"/>
      <c r="I4768" s="221"/>
      <c r="J4768" s="221"/>
      <c r="K4768" s="221"/>
      <c r="L4768" s="221"/>
      <c r="M4768" s="221"/>
    </row>
    <row r="4769" spans="5:13">
      <c r="E4769" s="221"/>
      <c r="F4769" s="221"/>
      <c r="G4769" s="221"/>
      <c r="H4769" s="221"/>
      <c r="I4769" s="221"/>
      <c r="J4769" s="221"/>
      <c r="K4769" s="221"/>
      <c r="L4769" s="221"/>
      <c r="M4769" s="221"/>
    </row>
    <row r="4770" spans="5:13">
      <c r="E4770" s="221"/>
      <c r="F4770" s="221"/>
      <c r="G4770" s="221"/>
      <c r="H4770" s="221"/>
      <c r="I4770" s="221"/>
      <c r="J4770" s="221"/>
      <c r="K4770" s="221"/>
      <c r="L4770" s="221"/>
      <c r="M4770" s="221"/>
    </row>
    <row r="4771" spans="5:13">
      <c r="E4771" s="221"/>
      <c r="F4771" s="221"/>
      <c r="G4771" s="221"/>
      <c r="H4771" s="221"/>
      <c r="I4771" s="221"/>
      <c r="J4771" s="221"/>
      <c r="K4771" s="221"/>
      <c r="L4771" s="221"/>
      <c r="M4771" s="221"/>
    </row>
    <row r="4772" spans="5:13">
      <c r="E4772" s="221"/>
      <c r="F4772" s="221"/>
      <c r="G4772" s="221"/>
      <c r="H4772" s="221"/>
      <c r="I4772" s="221"/>
      <c r="J4772" s="221"/>
      <c r="K4772" s="221"/>
      <c r="L4772" s="221"/>
      <c r="M4772" s="221"/>
    </row>
    <row r="4773" spans="5:13">
      <c r="E4773" s="221"/>
      <c r="F4773" s="221"/>
      <c r="G4773" s="221"/>
      <c r="H4773" s="221"/>
      <c r="I4773" s="221"/>
      <c r="J4773" s="221"/>
      <c r="K4773" s="221"/>
      <c r="L4773" s="221"/>
      <c r="M4773" s="221"/>
    </row>
    <row r="4774" spans="5:13">
      <c r="E4774" s="221"/>
      <c r="F4774" s="221"/>
      <c r="G4774" s="221"/>
      <c r="H4774" s="221"/>
      <c r="I4774" s="221"/>
      <c r="J4774" s="221"/>
      <c r="K4774" s="221"/>
      <c r="L4774" s="221"/>
      <c r="M4774" s="221"/>
    </row>
    <row r="4775" spans="5:13">
      <c r="E4775" s="221"/>
      <c r="F4775" s="221"/>
      <c r="G4775" s="221"/>
      <c r="H4775" s="221"/>
      <c r="I4775" s="221"/>
      <c r="J4775" s="221"/>
      <c r="K4775" s="221"/>
      <c r="L4775" s="221"/>
      <c r="M4775" s="221"/>
    </row>
    <row r="4776" spans="5:13">
      <c r="E4776" s="221"/>
      <c r="F4776" s="221"/>
      <c r="G4776" s="221"/>
      <c r="H4776" s="221"/>
      <c r="I4776" s="221"/>
      <c r="J4776" s="221"/>
      <c r="K4776" s="221"/>
      <c r="L4776" s="221"/>
      <c r="M4776" s="221"/>
    </row>
    <row r="4777" spans="5:13">
      <c r="E4777" s="221"/>
      <c r="F4777" s="221"/>
      <c r="G4777" s="221"/>
      <c r="H4777" s="221"/>
      <c r="I4777" s="221"/>
      <c r="J4777" s="221"/>
      <c r="K4777" s="221"/>
      <c r="L4777" s="221"/>
      <c r="M4777" s="221"/>
    </row>
    <row r="4778" spans="5:13">
      <c r="E4778" s="221"/>
      <c r="F4778" s="221"/>
      <c r="G4778" s="221"/>
      <c r="H4778" s="221"/>
      <c r="I4778" s="221"/>
      <c r="J4778" s="221"/>
      <c r="K4778" s="221"/>
      <c r="L4778" s="221"/>
      <c r="M4778" s="221"/>
    </row>
    <row r="4779" spans="5:13">
      <c r="E4779" s="221"/>
      <c r="F4779" s="221"/>
      <c r="G4779" s="221"/>
      <c r="H4779" s="221"/>
      <c r="I4779" s="221"/>
      <c r="J4779" s="221"/>
      <c r="K4779" s="221"/>
      <c r="L4779" s="221"/>
      <c r="M4779" s="221"/>
    </row>
    <row r="4780" spans="5:13">
      <c r="E4780" s="221"/>
      <c r="F4780" s="221"/>
      <c r="G4780" s="221"/>
      <c r="H4780" s="221"/>
      <c r="I4780" s="221"/>
      <c r="J4780" s="221"/>
      <c r="K4780" s="221"/>
      <c r="L4780" s="221"/>
      <c r="M4780" s="221"/>
    </row>
    <row r="4781" spans="5:13">
      <c r="E4781" s="221"/>
      <c r="F4781" s="221"/>
      <c r="G4781" s="221"/>
      <c r="H4781" s="221"/>
      <c r="I4781" s="221"/>
      <c r="J4781" s="221"/>
      <c r="K4781" s="221"/>
      <c r="L4781" s="221"/>
      <c r="M4781" s="221"/>
    </row>
    <row r="4782" spans="5:13">
      <c r="E4782" s="221"/>
      <c r="F4782" s="221"/>
      <c r="G4782" s="221"/>
      <c r="H4782" s="221"/>
      <c r="I4782" s="221"/>
      <c r="J4782" s="221"/>
      <c r="K4782" s="221"/>
      <c r="L4782" s="221"/>
      <c r="M4782" s="221"/>
    </row>
    <row r="4783" spans="5:13">
      <c r="E4783" s="221"/>
      <c r="F4783" s="221"/>
      <c r="G4783" s="221"/>
      <c r="H4783" s="221"/>
      <c r="I4783" s="221"/>
      <c r="J4783" s="221"/>
      <c r="K4783" s="221"/>
      <c r="L4783" s="221"/>
      <c r="M4783" s="221"/>
    </row>
    <row r="4784" spans="5:13">
      <c r="E4784" s="221"/>
      <c r="F4784" s="221"/>
      <c r="G4784" s="221"/>
      <c r="H4784" s="221"/>
      <c r="I4784" s="221"/>
      <c r="J4784" s="221"/>
      <c r="K4784" s="221"/>
      <c r="L4784" s="221"/>
      <c r="M4784" s="221"/>
    </row>
    <row r="4785" spans="5:13">
      <c r="E4785" s="221"/>
      <c r="F4785" s="221"/>
      <c r="G4785" s="221"/>
      <c r="H4785" s="221"/>
      <c r="I4785" s="221"/>
      <c r="J4785" s="221"/>
      <c r="K4785" s="221"/>
      <c r="L4785" s="221"/>
      <c r="M4785" s="221"/>
    </row>
    <row r="4786" spans="5:13">
      <c r="E4786" s="221"/>
      <c r="F4786" s="221"/>
      <c r="G4786" s="221"/>
      <c r="H4786" s="221"/>
      <c r="I4786" s="221"/>
      <c r="J4786" s="221"/>
      <c r="K4786" s="221"/>
      <c r="L4786" s="221"/>
      <c r="M4786" s="221"/>
    </row>
    <row r="4787" spans="5:13">
      <c r="E4787" s="221"/>
      <c r="F4787" s="221"/>
      <c r="G4787" s="221"/>
      <c r="H4787" s="221"/>
      <c r="I4787" s="221"/>
      <c r="J4787" s="221"/>
      <c r="K4787" s="221"/>
      <c r="L4787" s="221"/>
      <c r="M4787" s="221"/>
    </row>
    <row r="4788" spans="5:13">
      <c r="E4788" s="221"/>
      <c r="F4788" s="221"/>
      <c r="G4788" s="221"/>
      <c r="H4788" s="221"/>
      <c r="I4788" s="221"/>
      <c r="J4788" s="221"/>
      <c r="K4788" s="221"/>
      <c r="L4788" s="221"/>
      <c r="M4788" s="221"/>
    </row>
    <row r="4789" spans="5:13">
      <c r="E4789" s="221"/>
      <c r="F4789" s="221"/>
      <c r="G4789" s="221"/>
      <c r="H4789" s="221"/>
      <c r="I4789" s="221"/>
      <c r="J4789" s="221"/>
      <c r="K4789" s="221"/>
      <c r="L4789" s="221"/>
      <c r="M4789" s="221"/>
    </row>
    <row r="4790" spans="5:13">
      <c r="E4790" s="221"/>
      <c r="F4790" s="221"/>
      <c r="G4790" s="221"/>
      <c r="H4790" s="221"/>
      <c r="I4790" s="221"/>
      <c r="J4790" s="221"/>
      <c r="K4790" s="221"/>
      <c r="L4790" s="221"/>
      <c r="M4790" s="221"/>
    </row>
    <row r="4791" spans="5:13">
      <c r="E4791" s="221"/>
      <c r="F4791" s="221"/>
      <c r="G4791" s="221"/>
      <c r="H4791" s="221"/>
      <c r="I4791" s="221"/>
      <c r="J4791" s="221"/>
      <c r="K4791" s="221"/>
      <c r="L4791" s="221"/>
      <c r="M4791" s="221"/>
    </row>
    <row r="4792" spans="5:13">
      <c r="E4792" s="221"/>
      <c r="F4792" s="221"/>
      <c r="G4792" s="221"/>
      <c r="H4792" s="221"/>
      <c r="I4792" s="221"/>
      <c r="J4792" s="221"/>
      <c r="K4792" s="221"/>
      <c r="L4792" s="221"/>
      <c r="M4792" s="221"/>
    </row>
    <row r="4793" spans="5:13">
      <c r="E4793" s="221"/>
      <c r="F4793" s="221"/>
      <c r="G4793" s="221"/>
      <c r="H4793" s="221"/>
      <c r="I4793" s="221"/>
      <c r="J4793" s="221"/>
      <c r="K4793" s="221"/>
      <c r="L4793" s="221"/>
      <c r="M4793" s="221"/>
    </row>
    <row r="4794" spans="5:13">
      <c r="E4794" s="221"/>
      <c r="F4794" s="221"/>
      <c r="G4794" s="221"/>
      <c r="H4794" s="221"/>
      <c r="I4794" s="221"/>
      <c r="J4794" s="221"/>
      <c r="K4794" s="221"/>
      <c r="L4794" s="221"/>
      <c r="M4794" s="221"/>
    </row>
    <row r="4795" spans="5:13">
      <c r="E4795" s="221"/>
      <c r="F4795" s="221"/>
      <c r="G4795" s="221"/>
      <c r="H4795" s="221"/>
      <c r="I4795" s="221"/>
      <c r="J4795" s="221"/>
      <c r="K4795" s="221"/>
      <c r="L4795" s="221"/>
      <c r="M4795" s="221"/>
    </row>
    <row r="4796" spans="5:13">
      <c r="E4796" s="221"/>
      <c r="F4796" s="221"/>
      <c r="G4796" s="221"/>
      <c r="H4796" s="221"/>
      <c r="I4796" s="221"/>
      <c r="J4796" s="221"/>
      <c r="K4796" s="221"/>
      <c r="L4796" s="221"/>
      <c r="M4796" s="221"/>
    </row>
    <row r="4797" spans="5:13">
      <c r="E4797" s="221"/>
      <c r="F4797" s="221"/>
      <c r="G4797" s="221"/>
      <c r="H4797" s="221"/>
      <c r="I4797" s="221"/>
      <c r="J4797" s="221"/>
      <c r="K4797" s="221"/>
      <c r="L4797" s="221"/>
      <c r="M4797" s="221"/>
    </row>
    <row r="4798" spans="5:13">
      <c r="E4798" s="221"/>
      <c r="F4798" s="221"/>
      <c r="G4798" s="221"/>
      <c r="H4798" s="221"/>
      <c r="I4798" s="221"/>
      <c r="J4798" s="221"/>
      <c r="K4798" s="221"/>
      <c r="L4798" s="221"/>
      <c r="M4798" s="221"/>
    </row>
    <row r="4799" spans="5:13">
      <c r="E4799" s="221"/>
      <c r="F4799" s="221"/>
      <c r="G4799" s="221"/>
      <c r="H4799" s="221"/>
      <c r="I4799" s="221"/>
      <c r="J4799" s="221"/>
      <c r="K4799" s="221"/>
      <c r="L4799" s="221"/>
      <c r="M4799" s="221"/>
    </row>
    <row r="4800" spans="5:13">
      <c r="E4800" s="221"/>
      <c r="F4800" s="221"/>
      <c r="G4800" s="221"/>
      <c r="H4800" s="221"/>
      <c r="I4800" s="221"/>
      <c r="J4800" s="221"/>
      <c r="K4800" s="221"/>
      <c r="L4800" s="221"/>
      <c r="M4800" s="221"/>
    </row>
    <row r="4801" spans="5:13">
      <c r="E4801" s="221"/>
      <c r="F4801" s="221"/>
      <c r="G4801" s="221"/>
      <c r="H4801" s="221"/>
      <c r="I4801" s="221"/>
      <c r="J4801" s="221"/>
      <c r="K4801" s="221"/>
      <c r="L4801" s="221"/>
      <c r="M4801" s="221"/>
    </row>
    <row r="4802" spans="5:13">
      <c r="E4802" s="221"/>
      <c r="F4802" s="221"/>
      <c r="G4802" s="221"/>
      <c r="H4802" s="221"/>
      <c r="I4802" s="221"/>
      <c r="J4802" s="221"/>
      <c r="K4802" s="221"/>
      <c r="L4802" s="221"/>
      <c r="M4802" s="221"/>
    </row>
    <row r="4803" spans="5:13">
      <c r="E4803" s="221"/>
      <c r="F4803" s="221"/>
      <c r="G4803" s="221"/>
      <c r="H4803" s="221"/>
      <c r="I4803" s="221"/>
      <c r="J4803" s="221"/>
      <c r="K4803" s="221"/>
      <c r="L4803" s="221"/>
      <c r="M4803" s="221"/>
    </row>
    <row r="4804" spans="5:13">
      <c r="E4804" s="221"/>
      <c r="F4804" s="221"/>
      <c r="G4804" s="221"/>
      <c r="H4804" s="221"/>
      <c r="I4804" s="221"/>
      <c r="J4804" s="221"/>
      <c r="K4804" s="221"/>
      <c r="L4804" s="221"/>
      <c r="M4804" s="221"/>
    </row>
    <row r="4805" spans="5:13">
      <c r="E4805" s="221"/>
      <c r="F4805" s="221"/>
      <c r="G4805" s="221"/>
      <c r="H4805" s="221"/>
      <c r="I4805" s="221"/>
      <c r="J4805" s="221"/>
      <c r="K4805" s="221"/>
      <c r="L4805" s="221"/>
      <c r="M4805" s="221"/>
    </row>
    <row r="4806" spans="5:13">
      <c r="E4806" s="221"/>
      <c r="F4806" s="221"/>
      <c r="G4806" s="221"/>
      <c r="H4806" s="221"/>
      <c r="I4806" s="221"/>
      <c r="J4806" s="221"/>
      <c r="K4806" s="221"/>
      <c r="L4806" s="221"/>
      <c r="M4806" s="221"/>
    </row>
    <row r="4807" spans="5:13">
      <c r="E4807" s="221"/>
      <c r="F4807" s="221"/>
      <c r="G4807" s="221"/>
      <c r="H4807" s="221"/>
      <c r="I4807" s="221"/>
      <c r="J4807" s="221"/>
      <c r="K4807" s="221"/>
      <c r="L4807" s="221"/>
      <c r="M4807" s="221"/>
    </row>
    <row r="4808" spans="5:13">
      <c r="E4808" s="221"/>
      <c r="F4808" s="221"/>
      <c r="G4808" s="221"/>
      <c r="H4808" s="221"/>
      <c r="I4808" s="221"/>
      <c r="J4808" s="221"/>
      <c r="K4808" s="221"/>
      <c r="L4808" s="221"/>
      <c r="M4808" s="221"/>
    </row>
    <row r="4809" spans="5:13">
      <c r="E4809" s="221"/>
      <c r="F4809" s="221"/>
      <c r="G4809" s="221"/>
      <c r="H4809" s="221"/>
      <c r="I4809" s="221"/>
      <c r="J4809" s="221"/>
      <c r="K4809" s="221"/>
      <c r="L4809" s="221"/>
      <c r="M4809" s="221"/>
    </row>
    <row r="4810" spans="5:13">
      <c r="E4810" s="221"/>
      <c r="F4810" s="221"/>
      <c r="G4810" s="221"/>
      <c r="H4810" s="221"/>
      <c r="I4810" s="221"/>
      <c r="J4810" s="221"/>
      <c r="K4810" s="221"/>
      <c r="L4810" s="221"/>
      <c r="M4810" s="221"/>
    </row>
    <row r="4811" spans="5:13">
      <c r="E4811" s="221"/>
      <c r="F4811" s="221"/>
      <c r="G4811" s="221"/>
      <c r="H4811" s="221"/>
      <c r="I4811" s="221"/>
      <c r="J4811" s="221"/>
      <c r="K4811" s="221"/>
      <c r="L4811" s="221"/>
      <c r="M4811" s="221"/>
    </row>
    <row r="4812" spans="5:13">
      <c r="E4812" s="221"/>
      <c r="F4812" s="221"/>
      <c r="G4812" s="221"/>
      <c r="H4812" s="221"/>
      <c r="I4812" s="221"/>
      <c r="J4812" s="221"/>
      <c r="K4812" s="221"/>
      <c r="L4812" s="221"/>
      <c r="M4812" s="221"/>
    </row>
    <row r="4813" spans="5:13">
      <c r="E4813" s="221"/>
      <c r="F4813" s="221"/>
      <c r="G4813" s="221"/>
      <c r="H4813" s="221"/>
      <c r="I4813" s="221"/>
      <c r="J4813" s="221"/>
      <c r="K4813" s="221"/>
      <c r="L4813" s="221"/>
      <c r="M4813" s="221"/>
    </row>
    <row r="4814" spans="5:13">
      <c r="E4814" s="221"/>
      <c r="F4814" s="221"/>
      <c r="G4814" s="221"/>
      <c r="H4814" s="221"/>
      <c r="I4814" s="221"/>
      <c r="J4814" s="221"/>
      <c r="K4814" s="221"/>
      <c r="L4814" s="221"/>
      <c r="M4814" s="221"/>
    </row>
    <row r="4815" spans="5:13">
      <c r="E4815" s="221"/>
      <c r="F4815" s="221"/>
      <c r="G4815" s="221"/>
      <c r="H4815" s="221"/>
      <c r="I4815" s="221"/>
      <c r="J4815" s="221"/>
      <c r="K4815" s="221"/>
      <c r="L4815" s="221"/>
      <c r="M4815" s="221"/>
    </row>
    <row r="4816" spans="5:13">
      <c r="E4816" s="221"/>
      <c r="F4816" s="221"/>
      <c r="G4816" s="221"/>
      <c r="H4816" s="221"/>
      <c r="I4816" s="221"/>
      <c r="J4816" s="221"/>
      <c r="K4816" s="221"/>
      <c r="L4816" s="221"/>
      <c r="M4816" s="221"/>
    </row>
    <row r="4817" spans="5:13">
      <c r="E4817" s="221"/>
      <c r="F4817" s="221"/>
      <c r="G4817" s="221"/>
      <c r="H4817" s="221"/>
      <c r="I4817" s="221"/>
      <c r="J4817" s="221"/>
      <c r="K4817" s="221"/>
      <c r="L4817" s="221"/>
      <c r="M4817" s="221"/>
    </row>
    <row r="4818" spans="5:13">
      <c r="E4818" s="221"/>
      <c r="F4818" s="221"/>
      <c r="G4818" s="221"/>
      <c r="H4818" s="221"/>
      <c r="I4818" s="221"/>
      <c r="J4818" s="221"/>
      <c r="K4818" s="221"/>
      <c r="L4818" s="221"/>
      <c r="M4818" s="221"/>
    </row>
    <row r="4819" spans="5:13">
      <c r="E4819" s="221"/>
      <c r="F4819" s="221"/>
      <c r="G4819" s="221"/>
      <c r="H4819" s="221"/>
      <c r="I4819" s="221"/>
      <c r="J4819" s="221"/>
      <c r="K4819" s="221"/>
      <c r="L4819" s="221"/>
      <c r="M4819" s="221"/>
    </row>
    <row r="4820" spans="5:13">
      <c r="E4820" s="221"/>
      <c r="F4820" s="221"/>
      <c r="G4820" s="221"/>
      <c r="H4820" s="221"/>
      <c r="I4820" s="221"/>
      <c r="J4820" s="221"/>
      <c r="K4820" s="221"/>
      <c r="L4820" s="221"/>
      <c r="M4820" s="221"/>
    </row>
    <row r="4821" spans="5:13">
      <c r="E4821" s="221"/>
      <c r="F4821" s="221"/>
      <c r="G4821" s="221"/>
      <c r="H4821" s="221"/>
      <c r="I4821" s="221"/>
      <c r="J4821" s="221"/>
      <c r="K4821" s="221"/>
      <c r="L4821" s="221"/>
      <c r="M4821" s="221"/>
    </row>
    <row r="4822" spans="5:13">
      <c r="E4822" s="221"/>
      <c r="F4822" s="221"/>
      <c r="G4822" s="221"/>
      <c r="H4822" s="221"/>
      <c r="I4822" s="221"/>
      <c r="J4822" s="221"/>
      <c r="K4822" s="221"/>
      <c r="L4822" s="221"/>
      <c r="M4822" s="221"/>
    </row>
    <row r="4823" spans="5:13">
      <c r="E4823" s="221"/>
      <c r="F4823" s="221"/>
      <c r="G4823" s="221"/>
      <c r="H4823" s="221"/>
      <c r="I4823" s="221"/>
      <c r="J4823" s="221"/>
      <c r="K4823" s="221"/>
      <c r="L4823" s="221"/>
      <c r="M4823" s="221"/>
    </row>
    <row r="4824" spans="5:13">
      <c r="E4824" s="221"/>
      <c r="F4824" s="221"/>
      <c r="G4824" s="221"/>
      <c r="H4824" s="221"/>
      <c r="I4824" s="221"/>
      <c r="J4824" s="221"/>
      <c r="K4824" s="221"/>
      <c r="L4824" s="221"/>
      <c r="M4824" s="221"/>
    </row>
    <row r="4825" spans="5:13">
      <c r="E4825" s="221"/>
      <c r="F4825" s="221"/>
      <c r="G4825" s="221"/>
      <c r="H4825" s="221"/>
      <c r="I4825" s="221"/>
      <c r="J4825" s="221"/>
      <c r="K4825" s="221"/>
      <c r="L4825" s="221"/>
      <c r="M4825" s="221"/>
    </row>
    <row r="4826" spans="5:13">
      <c r="E4826" s="221"/>
      <c r="F4826" s="221"/>
      <c r="G4826" s="221"/>
      <c r="H4826" s="221"/>
      <c r="I4826" s="221"/>
      <c r="J4826" s="221"/>
      <c r="K4826" s="221"/>
      <c r="L4826" s="221"/>
      <c r="M4826" s="221"/>
    </row>
    <row r="4827" spans="5:13">
      <c r="E4827" s="221"/>
      <c r="F4827" s="221"/>
      <c r="G4827" s="221"/>
      <c r="H4827" s="221"/>
      <c r="I4827" s="221"/>
      <c r="J4827" s="221"/>
      <c r="K4827" s="221"/>
      <c r="L4827" s="221"/>
      <c r="M4827" s="221"/>
    </row>
    <row r="4828" spans="5:13">
      <c r="E4828" s="221"/>
      <c r="F4828" s="221"/>
      <c r="G4828" s="221"/>
      <c r="H4828" s="221"/>
      <c r="I4828" s="221"/>
      <c r="J4828" s="221"/>
      <c r="K4828" s="221"/>
      <c r="L4828" s="221"/>
      <c r="M4828" s="221"/>
    </row>
    <row r="4829" spans="5:13">
      <c r="E4829" s="221"/>
      <c r="F4829" s="221"/>
      <c r="G4829" s="221"/>
      <c r="H4829" s="221"/>
      <c r="I4829" s="221"/>
      <c r="J4829" s="221"/>
      <c r="K4829" s="221"/>
      <c r="L4829" s="221"/>
      <c r="M4829" s="221"/>
    </row>
    <row r="4830" spans="5:13">
      <c r="E4830" s="221"/>
      <c r="F4830" s="221"/>
      <c r="G4830" s="221"/>
      <c r="H4830" s="221"/>
      <c r="I4830" s="221"/>
      <c r="J4830" s="221"/>
      <c r="K4830" s="221"/>
      <c r="L4830" s="221"/>
      <c r="M4830" s="221"/>
    </row>
    <row r="4831" spans="5:13">
      <c r="E4831" s="221"/>
      <c r="F4831" s="221"/>
      <c r="G4831" s="221"/>
      <c r="H4831" s="221"/>
      <c r="I4831" s="221"/>
      <c r="J4831" s="221"/>
      <c r="K4831" s="221"/>
      <c r="L4831" s="221"/>
      <c r="M4831" s="221"/>
    </row>
    <row r="4832" spans="5:13">
      <c r="E4832" s="221"/>
      <c r="F4832" s="221"/>
      <c r="G4832" s="221"/>
      <c r="H4832" s="221"/>
      <c r="I4832" s="221"/>
      <c r="J4832" s="221"/>
      <c r="K4832" s="221"/>
      <c r="L4832" s="221"/>
      <c r="M4832" s="221"/>
    </row>
    <row r="4833" spans="5:13">
      <c r="E4833" s="221"/>
      <c r="F4833" s="221"/>
      <c r="G4833" s="221"/>
      <c r="H4833" s="221"/>
      <c r="I4833" s="221"/>
      <c r="J4833" s="221"/>
      <c r="K4833" s="221"/>
      <c r="L4833" s="221"/>
      <c r="M4833" s="221"/>
    </row>
    <row r="4834" spans="5:13">
      <c r="E4834" s="221"/>
      <c r="F4834" s="221"/>
      <c r="G4834" s="221"/>
      <c r="H4834" s="221"/>
      <c r="I4834" s="221"/>
      <c r="J4834" s="221"/>
      <c r="K4834" s="221"/>
      <c r="L4834" s="221"/>
      <c r="M4834" s="221"/>
    </row>
    <row r="4835" spans="5:13">
      <c r="E4835" s="221"/>
      <c r="F4835" s="221"/>
      <c r="G4835" s="221"/>
      <c r="H4835" s="221"/>
      <c r="I4835" s="221"/>
      <c r="J4835" s="221"/>
      <c r="K4835" s="221"/>
      <c r="L4835" s="221"/>
      <c r="M4835" s="221"/>
    </row>
    <row r="4836" spans="5:13">
      <c r="E4836" s="221"/>
      <c r="F4836" s="221"/>
      <c r="G4836" s="221"/>
      <c r="H4836" s="221"/>
      <c r="I4836" s="221"/>
      <c r="J4836" s="221"/>
      <c r="K4836" s="221"/>
      <c r="L4836" s="221"/>
      <c r="M4836" s="221"/>
    </row>
    <row r="4837" spans="5:13">
      <c r="E4837" s="221"/>
      <c r="F4837" s="221"/>
      <c r="G4837" s="221"/>
      <c r="H4837" s="221"/>
      <c r="I4837" s="221"/>
      <c r="J4837" s="221"/>
      <c r="K4837" s="221"/>
      <c r="L4837" s="221"/>
      <c r="M4837" s="221"/>
    </row>
    <row r="4838" spans="5:13">
      <c r="E4838" s="221"/>
      <c r="F4838" s="221"/>
      <c r="G4838" s="221"/>
      <c r="H4838" s="221"/>
      <c r="I4838" s="221"/>
      <c r="J4838" s="221"/>
      <c r="K4838" s="221"/>
      <c r="L4838" s="221"/>
      <c r="M4838" s="221"/>
    </row>
    <row r="4839" spans="5:13">
      <c r="E4839" s="221"/>
      <c r="F4839" s="221"/>
      <c r="G4839" s="221"/>
      <c r="H4839" s="221"/>
      <c r="I4839" s="221"/>
      <c r="J4839" s="221"/>
      <c r="K4839" s="221"/>
      <c r="L4839" s="221"/>
      <c r="M4839" s="221"/>
    </row>
    <row r="4840" spans="5:13">
      <c r="E4840" s="221"/>
      <c r="F4840" s="221"/>
      <c r="G4840" s="221"/>
      <c r="H4840" s="221"/>
      <c r="I4840" s="221"/>
      <c r="J4840" s="221"/>
      <c r="K4840" s="221"/>
      <c r="L4840" s="221"/>
      <c r="M4840" s="221"/>
    </row>
    <row r="4841" spans="5:13">
      <c r="E4841" s="221"/>
      <c r="F4841" s="221"/>
      <c r="G4841" s="221"/>
      <c r="H4841" s="221"/>
      <c r="I4841" s="221"/>
      <c r="J4841" s="221"/>
      <c r="K4841" s="221"/>
      <c r="L4841" s="221"/>
      <c r="M4841" s="221"/>
    </row>
    <row r="4842" spans="5:13">
      <c r="E4842" s="221"/>
      <c r="F4842" s="221"/>
      <c r="G4842" s="221"/>
      <c r="H4842" s="221"/>
      <c r="I4842" s="221"/>
      <c r="J4842" s="221"/>
      <c r="K4842" s="221"/>
      <c r="L4842" s="221"/>
      <c r="M4842" s="221"/>
    </row>
    <row r="4843" spans="5:13">
      <c r="E4843" s="221"/>
      <c r="F4843" s="221"/>
      <c r="G4843" s="221"/>
      <c r="H4843" s="221"/>
      <c r="I4843" s="221"/>
      <c r="J4843" s="221"/>
      <c r="K4843" s="221"/>
      <c r="L4843" s="221"/>
      <c r="M4843" s="221"/>
    </row>
    <row r="4844" spans="5:13">
      <c r="E4844" s="221"/>
      <c r="F4844" s="221"/>
      <c r="G4844" s="221"/>
      <c r="H4844" s="221"/>
      <c r="I4844" s="221"/>
      <c r="J4844" s="221"/>
      <c r="K4844" s="221"/>
      <c r="L4844" s="221"/>
      <c r="M4844" s="221"/>
    </row>
    <row r="4845" spans="5:13">
      <c r="E4845" s="221"/>
      <c r="F4845" s="221"/>
      <c r="G4845" s="221"/>
      <c r="H4845" s="221"/>
      <c r="I4845" s="221"/>
      <c r="J4845" s="221"/>
      <c r="K4845" s="221"/>
      <c r="L4845" s="221"/>
      <c r="M4845" s="221"/>
    </row>
    <row r="4846" spans="5:13">
      <c r="E4846" s="221"/>
      <c r="F4846" s="221"/>
      <c r="G4846" s="221"/>
      <c r="H4846" s="221"/>
      <c r="I4846" s="221"/>
      <c r="J4846" s="221"/>
      <c r="K4846" s="221"/>
      <c r="L4846" s="221"/>
      <c r="M4846" s="221"/>
    </row>
    <row r="4847" spans="5:13">
      <c r="E4847" s="221"/>
      <c r="F4847" s="221"/>
      <c r="G4847" s="221"/>
      <c r="H4847" s="221"/>
      <c r="I4847" s="221"/>
      <c r="J4847" s="221"/>
      <c r="K4847" s="221"/>
      <c r="L4847" s="221"/>
      <c r="M4847" s="221"/>
    </row>
    <row r="4848" spans="5:13">
      <c r="E4848" s="221"/>
      <c r="F4848" s="221"/>
      <c r="G4848" s="221"/>
      <c r="H4848" s="221"/>
      <c r="I4848" s="221"/>
      <c r="J4848" s="221"/>
      <c r="K4848" s="221"/>
      <c r="L4848" s="221"/>
      <c r="M4848" s="221"/>
    </row>
    <row r="4849" spans="5:13">
      <c r="E4849" s="221"/>
      <c r="F4849" s="221"/>
      <c r="G4849" s="221"/>
      <c r="H4849" s="221"/>
      <c r="I4849" s="221"/>
      <c r="J4849" s="221"/>
      <c r="K4849" s="221"/>
      <c r="L4849" s="221"/>
      <c r="M4849" s="221"/>
    </row>
    <row r="4850" spans="5:13">
      <c r="E4850" s="221"/>
      <c r="F4850" s="221"/>
      <c r="G4850" s="221"/>
      <c r="H4850" s="221"/>
      <c r="I4850" s="221"/>
      <c r="J4850" s="221"/>
      <c r="K4850" s="221"/>
      <c r="L4850" s="221"/>
      <c r="M4850" s="221"/>
    </row>
    <row r="4851" spans="5:13">
      <c r="E4851" s="221"/>
      <c r="F4851" s="221"/>
      <c r="G4851" s="221"/>
      <c r="H4851" s="221"/>
      <c r="I4851" s="221"/>
      <c r="J4851" s="221"/>
      <c r="K4851" s="221"/>
      <c r="L4851" s="221"/>
      <c r="M4851" s="221"/>
    </row>
    <row r="4852" spans="5:13">
      <c r="E4852" s="221"/>
      <c r="F4852" s="221"/>
      <c r="G4852" s="221"/>
      <c r="H4852" s="221"/>
      <c r="I4852" s="221"/>
      <c r="J4852" s="221"/>
      <c r="K4852" s="221"/>
      <c r="L4852" s="221"/>
      <c r="M4852" s="221"/>
    </row>
    <row r="4853" spans="5:13">
      <c r="E4853" s="221"/>
      <c r="F4853" s="221"/>
      <c r="G4853" s="221"/>
      <c r="H4853" s="221"/>
      <c r="I4853" s="221"/>
      <c r="J4853" s="221"/>
      <c r="K4853" s="221"/>
      <c r="L4853" s="221"/>
      <c r="M4853" s="221"/>
    </row>
    <row r="4854" spans="5:13">
      <c r="E4854" s="221"/>
      <c r="F4854" s="221"/>
      <c r="G4854" s="221"/>
      <c r="H4854" s="221"/>
      <c r="I4854" s="221"/>
      <c r="J4854" s="221"/>
      <c r="K4854" s="221"/>
      <c r="L4854" s="221"/>
      <c r="M4854" s="221"/>
    </row>
    <row r="4855" spans="5:13">
      <c r="E4855" s="221"/>
      <c r="F4855" s="221"/>
      <c r="G4855" s="221"/>
      <c r="H4855" s="221"/>
      <c r="I4855" s="221"/>
      <c r="J4855" s="221"/>
      <c r="K4855" s="221"/>
      <c r="L4855" s="221"/>
      <c r="M4855" s="221"/>
    </row>
    <row r="4856" spans="5:13">
      <c r="E4856" s="221"/>
      <c r="F4856" s="221"/>
      <c r="G4856" s="221"/>
      <c r="H4856" s="221"/>
      <c r="I4856" s="221"/>
      <c r="J4856" s="221"/>
      <c r="K4856" s="221"/>
      <c r="L4856" s="221"/>
      <c r="M4856" s="221"/>
    </row>
    <row r="4857" spans="5:13">
      <c r="E4857" s="221"/>
      <c r="F4857" s="221"/>
      <c r="G4857" s="221"/>
      <c r="H4857" s="221"/>
      <c r="I4857" s="221"/>
      <c r="J4857" s="221"/>
      <c r="K4857" s="221"/>
      <c r="L4857" s="221"/>
      <c r="M4857" s="221"/>
    </row>
    <row r="4858" spans="5:13">
      <c r="E4858" s="221"/>
      <c r="F4858" s="221"/>
      <c r="G4858" s="221"/>
      <c r="H4858" s="221"/>
      <c r="I4858" s="221"/>
      <c r="J4858" s="221"/>
      <c r="K4858" s="221"/>
      <c r="L4858" s="221"/>
      <c r="M4858" s="221"/>
    </row>
    <row r="4859" spans="5:13">
      <c r="E4859" s="221"/>
      <c r="F4859" s="221"/>
      <c r="G4859" s="221"/>
      <c r="H4859" s="221"/>
      <c r="I4859" s="221"/>
      <c r="J4859" s="221"/>
      <c r="K4859" s="221"/>
      <c r="L4859" s="221"/>
      <c r="M4859" s="221"/>
    </row>
    <row r="4860" spans="5:13">
      <c r="E4860" s="221"/>
      <c r="F4860" s="221"/>
      <c r="G4860" s="221"/>
      <c r="H4860" s="221"/>
      <c r="I4860" s="221"/>
      <c r="J4860" s="221"/>
      <c r="K4860" s="221"/>
      <c r="L4860" s="221"/>
      <c r="M4860" s="221"/>
    </row>
    <row r="4861" spans="5:13">
      <c r="E4861" s="221"/>
      <c r="F4861" s="221"/>
      <c r="G4861" s="221"/>
      <c r="H4861" s="221"/>
      <c r="I4861" s="221"/>
      <c r="J4861" s="221"/>
      <c r="K4861" s="221"/>
      <c r="L4861" s="221"/>
      <c r="M4861" s="221"/>
    </row>
    <row r="4862" spans="5:13">
      <c r="E4862" s="221"/>
      <c r="F4862" s="221"/>
      <c r="G4862" s="221"/>
      <c r="H4862" s="221"/>
      <c r="I4862" s="221"/>
      <c r="J4862" s="221"/>
      <c r="K4862" s="221"/>
      <c r="L4862" s="221"/>
      <c r="M4862" s="221"/>
    </row>
    <row r="4863" spans="5:13">
      <c r="E4863" s="221"/>
      <c r="F4863" s="221"/>
      <c r="G4863" s="221"/>
      <c r="H4863" s="221"/>
      <c r="I4863" s="221"/>
      <c r="J4863" s="221"/>
      <c r="K4863" s="221"/>
      <c r="L4863" s="221"/>
      <c r="M4863" s="221"/>
    </row>
    <row r="4864" spans="5:13">
      <c r="E4864" s="221"/>
      <c r="F4864" s="221"/>
      <c r="G4864" s="221"/>
      <c r="H4864" s="221"/>
      <c r="I4864" s="221"/>
      <c r="J4864" s="221"/>
      <c r="K4864" s="221"/>
      <c r="L4864" s="221"/>
      <c r="M4864" s="221"/>
    </row>
    <row r="4865" spans="5:13">
      <c r="E4865" s="221"/>
      <c r="F4865" s="221"/>
      <c r="G4865" s="221"/>
      <c r="H4865" s="221"/>
      <c r="I4865" s="221"/>
      <c r="J4865" s="221"/>
      <c r="K4865" s="221"/>
      <c r="L4865" s="221"/>
      <c r="M4865" s="221"/>
    </row>
    <row r="4866" spans="5:13">
      <c r="E4866" s="221"/>
      <c r="F4866" s="221"/>
      <c r="G4866" s="221"/>
      <c r="H4866" s="221"/>
      <c r="I4866" s="221"/>
      <c r="J4866" s="221"/>
      <c r="K4866" s="221"/>
      <c r="L4866" s="221"/>
      <c r="M4866" s="221"/>
    </row>
    <row r="4867" spans="5:13">
      <c r="E4867" s="221"/>
      <c r="F4867" s="221"/>
      <c r="G4867" s="221"/>
      <c r="H4867" s="221"/>
      <c r="I4867" s="221"/>
      <c r="J4867" s="221"/>
      <c r="K4867" s="221"/>
      <c r="L4867" s="221"/>
      <c r="M4867" s="221"/>
    </row>
    <row r="4868" spans="5:13">
      <c r="E4868" s="221"/>
      <c r="F4868" s="221"/>
      <c r="G4868" s="221"/>
      <c r="H4868" s="221"/>
      <c r="I4868" s="221"/>
      <c r="J4868" s="221"/>
      <c r="K4868" s="221"/>
      <c r="L4868" s="221"/>
      <c r="M4868" s="221"/>
    </row>
    <row r="4869" spans="5:13">
      <c r="E4869" s="221"/>
      <c r="F4869" s="221"/>
      <c r="G4869" s="221"/>
      <c r="H4869" s="221"/>
      <c r="I4869" s="221"/>
      <c r="J4869" s="221"/>
      <c r="K4869" s="221"/>
      <c r="L4869" s="221"/>
      <c r="M4869" s="221"/>
    </row>
    <row r="4870" spans="5:13">
      <c r="E4870" s="221"/>
      <c r="F4870" s="221"/>
      <c r="G4870" s="221"/>
      <c r="H4870" s="221"/>
      <c r="I4870" s="221"/>
      <c r="J4870" s="221"/>
      <c r="K4870" s="221"/>
      <c r="L4870" s="221"/>
      <c r="M4870" s="221"/>
    </row>
    <row r="4871" spans="5:13">
      <c r="E4871" s="221"/>
      <c r="F4871" s="221"/>
      <c r="G4871" s="221"/>
      <c r="H4871" s="221"/>
      <c r="I4871" s="221"/>
      <c r="J4871" s="221"/>
      <c r="K4871" s="221"/>
      <c r="L4871" s="221"/>
      <c r="M4871" s="221"/>
    </row>
    <row r="4872" spans="5:13">
      <c r="E4872" s="221"/>
      <c r="F4872" s="221"/>
      <c r="G4872" s="221"/>
      <c r="H4872" s="221"/>
      <c r="I4872" s="221"/>
      <c r="J4872" s="221"/>
      <c r="K4872" s="221"/>
      <c r="L4872" s="221"/>
      <c r="M4872" s="221"/>
    </row>
    <row r="4873" spans="5:13">
      <c r="E4873" s="221"/>
      <c r="F4873" s="221"/>
      <c r="G4873" s="221"/>
      <c r="H4873" s="221"/>
      <c r="I4873" s="221"/>
      <c r="J4873" s="221"/>
      <c r="K4873" s="221"/>
      <c r="L4873" s="221"/>
      <c r="M4873" s="221"/>
    </row>
    <row r="4874" spans="5:13">
      <c r="E4874" s="221"/>
      <c r="F4874" s="221"/>
      <c r="G4874" s="221"/>
      <c r="H4874" s="221"/>
      <c r="I4874" s="221"/>
      <c r="J4874" s="221"/>
      <c r="K4874" s="221"/>
      <c r="L4874" s="221"/>
      <c r="M4874" s="221"/>
    </row>
    <row r="4875" spans="5:13">
      <c r="E4875" s="221"/>
      <c r="F4875" s="221"/>
      <c r="G4875" s="221"/>
      <c r="H4875" s="221"/>
      <c r="I4875" s="221"/>
      <c r="J4875" s="221"/>
      <c r="K4875" s="221"/>
      <c r="L4875" s="221"/>
      <c r="M4875" s="221"/>
    </row>
    <row r="4876" spans="5:13">
      <c r="E4876" s="221"/>
      <c r="F4876" s="221"/>
      <c r="G4876" s="221"/>
      <c r="H4876" s="221"/>
      <c r="I4876" s="221"/>
      <c r="J4876" s="221"/>
      <c r="K4876" s="221"/>
      <c r="L4876" s="221"/>
      <c r="M4876" s="221"/>
    </row>
    <row r="4877" spans="5:13">
      <c r="E4877" s="221"/>
      <c r="F4877" s="221"/>
      <c r="G4877" s="221"/>
      <c r="H4877" s="221"/>
      <c r="I4877" s="221"/>
      <c r="J4877" s="221"/>
      <c r="K4877" s="221"/>
      <c r="L4877" s="221"/>
      <c r="M4877" s="221"/>
    </row>
    <row r="4878" spans="5:13">
      <c r="E4878" s="221"/>
      <c r="F4878" s="221"/>
      <c r="G4878" s="221"/>
      <c r="H4878" s="221"/>
      <c r="I4878" s="221"/>
      <c r="J4878" s="221"/>
      <c r="K4878" s="221"/>
      <c r="L4878" s="221"/>
      <c r="M4878" s="221"/>
    </row>
    <row r="4879" spans="5:13">
      <c r="E4879" s="221"/>
      <c r="F4879" s="221"/>
      <c r="G4879" s="221"/>
      <c r="H4879" s="221"/>
      <c r="I4879" s="221"/>
      <c r="J4879" s="221"/>
      <c r="K4879" s="221"/>
      <c r="L4879" s="221"/>
      <c r="M4879" s="221"/>
    </row>
    <row r="4880" spans="5:13">
      <c r="E4880" s="221"/>
      <c r="F4880" s="221"/>
      <c r="G4880" s="221"/>
      <c r="H4880" s="221"/>
      <c r="I4880" s="221"/>
      <c r="J4880" s="221"/>
      <c r="K4880" s="221"/>
      <c r="L4880" s="221"/>
      <c r="M4880" s="221"/>
    </row>
    <row r="4881" spans="5:13">
      <c r="E4881" s="221"/>
      <c r="F4881" s="221"/>
      <c r="G4881" s="221"/>
      <c r="H4881" s="221"/>
      <c r="I4881" s="221"/>
      <c r="J4881" s="221"/>
      <c r="K4881" s="221"/>
      <c r="L4881" s="221"/>
      <c r="M4881" s="221"/>
    </row>
    <row r="4882" spans="5:13">
      <c r="E4882" s="221"/>
      <c r="F4882" s="221"/>
      <c r="G4882" s="221"/>
      <c r="H4882" s="221"/>
      <c r="I4882" s="221"/>
      <c r="J4882" s="221"/>
      <c r="K4882" s="221"/>
      <c r="L4882" s="221"/>
      <c r="M4882" s="221"/>
    </row>
    <row r="4883" spans="5:13">
      <c r="E4883" s="221"/>
      <c r="F4883" s="221"/>
      <c r="G4883" s="221"/>
      <c r="H4883" s="221"/>
      <c r="I4883" s="221"/>
      <c r="J4883" s="221"/>
      <c r="K4883" s="221"/>
      <c r="L4883" s="221"/>
      <c r="M4883" s="221"/>
    </row>
    <row r="4884" spans="5:13">
      <c r="E4884" s="221"/>
      <c r="F4884" s="221"/>
      <c r="G4884" s="221"/>
      <c r="H4884" s="221"/>
      <c r="I4884" s="221"/>
      <c r="J4884" s="221"/>
      <c r="K4884" s="221"/>
      <c r="L4884" s="221"/>
      <c r="M4884" s="221"/>
    </row>
    <row r="4885" spans="5:13">
      <c r="E4885" s="221"/>
      <c r="F4885" s="221"/>
      <c r="G4885" s="221"/>
      <c r="H4885" s="221"/>
      <c r="I4885" s="221"/>
      <c r="J4885" s="221"/>
      <c r="K4885" s="221"/>
      <c r="L4885" s="221"/>
      <c r="M4885" s="221"/>
    </row>
    <row r="4886" spans="5:13">
      <c r="E4886" s="221"/>
      <c r="F4886" s="221"/>
      <c r="G4886" s="221"/>
      <c r="H4886" s="221"/>
      <c r="I4886" s="221"/>
      <c r="J4886" s="221"/>
      <c r="K4886" s="221"/>
      <c r="L4886" s="221"/>
      <c r="M4886" s="221"/>
    </row>
    <row r="4887" spans="5:13">
      <c r="E4887" s="221"/>
      <c r="F4887" s="221"/>
      <c r="G4887" s="221"/>
      <c r="H4887" s="221"/>
      <c r="I4887" s="221"/>
      <c r="J4887" s="221"/>
      <c r="K4887" s="221"/>
      <c r="L4887" s="221"/>
      <c r="M4887" s="221"/>
    </row>
    <row r="4888" spans="5:13">
      <c r="E4888" s="221"/>
      <c r="F4888" s="221"/>
      <c r="G4888" s="221"/>
      <c r="H4888" s="221"/>
      <c r="I4888" s="221"/>
      <c r="J4888" s="221"/>
      <c r="K4888" s="221"/>
      <c r="L4888" s="221"/>
      <c r="M4888" s="221"/>
    </row>
    <row r="4889" spans="5:13">
      <c r="E4889" s="221"/>
      <c r="F4889" s="221"/>
      <c r="G4889" s="221"/>
      <c r="H4889" s="221"/>
      <c r="I4889" s="221"/>
      <c r="J4889" s="221"/>
      <c r="K4889" s="221"/>
      <c r="L4889" s="221"/>
      <c r="M4889" s="221"/>
    </row>
    <row r="4890" spans="5:13">
      <c r="E4890" s="221"/>
      <c r="F4890" s="221"/>
      <c r="G4890" s="221"/>
      <c r="H4890" s="221"/>
      <c r="I4890" s="221"/>
      <c r="J4890" s="221"/>
      <c r="K4890" s="221"/>
      <c r="L4890" s="221"/>
      <c r="M4890" s="221"/>
    </row>
    <row r="4891" spans="5:13">
      <c r="E4891" s="221"/>
      <c r="F4891" s="221"/>
      <c r="G4891" s="221"/>
      <c r="H4891" s="221"/>
      <c r="I4891" s="221"/>
      <c r="J4891" s="221"/>
      <c r="K4891" s="221"/>
      <c r="L4891" s="221"/>
      <c r="M4891" s="221"/>
    </row>
    <row r="4892" spans="5:13">
      <c r="E4892" s="221"/>
      <c r="F4892" s="221"/>
      <c r="G4892" s="221"/>
      <c r="H4892" s="221"/>
      <c r="I4892" s="221"/>
      <c r="J4892" s="221"/>
      <c r="K4892" s="221"/>
      <c r="L4892" s="221"/>
      <c r="M4892" s="221"/>
    </row>
    <row r="4893" spans="5:13">
      <c r="E4893" s="221"/>
      <c r="F4893" s="221"/>
      <c r="G4893" s="221"/>
      <c r="H4893" s="221"/>
      <c r="I4893" s="221"/>
      <c r="J4893" s="221"/>
      <c r="K4893" s="221"/>
      <c r="L4893" s="221"/>
      <c r="M4893" s="221"/>
    </row>
    <row r="4894" spans="5:13">
      <c r="E4894" s="221"/>
      <c r="F4894" s="221"/>
      <c r="G4894" s="221"/>
      <c r="H4894" s="221"/>
      <c r="I4894" s="221"/>
      <c r="J4894" s="221"/>
      <c r="K4894" s="221"/>
      <c r="L4894" s="221"/>
      <c r="M4894" s="221"/>
    </row>
    <row r="4895" spans="5:13">
      <c r="E4895" s="221"/>
      <c r="F4895" s="221"/>
      <c r="G4895" s="221"/>
      <c r="H4895" s="221"/>
      <c r="I4895" s="221"/>
      <c r="J4895" s="221"/>
      <c r="K4895" s="221"/>
      <c r="L4895" s="221"/>
      <c r="M4895" s="221"/>
    </row>
    <row r="4896" spans="5:13">
      <c r="E4896" s="221"/>
      <c r="F4896" s="221"/>
      <c r="G4896" s="221"/>
      <c r="H4896" s="221"/>
      <c r="I4896" s="221"/>
      <c r="J4896" s="221"/>
      <c r="K4896" s="221"/>
      <c r="L4896" s="221"/>
      <c r="M4896" s="221"/>
    </row>
    <row r="4897" spans="5:13">
      <c r="E4897" s="221"/>
      <c r="F4897" s="221"/>
      <c r="G4897" s="221"/>
      <c r="H4897" s="221"/>
      <c r="I4897" s="221"/>
      <c r="J4897" s="221"/>
      <c r="K4897" s="221"/>
      <c r="L4897" s="221"/>
      <c r="M4897" s="221"/>
    </row>
    <row r="4898" spans="5:13">
      <c r="E4898" s="221"/>
      <c r="F4898" s="221"/>
      <c r="G4898" s="221"/>
      <c r="H4898" s="221"/>
      <c r="I4898" s="221"/>
      <c r="J4898" s="221"/>
      <c r="K4898" s="221"/>
      <c r="L4898" s="221"/>
      <c r="M4898" s="221"/>
    </row>
    <row r="4899" spans="5:13">
      <c r="E4899" s="221"/>
      <c r="F4899" s="221"/>
      <c r="G4899" s="221"/>
      <c r="H4899" s="221"/>
      <c r="I4899" s="221"/>
      <c r="J4899" s="221"/>
      <c r="K4899" s="221"/>
      <c r="L4899" s="221"/>
      <c r="M4899" s="221"/>
    </row>
    <row r="4900" spans="5:13">
      <c r="E4900" s="221"/>
      <c r="F4900" s="221"/>
      <c r="G4900" s="221"/>
      <c r="H4900" s="221"/>
      <c r="I4900" s="221"/>
      <c r="J4900" s="221"/>
      <c r="K4900" s="221"/>
      <c r="L4900" s="221"/>
      <c r="M4900" s="221"/>
    </row>
    <row r="4901" spans="5:13">
      <c r="E4901" s="221"/>
      <c r="F4901" s="221"/>
      <c r="G4901" s="221"/>
      <c r="H4901" s="221"/>
      <c r="I4901" s="221"/>
      <c r="J4901" s="221"/>
      <c r="K4901" s="221"/>
      <c r="L4901" s="221"/>
      <c r="M4901" s="221"/>
    </row>
    <row r="4902" spans="5:13">
      <c r="E4902" s="221"/>
      <c r="F4902" s="221"/>
      <c r="G4902" s="221"/>
      <c r="H4902" s="221"/>
      <c r="I4902" s="221"/>
      <c r="J4902" s="221"/>
      <c r="K4902" s="221"/>
      <c r="L4902" s="221"/>
      <c r="M4902" s="221"/>
    </row>
    <row r="4903" spans="5:13">
      <c r="E4903" s="221"/>
      <c r="F4903" s="221"/>
      <c r="G4903" s="221"/>
      <c r="H4903" s="221"/>
      <c r="I4903" s="221"/>
      <c r="J4903" s="221"/>
      <c r="K4903" s="221"/>
      <c r="L4903" s="221"/>
      <c r="M4903" s="221"/>
    </row>
    <row r="4904" spans="5:13">
      <c r="E4904" s="221"/>
      <c r="F4904" s="221"/>
      <c r="G4904" s="221"/>
      <c r="H4904" s="221"/>
      <c r="I4904" s="221"/>
      <c r="J4904" s="221"/>
      <c r="K4904" s="221"/>
      <c r="L4904" s="221"/>
      <c r="M4904" s="221"/>
    </row>
    <row r="4905" spans="5:13">
      <c r="E4905" s="221"/>
      <c r="F4905" s="221"/>
      <c r="G4905" s="221"/>
      <c r="H4905" s="221"/>
      <c r="I4905" s="221"/>
      <c r="J4905" s="221"/>
      <c r="K4905" s="221"/>
      <c r="L4905" s="221"/>
      <c r="M4905" s="221"/>
    </row>
    <row r="4906" spans="5:13">
      <c r="E4906" s="221"/>
      <c r="F4906" s="221"/>
      <c r="G4906" s="221"/>
      <c r="H4906" s="221"/>
      <c r="I4906" s="221"/>
      <c r="J4906" s="221"/>
      <c r="K4906" s="221"/>
      <c r="L4906" s="221"/>
      <c r="M4906" s="221"/>
    </row>
    <row r="4907" spans="5:13">
      <c r="E4907" s="221"/>
      <c r="F4907" s="221"/>
      <c r="G4907" s="221"/>
      <c r="H4907" s="221"/>
      <c r="I4907" s="221"/>
      <c r="J4907" s="221"/>
      <c r="K4907" s="221"/>
      <c r="L4907" s="221"/>
      <c r="M4907" s="221"/>
    </row>
    <row r="4908" spans="5:13">
      <c r="E4908" s="221"/>
      <c r="F4908" s="221"/>
      <c r="G4908" s="221"/>
      <c r="H4908" s="221"/>
      <c r="I4908" s="221"/>
      <c r="J4908" s="221"/>
      <c r="K4908" s="221"/>
      <c r="L4908" s="221"/>
      <c r="M4908" s="221"/>
    </row>
    <row r="4909" spans="5:13">
      <c r="E4909" s="221"/>
      <c r="F4909" s="221"/>
      <c r="G4909" s="221"/>
      <c r="H4909" s="221"/>
      <c r="I4909" s="221"/>
      <c r="J4909" s="221"/>
      <c r="K4909" s="221"/>
      <c r="L4909" s="221"/>
      <c r="M4909" s="221"/>
    </row>
    <row r="4910" spans="5:13">
      <c r="E4910" s="221"/>
      <c r="F4910" s="221"/>
      <c r="G4910" s="221"/>
      <c r="H4910" s="221"/>
      <c r="I4910" s="221"/>
      <c r="J4910" s="221"/>
      <c r="K4910" s="221"/>
      <c r="L4910" s="221"/>
      <c r="M4910" s="221"/>
    </row>
    <row r="4911" spans="5:13">
      <c r="E4911" s="221"/>
      <c r="F4911" s="221"/>
      <c r="G4911" s="221"/>
      <c r="H4911" s="221"/>
      <c r="I4911" s="221"/>
      <c r="J4911" s="221"/>
      <c r="K4911" s="221"/>
      <c r="L4911" s="221"/>
      <c r="M4911" s="221"/>
    </row>
    <row r="4912" spans="5:13">
      <c r="E4912" s="221"/>
      <c r="F4912" s="221"/>
      <c r="G4912" s="221"/>
      <c r="H4912" s="221"/>
      <c r="I4912" s="221"/>
      <c r="J4912" s="221"/>
      <c r="K4912" s="221"/>
      <c r="L4912" s="221"/>
      <c r="M4912" s="221"/>
    </row>
    <row r="4913" spans="5:13">
      <c r="E4913" s="221"/>
      <c r="F4913" s="221"/>
      <c r="G4913" s="221"/>
      <c r="H4913" s="221"/>
      <c r="I4913" s="221"/>
      <c r="J4913" s="221"/>
      <c r="K4913" s="221"/>
      <c r="L4913" s="221"/>
      <c r="M4913" s="221"/>
    </row>
    <row r="4914" spans="5:13">
      <c r="E4914" s="221"/>
      <c r="F4914" s="221"/>
      <c r="G4914" s="221"/>
      <c r="H4914" s="221"/>
      <c r="I4914" s="221"/>
      <c r="J4914" s="221"/>
      <c r="K4914" s="221"/>
      <c r="L4914" s="221"/>
      <c r="M4914" s="221"/>
    </row>
    <row r="4915" spans="5:13">
      <c r="E4915" s="221"/>
      <c r="F4915" s="221"/>
      <c r="G4915" s="221"/>
      <c r="H4915" s="221"/>
      <c r="I4915" s="221"/>
      <c r="J4915" s="221"/>
      <c r="K4915" s="221"/>
      <c r="L4915" s="221"/>
      <c r="M4915" s="221"/>
    </row>
    <row r="4916" spans="5:13">
      <c r="E4916" s="221"/>
      <c r="F4916" s="221"/>
      <c r="G4916" s="221"/>
      <c r="H4916" s="221"/>
      <c r="I4916" s="221"/>
      <c r="J4916" s="221"/>
      <c r="K4916" s="221"/>
      <c r="L4916" s="221"/>
      <c r="M4916" s="221"/>
    </row>
    <row r="4917" spans="5:13">
      <c r="E4917" s="221"/>
      <c r="F4917" s="221"/>
      <c r="G4917" s="221"/>
      <c r="H4917" s="221"/>
      <c r="I4917" s="221"/>
      <c r="J4917" s="221"/>
      <c r="K4917" s="221"/>
      <c r="L4917" s="221"/>
      <c r="M4917" s="221"/>
    </row>
    <row r="4918" spans="5:13">
      <c r="E4918" s="221"/>
      <c r="F4918" s="221"/>
      <c r="G4918" s="221"/>
      <c r="H4918" s="221"/>
      <c r="I4918" s="221"/>
      <c r="J4918" s="221"/>
      <c r="K4918" s="221"/>
      <c r="L4918" s="221"/>
      <c r="M4918" s="221"/>
    </row>
    <row r="4919" spans="5:13">
      <c r="E4919" s="221"/>
      <c r="F4919" s="221"/>
      <c r="G4919" s="221"/>
      <c r="H4919" s="221"/>
      <c r="I4919" s="221"/>
      <c r="J4919" s="221"/>
      <c r="K4919" s="221"/>
      <c r="L4919" s="221"/>
      <c r="M4919" s="221"/>
    </row>
    <row r="4920" spans="5:13">
      <c r="E4920" s="221"/>
      <c r="F4920" s="221"/>
      <c r="G4920" s="221"/>
      <c r="H4920" s="221"/>
      <c r="I4920" s="221"/>
      <c r="J4920" s="221"/>
      <c r="K4920" s="221"/>
      <c r="L4920" s="221"/>
      <c r="M4920" s="221"/>
    </row>
    <row r="4921" spans="5:13">
      <c r="E4921" s="221"/>
      <c r="F4921" s="221"/>
      <c r="G4921" s="221"/>
      <c r="H4921" s="221"/>
      <c r="I4921" s="221"/>
      <c r="J4921" s="221"/>
      <c r="K4921" s="221"/>
      <c r="L4921" s="221"/>
      <c r="M4921" s="221"/>
    </row>
    <row r="4922" spans="5:13">
      <c r="E4922" s="221"/>
      <c r="F4922" s="221"/>
      <c r="G4922" s="221"/>
      <c r="H4922" s="221"/>
      <c r="I4922" s="221"/>
      <c r="J4922" s="221"/>
      <c r="K4922" s="221"/>
      <c r="L4922" s="221"/>
      <c r="M4922" s="221"/>
    </row>
    <row r="4923" spans="5:13">
      <c r="E4923" s="221"/>
      <c r="F4923" s="221"/>
      <c r="G4923" s="221"/>
      <c r="H4923" s="221"/>
      <c r="I4923" s="221"/>
      <c r="J4923" s="221"/>
      <c r="K4923" s="221"/>
      <c r="L4923" s="221"/>
      <c r="M4923" s="221"/>
    </row>
    <row r="4924" spans="5:13">
      <c r="E4924" s="221"/>
      <c r="F4924" s="221"/>
      <c r="G4924" s="221"/>
      <c r="H4924" s="221"/>
      <c r="I4924" s="221"/>
      <c r="J4924" s="221"/>
      <c r="K4924" s="221"/>
      <c r="L4924" s="221"/>
      <c r="M4924" s="221"/>
    </row>
    <row r="4925" spans="5:13">
      <c r="E4925" s="221"/>
      <c r="F4925" s="221"/>
      <c r="G4925" s="221"/>
      <c r="H4925" s="221"/>
      <c r="I4925" s="221"/>
      <c r="J4925" s="221"/>
      <c r="K4925" s="221"/>
      <c r="L4925" s="221"/>
      <c r="M4925" s="221"/>
    </row>
    <row r="4926" spans="5:13">
      <c r="E4926" s="221"/>
      <c r="F4926" s="221"/>
      <c r="G4926" s="221"/>
      <c r="H4926" s="221"/>
      <c r="I4926" s="221"/>
      <c r="J4926" s="221"/>
      <c r="K4926" s="221"/>
      <c r="L4926" s="221"/>
      <c r="M4926" s="221"/>
    </row>
    <row r="4927" spans="5:13">
      <c r="E4927" s="221"/>
      <c r="F4927" s="221"/>
      <c r="G4927" s="221"/>
      <c r="H4927" s="221"/>
      <c r="I4927" s="221"/>
      <c r="J4927" s="221"/>
      <c r="K4927" s="221"/>
      <c r="L4927" s="221"/>
      <c r="M4927" s="221"/>
    </row>
    <row r="4928" spans="5:13">
      <c r="E4928" s="221"/>
      <c r="F4928" s="221"/>
      <c r="G4928" s="221"/>
      <c r="H4928" s="221"/>
      <c r="I4928" s="221"/>
      <c r="J4928" s="221"/>
      <c r="K4928" s="221"/>
      <c r="L4928" s="221"/>
      <c r="M4928" s="221"/>
    </row>
    <row r="4929" spans="5:13">
      <c r="E4929" s="221"/>
      <c r="F4929" s="221"/>
      <c r="G4929" s="221"/>
      <c r="H4929" s="221"/>
      <c r="I4929" s="221"/>
      <c r="J4929" s="221"/>
      <c r="K4929" s="221"/>
      <c r="L4929" s="221"/>
      <c r="M4929" s="221"/>
    </row>
    <row r="4930" spans="5:13">
      <c r="E4930" s="221"/>
      <c r="F4930" s="221"/>
      <c r="G4930" s="221"/>
      <c r="H4930" s="221"/>
      <c r="I4930" s="221"/>
      <c r="J4930" s="221"/>
      <c r="K4930" s="221"/>
      <c r="L4930" s="221"/>
      <c r="M4930" s="221"/>
    </row>
    <row r="4931" spans="5:13">
      <c r="E4931" s="221"/>
      <c r="F4931" s="221"/>
      <c r="G4931" s="221"/>
      <c r="H4931" s="221"/>
      <c r="I4931" s="221"/>
      <c r="J4931" s="221"/>
      <c r="K4931" s="221"/>
      <c r="L4931" s="221"/>
      <c r="M4931" s="221"/>
    </row>
    <row r="4932" spans="5:13">
      <c r="E4932" s="221"/>
      <c r="F4932" s="221"/>
      <c r="G4932" s="221"/>
      <c r="H4932" s="221"/>
      <c r="I4932" s="221"/>
      <c r="J4932" s="221"/>
      <c r="K4932" s="221"/>
      <c r="L4932" s="221"/>
      <c r="M4932" s="221"/>
    </row>
    <row r="4933" spans="5:13">
      <c r="E4933" s="221"/>
      <c r="F4933" s="221"/>
      <c r="G4933" s="221"/>
      <c r="H4933" s="221"/>
      <c r="I4933" s="221"/>
      <c r="J4933" s="221"/>
      <c r="K4933" s="221"/>
      <c r="L4933" s="221"/>
      <c r="M4933" s="221"/>
    </row>
    <row r="4934" spans="5:13">
      <c r="E4934" s="221"/>
      <c r="F4934" s="221"/>
      <c r="G4934" s="221"/>
      <c r="H4934" s="221"/>
      <c r="I4934" s="221"/>
      <c r="J4934" s="221"/>
      <c r="K4934" s="221"/>
      <c r="L4934" s="221"/>
      <c r="M4934" s="221"/>
    </row>
    <row r="4935" spans="5:13">
      <c r="E4935" s="221"/>
      <c r="F4935" s="221"/>
      <c r="G4935" s="221"/>
      <c r="H4935" s="221"/>
      <c r="I4935" s="221"/>
      <c r="J4935" s="221"/>
      <c r="K4935" s="221"/>
      <c r="L4935" s="221"/>
      <c r="M4935" s="221"/>
    </row>
    <row r="4936" spans="5:13">
      <c r="E4936" s="221"/>
      <c r="F4936" s="221"/>
      <c r="G4936" s="221"/>
      <c r="H4936" s="221"/>
      <c r="I4936" s="221"/>
      <c r="J4936" s="221"/>
      <c r="K4936" s="221"/>
      <c r="L4936" s="221"/>
      <c r="M4936" s="221"/>
    </row>
    <row r="4937" spans="5:13">
      <c r="E4937" s="221"/>
      <c r="F4937" s="221"/>
      <c r="G4937" s="221"/>
      <c r="H4937" s="221"/>
      <c r="I4937" s="221"/>
      <c r="J4937" s="221"/>
      <c r="K4937" s="221"/>
      <c r="L4937" s="221"/>
      <c r="M4937" s="221"/>
    </row>
    <row r="4938" spans="5:13">
      <c r="E4938" s="221"/>
      <c r="F4938" s="221"/>
      <c r="G4938" s="221"/>
      <c r="H4938" s="221"/>
      <c r="I4938" s="221"/>
      <c r="J4938" s="221"/>
      <c r="K4938" s="221"/>
      <c r="L4938" s="221"/>
      <c r="M4938" s="221"/>
    </row>
    <row r="4939" spans="5:13">
      <c r="E4939" s="221"/>
      <c r="F4939" s="221"/>
      <c r="G4939" s="221"/>
      <c r="H4939" s="221"/>
      <c r="I4939" s="221"/>
      <c r="J4939" s="221"/>
      <c r="K4939" s="221"/>
      <c r="L4939" s="221"/>
      <c r="M4939" s="221"/>
    </row>
    <row r="4940" spans="5:13">
      <c r="E4940" s="221"/>
      <c r="F4940" s="221"/>
      <c r="G4940" s="221"/>
      <c r="H4940" s="221"/>
      <c r="I4940" s="221"/>
      <c r="J4940" s="221"/>
      <c r="K4940" s="221"/>
      <c r="L4940" s="221"/>
      <c r="M4940" s="221"/>
    </row>
    <row r="4941" spans="5:13">
      <c r="E4941" s="221"/>
      <c r="F4941" s="221"/>
      <c r="G4941" s="221"/>
      <c r="H4941" s="221"/>
      <c r="I4941" s="221"/>
      <c r="J4941" s="221"/>
      <c r="K4941" s="221"/>
      <c r="L4941" s="221"/>
      <c r="M4941" s="221"/>
    </row>
    <row r="4942" spans="5:13">
      <c r="E4942" s="221"/>
      <c r="F4942" s="221"/>
      <c r="G4942" s="221"/>
      <c r="H4942" s="221"/>
      <c r="I4942" s="221"/>
      <c r="J4942" s="221"/>
      <c r="K4942" s="221"/>
      <c r="L4942" s="221"/>
      <c r="M4942" s="221"/>
    </row>
    <row r="4943" spans="5:13">
      <c r="E4943" s="221"/>
      <c r="F4943" s="221"/>
      <c r="G4943" s="221"/>
      <c r="H4943" s="221"/>
      <c r="I4943" s="221"/>
      <c r="J4943" s="221"/>
      <c r="K4943" s="221"/>
      <c r="L4943" s="221"/>
      <c r="M4943" s="221"/>
    </row>
    <row r="4944" spans="5:13">
      <c r="E4944" s="221"/>
      <c r="F4944" s="221"/>
      <c r="G4944" s="221"/>
      <c r="H4944" s="221"/>
      <c r="I4944" s="221"/>
      <c r="J4944" s="221"/>
      <c r="K4944" s="221"/>
      <c r="L4944" s="221"/>
      <c r="M4944" s="221"/>
    </row>
    <row r="4945" spans="5:13">
      <c r="E4945" s="221"/>
      <c r="F4945" s="221"/>
      <c r="G4945" s="221"/>
      <c r="H4945" s="221"/>
      <c r="I4945" s="221"/>
      <c r="J4945" s="221"/>
      <c r="K4945" s="221"/>
      <c r="L4945" s="221"/>
      <c r="M4945" s="221"/>
    </row>
    <row r="4946" spans="5:13">
      <c r="E4946" s="221"/>
      <c r="F4946" s="221"/>
      <c r="G4946" s="221"/>
      <c r="H4946" s="221"/>
      <c r="I4946" s="221"/>
      <c r="J4946" s="221"/>
      <c r="K4946" s="221"/>
      <c r="L4946" s="221"/>
      <c r="M4946" s="221"/>
    </row>
    <row r="4947" spans="5:13">
      <c r="E4947" s="221"/>
      <c r="F4947" s="221"/>
      <c r="G4947" s="221"/>
      <c r="H4947" s="221"/>
      <c r="I4947" s="221"/>
      <c r="J4947" s="221"/>
      <c r="K4947" s="221"/>
      <c r="L4947" s="221"/>
      <c r="M4947" s="221"/>
    </row>
    <row r="4948" spans="5:13">
      <c r="E4948" s="221"/>
      <c r="F4948" s="221"/>
      <c r="G4948" s="221"/>
      <c r="H4948" s="221"/>
      <c r="I4948" s="221"/>
      <c r="J4948" s="221"/>
      <c r="K4948" s="221"/>
      <c r="L4948" s="221"/>
      <c r="M4948" s="221"/>
    </row>
    <row r="4949" spans="5:13">
      <c r="E4949" s="221"/>
      <c r="F4949" s="221"/>
      <c r="G4949" s="221"/>
      <c r="H4949" s="221"/>
      <c r="I4949" s="221"/>
      <c r="J4949" s="221"/>
      <c r="K4949" s="221"/>
      <c r="L4949" s="221"/>
      <c r="M4949" s="221"/>
    </row>
    <row r="4950" spans="5:13">
      <c r="E4950" s="221"/>
      <c r="F4950" s="221"/>
      <c r="G4950" s="221"/>
      <c r="H4950" s="221"/>
      <c r="I4950" s="221"/>
      <c r="J4950" s="221"/>
      <c r="K4950" s="221"/>
      <c r="L4950" s="221"/>
      <c r="M4950" s="221"/>
    </row>
    <row r="4951" spans="5:13">
      <c r="E4951" s="221"/>
      <c r="F4951" s="221"/>
      <c r="G4951" s="221"/>
      <c r="H4951" s="221"/>
      <c r="I4951" s="221"/>
      <c r="J4951" s="221"/>
      <c r="K4951" s="221"/>
      <c r="L4951" s="221"/>
      <c r="M4951" s="221"/>
    </row>
    <row r="4952" spans="5:13">
      <c r="E4952" s="221"/>
      <c r="F4952" s="221"/>
      <c r="G4952" s="221"/>
      <c r="H4952" s="221"/>
      <c r="I4952" s="221"/>
      <c r="J4952" s="221"/>
      <c r="K4952" s="221"/>
      <c r="L4952" s="221"/>
      <c r="M4952" s="221"/>
    </row>
    <row r="4953" spans="5:13">
      <c r="E4953" s="221"/>
      <c r="F4953" s="221"/>
      <c r="G4953" s="221"/>
      <c r="H4953" s="221"/>
      <c r="I4953" s="221"/>
      <c r="J4953" s="221"/>
      <c r="K4953" s="221"/>
      <c r="L4953" s="221"/>
      <c r="M4953" s="221"/>
    </row>
    <row r="4954" spans="5:13">
      <c r="E4954" s="221"/>
      <c r="F4954" s="221"/>
      <c r="G4954" s="221"/>
      <c r="H4954" s="221"/>
      <c r="I4954" s="221"/>
      <c r="J4954" s="221"/>
      <c r="K4954" s="221"/>
      <c r="L4954" s="221"/>
      <c r="M4954" s="221"/>
    </row>
    <row r="4955" spans="5:13">
      <c r="E4955" s="221"/>
      <c r="F4955" s="221"/>
      <c r="G4955" s="221"/>
      <c r="H4955" s="221"/>
      <c r="I4955" s="221"/>
      <c r="J4955" s="221"/>
      <c r="K4955" s="221"/>
      <c r="L4955" s="221"/>
      <c r="M4955" s="221"/>
    </row>
    <row r="4956" spans="5:13">
      <c r="E4956" s="221"/>
      <c r="F4956" s="221"/>
      <c r="G4956" s="221"/>
      <c r="H4956" s="221"/>
      <c r="I4956" s="221"/>
      <c r="J4956" s="221"/>
      <c r="K4956" s="221"/>
      <c r="L4956" s="221"/>
      <c r="M4956" s="221"/>
    </row>
    <row r="4957" spans="5:13">
      <c r="E4957" s="221"/>
      <c r="F4957" s="221"/>
      <c r="G4957" s="221"/>
      <c r="H4957" s="221"/>
      <c r="I4957" s="221"/>
      <c r="J4957" s="221"/>
      <c r="K4957" s="221"/>
      <c r="L4957" s="221"/>
      <c r="M4957" s="221"/>
    </row>
    <row r="4958" spans="5:13">
      <c r="E4958" s="221"/>
      <c r="F4958" s="221"/>
      <c r="G4958" s="221"/>
      <c r="H4958" s="221"/>
      <c r="I4958" s="221"/>
      <c r="J4958" s="221"/>
      <c r="K4958" s="221"/>
      <c r="L4958" s="221"/>
      <c r="M4958" s="221"/>
    </row>
    <row r="4959" spans="5:13">
      <c r="E4959" s="221"/>
      <c r="F4959" s="221"/>
      <c r="G4959" s="221"/>
      <c r="H4959" s="221"/>
      <c r="I4959" s="221"/>
      <c r="J4959" s="221"/>
      <c r="K4959" s="221"/>
      <c r="L4959" s="221"/>
      <c r="M4959" s="221"/>
    </row>
    <row r="4960" spans="5:13">
      <c r="E4960" s="221"/>
      <c r="F4960" s="221"/>
      <c r="G4960" s="221"/>
      <c r="H4960" s="221"/>
      <c r="I4960" s="221"/>
      <c r="J4960" s="221"/>
      <c r="K4960" s="221"/>
      <c r="L4960" s="221"/>
      <c r="M4960" s="221"/>
    </row>
    <row r="4961" spans="5:13">
      <c r="E4961" s="221"/>
      <c r="F4961" s="221"/>
      <c r="G4961" s="221"/>
      <c r="H4961" s="221"/>
      <c r="I4961" s="221"/>
      <c r="J4961" s="221"/>
      <c r="K4961" s="221"/>
      <c r="L4961" s="221"/>
      <c r="M4961" s="221"/>
    </row>
    <row r="4962" spans="5:13">
      <c r="E4962" s="221"/>
      <c r="F4962" s="221"/>
      <c r="G4962" s="221"/>
      <c r="H4962" s="221"/>
      <c r="I4962" s="221"/>
      <c r="J4962" s="221"/>
      <c r="K4962" s="221"/>
      <c r="L4962" s="221"/>
      <c r="M4962" s="221"/>
    </row>
    <row r="4963" spans="5:13">
      <c r="E4963" s="221"/>
      <c r="F4963" s="221"/>
      <c r="G4963" s="221"/>
      <c r="H4963" s="221"/>
      <c r="I4963" s="221"/>
      <c r="J4963" s="221"/>
      <c r="K4963" s="221"/>
      <c r="L4963" s="221"/>
      <c r="M4963" s="221"/>
    </row>
    <row r="4964" spans="5:13">
      <c r="E4964" s="221"/>
      <c r="F4964" s="221"/>
      <c r="G4964" s="221"/>
      <c r="H4964" s="221"/>
      <c r="I4964" s="221"/>
      <c r="J4964" s="221"/>
      <c r="K4964" s="221"/>
      <c r="L4964" s="221"/>
      <c r="M4964" s="221"/>
    </row>
    <row r="4965" spans="5:13">
      <c r="E4965" s="221"/>
      <c r="F4965" s="221"/>
      <c r="G4965" s="221"/>
      <c r="H4965" s="221"/>
      <c r="I4965" s="221"/>
      <c r="J4965" s="221"/>
      <c r="K4965" s="221"/>
      <c r="L4965" s="221"/>
      <c r="M4965" s="221"/>
    </row>
    <row r="4966" spans="5:13">
      <c r="E4966" s="221"/>
      <c r="F4966" s="221"/>
      <c r="G4966" s="221"/>
      <c r="H4966" s="221"/>
      <c r="I4966" s="221"/>
      <c r="J4966" s="221"/>
      <c r="K4966" s="221"/>
      <c r="L4966" s="221"/>
      <c r="M4966" s="221"/>
    </row>
    <row r="4967" spans="5:13">
      <c r="E4967" s="221"/>
      <c r="F4967" s="221"/>
      <c r="G4967" s="221"/>
      <c r="H4967" s="221"/>
      <c r="I4967" s="221"/>
      <c r="J4967" s="221"/>
      <c r="K4967" s="221"/>
      <c r="L4967" s="221"/>
      <c r="M4967" s="221"/>
    </row>
    <row r="4968" spans="5:13">
      <c r="E4968" s="221"/>
      <c r="F4968" s="221"/>
      <c r="G4968" s="221"/>
      <c r="H4968" s="221"/>
      <c r="I4968" s="221"/>
      <c r="J4968" s="221"/>
      <c r="K4968" s="221"/>
      <c r="L4968" s="221"/>
      <c r="M4968" s="221"/>
    </row>
    <row r="4969" spans="5:13">
      <c r="E4969" s="221"/>
      <c r="F4969" s="221"/>
      <c r="G4969" s="221"/>
      <c r="H4969" s="221"/>
      <c r="I4969" s="221"/>
      <c r="J4969" s="221"/>
      <c r="K4969" s="221"/>
      <c r="L4969" s="221"/>
      <c r="M4969" s="221"/>
    </row>
    <row r="4970" spans="5:13">
      <c r="E4970" s="221"/>
      <c r="F4970" s="221"/>
      <c r="G4970" s="221"/>
      <c r="H4970" s="221"/>
      <c r="I4970" s="221"/>
      <c r="J4970" s="221"/>
      <c r="K4970" s="221"/>
      <c r="L4970" s="221"/>
      <c r="M4970" s="221"/>
    </row>
    <row r="4971" spans="5:13">
      <c r="E4971" s="221"/>
      <c r="F4971" s="221"/>
      <c r="G4971" s="221"/>
      <c r="H4971" s="221"/>
      <c r="I4971" s="221"/>
      <c r="J4971" s="221"/>
      <c r="K4971" s="221"/>
      <c r="L4971" s="221"/>
      <c r="M4971" s="221"/>
    </row>
    <row r="4972" spans="5:13">
      <c r="E4972" s="221"/>
      <c r="F4972" s="221"/>
      <c r="G4972" s="221"/>
      <c r="H4972" s="221"/>
      <c r="I4972" s="221"/>
      <c r="J4972" s="221"/>
      <c r="K4972" s="221"/>
      <c r="L4972" s="221"/>
      <c r="M4972" s="221"/>
    </row>
    <row r="4973" spans="5:13">
      <c r="E4973" s="221"/>
      <c r="F4973" s="221"/>
      <c r="G4973" s="221"/>
      <c r="H4973" s="221"/>
      <c r="I4973" s="221"/>
      <c r="J4973" s="221"/>
      <c r="K4973" s="221"/>
      <c r="L4973" s="221"/>
      <c r="M4973" s="221"/>
    </row>
    <row r="4974" spans="5:13">
      <c r="E4974" s="221"/>
      <c r="F4974" s="221"/>
      <c r="G4974" s="221"/>
      <c r="H4974" s="221"/>
      <c r="I4974" s="221"/>
      <c r="J4974" s="221"/>
      <c r="K4974" s="221"/>
      <c r="L4974" s="221"/>
      <c r="M4974" s="221"/>
    </row>
    <row r="4975" spans="5:13">
      <c r="E4975" s="221"/>
      <c r="F4975" s="221"/>
      <c r="G4975" s="221"/>
      <c r="H4975" s="221"/>
      <c r="I4975" s="221"/>
      <c r="J4975" s="221"/>
      <c r="K4975" s="221"/>
      <c r="L4975" s="221"/>
      <c r="M4975" s="221"/>
    </row>
    <row r="4976" spans="5:13">
      <c r="E4976" s="221"/>
      <c r="F4976" s="221"/>
      <c r="G4976" s="221"/>
      <c r="H4976" s="221"/>
      <c r="I4976" s="221"/>
      <c r="J4976" s="221"/>
      <c r="K4976" s="221"/>
      <c r="L4976" s="221"/>
      <c r="M4976" s="221"/>
    </row>
    <row r="4977" spans="5:13">
      <c r="E4977" s="221"/>
      <c r="F4977" s="221"/>
      <c r="G4977" s="221"/>
      <c r="H4977" s="221"/>
      <c r="I4977" s="221"/>
      <c r="J4977" s="221"/>
      <c r="K4977" s="221"/>
      <c r="L4977" s="221"/>
      <c r="M4977" s="221"/>
    </row>
    <row r="4978" spans="5:13">
      <c r="E4978" s="221"/>
      <c r="F4978" s="221"/>
      <c r="G4978" s="221"/>
      <c r="H4978" s="221"/>
      <c r="I4978" s="221"/>
      <c r="J4978" s="221"/>
      <c r="K4978" s="221"/>
      <c r="L4978" s="221"/>
      <c r="M4978" s="221"/>
    </row>
    <row r="4979" spans="5:13">
      <c r="E4979" s="221"/>
      <c r="F4979" s="221"/>
      <c r="G4979" s="221"/>
      <c r="H4979" s="221"/>
      <c r="I4979" s="221"/>
      <c r="J4979" s="221"/>
      <c r="K4979" s="221"/>
      <c r="L4979" s="221"/>
      <c r="M4979" s="221"/>
    </row>
    <row r="4980" spans="5:13">
      <c r="E4980" s="221"/>
      <c r="F4980" s="221"/>
      <c r="G4980" s="221"/>
      <c r="H4980" s="221"/>
      <c r="I4980" s="221"/>
      <c r="J4980" s="221"/>
      <c r="K4980" s="221"/>
      <c r="L4980" s="221"/>
      <c r="M4980" s="221"/>
    </row>
    <row r="4981" spans="5:13">
      <c r="E4981" s="221"/>
      <c r="F4981" s="221"/>
      <c r="G4981" s="221"/>
      <c r="H4981" s="221"/>
      <c r="I4981" s="221"/>
      <c r="J4981" s="221"/>
      <c r="K4981" s="221"/>
      <c r="L4981" s="221"/>
      <c r="M4981" s="221"/>
    </row>
    <row r="4982" spans="5:13">
      <c r="E4982" s="221"/>
      <c r="F4982" s="221"/>
      <c r="G4982" s="221"/>
      <c r="H4982" s="221"/>
      <c r="I4982" s="221"/>
      <c r="J4982" s="221"/>
      <c r="K4982" s="221"/>
      <c r="L4982" s="221"/>
      <c r="M4982" s="221"/>
    </row>
    <row r="4983" spans="5:13">
      <c r="E4983" s="221"/>
      <c r="F4983" s="221"/>
      <c r="G4983" s="221"/>
      <c r="H4983" s="221"/>
      <c r="I4983" s="221"/>
      <c r="J4983" s="221"/>
      <c r="K4983" s="221"/>
      <c r="L4983" s="221"/>
      <c r="M4983" s="221"/>
    </row>
    <row r="4984" spans="5:13">
      <c r="E4984" s="221"/>
      <c r="F4984" s="221"/>
      <c r="G4984" s="221"/>
      <c r="H4984" s="221"/>
      <c r="I4984" s="221"/>
      <c r="J4984" s="221"/>
      <c r="K4984" s="221"/>
      <c r="L4984" s="221"/>
      <c r="M4984" s="221"/>
    </row>
    <row r="4985" spans="5:13">
      <c r="E4985" s="221"/>
      <c r="F4985" s="221"/>
      <c r="G4985" s="221"/>
      <c r="H4985" s="221"/>
      <c r="I4985" s="221"/>
      <c r="J4985" s="221"/>
      <c r="K4985" s="221"/>
      <c r="L4985" s="221"/>
      <c r="M4985" s="221"/>
    </row>
    <row r="4986" spans="5:13">
      <c r="E4986" s="221"/>
      <c r="F4986" s="221"/>
      <c r="G4986" s="221"/>
      <c r="H4986" s="221"/>
      <c r="I4986" s="221"/>
      <c r="J4986" s="221"/>
      <c r="K4986" s="221"/>
      <c r="L4986" s="221"/>
      <c r="M4986" s="221"/>
    </row>
    <row r="4987" spans="5:13">
      <c r="E4987" s="221"/>
      <c r="F4987" s="221"/>
      <c r="G4987" s="221"/>
      <c r="H4987" s="221"/>
      <c r="I4987" s="221"/>
      <c r="J4987" s="221"/>
      <c r="K4987" s="221"/>
      <c r="L4987" s="221"/>
      <c r="M4987" s="221"/>
    </row>
    <row r="4988" spans="5:13">
      <c r="E4988" s="221"/>
      <c r="F4988" s="221"/>
      <c r="G4988" s="221"/>
      <c r="H4988" s="221"/>
      <c r="I4988" s="221"/>
      <c r="J4988" s="221"/>
      <c r="K4988" s="221"/>
      <c r="L4988" s="221"/>
      <c r="M4988" s="221"/>
    </row>
    <row r="4989" spans="5:13">
      <c r="E4989" s="221"/>
      <c r="F4989" s="221"/>
      <c r="G4989" s="221"/>
      <c r="H4989" s="221"/>
      <c r="I4989" s="221"/>
      <c r="J4989" s="221"/>
      <c r="K4989" s="221"/>
      <c r="L4989" s="221"/>
      <c r="M4989" s="221"/>
    </row>
    <row r="4990" spans="5:13">
      <c r="E4990" s="221"/>
      <c r="F4990" s="221"/>
      <c r="G4990" s="221"/>
      <c r="H4990" s="221"/>
      <c r="I4990" s="221"/>
      <c r="J4990" s="221"/>
      <c r="K4990" s="221"/>
      <c r="L4990" s="221"/>
      <c r="M4990" s="221"/>
    </row>
    <row r="4991" spans="5:13">
      <c r="E4991" s="221"/>
      <c r="F4991" s="221"/>
      <c r="G4991" s="221"/>
      <c r="H4991" s="221"/>
      <c r="I4991" s="221"/>
      <c r="J4991" s="221"/>
      <c r="K4991" s="221"/>
      <c r="L4991" s="221"/>
      <c r="M4991" s="221"/>
    </row>
    <row r="4992" spans="5:13">
      <c r="E4992" s="221"/>
      <c r="F4992" s="221"/>
      <c r="G4992" s="221"/>
      <c r="H4992" s="221"/>
      <c r="I4992" s="221"/>
      <c r="J4992" s="221"/>
      <c r="K4992" s="221"/>
      <c r="L4992" s="221"/>
      <c r="M4992" s="221"/>
    </row>
    <row r="4993" spans="5:13">
      <c r="E4993" s="221"/>
      <c r="F4993" s="221"/>
      <c r="G4993" s="221"/>
      <c r="H4993" s="221"/>
      <c r="I4993" s="221"/>
      <c r="J4993" s="221"/>
      <c r="K4993" s="221"/>
      <c r="L4993" s="221"/>
      <c r="M4993" s="221"/>
    </row>
    <row r="4994" spans="5:13">
      <c r="E4994" s="221"/>
      <c r="F4994" s="221"/>
      <c r="G4994" s="221"/>
      <c r="H4994" s="221"/>
      <c r="I4994" s="221"/>
      <c r="J4994" s="221"/>
      <c r="K4994" s="221"/>
      <c r="L4994" s="221"/>
      <c r="M4994" s="221"/>
    </row>
    <row r="4995" spans="5:13">
      <c r="E4995" s="221"/>
      <c r="F4995" s="221"/>
      <c r="G4995" s="221"/>
      <c r="H4995" s="221"/>
      <c r="I4995" s="221"/>
      <c r="J4995" s="221"/>
      <c r="K4995" s="221"/>
      <c r="L4995" s="221"/>
      <c r="M4995" s="221"/>
    </row>
    <row r="4996" spans="5:13">
      <c r="E4996" s="221"/>
      <c r="F4996" s="221"/>
      <c r="G4996" s="221"/>
      <c r="H4996" s="221"/>
      <c r="I4996" s="221"/>
      <c r="J4996" s="221"/>
      <c r="K4996" s="221"/>
      <c r="L4996" s="221"/>
      <c r="M4996" s="221"/>
    </row>
    <row r="4997" spans="5:13">
      <c r="E4997" s="221"/>
      <c r="F4997" s="221"/>
      <c r="G4997" s="221"/>
      <c r="H4997" s="221"/>
      <c r="I4997" s="221"/>
      <c r="J4997" s="221"/>
      <c r="K4997" s="221"/>
      <c r="L4997" s="221"/>
      <c r="M4997" s="221"/>
    </row>
    <row r="4998" spans="5:13">
      <c r="E4998" s="221"/>
      <c r="F4998" s="221"/>
      <c r="G4998" s="221"/>
      <c r="H4998" s="221"/>
      <c r="I4998" s="221"/>
      <c r="J4998" s="221"/>
      <c r="K4998" s="221"/>
      <c r="L4998" s="221"/>
      <c r="M4998" s="221"/>
    </row>
    <row r="4999" spans="5:13">
      <c r="E4999" s="221"/>
      <c r="F4999" s="221"/>
      <c r="G4999" s="221"/>
      <c r="H4999" s="221"/>
      <c r="I4999" s="221"/>
      <c r="J4999" s="221"/>
      <c r="K4999" s="221"/>
      <c r="L4999" s="221"/>
      <c r="M4999" s="221"/>
    </row>
    <row r="5000" spans="5:13">
      <c r="E5000" s="221"/>
      <c r="F5000" s="221"/>
      <c r="G5000" s="221"/>
      <c r="H5000" s="221"/>
      <c r="I5000" s="221"/>
      <c r="J5000" s="221"/>
      <c r="K5000" s="221"/>
      <c r="L5000" s="221"/>
      <c r="M5000" s="221"/>
    </row>
    <row r="5001" spans="5:13">
      <c r="E5001" s="221"/>
      <c r="F5001" s="221"/>
      <c r="G5001" s="221"/>
      <c r="H5001" s="221"/>
      <c r="I5001" s="221"/>
      <c r="J5001" s="221"/>
      <c r="K5001" s="221"/>
      <c r="L5001" s="221"/>
      <c r="M5001" s="221"/>
    </row>
    <row r="5002" spans="5:13">
      <c r="E5002" s="221"/>
      <c r="F5002" s="221"/>
      <c r="G5002" s="221"/>
      <c r="H5002" s="221"/>
      <c r="I5002" s="221"/>
      <c r="J5002" s="221"/>
      <c r="K5002" s="221"/>
      <c r="L5002" s="221"/>
      <c r="M5002" s="221"/>
    </row>
    <row r="5003" spans="5:13">
      <c r="E5003" s="221"/>
      <c r="F5003" s="221"/>
      <c r="G5003" s="221"/>
      <c r="H5003" s="221"/>
      <c r="I5003" s="221"/>
      <c r="J5003" s="221"/>
      <c r="K5003" s="221"/>
      <c r="L5003" s="221"/>
      <c r="M5003" s="221"/>
    </row>
    <row r="5004" spans="5:13">
      <c r="E5004" s="221"/>
      <c r="F5004" s="221"/>
      <c r="G5004" s="221"/>
      <c r="H5004" s="221"/>
      <c r="I5004" s="221"/>
      <c r="J5004" s="221"/>
      <c r="K5004" s="221"/>
      <c r="L5004" s="221"/>
      <c r="M5004" s="221"/>
    </row>
    <row r="5005" spans="5:13">
      <c r="E5005" s="221"/>
      <c r="F5005" s="221"/>
      <c r="G5005" s="221"/>
      <c r="H5005" s="221"/>
      <c r="I5005" s="221"/>
      <c r="J5005" s="221"/>
      <c r="K5005" s="221"/>
      <c r="L5005" s="221"/>
      <c r="M5005" s="221"/>
    </row>
    <row r="5006" spans="5:13">
      <c r="E5006" s="221"/>
      <c r="F5006" s="221"/>
      <c r="G5006" s="221"/>
      <c r="H5006" s="221"/>
      <c r="I5006" s="221"/>
      <c r="J5006" s="221"/>
      <c r="K5006" s="221"/>
      <c r="L5006" s="221"/>
      <c r="M5006" s="221"/>
    </row>
    <row r="5007" spans="5:13">
      <c r="E5007" s="221"/>
      <c r="F5007" s="221"/>
      <c r="G5007" s="221"/>
      <c r="H5007" s="221"/>
      <c r="I5007" s="221"/>
      <c r="J5007" s="221"/>
      <c r="K5007" s="221"/>
      <c r="L5007" s="221"/>
      <c r="M5007" s="221"/>
    </row>
    <row r="5008" spans="5:13">
      <c r="E5008" s="221"/>
      <c r="F5008" s="221"/>
      <c r="G5008" s="221"/>
      <c r="H5008" s="221"/>
      <c r="I5008" s="221"/>
      <c r="J5008" s="221"/>
      <c r="K5008" s="221"/>
      <c r="L5008" s="221"/>
      <c r="M5008" s="221"/>
    </row>
    <row r="5009" spans="5:13">
      <c r="E5009" s="221"/>
      <c r="F5009" s="221"/>
      <c r="G5009" s="221"/>
      <c r="H5009" s="221"/>
      <c r="I5009" s="221"/>
      <c r="J5009" s="221"/>
      <c r="K5009" s="221"/>
      <c r="L5009" s="221"/>
      <c r="M5009" s="221"/>
    </row>
    <row r="5010" spans="5:13">
      <c r="E5010" s="221"/>
      <c r="F5010" s="221"/>
      <c r="G5010" s="221"/>
      <c r="H5010" s="221"/>
      <c r="I5010" s="221"/>
      <c r="J5010" s="221"/>
      <c r="K5010" s="221"/>
      <c r="L5010" s="221"/>
      <c r="M5010" s="221"/>
    </row>
    <row r="5011" spans="5:13">
      <c r="E5011" s="221"/>
      <c r="F5011" s="221"/>
      <c r="G5011" s="221"/>
      <c r="H5011" s="221"/>
      <c r="I5011" s="221"/>
      <c r="J5011" s="221"/>
      <c r="K5011" s="221"/>
      <c r="L5011" s="221"/>
      <c r="M5011" s="221"/>
    </row>
    <row r="5012" spans="5:13">
      <c r="E5012" s="221"/>
      <c r="F5012" s="221"/>
      <c r="G5012" s="221"/>
      <c r="H5012" s="221"/>
      <c r="I5012" s="221"/>
      <c r="J5012" s="221"/>
      <c r="K5012" s="221"/>
      <c r="L5012" s="221"/>
      <c r="M5012" s="221"/>
    </row>
    <row r="5013" spans="5:13">
      <c r="E5013" s="221"/>
      <c r="F5013" s="221"/>
      <c r="G5013" s="221"/>
      <c r="H5013" s="221"/>
      <c r="I5013" s="221"/>
      <c r="J5013" s="221"/>
      <c r="K5013" s="221"/>
      <c r="L5013" s="221"/>
      <c r="M5013" s="221"/>
    </row>
    <row r="5014" spans="5:13">
      <c r="E5014" s="221"/>
      <c r="F5014" s="221"/>
      <c r="G5014" s="221"/>
      <c r="H5014" s="221"/>
      <c r="I5014" s="221"/>
      <c r="J5014" s="221"/>
      <c r="K5014" s="221"/>
      <c r="L5014" s="221"/>
      <c r="M5014" s="221"/>
    </row>
    <row r="5015" spans="5:13">
      <c r="E5015" s="221"/>
      <c r="F5015" s="221"/>
      <c r="G5015" s="221"/>
      <c r="H5015" s="221"/>
      <c r="I5015" s="221"/>
      <c r="J5015" s="221"/>
      <c r="K5015" s="221"/>
      <c r="L5015" s="221"/>
      <c r="M5015" s="221"/>
    </row>
    <row r="5016" spans="5:13">
      <c r="E5016" s="221"/>
      <c r="F5016" s="221"/>
      <c r="G5016" s="221"/>
      <c r="H5016" s="221"/>
      <c r="I5016" s="221"/>
      <c r="J5016" s="221"/>
      <c r="K5016" s="221"/>
      <c r="L5016" s="221"/>
      <c r="M5016" s="221"/>
    </row>
    <row r="5017" spans="5:13">
      <c r="E5017" s="221"/>
      <c r="F5017" s="221"/>
      <c r="G5017" s="221"/>
      <c r="H5017" s="221"/>
      <c r="I5017" s="221"/>
      <c r="J5017" s="221"/>
      <c r="K5017" s="221"/>
      <c r="L5017" s="221"/>
      <c r="M5017" s="221"/>
    </row>
    <row r="5018" spans="5:13">
      <c r="E5018" s="221"/>
      <c r="F5018" s="221"/>
      <c r="G5018" s="221"/>
      <c r="H5018" s="221"/>
      <c r="I5018" s="221"/>
      <c r="J5018" s="221"/>
      <c r="K5018" s="221"/>
      <c r="L5018" s="221"/>
      <c r="M5018" s="221"/>
    </row>
    <row r="5019" spans="5:13">
      <c r="E5019" s="221"/>
      <c r="F5019" s="221"/>
      <c r="G5019" s="221"/>
      <c r="H5019" s="221"/>
      <c r="I5019" s="221"/>
      <c r="J5019" s="221"/>
      <c r="K5019" s="221"/>
      <c r="L5019" s="221"/>
      <c r="M5019" s="221"/>
    </row>
    <row r="5020" spans="5:13">
      <c r="E5020" s="221"/>
      <c r="F5020" s="221"/>
      <c r="G5020" s="221"/>
      <c r="H5020" s="221"/>
      <c r="I5020" s="221"/>
      <c r="J5020" s="221"/>
      <c r="K5020" s="221"/>
      <c r="L5020" s="221"/>
      <c r="M5020" s="221"/>
    </row>
    <row r="5021" spans="5:13">
      <c r="E5021" s="221"/>
      <c r="F5021" s="221"/>
      <c r="G5021" s="221"/>
      <c r="H5021" s="221"/>
      <c r="I5021" s="221"/>
      <c r="J5021" s="221"/>
      <c r="K5021" s="221"/>
      <c r="L5021" s="221"/>
      <c r="M5021" s="221"/>
    </row>
    <row r="5022" spans="5:13">
      <c r="E5022" s="221"/>
      <c r="F5022" s="221"/>
      <c r="G5022" s="221"/>
      <c r="H5022" s="221"/>
      <c r="I5022" s="221"/>
      <c r="J5022" s="221"/>
      <c r="K5022" s="221"/>
      <c r="L5022" s="221"/>
      <c r="M5022" s="221"/>
    </row>
    <row r="5023" spans="5:13">
      <c r="E5023" s="221"/>
      <c r="F5023" s="221"/>
      <c r="G5023" s="221"/>
      <c r="H5023" s="221"/>
      <c r="I5023" s="221"/>
      <c r="J5023" s="221"/>
      <c r="K5023" s="221"/>
      <c r="L5023" s="221"/>
      <c r="M5023" s="221"/>
    </row>
    <row r="5024" spans="5:13">
      <c r="E5024" s="221"/>
      <c r="F5024" s="221"/>
      <c r="G5024" s="221"/>
      <c r="H5024" s="221"/>
      <c r="I5024" s="221"/>
      <c r="J5024" s="221"/>
      <c r="K5024" s="221"/>
      <c r="L5024" s="221"/>
      <c r="M5024" s="221"/>
    </row>
    <row r="5025" spans="5:13">
      <c r="E5025" s="221"/>
      <c r="F5025" s="221"/>
      <c r="G5025" s="221"/>
      <c r="H5025" s="221"/>
      <c r="I5025" s="221"/>
      <c r="J5025" s="221"/>
      <c r="K5025" s="221"/>
      <c r="L5025" s="221"/>
      <c r="M5025" s="221"/>
    </row>
    <row r="5026" spans="5:13">
      <c r="E5026" s="221"/>
      <c r="F5026" s="221"/>
      <c r="G5026" s="221"/>
      <c r="H5026" s="221"/>
      <c r="I5026" s="221"/>
      <c r="J5026" s="221"/>
      <c r="K5026" s="221"/>
      <c r="L5026" s="221"/>
      <c r="M5026" s="221"/>
    </row>
    <row r="5027" spans="5:13">
      <c r="E5027" s="221"/>
      <c r="F5027" s="221"/>
      <c r="G5027" s="221"/>
      <c r="H5027" s="221"/>
      <c r="I5027" s="221"/>
      <c r="J5027" s="221"/>
      <c r="K5027" s="221"/>
      <c r="L5027" s="221"/>
      <c r="M5027" s="221"/>
    </row>
    <row r="5028" spans="5:13">
      <c r="E5028" s="221"/>
      <c r="F5028" s="221"/>
      <c r="G5028" s="221"/>
      <c r="H5028" s="221"/>
      <c r="I5028" s="221"/>
      <c r="J5028" s="221"/>
      <c r="K5028" s="221"/>
      <c r="L5028" s="221"/>
      <c r="M5028" s="221"/>
    </row>
    <row r="5029" spans="5:13">
      <c r="E5029" s="221"/>
      <c r="F5029" s="221"/>
      <c r="G5029" s="221"/>
      <c r="H5029" s="221"/>
      <c r="I5029" s="221"/>
      <c r="J5029" s="221"/>
      <c r="K5029" s="221"/>
      <c r="L5029" s="221"/>
      <c r="M5029" s="221"/>
    </row>
    <row r="5030" spans="5:13">
      <c r="E5030" s="221"/>
      <c r="F5030" s="221"/>
      <c r="G5030" s="221"/>
      <c r="H5030" s="221"/>
      <c r="I5030" s="221"/>
      <c r="J5030" s="221"/>
      <c r="K5030" s="221"/>
      <c r="L5030" s="221"/>
      <c r="M5030" s="221"/>
    </row>
    <row r="5031" spans="5:13">
      <c r="E5031" s="221"/>
      <c r="F5031" s="221"/>
      <c r="G5031" s="221"/>
      <c r="H5031" s="221"/>
      <c r="I5031" s="221"/>
      <c r="J5031" s="221"/>
      <c r="K5031" s="221"/>
      <c r="L5031" s="221"/>
      <c r="M5031" s="221"/>
    </row>
    <row r="5032" spans="5:13">
      <c r="E5032" s="221"/>
      <c r="F5032" s="221"/>
      <c r="G5032" s="221"/>
      <c r="H5032" s="221"/>
      <c r="I5032" s="221"/>
      <c r="J5032" s="221"/>
      <c r="K5032" s="221"/>
      <c r="L5032" s="221"/>
      <c r="M5032" s="221"/>
    </row>
    <row r="5033" spans="5:13">
      <c r="E5033" s="221"/>
      <c r="F5033" s="221"/>
      <c r="G5033" s="221"/>
      <c r="H5033" s="221"/>
      <c r="I5033" s="221"/>
      <c r="J5033" s="221"/>
      <c r="K5033" s="221"/>
      <c r="L5033" s="221"/>
      <c r="M5033" s="221"/>
    </row>
    <row r="5034" spans="5:13">
      <c r="E5034" s="221"/>
      <c r="F5034" s="221"/>
      <c r="G5034" s="221"/>
      <c r="H5034" s="221"/>
      <c r="I5034" s="221"/>
      <c r="J5034" s="221"/>
      <c r="K5034" s="221"/>
      <c r="L5034" s="221"/>
      <c r="M5034" s="221"/>
    </row>
    <row r="5035" spans="5:13">
      <c r="E5035" s="221"/>
      <c r="F5035" s="221"/>
      <c r="G5035" s="221"/>
      <c r="H5035" s="221"/>
      <c r="I5035" s="221"/>
      <c r="J5035" s="221"/>
      <c r="K5035" s="221"/>
      <c r="L5035" s="221"/>
      <c r="M5035" s="221"/>
    </row>
    <row r="5036" spans="5:13">
      <c r="E5036" s="221"/>
      <c r="F5036" s="221"/>
      <c r="G5036" s="221"/>
      <c r="H5036" s="221"/>
      <c r="I5036" s="221"/>
      <c r="J5036" s="221"/>
      <c r="K5036" s="221"/>
      <c r="L5036" s="221"/>
      <c r="M5036" s="221"/>
    </row>
    <row r="5037" spans="5:13">
      <c r="E5037" s="221"/>
      <c r="F5037" s="221"/>
      <c r="G5037" s="221"/>
      <c r="H5037" s="221"/>
      <c r="I5037" s="221"/>
      <c r="J5037" s="221"/>
      <c r="K5037" s="221"/>
      <c r="L5037" s="221"/>
      <c r="M5037" s="221"/>
    </row>
    <row r="5038" spans="5:13">
      <c r="E5038" s="221"/>
      <c r="F5038" s="221"/>
      <c r="G5038" s="221"/>
      <c r="H5038" s="221"/>
      <c r="I5038" s="221"/>
      <c r="J5038" s="221"/>
      <c r="K5038" s="221"/>
      <c r="L5038" s="221"/>
      <c r="M5038" s="221"/>
    </row>
    <row r="5039" spans="5:13">
      <c r="E5039" s="221"/>
      <c r="F5039" s="221"/>
      <c r="G5039" s="221"/>
      <c r="H5039" s="221"/>
      <c r="I5039" s="221"/>
      <c r="J5039" s="221"/>
      <c r="K5039" s="221"/>
      <c r="L5039" s="221"/>
      <c r="M5039" s="221"/>
    </row>
    <row r="5040" spans="5:13">
      <c r="E5040" s="221"/>
      <c r="F5040" s="221"/>
      <c r="G5040" s="221"/>
      <c r="H5040" s="221"/>
      <c r="I5040" s="221"/>
      <c r="J5040" s="221"/>
      <c r="K5040" s="221"/>
      <c r="L5040" s="221"/>
      <c r="M5040" s="221"/>
    </row>
    <row r="5041" spans="5:13">
      <c r="E5041" s="221"/>
      <c r="F5041" s="221"/>
      <c r="G5041" s="221"/>
      <c r="H5041" s="221"/>
      <c r="I5041" s="221"/>
      <c r="J5041" s="221"/>
      <c r="K5041" s="221"/>
      <c r="L5041" s="221"/>
      <c r="M5041" s="221"/>
    </row>
    <row r="5042" spans="5:13">
      <c r="E5042" s="221"/>
      <c r="F5042" s="221"/>
      <c r="G5042" s="221"/>
      <c r="H5042" s="221"/>
      <c r="I5042" s="221"/>
      <c r="J5042" s="221"/>
      <c r="K5042" s="221"/>
      <c r="L5042" s="221"/>
      <c r="M5042" s="221"/>
    </row>
    <row r="5043" spans="5:13">
      <c r="E5043" s="221"/>
      <c r="F5043" s="221"/>
      <c r="G5043" s="221"/>
      <c r="H5043" s="221"/>
      <c r="I5043" s="221"/>
      <c r="J5043" s="221"/>
      <c r="K5043" s="221"/>
      <c r="L5043" s="221"/>
      <c r="M5043" s="221"/>
    </row>
    <row r="5044" spans="5:13">
      <c r="E5044" s="221"/>
      <c r="F5044" s="221"/>
      <c r="G5044" s="221"/>
      <c r="H5044" s="221"/>
      <c r="I5044" s="221"/>
      <c r="J5044" s="221"/>
      <c r="K5044" s="221"/>
      <c r="L5044" s="221"/>
      <c r="M5044" s="221"/>
    </row>
    <row r="5045" spans="5:13">
      <c r="E5045" s="221"/>
      <c r="F5045" s="221"/>
      <c r="G5045" s="221"/>
      <c r="H5045" s="221"/>
      <c r="I5045" s="221"/>
      <c r="J5045" s="221"/>
      <c r="K5045" s="221"/>
      <c r="L5045" s="221"/>
      <c r="M5045" s="221"/>
    </row>
    <row r="5046" spans="5:13">
      <c r="E5046" s="221"/>
      <c r="F5046" s="221"/>
      <c r="G5046" s="221"/>
      <c r="H5046" s="221"/>
      <c r="I5046" s="221"/>
      <c r="J5046" s="221"/>
      <c r="K5046" s="221"/>
      <c r="L5046" s="221"/>
      <c r="M5046" s="221"/>
    </row>
    <row r="5047" spans="5:13">
      <c r="E5047" s="221"/>
      <c r="F5047" s="221"/>
      <c r="G5047" s="221"/>
      <c r="H5047" s="221"/>
      <c r="I5047" s="221"/>
      <c r="J5047" s="221"/>
      <c r="K5047" s="221"/>
      <c r="L5047" s="221"/>
      <c r="M5047" s="221"/>
    </row>
    <row r="5048" spans="5:13">
      <c r="E5048" s="221"/>
      <c r="F5048" s="221"/>
      <c r="G5048" s="221"/>
      <c r="H5048" s="221"/>
      <c r="I5048" s="221"/>
      <c r="J5048" s="221"/>
      <c r="K5048" s="221"/>
      <c r="L5048" s="221"/>
      <c r="M5048" s="221"/>
    </row>
    <row r="5049" spans="5:13">
      <c r="E5049" s="221"/>
      <c r="F5049" s="221"/>
      <c r="G5049" s="221"/>
      <c r="H5049" s="221"/>
      <c r="I5049" s="221"/>
      <c r="J5049" s="221"/>
      <c r="K5049" s="221"/>
      <c r="L5049" s="221"/>
      <c r="M5049" s="221"/>
    </row>
    <row r="5050" spans="5:13">
      <c r="E5050" s="221"/>
      <c r="F5050" s="221"/>
      <c r="G5050" s="221"/>
      <c r="H5050" s="221"/>
      <c r="I5050" s="221"/>
      <c r="J5050" s="221"/>
      <c r="K5050" s="221"/>
      <c r="L5050" s="221"/>
      <c r="M5050" s="221"/>
    </row>
    <row r="5051" spans="5:13">
      <c r="E5051" s="221"/>
      <c r="F5051" s="221"/>
      <c r="G5051" s="221"/>
      <c r="H5051" s="221"/>
      <c r="I5051" s="221"/>
      <c r="J5051" s="221"/>
      <c r="K5051" s="221"/>
      <c r="L5051" s="221"/>
      <c r="M5051" s="221"/>
    </row>
    <row r="5052" spans="5:13">
      <c r="E5052" s="221"/>
      <c r="F5052" s="221"/>
      <c r="G5052" s="221"/>
      <c r="H5052" s="221"/>
      <c r="I5052" s="221"/>
      <c r="J5052" s="221"/>
      <c r="K5052" s="221"/>
      <c r="L5052" s="221"/>
      <c r="M5052" s="221"/>
    </row>
    <row r="5053" spans="5:13">
      <c r="E5053" s="221"/>
      <c r="F5053" s="221"/>
      <c r="G5053" s="221"/>
      <c r="H5053" s="221"/>
      <c r="I5053" s="221"/>
      <c r="J5053" s="221"/>
      <c r="K5053" s="221"/>
      <c r="L5053" s="221"/>
      <c r="M5053" s="221"/>
    </row>
    <row r="5054" spans="5:13">
      <c r="E5054" s="221"/>
      <c r="F5054" s="221"/>
      <c r="G5054" s="221"/>
      <c r="H5054" s="221"/>
      <c r="I5054" s="221"/>
      <c r="J5054" s="221"/>
      <c r="K5054" s="221"/>
      <c r="L5054" s="221"/>
      <c r="M5054" s="221"/>
    </row>
    <row r="5055" spans="5:13">
      <c r="E5055" s="221"/>
      <c r="F5055" s="221"/>
      <c r="G5055" s="221"/>
      <c r="H5055" s="221"/>
      <c r="I5055" s="221"/>
      <c r="J5055" s="221"/>
      <c r="K5055" s="221"/>
      <c r="L5055" s="221"/>
      <c r="M5055" s="221"/>
    </row>
    <row r="5056" spans="5:13">
      <c r="E5056" s="221"/>
      <c r="F5056" s="221"/>
      <c r="G5056" s="221"/>
      <c r="H5056" s="221"/>
      <c r="I5056" s="221"/>
      <c r="J5056" s="221"/>
      <c r="K5056" s="221"/>
      <c r="L5056" s="221"/>
      <c r="M5056" s="221"/>
    </row>
    <row r="5057" spans="5:13">
      <c r="E5057" s="221"/>
      <c r="F5057" s="221"/>
      <c r="G5057" s="221"/>
      <c r="H5057" s="221"/>
      <c r="I5057" s="221"/>
      <c r="J5057" s="221"/>
      <c r="K5057" s="221"/>
      <c r="L5057" s="221"/>
      <c r="M5057" s="221"/>
    </row>
    <row r="5058" spans="5:13">
      <c r="E5058" s="221"/>
      <c r="F5058" s="221"/>
      <c r="G5058" s="221"/>
      <c r="H5058" s="221"/>
      <c r="I5058" s="221"/>
      <c r="J5058" s="221"/>
      <c r="K5058" s="221"/>
      <c r="L5058" s="221"/>
      <c r="M5058" s="221"/>
    </row>
    <row r="5059" spans="5:13">
      <c r="E5059" s="221"/>
      <c r="F5059" s="221"/>
      <c r="G5059" s="221"/>
      <c r="H5059" s="221"/>
      <c r="I5059" s="221"/>
      <c r="J5059" s="221"/>
      <c r="K5059" s="221"/>
      <c r="L5059" s="221"/>
      <c r="M5059" s="221"/>
    </row>
    <row r="5060" spans="5:13">
      <c r="E5060" s="221"/>
      <c r="F5060" s="221"/>
      <c r="G5060" s="221"/>
      <c r="H5060" s="221"/>
      <c r="I5060" s="221"/>
      <c r="J5060" s="221"/>
      <c r="K5060" s="221"/>
      <c r="L5060" s="221"/>
      <c r="M5060" s="221"/>
    </row>
    <row r="5061" spans="5:13">
      <c r="E5061" s="221"/>
      <c r="F5061" s="221"/>
      <c r="G5061" s="221"/>
      <c r="H5061" s="221"/>
      <c r="I5061" s="221"/>
      <c r="J5061" s="221"/>
      <c r="K5061" s="221"/>
      <c r="L5061" s="221"/>
      <c r="M5061" s="221"/>
    </row>
    <row r="5062" spans="5:13">
      <c r="E5062" s="221"/>
      <c r="F5062" s="221"/>
      <c r="G5062" s="221"/>
      <c r="H5062" s="221"/>
      <c r="I5062" s="221"/>
      <c r="J5062" s="221"/>
      <c r="K5062" s="221"/>
      <c r="L5062" s="221"/>
      <c r="M5062" s="221"/>
    </row>
    <row r="5063" spans="5:13">
      <c r="E5063" s="221"/>
      <c r="F5063" s="221"/>
      <c r="G5063" s="221"/>
      <c r="H5063" s="221"/>
      <c r="I5063" s="221"/>
      <c r="J5063" s="221"/>
      <c r="K5063" s="221"/>
      <c r="L5063" s="221"/>
      <c r="M5063" s="221"/>
    </row>
    <row r="5064" spans="5:13">
      <c r="E5064" s="221"/>
      <c r="F5064" s="221"/>
      <c r="G5064" s="221"/>
      <c r="H5064" s="221"/>
      <c r="I5064" s="221"/>
      <c r="J5064" s="221"/>
      <c r="K5064" s="221"/>
      <c r="L5064" s="221"/>
      <c r="M5064" s="221"/>
    </row>
    <row r="5065" spans="5:13">
      <c r="E5065" s="221"/>
      <c r="F5065" s="221"/>
      <c r="G5065" s="221"/>
      <c r="H5065" s="221"/>
      <c r="I5065" s="221"/>
      <c r="J5065" s="221"/>
      <c r="K5065" s="221"/>
      <c r="L5065" s="221"/>
      <c r="M5065" s="221"/>
    </row>
    <row r="5066" spans="5:13">
      <c r="E5066" s="221"/>
      <c r="F5066" s="221"/>
      <c r="G5066" s="221"/>
      <c r="H5066" s="221"/>
      <c r="I5066" s="221"/>
      <c r="J5066" s="221"/>
      <c r="K5066" s="221"/>
      <c r="L5066" s="221"/>
      <c r="M5066" s="221"/>
    </row>
    <row r="5067" spans="5:13">
      <c r="E5067" s="221"/>
      <c r="F5067" s="221"/>
      <c r="G5067" s="221"/>
      <c r="H5067" s="221"/>
      <c r="I5067" s="221"/>
      <c r="J5067" s="221"/>
      <c r="K5067" s="221"/>
      <c r="L5067" s="221"/>
      <c r="M5067" s="221"/>
    </row>
    <row r="5068" spans="5:13">
      <c r="E5068" s="221"/>
      <c r="F5068" s="221"/>
      <c r="G5068" s="221"/>
      <c r="H5068" s="221"/>
      <c r="I5068" s="221"/>
      <c r="J5068" s="221"/>
      <c r="K5068" s="221"/>
      <c r="L5068" s="221"/>
      <c r="M5068" s="221"/>
    </row>
    <row r="5069" spans="5:13">
      <c r="E5069" s="221"/>
      <c r="F5069" s="221"/>
      <c r="G5069" s="221"/>
      <c r="H5069" s="221"/>
      <c r="I5069" s="221"/>
      <c r="J5069" s="221"/>
      <c r="K5069" s="221"/>
      <c r="L5069" s="221"/>
      <c r="M5069" s="221"/>
    </row>
    <row r="5070" spans="5:13">
      <c r="E5070" s="221"/>
      <c r="F5070" s="221"/>
      <c r="G5070" s="221"/>
      <c r="H5070" s="221"/>
      <c r="I5070" s="221"/>
      <c r="J5070" s="221"/>
      <c r="K5070" s="221"/>
      <c r="L5070" s="221"/>
      <c r="M5070" s="221"/>
    </row>
    <row r="5071" spans="5:13">
      <c r="E5071" s="221"/>
      <c r="F5071" s="221"/>
      <c r="G5071" s="221"/>
      <c r="H5071" s="221"/>
      <c r="I5071" s="221"/>
      <c r="J5071" s="221"/>
      <c r="K5071" s="221"/>
      <c r="L5071" s="221"/>
      <c r="M5071" s="221"/>
    </row>
    <row r="5072" spans="5:13">
      <c r="E5072" s="221"/>
      <c r="F5072" s="221"/>
      <c r="G5072" s="221"/>
      <c r="H5072" s="221"/>
      <c r="I5072" s="221"/>
      <c r="J5072" s="221"/>
      <c r="K5072" s="221"/>
      <c r="L5072" s="221"/>
      <c r="M5072" s="221"/>
    </row>
    <row r="5073" spans="5:13">
      <c r="E5073" s="221"/>
      <c r="F5073" s="221"/>
      <c r="G5073" s="221"/>
      <c r="H5073" s="221"/>
      <c r="I5073" s="221"/>
      <c r="J5073" s="221"/>
      <c r="K5073" s="221"/>
      <c r="L5073" s="221"/>
      <c r="M5073" s="221"/>
    </row>
    <row r="5074" spans="5:13">
      <c r="E5074" s="221"/>
      <c r="F5074" s="221"/>
      <c r="G5074" s="221"/>
      <c r="H5074" s="221"/>
      <c r="I5074" s="221"/>
      <c r="J5074" s="221"/>
      <c r="K5074" s="221"/>
      <c r="L5074" s="221"/>
      <c r="M5074" s="221"/>
    </row>
    <row r="5075" spans="5:13">
      <c r="E5075" s="221"/>
      <c r="F5075" s="221"/>
      <c r="G5075" s="221"/>
      <c r="H5075" s="221"/>
      <c r="I5075" s="221"/>
      <c r="J5075" s="221"/>
      <c r="K5075" s="221"/>
      <c r="L5075" s="221"/>
      <c r="M5075" s="221"/>
    </row>
    <row r="5076" spans="5:13">
      <c r="E5076" s="221"/>
      <c r="F5076" s="221"/>
      <c r="G5076" s="221"/>
      <c r="H5076" s="221"/>
      <c r="I5076" s="221"/>
      <c r="J5076" s="221"/>
      <c r="K5076" s="221"/>
      <c r="L5076" s="221"/>
      <c r="M5076" s="221"/>
    </row>
    <row r="5077" spans="5:13">
      <c r="E5077" s="221"/>
      <c r="F5077" s="221"/>
      <c r="G5077" s="221"/>
      <c r="H5077" s="221"/>
      <c r="I5077" s="221"/>
      <c r="J5077" s="221"/>
      <c r="K5077" s="221"/>
      <c r="L5077" s="221"/>
      <c r="M5077" s="221"/>
    </row>
    <row r="5078" spans="5:13">
      <c r="E5078" s="221"/>
      <c r="F5078" s="221"/>
      <c r="G5078" s="221"/>
      <c r="H5078" s="221"/>
      <c r="I5078" s="221"/>
      <c r="J5078" s="221"/>
      <c r="K5078" s="221"/>
      <c r="L5078" s="221"/>
      <c r="M5078" s="221"/>
    </row>
    <row r="5079" spans="5:13">
      <c r="E5079" s="221"/>
      <c r="F5079" s="221"/>
      <c r="G5079" s="221"/>
      <c r="H5079" s="221"/>
      <c r="I5079" s="221"/>
      <c r="J5079" s="221"/>
      <c r="K5079" s="221"/>
      <c r="L5079" s="221"/>
      <c r="M5079" s="221"/>
    </row>
    <row r="5080" spans="5:13">
      <c r="E5080" s="221"/>
      <c r="F5080" s="221"/>
      <c r="G5080" s="221"/>
      <c r="H5080" s="221"/>
      <c r="I5080" s="221"/>
      <c r="J5080" s="221"/>
      <c r="K5080" s="221"/>
      <c r="L5080" s="221"/>
      <c r="M5080" s="221"/>
    </row>
    <row r="5081" spans="5:13">
      <c r="E5081" s="221"/>
      <c r="F5081" s="221"/>
      <c r="G5081" s="221"/>
      <c r="H5081" s="221"/>
      <c r="I5081" s="221"/>
      <c r="J5081" s="221"/>
      <c r="K5081" s="221"/>
      <c r="L5081" s="221"/>
      <c r="M5081" s="221"/>
    </row>
    <row r="5082" spans="5:13">
      <c r="E5082" s="221"/>
      <c r="F5082" s="221"/>
      <c r="G5082" s="221"/>
      <c r="H5082" s="221"/>
      <c r="I5082" s="221"/>
      <c r="J5082" s="221"/>
      <c r="K5082" s="221"/>
      <c r="L5082" s="221"/>
      <c r="M5082" s="221"/>
    </row>
    <row r="5083" spans="5:13">
      <c r="E5083" s="221"/>
      <c r="F5083" s="221"/>
      <c r="G5083" s="221"/>
      <c r="H5083" s="221"/>
      <c r="I5083" s="221"/>
      <c r="J5083" s="221"/>
      <c r="K5083" s="221"/>
      <c r="L5083" s="221"/>
      <c r="M5083" s="221"/>
    </row>
    <row r="5084" spans="5:13">
      <c r="E5084" s="221"/>
      <c r="F5084" s="221"/>
      <c r="G5084" s="221"/>
      <c r="H5084" s="221"/>
      <c r="I5084" s="221"/>
      <c r="J5084" s="221"/>
      <c r="K5084" s="221"/>
      <c r="L5084" s="221"/>
      <c r="M5084" s="221"/>
    </row>
    <row r="5085" spans="5:13">
      <c r="E5085" s="221"/>
      <c r="F5085" s="221"/>
      <c r="G5085" s="221"/>
      <c r="H5085" s="221"/>
      <c r="I5085" s="221"/>
      <c r="J5085" s="221"/>
      <c r="K5085" s="221"/>
      <c r="L5085" s="221"/>
      <c r="M5085" s="221"/>
    </row>
    <row r="5086" spans="5:13">
      <c r="E5086" s="221"/>
      <c r="F5086" s="221"/>
      <c r="G5086" s="221"/>
      <c r="H5086" s="221"/>
      <c r="I5086" s="221"/>
      <c r="J5086" s="221"/>
      <c r="K5086" s="221"/>
      <c r="L5086" s="221"/>
      <c r="M5086" s="221"/>
    </row>
    <row r="5087" spans="5:13">
      <c r="E5087" s="221"/>
      <c r="F5087" s="221"/>
      <c r="G5087" s="221"/>
      <c r="H5087" s="221"/>
      <c r="I5087" s="221"/>
      <c r="J5087" s="221"/>
      <c r="K5087" s="221"/>
      <c r="L5087" s="221"/>
      <c r="M5087" s="221"/>
    </row>
    <row r="5088" spans="5:13">
      <c r="E5088" s="221"/>
      <c r="F5088" s="221"/>
      <c r="G5088" s="221"/>
      <c r="H5088" s="221"/>
      <c r="I5088" s="221"/>
      <c r="J5088" s="221"/>
      <c r="K5088" s="221"/>
      <c r="L5088" s="221"/>
      <c r="M5088" s="221"/>
    </row>
    <row r="5089" spans="5:13">
      <c r="E5089" s="221"/>
      <c r="F5089" s="221"/>
      <c r="G5089" s="221"/>
      <c r="H5089" s="221"/>
      <c r="I5089" s="221"/>
      <c r="J5089" s="221"/>
      <c r="K5089" s="221"/>
      <c r="L5089" s="221"/>
      <c r="M5089" s="221"/>
    </row>
    <row r="5090" spans="5:13">
      <c r="E5090" s="221"/>
      <c r="F5090" s="221"/>
      <c r="G5090" s="221"/>
      <c r="H5090" s="221"/>
      <c r="I5090" s="221"/>
      <c r="J5090" s="221"/>
      <c r="K5090" s="221"/>
      <c r="L5090" s="221"/>
      <c r="M5090" s="221"/>
    </row>
    <row r="5091" spans="5:13">
      <c r="E5091" s="221"/>
      <c r="F5091" s="221"/>
      <c r="G5091" s="221"/>
      <c r="H5091" s="221"/>
      <c r="I5091" s="221"/>
      <c r="J5091" s="221"/>
      <c r="K5091" s="221"/>
      <c r="L5091" s="221"/>
      <c r="M5091" s="221"/>
    </row>
    <row r="5092" spans="5:13">
      <c r="E5092" s="221"/>
      <c r="F5092" s="221"/>
      <c r="G5092" s="221"/>
      <c r="H5092" s="221"/>
      <c r="I5092" s="221"/>
      <c r="J5092" s="221"/>
      <c r="K5092" s="221"/>
      <c r="L5092" s="221"/>
      <c r="M5092" s="221"/>
    </row>
    <row r="5093" spans="5:13">
      <c r="E5093" s="221"/>
      <c r="F5093" s="221"/>
      <c r="G5093" s="221"/>
      <c r="H5093" s="221"/>
      <c r="I5093" s="221"/>
      <c r="J5093" s="221"/>
      <c r="K5093" s="221"/>
      <c r="L5093" s="221"/>
      <c r="M5093" s="221"/>
    </row>
    <row r="5094" spans="5:13">
      <c r="E5094" s="221"/>
      <c r="F5094" s="221"/>
      <c r="G5094" s="221"/>
      <c r="H5094" s="221"/>
      <c r="I5094" s="221"/>
      <c r="J5094" s="221"/>
      <c r="K5094" s="221"/>
      <c r="L5094" s="221"/>
      <c r="M5094" s="221"/>
    </row>
    <row r="5095" spans="5:13">
      <c r="E5095" s="221"/>
      <c r="F5095" s="221"/>
      <c r="G5095" s="221"/>
      <c r="H5095" s="221"/>
      <c r="I5095" s="221"/>
      <c r="J5095" s="221"/>
      <c r="K5095" s="221"/>
      <c r="L5095" s="221"/>
      <c r="M5095" s="221"/>
    </row>
    <row r="5096" spans="5:13">
      <c r="E5096" s="221"/>
      <c r="F5096" s="221"/>
      <c r="G5096" s="221"/>
      <c r="H5096" s="221"/>
      <c r="I5096" s="221"/>
      <c r="J5096" s="221"/>
      <c r="K5096" s="221"/>
      <c r="L5096" s="221"/>
      <c r="M5096" s="221"/>
    </row>
    <row r="5097" spans="5:13">
      <c r="E5097" s="221"/>
      <c r="F5097" s="221"/>
      <c r="G5097" s="221"/>
      <c r="H5097" s="221"/>
      <c r="I5097" s="221"/>
      <c r="J5097" s="221"/>
      <c r="K5097" s="221"/>
      <c r="L5097" s="221"/>
      <c r="M5097" s="221"/>
    </row>
    <row r="5098" spans="5:13">
      <c r="E5098" s="221"/>
      <c r="F5098" s="221"/>
      <c r="G5098" s="221"/>
      <c r="H5098" s="221"/>
      <c r="I5098" s="221"/>
      <c r="J5098" s="221"/>
      <c r="K5098" s="221"/>
      <c r="L5098" s="221"/>
      <c r="M5098" s="221"/>
    </row>
    <row r="5099" spans="5:13">
      <c r="E5099" s="221"/>
      <c r="F5099" s="221"/>
      <c r="G5099" s="221"/>
      <c r="H5099" s="221"/>
      <c r="I5099" s="221"/>
      <c r="J5099" s="221"/>
      <c r="K5099" s="221"/>
      <c r="L5099" s="221"/>
      <c r="M5099" s="221"/>
    </row>
    <row r="5100" spans="5:13">
      <c r="E5100" s="221"/>
      <c r="F5100" s="221"/>
      <c r="G5100" s="221"/>
      <c r="H5100" s="221"/>
      <c r="I5100" s="221"/>
      <c r="J5100" s="221"/>
      <c r="K5100" s="221"/>
      <c r="L5100" s="221"/>
      <c r="M5100" s="221"/>
    </row>
    <row r="5101" spans="5:13">
      <c r="E5101" s="221"/>
      <c r="F5101" s="221"/>
      <c r="G5101" s="221"/>
      <c r="H5101" s="221"/>
      <c r="I5101" s="221"/>
      <c r="J5101" s="221"/>
      <c r="K5101" s="221"/>
      <c r="L5101" s="221"/>
      <c r="M5101" s="221"/>
    </row>
    <row r="5102" spans="5:13">
      <c r="E5102" s="221"/>
      <c r="F5102" s="221"/>
      <c r="G5102" s="221"/>
      <c r="H5102" s="221"/>
      <c r="I5102" s="221"/>
      <c r="J5102" s="221"/>
      <c r="K5102" s="221"/>
      <c r="L5102" s="221"/>
      <c r="M5102" s="221"/>
    </row>
    <row r="5103" spans="5:13">
      <c r="E5103" s="221"/>
      <c r="F5103" s="221"/>
      <c r="G5103" s="221"/>
      <c r="H5103" s="221"/>
      <c r="I5103" s="221"/>
      <c r="J5103" s="221"/>
      <c r="K5103" s="221"/>
      <c r="L5103" s="221"/>
      <c r="M5103" s="221"/>
    </row>
    <row r="5104" spans="5:13">
      <c r="E5104" s="221"/>
      <c r="F5104" s="221"/>
      <c r="G5104" s="221"/>
      <c r="H5104" s="221"/>
      <c r="I5104" s="221"/>
      <c r="J5104" s="221"/>
      <c r="K5104" s="221"/>
      <c r="L5104" s="221"/>
      <c r="M5104" s="221"/>
    </row>
    <row r="5105" spans="5:13">
      <c r="E5105" s="221"/>
      <c r="F5105" s="221"/>
      <c r="G5105" s="221"/>
      <c r="H5105" s="221"/>
      <c r="I5105" s="221"/>
      <c r="J5105" s="221"/>
      <c r="K5105" s="221"/>
      <c r="L5105" s="221"/>
      <c r="M5105" s="221"/>
    </row>
    <row r="5106" spans="5:13">
      <c r="E5106" s="221"/>
      <c r="F5106" s="221"/>
      <c r="G5106" s="221"/>
      <c r="H5106" s="221"/>
      <c r="I5106" s="221"/>
      <c r="J5106" s="221"/>
      <c r="K5106" s="221"/>
      <c r="L5106" s="221"/>
      <c r="M5106" s="221"/>
    </row>
    <row r="5107" spans="5:13">
      <c r="E5107" s="221"/>
      <c r="F5107" s="221"/>
      <c r="G5107" s="221"/>
      <c r="H5107" s="221"/>
      <c r="I5107" s="221"/>
      <c r="J5107" s="221"/>
      <c r="K5107" s="221"/>
      <c r="L5107" s="221"/>
      <c r="M5107" s="221"/>
    </row>
    <row r="5108" spans="5:13">
      <c r="E5108" s="221"/>
      <c r="F5108" s="221"/>
      <c r="G5108" s="221"/>
      <c r="H5108" s="221"/>
      <c r="I5108" s="221"/>
      <c r="J5108" s="221"/>
      <c r="K5108" s="221"/>
      <c r="L5108" s="221"/>
      <c r="M5108" s="221"/>
    </row>
    <row r="5109" spans="5:13">
      <c r="E5109" s="221"/>
      <c r="F5109" s="221"/>
      <c r="G5109" s="221"/>
      <c r="H5109" s="221"/>
      <c r="I5109" s="221"/>
      <c r="J5109" s="221"/>
      <c r="K5109" s="221"/>
      <c r="L5109" s="221"/>
      <c r="M5109" s="221"/>
    </row>
    <row r="5110" spans="5:13">
      <c r="E5110" s="221"/>
      <c r="F5110" s="221"/>
      <c r="G5110" s="221"/>
      <c r="H5110" s="221"/>
      <c r="I5110" s="221"/>
      <c r="J5110" s="221"/>
      <c r="K5110" s="221"/>
      <c r="L5110" s="221"/>
      <c r="M5110" s="221"/>
    </row>
    <row r="5111" spans="5:13">
      <c r="E5111" s="221"/>
      <c r="F5111" s="221"/>
      <c r="G5111" s="221"/>
      <c r="H5111" s="221"/>
      <c r="I5111" s="221"/>
      <c r="J5111" s="221"/>
      <c r="K5111" s="221"/>
      <c r="L5111" s="221"/>
      <c r="M5111" s="221"/>
    </row>
    <row r="5112" spans="5:13">
      <c r="E5112" s="221"/>
      <c r="F5112" s="221"/>
      <c r="G5112" s="221"/>
      <c r="H5112" s="221"/>
      <c r="I5112" s="221"/>
      <c r="J5112" s="221"/>
      <c r="K5112" s="221"/>
      <c r="L5112" s="221"/>
      <c r="M5112" s="221"/>
    </row>
    <row r="5113" spans="5:13">
      <c r="E5113" s="221"/>
      <c r="F5113" s="221"/>
      <c r="G5113" s="221"/>
      <c r="H5113" s="221"/>
      <c r="I5113" s="221"/>
      <c r="J5113" s="221"/>
      <c r="K5113" s="221"/>
      <c r="L5113" s="221"/>
      <c r="M5113" s="221"/>
    </row>
    <row r="5114" spans="5:13">
      <c r="E5114" s="221"/>
      <c r="F5114" s="221"/>
      <c r="G5114" s="221"/>
      <c r="H5114" s="221"/>
      <c r="I5114" s="221"/>
      <c r="J5114" s="221"/>
      <c r="K5114" s="221"/>
      <c r="L5114" s="221"/>
      <c r="M5114" s="221"/>
    </row>
    <row r="5115" spans="5:13">
      <c r="E5115" s="221"/>
      <c r="F5115" s="221"/>
      <c r="G5115" s="221"/>
      <c r="H5115" s="221"/>
      <c r="I5115" s="221"/>
      <c r="J5115" s="221"/>
      <c r="K5115" s="221"/>
      <c r="L5115" s="221"/>
      <c r="M5115" s="221"/>
    </row>
    <row r="5116" spans="5:13">
      <c r="E5116" s="221"/>
      <c r="F5116" s="221"/>
      <c r="G5116" s="221"/>
      <c r="H5116" s="221"/>
      <c r="I5116" s="221"/>
      <c r="J5116" s="221"/>
      <c r="K5116" s="221"/>
      <c r="L5116" s="221"/>
      <c r="M5116" s="221"/>
    </row>
    <row r="5117" spans="5:13">
      <c r="E5117" s="221"/>
      <c r="F5117" s="221"/>
      <c r="G5117" s="221"/>
      <c r="H5117" s="221"/>
      <c r="I5117" s="221"/>
      <c r="J5117" s="221"/>
      <c r="K5117" s="221"/>
      <c r="L5117" s="221"/>
      <c r="M5117" s="221"/>
    </row>
    <row r="5118" spans="5:13">
      <c r="E5118" s="221"/>
      <c r="F5118" s="221"/>
      <c r="G5118" s="221"/>
      <c r="H5118" s="221"/>
      <c r="I5118" s="221"/>
      <c r="J5118" s="221"/>
      <c r="K5118" s="221"/>
      <c r="L5118" s="221"/>
      <c r="M5118" s="221"/>
    </row>
    <row r="5119" spans="5:13">
      <c r="E5119" s="221"/>
      <c r="F5119" s="221"/>
      <c r="G5119" s="221"/>
      <c r="H5119" s="221"/>
      <c r="I5119" s="221"/>
      <c r="J5119" s="221"/>
      <c r="K5119" s="221"/>
      <c r="L5119" s="221"/>
      <c r="M5119" s="221"/>
    </row>
    <row r="5120" spans="5:13">
      <c r="E5120" s="221"/>
      <c r="F5120" s="221"/>
      <c r="G5120" s="221"/>
      <c r="H5120" s="221"/>
      <c r="I5120" s="221"/>
      <c r="J5120" s="221"/>
      <c r="K5120" s="221"/>
      <c r="L5120" s="221"/>
      <c r="M5120" s="221"/>
    </row>
    <row r="5121" spans="5:13">
      <c r="E5121" s="221"/>
      <c r="F5121" s="221"/>
      <c r="G5121" s="221"/>
      <c r="H5121" s="221"/>
      <c r="I5121" s="221"/>
      <c r="J5121" s="221"/>
      <c r="K5121" s="221"/>
      <c r="L5121" s="221"/>
      <c r="M5121" s="221"/>
    </row>
    <row r="5122" spans="5:13">
      <c r="E5122" s="221"/>
      <c r="F5122" s="221"/>
      <c r="G5122" s="221"/>
      <c r="H5122" s="221"/>
      <c r="I5122" s="221"/>
      <c r="J5122" s="221"/>
      <c r="K5122" s="221"/>
      <c r="L5122" s="221"/>
      <c r="M5122" s="221"/>
    </row>
    <row r="5123" spans="5:13">
      <c r="E5123" s="221"/>
      <c r="F5123" s="221"/>
      <c r="G5123" s="221"/>
      <c r="H5123" s="221"/>
      <c r="I5123" s="221"/>
      <c r="J5123" s="221"/>
      <c r="K5123" s="221"/>
      <c r="L5123" s="221"/>
      <c r="M5123" s="221"/>
    </row>
    <row r="5124" spans="5:13">
      <c r="E5124" s="221"/>
      <c r="F5124" s="221"/>
      <c r="G5124" s="221"/>
      <c r="H5124" s="221"/>
      <c r="I5124" s="221"/>
      <c r="J5124" s="221"/>
      <c r="K5124" s="221"/>
      <c r="L5124" s="221"/>
      <c r="M5124" s="221"/>
    </row>
    <row r="5125" spans="5:13">
      <c r="E5125" s="221"/>
      <c r="F5125" s="221"/>
      <c r="G5125" s="221"/>
      <c r="H5125" s="221"/>
      <c r="I5125" s="221"/>
      <c r="J5125" s="221"/>
      <c r="K5125" s="221"/>
      <c r="L5125" s="221"/>
      <c r="M5125" s="221"/>
    </row>
    <row r="5126" spans="5:13">
      <c r="E5126" s="221"/>
      <c r="F5126" s="221"/>
      <c r="G5126" s="221"/>
      <c r="H5126" s="221"/>
      <c r="I5126" s="221"/>
      <c r="J5126" s="221"/>
      <c r="K5126" s="221"/>
      <c r="L5126" s="221"/>
      <c r="M5126" s="221"/>
    </row>
    <row r="5127" spans="5:13">
      <c r="E5127" s="221"/>
      <c r="F5127" s="221"/>
      <c r="G5127" s="221"/>
      <c r="H5127" s="221"/>
      <c r="I5127" s="221"/>
      <c r="J5127" s="221"/>
      <c r="K5127" s="221"/>
      <c r="L5127" s="221"/>
      <c r="M5127" s="221"/>
    </row>
    <row r="5128" spans="5:13">
      <c r="E5128" s="221"/>
      <c r="F5128" s="221"/>
      <c r="G5128" s="221"/>
      <c r="H5128" s="221"/>
      <c r="I5128" s="221"/>
      <c r="J5128" s="221"/>
      <c r="K5128" s="221"/>
      <c r="L5128" s="221"/>
      <c r="M5128" s="221"/>
    </row>
    <row r="5129" spans="5:13">
      <c r="E5129" s="221"/>
      <c r="F5129" s="221"/>
      <c r="G5129" s="221"/>
      <c r="H5129" s="221"/>
      <c r="I5129" s="221"/>
      <c r="J5129" s="221"/>
      <c r="K5129" s="221"/>
      <c r="L5129" s="221"/>
      <c r="M5129" s="221"/>
    </row>
    <row r="5130" spans="5:13">
      <c r="E5130" s="221"/>
      <c r="F5130" s="221"/>
      <c r="G5130" s="221"/>
      <c r="H5130" s="221"/>
      <c r="I5130" s="221"/>
      <c r="J5130" s="221"/>
      <c r="K5130" s="221"/>
      <c r="L5130" s="221"/>
      <c r="M5130" s="221"/>
    </row>
    <row r="5131" spans="5:13">
      <c r="E5131" s="221"/>
      <c r="F5131" s="221"/>
      <c r="G5131" s="221"/>
      <c r="H5131" s="221"/>
      <c r="I5131" s="221"/>
      <c r="J5131" s="221"/>
      <c r="K5131" s="221"/>
      <c r="L5131" s="221"/>
      <c r="M5131" s="221"/>
    </row>
    <row r="5132" spans="5:13">
      <c r="E5132" s="221"/>
      <c r="F5132" s="221"/>
      <c r="G5132" s="221"/>
      <c r="H5132" s="221"/>
      <c r="I5132" s="221"/>
      <c r="J5132" s="221"/>
      <c r="K5132" s="221"/>
      <c r="L5132" s="221"/>
      <c r="M5132" s="221"/>
    </row>
    <row r="5133" spans="5:13">
      <c r="E5133" s="221"/>
      <c r="F5133" s="221"/>
      <c r="G5133" s="221"/>
      <c r="H5133" s="221"/>
      <c r="I5133" s="221"/>
      <c r="J5133" s="221"/>
      <c r="K5133" s="221"/>
      <c r="L5133" s="221"/>
      <c r="M5133" s="221"/>
    </row>
    <row r="5134" spans="5:13">
      <c r="E5134" s="221"/>
      <c r="F5134" s="221"/>
      <c r="G5134" s="221"/>
      <c r="H5134" s="221"/>
      <c r="I5134" s="221"/>
      <c r="J5134" s="221"/>
      <c r="K5134" s="221"/>
      <c r="L5134" s="221"/>
      <c r="M5134" s="221"/>
    </row>
    <row r="5135" spans="5:13">
      <c r="E5135" s="221"/>
      <c r="F5135" s="221"/>
      <c r="G5135" s="221"/>
      <c r="H5135" s="221"/>
      <c r="I5135" s="221"/>
      <c r="J5135" s="221"/>
      <c r="K5135" s="221"/>
      <c r="L5135" s="221"/>
      <c r="M5135" s="221"/>
    </row>
    <row r="5136" spans="5:13">
      <c r="E5136" s="221"/>
      <c r="F5136" s="221"/>
      <c r="G5136" s="221"/>
      <c r="H5136" s="221"/>
      <c r="I5136" s="221"/>
      <c r="J5136" s="221"/>
      <c r="K5136" s="221"/>
      <c r="L5136" s="221"/>
      <c r="M5136" s="221"/>
    </row>
    <row r="5137" spans="5:13">
      <c r="E5137" s="221"/>
      <c r="F5137" s="221"/>
      <c r="G5137" s="221"/>
      <c r="H5137" s="221"/>
      <c r="I5137" s="221"/>
      <c r="J5137" s="221"/>
      <c r="K5137" s="221"/>
      <c r="L5137" s="221"/>
      <c r="M5137" s="221"/>
    </row>
    <row r="5138" spans="5:13">
      <c r="E5138" s="221"/>
      <c r="F5138" s="221"/>
      <c r="G5138" s="221"/>
      <c r="H5138" s="221"/>
      <c r="I5138" s="221"/>
      <c r="J5138" s="221"/>
      <c r="K5138" s="221"/>
      <c r="L5138" s="221"/>
      <c r="M5138" s="221"/>
    </row>
    <row r="5139" spans="5:13">
      <c r="E5139" s="221"/>
      <c r="F5139" s="221"/>
      <c r="G5139" s="221"/>
      <c r="H5139" s="221"/>
      <c r="I5139" s="221"/>
      <c r="J5139" s="221"/>
      <c r="K5139" s="221"/>
      <c r="L5139" s="221"/>
      <c r="M5139" s="221"/>
    </row>
    <row r="5140" spans="5:13">
      <c r="E5140" s="221"/>
      <c r="F5140" s="221"/>
      <c r="G5140" s="221"/>
      <c r="H5140" s="221"/>
      <c r="I5140" s="221"/>
      <c r="J5140" s="221"/>
      <c r="K5140" s="221"/>
      <c r="L5140" s="221"/>
      <c r="M5140" s="221"/>
    </row>
    <row r="5141" spans="5:13">
      <c r="E5141" s="221"/>
      <c r="F5141" s="221"/>
      <c r="G5141" s="221"/>
      <c r="H5141" s="221"/>
      <c r="I5141" s="221"/>
      <c r="J5141" s="221"/>
      <c r="K5141" s="221"/>
      <c r="L5141" s="221"/>
      <c r="M5141" s="221"/>
    </row>
    <row r="5142" spans="5:13">
      <c r="E5142" s="221"/>
      <c r="F5142" s="221"/>
      <c r="G5142" s="221"/>
      <c r="H5142" s="221"/>
      <c r="I5142" s="221"/>
      <c r="J5142" s="221"/>
      <c r="K5142" s="221"/>
      <c r="L5142" s="221"/>
      <c r="M5142" s="221"/>
    </row>
    <row r="5143" spans="5:13">
      <c r="E5143" s="221"/>
      <c r="F5143" s="221"/>
      <c r="G5143" s="221"/>
      <c r="H5143" s="221"/>
      <c r="I5143" s="221"/>
      <c r="J5143" s="221"/>
      <c r="K5143" s="221"/>
      <c r="L5143" s="221"/>
      <c r="M5143" s="221"/>
    </row>
    <row r="5144" spans="5:13">
      <c r="E5144" s="221"/>
      <c r="F5144" s="221"/>
      <c r="G5144" s="221"/>
      <c r="H5144" s="221"/>
      <c r="I5144" s="221"/>
      <c r="J5144" s="221"/>
      <c r="K5144" s="221"/>
      <c r="L5144" s="221"/>
      <c r="M5144" s="221"/>
    </row>
    <row r="5145" spans="5:13">
      <c r="E5145" s="221"/>
      <c r="F5145" s="221"/>
      <c r="G5145" s="221"/>
      <c r="H5145" s="221"/>
      <c r="I5145" s="221"/>
      <c r="J5145" s="221"/>
      <c r="K5145" s="221"/>
      <c r="L5145" s="221"/>
      <c r="M5145" s="221"/>
    </row>
    <row r="5146" spans="5:13">
      <c r="E5146" s="221"/>
      <c r="F5146" s="221"/>
      <c r="G5146" s="221"/>
      <c r="H5146" s="221"/>
      <c r="I5146" s="221"/>
      <c r="J5146" s="221"/>
      <c r="K5146" s="221"/>
      <c r="L5146" s="221"/>
      <c r="M5146" s="221"/>
    </row>
    <row r="5147" spans="5:13">
      <c r="E5147" s="221"/>
      <c r="F5147" s="221"/>
      <c r="G5147" s="221"/>
      <c r="H5147" s="221"/>
      <c r="I5147" s="221"/>
      <c r="J5147" s="221"/>
      <c r="K5147" s="221"/>
      <c r="L5147" s="221"/>
      <c r="M5147" s="221"/>
    </row>
    <row r="5148" spans="5:13">
      <c r="E5148" s="221"/>
      <c r="F5148" s="221"/>
      <c r="G5148" s="221"/>
      <c r="H5148" s="221"/>
      <c r="I5148" s="221"/>
      <c r="J5148" s="221"/>
      <c r="K5148" s="221"/>
      <c r="L5148" s="221"/>
      <c r="M5148" s="221"/>
    </row>
    <row r="5149" spans="5:13">
      <c r="E5149" s="221"/>
      <c r="F5149" s="221"/>
      <c r="G5149" s="221"/>
      <c r="H5149" s="221"/>
      <c r="I5149" s="221"/>
      <c r="J5149" s="221"/>
      <c r="K5149" s="221"/>
      <c r="L5149" s="221"/>
      <c r="M5149" s="221"/>
    </row>
    <row r="5150" spans="5:13">
      <c r="E5150" s="221"/>
      <c r="F5150" s="221"/>
      <c r="G5150" s="221"/>
      <c r="H5150" s="221"/>
      <c r="I5150" s="221"/>
      <c r="J5150" s="221"/>
      <c r="K5150" s="221"/>
      <c r="L5150" s="221"/>
      <c r="M5150" s="221"/>
    </row>
    <row r="5151" spans="5:13">
      <c r="E5151" s="221"/>
      <c r="F5151" s="221"/>
      <c r="G5151" s="221"/>
      <c r="H5151" s="221"/>
      <c r="I5151" s="221"/>
      <c r="J5151" s="221"/>
      <c r="K5151" s="221"/>
      <c r="L5151" s="221"/>
      <c r="M5151" s="221"/>
    </row>
    <row r="5152" spans="5:13">
      <c r="E5152" s="221"/>
      <c r="F5152" s="221"/>
      <c r="G5152" s="221"/>
      <c r="H5152" s="221"/>
      <c r="I5152" s="221"/>
      <c r="J5152" s="221"/>
      <c r="K5152" s="221"/>
      <c r="L5152" s="221"/>
      <c r="M5152" s="221"/>
    </row>
    <row r="5153" spans="5:13">
      <c r="E5153" s="221"/>
      <c r="F5153" s="221"/>
      <c r="G5153" s="221"/>
      <c r="H5153" s="221"/>
      <c r="I5153" s="221"/>
      <c r="J5153" s="221"/>
      <c r="K5153" s="221"/>
      <c r="L5153" s="221"/>
      <c r="M5153" s="221"/>
    </row>
    <row r="5154" spans="5:13">
      <c r="E5154" s="221"/>
      <c r="F5154" s="221"/>
      <c r="G5154" s="221"/>
      <c r="H5154" s="221"/>
      <c r="I5154" s="221"/>
      <c r="J5154" s="221"/>
      <c r="K5154" s="221"/>
      <c r="L5154" s="221"/>
      <c r="M5154" s="221"/>
    </row>
    <row r="5155" spans="5:13">
      <c r="E5155" s="221"/>
      <c r="F5155" s="221"/>
      <c r="G5155" s="221"/>
      <c r="H5155" s="221"/>
      <c r="I5155" s="221"/>
      <c r="J5155" s="221"/>
      <c r="K5155" s="221"/>
      <c r="L5155" s="221"/>
      <c r="M5155" s="221"/>
    </row>
    <row r="5156" spans="5:13">
      <c r="E5156" s="221"/>
      <c r="F5156" s="221"/>
      <c r="G5156" s="221"/>
      <c r="H5156" s="221"/>
      <c r="I5156" s="221"/>
      <c r="J5156" s="221"/>
      <c r="K5156" s="221"/>
      <c r="L5156" s="221"/>
      <c r="M5156" s="221"/>
    </row>
    <row r="5157" spans="5:13">
      <c r="E5157" s="221"/>
      <c r="F5157" s="221"/>
      <c r="G5157" s="221"/>
      <c r="H5157" s="221"/>
      <c r="I5157" s="221"/>
      <c r="J5157" s="221"/>
      <c r="K5157" s="221"/>
      <c r="L5157" s="221"/>
      <c r="M5157" s="221"/>
    </row>
    <row r="5158" spans="5:13">
      <c r="E5158" s="221"/>
      <c r="F5158" s="221"/>
      <c r="G5158" s="221"/>
      <c r="H5158" s="221"/>
      <c r="I5158" s="221"/>
      <c r="J5158" s="221"/>
      <c r="K5158" s="221"/>
      <c r="L5158" s="221"/>
      <c r="M5158" s="221"/>
    </row>
    <row r="5159" spans="5:13">
      <c r="E5159" s="221"/>
      <c r="F5159" s="221"/>
      <c r="G5159" s="221"/>
      <c r="H5159" s="221"/>
      <c r="I5159" s="221"/>
      <c r="J5159" s="221"/>
      <c r="K5159" s="221"/>
      <c r="L5159" s="221"/>
      <c r="M5159" s="221"/>
    </row>
    <row r="5160" spans="5:13">
      <c r="E5160" s="221"/>
      <c r="F5160" s="221"/>
      <c r="G5160" s="221"/>
      <c r="H5160" s="221"/>
      <c r="I5160" s="221"/>
      <c r="J5160" s="221"/>
      <c r="K5160" s="221"/>
      <c r="L5160" s="221"/>
      <c r="M5160" s="221"/>
    </row>
    <row r="5161" spans="5:13">
      <c r="E5161" s="221"/>
      <c r="F5161" s="221"/>
      <c r="G5161" s="221"/>
      <c r="H5161" s="221"/>
      <c r="I5161" s="221"/>
      <c r="J5161" s="221"/>
      <c r="K5161" s="221"/>
      <c r="L5161" s="221"/>
      <c r="M5161" s="221"/>
    </row>
    <row r="5162" spans="5:13">
      <c r="E5162" s="221"/>
      <c r="F5162" s="221"/>
      <c r="G5162" s="221"/>
      <c r="H5162" s="221"/>
      <c r="I5162" s="221"/>
      <c r="J5162" s="221"/>
      <c r="K5162" s="221"/>
      <c r="L5162" s="221"/>
      <c r="M5162" s="221"/>
    </row>
    <row r="5163" spans="5:13">
      <c r="E5163" s="221"/>
      <c r="F5163" s="221"/>
      <c r="G5163" s="221"/>
      <c r="H5163" s="221"/>
      <c r="I5163" s="221"/>
      <c r="J5163" s="221"/>
      <c r="K5163" s="221"/>
      <c r="L5163" s="221"/>
      <c r="M5163" s="221"/>
    </row>
    <row r="5164" spans="5:13">
      <c r="E5164" s="221"/>
      <c r="F5164" s="221"/>
      <c r="G5164" s="221"/>
      <c r="H5164" s="221"/>
      <c r="I5164" s="221"/>
      <c r="J5164" s="221"/>
      <c r="K5164" s="221"/>
      <c r="L5164" s="221"/>
      <c r="M5164" s="221"/>
    </row>
    <row r="5165" spans="5:13">
      <c r="E5165" s="221"/>
      <c r="F5165" s="221"/>
      <c r="G5165" s="221"/>
      <c r="H5165" s="221"/>
      <c r="I5165" s="221"/>
      <c r="J5165" s="221"/>
      <c r="K5165" s="221"/>
      <c r="L5165" s="221"/>
      <c r="M5165" s="221"/>
    </row>
    <row r="5166" spans="5:13">
      <c r="E5166" s="221"/>
      <c r="F5166" s="221"/>
      <c r="G5166" s="221"/>
      <c r="H5166" s="221"/>
      <c r="I5166" s="221"/>
      <c r="J5166" s="221"/>
      <c r="K5166" s="221"/>
      <c r="L5166" s="221"/>
      <c r="M5166" s="221"/>
    </row>
    <row r="5167" spans="5:13">
      <c r="E5167" s="221"/>
      <c r="F5167" s="221"/>
      <c r="G5167" s="221"/>
      <c r="H5167" s="221"/>
      <c r="I5167" s="221"/>
      <c r="J5167" s="221"/>
      <c r="K5167" s="221"/>
      <c r="L5167" s="221"/>
      <c r="M5167" s="221"/>
    </row>
    <row r="5168" spans="5:13">
      <c r="E5168" s="221"/>
      <c r="F5168" s="221"/>
      <c r="G5168" s="221"/>
      <c r="H5168" s="221"/>
      <c r="I5168" s="221"/>
      <c r="J5168" s="221"/>
      <c r="K5168" s="221"/>
      <c r="L5168" s="221"/>
      <c r="M5168" s="221"/>
    </row>
    <row r="5169" spans="5:13">
      <c r="E5169" s="221"/>
      <c r="F5169" s="221"/>
      <c r="G5169" s="221"/>
      <c r="H5169" s="221"/>
      <c r="I5169" s="221"/>
      <c r="J5169" s="221"/>
      <c r="K5169" s="221"/>
      <c r="L5169" s="221"/>
      <c r="M5169" s="221"/>
    </row>
    <row r="5170" spans="5:13">
      <c r="E5170" s="221"/>
      <c r="F5170" s="221"/>
      <c r="G5170" s="221"/>
      <c r="H5170" s="221"/>
      <c r="I5170" s="221"/>
      <c r="J5170" s="221"/>
      <c r="K5170" s="221"/>
      <c r="L5170" s="221"/>
      <c r="M5170" s="221"/>
    </row>
    <row r="5171" spans="5:13">
      <c r="E5171" s="221"/>
      <c r="F5171" s="221"/>
      <c r="G5171" s="221"/>
      <c r="H5171" s="221"/>
      <c r="I5171" s="221"/>
      <c r="J5171" s="221"/>
      <c r="K5171" s="221"/>
      <c r="L5171" s="221"/>
      <c r="M5171" s="221"/>
    </row>
    <row r="5172" spans="5:13">
      <c r="E5172" s="221"/>
      <c r="F5172" s="221"/>
      <c r="G5172" s="221"/>
      <c r="H5172" s="221"/>
      <c r="I5172" s="221"/>
      <c r="J5172" s="221"/>
      <c r="K5172" s="221"/>
      <c r="L5172" s="221"/>
      <c r="M5172" s="221"/>
    </row>
    <row r="5173" spans="5:13">
      <c r="E5173" s="221"/>
      <c r="F5173" s="221"/>
      <c r="G5173" s="221"/>
      <c r="H5173" s="221"/>
      <c r="I5173" s="221"/>
      <c r="J5173" s="221"/>
      <c r="K5173" s="221"/>
      <c r="L5173" s="221"/>
      <c r="M5173" s="221"/>
    </row>
    <row r="5174" spans="5:13">
      <c r="E5174" s="221"/>
      <c r="F5174" s="221"/>
      <c r="G5174" s="221"/>
      <c r="H5174" s="221"/>
      <c r="I5174" s="221"/>
      <c r="J5174" s="221"/>
      <c r="K5174" s="221"/>
      <c r="L5174" s="221"/>
      <c r="M5174" s="221"/>
    </row>
    <row r="5175" spans="5:13">
      <c r="E5175" s="221"/>
      <c r="F5175" s="221"/>
      <c r="G5175" s="221"/>
      <c r="H5175" s="221"/>
      <c r="I5175" s="221"/>
      <c r="J5175" s="221"/>
      <c r="K5175" s="221"/>
      <c r="L5175" s="221"/>
      <c r="M5175" s="221"/>
    </row>
    <row r="5176" spans="5:13">
      <c r="E5176" s="221"/>
      <c r="F5176" s="221"/>
      <c r="G5176" s="221"/>
      <c r="H5176" s="221"/>
      <c r="I5176" s="221"/>
      <c r="J5176" s="221"/>
      <c r="K5176" s="221"/>
      <c r="L5176" s="221"/>
      <c r="M5176" s="221"/>
    </row>
    <row r="5177" spans="5:13">
      <c r="E5177" s="221"/>
      <c r="F5177" s="221"/>
      <c r="G5177" s="221"/>
      <c r="H5177" s="221"/>
      <c r="I5177" s="221"/>
      <c r="J5177" s="221"/>
      <c r="K5177" s="221"/>
      <c r="L5177" s="221"/>
      <c r="M5177" s="221"/>
    </row>
    <row r="5178" spans="5:13">
      <c r="E5178" s="221"/>
      <c r="F5178" s="221"/>
      <c r="G5178" s="221"/>
      <c r="H5178" s="221"/>
      <c r="I5178" s="221"/>
      <c r="J5178" s="221"/>
      <c r="K5178" s="221"/>
      <c r="L5178" s="221"/>
      <c r="M5178" s="221"/>
    </row>
    <row r="5179" spans="5:13">
      <c r="E5179" s="221"/>
      <c r="F5179" s="221"/>
      <c r="G5179" s="221"/>
      <c r="H5179" s="221"/>
      <c r="I5179" s="221"/>
      <c r="J5179" s="221"/>
      <c r="K5179" s="221"/>
      <c r="L5179" s="221"/>
      <c r="M5179" s="221"/>
    </row>
    <row r="5180" spans="5:13">
      <c r="E5180" s="221"/>
      <c r="F5180" s="221"/>
      <c r="G5180" s="221"/>
      <c r="H5180" s="221"/>
      <c r="I5180" s="221"/>
      <c r="J5180" s="221"/>
      <c r="K5180" s="221"/>
      <c r="L5180" s="221"/>
      <c r="M5180" s="221"/>
    </row>
    <row r="5181" spans="5:13">
      <c r="E5181" s="221"/>
      <c r="F5181" s="221"/>
      <c r="G5181" s="221"/>
      <c r="H5181" s="221"/>
      <c r="I5181" s="221"/>
      <c r="J5181" s="221"/>
      <c r="K5181" s="221"/>
      <c r="L5181" s="221"/>
      <c r="M5181" s="221"/>
    </row>
    <row r="5182" spans="5:13">
      <c r="E5182" s="221"/>
      <c r="F5182" s="221"/>
      <c r="G5182" s="221"/>
      <c r="H5182" s="221"/>
      <c r="I5182" s="221"/>
      <c r="J5182" s="221"/>
      <c r="K5182" s="221"/>
      <c r="L5182" s="221"/>
      <c r="M5182" s="221"/>
    </row>
    <row r="5183" spans="5:13">
      <c r="E5183" s="221"/>
      <c r="F5183" s="221"/>
      <c r="G5183" s="221"/>
      <c r="H5183" s="221"/>
      <c r="I5183" s="221"/>
      <c r="J5183" s="221"/>
      <c r="K5183" s="221"/>
      <c r="L5183" s="221"/>
      <c r="M5183" s="221"/>
    </row>
    <row r="5184" spans="5:13">
      <c r="E5184" s="221"/>
      <c r="F5184" s="221"/>
      <c r="G5184" s="221"/>
      <c r="H5184" s="221"/>
      <c r="I5184" s="221"/>
      <c r="J5184" s="221"/>
      <c r="K5184" s="221"/>
      <c r="L5184" s="221"/>
      <c r="M5184" s="221"/>
    </row>
    <row r="5185" spans="5:13">
      <c r="E5185" s="221"/>
      <c r="F5185" s="221"/>
      <c r="G5185" s="221"/>
      <c r="H5185" s="221"/>
      <c r="I5185" s="221"/>
      <c r="J5185" s="221"/>
      <c r="K5185" s="221"/>
      <c r="L5185" s="221"/>
      <c r="M5185" s="221"/>
    </row>
    <row r="5186" spans="5:13">
      <c r="E5186" s="221"/>
      <c r="F5186" s="221"/>
      <c r="G5186" s="221"/>
      <c r="H5186" s="221"/>
      <c r="I5186" s="221"/>
      <c r="J5186" s="221"/>
      <c r="K5186" s="221"/>
      <c r="L5186" s="221"/>
      <c r="M5186" s="221"/>
    </row>
    <row r="5187" spans="5:13">
      <c r="E5187" s="221"/>
      <c r="F5187" s="221"/>
      <c r="G5187" s="221"/>
      <c r="H5187" s="221"/>
      <c r="I5187" s="221"/>
      <c r="J5187" s="221"/>
      <c r="K5187" s="221"/>
      <c r="L5187" s="221"/>
      <c r="M5187" s="221"/>
    </row>
    <row r="5188" spans="5:13">
      <c r="E5188" s="221"/>
      <c r="F5188" s="221"/>
      <c r="G5188" s="221"/>
      <c r="H5188" s="221"/>
      <c r="I5188" s="221"/>
      <c r="J5188" s="221"/>
      <c r="K5188" s="221"/>
      <c r="L5188" s="221"/>
      <c r="M5188" s="221"/>
    </row>
    <row r="5189" spans="5:13">
      <c r="E5189" s="221"/>
      <c r="F5189" s="221"/>
      <c r="G5189" s="221"/>
      <c r="H5189" s="221"/>
      <c r="I5189" s="221"/>
      <c r="J5189" s="221"/>
      <c r="K5189" s="221"/>
      <c r="L5189" s="221"/>
      <c r="M5189" s="221"/>
    </row>
    <row r="5190" spans="5:13">
      <c r="E5190" s="221"/>
      <c r="F5190" s="221"/>
      <c r="G5190" s="221"/>
      <c r="H5190" s="221"/>
      <c r="I5190" s="221"/>
      <c r="J5190" s="221"/>
      <c r="K5190" s="221"/>
      <c r="L5190" s="221"/>
      <c r="M5190" s="221"/>
    </row>
    <row r="5191" spans="5:13">
      <c r="E5191" s="221"/>
      <c r="F5191" s="221"/>
      <c r="G5191" s="221"/>
      <c r="H5191" s="221"/>
      <c r="I5191" s="221"/>
      <c r="J5191" s="221"/>
      <c r="K5191" s="221"/>
      <c r="L5191" s="221"/>
      <c r="M5191" s="221"/>
    </row>
    <row r="5192" spans="5:13">
      <c r="E5192" s="221"/>
      <c r="F5192" s="221"/>
      <c r="G5192" s="221"/>
      <c r="H5192" s="221"/>
      <c r="I5192" s="221"/>
      <c r="J5192" s="221"/>
      <c r="K5192" s="221"/>
      <c r="L5192" s="221"/>
      <c r="M5192" s="221"/>
    </row>
    <row r="5193" spans="5:13">
      <c r="E5193" s="221"/>
      <c r="F5193" s="221"/>
      <c r="G5193" s="221"/>
      <c r="H5193" s="221"/>
      <c r="I5193" s="221"/>
      <c r="J5193" s="221"/>
      <c r="K5193" s="221"/>
      <c r="L5193" s="221"/>
      <c r="M5193" s="221"/>
    </row>
    <row r="5194" spans="5:13">
      <c r="E5194" s="221"/>
      <c r="F5194" s="221"/>
      <c r="G5194" s="221"/>
      <c r="H5194" s="221"/>
      <c r="I5194" s="221"/>
      <c r="J5194" s="221"/>
      <c r="K5194" s="221"/>
      <c r="L5194" s="221"/>
      <c r="M5194" s="221"/>
    </row>
    <row r="5195" spans="5:13">
      <c r="E5195" s="221"/>
      <c r="F5195" s="221"/>
      <c r="G5195" s="221"/>
      <c r="H5195" s="221"/>
      <c r="I5195" s="221"/>
      <c r="J5195" s="221"/>
      <c r="K5195" s="221"/>
      <c r="L5195" s="221"/>
      <c r="M5195" s="221"/>
    </row>
    <row r="5196" spans="5:13">
      <c r="E5196" s="221"/>
      <c r="F5196" s="221"/>
      <c r="G5196" s="221"/>
      <c r="H5196" s="221"/>
      <c r="I5196" s="221"/>
      <c r="J5196" s="221"/>
      <c r="K5196" s="221"/>
      <c r="L5196" s="221"/>
      <c r="M5196" s="221"/>
    </row>
    <row r="5197" spans="5:13">
      <c r="E5197" s="221"/>
      <c r="F5197" s="221"/>
      <c r="G5197" s="221"/>
      <c r="H5197" s="221"/>
      <c r="I5197" s="221"/>
      <c r="J5197" s="221"/>
      <c r="K5197" s="221"/>
      <c r="L5197" s="221"/>
      <c r="M5197" s="221"/>
    </row>
    <row r="5198" spans="5:13">
      <c r="E5198" s="221"/>
      <c r="F5198" s="221"/>
      <c r="G5198" s="221"/>
      <c r="H5198" s="221"/>
      <c r="I5198" s="221"/>
      <c r="J5198" s="221"/>
      <c r="K5198" s="221"/>
      <c r="L5198" s="221"/>
      <c r="M5198" s="221"/>
    </row>
    <row r="5199" spans="5:13">
      <c r="E5199" s="221"/>
      <c r="F5199" s="221"/>
      <c r="G5199" s="221"/>
      <c r="H5199" s="221"/>
      <c r="I5199" s="221"/>
      <c r="J5199" s="221"/>
      <c r="K5199" s="221"/>
      <c r="L5199" s="221"/>
      <c r="M5199" s="221"/>
    </row>
    <row r="5200" spans="5:13">
      <c r="E5200" s="221"/>
      <c r="F5200" s="221"/>
      <c r="G5200" s="221"/>
      <c r="H5200" s="221"/>
      <c r="I5200" s="221"/>
      <c r="J5200" s="221"/>
      <c r="K5200" s="221"/>
      <c r="L5200" s="221"/>
      <c r="M5200" s="221"/>
    </row>
    <row r="5201" spans="5:13">
      <c r="E5201" s="221"/>
      <c r="F5201" s="221"/>
      <c r="G5201" s="221"/>
      <c r="H5201" s="221"/>
      <c r="I5201" s="221"/>
      <c r="J5201" s="221"/>
      <c r="K5201" s="221"/>
      <c r="L5201" s="221"/>
      <c r="M5201" s="221"/>
    </row>
    <row r="5202" spans="5:13">
      <c r="E5202" s="221"/>
      <c r="F5202" s="221"/>
      <c r="G5202" s="221"/>
      <c r="H5202" s="221"/>
      <c r="I5202" s="221"/>
      <c r="J5202" s="221"/>
      <c r="K5202" s="221"/>
      <c r="L5202" s="221"/>
      <c r="M5202" s="221"/>
    </row>
    <row r="5203" spans="5:13">
      <c r="E5203" s="221"/>
      <c r="F5203" s="221"/>
      <c r="G5203" s="221"/>
      <c r="H5203" s="221"/>
      <c r="I5203" s="221"/>
      <c r="J5203" s="221"/>
      <c r="K5203" s="221"/>
      <c r="L5203" s="221"/>
      <c r="M5203" s="221"/>
    </row>
    <row r="5204" spans="5:13">
      <c r="E5204" s="221"/>
      <c r="F5204" s="221"/>
      <c r="G5204" s="221"/>
      <c r="H5204" s="221"/>
      <c r="I5204" s="221"/>
      <c r="J5204" s="221"/>
      <c r="K5204" s="221"/>
      <c r="L5204" s="221"/>
      <c r="M5204" s="221"/>
    </row>
    <row r="5205" spans="5:13">
      <c r="E5205" s="221"/>
      <c r="F5205" s="221"/>
      <c r="G5205" s="221"/>
      <c r="H5205" s="221"/>
      <c r="I5205" s="221"/>
      <c r="J5205" s="221"/>
      <c r="K5205" s="221"/>
      <c r="L5205" s="221"/>
      <c r="M5205" s="221"/>
    </row>
    <row r="5206" spans="5:13">
      <c r="E5206" s="221"/>
      <c r="F5206" s="221"/>
      <c r="G5206" s="221"/>
      <c r="H5206" s="221"/>
      <c r="I5206" s="221"/>
      <c r="J5206" s="221"/>
      <c r="K5206" s="221"/>
      <c r="L5206" s="221"/>
      <c r="M5206" s="221"/>
    </row>
    <row r="5207" spans="5:13">
      <c r="E5207" s="221"/>
      <c r="F5207" s="221"/>
      <c r="G5207" s="221"/>
      <c r="H5207" s="221"/>
      <c r="I5207" s="221"/>
      <c r="J5207" s="221"/>
      <c r="K5207" s="221"/>
      <c r="L5207" s="221"/>
      <c r="M5207" s="221"/>
    </row>
    <row r="5208" spans="5:13">
      <c r="E5208" s="221"/>
      <c r="F5208" s="221"/>
      <c r="G5208" s="221"/>
      <c r="H5208" s="221"/>
      <c r="I5208" s="221"/>
      <c r="J5208" s="221"/>
      <c r="K5208" s="221"/>
      <c r="L5208" s="221"/>
      <c r="M5208" s="221"/>
    </row>
    <row r="5209" spans="5:13">
      <c r="E5209" s="221"/>
      <c r="F5209" s="221"/>
      <c r="G5209" s="221"/>
      <c r="H5209" s="221"/>
      <c r="I5209" s="221"/>
      <c r="J5209" s="221"/>
      <c r="K5209" s="221"/>
      <c r="L5209" s="221"/>
      <c r="M5209" s="221"/>
    </row>
    <row r="5210" spans="5:13">
      <c r="E5210" s="221"/>
      <c r="F5210" s="221"/>
      <c r="G5210" s="221"/>
      <c r="H5210" s="221"/>
      <c r="I5210" s="221"/>
      <c r="J5210" s="221"/>
      <c r="K5210" s="221"/>
      <c r="L5210" s="221"/>
      <c r="M5210" s="221"/>
    </row>
    <row r="5211" spans="5:13">
      <c r="E5211" s="221"/>
      <c r="F5211" s="221"/>
      <c r="G5211" s="221"/>
      <c r="H5211" s="221"/>
      <c r="I5211" s="221"/>
      <c r="J5211" s="221"/>
      <c r="K5211" s="221"/>
      <c r="L5211" s="221"/>
      <c r="M5211" s="221"/>
    </row>
    <row r="5212" spans="5:13">
      <c r="E5212" s="221"/>
      <c r="F5212" s="221"/>
      <c r="G5212" s="221"/>
      <c r="H5212" s="221"/>
      <c r="I5212" s="221"/>
      <c r="J5212" s="221"/>
      <c r="K5212" s="221"/>
      <c r="L5212" s="221"/>
      <c r="M5212" s="221"/>
    </row>
    <row r="5213" spans="5:13">
      <c r="E5213" s="221"/>
      <c r="F5213" s="221"/>
      <c r="G5213" s="221"/>
      <c r="H5213" s="221"/>
      <c r="I5213" s="221"/>
      <c r="J5213" s="221"/>
      <c r="K5213" s="221"/>
      <c r="L5213" s="221"/>
      <c r="M5213" s="221"/>
    </row>
    <row r="5214" spans="5:13">
      <c r="E5214" s="221"/>
      <c r="F5214" s="221"/>
      <c r="G5214" s="221"/>
      <c r="H5214" s="221"/>
      <c r="I5214" s="221"/>
      <c r="J5214" s="221"/>
      <c r="K5214" s="221"/>
      <c r="L5214" s="221"/>
      <c r="M5214" s="221"/>
    </row>
    <row r="5215" spans="5:13">
      <c r="E5215" s="221"/>
      <c r="F5215" s="221"/>
      <c r="G5215" s="221"/>
      <c r="H5215" s="221"/>
      <c r="I5215" s="221"/>
      <c r="J5215" s="221"/>
      <c r="K5215" s="221"/>
      <c r="L5215" s="221"/>
      <c r="M5215" s="221"/>
    </row>
    <row r="5216" spans="5:13">
      <c r="E5216" s="221"/>
      <c r="F5216" s="221"/>
      <c r="G5216" s="221"/>
      <c r="H5216" s="221"/>
      <c r="I5216" s="221"/>
      <c r="J5216" s="221"/>
      <c r="K5216" s="221"/>
      <c r="L5216" s="221"/>
      <c r="M5216" s="221"/>
    </row>
    <row r="5217" spans="5:13">
      <c r="E5217" s="221"/>
      <c r="F5217" s="221"/>
      <c r="G5217" s="221"/>
      <c r="H5217" s="221"/>
      <c r="I5217" s="221"/>
      <c r="J5217" s="221"/>
      <c r="K5217" s="221"/>
      <c r="L5217" s="221"/>
      <c r="M5217" s="221"/>
    </row>
    <row r="5218" spans="5:13">
      <c r="E5218" s="221"/>
      <c r="F5218" s="221"/>
      <c r="G5218" s="221"/>
      <c r="H5218" s="221"/>
      <c r="I5218" s="221"/>
      <c r="J5218" s="221"/>
      <c r="K5218" s="221"/>
      <c r="L5218" s="221"/>
      <c r="M5218" s="221"/>
    </row>
    <row r="5219" spans="5:13">
      <c r="E5219" s="221"/>
      <c r="F5219" s="221"/>
      <c r="G5219" s="221"/>
      <c r="H5219" s="221"/>
      <c r="I5219" s="221"/>
      <c r="J5219" s="221"/>
      <c r="K5219" s="221"/>
      <c r="L5219" s="221"/>
      <c r="M5219" s="221"/>
    </row>
    <row r="5220" spans="5:13">
      <c r="E5220" s="221"/>
      <c r="F5220" s="221"/>
      <c r="G5220" s="221"/>
      <c r="H5220" s="221"/>
      <c r="I5220" s="221"/>
      <c r="J5220" s="221"/>
      <c r="K5220" s="221"/>
      <c r="L5220" s="221"/>
      <c r="M5220" s="221"/>
    </row>
    <row r="5221" spans="5:13">
      <c r="E5221" s="221"/>
      <c r="F5221" s="221"/>
      <c r="G5221" s="221"/>
      <c r="H5221" s="221"/>
      <c r="I5221" s="221"/>
      <c r="J5221" s="221"/>
      <c r="K5221" s="221"/>
      <c r="L5221" s="221"/>
      <c r="M5221" s="221"/>
    </row>
    <row r="5222" spans="5:13">
      <c r="E5222" s="221"/>
      <c r="F5222" s="221"/>
      <c r="G5222" s="221"/>
      <c r="H5222" s="221"/>
      <c r="I5222" s="221"/>
      <c r="J5222" s="221"/>
      <c r="K5222" s="221"/>
      <c r="L5222" s="221"/>
      <c r="M5222" s="221"/>
    </row>
    <row r="5223" spans="5:13">
      <c r="E5223" s="221"/>
      <c r="F5223" s="221"/>
      <c r="G5223" s="221"/>
      <c r="H5223" s="221"/>
      <c r="I5223" s="221"/>
      <c r="J5223" s="221"/>
      <c r="K5223" s="221"/>
      <c r="L5223" s="221"/>
      <c r="M5223" s="221"/>
    </row>
    <row r="5224" spans="5:13">
      <c r="E5224" s="221"/>
      <c r="F5224" s="221"/>
      <c r="G5224" s="221"/>
      <c r="H5224" s="221"/>
      <c r="I5224" s="221"/>
      <c r="J5224" s="221"/>
      <c r="K5224" s="221"/>
      <c r="L5224" s="221"/>
      <c r="M5224" s="221"/>
    </row>
    <row r="5225" spans="5:13">
      <c r="E5225" s="221"/>
      <c r="F5225" s="221"/>
      <c r="G5225" s="221"/>
      <c r="H5225" s="221"/>
      <c r="I5225" s="221"/>
      <c r="J5225" s="221"/>
      <c r="K5225" s="221"/>
      <c r="L5225" s="221"/>
      <c r="M5225" s="221"/>
    </row>
    <row r="5226" spans="5:13">
      <c r="E5226" s="221"/>
      <c r="F5226" s="221"/>
      <c r="G5226" s="221"/>
      <c r="H5226" s="221"/>
      <c r="I5226" s="221"/>
      <c r="J5226" s="221"/>
      <c r="K5226" s="221"/>
      <c r="L5226" s="221"/>
      <c r="M5226" s="221"/>
    </row>
    <row r="5227" spans="5:13">
      <c r="E5227" s="221"/>
      <c r="F5227" s="221"/>
      <c r="G5227" s="221"/>
      <c r="H5227" s="221"/>
      <c r="I5227" s="221"/>
      <c r="J5227" s="221"/>
      <c r="K5227" s="221"/>
      <c r="L5227" s="221"/>
      <c r="M5227" s="221"/>
    </row>
    <row r="5228" spans="5:13">
      <c r="E5228" s="221"/>
      <c r="F5228" s="221"/>
      <c r="G5228" s="221"/>
      <c r="H5228" s="221"/>
      <c r="I5228" s="221"/>
      <c r="J5228" s="221"/>
      <c r="K5228" s="221"/>
      <c r="L5228" s="221"/>
      <c r="M5228" s="221"/>
    </row>
    <row r="5229" spans="5:13">
      <c r="E5229" s="221"/>
      <c r="F5229" s="221"/>
      <c r="G5229" s="221"/>
      <c r="H5229" s="221"/>
      <c r="I5229" s="221"/>
      <c r="J5229" s="221"/>
      <c r="K5229" s="221"/>
      <c r="L5229" s="221"/>
      <c r="M5229" s="221"/>
    </row>
    <row r="5230" spans="5:13">
      <c r="E5230" s="221"/>
      <c r="F5230" s="221"/>
      <c r="G5230" s="221"/>
      <c r="H5230" s="221"/>
      <c r="I5230" s="221"/>
      <c r="J5230" s="221"/>
      <c r="K5230" s="221"/>
      <c r="L5230" s="221"/>
      <c r="M5230" s="221"/>
    </row>
    <row r="5231" spans="5:13">
      <c r="E5231" s="221"/>
      <c r="F5231" s="221"/>
      <c r="G5231" s="221"/>
      <c r="H5231" s="221"/>
      <c r="I5231" s="221"/>
      <c r="J5231" s="221"/>
      <c r="K5231" s="221"/>
      <c r="L5231" s="221"/>
      <c r="M5231" s="221"/>
    </row>
    <row r="5232" spans="5:13">
      <c r="E5232" s="221"/>
      <c r="F5232" s="221"/>
      <c r="G5232" s="221"/>
      <c r="H5232" s="221"/>
      <c r="I5232" s="221"/>
      <c r="J5232" s="221"/>
      <c r="K5232" s="221"/>
      <c r="L5232" s="221"/>
      <c r="M5232" s="221"/>
    </row>
    <row r="5233" spans="5:13">
      <c r="E5233" s="221"/>
      <c r="F5233" s="221"/>
      <c r="G5233" s="221"/>
      <c r="H5233" s="221"/>
      <c r="I5233" s="221"/>
      <c r="J5233" s="221"/>
      <c r="K5233" s="221"/>
      <c r="L5233" s="221"/>
      <c r="M5233" s="221"/>
    </row>
    <row r="5234" spans="5:13">
      <c r="E5234" s="221"/>
      <c r="F5234" s="221"/>
      <c r="G5234" s="221"/>
      <c r="H5234" s="221"/>
      <c r="I5234" s="221"/>
      <c r="J5234" s="221"/>
      <c r="K5234" s="221"/>
      <c r="L5234" s="221"/>
      <c r="M5234" s="221"/>
    </row>
    <row r="5235" spans="5:13">
      <c r="E5235" s="221"/>
      <c r="F5235" s="221"/>
      <c r="G5235" s="221"/>
      <c r="H5235" s="221"/>
      <c r="I5235" s="221"/>
      <c r="J5235" s="221"/>
      <c r="K5235" s="221"/>
      <c r="L5235" s="221"/>
      <c r="M5235" s="221"/>
    </row>
    <row r="5236" spans="5:13">
      <c r="E5236" s="221"/>
      <c r="F5236" s="221"/>
      <c r="G5236" s="221"/>
      <c r="H5236" s="221"/>
      <c r="I5236" s="221"/>
      <c r="J5236" s="221"/>
      <c r="K5236" s="221"/>
      <c r="L5236" s="221"/>
      <c r="M5236" s="221"/>
    </row>
    <row r="5237" spans="5:13">
      <c r="E5237" s="221"/>
      <c r="F5237" s="221"/>
      <c r="G5237" s="221"/>
      <c r="H5237" s="221"/>
      <c r="I5237" s="221"/>
      <c r="J5237" s="221"/>
      <c r="K5237" s="221"/>
      <c r="L5237" s="221"/>
      <c r="M5237" s="221"/>
    </row>
    <row r="5238" spans="5:13">
      <c r="E5238" s="221"/>
      <c r="F5238" s="221"/>
      <c r="G5238" s="221"/>
      <c r="H5238" s="221"/>
      <c r="I5238" s="221"/>
      <c r="J5238" s="221"/>
      <c r="K5238" s="221"/>
      <c r="L5238" s="221"/>
      <c r="M5238" s="221"/>
    </row>
    <row r="5239" spans="5:13">
      <c r="E5239" s="221"/>
      <c r="F5239" s="221"/>
      <c r="G5239" s="221"/>
      <c r="H5239" s="221"/>
      <c r="I5239" s="221"/>
      <c r="J5239" s="221"/>
      <c r="K5239" s="221"/>
      <c r="L5239" s="221"/>
      <c r="M5239" s="221"/>
    </row>
    <row r="5240" spans="5:13">
      <c r="E5240" s="221"/>
      <c r="F5240" s="221"/>
      <c r="G5240" s="221"/>
      <c r="H5240" s="221"/>
      <c r="I5240" s="221"/>
      <c r="J5240" s="221"/>
      <c r="K5240" s="221"/>
      <c r="L5240" s="221"/>
      <c r="M5240" s="221"/>
    </row>
    <row r="5241" spans="5:13">
      <c r="E5241" s="221"/>
      <c r="F5241" s="221"/>
      <c r="G5241" s="221"/>
      <c r="H5241" s="221"/>
      <c r="I5241" s="221"/>
      <c r="J5241" s="221"/>
      <c r="K5241" s="221"/>
      <c r="L5241" s="221"/>
      <c r="M5241" s="221"/>
    </row>
    <row r="5242" spans="5:13">
      <c r="E5242" s="221"/>
      <c r="F5242" s="221"/>
      <c r="G5242" s="221"/>
      <c r="H5242" s="221"/>
      <c r="I5242" s="221"/>
      <c r="J5242" s="221"/>
      <c r="K5242" s="221"/>
      <c r="L5242" s="221"/>
      <c r="M5242" s="221"/>
    </row>
    <row r="5243" spans="5:13">
      <c r="E5243" s="221"/>
      <c r="F5243" s="221"/>
      <c r="G5243" s="221"/>
      <c r="H5243" s="221"/>
      <c r="I5243" s="221"/>
      <c r="J5243" s="221"/>
      <c r="K5243" s="221"/>
      <c r="L5243" s="221"/>
      <c r="M5243" s="221"/>
    </row>
    <row r="5244" spans="5:13">
      <c r="E5244" s="221"/>
      <c r="F5244" s="221"/>
      <c r="G5244" s="221"/>
      <c r="H5244" s="221"/>
      <c r="I5244" s="221"/>
      <c r="J5244" s="221"/>
      <c r="K5244" s="221"/>
      <c r="L5244" s="221"/>
      <c r="M5244" s="221"/>
    </row>
    <row r="5245" spans="5:13">
      <c r="E5245" s="221"/>
      <c r="F5245" s="221"/>
      <c r="G5245" s="221"/>
      <c r="H5245" s="221"/>
      <c r="I5245" s="221"/>
      <c r="J5245" s="221"/>
      <c r="K5245" s="221"/>
      <c r="L5245" s="221"/>
      <c r="M5245" s="221"/>
    </row>
    <row r="5246" spans="5:13">
      <c r="E5246" s="221"/>
      <c r="F5246" s="221"/>
      <c r="G5246" s="221"/>
      <c r="H5246" s="221"/>
      <c r="I5246" s="221"/>
      <c r="J5246" s="221"/>
      <c r="K5246" s="221"/>
      <c r="L5246" s="221"/>
      <c r="M5246" s="221"/>
    </row>
    <row r="5247" spans="5:13">
      <c r="E5247" s="221"/>
      <c r="F5247" s="221"/>
      <c r="G5247" s="221"/>
      <c r="H5247" s="221"/>
      <c r="I5247" s="221"/>
      <c r="J5247" s="221"/>
      <c r="K5247" s="221"/>
      <c r="L5247" s="221"/>
      <c r="M5247" s="221"/>
    </row>
    <row r="5248" spans="5:13">
      <c r="E5248" s="221"/>
      <c r="F5248" s="221"/>
      <c r="G5248" s="221"/>
      <c r="H5248" s="221"/>
      <c r="I5248" s="221"/>
      <c r="J5248" s="221"/>
      <c r="K5248" s="221"/>
      <c r="L5248" s="221"/>
      <c r="M5248" s="221"/>
    </row>
    <row r="5249" spans="5:13">
      <c r="E5249" s="221"/>
      <c r="F5249" s="221"/>
      <c r="G5249" s="221"/>
      <c r="H5249" s="221"/>
      <c r="I5249" s="221"/>
      <c r="J5249" s="221"/>
      <c r="K5249" s="221"/>
      <c r="L5249" s="221"/>
      <c r="M5249" s="221"/>
    </row>
    <row r="5250" spans="5:13">
      <c r="E5250" s="221"/>
      <c r="F5250" s="221"/>
      <c r="G5250" s="221"/>
      <c r="H5250" s="221"/>
      <c r="I5250" s="221"/>
      <c r="J5250" s="221"/>
      <c r="K5250" s="221"/>
      <c r="L5250" s="221"/>
      <c r="M5250" s="221"/>
    </row>
    <row r="5251" spans="5:13">
      <c r="E5251" s="221"/>
      <c r="F5251" s="221"/>
      <c r="G5251" s="221"/>
      <c r="H5251" s="221"/>
      <c r="I5251" s="221"/>
      <c r="J5251" s="221"/>
      <c r="K5251" s="221"/>
      <c r="L5251" s="221"/>
      <c r="M5251" s="221"/>
    </row>
    <row r="5252" spans="5:13">
      <c r="E5252" s="221"/>
      <c r="F5252" s="221"/>
      <c r="G5252" s="221"/>
      <c r="H5252" s="221"/>
      <c r="I5252" s="221"/>
      <c r="J5252" s="221"/>
      <c r="K5252" s="221"/>
      <c r="L5252" s="221"/>
      <c r="M5252" s="221"/>
    </row>
    <row r="5253" spans="5:13">
      <c r="E5253" s="221"/>
      <c r="F5253" s="221"/>
      <c r="G5253" s="221"/>
      <c r="H5253" s="221"/>
      <c r="I5253" s="221"/>
      <c r="J5253" s="221"/>
      <c r="K5253" s="221"/>
      <c r="L5253" s="221"/>
      <c r="M5253" s="221"/>
    </row>
    <row r="5254" spans="5:13">
      <c r="E5254" s="221"/>
      <c r="F5254" s="221"/>
      <c r="G5254" s="221"/>
      <c r="H5254" s="221"/>
      <c r="I5254" s="221"/>
      <c r="J5254" s="221"/>
      <c r="K5254" s="221"/>
      <c r="L5254" s="221"/>
      <c r="M5254" s="221"/>
    </row>
    <row r="5255" spans="5:13">
      <c r="E5255" s="221"/>
      <c r="F5255" s="221"/>
      <c r="G5255" s="221"/>
      <c r="H5255" s="221"/>
      <c r="I5255" s="221"/>
      <c r="J5255" s="221"/>
      <c r="K5255" s="221"/>
      <c r="L5255" s="221"/>
      <c r="M5255" s="221"/>
    </row>
    <row r="5256" spans="5:13">
      <c r="E5256" s="221"/>
      <c r="F5256" s="221"/>
      <c r="G5256" s="221"/>
      <c r="H5256" s="221"/>
      <c r="I5256" s="221"/>
      <c r="J5256" s="221"/>
      <c r="K5256" s="221"/>
      <c r="L5256" s="221"/>
      <c r="M5256" s="221"/>
    </row>
    <row r="5257" spans="5:13">
      <c r="E5257" s="221"/>
      <c r="F5257" s="221"/>
      <c r="G5257" s="221"/>
      <c r="H5257" s="221"/>
      <c r="I5257" s="221"/>
      <c r="J5257" s="221"/>
      <c r="K5257" s="221"/>
      <c r="L5257" s="221"/>
      <c r="M5257" s="221"/>
    </row>
    <row r="5258" spans="5:13">
      <c r="E5258" s="221"/>
      <c r="F5258" s="221"/>
      <c r="G5258" s="221"/>
      <c r="H5258" s="221"/>
      <c r="I5258" s="221"/>
      <c r="J5258" s="221"/>
      <c r="K5258" s="221"/>
      <c r="L5258" s="221"/>
      <c r="M5258" s="221"/>
    </row>
    <row r="5259" spans="5:13">
      <c r="E5259" s="221"/>
      <c r="F5259" s="221"/>
      <c r="G5259" s="221"/>
      <c r="H5259" s="221"/>
      <c r="I5259" s="221"/>
      <c r="J5259" s="221"/>
      <c r="K5259" s="221"/>
      <c r="L5259" s="221"/>
      <c r="M5259" s="221"/>
    </row>
    <row r="5260" spans="5:13">
      <c r="E5260" s="221"/>
      <c r="F5260" s="221"/>
      <c r="G5260" s="221"/>
      <c r="H5260" s="221"/>
      <c r="I5260" s="221"/>
      <c r="J5260" s="221"/>
      <c r="K5260" s="221"/>
      <c r="L5260" s="221"/>
      <c r="M5260" s="221"/>
    </row>
    <row r="5261" spans="5:13">
      <c r="E5261" s="221"/>
      <c r="F5261" s="221"/>
      <c r="G5261" s="221"/>
      <c r="H5261" s="221"/>
      <c r="I5261" s="221"/>
      <c r="J5261" s="221"/>
      <c r="K5261" s="221"/>
      <c r="L5261" s="221"/>
      <c r="M5261" s="221"/>
    </row>
    <row r="5262" spans="5:13">
      <c r="E5262" s="221"/>
      <c r="F5262" s="221"/>
      <c r="G5262" s="221"/>
      <c r="H5262" s="221"/>
      <c r="I5262" s="221"/>
      <c r="J5262" s="221"/>
      <c r="K5262" s="221"/>
      <c r="L5262" s="221"/>
      <c r="M5262" s="221"/>
    </row>
    <row r="5263" spans="5:13">
      <c r="E5263" s="221"/>
      <c r="F5263" s="221"/>
      <c r="G5263" s="221"/>
      <c r="H5263" s="221"/>
      <c r="I5263" s="221"/>
      <c r="J5263" s="221"/>
      <c r="K5263" s="221"/>
      <c r="L5263" s="221"/>
      <c r="M5263" s="221"/>
    </row>
    <row r="5264" spans="5:13">
      <c r="E5264" s="221"/>
      <c r="F5264" s="221"/>
      <c r="G5264" s="221"/>
      <c r="H5264" s="221"/>
      <c r="I5264" s="221"/>
      <c r="J5264" s="221"/>
      <c r="K5264" s="221"/>
      <c r="L5264" s="221"/>
      <c r="M5264" s="221"/>
    </row>
    <row r="5265" spans="5:13">
      <c r="E5265" s="221"/>
      <c r="F5265" s="221"/>
      <c r="G5265" s="221"/>
      <c r="H5265" s="221"/>
      <c r="I5265" s="221"/>
      <c r="J5265" s="221"/>
      <c r="K5265" s="221"/>
      <c r="L5265" s="221"/>
      <c r="M5265" s="221"/>
    </row>
    <row r="5266" spans="5:13">
      <c r="E5266" s="221"/>
      <c r="F5266" s="221"/>
      <c r="G5266" s="221"/>
      <c r="H5266" s="221"/>
      <c r="I5266" s="221"/>
      <c r="J5266" s="221"/>
      <c r="K5266" s="221"/>
      <c r="L5266" s="221"/>
      <c r="M5266" s="221"/>
    </row>
    <row r="5267" spans="5:13">
      <c r="E5267" s="221"/>
      <c r="F5267" s="221"/>
      <c r="G5267" s="221"/>
      <c r="H5267" s="221"/>
      <c r="I5267" s="221"/>
      <c r="J5267" s="221"/>
      <c r="K5267" s="221"/>
      <c r="L5267" s="221"/>
      <c r="M5267" s="221"/>
    </row>
    <row r="5268" spans="5:13">
      <c r="E5268" s="221"/>
      <c r="F5268" s="221"/>
      <c r="G5268" s="221"/>
      <c r="H5268" s="221"/>
      <c r="I5268" s="221"/>
      <c r="J5268" s="221"/>
      <c r="K5268" s="221"/>
      <c r="L5268" s="221"/>
      <c r="M5268" s="221"/>
    </row>
    <row r="5269" spans="5:13">
      <c r="E5269" s="221"/>
      <c r="F5269" s="221"/>
      <c r="G5269" s="221"/>
      <c r="H5269" s="221"/>
      <c r="I5269" s="221"/>
      <c r="J5269" s="221"/>
      <c r="K5269" s="221"/>
      <c r="L5269" s="221"/>
      <c r="M5269" s="221"/>
    </row>
    <row r="5270" spans="5:13">
      <c r="E5270" s="221"/>
      <c r="F5270" s="221"/>
      <c r="G5270" s="221"/>
      <c r="H5270" s="221"/>
      <c r="I5270" s="221"/>
      <c r="J5270" s="221"/>
      <c r="K5270" s="221"/>
      <c r="L5270" s="221"/>
      <c r="M5270" s="221"/>
    </row>
    <row r="5271" spans="5:13">
      <c r="E5271" s="221"/>
      <c r="F5271" s="221"/>
      <c r="G5271" s="221"/>
      <c r="H5271" s="221"/>
      <c r="I5271" s="221"/>
      <c r="J5271" s="221"/>
      <c r="K5271" s="221"/>
      <c r="L5271" s="221"/>
      <c r="M5271" s="221"/>
    </row>
    <row r="5272" spans="5:13">
      <c r="E5272" s="221"/>
      <c r="F5272" s="221"/>
      <c r="G5272" s="221"/>
      <c r="H5272" s="221"/>
      <c r="I5272" s="221"/>
      <c r="J5272" s="221"/>
      <c r="K5272" s="221"/>
      <c r="L5272" s="221"/>
      <c r="M5272" s="221"/>
    </row>
    <row r="5273" spans="5:13">
      <c r="E5273" s="221"/>
      <c r="F5273" s="221"/>
      <c r="G5273" s="221"/>
      <c r="H5273" s="221"/>
      <c r="I5273" s="221"/>
      <c r="J5273" s="221"/>
      <c r="K5273" s="221"/>
      <c r="L5273" s="221"/>
      <c r="M5273" s="221"/>
    </row>
    <row r="5274" spans="5:13">
      <c r="E5274" s="221"/>
      <c r="F5274" s="221"/>
      <c r="G5274" s="221"/>
      <c r="H5274" s="221"/>
      <c r="I5274" s="221"/>
      <c r="J5274" s="221"/>
      <c r="K5274" s="221"/>
      <c r="L5274" s="221"/>
      <c r="M5274" s="221"/>
    </row>
    <row r="5275" spans="5:13">
      <c r="E5275" s="221"/>
      <c r="F5275" s="221"/>
      <c r="G5275" s="221"/>
      <c r="H5275" s="221"/>
      <c r="I5275" s="221"/>
      <c r="J5275" s="221"/>
      <c r="K5275" s="221"/>
      <c r="L5275" s="221"/>
      <c r="M5275" s="221"/>
    </row>
    <row r="5276" spans="5:13">
      <c r="E5276" s="221"/>
      <c r="F5276" s="221"/>
      <c r="G5276" s="221"/>
      <c r="H5276" s="221"/>
      <c r="I5276" s="221"/>
      <c r="J5276" s="221"/>
      <c r="K5276" s="221"/>
      <c r="L5276" s="221"/>
      <c r="M5276" s="221"/>
    </row>
    <row r="5277" spans="5:13">
      <c r="E5277" s="221"/>
      <c r="F5277" s="221"/>
      <c r="G5277" s="221"/>
      <c r="H5277" s="221"/>
      <c r="I5277" s="221"/>
      <c r="J5277" s="221"/>
      <c r="K5277" s="221"/>
      <c r="L5277" s="221"/>
      <c r="M5277" s="221"/>
    </row>
    <row r="5278" spans="5:13">
      <c r="E5278" s="221"/>
      <c r="F5278" s="221"/>
      <c r="G5278" s="221"/>
      <c r="H5278" s="221"/>
      <c r="I5278" s="221"/>
      <c r="J5278" s="221"/>
      <c r="K5278" s="221"/>
      <c r="L5278" s="221"/>
      <c r="M5278" s="221"/>
    </row>
    <row r="5279" spans="5:13">
      <c r="E5279" s="221"/>
      <c r="F5279" s="221"/>
      <c r="G5279" s="221"/>
      <c r="H5279" s="221"/>
      <c r="I5279" s="221"/>
      <c r="J5279" s="221"/>
      <c r="K5279" s="221"/>
      <c r="L5279" s="221"/>
      <c r="M5279" s="221"/>
    </row>
    <row r="5280" spans="5:13">
      <c r="E5280" s="221"/>
      <c r="F5280" s="221"/>
      <c r="G5280" s="221"/>
      <c r="H5280" s="221"/>
      <c r="I5280" s="221"/>
      <c r="J5280" s="221"/>
      <c r="K5280" s="221"/>
      <c r="L5280" s="221"/>
      <c r="M5280" s="221"/>
    </row>
    <row r="5281" spans="5:13">
      <c r="E5281" s="221"/>
      <c r="F5281" s="221"/>
      <c r="G5281" s="221"/>
      <c r="H5281" s="221"/>
      <c r="I5281" s="221"/>
      <c r="J5281" s="221"/>
      <c r="K5281" s="221"/>
      <c r="L5281" s="221"/>
      <c r="M5281" s="221"/>
    </row>
    <row r="5282" spans="5:13">
      <c r="E5282" s="221"/>
      <c r="F5282" s="221"/>
      <c r="G5282" s="221"/>
      <c r="H5282" s="221"/>
      <c r="I5282" s="221"/>
      <c r="J5282" s="221"/>
      <c r="K5282" s="221"/>
      <c r="L5282" s="221"/>
      <c r="M5282" s="221"/>
    </row>
    <row r="5283" spans="5:13">
      <c r="E5283" s="221"/>
      <c r="F5283" s="221"/>
      <c r="G5283" s="221"/>
      <c r="H5283" s="221"/>
      <c r="I5283" s="221"/>
      <c r="J5283" s="221"/>
      <c r="K5283" s="221"/>
      <c r="L5283" s="221"/>
      <c r="M5283" s="221"/>
    </row>
    <row r="5284" spans="5:13">
      <c r="E5284" s="221"/>
      <c r="F5284" s="221"/>
      <c r="G5284" s="221"/>
      <c r="H5284" s="221"/>
      <c r="I5284" s="221"/>
      <c r="J5284" s="221"/>
      <c r="K5284" s="221"/>
      <c r="L5284" s="221"/>
      <c r="M5284" s="221"/>
    </row>
    <row r="5285" spans="5:13">
      <c r="E5285" s="221"/>
      <c r="F5285" s="221"/>
      <c r="G5285" s="221"/>
      <c r="H5285" s="221"/>
      <c r="I5285" s="221"/>
      <c r="J5285" s="221"/>
      <c r="K5285" s="221"/>
      <c r="L5285" s="221"/>
      <c r="M5285" s="221"/>
    </row>
    <row r="5286" spans="5:13">
      <c r="E5286" s="221"/>
      <c r="F5286" s="221"/>
      <c r="G5286" s="221"/>
      <c r="H5286" s="221"/>
      <c r="I5286" s="221"/>
      <c r="J5286" s="221"/>
      <c r="K5286" s="221"/>
      <c r="L5286" s="221"/>
      <c r="M5286" s="221"/>
    </row>
    <row r="5287" spans="5:13">
      <c r="E5287" s="221"/>
      <c r="F5287" s="221"/>
      <c r="G5287" s="221"/>
      <c r="H5287" s="221"/>
      <c r="I5287" s="221"/>
      <c r="J5287" s="221"/>
      <c r="K5287" s="221"/>
      <c r="L5287" s="221"/>
      <c r="M5287" s="221"/>
    </row>
    <row r="5288" spans="5:13">
      <c r="E5288" s="221"/>
      <c r="F5288" s="221"/>
      <c r="G5288" s="221"/>
      <c r="H5288" s="221"/>
      <c r="I5288" s="221"/>
      <c r="J5288" s="221"/>
      <c r="K5288" s="221"/>
      <c r="L5288" s="221"/>
      <c r="M5288" s="221"/>
    </row>
    <row r="5289" spans="5:13">
      <c r="E5289" s="221"/>
      <c r="F5289" s="221"/>
      <c r="G5289" s="221"/>
      <c r="H5289" s="221"/>
      <c r="I5289" s="221"/>
      <c r="J5289" s="221"/>
      <c r="K5289" s="221"/>
      <c r="L5289" s="221"/>
      <c r="M5289" s="221"/>
    </row>
    <row r="5290" spans="5:13">
      <c r="E5290" s="221"/>
      <c r="F5290" s="221"/>
      <c r="G5290" s="221"/>
      <c r="H5290" s="221"/>
      <c r="I5290" s="221"/>
      <c r="J5290" s="221"/>
      <c r="K5290" s="221"/>
      <c r="L5290" s="221"/>
      <c r="M5290" s="221"/>
    </row>
    <row r="5291" spans="5:13">
      <c r="E5291" s="221"/>
      <c r="F5291" s="221"/>
      <c r="G5291" s="221"/>
      <c r="H5291" s="221"/>
      <c r="I5291" s="221"/>
      <c r="J5291" s="221"/>
      <c r="K5291" s="221"/>
      <c r="L5291" s="221"/>
      <c r="M5291" s="221"/>
    </row>
    <row r="5292" spans="5:13">
      <c r="E5292" s="221"/>
      <c r="F5292" s="221"/>
      <c r="G5292" s="221"/>
      <c r="H5292" s="221"/>
      <c r="I5292" s="221"/>
      <c r="J5292" s="221"/>
      <c r="K5292" s="221"/>
      <c r="L5292" s="221"/>
      <c r="M5292" s="221"/>
    </row>
    <row r="5293" spans="5:13">
      <c r="E5293" s="221"/>
      <c r="F5293" s="221"/>
      <c r="G5293" s="221"/>
      <c r="H5293" s="221"/>
      <c r="I5293" s="221"/>
      <c r="J5293" s="221"/>
      <c r="K5293" s="221"/>
      <c r="L5293" s="221"/>
      <c r="M5293" s="221"/>
    </row>
    <row r="5294" spans="5:13">
      <c r="E5294" s="221"/>
      <c r="F5294" s="221"/>
      <c r="G5294" s="221"/>
      <c r="H5294" s="221"/>
      <c r="I5294" s="221"/>
      <c r="J5294" s="221"/>
      <c r="K5294" s="221"/>
      <c r="L5294" s="221"/>
      <c r="M5294" s="221"/>
    </row>
    <row r="5295" spans="5:13">
      <c r="E5295" s="221"/>
      <c r="F5295" s="221"/>
      <c r="G5295" s="221"/>
      <c r="H5295" s="221"/>
      <c r="I5295" s="221"/>
      <c r="J5295" s="221"/>
      <c r="K5295" s="221"/>
      <c r="L5295" s="221"/>
      <c r="M5295" s="221"/>
    </row>
    <row r="5296" spans="5:13">
      <c r="E5296" s="221"/>
      <c r="F5296" s="221"/>
      <c r="G5296" s="221"/>
      <c r="H5296" s="221"/>
      <c r="I5296" s="221"/>
      <c r="J5296" s="221"/>
      <c r="K5296" s="221"/>
      <c r="L5296" s="221"/>
      <c r="M5296" s="221"/>
    </row>
    <row r="5297" spans="5:13">
      <c r="E5297" s="221"/>
      <c r="F5297" s="221"/>
      <c r="G5297" s="221"/>
      <c r="H5297" s="221"/>
      <c r="I5297" s="221"/>
      <c r="J5297" s="221"/>
      <c r="K5297" s="221"/>
      <c r="L5297" s="221"/>
      <c r="M5297" s="221"/>
    </row>
    <row r="5298" spans="5:13">
      <c r="E5298" s="221"/>
      <c r="F5298" s="221"/>
      <c r="G5298" s="221"/>
      <c r="H5298" s="221"/>
      <c r="I5298" s="221"/>
      <c r="J5298" s="221"/>
      <c r="K5298" s="221"/>
      <c r="L5298" s="221"/>
      <c r="M5298" s="221"/>
    </row>
    <row r="5299" spans="5:13">
      <c r="E5299" s="221"/>
      <c r="F5299" s="221"/>
      <c r="G5299" s="221"/>
      <c r="H5299" s="221"/>
      <c r="I5299" s="221"/>
      <c r="J5299" s="221"/>
      <c r="K5299" s="221"/>
      <c r="L5299" s="221"/>
      <c r="M5299" s="221"/>
    </row>
    <row r="5300" spans="5:13">
      <c r="E5300" s="221"/>
      <c r="F5300" s="221"/>
      <c r="G5300" s="221"/>
      <c r="H5300" s="221"/>
      <c r="I5300" s="221"/>
      <c r="J5300" s="221"/>
      <c r="K5300" s="221"/>
      <c r="L5300" s="221"/>
      <c r="M5300" s="221"/>
    </row>
    <row r="5301" spans="5:13">
      <c r="E5301" s="221"/>
      <c r="F5301" s="221"/>
      <c r="G5301" s="221"/>
      <c r="H5301" s="221"/>
      <c r="I5301" s="221"/>
      <c r="J5301" s="221"/>
      <c r="K5301" s="221"/>
      <c r="L5301" s="221"/>
      <c r="M5301" s="221"/>
    </row>
    <row r="5302" spans="5:13">
      <c r="E5302" s="221"/>
      <c r="F5302" s="221"/>
      <c r="G5302" s="221"/>
      <c r="H5302" s="221"/>
      <c r="I5302" s="221"/>
      <c r="J5302" s="221"/>
      <c r="K5302" s="221"/>
      <c r="L5302" s="221"/>
      <c r="M5302" s="221"/>
    </row>
    <row r="5303" spans="5:13">
      <c r="E5303" s="221"/>
      <c r="F5303" s="221"/>
      <c r="G5303" s="221"/>
      <c r="H5303" s="221"/>
      <c r="I5303" s="221"/>
      <c r="J5303" s="221"/>
      <c r="K5303" s="221"/>
      <c r="L5303" s="221"/>
      <c r="M5303" s="221"/>
    </row>
    <row r="5304" spans="5:13">
      <c r="E5304" s="221"/>
      <c r="F5304" s="221"/>
      <c r="G5304" s="221"/>
      <c r="H5304" s="221"/>
      <c r="I5304" s="221"/>
      <c r="J5304" s="221"/>
      <c r="K5304" s="221"/>
      <c r="L5304" s="221"/>
      <c r="M5304" s="221"/>
    </row>
    <row r="5305" spans="5:13">
      <c r="E5305" s="221"/>
      <c r="F5305" s="221"/>
      <c r="G5305" s="221"/>
      <c r="H5305" s="221"/>
      <c r="I5305" s="221"/>
      <c r="J5305" s="221"/>
      <c r="K5305" s="221"/>
      <c r="L5305" s="221"/>
      <c r="M5305" s="221"/>
    </row>
    <row r="5306" spans="5:13">
      <c r="E5306" s="221"/>
      <c r="F5306" s="221"/>
      <c r="G5306" s="221"/>
      <c r="H5306" s="221"/>
      <c r="I5306" s="221"/>
      <c r="J5306" s="221"/>
      <c r="K5306" s="221"/>
      <c r="L5306" s="221"/>
      <c r="M5306" s="221"/>
    </row>
    <row r="5307" spans="5:13">
      <c r="E5307" s="221"/>
      <c r="F5307" s="221"/>
      <c r="G5307" s="221"/>
      <c r="H5307" s="221"/>
      <c r="I5307" s="221"/>
      <c r="J5307" s="221"/>
      <c r="K5307" s="221"/>
      <c r="L5307" s="221"/>
      <c r="M5307" s="221"/>
    </row>
    <row r="5308" spans="5:13">
      <c r="E5308" s="221"/>
      <c r="F5308" s="221"/>
      <c r="G5308" s="221"/>
      <c r="H5308" s="221"/>
      <c r="I5308" s="221"/>
      <c r="J5308" s="221"/>
      <c r="K5308" s="221"/>
      <c r="L5308" s="221"/>
      <c r="M5308" s="221"/>
    </row>
    <row r="5309" spans="5:13">
      <c r="E5309" s="221"/>
      <c r="F5309" s="221"/>
      <c r="G5309" s="221"/>
      <c r="H5309" s="221"/>
      <c r="I5309" s="221"/>
      <c r="J5309" s="221"/>
      <c r="K5309" s="221"/>
      <c r="L5309" s="221"/>
      <c r="M5309" s="221"/>
    </row>
    <row r="5310" spans="5:13">
      <c r="E5310" s="221"/>
      <c r="F5310" s="221"/>
      <c r="G5310" s="221"/>
      <c r="H5310" s="221"/>
      <c r="I5310" s="221"/>
      <c r="J5310" s="221"/>
      <c r="K5310" s="221"/>
      <c r="L5310" s="221"/>
      <c r="M5310" s="221"/>
    </row>
    <row r="5311" spans="5:13">
      <c r="E5311" s="221"/>
      <c r="F5311" s="221"/>
      <c r="G5311" s="221"/>
      <c r="H5311" s="221"/>
      <c r="I5311" s="221"/>
      <c r="J5311" s="221"/>
      <c r="K5311" s="221"/>
      <c r="L5311" s="221"/>
      <c r="M5311" s="221"/>
    </row>
    <row r="5312" spans="5:13">
      <c r="E5312" s="221"/>
      <c r="F5312" s="221"/>
      <c r="G5312" s="221"/>
      <c r="H5312" s="221"/>
      <c r="I5312" s="221"/>
      <c r="J5312" s="221"/>
      <c r="K5312" s="221"/>
      <c r="L5312" s="221"/>
      <c r="M5312" s="221"/>
    </row>
    <row r="5313" spans="5:13">
      <c r="E5313" s="221"/>
      <c r="F5313" s="221"/>
      <c r="G5313" s="221"/>
      <c r="H5313" s="221"/>
      <c r="I5313" s="221"/>
      <c r="J5313" s="221"/>
      <c r="K5313" s="221"/>
      <c r="L5313" s="221"/>
      <c r="M5313" s="221"/>
    </row>
    <row r="5314" spans="5:13">
      <c r="E5314" s="221"/>
      <c r="F5314" s="221"/>
      <c r="G5314" s="221"/>
      <c r="H5314" s="221"/>
      <c r="I5314" s="221"/>
      <c r="J5314" s="221"/>
      <c r="K5314" s="221"/>
      <c r="L5314" s="221"/>
      <c r="M5314" s="221"/>
    </row>
    <row r="5315" spans="5:13">
      <c r="E5315" s="221"/>
      <c r="F5315" s="221"/>
      <c r="G5315" s="221"/>
      <c r="H5315" s="221"/>
      <c r="I5315" s="221"/>
      <c r="J5315" s="221"/>
      <c r="K5315" s="221"/>
      <c r="L5315" s="221"/>
      <c r="M5315" s="221"/>
    </row>
    <row r="5316" spans="5:13">
      <c r="E5316" s="221"/>
      <c r="F5316" s="221"/>
      <c r="G5316" s="221"/>
      <c r="H5316" s="221"/>
      <c r="I5316" s="221"/>
      <c r="J5316" s="221"/>
      <c r="K5316" s="221"/>
      <c r="L5316" s="221"/>
      <c r="M5316" s="221"/>
    </row>
    <row r="5317" spans="5:13">
      <c r="E5317" s="221"/>
      <c r="F5317" s="221"/>
      <c r="G5317" s="221"/>
      <c r="H5317" s="221"/>
      <c r="I5317" s="221"/>
      <c r="J5317" s="221"/>
      <c r="K5317" s="221"/>
      <c r="L5317" s="221"/>
      <c r="M5317" s="221"/>
    </row>
    <row r="5318" spans="5:13">
      <c r="E5318" s="221"/>
      <c r="F5318" s="221"/>
      <c r="G5318" s="221"/>
      <c r="H5318" s="221"/>
      <c r="I5318" s="221"/>
      <c r="J5318" s="221"/>
      <c r="K5318" s="221"/>
      <c r="L5318" s="221"/>
      <c r="M5318" s="221"/>
    </row>
    <row r="5319" spans="5:13">
      <c r="E5319" s="221"/>
      <c r="F5319" s="221"/>
      <c r="G5319" s="221"/>
      <c r="H5319" s="221"/>
      <c r="I5319" s="221"/>
      <c r="J5319" s="221"/>
      <c r="K5319" s="221"/>
      <c r="L5319" s="221"/>
      <c r="M5319" s="221"/>
    </row>
    <row r="5320" spans="5:13">
      <c r="E5320" s="221"/>
      <c r="F5320" s="221"/>
      <c r="G5320" s="221"/>
      <c r="H5320" s="221"/>
      <c r="I5320" s="221"/>
      <c r="J5320" s="221"/>
      <c r="K5320" s="221"/>
      <c r="L5320" s="221"/>
      <c r="M5320" s="221"/>
    </row>
    <row r="5321" spans="5:13">
      <c r="E5321" s="221"/>
      <c r="F5321" s="221"/>
      <c r="G5321" s="221"/>
      <c r="H5321" s="221"/>
      <c r="I5321" s="221"/>
      <c r="J5321" s="221"/>
      <c r="K5321" s="221"/>
      <c r="L5321" s="221"/>
      <c r="M5321" s="221"/>
    </row>
    <row r="5322" spans="5:13">
      <c r="E5322" s="221"/>
      <c r="F5322" s="221"/>
      <c r="G5322" s="221"/>
      <c r="H5322" s="221"/>
      <c r="I5322" s="221"/>
      <c r="J5322" s="221"/>
      <c r="K5322" s="221"/>
      <c r="L5322" s="221"/>
      <c r="M5322" s="221"/>
    </row>
    <row r="5323" spans="5:13">
      <c r="E5323" s="221"/>
      <c r="F5323" s="221"/>
      <c r="G5323" s="221"/>
      <c r="H5323" s="221"/>
      <c r="I5323" s="221"/>
      <c r="J5323" s="221"/>
      <c r="K5323" s="221"/>
      <c r="L5323" s="221"/>
      <c r="M5323" s="221"/>
    </row>
    <row r="5324" spans="5:13">
      <c r="E5324" s="221"/>
      <c r="F5324" s="221"/>
      <c r="G5324" s="221"/>
      <c r="H5324" s="221"/>
      <c r="I5324" s="221"/>
      <c r="J5324" s="221"/>
      <c r="K5324" s="221"/>
      <c r="L5324" s="221"/>
      <c r="M5324" s="221"/>
    </row>
    <row r="5325" spans="5:13">
      <c r="E5325" s="221"/>
      <c r="F5325" s="221"/>
      <c r="G5325" s="221"/>
      <c r="H5325" s="221"/>
      <c r="I5325" s="221"/>
      <c r="J5325" s="221"/>
      <c r="K5325" s="221"/>
      <c r="L5325" s="221"/>
      <c r="M5325" s="221"/>
    </row>
    <row r="5326" spans="5:13">
      <c r="E5326" s="221"/>
      <c r="F5326" s="221"/>
      <c r="G5326" s="221"/>
      <c r="H5326" s="221"/>
      <c r="I5326" s="221"/>
      <c r="J5326" s="221"/>
      <c r="K5326" s="221"/>
      <c r="L5326" s="221"/>
      <c r="M5326" s="221"/>
    </row>
    <row r="5327" spans="5:13">
      <c r="E5327" s="221"/>
      <c r="F5327" s="221"/>
      <c r="G5327" s="221"/>
      <c r="H5327" s="221"/>
      <c r="I5327" s="221"/>
      <c r="J5327" s="221"/>
      <c r="K5327" s="221"/>
      <c r="L5327" s="221"/>
      <c r="M5327" s="221"/>
    </row>
    <row r="5328" spans="5:13">
      <c r="E5328" s="221"/>
      <c r="F5328" s="221"/>
      <c r="G5328" s="221"/>
      <c r="H5328" s="221"/>
      <c r="I5328" s="221"/>
      <c r="J5328" s="221"/>
      <c r="K5328" s="221"/>
      <c r="L5328" s="221"/>
      <c r="M5328" s="221"/>
    </row>
    <row r="5329" spans="5:13">
      <c r="E5329" s="221"/>
      <c r="F5329" s="221"/>
      <c r="G5329" s="221"/>
      <c r="H5329" s="221"/>
      <c r="I5329" s="221"/>
      <c r="J5329" s="221"/>
      <c r="K5329" s="221"/>
      <c r="L5329" s="221"/>
      <c r="M5329" s="221"/>
    </row>
    <row r="5330" spans="5:13">
      <c r="E5330" s="221"/>
      <c r="F5330" s="221"/>
      <c r="G5330" s="221"/>
      <c r="H5330" s="221"/>
      <c r="I5330" s="221"/>
      <c r="J5330" s="221"/>
      <c r="K5330" s="221"/>
      <c r="L5330" s="221"/>
      <c r="M5330" s="221"/>
    </row>
    <row r="5331" spans="5:13">
      <c r="E5331" s="221"/>
      <c r="F5331" s="221"/>
      <c r="G5331" s="221"/>
      <c r="H5331" s="221"/>
      <c r="I5331" s="221"/>
      <c r="J5331" s="221"/>
      <c r="K5331" s="221"/>
      <c r="L5331" s="221"/>
      <c r="M5331" s="221"/>
    </row>
    <row r="5332" spans="5:13">
      <c r="E5332" s="221"/>
      <c r="F5332" s="221"/>
      <c r="G5332" s="221"/>
      <c r="H5332" s="221"/>
      <c r="I5332" s="221"/>
      <c r="J5332" s="221"/>
      <c r="K5332" s="221"/>
      <c r="L5332" s="221"/>
      <c r="M5332" s="221"/>
    </row>
    <row r="5333" spans="5:13">
      <c r="E5333" s="221"/>
      <c r="F5333" s="221"/>
      <c r="G5333" s="221"/>
      <c r="H5333" s="221"/>
      <c r="I5333" s="221"/>
      <c r="J5333" s="221"/>
      <c r="K5333" s="221"/>
      <c r="L5333" s="221"/>
      <c r="M5333" s="221"/>
    </row>
    <row r="5334" spans="5:13">
      <c r="E5334" s="221"/>
      <c r="F5334" s="221"/>
      <c r="G5334" s="221"/>
      <c r="H5334" s="221"/>
      <c r="I5334" s="221"/>
      <c r="J5334" s="221"/>
      <c r="K5334" s="221"/>
      <c r="L5334" s="221"/>
      <c r="M5334" s="221"/>
    </row>
    <row r="5335" spans="5:13">
      <c r="E5335" s="221"/>
      <c r="F5335" s="221"/>
      <c r="G5335" s="221"/>
      <c r="H5335" s="221"/>
      <c r="I5335" s="221"/>
      <c r="J5335" s="221"/>
      <c r="K5335" s="221"/>
      <c r="L5335" s="221"/>
      <c r="M5335" s="221"/>
    </row>
    <row r="5336" spans="5:13">
      <c r="E5336" s="221"/>
      <c r="F5336" s="221"/>
      <c r="G5336" s="221"/>
      <c r="H5336" s="221"/>
      <c r="I5336" s="221"/>
      <c r="J5336" s="221"/>
      <c r="K5336" s="221"/>
      <c r="L5336" s="221"/>
      <c r="M5336" s="221"/>
    </row>
    <row r="5337" spans="5:13">
      <c r="E5337" s="221"/>
      <c r="F5337" s="221"/>
      <c r="G5337" s="221"/>
      <c r="H5337" s="221"/>
      <c r="I5337" s="221"/>
      <c r="J5337" s="221"/>
      <c r="K5337" s="221"/>
      <c r="L5337" s="221"/>
      <c r="M5337" s="221"/>
    </row>
    <row r="5338" spans="5:13">
      <c r="E5338" s="221"/>
      <c r="F5338" s="221"/>
      <c r="G5338" s="221"/>
      <c r="H5338" s="221"/>
      <c r="I5338" s="221"/>
      <c r="J5338" s="221"/>
      <c r="K5338" s="221"/>
      <c r="L5338" s="221"/>
      <c r="M5338" s="221"/>
    </row>
    <row r="5339" spans="5:13">
      <c r="E5339" s="221"/>
      <c r="F5339" s="221"/>
      <c r="G5339" s="221"/>
      <c r="H5339" s="221"/>
      <c r="I5339" s="221"/>
      <c r="J5339" s="221"/>
      <c r="K5339" s="221"/>
      <c r="L5339" s="221"/>
      <c r="M5339" s="221"/>
    </row>
    <row r="5340" spans="5:13">
      <c r="E5340" s="221"/>
      <c r="F5340" s="221"/>
      <c r="G5340" s="221"/>
      <c r="H5340" s="221"/>
      <c r="I5340" s="221"/>
      <c r="J5340" s="221"/>
      <c r="K5340" s="221"/>
      <c r="L5340" s="221"/>
      <c r="M5340" s="221"/>
    </row>
    <row r="5341" spans="5:13">
      <c r="E5341" s="221"/>
      <c r="F5341" s="221"/>
      <c r="G5341" s="221"/>
      <c r="H5341" s="221"/>
      <c r="I5341" s="221"/>
      <c r="J5341" s="221"/>
      <c r="K5341" s="221"/>
      <c r="L5341" s="221"/>
      <c r="M5341" s="221"/>
    </row>
    <row r="5342" spans="5:13">
      <c r="E5342" s="221"/>
      <c r="F5342" s="221"/>
      <c r="G5342" s="221"/>
      <c r="H5342" s="221"/>
      <c r="I5342" s="221"/>
      <c r="J5342" s="221"/>
      <c r="K5342" s="221"/>
      <c r="L5342" s="221"/>
      <c r="M5342" s="221"/>
    </row>
    <row r="5343" spans="5:13">
      <c r="E5343" s="221"/>
      <c r="F5343" s="221"/>
      <c r="G5343" s="221"/>
      <c r="H5343" s="221"/>
      <c r="I5343" s="221"/>
      <c r="J5343" s="221"/>
      <c r="K5343" s="221"/>
      <c r="L5343" s="221"/>
      <c r="M5343" s="221"/>
    </row>
    <row r="5344" spans="5:13">
      <c r="E5344" s="221"/>
      <c r="F5344" s="221"/>
      <c r="G5344" s="221"/>
      <c r="H5344" s="221"/>
      <c r="I5344" s="221"/>
      <c r="J5344" s="221"/>
      <c r="K5344" s="221"/>
      <c r="L5344" s="221"/>
      <c r="M5344" s="221"/>
    </row>
    <row r="5345" spans="5:13">
      <c r="E5345" s="221"/>
      <c r="F5345" s="221"/>
      <c r="G5345" s="221"/>
      <c r="H5345" s="221"/>
      <c r="I5345" s="221"/>
      <c r="J5345" s="221"/>
      <c r="K5345" s="221"/>
      <c r="L5345" s="221"/>
      <c r="M5345" s="221"/>
    </row>
    <row r="5346" spans="5:13">
      <c r="E5346" s="221"/>
      <c r="F5346" s="221"/>
      <c r="G5346" s="221"/>
      <c r="H5346" s="221"/>
      <c r="I5346" s="221"/>
      <c r="J5346" s="221"/>
      <c r="K5346" s="221"/>
      <c r="L5346" s="221"/>
      <c r="M5346" s="221"/>
    </row>
    <row r="5347" spans="5:13">
      <c r="E5347" s="221"/>
      <c r="F5347" s="221"/>
      <c r="G5347" s="221"/>
      <c r="H5347" s="221"/>
      <c r="I5347" s="221"/>
      <c r="J5347" s="221"/>
      <c r="K5347" s="221"/>
      <c r="L5347" s="221"/>
      <c r="M5347" s="221"/>
    </row>
    <row r="5348" spans="5:13">
      <c r="E5348" s="221"/>
      <c r="F5348" s="221"/>
      <c r="G5348" s="221"/>
      <c r="H5348" s="221"/>
      <c r="I5348" s="221"/>
      <c r="J5348" s="221"/>
      <c r="K5348" s="221"/>
      <c r="L5348" s="221"/>
      <c r="M5348" s="221"/>
    </row>
    <row r="5349" spans="5:13">
      <c r="E5349" s="221"/>
      <c r="F5349" s="221"/>
      <c r="G5349" s="221"/>
      <c r="H5349" s="221"/>
      <c r="I5349" s="221"/>
      <c r="J5349" s="221"/>
      <c r="K5349" s="221"/>
      <c r="L5349" s="221"/>
      <c r="M5349" s="221"/>
    </row>
    <row r="5350" spans="5:13">
      <c r="E5350" s="221"/>
      <c r="F5350" s="221"/>
      <c r="G5350" s="221"/>
      <c r="H5350" s="221"/>
      <c r="I5350" s="221"/>
      <c r="J5350" s="221"/>
      <c r="K5350" s="221"/>
      <c r="L5350" s="221"/>
      <c r="M5350" s="221"/>
    </row>
    <row r="5351" spans="5:13">
      <c r="E5351" s="221"/>
      <c r="F5351" s="221"/>
      <c r="G5351" s="221"/>
      <c r="H5351" s="221"/>
      <c r="I5351" s="221"/>
      <c r="J5351" s="221"/>
      <c r="K5351" s="221"/>
      <c r="L5351" s="221"/>
      <c r="M5351" s="221"/>
    </row>
    <row r="5352" spans="5:13">
      <c r="E5352" s="221"/>
      <c r="F5352" s="221"/>
      <c r="G5352" s="221"/>
      <c r="H5352" s="221"/>
      <c r="I5352" s="221"/>
      <c r="J5352" s="221"/>
      <c r="K5352" s="221"/>
      <c r="L5352" s="221"/>
      <c r="M5352" s="221"/>
    </row>
    <row r="5353" spans="5:13">
      <c r="E5353" s="221"/>
      <c r="F5353" s="221"/>
      <c r="G5353" s="221"/>
      <c r="H5353" s="221"/>
      <c r="I5353" s="221"/>
      <c r="J5353" s="221"/>
      <c r="K5353" s="221"/>
      <c r="L5353" s="221"/>
      <c r="M5353" s="221"/>
    </row>
    <row r="5354" spans="5:13">
      <c r="E5354" s="221"/>
      <c r="F5354" s="221"/>
      <c r="G5354" s="221"/>
      <c r="H5354" s="221"/>
      <c r="I5354" s="221"/>
      <c r="J5354" s="221"/>
      <c r="K5354" s="221"/>
      <c r="L5354" s="221"/>
      <c r="M5354" s="221"/>
    </row>
    <row r="5355" spans="5:13">
      <c r="E5355" s="221"/>
      <c r="F5355" s="221"/>
      <c r="G5355" s="221"/>
      <c r="H5355" s="221"/>
      <c r="I5355" s="221"/>
      <c r="J5355" s="221"/>
      <c r="K5355" s="221"/>
      <c r="L5355" s="221"/>
      <c r="M5355" s="221"/>
    </row>
    <row r="5356" spans="5:13">
      <c r="E5356" s="221"/>
      <c r="F5356" s="221"/>
      <c r="G5356" s="221"/>
      <c r="H5356" s="221"/>
      <c r="I5356" s="221"/>
      <c r="J5356" s="221"/>
      <c r="K5356" s="221"/>
      <c r="L5356" s="221"/>
      <c r="M5356" s="221"/>
    </row>
    <row r="5357" spans="5:13">
      <c r="E5357" s="221"/>
      <c r="F5357" s="221"/>
      <c r="G5357" s="221"/>
      <c r="H5357" s="221"/>
      <c r="I5357" s="221"/>
      <c r="J5357" s="221"/>
      <c r="K5357" s="221"/>
      <c r="L5357" s="221"/>
      <c r="M5357" s="221"/>
    </row>
    <row r="5358" spans="5:13">
      <c r="E5358" s="221"/>
      <c r="F5358" s="221"/>
      <c r="G5358" s="221"/>
      <c r="H5358" s="221"/>
      <c r="I5358" s="221"/>
      <c r="J5358" s="221"/>
      <c r="K5358" s="221"/>
      <c r="L5358" s="221"/>
      <c r="M5358" s="221"/>
    </row>
    <row r="5359" spans="5:13">
      <c r="E5359" s="221"/>
      <c r="F5359" s="221"/>
      <c r="G5359" s="221"/>
      <c r="H5359" s="221"/>
      <c r="I5359" s="221"/>
      <c r="J5359" s="221"/>
      <c r="K5359" s="221"/>
      <c r="L5359" s="221"/>
      <c r="M5359" s="221"/>
    </row>
    <row r="5360" spans="5:13">
      <c r="E5360" s="221"/>
      <c r="F5360" s="221"/>
      <c r="G5360" s="221"/>
      <c r="H5360" s="221"/>
      <c r="I5360" s="221"/>
      <c r="J5360" s="221"/>
      <c r="K5360" s="221"/>
      <c r="L5360" s="221"/>
      <c r="M5360" s="221"/>
    </row>
    <row r="5361" spans="5:13">
      <c r="E5361" s="221"/>
      <c r="F5361" s="221"/>
      <c r="G5361" s="221"/>
      <c r="H5361" s="221"/>
      <c r="I5361" s="221"/>
      <c r="J5361" s="221"/>
      <c r="K5361" s="221"/>
      <c r="L5361" s="221"/>
      <c r="M5361" s="221"/>
    </row>
    <row r="5362" spans="5:13">
      <c r="E5362" s="221"/>
      <c r="F5362" s="221"/>
      <c r="G5362" s="221"/>
      <c r="H5362" s="221"/>
      <c r="I5362" s="221"/>
      <c r="J5362" s="221"/>
      <c r="K5362" s="221"/>
      <c r="L5362" s="221"/>
      <c r="M5362" s="221"/>
    </row>
    <row r="5363" spans="5:13">
      <c r="E5363" s="221"/>
      <c r="F5363" s="221"/>
      <c r="G5363" s="221"/>
      <c r="H5363" s="221"/>
      <c r="I5363" s="221"/>
      <c r="J5363" s="221"/>
      <c r="K5363" s="221"/>
      <c r="L5363" s="221"/>
      <c r="M5363" s="221"/>
    </row>
    <row r="5364" spans="5:13">
      <c r="E5364" s="221"/>
      <c r="F5364" s="221"/>
      <c r="G5364" s="221"/>
      <c r="H5364" s="221"/>
      <c r="I5364" s="221"/>
      <c r="J5364" s="221"/>
      <c r="K5364" s="221"/>
      <c r="L5364" s="221"/>
      <c r="M5364" s="221"/>
    </row>
    <row r="5365" spans="5:13">
      <c r="E5365" s="221"/>
      <c r="F5365" s="221"/>
      <c r="G5365" s="221"/>
      <c r="H5365" s="221"/>
      <c r="I5365" s="221"/>
      <c r="J5365" s="221"/>
      <c r="K5365" s="221"/>
      <c r="L5365" s="221"/>
      <c r="M5365" s="221"/>
    </row>
    <row r="5366" spans="5:13">
      <c r="E5366" s="221"/>
      <c r="F5366" s="221"/>
      <c r="G5366" s="221"/>
      <c r="H5366" s="221"/>
      <c r="I5366" s="221"/>
      <c r="J5366" s="221"/>
      <c r="K5366" s="221"/>
      <c r="L5366" s="221"/>
      <c r="M5366" s="221"/>
    </row>
    <row r="5367" spans="5:13">
      <c r="E5367" s="221"/>
      <c r="F5367" s="221"/>
      <c r="G5367" s="221"/>
      <c r="H5367" s="221"/>
      <c r="I5367" s="221"/>
      <c r="J5367" s="221"/>
      <c r="K5367" s="221"/>
      <c r="L5367" s="221"/>
      <c r="M5367" s="221"/>
    </row>
    <row r="5368" spans="5:13">
      <c r="E5368" s="221"/>
      <c r="F5368" s="221"/>
      <c r="G5368" s="221"/>
      <c r="H5368" s="221"/>
      <c r="I5368" s="221"/>
      <c r="J5368" s="221"/>
      <c r="K5368" s="221"/>
      <c r="L5368" s="221"/>
      <c r="M5368" s="221"/>
    </row>
    <row r="5369" spans="5:13">
      <c r="E5369" s="221"/>
      <c r="F5369" s="221"/>
      <c r="G5369" s="221"/>
      <c r="H5369" s="221"/>
      <c r="I5369" s="221"/>
      <c r="J5369" s="221"/>
      <c r="K5369" s="221"/>
      <c r="L5369" s="221"/>
      <c r="M5369" s="221"/>
    </row>
    <row r="5370" spans="5:13">
      <c r="E5370" s="221"/>
      <c r="F5370" s="221"/>
      <c r="G5370" s="221"/>
      <c r="H5370" s="221"/>
      <c r="I5370" s="221"/>
      <c r="J5370" s="221"/>
      <c r="K5370" s="221"/>
      <c r="L5370" s="221"/>
      <c r="M5370" s="221"/>
    </row>
    <row r="5371" spans="5:13">
      <c r="E5371" s="221"/>
      <c r="F5371" s="221"/>
      <c r="G5371" s="221"/>
      <c r="H5371" s="221"/>
      <c r="I5371" s="221"/>
      <c r="J5371" s="221"/>
      <c r="K5371" s="221"/>
      <c r="L5371" s="221"/>
      <c r="M5371" s="221"/>
    </row>
    <row r="5372" spans="5:13">
      <c r="E5372" s="221"/>
      <c r="F5372" s="221"/>
      <c r="G5372" s="221"/>
      <c r="H5372" s="221"/>
      <c r="I5372" s="221"/>
      <c r="J5372" s="221"/>
      <c r="K5372" s="221"/>
      <c r="L5372" s="221"/>
      <c r="M5372" s="221"/>
    </row>
    <row r="5373" spans="5:13">
      <c r="E5373" s="221"/>
      <c r="F5373" s="221"/>
      <c r="G5373" s="221"/>
      <c r="H5373" s="221"/>
      <c r="I5373" s="221"/>
      <c r="J5373" s="221"/>
      <c r="K5373" s="221"/>
      <c r="L5373" s="221"/>
      <c r="M5373" s="221"/>
    </row>
    <row r="5374" spans="5:13">
      <c r="E5374" s="221"/>
      <c r="F5374" s="221"/>
      <c r="G5374" s="221"/>
      <c r="H5374" s="221"/>
      <c r="I5374" s="221"/>
      <c r="J5374" s="221"/>
      <c r="K5374" s="221"/>
      <c r="L5374" s="221"/>
      <c r="M5374" s="221"/>
    </row>
    <row r="5375" spans="5:13">
      <c r="E5375" s="221"/>
      <c r="F5375" s="221"/>
      <c r="G5375" s="221"/>
      <c r="H5375" s="221"/>
      <c r="I5375" s="221"/>
      <c r="J5375" s="221"/>
      <c r="K5375" s="221"/>
      <c r="L5375" s="221"/>
      <c r="M5375" s="221"/>
    </row>
    <row r="5376" spans="5:13">
      <c r="E5376" s="221"/>
      <c r="F5376" s="221"/>
      <c r="G5376" s="221"/>
      <c r="H5376" s="221"/>
      <c r="I5376" s="221"/>
      <c r="J5376" s="221"/>
      <c r="K5376" s="221"/>
      <c r="L5376" s="221"/>
      <c r="M5376" s="221"/>
    </row>
    <row r="5377" spans="5:13">
      <c r="E5377" s="221"/>
      <c r="F5377" s="221"/>
      <c r="G5377" s="221"/>
      <c r="H5377" s="221"/>
      <c r="I5377" s="221"/>
      <c r="J5377" s="221"/>
      <c r="K5377" s="221"/>
      <c r="L5377" s="221"/>
      <c r="M5377" s="221"/>
    </row>
    <row r="5378" spans="5:13">
      <c r="E5378" s="221"/>
      <c r="F5378" s="221"/>
      <c r="G5378" s="221"/>
      <c r="H5378" s="221"/>
      <c r="I5378" s="221"/>
      <c r="J5378" s="221"/>
      <c r="K5378" s="221"/>
      <c r="L5378" s="221"/>
      <c r="M5378" s="221"/>
    </row>
    <row r="5379" spans="5:13">
      <c r="E5379" s="221"/>
      <c r="F5379" s="221"/>
      <c r="G5379" s="221"/>
      <c r="H5379" s="221"/>
      <c r="I5379" s="221"/>
      <c r="J5379" s="221"/>
      <c r="K5379" s="221"/>
      <c r="L5379" s="221"/>
      <c r="M5379" s="221"/>
    </row>
    <row r="5380" spans="5:13">
      <c r="E5380" s="221"/>
      <c r="F5380" s="221"/>
      <c r="G5380" s="221"/>
      <c r="H5380" s="221"/>
      <c r="I5380" s="221"/>
      <c r="J5380" s="221"/>
      <c r="K5380" s="221"/>
      <c r="L5380" s="221"/>
      <c r="M5380" s="221"/>
    </row>
    <row r="5381" spans="5:13">
      <c r="E5381" s="221"/>
      <c r="F5381" s="221"/>
      <c r="G5381" s="221"/>
      <c r="H5381" s="221"/>
      <c r="I5381" s="221"/>
      <c r="J5381" s="221"/>
      <c r="K5381" s="221"/>
      <c r="L5381" s="221"/>
      <c r="M5381" s="221"/>
    </row>
    <row r="5382" spans="5:13">
      <c r="E5382" s="221"/>
      <c r="F5382" s="221"/>
      <c r="G5382" s="221"/>
      <c r="H5382" s="221"/>
      <c r="I5382" s="221"/>
      <c r="J5382" s="221"/>
      <c r="K5382" s="221"/>
      <c r="L5382" s="221"/>
      <c r="M5382" s="221"/>
    </row>
    <row r="5383" spans="5:13">
      <c r="E5383" s="221"/>
      <c r="F5383" s="221"/>
      <c r="G5383" s="221"/>
      <c r="H5383" s="221"/>
      <c r="I5383" s="221"/>
      <c r="J5383" s="221"/>
      <c r="K5383" s="221"/>
      <c r="L5383" s="221"/>
      <c r="M5383" s="221"/>
    </row>
    <row r="5384" spans="5:13">
      <c r="E5384" s="221"/>
      <c r="F5384" s="221"/>
      <c r="G5384" s="221"/>
      <c r="H5384" s="221"/>
      <c r="I5384" s="221"/>
      <c r="J5384" s="221"/>
      <c r="K5384" s="221"/>
      <c r="L5384" s="221"/>
      <c r="M5384" s="221"/>
    </row>
    <row r="5385" spans="5:13">
      <c r="E5385" s="221"/>
      <c r="F5385" s="221"/>
      <c r="G5385" s="221"/>
      <c r="H5385" s="221"/>
      <c r="I5385" s="221"/>
      <c r="J5385" s="221"/>
      <c r="K5385" s="221"/>
      <c r="L5385" s="221"/>
      <c r="M5385" s="221"/>
    </row>
    <row r="5386" spans="5:13">
      <c r="E5386" s="221"/>
      <c r="F5386" s="221"/>
      <c r="G5386" s="221"/>
      <c r="H5386" s="221"/>
      <c r="I5386" s="221"/>
      <c r="J5386" s="221"/>
      <c r="K5386" s="221"/>
      <c r="L5386" s="221"/>
      <c r="M5386" s="221"/>
    </row>
    <row r="5387" spans="5:13">
      <c r="E5387" s="221"/>
      <c r="F5387" s="221"/>
      <c r="G5387" s="221"/>
      <c r="H5387" s="221"/>
      <c r="I5387" s="221"/>
      <c r="J5387" s="221"/>
      <c r="K5387" s="221"/>
      <c r="L5387" s="221"/>
      <c r="M5387" s="221"/>
    </row>
    <row r="5388" spans="5:13">
      <c r="E5388" s="221"/>
      <c r="F5388" s="221"/>
      <c r="G5388" s="221"/>
      <c r="H5388" s="221"/>
      <c r="I5388" s="221"/>
      <c r="J5388" s="221"/>
      <c r="K5388" s="221"/>
      <c r="L5388" s="221"/>
      <c r="M5388" s="221"/>
    </row>
    <row r="5389" spans="5:13">
      <c r="E5389" s="221"/>
      <c r="F5389" s="221"/>
      <c r="G5389" s="221"/>
      <c r="H5389" s="221"/>
      <c r="I5389" s="221"/>
      <c r="J5389" s="221"/>
      <c r="K5389" s="221"/>
      <c r="L5389" s="221"/>
      <c r="M5389" s="221"/>
    </row>
    <row r="5390" spans="5:13">
      <c r="E5390" s="221"/>
      <c r="F5390" s="221"/>
      <c r="G5390" s="221"/>
      <c r="H5390" s="221"/>
      <c r="I5390" s="221"/>
      <c r="J5390" s="221"/>
      <c r="K5390" s="221"/>
      <c r="L5390" s="221"/>
      <c r="M5390" s="221"/>
    </row>
    <row r="5391" spans="5:13">
      <c r="E5391" s="221"/>
      <c r="F5391" s="221"/>
      <c r="G5391" s="221"/>
      <c r="H5391" s="221"/>
      <c r="I5391" s="221"/>
      <c r="J5391" s="221"/>
      <c r="K5391" s="221"/>
      <c r="L5391" s="221"/>
      <c r="M5391" s="221"/>
    </row>
    <row r="5392" spans="5:13">
      <c r="E5392" s="221"/>
      <c r="F5392" s="221"/>
      <c r="G5392" s="221"/>
      <c r="H5392" s="221"/>
      <c r="I5392" s="221"/>
      <c r="J5392" s="221"/>
      <c r="K5392" s="221"/>
      <c r="L5392" s="221"/>
      <c r="M5392" s="221"/>
    </row>
    <row r="5393" spans="5:13">
      <c r="E5393" s="221"/>
      <c r="F5393" s="221"/>
      <c r="G5393" s="221"/>
      <c r="H5393" s="221"/>
      <c r="I5393" s="221"/>
      <c r="J5393" s="221"/>
      <c r="K5393" s="221"/>
      <c r="L5393" s="221"/>
      <c r="M5393" s="221"/>
    </row>
    <row r="5394" spans="5:13">
      <c r="E5394" s="221"/>
      <c r="F5394" s="221"/>
      <c r="G5394" s="221"/>
      <c r="H5394" s="221"/>
      <c r="I5394" s="221"/>
      <c r="J5394" s="221"/>
      <c r="K5394" s="221"/>
      <c r="L5394" s="221"/>
      <c r="M5394" s="221"/>
    </row>
    <row r="5395" spans="5:13">
      <c r="E5395" s="221"/>
      <c r="F5395" s="221"/>
      <c r="G5395" s="221"/>
      <c r="H5395" s="221"/>
      <c r="I5395" s="221"/>
      <c r="J5395" s="221"/>
      <c r="K5395" s="221"/>
      <c r="L5395" s="221"/>
      <c r="M5395" s="221"/>
    </row>
    <row r="5396" spans="5:13">
      <c r="E5396" s="221"/>
      <c r="F5396" s="221"/>
      <c r="G5396" s="221"/>
      <c r="H5396" s="221"/>
      <c r="I5396" s="221"/>
      <c r="J5396" s="221"/>
      <c r="K5396" s="221"/>
      <c r="L5396" s="221"/>
      <c r="M5396" s="221"/>
    </row>
    <row r="5397" spans="5:13">
      <c r="E5397" s="221"/>
      <c r="F5397" s="221"/>
      <c r="G5397" s="221"/>
      <c r="H5397" s="221"/>
      <c r="I5397" s="221"/>
      <c r="J5397" s="221"/>
      <c r="K5397" s="221"/>
      <c r="L5397" s="221"/>
      <c r="M5397" s="221"/>
    </row>
    <row r="5398" spans="5:13">
      <c r="E5398" s="221"/>
      <c r="F5398" s="221"/>
      <c r="G5398" s="221"/>
      <c r="H5398" s="221"/>
      <c r="I5398" s="221"/>
      <c r="J5398" s="221"/>
      <c r="K5398" s="221"/>
      <c r="L5398" s="221"/>
      <c r="M5398" s="221"/>
    </row>
    <row r="5399" spans="5:13">
      <c r="E5399" s="221"/>
      <c r="F5399" s="221"/>
      <c r="G5399" s="221"/>
      <c r="H5399" s="221"/>
      <c r="I5399" s="221"/>
      <c r="J5399" s="221"/>
      <c r="K5399" s="221"/>
      <c r="L5399" s="221"/>
      <c r="M5399" s="221"/>
    </row>
    <row r="5400" spans="5:13">
      <c r="E5400" s="221"/>
      <c r="F5400" s="221"/>
      <c r="G5400" s="221"/>
      <c r="H5400" s="221"/>
      <c r="I5400" s="221"/>
      <c r="J5400" s="221"/>
      <c r="K5400" s="221"/>
      <c r="L5400" s="221"/>
      <c r="M5400" s="221"/>
    </row>
    <row r="5401" spans="5:13">
      <c r="E5401" s="221"/>
      <c r="F5401" s="221"/>
      <c r="G5401" s="221"/>
      <c r="H5401" s="221"/>
      <c r="I5401" s="221"/>
      <c r="J5401" s="221"/>
      <c r="K5401" s="221"/>
      <c r="L5401" s="221"/>
      <c r="M5401" s="221"/>
    </row>
    <row r="5402" spans="5:13">
      <c r="E5402" s="221"/>
      <c r="F5402" s="221"/>
      <c r="G5402" s="221"/>
      <c r="H5402" s="221"/>
      <c r="I5402" s="221"/>
      <c r="J5402" s="221"/>
      <c r="K5402" s="221"/>
      <c r="L5402" s="221"/>
      <c r="M5402" s="221"/>
    </row>
    <row r="5403" spans="5:13">
      <c r="E5403" s="221"/>
      <c r="F5403" s="221"/>
      <c r="G5403" s="221"/>
      <c r="H5403" s="221"/>
      <c r="I5403" s="221"/>
      <c r="J5403" s="221"/>
      <c r="K5403" s="221"/>
      <c r="L5403" s="221"/>
      <c r="M5403" s="221"/>
    </row>
    <row r="5404" spans="5:13">
      <c r="E5404" s="221"/>
      <c r="F5404" s="221"/>
      <c r="G5404" s="221"/>
      <c r="H5404" s="221"/>
      <c r="I5404" s="221"/>
      <c r="J5404" s="221"/>
      <c r="K5404" s="221"/>
      <c r="L5404" s="221"/>
      <c r="M5404" s="221"/>
    </row>
    <row r="5405" spans="5:13">
      <c r="E5405" s="221"/>
      <c r="F5405" s="221"/>
      <c r="G5405" s="221"/>
      <c r="H5405" s="221"/>
      <c r="I5405" s="221"/>
      <c r="J5405" s="221"/>
      <c r="K5405" s="221"/>
      <c r="L5405" s="221"/>
      <c r="M5405" s="221"/>
    </row>
    <row r="5406" spans="5:13">
      <c r="E5406" s="221"/>
      <c r="F5406" s="221"/>
      <c r="G5406" s="221"/>
      <c r="H5406" s="221"/>
      <c r="I5406" s="221"/>
      <c r="J5406" s="221"/>
      <c r="K5406" s="221"/>
      <c r="L5406" s="221"/>
      <c r="M5406" s="221"/>
    </row>
    <row r="5407" spans="5:13">
      <c r="E5407" s="221"/>
      <c r="F5407" s="221"/>
      <c r="G5407" s="221"/>
      <c r="H5407" s="221"/>
      <c r="I5407" s="221"/>
      <c r="J5407" s="221"/>
      <c r="K5407" s="221"/>
      <c r="L5407" s="221"/>
      <c r="M5407" s="221"/>
    </row>
    <row r="5408" spans="5:13">
      <c r="E5408" s="221"/>
      <c r="F5408" s="221"/>
      <c r="G5408" s="221"/>
      <c r="H5408" s="221"/>
      <c r="I5408" s="221"/>
      <c r="J5408" s="221"/>
      <c r="K5408" s="221"/>
      <c r="L5408" s="221"/>
      <c r="M5408" s="221"/>
    </row>
    <row r="5409" spans="5:13">
      <c r="E5409" s="221"/>
      <c r="F5409" s="221"/>
      <c r="G5409" s="221"/>
      <c r="H5409" s="221"/>
      <c r="I5409" s="221"/>
      <c r="J5409" s="221"/>
      <c r="K5409" s="221"/>
      <c r="L5409" s="221"/>
      <c r="M5409" s="221"/>
    </row>
    <row r="5410" spans="5:13">
      <c r="E5410" s="221"/>
      <c r="F5410" s="221"/>
      <c r="G5410" s="221"/>
      <c r="H5410" s="221"/>
      <c r="I5410" s="221"/>
      <c r="J5410" s="221"/>
      <c r="K5410" s="221"/>
      <c r="L5410" s="221"/>
      <c r="M5410" s="221"/>
    </row>
    <row r="5411" spans="5:13">
      <c r="E5411" s="221"/>
      <c r="F5411" s="221"/>
      <c r="G5411" s="221"/>
      <c r="H5411" s="221"/>
      <c r="I5411" s="221"/>
      <c r="J5411" s="221"/>
      <c r="K5411" s="221"/>
      <c r="L5411" s="221"/>
      <c r="M5411" s="221"/>
    </row>
    <row r="5412" spans="5:13">
      <c r="E5412" s="221"/>
      <c r="F5412" s="221"/>
      <c r="G5412" s="221"/>
      <c r="H5412" s="221"/>
      <c r="I5412" s="221"/>
      <c r="J5412" s="221"/>
      <c r="K5412" s="221"/>
      <c r="L5412" s="221"/>
      <c r="M5412" s="221"/>
    </row>
    <row r="5413" spans="5:13">
      <c r="E5413" s="221"/>
      <c r="F5413" s="221"/>
      <c r="G5413" s="221"/>
      <c r="H5413" s="221"/>
      <c r="I5413" s="221"/>
      <c r="J5413" s="221"/>
      <c r="K5413" s="221"/>
      <c r="L5413" s="221"/>
      <c r="M5413" s="221"/>
    </row>
    <row r="5414" spans="5:13">
      <c r="E5414" s="221"/>
      <c r="F5414" s="221"/>
      <c r="G5414" s="221"/>
      <c r="H5414" s="221"/>
      <c r="I5414" s="221"/>
      <c r="J5414" s="221"/>
      <c r="K5414" s="221"/>
      <c r="L5414" s="221"/>
      <c r="M5414" s="221"/>
    </row>
    <row r="5415" spans="5:13">
      <c r="E5415" s="221"/>
      <c r="F5415" s="221"/>
      <c r="G5415" s="221"/>
      <c r="H5415" s="221"/>
      <c r="I5415" s="221"/>
      <c r="J5415" s="221"/>
      <c r="K5415" s="221"/>
      <c r="L5415" s="221"/>
      <c r="M5415" s="221"/>
    </row>
    <row r="5416" spans="5:13">
      <c r="E5416" s="221"/>
      <c r="F5416" s="221"/>
      <c r="G5416" s="221"/>
      <c r="H5416" s="221"/>
      <c r="I5416" s="221"/>
      <c r="J5416" s="221"/>
      <c r="K5416" s="221"/>
      <c r="L5416" s="221"/>
      <c r="M5416" s="221"/>
    </row>
    <row r="5417" spans="5:13">
      <c r="E5417" s="221"/>
      <c r="F5417" s="221"/>
      <c r="G5417" s="221"/>
      <c r="H5417" s="221"/>
      <c r="I5417" s="221"/>
      <c r="J5417" s="221"/>
      <c r="K5417" s="221"/>
      <c r="L5417" s="221"/>
      <c r="M5417" s="221"/>
    </row>
    <row r="5418" spans="5:13">
      <c r="E5418" s="221"/>
      <c r="F5418" s="221"/>
      <c r="G5418" s="221"/>
      <c r="H5418" s="221"/>
      <c r="I5418" s="221"/>
      <c r="J5418" s="221"/>
      <c r="K5418" s="221"/>
      <c r="L5418" s="221"/>
      <c r="M5418" s="221"/>
    </row>
    <row r="5419" spans="5:13">
      <c r="E5419" s="221"/>
      <c r="F5419" s="221"/>
      <c r="G5419" s="221"/>
      <c r="H5419" s="221"/>
      <c r="I5419" s="221"/>
      <c r="J5419" s="221"/>
      <c r="K5419" s="221"/>
      <c r="L5419" s="221"/>
      <c r="M5419" s="221"/>
    </row>
    <row r="5420" spans="5:13">
      <c r="E5420" s="221"/>
      <c r="F5420" s="221"/>
      <c r="G5420" s="221"/>
      <c r="H5420" s="221"/>
      <c r="I5420" s="221"/>
      <c r="J5420" s="221"/>
      <c r="K5420" s="221"/>
      <c r="L5420" s="221"/>
      <c r="M5420" s="221"/>
    </row>
    <row r="5421" spans="5:13">
      <c r="E5421" s="221"/>
      <c r="F5421" s="221"/>
      <c r="G5421" s="221"/>
      <c r="H5421" s="221"/>
      <c r="I5421" s="221"/>
      <c r="J5421" s="221"/>
      <c r="K5421" s="221"/>
      <c r="L5421" s="221"/>
      <c r="M5421" s="221"/>
    </row>
    <row r="5422" spans="5:13">
      <c r="E5422" s="221"/>
      <c r="F5422" s="221"/>
      <c r="G5422" s="221"/>
      <c r="H5422" s="221"/>
      <c r="I5422" s="221"/>
      <c r="J5422" s="221"/>
      <c r="K5422" s="221"/>
      <c r="L5422" s="221"/>
      <c r="M5422" s="221"/>
    </row>
    <row r="5423" spans="5:13">
      <c r="E5423" s="221"/>
      <c r="F5423" s="221"/>
      <c r="G5423" s="221"/>
      <c r="H5423" s="221"/>
      <c r="I5423" s="221"/>
      <c r="J5423" s="221"/>
      <c r="K5423" s="221"/>
      <c r="L5423" s="221"/>
      <c r="M5423" s="221"/>
    </row>
    <row r="5424" spans="5:13">
      <c r="E5424" s="221"/>
      <c r="F5424" s="221"/>
      <c r="G5424" s="221"/>
      <c r="H5424" s="221"/>
      <c r="I5424" s="221"/>
      <c r="J5424" s="221"/>
      <c r="K5424" s="221"/>
      <c r="L5424" s="221"/>
      <c r="M5424" s="221"/>
    </row>
    <row r="5425" spans="5:13">
      <c r="E5425" s="221"/>
      <c r="F5425" s="221"/>
      <c r="G5425" s="221"/>
      <c r="H5425" s="221"/>
      <c r="I5425" s="221"/>
      <c r="J5425" s="221"/>
      <c r="K5425" s="221"/>
      <c r="L5425" s="221"/>
      <c r="M5425" s="221"/>
    </row>
    <row r="5426" spans="5:13">
      <c r="E5426" s="221"/>
      <c r="F5426" s="221"/>
      <c r="G5426" s="221"/>
      <c r="H5426" s="221"/>
      <c r="I5426" s="221"/>
      <c r="J5426" s="221"/>
      <c r="K5426" s="221"/>
      <c r="L5426" s="221"/>
      <c r="M5426" s="221"/>
    </row>
    <row r="5427" spans="5:13">
      <c r="E5427" s="221"/>
      <c r="F5427" s="221"/>
      <c r="G5427" s="221"/>
      <c r="H5427" s="221"/>
      <c r="I5427" s="221"/>
      <c r="J5427" s="221"/>
      <c r="K5427" s="221"/>
      <c r="L5427" s="221"/>
      <c r="M5427" s="221"/>
    </row>
    <row r="5428" spans="5:13">
      <c r="E5428" s="221"/>
      <c r="F5428" s="221"/>
      <c r="G5428" s="221"/>
      <c r="H5428" s="221"/>
      <c r="I5428" s="221"/>
      <c r="J5428" s="221"/>
      <c r="K5428" s="221"/>
      <c r="L5428" s="221"/>
      <c r="M5428" s="221"/>
    </row>
    <row r="5429" spans="5:13">
      <c r="E5429" s="221"/>
      <c r="F5429" s="221"/>
      <c r="G5429" s="221"/>
      <c r="H5429" s="221"/>
      <c r="I5429" s="221"/>
      <c r="J5429" s="221"/>
      <c r="K5429" s="221"/>
      <c r="L5429" s="221"/>
      <c r="M5429" s="221"/>
    </row>
    <row r="5430" spans="5:13">
      <c r="E5430" s="221"/>
      <c r="F5430" s="221"/>
      <c r="G5430" s="221"/>
      <c r="H5430" s="221"/>
      <c r="I5430" s="221"/>
      <c r="J5430" s="221"/>
      <c r="K5430" s="221"/>
      <c r="L5430" s="221"/>
      <c r="M5430" s="221"/>
    </row>
    <row r="5431" spans="5:13">
      <c r="E5431" s="221"/>
      <c r="F5431" s="221"/>
      <c r="G5431" s="221"/>
      <c r="H5431" s="221"/>
      <c r="I5431" s="221"/>
      <c r="J5431" s="221"/>
      <c r="K5431" s="221"/>
      <c r="L5431" s="221"/>
      <c r="M5431" s="221"/>
    </row>
    <row r="5432" spans="5:13">
      <c r="E5432" s="221"/>
      <c r="F5432" s="221"/>
      <c r="G5432" s="221"/>
      <c r="H5432" s="221"/>
      <c r="I5432" s="221"/>
      <c r="J5432" s="221"/>
      <c r="K5432" s="221"/>
      <c r="L5432" s="221"/>
      <c r="M5432" s="221"/>
    </row>
    <row r="5433" spans="5:13">
      <c r="E5433" s="221"/>
      <c r="F5433" s="221"/>
      <c r="G5433" s="221"/>
      <c r="H5433" s="221"/>
      <c r="I5433" s="221"/>
      <c r="J5433" s="221"/>
      <c r="K5433" s="221"/>
      <c r="L5433" s="221"/>
      <c r="M5433" s="221"/>
    </row>
    <row r="5434" spans="5:13">
      <c r="E5434" s="221"/>
      <c r="F5434" s="221"/>
      <c r="G5434" s="221"/>
      <c r="H5434" s="221"/>
      <c r="I5434" s="221"/>
      <c r="J5434" s="221"/>
      <c r="K5434" s="221"/>
      <c r="L5434" s="221"/>
      <c r="M5434" s="221"/>
    </row>
    <row r="5435" spans="5:13">
      <c r="E5435" s="221"/>
      <c r="F5435" s="221"/>
      <c r="G5435" s="221"/>
      <c r="H5435" s="221"/>
      <c r="I5435" s="221"/>
      <c r="J5435" s="221"/>
      <c r="K5435" s="221"/>
      <c r="L5435" s="221"/>
      <c r="M5435" s="221"/>
    </row>
    <row r="5436" spans="5:13">
      <c r="E5436" s="221"/>
      <c r="F5436" s="221"/>
      <c r="G5436" s="221"/>
      <c r="H5436" s="221"/>
      <c r="I5436" s="221"/>
      <c r="J5436" s="221"/>
      <c r="K5436" s="221"/>
      <c r="L5436" s="221"/>
      <c r="M5436" s="221"/>
    </row>
    <row r="5437" spans="5:13">
      <c r="E5437" s="221"/>
      <c r="F5437" s="221"/>
      <c r="G5437" s="221"/>
      <c r="H5437" s="221"/>
      <c r="I5437" s="221"/>
      <c r="J5437" s="221"/>
      <c r="K5437" s="221"/>
      <c r="L5437" s="221"/>
      <c r="M5437" s="221"/>
    </row>
    <row r="5438" spans="5:13">
      <c r="E5438" s="221"/>
      <c r="F5438" s="221"/>
      <c r="G5438" s="221"/>
      <c r="H5438" s="221"/>
      <c r="I5438" s="221"/>
      <c r="J5438" s="221"/>
      <c r="K5438" s="221"/>
      <c r="L5438" s="221"/>
      <c r="M5438" s="221"/>
    </row>
    <row r="5439" spans="5:13">
      <c r="E5439" s="221"/>
      <c r="F5439" s="221"/>
      <c r="G5439" s="221"/>
      <c r="H5439" s="221"/>
      <c r="I5439" s="221"/>
      <c r="J5439" s="221"/>
      <c r="K5439" s="221"/>
      <c r="L5439" s="221"/>
      <c r="M5439" s="221"/>
    </row>
    <row r="5440" spans="5:13">
      <c r="E5440" s="221"/>
      <c r="F5440" s="221"/>
      <c r="G5440" s="221"/>
      <c r="H5440" s="221"/>
      <c r="I5440" s="221"/>
      <c r="J5440" s="221"/>
      <c r="K5440" s="221"/>
      <c r="L5440" s="221"/>
      <c r="M5440" s="221"/>
    </row>
    <row r="5441" spans="5:13">
      <c r="E5441" s="221"/>
      <c r="F5441" s="221"/>
      <c r="G5441" s="221"/>
      <c r="H5441" s="221"/>
      <c r="I5441" s="221"/>
      <c r="J5441" s="221"/>
      <c r="K5441" s="221"/>
      <c r="L5441" s="221"/>
      <c r="M5441" s="221"/>
    </row>
    <row r="5442" spans="5:13">
      <c r="E5442" s="221"/>
      <c r="F5442" s="221"/>
      <c r="G5442" s="221"/>
      <c r="H5442" s="221"/>
      <c r="I5442" s="221"/>
      <c r="J5442" s="221"/>
      <c r="K5442" s="221"/>
      <c r="L5442" s="221"/>
      <c r="M5442" s="221"/>
    </row>
    <row r="5443" spans="5:13">
      <c r="E5443" s="221"/>
      <c r="F5443" s="221"/>
      <c r="G5443" s="221"/>
      <c r="H5443" s="221"/>
      <c r="I5443" s="221"/>
      <c r="J5443" s="221"/>
      <c r="K5443" s="221"/>
      <c r="L5443" s="221"/>
      <c r="M5443" s="221"/>
    </row>
    <row r="5444" spans="5:13">
      <c r="E5444" s="221"/>
      <c r="F5444" s="221"/>
      <c r="G5444" s="221"/>
      <c r="H5444" s="221"/>
      <c r="I5444" s="221"/>
      <c r="J5444" s="221"/>
      <c r="K5444" s="221"/>
      <c r="L5444" s="221"/>
      <c r="M5444" s="221"/>
    </row>
    <row r="5445" spans="5:13">
      <c r="E5445" s="221"/>
      <c r="F5445" s="221"/>
      <c r="G5445" s="221"/>
      <c r="H5445" s="221"/>
      <c r="I5445" s="221"/>
      <c r="J5445" s="221"/>
      <c r="K5445" s="221"/>
      <c r="L5445" s="221"/>
      <c r="M5445" s="221"/>
    </row>
    <row r="5446" spans="5:13">
      <c r="E5446" s="221"/>
      <c r="F5446" s="221"/>
      <c r="G5446" s="221"/>
      <c r="H5446" s="221"/>
      <c r="I5446" s="221"/>
      <c r="J5446" s="221"/>
      <c r="K5446" s="221"/>
      <c r="L5446" s="221"/>
      <c r="M5446" s="221"/>
    </row>
    <row r="5447" spans="5:13">
      <c r="E5447" s="221"/>
      <c r="F5447" s="221"/>
      <c r="G5447" s="221"/>
      <c r="H5447" s="221"/>
      <c r="I5447" s="221"/>
      <c r="J5447" s="221"/>
      <c r="K5447" s="221"/>
      <c r="L5447" s="221"/>
      <c r="M5447" s="221"/>
    </row>
    <row r="5448" spans="5:13">
      <c r="E5448" s="221"/>
      <c r="F5448" s="221"/>
      <c r="G5448" s="221"/>
      <c r="H5448" s="221"/>
      <c r="I5448" s="221"/>
      <c r="J5448" s="221"/>
      <c r="K5448" s="221"/>
      <c r="L5448" s="221"/>
      <c r="M5448" s="221"/>
    </row>
    <row r="5449" spans="5:13">
      <c r="E5449" s="221"/>
      <c r="F5449" s="221"/>
      <c r="G5449" s="221"/>
      <c r="H5449" s="221"/>
      <c r="I5449" s="221"/>
      <c r="J5449" s="221"/>
      <c r="K5449" s="221"/>
      <c r="L5449" s="221"/>
      <c r="M5449" s="221"/>
    </row>
    <row r="5450" spans="5:13">
      <c r="E5450" s="221"/>
      <c r="F5450" s="221"/>
      <c r="G5450" s="221"/>
      <c r="H5450" s="221"/>
      <c r="I5450" s="221"/>
      <c r="J5450" s="221"/>
      <c r="K5450" s="221"/>
      <c r="L5450" s="221"/>
      <c r="M5450" s="221"/>
    </row>
    <row r="5451" spans="5:13">
      <c r="E5451" s="221"/>
      <c r="F5451" s="221"/>
      <c r="G5451" s="221"/>
      <c r="H5451" s="221"/>
      <c r="I5451" s="221"/>
      <c r="J5451" s="221"/>
      <c r="K5451" s="221"/>
      <c r="L5451" s="221"/>
      <c r="M5451" s="221"/>
    </row>
    <row r="5452" spans="5:13">
      <c r="E5452" s="221"/>
      <c r="F5452" s="221"/>
      <c r="G5452" s="221"/>
      <c r="H5452" s="221"/>
      <c r="I5452" s="221"/>
      <c r="J5452" s="221"/>
      <c r="K5452" s="221"/>
      <c r="L5452" s="221"/>
      <c r="M5452" s="221"/>
    </row>
    <row r="5453" spans="5:13">
      <c r="E5453" s="221"/>
      <c r="F5453" s="221"/>
      <c r="G5453" s="221"/>
      <c r="H5453" s="221"/>
      <c r="I5453" s="221"/>
      <c r="J5453" s="221"/>
      <c r="K5453" s="221"/>
      <c r="L5453" s="221"/>
      <c r="M5453" s="221"/>
    </row>
    <row r="5454" spans="5:13">
      <c r="E5454" s="221"/>
      <c r="F5454" s="221"/>
      <c r="G5454" s="221"/>
      <c r="H5454" s="221"/>
      <c r="I5454" s="221"/>
      <c r="J5454" s="221"/>
      <c r="K5454" s="221"/>
      <c r="L5454" s="221"/>
      <c r="M5454" s="221"/>
    </row>
    <row r="5455" spans="5:13">
      <c r="E5455" s="221"/>
      <c r="F5455" s="221"/>
      <c r="G5455" s="221"/>
      <c r="H5455" s="221"/>
      <c r="I5455" s="221"/>
      <c r="J5455" s="221"/>
      <c r="K5455" s="221"/>
      <c r="L5455" s="221"/>
      <c r="M5455" s="221"/>
    </row>
    <row r="5456" spans="5:13">
      <c r="E5456" s="221"/>
      <c r="F5456" s="221"/>
      <c r="G5456" s="221"/>
      <c r="H5456" s="221"/>
      <c r="I5456" s="221"/>
      <c r="J5456" s="221"/>
      <c r="K5456" s="221"/>
      <c r="L5456" s="221"/>
      <c r="M5456" s="221"/>
    </row>
    <row r="5457" spans="5:13">
      <c r="E5457" s="221"/>
      <c r="F5457" s="221"/>
      <c r="G5457" s="221"/>
      <c r="H5457" s="221"/>
      <c r="I5457" s="221"/>
      <c r="J5457" s="221"/>
      <c r="K5457" s="221"/>
      <c r="L5457" s="221"/>
      <c r="M5457" s="221"/>
    </row>
    <row r="5458" spans="5:13">
      <c r="E5458" s="221"/>
      <c r="F5458" s="221"/>
      <c r="G5458" s="221"/>
      <c r="H5458" s="221"/>
      <c r="I5458" s="221"/>
      <c r="J5458" s="221"/>
      <c r="K5458" s="221"/>
      <c r="L5458" s="221"/>
      <c r="M5458" s="221"/>
    </row>
    <row r="5459" spans="5:13">
      <c r="E5459" s="221"/>
      <c r="F5459" s="221"/>
      <c r="G5459" s="221"/>
      <c r="H5459" s="221"/>
      <c r="I5459" s="221"/>
      <c r="J5459" s="221"/>
      <c r="K5459" s="221"/>
      <c r="L5459" s="221"/>
      <c r="M5459" s="221"/>
    </row>
    <row r="5460" spans="5:13">
      <c r="E5460" s="221"/>
      <c r="F5460" s="221"/>
      <c r="G5460" s="221"/>
      <c r="H5460" s="221"/>
      <c r="I5460" s="221"/>
      <c r="J5460" s="221"/>
      <c r="K5460" s="221"/>
      <c r="L5460" s="221"/>
      <c r="M5460" s="221"/>
    </row>
    <row r="5461" spans="5:13">
      <c r="E5461" s="221"/>
      <c r="F5461" s="221"/>
      <c r="G5461" s="221"/>
      <c r="H5461" s="221"/>
      <c r="I5461" s="221"/>
      <c r="J5461" s="221"/>
      <c r="K5461" s="221"/>
      <c r="L5461" s="221"/>
      <c r="M5461" s="221"/>
    </row>
    <row r="5462" spans="5:13">
      <c r="E5462" s="221"/>
      <c r="F5462" s="221"/>
      <c r="G5462" s="221"/>
      <c r="H5462" s="221"/>
      <c r="I5462" s="221"/>
      <c r="J5462" s="221"/>
      <c r="K5462" s="221"/>
      <c r="L5462" s="221"/>
      <c r="M5462" s="221"/>
    </row>
    <row r="5463" spans="5:13">
      <c r="E5463" s="221"/>
      <c r="F5463" s="221"/>
      <c r="G5463" s="221"/>
      <c r="H5463" s="221"/>
      <c r="I5463" s="221"/>
      <c r="J5463" s="221"/>
      <c r="K5463" s="221"/>
      <c r="L5463" s="221"/>
      <c r="M5463" s="221"/>
    </row>
    <row r="5464" spans="5:13">
      <c r="E5464" s="221"/>
      <c r="F5464" s="221"/>
      <c r="G5464" s="221"/>
      <c r="H5464" s="221"/>
      <c r="I5464" s="221"/>
      <c r="J5464" s="221"/>
      <c r="K5464" s="221"/>
      <c r="L5464" s="221"/>
      <c r="M5464" s="221"/>
    </row>
    <row r="5465" spans="5:13">
      <c r="E5465" s="221"/>
      <c r="F5465" s="221"/>
      <c r="G5465" s="221"/>
      <c r="H5465" s="221"/>
      <c r="I5465" s="221"/>
      <c r="J5465" s="221"/>
      <c r="K5465" s="221"/>
      <c r="L5465" s="221"/>
      <c r="M5465" s="221"/>
    </row>
    <row r="5466" spans="5:13">
      <c r="E5466" s="221"/>
      <c r="F5466" s="221"/>
      <c r="G5466" s="221"/>
      <c r="H5466" s="221"/>
      <c r="I5466" s="221"/>
      <c r="J5466" s="221"/>
      <c r="K5466" s="221"/>
      <c r="L5466" s="221"/>
      <c r="M5466" s="221"/>
    </row>
    <row r="5467" spans="5:13">
      <c r="E5467" s="221"/>
      <c r="F5467" s="221"/>
      <c r="G5467" s="221"/>
      <c r="H5467" s="221"/>
      <c r="I5467" s="221"/>
      <c r="J5467" s="221"/>
      <c r="K5467" s="221"/>
      <c r="L5467" s="221"/>
      <c r="M5467" s="221"/>
    </row>
    <row r="5468" spans="5:13">
      <c r="E5468" s="221"/>
      <c r="F5468" s="221"/>
      <c r="G5468" s="221"/>
      <c r="H5468" s="221"/>
      <c r="I5468" s="221"/>
      <c r="J5468" s="221"/>
      <c r="K5468" s="221"/>
      <c r="L5468" s="221"/>
      <c r="M5468" s="221"/>
    </row>
    <row r="5469" spans="5:13">
      <c r="E5469" s="221"/>
      <c r="F5469" s="221"/>
      <c r="G5469" s="221"/>
      <c r="H5469" s="221"/>
      <c r="I5469" s="221"/>
      <c r="J5469" s="221"/>
      <c r="K5469" s="221"/>
      <c r="L5469" s="221"/>
      <c r="M5469" s="221"/>
    </row>
    <row r="5470" spans="5:13">
      <c r="E5470" s="221"/>
      <c r="F5470" s="221"/>
      <c r="G5470" s="221"/>
      <c r="H5470" s="221"/>
      <c r="I5470" s="221"/>
      <c r="J5470" s="221"/>
      <c r="K5470" s="221"/>
      <c r="L5470" s="221"/>
      <c r="M5470" s="221"/>
    </row>
    <row r="5471" spans="5:13">
      <c r="E5471" s="221"/>
      <c r="F5471" s="221"/>
      <c r="G5471" s="221"/>
      <c r="H5471" s="221"/>
      <c r="I5471" s="221"/>
      <c r="J5471" s="221"/>
      <c r="K5471" s="221"/>
      <c r="L5471" s="221"/>
      <c r="M5471" s="221"/>
    </row>
    <row r="5472" spans="5:13">
      <c r="E5472" s="221"/>
      <c r="F5472" s="221"/>
      <c r="G5472" s="221"/>
      <c r="H5472" s="221"/>
      <c r="I5472" s="221"/>
      <c r="J5472" s="221"/>
      <c r="K5472" s="221"/>
      <c r="L5472" s="221"/>
      <c r="M5472" s="221"/>
    </row>
    <row r="5473" spans="5:13">
      <c r="E5473" s="221"/>
      <c r="F5473" s="221"/>
      <c r="G5473" s="221"/>
      <c r="H5473" s="221"/>
      <c r="I5473" s="221"/>
      <c r="J5473" s="221"/>
      <c r="K5473" s="221"/>
      <c r="L5473" s="221"/>
      <c r="M5473" s="221"/>
    </row>
    <row r="5474" spans="5:13">
      <c r="E5474" s="221"/>
      <c r="F5474" s="221"/>
      <c r="G5474" s="221"/>
      <c r="H5474" s="221"/>
      <c r="I5474" s="221"/>
      <c r="J5474" s="221"/>
      <c r="K5474" s="221"/>
      <c r="L5474" s="221"/>
      <c r="M5474" s="221"/>
    </row>
    <row r="5475" spans="5:13">
      <c r="E5475" s="221"/>
      <c r="F5475" s="221"/>
      <c r="G5475" s="221"/>
      <c r="H5475" s="221"/>
      <c r="I5475" s="221"/>
      <c r="J5475" s="221"/>
      <c r="K5475" s="221"/>
      <c r="L5475" s="221"/>
      <c r="M5475" s="221"/>
    </row>
    <row r="5476" spans="5:13">
      <c r="E5476" s="221"/>
      <c r="F5476" s="221"/>
      <c r="G5476" s="221"/>
      <c r="H5476" s="221"/>
      <c r="I5476" s="221"/>
      <c r="J5476" s="221"/>
      <c r="K5476" s="221"/>
      <c r="L5476" s="221"/>
      <c r="M5476" s="221"/>
    </row>
    <row r="5477" spans="5:13">
      <c r="E5477" s="221"/>
      <c r="F5477" s="221"/>
      <c r="G5477" s="221"/>
      <c r="H5477" s="221"/>
      <c r="I5477" s="221"/>
      <c r="J5477" s="221"/>
      <c r="K5477" s="221"/>
      <c r="L5477" s="221"/>
      <c r="M5477" s="221"/>
    </row>
    <row r="5478" spans="5:13">
      <c r="E5478" s="221"/>
      <c r="F5478" s="221"/>
      <c r="G5478" s="221"/>
      <c r="H5478" s="221"/>
      <c r="I5478" s="221"/>
      <c r="J5478" s="221"/>
      <c r="K5478" s="221"/>
      <c r="L5478" s="221"/>
      <c r="M5478" s="221"/>
    </row>
    <row r="5479" spans="5:13">
      <c r="E5479" s="221"/>
      <c r="F5479" s="221"/>
      <c r="G5479" s="221"/>
      <c r="H5479" s="221"/>
      <c r="I5479" s="221"/>
      <c r="J5479" s="221"/>
      <c r="K5479" s="221"/>
      <c r="L5479" s="221"/>
      <c r="M5479" s="221"/>
    </row>
    <row r="5480" spans="5:13">
      <c r="E5480" s="221"/>
      <c r="F5480" s="221"/>
      <c r="G5480" s="221"/>
      <c r="H5480" s="221"/>
      <c r="I5480" s="221"/>
      <c r="J5480" s="221"/>
      <c r="K5480" s="221"/>
      <c r="L5480" s="221"/>
      <c r="M5480" s="221"/>
    </row>
    <row r="5481" spans="5:13">
      <c r="E5481" s="221"/>
      <c r="F5481" s="221"/>
      <c r="G5481" s="221"/>
      <c r="H5481" s="221"/>
      <c r="I5481" s="221"/>
      <c r="J5481" s="221"/>
      <c r="K5481" s="221"/>
      <c r="L5481" s="221"/>
      <c r="M5481" s="221"/>
    </row>
    <row r="5482" spans="5:13">
      <c r="E5482" s="221"/>
      <c r="F5482" s="221"/>
      <c r="G5482" s="221"/>
      <c r="H5482" s="221"/>
      <c r="I5482" s="221"/>
      <c r="J5482" s="221"/>
      <c r="K5482" s="221"/>
      <c r="L5482" s="221"/>
      <c r="M5482" s="221"/>
    </row>
    <row r="5483" spans="5:13">
      <c r="E5483" s="221"/>
      <c r="F5483" s="221"/>
      <c r="G5483" s="221"/>
      <c r="H5483" s="221"/>
      <c r="I5483" s="221"/>
      <c r="J5483" s="221"/>
      <c r="K5483" s="221"/>
      <c r="L5483" s="221"/>
      <c r="M5483" s="221"/>
    </row>
    <row r="5484" spans="5:13">
      <c r="E5484" s="221"/>
      <c r="F5484" s="221"/>
      <c r="G5484" s="221"/>
      <c r="H5484" s="221"/>
      <c r="I5484" s="221"/>
      <c r="J5484" s="221"/>
      <c r="K5484" s="221"/>
      <c r="L5484" s="221"/>
      <c r="M5484" s="221"/>
    </row>
    <row r="5485" spans="5:13">
      <c r="E5485" s="221"/>
      <c r="F5485" s="221"/>
      <c r="G5485" s="221"/>
      <c r="H5485" s="221"/>
      <c r="I5485" s="221"/>
      <c r="J5485" s="221"/>
      <c r="K5485" s="221"/>
      <c r="L5485" s="221"/>
      <c r="M5485" s="221"/>
    </row>
    <row r="5486" spans="5:13">
      <c r="E5486" s="221"/>
      <c r="F5486" s="221"/>
      <c r="G5486" s="221"/>
      <c r="H5486" s="221"/>
      <c r="I5486" s="221"/>
      <c r="J5486" s="221"/>
      <c r="K5486" s="221"/>
      <c r="L5486" s="221"/>
      <c r="M5486" s="221"/>
    </row>
    <row r="5487" spans="5:13">
      <c r="E5487" s="221"/>
      <c r="F5487" s="221"/>
      <c r="G5487" s="221"/>
      <c r="H5487" s="221"/>
      <c r="I5487" s="221"/>
      <c r="J5487" s="221"/>
      <c r="K5487" s="221"/>
      <c r="L5487" s="221"/>
      <c r="M5487" s="221"/>
    </row>
    <row r="5488" spans="5:13">
      <c r="E5488" s="221"/>
      <c r="F5488" s="221"/>
      <c r="G5488" s="221"/>
      <c r="H5488" s="221"/>
      <c r="I5488" s="221"/>
      <c r="J5488" s="221"/>
      <c r="K5488" s="221"/>
      <c r="L5488" s="221"/>
      <c r="M5488" s="221"/>
    </row>
    <row r="5489" spans="5:13">
      <c r="E5489" s="221"/>
      <c r="F5489" s="221"/>
      <c r="G5489" s="221"/>
      <c r="H5489" s="221"/>
      <c r="I5489" s="221"/>
      <c r="J5489" s="221"/>
      <c r="K5489" s="221"/>
      <c r="L5489" s="221"/>
      <c r="M5489" s="221"/>
    </row>
    <row r="5490" spans="5:13">
      <c r="E5490" s="221"/>
      <c r="F5490" s="221"/>
      <c r="G5490" s="221"/>
      <c r="H5490" s="221"/>
      <c r="I5490" s="221"/>
      <c r="J5490" s="221"/>
      <c r="K5490" s="221"/>
      <c r="L5490" s="221"/>
      <c r="M5490" s="221"/>
    </row>
    <row r="5491" spans="5:13">
      <c r="E5491" s="221"/>
      <c r="F5491" s="221"/>
      <c r="G5491" s="221"/>
      <c r="H5491" s="221"/>
      <c r="I5491" s="221"/>
      <c r="J5491" s="221"/>
      <c r="K5491" s="221"/>
      <c r="L5491" s="221"/>
      <c r="M5491" s="221"/>
    </row>
    <row r="5492" spans="5:13">
      <c r="E5492" s="221"/>
      <c r="F5492" s="221"/>
      <c r="G5492" s="221"/>
      <c r="H5492" s="221"/>
      <c r="I5492" s="221"/>
      <c r="J5492" s="221"/>
      <c r="K5492" s="221"/>
      <c r="L5492" s="221"/>
      <c r="M5492" s="221"/>
    </row>
    <row r="5493" spans="5:13">
      <c r="E5493" s="221"/>
      <c r="F5493" s="221"/>
      <c r="G5493" s="221"/>
      <c r="H5493" s="221"/>
      <c r="I5493" s="221"/>
      <c r="J5493" s="221"/>
      <c r="K5493" s="221"/>
      <c r="L5493" s="221"/>
      <c r="M5493" s="221"/>
    </row>
    <row r="5494" spans="5:13">
      <c r="E5494" s="221"/>
      <c r="F5494" s="221"/>
      <c r="G5494" s="221"/>
      <c r="H5494" s="221"/>
      <c r="I5494" s="221"/>
      <c r="J5494" s="221"/>
      <c r="K5494" s="221"/>
      <c r="L5494" s="221"/>
      <c r="M5494" s="221"/>
    </row>
    <row r="5495" spans="5:13">
      <c r="E5495" s="221"/>
      <c r="F5495" s="221"/>
      <c r="G5495" s="221"/>
      <c r="H5495" s="221"/>
      <c r="I5495" s="221"/>
      <c r="J5495" s="221"/>
      <c r="K5495" s="221"/>
      <c r="L5495" s="221"/>
      <c r="M5495" s="221"/>
    </row>
    <row r="5496" spans="5:13">
      <c r="E5496" s="221"/>
      <c r="F5496" s="221"/>
      <c r="G5496" s="221"/>
      <c r="H5496" s="221"/>
      <c r="I5496" s="221"/>
      <c r="J5496" s="221"/>
      <c r="K5496" s="221"/>
      <c r="L5496" s="221"/>
      <c r="M5496" s="221"/>
    </row>
    <row r="5497" spans="5:13">
      <c r="E5497" s="221"/>
      <c r="F5497" s="221"/>
      <c r="G5497" s="221"/>
      <c r="H5497" s="221"/>
      <c r="I5497" s="221"/>
      <c r="J5497" s="221"/>
      <c r="K5497" s="221"/>
      <c r="L5497" s="221"/>
      <c r="M5497" s="221"/>
    </row>
    <row r="5498" spans="5:13">
      <c r="E5498" s="221"/>
      <c r="F5498" s="221"/>
      <c r="G5498" s="221"/>
      <c r="H5498" s="221"/>
      <c r="I5498" s="221"/>
      <c r="J5498" s="221"/>
      <c r="K5498" s="221"/>
      <c r="L5498" s="221"/>
      <c r="M5498" s="221"/>
    </row>
    <row r="5499" spans="5:13">
      <c r="E5499" s="221"/>
      <c r="F5499" s="221"/>
      <c r="G5499" s="221"/>
      <c r="H5499" s="221"/>
      <c r="I5499" s="221"/>
      <c r="J5499" s="221"/>
      <c r="K5499" s="221"/>
      <c r="L5499" s="221"/>
      <c r="M5499" s="221"/>
    </row>
    <row r="5500" spans="5:13">
      <c r="E5500" s="221"/>
      <c r="F5500" s="221"/>
      <c r="G5500" s="221"/>
      <c r="H5500" s="221"/>
      <c r="I5500" s="221"/>
      <c r="J5500" s="221"/>
      <c r="K5500" s="221"/>
      <c r="L5500" s="221"/>
      <c r="M5500" s="221"/>
    </row>
    <row r="5501" spans="5:13">
      <c r="E5501" s="221"/>
      <c r="F5501" s="221"/>
      <c r="G5501" s="221"/>
      <c r="H5501" s="221"/>
      <c r="I5501" s="221"/>
      <c r="J5501" s="221"/>
      <c r="K5501" s="221"/>
      <c r="L5501" s="221"/>
      <c r="M5501" s="221"/>
    </row>
    <row r="5502" spans="5:13">
      <c r="E5502" s="221"/>
      <c r="F5502" s="221"/>
      <c r="G5502" s="221"/>
      <c r="H5502" s="221"/>
      <c r="I5502" s="221"/>
      <c r="J5502" s="221"/>
      <c r="K5502" s="221"/>
      <c r="L5502" s="221"/>
      <c r="M5502" s="221"/>
    </row>
    <row r="5503" spans="5:13">
      <c r="E5503" s="221"/>
      <c r="F5503" s="221"/>
      <c r="G5503" s="221"/>
      <c r="H5503" s="221"/>
      <c r="I5503" s="221"/>
      <c r="J5503" s="221"/>
      <c r="K5503" s="221"/>
      <c r="L5503" s="221"/>
      <c r="M5503" s="221"/>
    </row>
    <row r="5504" spans="5:13">
      <c r="E5504" s="221"/>
      <c r="F5504" s="221"/>
      <c r="G5504" s="221"/>
      <c r="H5504" s="221"/>
      <c r="I5504" s="221"/>
      <c r="J5504" s="221"/>
      <c r="K5504" s="221"/>
      <c r="L5504" s="221"/>
      <c r="M5504" s="221"/>
    </row>
    <row r="5505" spans="5:13">
      <c r="E5505" s="221"/>
      <c r="F5505" s="221"/>
      <c r="G5505" s="221"/>
      <c r="H5505" s="221"/>
      <c r="I5505" s="221"/>
      <c r="J5505" s="221"/>
      <c r="K5505" s="221"/>
      <c r="L5505" s="221"/>
      <c r="M5505" s="221"/>
    </row>
    <row r="5506" spans="5:13">
      <c r="E5506" s="221"/>
      <c r="F5506" s="221"/>
      <c r="G5506" s="221"/>
      <c r="H5506" s="221"/>
      <c r="I5506" s="221"/>
      <c r="J5506" s="221"/>
      <c r="K5506" s="221"/>
      <c r="L5506" s="221"/>
      <c r="M5506" s="221"/>
    </row>
    <row r="5507" spans="5:13">
      <c r="E5507" s="221"/>
      <c r="F5507" s="221"/>
      <c r="G5507" s="221"/>
      <c r="H5507" s="221"/>
      <c r="I5507" s="221"/>
      <c r="J5507" s="221"/>
      <c r="K5507" s="221"/>
      <c r="L5507" s="221"/>
      <c r="M5507" s="221"/>
    </row>
    <row r="5508" spans="5:13">
      <c r="E5508" s="221"/>
      <c r="F5508" s="221"/>
      <c r="G5508" s="221"/>
      <c r="H5508" s="221"/>
      <c r="I5508" s="221"/>
      <c r="J5508" s="221"/>
      <c r="K5508" s="221"/>
      <c r="L5508" s="221"/>
      <c r="M5508" s="221"/>
    </row>
    <row r="5509" spans="5:13">
      <c r="E5509" s="221"/>
      <c r="F5509" s="221"/>
      <c r="G5509" s="221"/>
      <c r="H5509" s="221"/>
      <c r="I5509" s="221"/>
      <c r="J5509" s="221"/>
      <c r="K5509" s="221"/>
      <c r="L5509" s="221"/>
      <c r="M5509" s="221"/>
    </row>
    <row r="5510" spans="5:13">
      <c r="E5510" s="221"/>
      <c r="F5510" s="221"/>
      <c r="G5510" s="221"/>
      <c r="H5510" s="221"/>
      <c r="I5510" s="221"/>
      <c r="J5510" s="221"/>
      <c r="K5510" s="221"/>
      <c r="L5510" s="221"/>
      <c r="M5510" s="221"/>
    </row>
    <row r="5511" spans="5:13">
      <c r="E5511" s="221"/>
      <c r="F5511" s="221"/>
      <c r="G5511" s="221"/>
      <c r="H5511" s="221"/>
      <c r="I5511" s="221"/>
      <c r="J5511" s="221"/>
      <c r="K5511" s="221"/>
      <c r="L5511" s="221"/>
      <c r="M5511" s="221"/>
    </row>
    <row r="5512" spans="5:13">
      <c r="E5512" s="221"/>
      <c r="F5512" s="221"/>
      <c r="G5512" s="221"/>
      <c r="H5512" s="221"/>
      <c r="I5512" s="221"/>
      <c r="J5512" s="221"/>
      <c r="K5512" s="221"/>
      <c r="L5512" s="221"/>
      <c r="M5512" s="221"/>
    </row>
    <row r="5513" spans="5:13">
      <c r="E5513" s="221"/>
      <c r="F5513" s="221"/>
      <c r="G5513" s="221"/>
      <c r="H5513" s="221"/>
      <c r="I5513" s="221"/>
      <c r="J5513" s="221"/>
      <c r="K5513" s="221"/>
      <c r="L5513" s="221"/>
      <c r="M5513" s="221"/>
    </row>
    <row r="5514" spans="5:13">
      <c r="E5514" s="221"/>
      <c r="F5514" s="221"/>
      <c r="G5514" s="221"/>
      <c r="H5514" s="221"/>
      <c r="I5514" s="221"/>
      <c r="J5514" s="221"/>
      <c r="K5514" s="221"/>
      <c r="L5514" s="221"/>
      <c r="M5514" s="221"/>
    </row>
    <row r="5515" spans="5:13">
      <c r="E5515" s="221"/>
      <c r="F5515" s="221"/>
      <c r="G5515" s="221"/>
      <c r="H5515" s="221"/>
      <c r="I5515" s="221"/>
      <c r="J5515" s="221"/>
      <c r="K5515" s="221"/>
      <c r="L5515" s="221"/>
      <c r="M5515" s="221"/>
    </row>
    <row r="5516" spans="5:13">
      <c r="E5516" s="221"/>
      <c r="F5516" s="221"/>
      <c r="G5516" s="221"/>
      <c r="H5516" s="221"/>
      <c r="I5516" s="221"/>
      <c r="J5516" s="221"/>
      <c r="K5516" s="221"/>
      <c r="L5516" s="221"/>
      <c r="M5516" s="221"/>
    </row>
    <row r="5517" spans="5:13">
      <c r="E5517" s="221"/>
      <c r="F5517" s="221"/>
      <c r="G5517" s="221"/>
      <c r="H5517" s="221"/>
      <c r="I5517" s="221"/>
      <c r="J5517" s="221"/>
      <c r="K5517" s="221"/>
      <c r="L5517" s="221"/>
      <c r="M5517" s="221"/>
    </row>
    <row r="5518" spans="5:13">
      <c r="E5518" s="221"/>
      <c r="F5518" s="221"/>
      <c r="G5518" s="221"/>
      <c r="H5518" s="221"/>
      <c r="I5518" s="221"/>
      <c r="J5518" s="221"/>
      <c r="K5518" s="221"/>
      <c r="L5518" s="221"/>
      <c r="M5518" s="221"/>
    </row>
    <row r="5519" spans="5:13">
      <c r="E5519" s="221"/>
      <c r="F5519" s="221"/>
      <c r="G5519" s="221"/>
      <c r="H5519" s="221"/>
      <c r="I5519" s="221"/>
      <c r="J5519" s="221"/>
      <c r="K5519" s="221"/>
      <c r="L5519" s="221"/>
      <c r="M5519" s="221"/>
    </row>
    <row r="5520" spans="5:13">
      <c r="E5520" s="221"/>
      <c r="F5520" s="221"/>
      <c r="G5520" s="221"/>
      <c r="H5520" s="221"/>
      <c r="I5520" s="221"/>
      <c r="J5520" s="221"/>
      <c r="K5520" s="221"/>
      <c r="L5520" s="221"/>
      <c r="M5520" s="221"/>
    </row>
    <row r="5521" spans="5:13">
      <c r="E5521" s="221"/>
      <c r="F5521" s="221"/>
      <c r="G5521" s="221"/>
      <c r="H5521" s="221"/>
      <c r="I5521" s="221"/>
      <c r="J5521" s="221"/>
      <c r="K5521" s="221"/>
      <c r="L5521" s="221"/>
      <c r="M5521" s="221"/>
    </row>
    <row r="5522" spans="5:13">
      <c r="E5522" s="221"/>
      <c r="F5522" s="221"/>
      <c r="G5522" s="221"/>
      <c r="H5522" s="221"/>
      <c r="I5522" s="221"/>
      <c r="J5522" s="221"/>
      <c r="K5522" s="221"/>
      <c r="L5522" s="221"/>
      <c r="M5522" s="221"/>
    </row>
    <row r="5523" spans="5:13">
      <c r="E5523" s="221"/>
      <c r="F5523" s="221"/>
      <c r="G5523" s="221"/>
      <c r="H5523" s="221"/>
      <c r="I5523" s="221"/>
      <c r="J5523" s="221"/>
      <c r="K5523" s="221"/>
      <c r="L5523" s="221"/>
      <c r="M5523" s="221"/>
    </row>
    <row r="5524" spans="5:13">
      <c r="E5524" s="221"/>
      <c r="F5524" s="221"/>
      <c r="G5524" s="221"/>
      <c r="H5524" s="221"/>
      <c r="I5524" s="221"/>
      <c r="J5524" s="221"/>
      <c r="K5524" s="221"/>
      <c r="L5524" s="221"/>
      <c r="M5524" s="221"/>
    </row>
    <row r="5525" spans="5:13">
      <c r="E5525" s="221"/>
      <c r="F5525" s="221"/>
      <c r="G5525" s="221"/>
      <c r="H5525" s="221"/>
      <c r="I5525" s="221"/>
      <c r="J5525" s="221"/>
      <c r="K5525" s="221"/>
      <c r="L5525" s="221"/>
      <c r="M5525" s="221"/>
    </row>
    <row r="5526" spans="5:13">
      <c r="E5526" s="221"/>
      <c r="F5526" s="221"/>
      <c r="G5526" s="221"/>
      <c r="H5526" s="221"/>
      <c r="I5526" s="221"/>
      <c r="J5526" s="221"/>
      <c r="K5526" s="221"/>
      <c r="L5526" s="221"/>
      <c r="M5526" s="221"/>
    </row>
    <row r="5527" spans="5:13">
      <c r="E5527" s="221"/>
      <c r="F5527" s="221"/>
      <c r="G5527" s="221"/>
      <c r="H5527" s="221"/>
      <c r="I5527" s="221"/>
      <c r="J5527" s="221"/>
      <c r="K5527" s="221"/>
      <c r="L5527" s="221"/>
      <c r="M5527" s="221"/>
    </row>
    <row r="5528" spans="5:13">
      <c r="E5528" s="221"/>
      <c r="F5528" s="221"/>
      <c r="G5528" s="221"/>
      <c r="H5528" s="221"/>
      <c r="I5528" s="221"/>
      <c r="J5528" s="221"/>
      <c r="K5528" s="221"/>
      <c r="L5528" s="221"/>
      <c r="M5528" s="221"/>
    </row>
    <row r="5529" spans="5:13">
      <c r="E5529" s="221"/>
      <c r="F5529" s="221"/>
      <c r="G5529" s="221"/>
      <c r="H5529" s="221"/>
      <c r="I5529" s="221"/>
      <c r="J5529" s="221"/>
      <c r="K5529" s="221"/>
      <c r="L5529" s="221"/>
      <c r="M5529" s="221"/>
    </row>
    <row r="5530" spans="5:13">
      <c r="E5530" s="221"/>
      <c r="F5530" s="221"/>
      <c r="G5530" s="221"/>
      <c r="H5530" s="221"/>
      <c r="I5530" s="221"/>
      <c r="J5530" s="221"/>
      <c r="K5530" s="221"/>
      <c r="L5530" s="221"/>
      <c r="M5530" s="221"/>
    </row>
    <row r="5531" spans="5:13">
      <c r="E5531" s="221"/>
      <c r="F5531" s="221"/>
      <c r="G5531" s="221"/>
      <c r="H5531" s="221"/>
      <c r="I5531" s="221"/>
      <c r="J5531" s="221"/>
      <c r="K5531" s="221"/>
      <c r="L5531" s="221"/>
      <c r="M5531" s="221"/>
    </row>
    <row r="5532" spans="5:13">
      <c r="E5532" s="221"/>
      <c r="F5532" s="221"/>
      <c r="G5532" s="221"/>
      <c r="H5532" s="221"/>
      <c r="I5532" s="221"/>
      <c r="J5532" s="221"/>
      <c r="K5532" s="221"/>
      <c r="L5532" s="221"/>
      <c r="M5532" s="221"/>
    </row>
    <row r="5533" spans="5:13">
      <c r="E5533" s="221"/>
      <c r="F5533" s="221"/>
      <c r="G5533" s="221"/>
      <c r="H5533" s="221"/>
      <c r="I5533" s="221"/>
      <c r="J5533" s="221"/>
      <c r="K5533" s="221"/>
      <c r="L5533" s="221"/>
      <c r="M5533" s="221"/>
    </row>
    <row r="5534" spans="5:13">
      <c r="E5534" s="221"/>
      <c r="F5534" s="221"/>
      <c r="G5534" s="221"/>
      <c r="H5534" s="221"/>
      <c r="I5534" s="221"/>
      <c r="J5534" s="221"/>
      <c r="K5534" s="221"/>
      <c r="L5534" s="221"/>
      <c r="M5534" s="221"/>
    </row>
    <row r="5535" spans="5:13">
      <c r="E5535" s="221"/>
      <c r="F5535" s="221"/>
      <c r="G5535" s="221"/>
      <c r="H5535" s="221"/>
      <c r="I5535" s="221"/>
      <c r="J5535" s="221"/>
      <c r="K5535" s="221"/>
      <c r="L5535" s="221"/>
      <c r="M5535" s="221"/>
    </row>
    <row r="5536" spans="5:13">
      <c r="E5536" s="221"/>
      <c r="F5536" s="221"/>
      <c r="G5536" s="221"/>
      <c r="H5536" s="221"/>
      <c r="I5536" s="221"/>
      <c r="J5536" s="221"/>
      <c r="K5536" s="221"/>
      <c r="L5536" s="221"/>
      <c r="M5536" s="221"/>
    </row>
    <row r="5537" spans="5:13">
      <c r="E5537" s="221"/>
      <c r="F5537" s="221"/>
      <c r="G5537" s="221"/>
      <c r="H5537" s="221"/>
      <c r="I5537" s="221"/>
      <c r="J5537" s="221"/>
      <c r="K5537" s="221"/>
      <c r="L5537" s="221"/>
      <c r="M5537" s="221"/>
    </row>
    <row r="5538" spans="5:13">
      <c r="E5538" s="221"/>
      <c r="F5538" s="221"/>
      <c r="G5538" s="221"/>
      <c r="H5538" s="221"/>
      <c r="I5538" s="221"/>
      <c r="J5538" s="221"/>
      <c r="K5538" s="221"/>
      <c r="L5538" s="221"/>
      <c r="M5538" s="221"/>
    </row>
    <row r="5539" spans="5:13">
      <c r="E5539" s="221"/>
      <c r="F5539" s="221"/>
      <c r="G5539" s="221"/>
      <c r="H5539" s="221"/>
      <c r="I5539" s="221"/>
      <c r="J5539" s="221"/>
      <c r="K5539" s="221"/>
      <c r="L5539" s="221"/>
      <c r="M5539" s="221"/>
    </row>
    <row r="5540" spans="5:13">
      <c r="E5540" s="221"/>
      <c r="F5540" s="221"/>
      <c r="G5540" s="221"/>
      <c r="H5540" s="221"/>
      <c r="I5540" s="221"/>
      <c r="J5540" s="221"/>
      <c r="K5540" s="221"/>
      <c r="L5540" s="221"/>
      <c r="M5540" s="221"/>
    </row>
    <row r="5541" spans="5:13">
      <c r="E5541" s="221"/>
      <c r="F5541" s="221"/>
      <c r="G5541" s="221"/>
      <c r="H5541" s="221"/>
      <c r="I5541" s="221"/>
      <c r="J5541" s="221"/>
      <c r="K5541" s="221"/>
      <c r="L5541" s="221"/>
      <c r="M5541" s="221"/>
    </row>
    <row r="5542" spans="5:13">
      <c r="E5542" s="221"/>
      <c r="F5542" s="221"/>
      <c r="G5542" s="221"/>
      <c r="H5542" s="221"/>
      <c r="I5542" s="221"/>
      <c r="J5542" s="221"/>
      <c r="K5542" s="221"/>
      <c r="L5542" s="221"/>
      <c r="M5542" s="221"/>
    </row>
    <row r="5543" spans="5:13">
      <c r="E5543" s="221"/>
      <c r="F5543" s="221"/>
      <c r="G5543" s="221"/>
      <c r="H5543" s="221"/>
      <c r="I5543" s="221"/>
      <c r="J5543" s="221"/>
      <c r="K5543" s="221"/>
      <c r="L5543" s="221"/>
      <c r="M5543" s="221"/>
    </row>
    <row r="5544" spans="5:13">
      <c r="E5544" s="221"/>
      <c r="F5544" s="221"/>
      <c r="G5544" s="221"/>
      <c r="H5544" s="221"/>
      <c r="I5544" s="221"/>
      <c r="J5544" s="221"/>
      <c r="K5544" s="221"/>
      <c r="L5544" s="221"/>
      <c r="M5544" s="221"/>
    </row>
    <row r="5545" spans="5:13">
      <c r="E5545" s="221"/>
      <c r="F5545" s="221"/>
      <c r="G5545" s="221"/>
      <c r="H5545" s="221"/>
      <c r="I5545" s="221"/>
      <c r="J5545" s="221"/>
      <c r="K5545" s="221"/>
      <c r="L5545" s="221"/>
      <c r="M5545" s="221"/>
    </row>
    <row r="5546" spans="5:13">
      <c r="E5546" s="221"/>
      <c r="F5546" s="221"/>
      <c r="G5546" s="221"/>
      <c r="H5546" s="221"/>
      <c r="I5546" s="221"/>
      <c r="J5546" s="221"/>
      <c r="K5546" s="221"/>
      <c r="L5546" s="221"/>
      <c r="M5546" s="221"/>
    </row>
    <row r="5547" spans="5:13">
      <c r="E5547" s="221"/>
      <c r="F5547" s="221"/>
      <c r="G5547" s="221"/>
      <c r="H5547" s="221"/>
      <c r="I5547" s="221"/>
      <c r="J5547" s="221"/>
      <c r="K5547" s="221"/>
      <c r="L5547" s="221"/>
      <c r="M5547" s="221"/>
    </row>
    <row r="5548" spans="5:13">
      <c r="E5548" s="221"/>
      <c r="F5548" s="221"/>
      <c r="G5548" s="221"/>
      <c r="H5548" s="221"/>
      <c r="I5548" s="221"/>
      <c r="J5548" s="221"/>
      <c r="K5548" s="221"/>
      <c r="L5548" s="221"/>
      <c r="M5548" s="221"/>
    </row>
    <row r="5549" spans="5:13">
      <c r="E5549" s="221"/>
      <c r="F5549" s="221"/>
      <c r="G5549" s="221"/>
      <c r="H5549" s="221"/>
      <c r="I5549" s="221"/>
      <c r="J5549" s="221"/>
      <c r="K5549" s="221"/>
      <c r="L5549" s="221"/>
      <c r="M5549" s="221"/>
    </row>
    <row r="5550" spans="5:13">
      <c r="E5550" s="221"/>
      <c r="F5550" s="221"/>
      <c r="G5550" s="221"/>
      <c r="H5550" s="221"/>
      <c r="I5550" s="221"/>
      <c r="J5550" s="221"/>
      <c r="K5550" s="221"/>
      <c r="L5550" s="221"/>
      <c r="M5550" s="221"/>
    </row>
    <row r="5551" spans="5:13">
      <c r="E5551" s="221"/>
      <c r="F5551" s="221"/>
      <c r="G5551" s="221"/>
      <c r="H5551" s="221"/>
      <c r="I5551" s="221"/>
      <c r="J5551" s="221"/>
      <c r="K5551" s="221"/>
      <c r="L5551" s="221"/>
      <c r="M5551" s="221"/>
    </row>
    <row r="5552" spans="5:13">
      <c r="E5552" s="221"/>
      <c r="F5552" s="221"/>
      <c r="G5552" s="221"/>
      <c r="H5552" s="221"/>
      <c r="I5552" s="221"/>
      <c r="J5552" s="221"/>
      <c r="K5552" s="221"/>
      <c r="L5552" s="221"/>
      <c r="M5552" s="221"/>
    </row>
    <row r="5553" spans="5:13">
      <c r="E5553" s="221"/>
      <c r="F5553" s="221"/>
      <c r="G5553" s="221"/>
      <c r="H5553" s="221"/>
      <c r="I5553" s="221"/>
      <c r="J5553" s="221"/>
      <c r="K5553" s="221"/>
      <c r="L5553" s="221"/>
      <c r="M5553" s="221"/>
    </row>
    <row r="5554" spans="5:13">
      <c r="E5554" s="221"/>
      <c r="F5554" s="221"/>
      <c r="G5554" s="221"/>
      <c r="H5554" s="221"/>
      <c r="I5554" s="221"/>
      <c r="J5554" s="221"/>
      <c r="K5554" s="221"/>
      <c r="L5554" s="221"/>
      <c r="M5554" s="221"/>
    </row>
    <row r="5555" spans="5:13">
      <c r="E5555" s="221"/>
      <c r="F5555" s="221"/>
      <c r="G5555" s="221"/>
      <c r="H5555" s="221"/>
      <c r="I5555" s="221"/>
      <c r="J5555" s="221"/>
      <c r="K5555" s="221"/>
      <c r="L5555" s="221"/>
      <c r="M5555" s="221"/>
    </row>
    <row r="5556" spans="5:13">
      <c r="E5556" s="221"/>
      <c r="F5556" s="221"/>
      <c r="G5556" s="221"/>
      <c r="H5556" s="221"/>
      <c r="I5556" s="221"/>
      <c r="J5556" s="221"/>
      <c r="K5556" s="221"/>
      <c r="L5556" s="221"/>
      <c r="M5556" s="221"/>
    </row>
    <row r="5557" spans="5:13">
      <c r="E5557" s="221"/>
      <c r="F5557" s="221"/>
      <c r="G5557" s="221"/>
      <c r="H5557" s="221"/>
      <c r="I5557" s="221"/>
      <c r="J5557" s="221"/>
      <c r="K5557" s="221"/>
      <c r="L5557" s="221"/>
      <c r="M5557" s="221"/>
    </row>
    <row r="5558" spans="5:13">
      <c r="E5558" s="221"/>
      <c r="F5558" s="221"/>
      <c r="G5558" s="221"/>
      <c r="H5558" s="221"/>
      <c r="I5558" s="221"/>
      <c r="J5558" s="221"/>
      <c r="K5558" s="221"/>
      <c r="L5558" s="221"/>
      <c r="M5558" s="221"/>
    </row>
    <row r="5559" spans="5:13">
      <c r="E5559" s="221"/>
      <c r="F5559" s="221"/>
      <c r="G5559" s="221"/>
      <c r="H5559" s="221"/>
      <c r="I5559" s="221"/>
      <c r="J5559" s="221"/>
      <c r="K5559" s="221"/>
      <c r="L5559" s="221"/>
      <c r="M5559" s="221"/>
    </row>
    <row r="5560" spans="5:13">
      <c r="E5560" s="221"/>
      <c r="F5560" s="221"/>
      <c r="G5560" s="221"/>
      <c r="H5560" s="221"/>
      <c r="I5560" s="221"/>
      <c r="J5560" s="221"/>
      <c r="K5560" s="221"/>
      <c r="L5560" s="221"/>
      <c r="M5560" s="221"/>
    </row>
    <row r="5561" spans="5:13">
      <c r="E5561" s="221"/>
      <c r="F5561" s="221"/>
      <c r="G5561" s="221"/>
      <c r="H5561" s="221"/>
      <c r="I5561" s="221"/>
      <c r="J5561" s="221"/>
      <c r="K5561" s="221"/>
      <c r="L5561" s="221"/>
      <c r="M5561" s="221"/>
    </row>
    <row r="5562" spans="5:13">
      <c r="E5562" s="221"/>
      <c r="F5562" s="221"/>
      <c r="G5562" s="221"/>
      <c r="H5562" s="221"/>
      <c r="I5562" s="221"/>
      <c r="J5562" s="221"/>
      <c r="K5562" s="221"/>
      <c r="L5562" s="221"/>
      <c r="M5562" s="221"/>
    </row>
    <row r="5563" spans="5:13">
      <c r="E5563" s="221"/>
      <c r="F5563" s="221"/>
      <c r="G5563" s="221"/>
      <c r="H5563" s="221"/>
      <c r="I5563" s="221"/>
      <c r="J5563" s="221"/>
      <c r="K5563" s="221"/>
      <c r="L5563" s="221"/>
      <c r="M5563" s="221"/>
    </row>
    <row r="5564" spans="5:13">
      <c r="E5564" s="221"/>
      <c r="F5564" s="221"/>
      <c r="G5564" s="221"/>
      <c r="H5564" s="221"/>
      <c r="I5564" s="221"/>
      <c r="J5564" s="221"/>
      <c r="K5564" s="221"/>
      <c r="L5564" s="221"/>
      <c r="M5564" s="221"/>
    </row>
    <row r="5565" spans="5:13">
      <c r="E5565" s="221"/>
      <c r="F5565" s="221"/>
      <c r="G5565" s="221"/>
      <c r="H5565" s="221"/>
      <c r="I5565" s="221"/>
      <c r="J5565" s="221"/>
      <c r="K5565" s="221"/>
      <c r="L5565" s="221"/>
      <c r="M5565" s="221"/>
    </row>
    <row r="5566" spans="5:13">
      <c r="E5566" s="221"/>
      <c r="F5566" s="221"/>
      <c r="G5566" s="221"/>
      <c r="H5566" s="221"/>
      <c r="I5566" s="221"/>
      <c r="J5566" s="221"/>
      <c r="K5566" s="221"/>
      <c r="L5566" s="221"/>
      <c r="M5566" s="221"/>
    </row>
    <row r="5567" spans="5:13">
      <c r="E5567" s="221"/>
      <c r="F5567" s="221"/>
      <c r="G5567" s="221"/>
      <c r="H5567" s="221"/>
      <c r="I5567" s="221"/>
      <c r="J5567" s="221"/>
      <c r="K5567" s="221"/>
      <c r="L5567" s="221"/>
      <c r="M5567" s="221"/>
    </row>
    <row r="5568" spans="5:13">
      <c r="E5568" s="221"/>
      <c r="F5568" s="221"/>
      <c r="G5568" s="221"/>
      <c r="H5568" s="221"/>
      <c r="I5568" s="221"/>
      <c r="J5568" s="221"/>
      <c r="K5568" s="221"/>
      <c r="L5568" s="221"/>
      <c r="M5568" s="221"/>
    </row>
    <row r="5569" spans="5:13">
      <c r="E5569" s="221"/>
      <c r="F5569" s="221"/>
      <c r="G5569" s="221"/>
      <c r="H5569" s="221"/>
      <c r="I5569" s="221"/>
      <c r="J5569" s="221"/>
      <c r="K5569" s="221"/>
      <c r="L5569" s="221"/>
      <c r="M5569" s="221"/>
    </row>
    <row r="5570" spans="5:13">
      <c r="E5570" s="221"/>
      <c r="F5570" s="221"/>
      <c r="G5570" s="221"/>
      <c r="H5570" s="221"/>
      <c r="I5570" s="221"/>
      <c r="J5570" s="221"/>
      <c r="K5570" s="221"/>
      <c r="L5570" s="221"/>
      <c r="M5570" s="221"/>
    </row>
    <row r="5571" spans="5:13">
      <c r="E5571" s="221"/>
      <c r="F5571" s="221"/>
      <c r="G5571" s="221"/>
      <c r="H5571" s="221"/>
      <c r="I5571" s="221"/>
      <c r="J5571" s="221"/>
      <c r="K5571" s="221"/>
      <c r="L5571" s="221"/>
      <c r="M5571" s="221"/>
    </row>
    <row r="5572" spans="5:13">
      <c r="E5572" s="221"/>
      <c r="F5572" s="221"/>
      <c r="G5572" s="221"/>
      <c r="H5572" s="221"/>
      <c r="I5572" s="221"/>
      <c r="J5572" s="221"/>
      <c r="K5572" s="221"/>
      <c r="L5572" s="221"/>
      <c r="M5572" s="221"/>
    </row>
    <row r="5573" spans="5:13">
      <c r="E5573" s="221"/>
      <c r="F5573" s="221"/>
      <c r="G5573" s="221"/>
      <c r="H5573" s="221"/>
      <c r="I5573" s="221"/>
      <c r="J5573" s="221"/>
      <c r="K5573" s="221"/>
      <c r="L5573" s="221"/>
      <c r="M5573" s="221"/>
    </row>
    <row r="5574" spans="5:13">
      <c r="E5574" s="221"/>
      <c r="F5574" s="221"/>
      <c r="G5574" s="221"/>
      <c r="H5574" s="221"/>
      <c r="I5574" s="221"/>
      <c r="J5574" s="221"/>
      <c r="K5574" s="221"/>
      <c r="L5574" s="221"/>
      <c r="M5574" s="221"/>
    </row>
    <row r="5575" spans="5:13">
      <c r="E5575" s="221"/>
      <c r="F5575" s="221"/>
      <c r="G5575" s="221"/>
      <c r="H5575" s="221"/>
      <c r="I5575" s="221"/>
      <c r="J5575" s="221"/>
      <c r="K5575" s="221"/>
      <c r="L5575" s="221"/>
      <c r="M5575" s="221"/>
    </row>
    <row r="5576" spans="5:13">
      <c r="E5576" s="221"/>
      <c r="F5576" s="221"/>
      <c r="G5576" s="221"/>
      <c r="H5576" s="221"/>
      <c r="I5576" s="221"/>
      <c r="J5576" s="221"/>
      <c r="K5576" s="221"/>
      <c r="L5576" s="221"/>
      <c r="M5576" s="221"/>
    </row>
    <row r="5577" spans="5:13">
      <c r="E5577" s="221"/>
      <c r="F5577" s="221"/>
      <c r="G5577" s="221"/>
      <c r="H5577" s="221"/>
      <c r="I5577" s="221"/>
      <c r="J5577" s="221"/>
      <c r="K5577" s="221"/>
      <c r="L5577" s="221"/>
      <c r="M5577" s="221"/>
    </row>
    <row r="5578" spans="5:13">
      <c r="E5578" s="221"/>
      <c r="F5578" s="221"/>
      <c r="G5578" s="221"/>
      <c r="H5578" s="221"/>
      <c r="I5578" s="221"/>
      <c r="J5578" s="221"/>
      <c r="K5578" s="221"/>
      <c r="L5578" s="221"/>
      <c r="M5578" s="221"/>
    </row>
    <row r="5579" spans="5:13">
      <c r="E5579" s="221"/>
      <c r="F5579" s="221"/>
      <c r="G5579" s="221"/>
      <c r="H5579" s="221"/>
      <c r="I5579" s="221"/>
      <c r="J5579" s="221"/>
      <c r="K5579" s="221"/>
      <c r="L5579" s="221"/>
      <c r="M5579" s="221"/>
    </row>
    <row r="5580" spans="5:13">
      <c r="E5580" s="221"/>
      <c r="F5580" s="221"/>
      <c r="G5580" s="221"/>
      <c r="H5580" s="221"/>
      <c r="I5580" s="221"/>
      <c r="J5580" s="221"/>
      <c r="K5580" s="221"/>
      <c r="L5580" s="221"/>
      <c r="M5580" s="221"/>
    </row>
    <row r="5581" spans="5:13">
      <c r="E5581" s="221"/>
      <c r="F5581" s="221"/>
      <c r="G5581" s="221"/>
      <c r="H5581" s="221"/>
      <c r="I5581" s="221"/>
      <c r="J5581" s="221"/>
      <c r="K5581" s="221"/>
      <c r="L5581" s="221"/>
      <c r="M5581" s="221"/>
    </row>
    <row r="5582" spans="5:13">
      <c r="E5582" s="221"/>
      <c r="F5582" s="221"/>
      <c r="G5582" s="221"/>
      <c r="H5582" s="221"/>
      <c r="I5582" s="221"/>
      <c r="J5582" s="221"/>
      <c r="K5582" s="221"/>
      <c r="L5582" s="221"/>
      <c r="M5582" s="221"/>
    </row>
    <row r="5583" spans="5:13">
      <c r="E5583" s="221"/>
      <c r="F5583" s="221"/>
      <c r="G5583" s="221"/>
      <c r="H5583" s="221"/>
      <c r="I5583" s="221"/>
      <c r="J5583" s="221"/>
      <c r="K5583" s="221"/>
      <c r="L5583" s="221"/>
      <c r="M5583" s="221"/>
    </row>
    <row r="5584" spans="5:13">
      <c r="E5584" s="221"/>
      <c r="F5584" s="221"/>
      <c r="G5584" s="221"/>
      <c r="H5584" s="221"/>
      <c r="I5584" s="221"/>
      <c r="J5584" s="221"/>
      <c r="K5584" s="221"/>
      <c r="L5584" s="221"/>
      <c r="M5584" s="221"/>
    </row>
    <row r="5585" spans="5:13">
      <c r="E5585" s="221"/>
      <c r="F5585" s="221"/>
      <c r="G5585" s="221"/>
      <c r="H5585" s="221"/>
      <c r="I5585" s="221"/>
      <c r="J5585" s="221"/>
      <c r="K5585" s="221"/>
      <c r="L5585" s="221"/>
      <c r="M5585" s="221"/>
    </row>
    <row r="5586" spans="5:13">
      <c r="E5586" s="221"/>
      <c r="F5586" s="221"/>
      <c r="G5586" s="221"/>
      <c r="H5586" s="221"/>
      <c r="I5586" s="221"/>
      <c r="J5586" s="221"/>
      <c r="K5586" s="221"/>
      <c r="L5586" s="221"/>
      <c r="M5586" s="221"/>
    </row>
    <row r="5587" spans="5:13">
      <c r="E5587" s="221"/>
      <c r="F5587" s="221"/>
      <c r="G5587" s="221"/>
      <c r="H5587" s="221"/>
      <c r="I5587" s="221"/>
      <c r="J5587" s="221"/>
      <c r="K5587" s="221"/>
      <c r="L5587" s="221"/>
      <c r="M5587" s="221"/>
    </row>
    <row r="5588" spans="5:13">
      <c r="E5588" s="221"/>
      <c r="F5588" s="221"/>
      <c r="G5588" s="221"/>
      <c r="H5588" s="221"/>
      <c r="I5588" s="221"/>
      <c r="J5588" s="221"/>
      <c r="K5588" s="221"/>
      <c r="L5588" s="221"/>
      <c r="M5588" s="221"/>
    </row>
    <row r="5589" spans="5:13">
      <c r="E5589" s="221"/>
      <c r="F5589" s="221"/>
      <c r="G5589" s="221"/>
      <c r="H5589" s="221"/>
      <c r="I5589" s="221"/>
      <c r="J5589" s="221"/>
      <c r="K5589" s="221"/>
      <c r="L5589" s="221"/>
      <c r="M5589" s="221"/>
    </row>
    <row r="5590" spans="5:13">
      <c r="E5590" s="221"/>
      <c r="F5590" s="221"/>
      <c r="G5590" s="221"/>
      <c r="H5590" s="221"/>
      <c r="I5590" s="221"/>
      <c r="J5590" s="221"/>
      <c r="K5590" s="221"/>
      <c r="L5590" s="221"/>
      <c r="M5590" s="221"/>
    </row>
    <row r="5591" spans="5:13">
      <c r="E5591" s="221"/>
      <c r="F5591" s="221"/>
      <c r="G5591" s="221"/>
      <c r="H5591" s="221"/>
      <c r="I5591" s="221"/>
      <c r="J5591" s="221"/>
      <c r="K5591" s="221"/>
      <c r="L5591" s="221"/>
      <c r="M5591" s="221"/>
    </row>
    <row r="5592" spans="5:13">
      <c r="E5592" s="221"/>
      <c r="F5592" s="221"/>
      <c r="G5592" s="221"/>
      <c r="H5592" s="221"/>
      <c r="I5592" s="221"/>
      <c r="J5592" s="221"/>
      <c r="K5592" s="221"/>
      <c r="L5592" s="221"/>
      <c r="M5592" s="221"/>
    </row>
    <row r="5593" spans="5:13">
      <c r="E5593" s="221"/>
      <c r="F5593" s="221"/>
      <c r="G5593" s="221"/>
      <c r="H5593" s="221"/>
      <c r="I5593" s="221"/>
      <c r="J5593" s="221"/>
      <c r="K5593" s="221"/>
      <c r="L5593" s="221"/>
      <c r="M5593" s="221"/>
    </row>
    <row r="5594" spans="5:13">
      <c r="E5594" s="221"/>
      <c r="F5594" s="221"/>
      <c r="G5594" s="221"/>
      <c r="H5594" s="221"/>
      <c r="I5594" s="221"/>
      <c r="J5594" s="221"/>
      <c r="K5594" s="221"/>
      <c r="L5594" s="221"/>
      <c r="M5594" s="221"/>
    </row>
    <row r="5595" spans="5:13">
      <c r="E5595" s="221"/>
      <c r="F5595" s="221"/>
      <c r="G5595" s="221"/>
      <c r="H5595" s="221"/>
      <c r="I5595" s="221"/>
      <c r="J5595" s="221"/>
      <c r="K5595" s="221"/>
      <c r="L5595" s="221"/>
      <c r="M5595" s="221"/>
    </row>
    <row r="5596" spans="5:13">
      <c r="E5596" s="221"/>
      <c r="F5596" s="221"/>
      <c r="G5596" s="221"/>
      <c r="H5596" s="221"/>
      <c r="I5596" s="221"/>
      <c r="J5596" s="221"/>
      <c r="K5596" s="221"/>
      <c r="L5596" s="221"/>
      <c r="M5596" s="221"/>
    </row>
    <row r="5597" spans="5:13">
      <c r="E5597" s="221"/>
      <c r="F5597" s="221"/>
      <c r="G5597" s="221"/>
      <c r="H5597" s="221"/>
      <c r="I5597" s="221"/>
      <c r="J5597" s="221"/>
      <c r="K5597" s="221"/>
      <c r="L5597" s="221"/>
      <c r="M5597" s="221"/>
    </row>
    <row r="5598" spans="5:13">
      <c r="E5598" s="221"/>
      <c r="F5598" s="221"/>
      <c r="G5598" s="221"/>
      <c r="H5598" s="221"/>
      <c r="I5598" s="221"/>
      <c r="J5598" s="221"/>
      <c r="K5598" s="221"/>
      <c r="L5598" s="221"/>
      <c r="M5598" s="221"/>
    </row>
    <row r="5599" spans="5:13">
      <c r="E5599" s="221"/>
      <c r="F5599" s="221"/>
      <c r="G5599" s="221"/>
      <c r="H5599" s="221"/>
      <c r="I5599" s="221"/>
      <c r="J5599" s="221"/>
      <c r="K5599" s="221"/>
      <c r="L5599" s="221"/>
      <c r="M5599" s="221"/>
    </row>
    <row r="5600" spans="5:13">
      <c r="E5600" s="221"/>
      <c r="F5600" s="221"/>
      <c r="G5600" s="221"/>
      <c r="H5600" s="221"/>
      <c r="I5600" s="221"/>
      <c r="J5600" s="221"/>
      <c r="K5600" s="221"/>
      <c r="L5600" s="221"/>
      <c r="M5600" s="221"/>
    </row>
    <row r="5601" spans="5:13">
      <c r="E5601" s="221"/>
      <c r="F5601" s="221"/>
      <c r="G5601" s="221"/>
      <c r="H5601" s="221"/>
      <c r="I5601" s="221"/>
      <c r="J5601" s="221"/>
      <c r="K5601" s="221"/>
      <c r="L5601" s="221"/>
      <c r="M5601" s="221"/>
    </row>
    <row r="5602" spans="5:13">
      <c r="E5602" s="221"/>
      <c r="F5602" s="221"/>
      <c r="G5602" s="221"/>
      <c r="H5602" s="221"/>
      <c r="I5602" s="221"/>
      <c r="J5602" s="221"/>
      <c r="K5602" s="221"/>
      <c r="L5602" s="221"/>
      <c r="M5602" s="221"/>
    </row>
    <row r="5603" spans="5:13">
      <c r="E5603" s="221"/>
      <c r="F5603" s="221"/>
      <c r="G5603" s="221"/>
      <c r="H5603" s="221"/>
      <c r="I5603" s="221"/>
      <c r="J5603" s="221"/>
      <c r="K5603" s="221"/>
      <c r="L5603" s="221"/>
      <c r="M5603" s="221"/>
    </row>
    <row r="5604" spans="5:13">
      <c r="E5604" s="221"/>
      <c r="F5604" s="221"/>
      <c r="G5604" s="221"/>
      <c r="H5604" s="221"/>
      <c r="I5604" s="221"/>
      <c r="J5604" s="221"/>
      <c r="K5604" s="221"/>
      <c r="L5604" s="221"/>
      <c r="M5604" s="221"/>
    </row>
    <row r="5605" spans="5:13">
      <c r="E5605" s="221"/>
      <c r="F5605" s="221"/>
      <c r="G5605" s="221"/>
      <c r="H5605" s="221"/>
      <c r="I5605" s="221"/>
      <c r="J5605" s="221"/>
      <c r="K5605" s="221"/>
      <c r="L5605" s="221"/>
      <c r="M5605" s="221"/>
    </row>
    <row r="5606" spans="5:13">
      <c r="E5606" s="221"/>
      <c r="F5606" s="221"/>
      <c r="G5606" s="221"/>
      <c r="H5606" s="221"/>
      <c r="I5606" s="221"/>
      <c r="J5606" s="221"/>
      <c r="K5606" s="221"/>
      <c r="L5606" s="221"/>
      <c r="M5606" s="221"/>
    </row>
    <row r="5607" spans="5:13">
      <c r="E5607" s="221"/>
      <c r="F5607" s="221"/>
      <c r="G5607" s="221"/>
      <c r="H5607" s="221"/>
      <c r="I5607" s="221"/>
      <c r="J5607" s="221"/>
      <c r="K5607" s="221"/>
      <c r="L5607" s="221"/>
      <c r="M5607" s="221"/>
    </row>
    <row r="5608" spans="5:13">
      <c r="E5608" s="221"/>
      <c r="F5608" s="221"/>
      <c r="G5608" s="221"/>
      <c r="H5608" s="221"/>
      <c r="I5608" s="221"/>
      <c r="J5608" s="221"/>
      <c r="K5608" s="221"/>
      <c r="L5608" s="221"/>
      <c r="M5608" s="221"/>
    </row>
    <row r="5609" spans="5:13">
      <c r="E5609" s="221"/>
      <c r="F5609" s="221"/>
      <c r="G5609" s="221"/>
      <c r="H5609" s="221"/>
      <c r="I5609" s="221"/>
      <c r="J5609" s="221"/>
      <c r="K5609" s="221"/>
      <c r="L5609" s="221"/>
      <c r="M5609" s="221"/>
    </row>
    <row r="5610" spans="5:13">
      <c r="E5610" s="221"/>
      <c r="F5610" s="221"/>
      <c r="G5610" s="221"/>
      <c r="H5610" s="221"/>
      <c r="I5610" s="221"/>
      <c r="J5610" s="221"/>
      <c r="K5610" s="221"/>
      <c r="L5610" s="221"/>
      <c r="M5610" s="221"/>
    </row>
    <row r="5611" spans="5:13">
      <c r="E5611" s="221"/>
      <c r="F5611" s="221"/>
      <c r="G5611" s="221"/>
      <c r="H5611" s="221"/>
      <c r="I5611" s="221"/>
      <c r="J5611" s="221"/>
      <c r="K5611" s="221"/>
      <c r="L5611" s="221"/>
      <c r="M5611" s="221"/>
    </row>
    <row r="5612" spans="5:13">
      <c r="E5612" s="221"/>
      <c r="F5612" s="221"/>
      <c r="G5612" s="221"/>
      <c r="H5612" s="221"/>
      <c r="I5612" s="221"/>
      <c r="J5612" s="221"/>
      <c r="K5612" s="221"/>
      <c r="L5612" s="221"/>
      <c r="M5612" s="221"/>
    </row>
    <row r="5613" spans="5:13">
      <c r="E5613" s="221"/>
      <c r="F5613" s="221"/>
      <c r="G5613" s="221"/>
      <c r="H5613" s="221"/>
      <c r="I5613" s="221"/>
      <c r="J5613" s="221"/>
      <c r="K5613" s="221"/>
      <c r="L5613" s="221"/>
      <c r="M5613" s="221"/>
    </row>
    <row r="5614" spans="5:13">
      <c r="E5614" s="221"/>
      <c r="F5614" s="221"/>
      <c r="G5614" s="221"/>
      <c r="H5614" s="221"/>
      <c r="I5614" s="221"/>
      <c r="J5614" s="221"/>
      <c r="K5614" s="221"/>
      <c r="L5614" s="221"/>
      <c r="M5614" s="221"/>
    </row>
    <row r="5615" spans="5:13">
      <c r="E5615" s="221"/>
      <c r="F5615" s="221"/>
      <c r="G5615" s="221"/>
      <c r="H5615" s="221"/>
      <c r="I5615" s="221"/>
      <c r="J5615" s="221"/>
      <c r="K5615" s="221"/>
      <c r="L5615" s="221"/>
      <c r="M5615" s="221"/>
    </row>
    <row r="5616" spans="5:13">
      <c r="E5616" s="221"/>
      <c r="F5616" s="221"/>
      <c r="G5616" s="221"/>
      <c r="H5616" s="221"/>
      <c r="I5616" s="221"/>
      <c r="J5616" s="221"/>
      <c r="K5616" s="221"/>
      <c r="L5616" s="221"/>
      <c r="M5616" s="221"/>
    </row>
    <row r="5617" spans="5:13">
      <c r="E5617" s="221"/>
      <c r="F5617" s="221"/>
      <c r="G5617" s="221"/>
      <c r="H5617" s="221"/>
      <c r="I5617" s="221"/>
      <c r="J5617" s="221"/>
      <c r="K5617" s="221"/>
      <c r="L5617" s="221"/>
      <c r="M5617" s="221"/>
    </row>
    <row r="5618" spans="5:13">
      <c r="E5618" s="221"/>
      <c r="F5618" s="221"/>
      <c r="G5618" s="221"/>
      <c r="H5618" s="221"/>
      <c r="I5618" s="221"/>
      <c r="J5618" s="221"/>
      <c r="K5618" s="221"/>
      <c r="L5618" s="221"/>
      <c r="M5618" s="221"/>
    </row>
    <row r="5619" spans="5:13">
      <c r="E5619" s="221"/>
      <c r="F5619" s="221"/>
      <c r="G5619" s="221"/>
      <c r="H5619" s="221"/>
      <c r="I5619" s="221"/>
      <c r="J5619" s="221"/>
      <c r="K5619" s="221"/>
      <c r="L5619" s="221"/>
      <c r="M5619" s="221"/>
    </row>
    <row r="5620" spans="5:13">
      <c r="E5620" s="221"/>
      <c r="F5620" s="221"/>
      <c r="G5620" s="221"/>
      <c r="H5620" s="221"/>
      <c r="I5620" s="221"/>
      <c r="J5620" s="221"/>
      <c r="K5620" s="221"/>
      <c r="L5620" s="221"/>
      <c r="M5620" s="221"/>
    </row>
    <row r="5621" spans="5:13">
      <c r="E5621" s="221"/>
      <c r="F5621" s="221"/>
      <c r="G5621" s="221"/>
      <c r="H5621" s="221"/>
      <c r="I5621" s="221"/>
      <c r="J5621" s="221"/>
      <c r="K5621" s="221"/>
      <c r="L5621" s="221"/>
      <c r="M5621" s="221"/>
    </row>
    <row r="5622" spans="5:13">
      <c r="E5622" s="221"/>
      <c r="F5622" s="221"/>
      <c r="G5622" s="221"/>
      <c r="H5622" s="221"/>
      <c r="I5622" s="221"/>
      <c r="J5622" s="221"/>
      <c r="K5622" s="221"/>
      <c r="L5622" s="221"/>
      <c r="M5622" s="221"/>
    </row>
    <row r="5623" spans="5:13">
      <c r="E5623" s="221"/>
      <c r="F5623" s="221"/>
      <c r="G5623" s="221"/>
      <c r="H5623" s="221"/>
      <c r="I5623" s="221"/>
      <c r="J5623" s="221"/>
      <c r="K5623" s="221"/>
      <c r="L5623" s="221"/>
      <c r="M5623" s="221"/>
    </row>
    <row r="5624" spans="5:13">
      <c r="E5624" s="221"/>
      <c r="F5624" s="221"/>
      <c r="G5624" s="221"/>
      <c r="H5624" s="221"/>
      <c r="I5624" s="221"/>
      <c r="J5624" s="221"/>
      <c r="K5624" s="221"/>
      <c r="L5624" s="221"/>
      <c r="M5624" s="221"/>
    </row>
    <row r="5625" spans="5:13">
      <c r="E5625" s="221"/>
      <c r="F5625" s="221"/>
      <c r="G5625" s="221"/>
      <c r="H5625" s="221"/>
      <c r="I5625" s="221"/>
      <c r="J5625" s="221"/>
      <c r="K5625" s="221"/>
      <c r="L5625" s="221"/>
      <c r="M5625" s="221"/>
    </row>
    <row r="5626" spans="5:13">
      <c r="E5626" s="221"/>
      <c r="F5626" s="221"/>
      <c r="G5626" s="221"/>
      <c r="H5626" s="221"/>
      <c r="I5626" s="221"/>
      <c r="J5626" s="221"/>
      <c r="K5626" s="221"/>
      <c r="L5626" s="221"/>
      <c r="M5626" s="221"/>
    </row>
    <row r="5627" spans="5:13">
      <c r="E5627" s="221"/>
      <c r="F5627" s="221"/>
      <c r="G5627" s="221"/>
      <c r="H5627" s="221"/>
      <c r="I5627" s="221"/>
      <c r="J5627" s="221"/>
      <c r="K5627" s="221"/>
      <c r="L5627" s="221"/>
      <c r="M5627" s="221"/>
    </row>
    <row r="5628" spans="5:13">
      <c r="E5628" s="221"/>
      <c r="F5628" s="221"/>
      <c r="G5628" s="221"/>
      <c r="H5628" s="221"/>
      <c r="I5628" s="221"/>
      <c r="J5628" s="221"/>
      <c r="K5628" s="221"/>
      <c r="L5628" s="221"/>
      <c r="M5628" s="221"/>
    </row>
    <row r="5629" spans="5:13">
      <c r="E5629" s="221"/>
      <c r="F5629" s="221"/>
      <c r="G5629" s="221"/>
      <c r="H5629" s="221"/>
      <c r="I5629" s="221"/>
      <c r="J5629" s="221"/>
      <c r="K5629" s="221"/>
      <c r="L5629" s="221"/>
      <c r="M5629" s="221"/>
    </row>
    <row r="5630" spans="5:13">
      <c r="E5630" s="221"/>
      <c r="F5630" s="221"/>
      <c r="G5630" s="221"/>
      <c r="H5630" s="221"/>
      <c r="I5630" s="221"/>
      <c r="J5630" s="221"/>
      <c r="K5630" s="221"/>
      <c r="L5630" s="221"/>
      <c r="M5630" s="221"/>
    </row>
    <row r="5631" spans="5:13">
      <c r="E5631" s="221"/>
      <c r="F5631" s="221"/>
      <c r="G5631" s="221"/>
      <c r="H5631" s="221"/>
      <c r="I5631" s="221"/>
      <c r="J5631" s="221"/>
      <c r="K5631" s="221"/>
      <c r="L5631" s="221"/>
      <c r="M5631" s="221"/>
    </row>
    <row r="5632" spans="5:13">
      <c r="E5632" s="221"/>
      <c r="F5632" s="221"/>
      <c r="G5632" s="221"/>
      <c r="H5632" s="221"/>
      <c r="I5632" s="221"/>
      <c r="J5632" s="221"/>
      <c r="K5632" s="221"/>
      <c r="L5632" s="221"/>
      <c r="M5632" s="221"/>
    </row>
    <row r="5633" spans="5:13">
      <c r="E5633" s="221"/>
      <c r="F5633" s="221"/>
      <c r="G5633" s="221"/>
      <c r="H5633" s="221"/>
      <c r="I5633" s="221"/>
      <c r="J5633" s="221"/>
      <c r="K5633" s="221"/>
      <c r="L5633" s="221"/>
      <c r="M5633" s="221"/>
    </row>
    <row r="5634" spans="5:13">
      <c r="E5634" s="221"/>
      <c r="F5634" s="221"/>
      <c r="G5634" s="221"/>
      <c r="H5634" s="221"/>
      <c r="I5634" s="221"/>
      <c r="J5634" s="221"/>
      <c r="K5634" s="221"/>
      <c r="L5634" s="221"/>
      <c r="M5634" s="221"/>
    </row>
    <row r="5635" spans="5:13">
      <c r="E5635" s="221"/>
      <c r="F5635" s="221"/>
      <c r="G5635" s="221"/>
      <c r="H5635" s="221"/>
      <c r="I5635" s="221"/>
      <c r="J5635" s="221"/>
      <c r="K5635" s="221"/>
      <c r="L5635" s="221"/>
      <c r="M5635" s="221"/>
    </row>
    <row r="5636" spans="5:13">
      <c r="E5636" s="221"/>
      <c r="F5636" s="221"/>
      <c r="G5636" s="221"/>
      <c r="H5636" s="221"/>
      <c r="I5636" s="221"/>
      <c r="J5636" s="221"/>
      <c r="K5636" s="221"/>
      <c r="L5636" s="221"/>
      <c r="M5636" s="221"/>
    </row>
    <row r="5637" spans="5:13">
      <c r="E5637" s="221"/>
      <c r="F5637" s="221"/>
      <c r="G5637" s="221"/>
      <c r="H5637" s="221"/>
      <c r="I5637" s="221"/>
      <c r="J5637" s="221"/>
      <c r="K5637" s="221"/>
      <c r="L5637" s="221"/>
      <c r="M5637" s="221"/>
    </row>
    <row r="5638" spans="5:13">
      <c r="E5638" s="221"/>
      <c r="F5638" s="221"/>
      <c r="G5638" s="221"/>
      <c r="H5638" s="221"/>
      <c r="I5638" s="221"/>
      <c r="J5638" s="221"/>
      <c r="K5638" s="221"/>
      <c r="L5638" s="221"/>
      <c r="M5638" s="221"/>
    </row>
    <row r="5639" spans="5:13">
      <c r="E5639" s="221"/>
      <c r="F5639" s="221"/>
      <c r="G5639" s="221"/>
      <c r="H5639" s="221"/>
      <c r="I5639" s="221"/>
      <c r="J5639" s="221"/>
      <c r="K5639" s="221"/>
      <c r="L5639" s="221"/>
      <c r="M5639" s="221"/>
    </row>
    <row r="5640" spans="5:13">
      <c r="E5640" s="221"/>
      <c r="F5640" s="221"/>
      <c r="G5640" s="221"/>
      <c r="H5640" s="221"/>
      <c r="I5640" s="221"/>
      <c r="J5640" s="221"/>
      <c r="K5640" s="221"/>
      <c r="L5640" s="221"/>
      <c r="M5640" s="221"/>
    </row>
    <row r="5641" spans="5:13">
      <c r="E5641" s="221"/>
      <c r="F5641" s="221"/>
      <c r="G5641" s="221"/>
      <c r="H5641" s="221"/>
      <c r="I5641" s="221"/>
      <c r="J5641" s="221"/>
      <c r="K5641" s="221"/>
      <c r="L5641" s="221"/>
      <c r="M5641" s="221"/>
    </row>
    <row r="5642" spans="5:13">
      <c r="E5642" s="221"/>
      <c r="F5642" s="221"/>
      <c r="G5642" s="221"/>
      <c r="H5642" s="221"/>
      <c r="I5642" s="221"/>
      <c r="J5642" s="221"/>
      <c r="K5642" s="221"/>
      <c r="L5642" s="221"/>
      <c r="M5642" s="221"/>
    </row>
    <row r="5643" spans="5:13">
      <c r="E5643" s="221"/>
      <c r="F5643" s="221"/>
      <c r="G5643" s="221"/>
      <c r="H5643" s="221"/>
      <c r="I5643" s="221"/>
      <c r="J5643" s="221"/>
      <c r="K5643" s="221"/>
      <c r="L5643" s="221"/>
      <c r="M5643" s="221"/>
    </row>
    <row r="5644" spans="5:13">
      <c r="E5644" s="221"/>
      <c r="F5644" s="221"/>
      <c r="G5644" s="221"/>
      <c r="H5644" s="221"/>
      <c r="I5644" s="221"/>
      <c r="J5644" s="221"/>
      <c r="K5644" s="221"/>
      <c r="L5644" s="221"/>
      <c r="M5644" s="221"/>
    </row>
    <row r="5645" spans="5:13">
      <c r="E5645" s="221"/>
      <c r="F5645" s="221"/>
      <c r="G5645" s="221"/>
      <c r="H5645" s="221"/>
      <c r="I5645" s="221"/>
      <c r="J5645" s="221"/>
      <c r="K5645" s="221"/>
      <c r="L5645" s="221"/>
      <c r="M5645" s="221"/>
    </row>
    <row r="5646" spans="5:13">
      <c r="E5646" s="221"/>
      <c r="F5646" s="221"/>
      <c r="G5646" s="221"/>
      <c r="H5646" s="221"/>
      <c r="I5646" s="221"/>
      <c r="J5646" s="221"/>
      <c r="K5646" s="221"/>
      <c r="L5646" s="221"/>
      <c r="M5646" s="221"/>
    </row>
    <row r="5647" spans="5:13">
      <c r="E5647" s="221"/>
      <c r="F5647" s="221"/>
      <c r="G5647" s="221"/>
      <c r="H5647" s="221"/>
      <c r="I5647" s="221"/>
      <c r="J5647" s="221"/>
      <c r="K5647" s="221"/>
      <c r="L5647" s="221"/>
      <c r="M5647" s="221"/>
    </row>
    <row r="5648" spans="5:13">
      <c r="E5648" s="221"/>
      <c r="F5648" s="221"/>
      <c r="G5648" s="221"/>
      <c r="H5648" s="221"/>
      <c r="I5648" s="221"/>
      <c r="J5648" s="221"/>
      <c r="K5648" s="221"/>
      <c r="L5648" s="221"/>
      <c r="M5648" s="221"/>
    </row>
    <row r="5649" spans="5:13">
      <c r="E5649" s="221"/>
      <c r="F5649" s="221"/>
      <c r="G5649" s="221"/>
      <c r="H5649" s="221"/>
      <c r="I5649" s="221"/>
      <c r="J5649" s="221"/>
      <c r="K5649" s="221"/>
      <c r="L5649" s="221"/>
      <c r="M5649" s="221"/>
    </row>
    <row r="5650" spans="5:13">
      <c r="E5650" s="221"/>
      <c r="F5650" s="221"/>
      <c r="G5650" s="221"/>
      <c r="H5650" s="221"/>
      <c r="I5650" s="221"/>
      <c r="J5650" s="221"/>
      <c r="K5650" s="221"/>
      <c r="L5650" s="221"/>
      <c r="M5650" s="221"/>
    </row>
    <row r="5651" spans="5:13">
      <c r="E5651" s="221"/>
      <c r="F5651" s="221"/>
      <c r="G5651" s="221"/>
      <c r="H5651" s="221"/>
      <c r="I5651" s="221"/>
      <c r="J5651" s="221"/>
      <c r="K5651" s="221"/>
      <c r="L5651" s="221"/>
      <c r="M5651" s="221"/>
    </row>
    <row r="5652" spans="5:13">
      <c r="E5652" s="221"/>
      <c r="F5652" s="221"/>
      <c r="G5652" s="221"/>
      <c r="H5652" s="221"/>
      <c r="I5652" s="221"/>
      <c r="J5652" s="221"/>
      <c r="K5652" s="221"/>
      <c r="L5652" s="221"/>
      <c r="M5652" s="221"/>
    </row>
    <row r="5653" spans="5:13">
      <c r="E5653" s="221"/>
      <c r="F5653" s="221"/>
      <c r="G5653" s="221"/>
      <c r="H5653" s="221"/>
      <c r="I5653" s="221"/>
      <c r="J5653" s="221"/>
      <c r="K5653" s="221"/>
      <c r="L5653" s="221"/>
      <c r="M5653" s="221"/>
    </row>
    <row r="5654" spans="5:13">
      <c r="E5654" s="221"/>
      <c r="F5654" s="221"/>
      <c r="G5654" s="221"/>
      <c r="H5654" s="221"/>
      <c r="I5654" s="221"/>
      <c r="J5654" s="221"/>
      <c r="K5654" s="221"/>
      <c r="L5654" s="221"/>
      <c r="M5654" s="221"/>
    </row>
    <row r="5655" spans="5:13">
      <c r="E5655" s="221"/>
      <c r="F5655" s="221"/>
      <c r="G5655" s="221"/>
      <c r="H5655" s="221"/>
      <c r="I5655" s="221"/>
      <c r="J5655" s="221"/>
      <c r="K5655" s="221"/>
      <c r="L5655" s="221"/>
      <c r="M5655" s="221"/>
    </row>
    <row r="5656" spans="5:13">
      <c r="E5656" s="221"/>
      <c r="F5656" s="221"/>
      <c r="G5656" s="221"/>
      <c r="H5656" s="221"/>
      <c r="I5656" s="221"/>
      <c r="J5656" s="221"/>
      <c r="K5656" s="221"/>
      <c r="L5656" s="221"/>
      <c r="M5656" s="221"/>
    </row>
    <row r="5657" spans="5:13">
      <c r="E5657" s="221"/>
      <c r="F5657" s="221"/>
      <c r="G5657" s="221"/>
      <c r="H5657" s="221"/>
      <c r="I5657" s="221"/>
      <c r="J5657" s="221"/>
      <c r="K5657" s="221"/>
      <c r="L5657" s="221"/>
      <c r="M5657" s="221"/>
    </row>
    <row r="5658" spans="5:13">
      <c r="E5658" s="221"/>
      <c r="F5658" s="221"/>
      <c r="G5658" s="221"/>
      <c r="H5658" s="221"/>
      <c r="I5658" s="221"/>
      <c r="J5658" s="221"/>
      <c r="K5658" s="221"/>
      <c r="L5658" s="221"/>
      <c r="M5658" s="221"/>
    </row>
    <row r="5659" spans="5:13">
      <c r="E5659" s="221"/>
      <c r="F5659" s="221"/>
      <c r="G5659" s="221"/>
      <c r="H5659" s="221"/>
      <c r="I5659" s="221"/>
      <c r="J5659" s="221"/>
      <c r="K5659" s="221"/>
      <c r="L5659" s="221"/>
      <c r="M5659" s="221"/>
    </row>
    <row r="5660" spans="5:13">
      <c r="E5660" s="221"/>
      <c r="F5660" s="221"/>
      <c r="G5660" s="221"/>
      <c r="H5660" s="221"/>
      <c r="I5660" s="221"/>
      <c r="J5660" s="221"/>
      <c r="K5660" s="221"/>
      <c r="L5660" s="221"/>
      <c r="M5660" s="221"/>
    </row>
    <row r="5661" spans="5:13">
      <c r="E5661" s="221"/>
      <c r="F5661" s="221"/>
      <c r="G5661" s="221"/>
      <c r="H5661" s="221"/>
      <c r="I5661" s="221"/>
      <c r="J5661" s="221"/>
      <c r="K5661" s="221"/>
      <c r="L5661" s="221"/>
      <c r="M5661" s="221"/>
    </row>
    <row r="5662" spans="5:13">
      <c r="E5662" s="221"/>
      <c r="F5662" s="221"/>
      <c r="G5662" s="221"/>
      <c r="H5662" s="221"/>
      <c r="I5662" s="221"/>
      <c r="J5662" s="221"/>
      <c r="K5662" s="221"/>
      <c r="L5662" s="221"/>
      <c r="M5662" s="221"/>
    </row>
    <row r="5663" spans="5:13">
      <c r="E5663" s="221"/>
      <c r="F5663" s="221"/>
      <c r="G5663" s="221"/>
      <c r="H5663" s="221"/>
      <c r="I5663" s="221"/>
      <c r="J5663" s="221"/>
      <c r="K5663" s="221"/>
      <c r="L5663" s="221"/>
      <c r="M5663" s="221"/>
    </row>
    <row r="5664" spans="5:13">
      <c r="E5664" s="221"/>
      <c r="F5664" s="221"/>
      <c r="G5664" s="221"/>
      <c r="H5664" s="221"/>
      <c r="I5664" s="221"/>
      <c r="J5664" s="221"/>
      <c r="K5664" s="221"/>
      <c r="L5664" s="221"/>
      <c r="M5664" s="221"/>
    </row>
    <row r="5665" spans="5:13">
      <c r="E5665" s="221"/>
      <c r="F5665" s="221"/>
      <c r="G5665" s="221"/>
      <c r="H5665" s="221"/>
      <c r="I5665" s="221"/>
      <c r="J5665" s="221"/>
      <c r="K5665" s="221"/>
      <c r="L5665" s="221"/>
      <c r="M5665" s="221"/>
    </row>
    <row r="5666" spans="5:13">
      <c r="E5666" s="221"/>
      <c r="F5666" s="221"/>
      <c r="G5666" s="221"/>
      <c r="H5666" s="221"/>
      <c r="I5666" s="221"/>
      <c r="J5666" s="221"/>
      <c r="K5666" s="221"/>
      <c r="L5666" s="221"/>
      <c r="M5666" s="221"/>
    </row>
    <row r="5667" spans="5:13">
      <c r="E5667" s="221"/>
      <c r="F5667" s="221"/>
      <c r="G5667" s="221"/>
      <c r="H5667" s="221"/>
      <c r="I5667" s="221"/>
      <c r="J5667" s="221"/>
      <c r="K5667" s="221"/>
      <c r="L5667" s="221"/>
      <c r="M5667" s="221"/>
    </row>
    <row r="5668" spans="5:13">
      <c r="E5668" s="221"/>
      <c r="F5668" s="221"/>
      <c r="G5668" s="221"/>
      <c r="H5668" s="221"/>
      <c r="I5668" s="221"/>
      <c r="J5668" s="221"/>
      <c r="K5668" s="221"/>
      <c r="L5668" s="221"/>
      <c r="M5668" s="221"/>
    </row>
    <row r="5669" spans="5:13">
      <c r="E5669" s="221"/>
      <c r="F5669" s="221"/>
      <c r="G5669" s="221"/>
      <c r="H5669" s="221"/>
      <c r="I5669" s="221"/>
      <c r="J5669" s="221"/>
      <c r="K5669" s="221"/>
      <c r="L5669" s="221"/>
      <c r="M5669" s="221"/>
    </row>
    <row r="5670" spans="5:13">
      <c r="E5670" s="221"/>
      <c r="F5670" s="221"/>
      <c r="G5670" s="221"/>
      <c r="H5670" s="221"/>
      <c r="I5670" s="221"/>
      <c r="J5670" s="221"/>
      <c r="K5670" s="221"/>
      <c r="L5670" s="221"/>
      <c r="M5670" s="221"/>
    </row>
    <row r="5671" spans="5:13">
      <c r="E5671" s="221"/>
      <c r="F5671" s="221"/>
      <c r="G5671" s="221"/>
      <c r="H5671" s="221"/>
      <c r="I5671" s="221"/>
      <c r="J5671" s="221"/>
      <c r="K5671" s="221"/>
      <c r="L5671" s="221"/>
      <c r="M5671" s="221"/>
    </row>
    <row r="5672" spans="5:13">
      <c r="E5672" s="221"/>
      <c r="F5672" s="221"/>
      <c r="G5672" s="221"/>
      <c r="H5672" s="221"/>
      <c r="I5672" s="221"/>
      <c r="J5672" s="221"/>
      <c r="K5672" s="221"/>
      <c r="L5672" s="221"/>
      <c r="M5672" s="221"/>
    </row>
    <row r="5673" spans="5:13">
      <c r="E5673" s="221"/>
      <c r="F5673" s="221"/>
      <c r="G5673" s="221"/>
      <c r="H5673" s="221"/>
      <c r="I5673" s="221"/>
      <c r="J5673" s="221"/>
      <c r="K5673" s="221"/>
      <c r="L5673" s="221"/>
      <c r="M5673" s="221"/>
    </row>
    <row r="5674" spans="5:13">
      <c r="E5674" s="221"/>
      <c r="F5674" s="221"/>
      <c r="G5674" s="221"/>
      <c r="H5674" s="221"/>
      <c r="I5674" s="221"/>
      <c r="J5674" s="221"/>
      <c r="K5674" s="221"/>
      <c r="L5674" s="221"/>
      <c r="M5674" s="221"/>
    </row>
    <row r="5675" spans="5:13">
      <c r="E5675" s="221"/>
      <c r="F5675" s="221"/>
      <c r="G5675" s="221"/>
      <c r="H5675" s="221"/>
      <c r="I5675" s="221"/>
      <c r="J5675" s="221"/>
      <c r="K5675" s="221"/>
      <c r="L5675" s="221"/>
      <c r="M5675" s="221"/>
    </row>
    <row r="5676" spans="5:13">
      <c r="E5676" s="221"/>
      <c r="F5676" s="221"/>
      <c r="G5676" s="221"/>
      <c r="H5676" s="221"/>
      <c r="I5676" s="221"/>
      <c r="J5676" s="221"/>
      <c r="K5676" s="221"/>
      <c r="L5676" s="221"/>
      <c r="M5676" s="221"/>
    </row>
    <row r="5677" spans="5:13">
      <c r="E5677" s="221"/>
      <c r="F5677" s="221"/>
      <c r="G5677" s="221"/>
      <c r="H5677" s="221"/>
      <c r="I5677" s="221"/>
      <c r="J5677" s="221"/>
      <c r="K5677" s="221"/>
      <c r="L5677" s="221"/>
      <c r="M5677" s="221"/>
    </row>
    <row r="5678" spans="5:13">
      <c r="E5678" s="221"/>
      <c r="F5678" s="221"/>
      <c r="G5678" s="221"/>
      <c r="H5678" s="221"/>
      <c r="I5678" s="221"/>
      <c r="J5678" s="221"/>
      <c r="K5678" s="221"/>
      <c r="L5678" s="221"/>
      <c r="M5678" s="221"/>
    </row>
    <row r="5679" spans="5:13">
      <c r="E5679" s="221"/>
      <c r="F5679" s="221"/>
      <c r="G5679" s="221"/>
      <c r="H5679" s="221"/>
      <c r="I5679" s="221"/>
      <c r="J5679" s="221"/>
      <c r="K5679" s="221"/>
      <c r="L5679" s="221"/>
      <c r="M5679" s="221"/>
    </row>
    <row r="5680" spans="5:13">
      <c r="E5680" s="221"/>
      <c r="F5680" s="221"/>
      <c r="G5680" s="221"/>
      <c r="H5680" s="221"/>
      <c r="I5680" s="221"/>
      <c r="J5680" s="221"/>
      <c r="K5680" s="221"/>
      <c r="L5680" s="221"/>
      <c r="M5680" s="221"/>
    </row>
    <row r="5681" spans="5:13">
      <c r="E5681" s="221"/>
      <c r="F5681" s="221"/>
      <c r="G5681" s="221"/>
      <c r="H5681" s="221"/>
      <c r="I5681" s="221"/>
      <c r="J5681" s="221"/>
      <c r="K5681" s="221"/>
      <c r="L5681" s="221"/>
      <c r="M5681" s="221"/>
    </row>
    <row r="5682" spans="5:13">
      <c r="E5682" s="221"/>
      <c r="F5682" s="221"/>
      <c r="G5682" s="221"/>
      <c r="H5682" s="221"/>
      <c r="I5682" s="221"/>
      <c r="J5682" s="221"/>
      <c r="K5682" s="221"/>
      <c r="L5682" s="221"/>
      <c r="M5682" s="221"/>
    </row>
    <row r="5683" spans="5:13">
      <c r="E5683" s="221"/>
      <c r="F5683" s="221"/>
      <c r="G5683" s="221"/>
      <c r="H5683" s="221"/>
      <c r="I5683" s="221"/>
      <c r="J5683" s="221"/>
      <c r="K5683" s="221"/>
      <c r="L5683" s="221"/>
      <c r="M5683" s="221"/>
    </row>
    <row r="5684" spans="5:13">
      <c r="E5684" s="221"/>
      <c r="F5684" s="221"/>
      <c r="G5684" s="221"/>
      <c r="H5684" s="221"/>
      <c r="I5684" s="221"/>
      <c r="J5684" s="221"/>
      <c r="K5684" s="221"/>
      <c r="L5684" s="221"/>
      <c r="M5684" s="221"/>
    </row>
    <row r="5685" spans="5:13">
      <c r="E5685" s="221"/>
      <c r="F5685" s="221"/>
      <c r="G5685" s="221"/>
      <c r="H5685" s="221"/>
      <c r="I5685" s="221"/>
      <c r="J5685" s="221"/>
      <c r="K5685" s="221"/>
      <c r="L5685" s="221"/>
      <c r="M5685" s="221"/>
    </row>
    <row r="5686" spans="5:13">
      <c r="E5686" s="221"/>
      <c r="F5686" s="221"/>
      <c r="G5686" s="221"/>
      <c r="H5686" s="221"/>
      <c r="I5686" s="221"/>
      <c r="J5686" s="221"/>
      <c r="K5686" s="221"/>
      <c r="L5686" s="221"/>
      <c r="M5686" s="221"/>
    </row>
    <row r="5687" spans="5:13">
      <c r="E5687" s="221"/>
      <c r="F5687" s="221"/>
      <c r="G5687" s="221"/>
      <c r="H5687" s="221"/>
      <c r="I5687" s="221"/>
      <c r="J5687" s="221"/>
      <c r="K5687" s="221"/>
      <c r="L5687" s="221"/>
      <c r="M5687" s="221"/>
    </row>
    <row r="5688" spans="5:13">
      <c r="E5688" s="221"/>
      <c r="F5688" s="221"/>
      <c r="G5688" s="221"/>
      <c r="H5688" s="221"/>
      <c r="I5688" s="221"/>
      <c r="J5688" s="221"/>
      <c r="K5688" s="221"/>
      <c r="L5688" s="221"/>
      <c r="M5688" s="221"/>
    </row>
    <row r="5689" spans="5:13">
      <c r="E5689" s="221"/>
      <c r="F5689" s="221"/>
      <c r="G5689" s="221"/>
      <c r="H5689" s="221"/>
      <c r="I5689" s="221"/>
      <c r="J5689" s="221"/>
      <c r="K5689" s="221"/>
      <c r="L5689" s="221"/>
      <c r="M5689" s="221"/>
    </row>
    <row r="5690" spans="5:13">
      <c r="E5690" s="221"/>
      <c r="F5690" s="221"/>
      <c r="G5690" s="221"/>
      <c r="H5690" s="221"/>
      <c r="I5690" s="221"/>
      <c r="J5690" s="221"/>
      <c r="K5690" s="221"/>
      <c r="L5690" s="221"/>
      <c r="M5690" s="221"/>
    </row>
    <row r="5691" spans="5:13">
      <c r="E5691" s="221"/>
      <c r="F5691" s="221"/>
      <c r="G5691" s="221"/>
      <c r="H5691" s="221"/>
      <c r="I5691" s="221"/>
      <c r="J5691" s="221"/>
      <c r="K5691" s="221"/>
      <c r="L5691" s="221"/>
      <c r="M5691" s="221"/>
    </row>
    <row r="5692" spans="5:13">
      <c r="E5692" s="221"/>
      <c r="F5692" s="221"/>
      <c r="G5692" s="221"/>
      <c r="H5692" s="221"/>
      <c r="I5692" s="221"/>
      <c r="J5692" s="221"/>
      <c r="K5692" s="221"/>
      <c r="L5692" s="221"/>
      <c r="M5692" s="221"/>
    </row>
    <row r="5693" spans="5:13">
      <c r="E5693" s="221"/>
      <c r="F5693" s="221"/>
      <c r="G5693" s="221"/>
      <c r="H5693" s="221"/>
      <c r="I5693" s="221"/>
      <c r="J5693" s="221"/>
      <c r="K5693" s="221"/>
      <c r="L5693" s="221"/>
      <c r="M5693" s="221"/>
    </row>
    <row r="5694" spans="5:13">
      <c r="E5694" s="221"/>
      <c r="F5694" s="221"/>
      <c r="G5694" s="221"/>
      <c r="H5694" s="221"/>
      <c r="I5694" s="221"/>
      <c r="J5694" s="221"/>
      <c r="K5694" s="221"/>
      <c r="L5694" s="221"/>
      <c r="M5694" s="221"/>
    </row>
    <row r="5695" spans="5:13">
      <c r="E5695" s="221"/>
      <c r="F5695" s="221"/>
      <c r="G5695" s="221"/>
      <c r="H5695" s="221"/>
      <c r="I5695" s="221"/>
      <c r="J5695" s="221"/>
      <c r="K5695" s="221"/>
      <c r="L5695" s="221"/>
      <c r="M5695" s="221"/>
    </row>
    <row r="5696" spans="5:13">
      <c r="E5696" s="221"/>
      <c r="F5696" s="221"/>
      <c r="G5696" s="221"/>
      <c r="H5696" s="221"/>
      <c r="I5696" s="221"/>
      <c r="J5696" s="221"/>
      <c r="K5696" s="221"/>
      <c r="L5696" s="221"/>
      <c r="M5696" s="221"/>
    </row>
    <row r="5697" spans="5:13">
      <c r="E5697" s="221"/>
      <c r="F5697" s="221"/>
      <c r="G5697" s="221"/>
      <c r="H5697" s="221"/>
      <c r="I5697" s="221"/>
      <c r="J5697" s="221"/>
      <c r="K5697" s="221"/>
      <c r="L5697" s="221"/>
      <c r="M5697" s="221"/>
    </row>
    <row r="5698" spans="5:13">
      <c r="E5698" s="221"/>
      <c r="F5698" s="221"/>
      <c r="G5698" s="221"/>
      <c r="H5698" s="221"/>
      <c r="I5698" s="221"/>
      <c r="J5698" s="221"/>
      <c r="K5698" s="221"/>
      <c r="L5698" s="221"/>
      <c r="M5698" s="221"/>
    </row>
    <row r="5699" spans="5:13">
      <c r="E5699" s="221"/>
      <c r="F5699" s="221"/>
      <c r="G5699" s="221"/>
      <c r="H5699" s="221"/>
      <c r="I5699" s="221"/>
      <c r="J5699" s="221"/>
      <c r="K5699" s="221"/>
      <c r="L5699" s="221"/>
      <c r="M5699" s="221"/>
    </row>
    <row r="5700" spans="5:13">
      <c r="E5700" s="221"/>
      <c r="F5700" s="221"/>
      <c r="G5700" s="221"/>
      <c r="H5700" s="221"/>
      <c r="I5700" s="221"/>
      <c r="J5700" s="221"/>
      <c r="K5700" s="221"/>
      <c r="L5700" s="221"/>
      <c r="M5700" s="221"/>
    </row>
    <row r="5701" spans="5:13">
      <c r="E5701" s="221"/>
      <c r="F5701" s="221"/>
      <c r="G5701" s="221"/>
      <c r="H5701" s="221"/>
      <c r="I5701" s="221"/>
      <c r="J5701" s="221"/>
      <c r="K5701" s="221"/>
      <c r="L5701" s="221"/>
      <c r="M5701" s="221"/>
    </row>
    <row r="5702" spans="5:13">
      <c r="E5702" s="221"/>
      <c r="F5702" s="221"/>
      <c r="G5702" s="221"/>
      <c r="H5702" s="221"/>
      <c r="I5702" s="221"/>
      <c r="J5702" s="221"/>
      <c r="K5702" s="221"/>
      <c r="L5702" s="221"/>
      <c r="M5702" s="221"/>
    </row>
    <row r="5703" spans="5:13">
      <c r="E5703" s="221"/>
      <c r="F5703" s="221"/>
      <c r="G5703" s="221"/>
      <c r="H5703" s="221"/>
      <c r="I5703" s="221"/>
      <c r="J5703" s="221"/>
      <c r="K5703" s="221"/>
      <c r="L5703" s="221"/>
      <c r="M5703" s="221"/>
    </row>
    <row r="5704" spans="5:13">
      <c r="E5704" s="221"/>
      <c r="F5704" s="221"/>
      <c r="G5704" s="221"/>
      <c r="H5704" s="221"/>
      <c r="I5704" s="221"/>
      <c r="J5704" s="221"/>
      <c r="K5704" s="221"/>
      <c r="L5704" s="221"/>
      <c r="M5704" s="221"/>
    </row>
    <row r="5705" spans="5:13">
      <c r="E5705" s="221"/>
      <c r="F5705" s="221"/>
      <c r="G5705" s="221"/>
      <c r="H5705" s="221"/>
      <c r="I5705" s="221"/>
      <c r="J5705" s="221"/>
      <c r="K5705" s="221"/>
      <c r="L5705" s="221"/>
      <c r="M5705" s="221"/>
    </row>
    <row r="5706" spans="5:13">
      <c r="E5706" s="221"/>
      <c r="F5706" s="221"/>
      <c r="G5706" s="221"/>
      <c r="H5706" s="221"/>
      <c r="I5706" s="221"/>
      <c r="J5706" s="221"/>
      <c r="K5706" s="221"/>
      <c r="L5706" s="221"/>
      <c r="M5706" s="221"/>
    </row>
    <row r="5707" spans="5:13">
      <c r="E5707" s="221"/>
      <c r="F5707" s="221"/>
      <c r="G5707" s="221"/>
      <c r="H5707" s="221"/>
      <c r="I5707" s="221"/>
      <c r="J5707" s="221"/>
      <c r="K5707" s="221"/>
      <c r="L5707" s="221"/>
      <c r="M5707" s="221"/>
    </row>
    <row r="5708" spans="5:13">
      <c r="E5708" s="221"/>
      <c r="F5708" s="221"/>
      <c r="G5708" s="221"/>
      <c r="H5708" s="221"/>
      <c r="I5708" s="221"/>
      <c r="J5708" s="221"/>
      <c r="K5708" s="221"/>
      <c r="L5708" s="221"/>
      <c r="M5708" s="221"/>
    </row>
    <row r="5709" spans="5:13">
      <c r="E5709" s="221"/>
      <c r="F5709" s="221"/>
      <c r="G5709" s="221"/>
      <c r="H5709" s="221"/>
      <c r="I5709" s="221"/>
      <c r="J5709" s="221"/>
      <c r="K5709" s="221"/>
      <c r="L5709" s="221"/>
      <c r="M5709" s="221"/>
    </row>
    <row r="5710" spans="5:13">
      <c r="E5710" s="221"/>
      <c r="F5710" s="221"/>
      <c r="G5710" s="221"/>
      <c r="H5710" s="221"/>
      <c r="I5710" s="221"/>
      <c r="J5710" s="221"/>
      <c r="K5710" s="221"/>
      <c r="L5710" s="221"/>
      <c r="M5710" s="221"/>
    </row>
    <row r="5711" spans="5:13">
      <c r="E5711" s="221"/>
      <c r="F5711" s="221"/>
      <c r="G5711" s="221"/>
      <c r="H5711" s="221"/>
      <c r="I5711" s="221"/>
      <c r="J5711" s="221"/>
      <c r="K5711" s="221"/>
      <c r="L5711" s="221"/>
      <c r="M5711" s="221"/>
    </row>
    <row r="5712" spans="5:13">
      <c r="E5712" s="221"/>
      <c r="F5712" s="221"/>
      <c r="G5712" s="221"/>
      <c r="H5712" s="221"/>
      <c r="I5712" s="221"/>
      <c r="J5712" s="221"/>
      <c r="K5712" s="221"/>
      <c r="L5712" s="221"/>
      <c r="M5712" s="221"/>
    </row>
    <row r="5713" spans="5:13">
      <c r="E5713" s="221"/>
      <c r="F5713" s="221"/>
      <c r="G5713" s="221"/>
      <c r="H5713" s="221"/>
      <c r="I5713" s="221"/>
      <c r="J5713" s="221"/>
      <c r="K5713" s="221"/>
      <c r="L5713" s="221"/>
      <c r="M5713" s="221"/>
    </row>
    <row r="5714" spans="5:13">
      <c r="E5714" s="221"/>
      <c r="F5714" s="221"/>
      <c r="G5714" s="221"/>
      <c r="H5714" s="221"/>
      <c r="I5714" s="221"/>
      <c r="J5714" s="221"/>
      <c r="K5714" s="221"/>
      <c r="L5714" s="221"/>
      <c r="M5714" s="221"/>
    </row>
    <row r="5715" spans="5:13">
      <c r="E5715" s="221"/>
      <c r="F5715" s="221"/>
      <c r="G5715" s="221"/>
      <c r="H5715" s="221"/>
      <c r="I5715" s="221"/>
      <c r="J5715" s="221"/>
      <c r="K5715" s="221"/>
      <c r="L5715" s="221"/>
      <c r="M5715" s="221"/>
    </row>
    <row r="5716" spans="5:13">
      <c r="E5716" s="221"/>
      <c r="F5716" s="221"/>
      <c r="G5716" s="221"/>
      <c r="H5716" s="221"/>
      <c r="I5716" s="221"/>
      <c r="J5716" s="221"/>
      <c r="K5716" s="221"/>
      <c r="L5716" s="221"/>
      <c r="M5716" s="221"/>
    </row>
    <row r="5717" spans="5:13">
      <c r="E5717" s="221"/>
      <c r="F5717" s="221"/>
      <c r="G5717" s="221"/>
      <c r="H5717" s="221"/>
      <c r="I5717" s="221"/>
      <c r="J5717" s="221"/>
      <c r="K5717" s="221"/>
      <c r="L5717" s="221"/>
      <c r="M5717" s="221"/>
    </row>
    <row r="5718" spans="5:13">
      <c r="E5718" s="221"/>
      <c r="F5718" s="221"/>
      <c r="G5718" s="221"/>
      <c r="H5718" s="221"/>
      <c r="I5718" s="221"/>
      <c r="J5718" s="221"/>
      <c r="K5718" s="221"/>
      <c r="L5718" s="221"/>
      <c r="M5718" s="221"/>
    </row>
    <row r="5719" spans="5:13">
      <c r="E5719" s="221"/>
      <c r="F5719" s="221"/>
      <c r="G5719" s="221"/>
      <c r="H5719" s="221"/>
      <c r="I5719" s="221"/>
      <c r="J5719" s="221"/>
      <c r="K5719" s="221"/>
      <c r="L5719" s="221"/>
      <c r="M5719" s="221"/>
    </row>
    <row r="5720" spans="5:13">
      <c r="E5720" s="221"/>
      <c r="F5720" s="221"/>
      <c r="G5720" s="221"/>
      <c r="H5720" s="221"/>
      <c r="I5720" s="221"/>
      <c r="J5720" s="221"/>
      <c r="K5720" s="221"/>
      <c r="L5720" s="221"/>
      <c r="M5720" s="221"/>
    </row>
    <row r="5721" spans="5:13">
      <c r="E5721" s="221"/>
      <c r="F5721" s="221"/>
      <c r="G5721" s="221"/>
      <c r="H5721" s="221"/>
      <c r="I5721" s="221"/>
      <c r="J5721" s="221"/>
      <c r="K5721" s="221"/>
      <c r="L5721" s="221"/>
      <c r="M5721" s="221"/>
    </row>
    <row r="5722" spans="5:13">
      <c r="E5722" s="221"/>
      <c r="F5722" s="221"/>
      <c r="G5722" s="221"/>
      <c r="H5722" s="221"/>
      <c r="I5722" s="221"/>
      <c r="J5722" s="221"/>
      <c r="K5722" s="221"/>
      <c r="L5722" s="221"/>
      <c r="M5722" s="221"/>
    </row>
    <row r="5723" spans="5:13">
      <c r="E5723" s="221"/>
      <c r="F5723" s="221"/>
      <c r="G5723" s="221"/>
      <c r="H5723" s="221"/>
      <c r="I5723" s="221"/>
      <c r="J5723" s="221"/>
      <c r="K5723" s="221"/>
      <c r="L5723" s="221"/>
      <c r="M5723" s="221"/>
    </row>
    <row r="5724" spans="5:13">
      <c r="E5724" s="221"/>
      <c r="F5724" s="221"/>
      <c r="G5724" s="221"/>
      <c r="H5724" s="221"/>
      <c r="I5724" s="221"/>
      <c r="J5724" s="221"/>
      <c r="K5724" s="221"/>
      <c r="L5724" s="221"/>
      <c r="M5724" s="221"/>
    </row>
    <row r="5725" spans="5:13">
      <c r="E5725" s="221"/>
      <c r="F5725" s="221"/>
      <c r="G5725" s="221"/>
      <c r="H5725" s="221"/>
      <c r="I5725" s="221"/>
      <c r="J5725" s="221"/>
      <c r="K5725" s="221"/>
      <c r="L5725" s="221"/>
      <c r="M5725" s="221"/>
    </row>
    <row r="5726" spans="5:13">
      <c r="E5726" s="221"/>
      <c r="F5726" s="221"/>
      <c r="G5726" s="221"/>
      <c r="H5726" s="221"/>
      <c r="I5726" s="221"/>
      <c r="J5726" s="221"/>
      <c r="K5726" s="221"/>
      <c r="L5726" s="221"/>
      <c r="M5726" s="221"/>
    </row>
    <row r="5727" spans="5:13">
      <c r="E5727" s="221"/>
      <c r="F5727" s="221"/>
      <c r="G5727" s="221"/>
      <c r="H5727" s="221"/>
      <c r="I5727" s="221"/>
      <c r="J5727" s="221"/>
      <c r="K5727" s="221"/>
      <c r="L5727" s="221"/>
      <c r="M5727" s="221"/>
    </row>
    <row r="5728" spans="5:13">
      <c r="E5728" s="221"/>
      <c r="F5728" s="221"/>
      <c r="G5728" s="221"/>
      <c r="H5728" s="221"/>
      <c r="I5728" s="221"/>
      <c r="J5728" s="221"/>
      <c r="K5728" s="221"/>
      <c r="L5728" s="221"/>
      <c r="M5728" s="221"/>
    </row>
    <row r="5729" spans="5:13">
      <c r="E5729" s="221"/>
      <c r="F5729" s="221"/>
      <c r="G5729" s="221"/>
      <c r="H5729" s="221"/>
      <c r="I5729" s="221"/>
      <c r="J5729" s="221"/>
      <c r="K5729" s="221"/>
      <c r="L5729" s="221"/>
      <c r="M5729" s="221"/>
    </row>
    <row r="5730" spans="5:13">
      <c r="E5730" s="221"/>
      <c r="F5730" s="221"/>
      <c r="G5730" s="221"/>
      <c r="H5730" s="221"/>
      <c r="I5730" s="221"/>
      <c r="J5730" s="221"/>
      <c r="K5730" s="221"/>
      <c r="L5730" s="221"/>
      <c r="M5730" s="221"/>
    </row>
    <row r="5731" spans="5:13">
      <c r="E5731" s="221"/>
      <c r="F5731" s="221"/>
      <c r="G5731" s="221"/>
      <c r="H5731" s="221"/>
      <c r="I5731" s="221"/>
      <c r="J5731" s="221"/>
      <c r="K5731" s="221"/>
      <c r="L5731" s="221"/>
      <c r="M5731" s="221"/>
    </row>
    <row r="5732" spans="5:13">
      <c r="E5732" s="221"/>
      <c r="F5732" s="221"/>
      <c r="G5732" s="221"/>
      <c r="H5732" s="221"/>
      <c r="I5732" s="221"/>
      <c r="J5732" s="221"/>
      <c r="K5732" s="221"/>
      <c r="L5732" s="221"/>
      <c r="M5732" s="221"/>
    </row>
    <row r="5733" spans="5:13">
      <c r="E5733" s="221"/>
      <c r="F5733" s="221"/>
      <c r="G5733" s="221"/>
      <c r="H5733" s="221"/>
      <c r="I5733" s="221"/>
      <c r="J5733" s="221"/>
      <c r="K5733" s="221"/>
      <c r="L5733" s="221"/>
      <c r="M5733" s="221"/>
    </row>
    <row r="5734" spans="5:13">
      <c r="E5734" s="221"/>
      <c r="F5734" s="221"/>
      <c r="G5734" s="221"/>
      <c r="H5734" s="221"/>
      <c r="I5734" s="221"/>
      <c r="J5734" s="221"/>
      <c r="K5734" s="221"/>
      <c r="L5734" s="221"/>
      <c r="M5734" s="221"/>
    </row>
    <row r="5735" spans="5:13">
      <c r="E5735" s="221"/>
      <c r="F5735" s="221"/>
      <c r="G5735" s="221"/>
      <c r="H5735" s="221"/>
      <c r="I5735" s="221"/>
      <c r="J5735" s="221"/>
      <c r="K5735" s="221"/>
      <c r="L5735" s="221"/>
      <c r="M5735" s="221"/>
    </row>
    <row r="5736" spans="5:13">
      <c r="E5736" s="221"/>
      <c r="F5736" s="221"/>
      <c r="G5736" s="221"/>
      <c r="H5736" s="221"/>
      <c r="I5736" s="221"/>
      <c r="J5736" s="221"/>
      <c r="K5736" s="221"/>
      <c r="L5736" s="221"/>
      <c r="M5736" s="221"/>
    </row>
    <row r="5737" spans="5:13">
      <c r="E5737" s="221"/>
      <c r="F5737" s="221"/>
      <c r="G5737" s="221"/>
      <c r="H5737" s="221"/>
      <c r="I5737" s="221"/>
      <c r="J5737" s="221"/>
      <c r="K5737" s="221"/>
      <c r="L5737" s="221"/>
      <c r="M5737" s="221"/>
    </row>
    <row r="5738" spans="5:13">
      <c r="E5738" s="221"/>
      <c r="F5738" s="221"/>
      <c r="G5738" s="221"/>
      <c r="H5738" s="221"/>
      <c r="I5738" s="221"/>
      <c r="J5738" s="221"/>
      <c r="K5738" s="221"/>
      <c r="L5738" s="221"/>
      <c r="M5738" s="221"/>
    </row>
    <row r="5739" spans="5:13">
      <c r="E5739" s="221"/>
      <c r="F5739" s="221"/>
      <c r="G5739" s="221"/>
      <c r="H5739" s="221"/>
      <c r="I5739" s="221"/>
      <c r="J5739" s="221"/>
      <c r="K5739" s="221"/>
      <c r="L5739" s="221"/>
      <c r="M5739" s="221"/>
    </row>
    <row r="5740" spans="5:13">
      <c r="E5740" s="221"/>
      <c r="F5740" s="221"/>
      <c r="G5740" s="221"/>
      <c r="H5740" s="221"/>
      <c r="I5740" s="221"/>
      <c r="J5740" s="221"/>
      <c r="K5740" s="221"/>
      <c r="L5740" s="221"/>
      <c r="M5740" s="221"/>
    </row>
    <row r="5741" spans="5:13">
      <c r="E5741" s="221"/>
      <c r="F5741" s="221"/>
      <c r="G5741" s="221"/>
      <c r="H5741" s="221"/>
      <c r="I5741" s="221"/>
      <c r="J5741" s="221"/>
      <c r="K5741" s="221"/>
      <c r="L5741" s="221"/>
      <c r="M5741" s="221"/>
    </row>
    <row r="5742" spans="5:13">
      <c r="E5742" s="221"/>
      <c r="F5742" s="221"/>
      <c r="G5742" s="221"/>
      <c r="H5742" s="221"/>
      <c r="I5742" s="221"/>
      <c r="J5742" s="221"/>
      <c r="K5742" s="221"/>
      <c r="L5742" s="221"/>
      <c r="M5742" s="221"/>
    </row>
    <row r="5743" spans="5:13">
      <c r="E5743" s="221"/>
      <c r="F5743" s="221"/>
      <c r="G5743" s="221"/>
      <c r="H5743" s="221"/>
      <c r="I5743" s="221"/>
      <c r="J5743" s="221"/>
      <c r="K5743" s="221"/>
      <c r="L5743" s="221"/>
      <c r="M5743" s="221"/>
    </row>
    <row r="5744" spans="5:13">
      <c r="E5744" s="221"/>
      <c r="F5744" s="221"/>
      <c r="G5744" s="221"/>
      <c r="H5744" s="221"/>
      <c r="I5744" s="221"/>
      <c r="J5744" s="221"/>
      <c r="K5744" s="221"/>
      <c r="L5744" s="221"/>
      <c r="M5744" s="221"/>
    </row>
    <row r="5745" spans="5:13">
      <c r="E5745" s="221"/>
      <c r="F5745" s="221"/>
      <c r="G5745" s="221"/>
      <c r="H5745" s="221"/>
      <c r="I5745" s="221"/>
      <c r="J5745" s="221"/>
      <c r="K5745" s="221"/>
      <c r="L5745" s="221"/>
      <c r="M5745" s="221"/>
    </row>
    <row r="5746" spans="5:13">
      <c r="E5746" s="221"/>
      <c r="F5746" s="221"/>
      <c r="G5746" s="221"/>
      <c r="H5746" s="221"/>
      <c r="I5746" s="221"/>
      <c r="J5746" s="221"/>
      <c r="K5746" s="221"/>
      <c r="L5746" s="221"/>
      <c r="M5746" s="221"/>
    </row>
    <row r="5747" spans="5:13">
      <c r="E5747" s="221"/>
      <c r="F5747" s="221"/>
      <c r="G5747" s="221"/>
      <c r="H5747" s="221"/>
      <c r="I5747" s="221"/>
      <c r="J5747" s="221"/>
      <c r="K5747" s="221"/>
      <c r="L5747" s="221"/>
      <c r="M5747" s="221"/>
    </row>
    <row r="5748" spans="5:13">
      <c r="E5748" s="221"/>
      <c r="F5748" s="221"/>
      <c r="G5748" s="221"/>
      <c r="H5748" s="221"/>
      <c r="I5748" s="221"/>
      <c r="J5748" s="221"/>
      <c r="K5748" s="221"/>
      <c r="L5748" s="221"/>
      <c r="M5748" s="221"/>
    </row>
    <row r="5749" spans="5:13">
      <c r="E5749" s="221"/>
      <c r="F5749" s="221"/>
      <c r="G5749" s="221"/>
      <c r="H5749" s="221"/>
      <c r="I5749" s="221"/>
      <c r="J5749" s="221"/>
      <c r="K5749" s="221"/>
      <c r="L5749" s="221"/>
      <c r="M5749" s="221"/>
    </row>
    <row r="5750" spans="5:13">
      <c r="E5750" s="221"/>
      <c r="F5750" s="221"/>
      <c r="G5750" s="221"/>
      <c r="H5750" s="221"/>
      <c r="I5750" s="221"/>
      <c r="J5750" s="221"/>
      <c r="K5750" s="221"/>
      <c r="L5750" s="221"/>
      <c r="M5750" s="221"/>
    </row>
    <row r="5751" spans="5:13">
      <c r="E5751" s="221"/>
      <c r="F5751" s="221"/>
      <c r="G5751" s="221"/>
      <c r="H5751" s="221"/>
      <c r="I5751" s="221"/>
      <c r="J5751" s="221"/>
      <c r="K5751" s="221"/>
      <c r="L5751" s="221"/>
      <c r="M5751" s="221"/>
    </row>
    <row r="5752" spans="5:13">
      <c r="E5752" s="221"/>
      <c r="F5752" s="221"/>
      <c r="G5752" s="221"/>
      <c r="H5752" s="221"/>
      <c r="I5752" s="221"/>
      <c r="J5752" s="221"/>
      <c r="K5752" s="221"/>
      <c r="L5752" s="221"/>
      <c r="M5752" s="221"/>
    </row>
    <row r="5753" spans="5:13">
      <c r="E5753" s="221"/>
      <c r="F5753" s="221"/>
      <c r="G5753" s="221"/>
      <c r="H5753" s="221"/>
      <c r="I5753" s="221"/>
      <c r="J5753" s="221"/>
      <c r="K5753" s="221"/>
      <c r="L5753" s="221"/>
      <c r="M5753" s="221"/>
    </row>
    <row r="5754" spans="5:13">
      <c r="E5754" s="221"/>
      <c r="F5754" s="221"/>
      <c r="G5754" s="221"/>
      <c r="H5754" s="221"/>
      <c r="I5754" s="221"/>
      <c r="J5754" s="221"/>
      <c r="K5754" s="221"/>
      <c r="L5754" s="221"/>
      <c r="M5754" s="221"/>
    </row>
    <row r="5755" spans="5:13">
      <c r="E5755" s="221"/>
      <c r="F5755" s="221"/>
      <c r="G5755" s="221"/>
      <c r="H5755" s="221"/>
      <c r="I5755" s="221"/>
      <c r="J5755" s="221"/>
      <c r="K5755" s="221"/>
      <c r="L5755" s="221"/>
      <c r="M5755" s="221"/>
    </row>
    <row r="5756" spans="5:13">
      <c r="E5756" s="221"/>
      <c r="F5756" s="221"/>
      <c r="G5756" s="221"/>
      <c r="H5756" s="221"/>
      <c r="I5756" s="221"/>
      <c r="J5756" s="221"/>
      <c r="K5756" s="221"/>
      <c r="L5756" s="221"/>
      <c r="M5756" s="221"/>
    </row>
    <row r="5757" spans="5:13">
      <c r="E5757" s="221"/>
      <c r="F5757" s="221"/>
      <c r="G5757" s="221"/>
      <c r="H5757" s="221"/>
      <c r="I5757" s="221"/>
      <c r="J5757" s="221"/>
      <c r="K5757" s="221"/>
      <c r="L5757" s="221"/>
      <c r="M5757" s="221"/>
    </row>
    <row r="5758" spans="5:13">
      <c r="E5758" s="221"/>
      <c r="F5758" s="221"/>
      <c r="G5758" s="221"/>
      <c r="H5758" s="221"/>
      <c r="I5758" s="221"/>
      <c r="J5758" s="221"/>
      <c r="K5758" s="221"/>
      <c r="L5758" s="221"/>
      <c r="M5758" s="221"/>
    </row>
    <row r="5759" spans="5:13">
      <c r="E5759" s="221"/>
      <c r="F5759" s="221"/>
      <c r="G5759" s="221"/>
      <c r="H5759" s="221"/>
      <c r="I5759" s="221"/>
      <c r="J5759" s="221"/>
      <c r="K5759" s="221"/>
      <c r="L5759" s="221"/>
      <c r="M5759" s="221"/>
    </row>
    <row r="5760" spans="5:13">
      <c r="E5760" s="221"/>
      <c r="F5760" s="221"/>
      <c r="G5760" s="221"/>
      <c r="H5760" s="221"/>
      <c r="I5760" s="221"/>
      <c r="J5760" s="221"/>
      <c r="K5760" s="221"/>
      <c r="L5760" s="221"/>
      <c r="M5760" s="221"/>
    </row>
    <row r="5761" spans="5:13">
      <c r="E5761" s="221"/>
      <c r="F5761" s="221"/>
      <c r="G5761" s="221"/>
      <c r="H5761" s="221"/>
      <c r="I5761" s="221"/>
      <c r="J5761" s="221"/>
      <c r="K5761" s="221"/>
      <c r="L5761" s="221"/>
      <c r="M5761" s="221"/>
    </row>
    <row r="5762" spans="5:13">
      <c r="E5762" s="221"/>
      <c r="F5762" s="221"/>
      <c r="G5762" s="221"/>
      <c r="H5762" s="221"/>
      <c r="I5762" s="221"/>
      <c r="J5762" s="221"/>
      <c r="K5762" s="221"/>
      <c r="L5762" s="221"/>
      <c r="M5762" s="221"/>
    </row>
    <row r="5763" spans="5:13">
      <c r="E5763" s="221"/>
      <c r="F5763" s="221"/>
      <c r="G5763" s="221"/>
      <c r="H5763" s="221"/>
      <c r="I5763" s="221"/>
      <c r="J5763" s="221"/>
      <c r="K5763" s="221"/>
      <c r="L5763" s="221"/>
      <c r="M5763" s="221"/>
    </row>
    <row r="5764" spans="5:13">
      <c r="E5764" s="221"/>
      <c r="F5764" s="221"/>
      <c r="G5764" s="221"/>
      <c r="H5764" s="221"/>
      <c r="I5764" s="221"/>
      <c r="J5764" s="221"/>
      <c r="K5764" s="221"/>
      <c r="L5764" s="221"/>
      <c r="M5764" s="221"/>
    </row>
    <row r="5765" spans="5:13">
      <c r="E5765" s="221"/>
      <c r="F5765" s="221"/>
      <c r="G5765" s="221"/>
      <c r="H5765" s="221"/>
      <c r="I5765" s="221"/>
      <c r="J5765" s="221"/>
      <c r="K5765" s="221"/>
      <c r="L5765" s="221"/>
      <c r="M5765" s="221"/>
    </row>
    <row r="5766" spans="5:13">
      <c r="E5766" s="221"/>
      <c r="F5766" s="221"/>
      <c r="G5766" s="221"/>
      <c r="H5766" s="221"/>
      <c r="I5766" s="221"/>
      <c r="J5766" s="221"/>
      <c r="K5766" s="221"/>
      <c r="L5766" s="221"/>
      <c r="M5766" s="221"/>
    </row>
    <row r="5767" spans="5:13">
      <c r="E5767" s="221"/>
      <c r="F5767" s="221"/>
      <c r="G5767" s="221"/>
      <c r="H5767" s="221"/>
      <c r="I5767" s="221"/>
      <c r="J5767" s="221"/>
      <c r="K5767" s="221"/>
      <c r="L5767" s="221"/>
      <c r="M5767" s="221"/>
    </row>
    <row r="5768" spans="5:13">
      <c r="E5768" s="221"/>
      <c r="F5768" s="221"/>
      <c r="G5768" s="221"/>
      <c r="H5768" s="221"/>
      <c r="I5768" s="221"/>
      <c r="J5768" s="221"/>
      <c r="K5768" s="221"/>
      <c r="L5768" s="221"/>
      <c r="M5768" s="221"/>
    </row>
    <row r="5769" spans="5:13">
      <c r="E5769" s="221"/>
      <c r="F5769" s="221"/>
      <c r="G5769" s="221"/>
      <c r="H5769" s="221"/>
      <c r="I5769" s="221"/>
      <c r="J5769" s="221"/>
      <c r="K5769" s="221"/>
      <c r="L5769" s="221"/>
      <c r="M5769" s="221"/>
    </row>
    <row r="5770" spans="5:13">
      <c r="E5770" s="221"/>
      <c r="F5770" s="221"/>
      <c r="G5770" s="221"/>
      <c r="H5770" s="221"/>
      <c r="I5770" s="221"/>
      <c r="J5770" s="221"/>
      <c r="K5770" s="221"/>
      <c r="L5770" s="221"/>
      <c r="M5770" s="221"/>
    </row>
    <row r="5771" spans="5:13">
      <c r="E5771" s="221"/>
      <c r="F5771" s="221"/>
      <c r="G5771" s="221"/>
      <c r="H5771" s="221"/>
      <c r="I5771" s="221"/>
      <c r="J5771" s="221"/>
      <c r="K5771" s="221"/>
      <c r="L5771" s="221"/>
      <c r="M5771" s="221"/>
    </row>
    <row r="5772" spans="5:13">
      <c r="E5772" s="221"/>
      <c r="F5772" s="221"/>
      <c r="G5772" s="221"/>
      <c r="H5772" s="221"/>
      <c r="I5772" s="221"/>
      <c r="J5772" s="221"/>
      <c r="K5772" s="221"/>
      <c r="L5772" s="221"/>
      <c r="M5772" s="221"/>
    </row>
    <row r="5773" spans="5:13">
      <c r="E5773" s="221"/>
      <c r="F5773" s="221"/>
      <c r="G5773" s="221"/>
      <c r="H5773" s="221"/>
      <c r="I5773" s="221"/>
      <c r="J5773" s="221"/>
      <c r="K5773" s="221"/>
      <c r="L5773" s="221"/>
      <c r="M5773" s="221"/>
    </row>
    <row r="5774" spans="5:13">
      <c r="E5774" s="221"/>
      <c r="F5774" s="221"/>
      <c r="G5774" s="221"/>
      <c r="H5774" s="221"/>
      <c r="I5774" s="221"/>
      <c r="J5774" s="221"/>
      <c r="K5774" s="221"/>
      <c r="L5774" s="221"/>
      <c r="M5774" s="221"/>
    </row>
    <row r="5775" spans="5:13">
      <c r="E5775" s="221"/>
      <c r="F5775" s="221"/>
      <c r="G5775" s="221"/>
      <c r="H5775" s="221"/>
      <c r="I5775" s="221"/>
      <c r="J5775" s="221"/>
      <c r="K5775" s="221"/>
      <c r="L5775" s="221"/>
      <c r="M5775" s="221"/>
    </row>
    <row r="5776" spans="5:13">
      <c r="E5776" s="221"/>
      <c r="F5776" s="221"/>
      <c r="G5776" s="221"/>
      <c r="H5776" s="221"/>
      <c r="I5776" s="221"/>
      <c r="J5776" s="221"/>
      <c r="K5776" s="221"/>
      <c r="L5776" s="221"/>
      <c r="M5776" s="221"/>
    </row>
    <row r="5777" spans="5:13">
      <c r="E5777" s="221"/>
      <c r="F5777" s="221"/>
      <c r="G5777" s="221"/>
      <c r="H5777" s="221"/>
      <c r="I5777" s="221"/>
      <c r="J5777" s="221"/>
      <c r="K5777" s="221"/>
      <c r="L5777" s="221"/>
      <c r="M5777" s="221"/>
    </row>
    <row r="5778" spans="5:13">
      <c r="E5778" s="221"/>
      <c r="F5778" s="221"/>
      <c r="G5778" s="221"/>
      <c r="H5778" s="221"/>
      <c r="I5778" s="221"/>
      <c r="J5778" s="221"/>
      <c r="K5778" s="221"/>
      <c r="L5778" s="221"/>
      <c r="M5778" s="221"/>
    </row>
    <row r="5779" spans="5:13">
      <c r="E5779" s="221"/>
      <c r="F5779" s="221"/>
      <c r="G5779" s="221"/>
      <c r="H5779" s="221"/>
      <c r="I5779" s="221"/>
      <c r="J5779" s="221"/>
      <c r="K5779" s="221"/>
      <c r="L5779" s="221"/>
      <c r="M5779" s="221"/>
    </row>
    <row r="5780" spans="5:13">
      <c r="E5780" s="221"/>
      <c r="F5780" s="221"/>
      <c r="G5780" s="221"/>
      <c r="H5780" s="221"/>
      <c r="I5780" s="221"/>
      <c r="J5780" s="221"/>
      <c r="K5780" s="221"/>
      <c r="L5780" s="221"/>
      <c r="M5780" s="221"/>
    </row>
    <row r="5781" spans="5:13">
      <c r="E5781" s="221"/>
      <c r="F5781" s="221"/>
      <c r="G5781" s="221"/>
      <c r="H5781" s="221"/>
      <c r="I5781" s="221"/>
      <c r="J5781" s="221"/>
      <c r="K5781" s="221"/>
      <c r="L5781" s="221"/>
      <c r="M5781" s="221"/>
    </row>
    <row r="5782" spans="5:13">
      <c r="E5782" s="221"/>
      <c r="F5782" s="221"/>
      <c r="G5782" s="221"/>
      <c r="H5782" s="221"/>
      <c r="I5782" s="221"/>
      <c r="J5782" s="221"/>
      <c r="K5782" s="221"/>
      <c r="L5782" s="221"/>
      <c r="M5782" s="221"/>
    </row>
    <row r="5783" spans="5:13">
      <c r="E5783" s="221"/>
      <c r="F5783" s="221"/>
      <c r="G5783" s="221"/>
      <c r="H5783" s="221"/>
      <c r="I5783" s="221"/>
      <c r="J5783" s="221"/>
      <c r="K5783" s="221"/>
      <c r="L5783" s="221"/>
      <c r="M5783" s="221"/>
    </row>
    <row r="5784" spans="5:13">
      <c r="E5784" s="221"/>
      <c r="F5784" s="221"/>
      <c r="G5784" s="221"/>
      <c r="H5784" s="221"/>
      <c r="I5784" s="221"/>
      <c r="J5784" s="221"/>
      <c r="K5784" s="221"/>
      <c r="L5784" s="221"/>
      <c r="M5784" s="221"/>
    </row>
    <row r="5785" spans="5:13">
      <c r="E5785" s="221"/>
      <c r="F5785" s="221"/>
      <c r="G5785" s="221"/>
      <c r="H5785" s="221"/>
      <c r="I5785" s="221"/>
      <c r="J5785" s="221"/>
      <c r="K5785" s="221"/>
      <c r="L5785" s="221"/>
      <c r="M5785" s="221"/>
    </row>
    <row r="5786" spans="5:13">
      <c r="E5786" s="221"/>
      <c r="F5786" s="221"/>
      <c r="G5786" s="221"/>
      <c r="H5786" s="221"/>
      <c r="I5786" s="221"/>
      <c r="J5786" s="221"/>
      <c r="K5786" s="221"/>
      <c r="L5786" s="221"/>
      <c r="M5786" s="221"/>
    </row>
    <row r="5787" spans="5:13">
      <c r="E5787" s="221"/>
      <c r="F5787" s="221"/>
      <c r="G5787" s="221"/>
      <c r="H5787" s="221"/>
      <c r="I5787" s="221"/>
      <c r="J5787" s="221"/>
      <c r="K5787" s="221"/>
      <c r="L5787" s="221"/>
      <c r="M5787" s="221"/>
    </row>
    <row r="5788" spans="5:13">
      <c r="E5788" s="221"/>
      <c r="F5788" s="221"/>
      <c r="G5788" s="221"/>
      <c r="H5788" s="221"/>
      <c r="I5788" s="221"/>
      <c r="J5788" s="221"/>
      <c r="K5788" s="221"/>
      <c r="L5788" s="221"/>
      <c r="M5788" s="221"/>
    </row>
    <row r="5789" spans="5:13">
      <c r="E5789" s="221"/>
      <c r="F5789" s="221"/>
      <c r="G5789" s="221"/>
      <c r="H5789" s="221"/>
      <c r="I5789" s="221"/>
      <c r="J5789" s="221"/>
      <c r="K5789" s="221"/>
      <c r="L5789" s="221"/>
      <c r="M5789" s="221"/>
    </row>
    <row r="5790" spans="5:13">
      <c r="E5790" s="221"/>
      <c r="F5790" s="221"/>
      <c r="G5790" s="221"/>
      <c r="H5790" s="221"/>
      <c r="I5790" s="221"/>
      <c r="J5790" s="221"/>
      <c r="K5790" s="221"/>
      <c r="L5790" s="221"/>
      <c r="M5790" s="221"/>
    </row>
    <row r="5791" spans="5:13">
      <c r="E5791" s="221"/>
      <c r="F5791" s="221"/>
      <c r="G5791" s="221"/>
      <c r="H5791" s="221"/>
      <c r="I5791" s="221"/>
      <c r="J5791" s="221"/>
      <c r="K5791" s="221"/>
      <c r="L5791" s="221"/>
      <c r="M5791" s="221"/>
    </row>
    <row r="5792" spans="5:13">
      <c r="E5792" s="221"/>
      <c r="F5792" s="221"/>
      <c r="G5792" s="221"/>
      <c r="H5792" s="221"/>
      <c r="I5792" s="221"/>
      <c r="J5792" s="221"/>
      <c r="K5792" s="221"/>
      <c r="L5792" s="221"/>
      <c r="M5792" s="221"/>
    </row>
    <row r="5793" spans="5:13">
      <c r="E5793" s="221"/>
      <c r="F5793" s="221"/>
      <c r="G5793" s="221"/>
      <c r="H5793" s="221"/>
      <c r="I5793" s="221"/>
      <c r="J5793" s="221"/>
      <c r="K5793" s="221"/>
      <c r="L5793" s="221"/>
      <c r="M5793" s="221"/>
    </row>
    <row r="5794" spans="5:13">
      <c r="E5794" s="221"/>
      <c r="F5794" s="221"/>
      <c r="G5794" s="221"/>
      <c r="H5794" s="221"/>
      <c r="I5794" s="221"/>
      <c r="J5794" s="221"/>
      <c r="K5794" s="221"/>
      <c r="L5794" s="221"/>
      <c r="M5794" s="221"/>
    </row>
    <row r="5795" spans="5:13">
      <c r="E5795" s="221"/>
      <c r="F5795" s="221"/>
      <c r="G5795" s="221"/>
      <c r="H5795" s="221"/>
      <c r="I5795" s="221"/>
      <c r="J5795" s="221"/>
      <c r="K5795" s="221"/>
      <c r="L5795" s="221"/>
      <c r="M5795" s="221"/>
    </row>
    <row r="5796" spans="5:13">
      <c r="E5796" s="221"/>
      <c r="F5796" s="221"/>
      <c r="G5796" s="221"/>
      <c r="H5796" s="221"/>
      <c r="I5796" s="221"/>
      <c r="J5796" s="221"/>
      <c r="K5796" s="221"/>
      <c r="L5796" s="221"/>
      <c r="M5796" s="221"/>
    </row>
    <row r="5797" spans="5:13">
      <c r="E5797" s="221"/>
      <c r="F5797" s="221"/>
      <c r="G5797" s="221"/>
      <c r="H5797" s="221"/>
      <c r="I5797" s="221"/>
      <c r="J5797" s="221"/>
      <c r="K5797" s="221"/>
      <c r="L5797" s="221"/>
      <c r="M5797" s="221"/>
    </row>
    <row r="5798" spans="5:13">
      <c r="E5798" s="221"/>
      <c r="F5798" s="221"/>
      <c r="G5798" s="221"/>
      <c r="H5798" s="221"/>
      <c r="I5798" s="221"/>
      <c r="J5798" s="221"/>
      <c r="K5798" s="221"/>
      <c r="L5798" s="221"/>
      <c r="M5798" s="221"/>
    </row>
    <row r="5799" spans="5:13">
      <c r="E5799" s="221"/>
      <c r="F5799" s="221"/>
      <c r="G5799" s="221"/>
      <c r="H5799" s="221"/>
      <c r="I5799" s="221"/>
      <c r="J5799" s="221"/>
      <c r="K5799" s="221"/>
      <c r="L5799" s="221"/>
      <c r="M5799" s="221"/>
    </row>
    <row r="5800" spans="5:13">
      <c r="E5800" s="221"/>
      <c r="F5800" s="221"/>
      <c r="G5800" s="221"/>
      <c r="H5800" s="221"/>
      <c r="I5800" s="221"/>
      <c r="J5800" s="221"/>
      <c r="K5800" s="221"/>
      <c r="L5800" s="221"/>
      <c r="M5800" s="221"/>
    </row>
    <row r="5801" spans="5:13">
      <c r="E5801" s="221"/>
      <c r="F5801" s="221"/>
      <c r="G5801" s="221"/>
      <c r="H5801" s="221"/>
      <c r="I5801" s="221"/>
      <c r="J5801" s="221"/>
      <c r="K5801" s="221"/>
      <c r="L5801" s="221"/>
      <c r="M5801" s="221"/>
    </row>
    <row r="5802" spans="5:13">
      <c r="E5802" s="221"/>
      <c r="F5802" s="221"/>
      <c r="G5802" s="221"/>
      <c r="H5802" s="221"/>
      <c r="I5802" s="221"/>
      <c r="J5802" s="221"/>
      <c r="K5802" s="221"/>
      <c r="L5802" s="221"/>
      <c r="M5802" s="221"/>
    </row>
    <row r="5803" spans="5:13">
      <c r="E5803" s="221"/>
      <c r="F5803" s="221"/>
      <c r="G5803" s="221"/>
      <c r="H5803" s="221"/>
      <c r="I5803" s="221"/>
      <c r="J5803" s="221"/>
      <c r="K5803" s="221"/>
      <c r="L5803" s="221"/>
      <c r="M5803" s="221"/>
    </row>
    <row r="5804" spans="5:13">
      <c r="E5804" s="221"/>
      <c r="F5804" s="221"/>
      <c r="G5804" s="221"/>
      <c r="H5804" s="221"/>
      <c r="I5804" s="221"/>
      <c r="J5804" s="221"/>
      <c r="K5804" s="221"/>
      <c r="L5804" s="221"/>
      <c r="M5804" s="221"/>
    </row>
    <row r="5805" spans="5:13">
      <c r="E5805" s="221"/>
      <c r="F5805" s="221"/>
      <c r="G5805" s="221"/>
      <c r="H5805" s="221"/>
      <c r="I5805" s="221"/>
      <c r="J5805" s="221"/>
      <c r="K5805" s="221"/>
      <c r="L5805" s="221"/>
      <c r="M5805" s="221"/>
    </row>
    <row r="5806" spans="5:13">
      <c r="E5806" s="221"/>
      <c r="F5806" s="221"/>
      <c r="G5806" s="221"/>
      <c r="H5806" s="221"/>
      <c r="I5806" s="221"/>
      <c r="J5806" s="221"/>
      <c r="K5806" s="221"/>
      <c r="L5806" s="221"/>
      <c r="M5806" s="221"/>
    </row>
    <row r="5807" spans="5:13">
      <c r="E5807" s="221"/>
      <c r="F5807" s="221"/>
      <c r="G5807" s="221"/>
      <c r="H5807" s="221"/>
      <c r="I5807" s="221"/>
      <c r="J5807" s="221"/>
      <c r="K5807" s="221"/>
      <c r="L5807" s="221"/>
      <c r="M5807" s="221"/>
    </row>
    <row r="5808" spans="5:13">
      <c r="E5808" s="221"/>
      <c r="F5808" s="221"/>
      <c r="G5808" s="221"/>
      <c r="H5808" s="221"/>
      <c r="I5808" s="221"/>
      <c r="J5808" s="221"/>
      <c r="K5808" s="221"/>
      <c r="L5808" s="221"/>
      <c r="M5808" s="221"/>
    </row>
    <row r="5809" spans="5:13">
      <c r="E5809" s="221"/>
      <c r="F5809" s="221"/>
      <c r="G5809" s="221"/>
      <c r="H5809" s="221"/>
      <c r="I5809" s="221"/>
      <c r="J5809" s="221"/>
      <c r="K5809" s="221"/>
      <c r="L5809" s="221"/>
      <c r="M5809" s="221"/>
    </row>
    <row r="5810" spans="5:13">
      <c r="E5810" s="221"/>
      <c r="F5810" s="221"/>
      <c r="G5810" s="221"/>
      <c r="H5810" s="221"/>
      <c r="I5810" s="221"/>
      <c r="J5810" s="221"/>
      <c r="K5810" s="221"/>
      <c r="L5810" s="221"/>
      <c r="M5810" s="221"/>
    </row>
    <row r="5811" spans="5:13">
      <c r="E5811" s="221"/>
      <c r="F5811" s="221"/>
      <c r="G5811" s="221"/>
      <c r="H5811" s="221"/>
      <c r="I5811" s="221"/>
      <c r="J5811" s="221"/>
      <c r="K5811" s="221"/>
      <c r="L5811" s="221"/>
      <c r="M5811" s="221"/>
    </row>
    <row r="5812" spans="5:13">
      <c r="E5812" s="221"/>
      <c r="F5812" s="221"/>
      <c r="G5812" s="221"/>
      <c r="H5812" s="221"/>
      <c r="I5812" s="221"/>
      <c r="J5812" s="221"/>
      <c r="K5812" s="221"/>
      <c r="L5812" s="221"/>
      <c r="M5812" s="221"/>
    </row>
    <row r="5813" spans="5:13">
      <c r="E5813" s="221"/>
      <c r="F5813" s="221"/>
      <c r="G5813" s="221"/>
      <c r="H5813" s="221"/>
      <c r="I5813" s="221"/>
      <c r="J5813" s="221"/>
      <c r="K5813" s="221"/>
      <c r="L5813" s="221"/>
      <c r="M5813" s="221"/>
    </row>
    <row r="5814" spans="5:13">
      <c r="E5814" s="221"/>
      <c r="F5814" s="221"/>
      <c r="G5814" s="221"/>
      <c r="H5814" s="221"/>
      <c r="I5814" s="221"/>
      <c r="J5814" s="221"/>
      <c r="K5814" s="221"/>
      <c r="L5814" s="221"/>
      <c r="M5814" s="221"/>
    </row>
    <row r="5815" spans="5:13">
      <c r="E5815" s="221"/>
      <c r="F5815" s="221"/>
      <c r="G5815" s="221"/>
      <c r="H5815" s="221"/>
      <c r="I5815" s="221"/>
      <c r="J5815" s="221"/>
      <c r="K5815" s="221"/>
      <c r="L5815" s="221"/>
      <c r="M5815" s="221"/>
    </row>
    <row r="5816" spans="5:13">
      <c r="E5816" s="221"/>
      <c r="F5816" s="221"/>
      <c r="G5816" s="221"/>
      <c r="H5816" s="221"/>
      <c r="I5816" s="221"/>
      <c r="J5816" s="221"/>
      <c r="K5816" s="221"/>
      <c r="L5816" s="221"/>
      <c r="M5816" s="221"/>
    </row>
    <row r="5817" spans="5:13">
      <c r="E5817" s="221"/>
      <c r="F5817" s="221"/>
      <c r="G5817" s="221"/>
      <c r="H5817" s="221"/>
      <c r="I5817" s="221"/>
      <c r="J5817" s="221"/>
      <c r="K5817" s="221"/>
      <c r="L5817" s="221"/>
      <c r="M5817" s="221"/>
    </row>
    <row r="5818" spans="5:13">
      <c r="E5818" s="221"/>
      <c r="F5818" s="221"/>
      <c r="G5818" s="221"/>
      <c r="H5818" s="221"/>
      <c r="I5818" s="221"/>
      <c r="J5818" s="221"/>
      <c r="K5818" s="221"/>
      <c r="L5818" s="221"/>
      <c r="M5818" s="221"/>
    </row>
    <row r="5819" spans="5:13">
      <c r="E5819" s="221"/>
      <c r="F5819" s="221"/>
      <c r="G5819" s="221"/>
      <c r="H5819" s="221"/>
      <c r="I5819" s="221"/>
      <c r="J5819" s="221"/>
      <c r="K5819" s="221"/>
      <c r="L5819" s="221"/>
      <c r="M5819" s="221"/>
    </row>
    <row r="5820" spans="5:13">
      <c r="E5820" s="221"/>
      <c r="F5820" s="221"/>
      <c r="G5820" s="221"/>
      <c r="H5820" s="221"/>
      <c r="I5820" s="221"/>
      <c r="J5820" s="221"/>
      <c r="K5820" s="221"/>
      <c r="L5820" s="221"/>
      <c r="M5820" s="221"/>
    </row>
    <row r="5821" spans="5:13">
      <c r="E5821" s="221"/>
      <c r="F5821" s="221"/>
      <c r="G5821" s="221"/>
      <c r="H5821" s="221"/>
      <c r="I5821" s="221"/>
      <c r="J5821" s="221"/>
      <c r="K5821" s="221"/>
      <c r="L5821" s="221"/>
      <c r="M5821" s="221"/>
    </row>
    <row r="5822" spans="5:13">
      <c r="E5822" s="221"/>
      <c r="F5822" s="221"/>
      <c r="G5822" s="221"/>
      <c r="H5822" s="221"/>
      <c r="I5822" s="221"/>
      <c r="J5822" s="221"/>
      <c r="K5822" s="221"/>
      <c r="L5822" s="221"/>
      <c r="M5822" s="221"/>
    </row>
    <row r="5823" spans="5:13">
      <c r="E5823" s="221"/>
      <c r="F5823" s="221"/>
      <c r="G5823" s="221"/>
      <c r="H5823" s="221"/>
      <c r="I5823" s="221"/>
      <c r="J5823" s="221"/>
      <c r="K5823" s="221"/>
      <c r="L5823" s="221"/>
      <c r="M5823" s="221"/>
    </row>
    <row r="5824" spans="5:13">
      <c r="E5824" s="221"/>
      <c r="F5824" s="221"/>
      <c r="G5824" s="221"/>
      <c r="H5824" s="221"/>
      <c r="I5824" s="221"/>
      <c r="J5824" s="221"/>
      <c r="K5824" s="221"/>
      <c r="L5824" s="221"/>
      <c r="M5824" s="221"/>
    </row>
    <row r="5825" spans="5:13">
      <c r="E5825" s="221"/>
      <c r="F5825" s="221"/>
      <c r="G5825" s="221"/>
      <c r="H5825" s="221"/>
      <c r="I5825" s="221"/>
      <c r="J5825" s="221"/>
      <c r="K5825" s="221"/>
      <c r="L5825" s="221"/>
      <c r="M5825" s="221"/>
    </row>
    <row r="5826" spans="5:13">
      <c r="E5826" s="221"/>
      <c r="F5826" s="221"/>
      <c r="G5826" s="221"/>
      <c r="H5826" s="221"/>
      <c r="I5826" s="221"/>
      <c r="J5826" s="221"/>
      <c r="K5826" s="221"/>
      <c r="L5826" s="221"/>
      <c r="M5826" s="221"/>
    </row>
    <row r="5827" spans="5:13">
      <c r="E5827" s="221"/>
      <c r="F5827" s="221"/>
      <c r="G5827" s="221"/>
      <c r="H5827" s="221"/>
      <c r="I5827" s="221"/>
      <c r="J5827" s="221"/>
      <c r="K5827" s="221"/>
      <c r="L5827" s="221"/>
      <c r="M5827" s="221"/>
    </row>
    <row r="5828" spans="5:13">
      <c r="E5828" s="221"/>
      <c r="F5828" s="221"/>
      <c r="G5828" s="221"/>
      <c r="H5828" s="221"/>
      <c r="I5828" s="221"/>
      <c r="J5828" s="221"/>
      <c r="K5828" s="221"/>
      <c r="L5828" s="221"/>
      <c r="M5828" s="221"/>
    </row>
    <row r="5829" spans="5:13">
      <c r="E5829" s="221"/>
      <c r="F5829" s="221"/>
      <c r="G5829" s="221"/>
      <c r="H5829" s="221"/>
      <c r="I5829" s="221"/>
      <c r="J5829" s="221"/>
      <c r="K5829" s="221"/>
      <c r="L5829" s="221"/>
      <c r="M5829" s="221"/>
    </row>
    <row r="5830" spans="5:13">
      <c r="E5830" s="221"/>
      <c r="F5830" s="221"/>
      <c r="G5830" s="221"/>
      <c r="H5830" s="221"/>
      <c r="I5830" s="221"/>
      <c r="J5830" s="221"/>
      <c r="K5830" s="221"/>
      <c r="L5830" s="221"/>
      <c r="M5830" s="221"/>
    </row>
    <row r="5831" spans="5:13">
      <c r="E5831" s="221"/>
      <c r="F5831" s="221"/>
      <c r="G5831" s="221"/>
      <c r="H5831" s="221"/>
      <c r="I5831" s="221"/>
      <c r="J5831" s="221"/>
      <c r="K5831" s="221"/>
      <c r="L5831" s="221"/>
      <c r="M5831" s="221"/>
    </row>
    <row r="5832" spans="5:13">
      <c r="E5832" s="221"/>
      <c r="F5832" s="221"/>
      <c r="G5832" s="221"/>
      <c r="H5832" s="221"/>
      <c r="I5832" s="221"/>
      <c r="J5832" s="221"/>
      <c r="K5832" s="221"/>
      <c r="L5832" s="221"/>
      <c r="M5832" s="221"/>
    </row>
    <row r="5833" spans="5:13">
      <c r="E5833" s="221"/>
      <c r="F5833" s="221"/>
      <c r="G5833" s="221"/>
      <c r="H5833" s="221"/>
      <c r="I5833" s="221"/>
      <c r="J5833" s="221"/>
      <c r="K5833" s="221"/>
      <c r="L5833" s="221"/>
      <c r="M5833" s="221"/>
    </row>
    <row r="5834" spans="5:13">
      <c r="E5834" s="221"/>
      <c r="F5834" s="221"/>
      <c r="G5834" s="221"/>
      <c r="H5834" s="221"/>
      <c r="I5834" s="221"/>
      <c r="J5834" s="221"/>
      <c r="K5834" s="221"/>
      <c r="L5834" s="221"/>
      <c r="M5834" s="221"/>
    </row>
    <row r="5835" spans="5:13">
      <c r="E5835" s="221"/>
      <c r="F5835" s="221"/>
      <c r="G5835" s="221"/>
      <c r="H5835" s="221"/>
      <c r="I5835" s="221"/>
      <c r="J5835" s="221"/>
      <c r="K5835" s="221"/>
      <c r="L5835" s="221"/>
      <c r="M5835" s="221"/>
    </row>
    <row r="5836" spans="5:13">
      <c r="E5836" s="221"/>
      <c r="F5836" s="221"/>
      <c r="G5836" s="221"/>
      <c r="H5836" s="221"/>
      <c r="I5836" s="221"/>
      <c r="J5836" s="221"/>
      <c r="K5836" s="221"/>
      <c r="L5836" s="221"/>
      <c r="M5836" s="221"/>
    </row>
    <row r="5837" spans="5:13">
      <c r="E5837" s="221"/>
      <c r="F5837" s="221"/>
      <c r="G5837" s="221"/>
      <c r="H5837" s="221"/>
      <c r="I5837" s="221"/>
      <c r="J5837" s="221"/>
      <c r="K5837" s="221"/>
      <c r="L5837" s="221"/>
      <c r="M5837" s="221"/>
    </row>
    <row r="5838" spans="5:13">
      <c r="E5838" s="221"/>
      <c r="F5838" s="221"/>
      <c r="G5838" s="221"/>
      <c r="H5838" s="221"/>
      <c r="I5838" s="221"/>
      <c r="J5838" s="221"/>
      <c r="K5838" s="221"/>
      <c r="L5838" s="221"/>
      <c r="M5838" s="221"/>
    </row>
    <row r="5839" spans="5:13">
      <c r="E5839" s="221"/>
      <c r="F5839" s="221"/>
      <c r="G5839" s="221"/>
      <c r="H5839" s="221"/>
      <c r="I5839" s="221"/>
      <c r="J5839" s="221"/>
      <c r="K5839" s="221"/>
      <c r="L5839" s="221"/>
      <c r="M5839" s="221"/>
    </row>
    <row r="5840" spans="5:13">
      <c r="E5840" s="221"/>
      <c r="F5840" s="221"/>
      <c r="G5840" s="221"/>
      <c r="H5840" s="221"/>
      <c r="I5840" s="221"/>
      <c r="J5840" s="221"/>
      <c r="K5840" s="221"/>
      <c r="L5840" s="221"/>
      <c r="M5840" s="221"/>
    </row>
    <row r="5841" spans="5:13">
      <c r="E5841" s="221"/>
      <c r="F5841" s="221"/>
      <c r="G5841" s="221"/>
      <c r="H5841" s="221"/>
      <c r="I5841" s="221"/>
      <c r="J5841" s="221"/>
      <c r="K5841" s="221"/>
      <c r="L5841" s="221"/>
      <c r="M5841" s="221"/>
    </row>
    <row r="5842" spans="5:13">
      <c r="E5842" s="221"/>
      <c r="F5842" s="221"/>
      <c r="G5842" s="221"/>
      <c r="H5842" s="221"/>
      <c r="I5842" s="221"/>
      <c r="J5842" s="221"/>
      <c r="K5842" s="221"/>
      <c r="L5842" s="221"/>
      <c r="M5842" s="221"/>
    </row>
    <row r="5843" spans="5:13">
      <c r="E5843" s="221"/>
      <c r="F5843" s="221"/>
      <c r="G5843" s="221"/>
      <c r="H5843" s="221"/>
      <c r="I5843" s="221"/>
      <c r="J5843" s="221"/>
      <c r="K5843" s="221"/>
      <c r="L5843" s="221"/>
      <c r="M5843" s="221"/>
    </row>
    <row r="5844" spans="5:13">
      <c r="E5844" s="221"/>
      <c r="F5844" s="221"/>
      <c r="G5844" s="221"/>
      <c r="H5844" s="221"/>
      <c r="I5844" s="221"/>
      <c r="J5844" s="221"/>
      <c r="K5844" s="221"/>
      <c r="L5844" s="221"/>
      <c r="M5844" s="221"/>
    </row>
    <row r="5845" spans="5:13">
      <c r="E5845" s="221"/>
      <c r="F5845" s="221"/>
      <c r="G5845" s="221"/>
      <c r="H5845" s="221"/>
      <c r="I5845" s="221"/>
      <c r="J5845" s="221"/>
      <c r="K5845" s="221"/>
      <c r="L5845" s="221"/>
      <c r="M5845" s="221"/>
    </row>
    <row r="5846" spans="5:13">
      <c r="E5846" s="221"/>
      <c r="F5846" s="221"/>
      <c r="G5846" s="221"/>
      <c r="H5846" s="221"/>
      <c r="I5846" s="221"/>
      <c r="J5846" s="221"/>
      <c r="K5846" s="221"/>
      <c r="L5846" s="221"/>
      <c r="M5846" s="221"/>
    </row>
    <row r="5847" spans="5:13">
      <c r="E5847" s="221"/>
      <c r="F5847" s="221"/>
      <c r="G5847" s="221"/>
      <c r="H5847" s="221"/>
      <c r="I5847" s="221"/>
      <c r="J5847" s="221"/>
      <c r="K5847" s="221"/>
      <c r="L5847" s="221"/>
      <c r="M5847" s="221"/>
    </row>
    <row r="5848" spans="5:13">
      <c r="E5848" s="221"/>
      <c r="F5848" s="221"/>
      <c r="G5848" s="221"/>
      <c r="H5848" s="221"/>
      <c r="I5848" s="221"/>
      <c r="J5848" s="221"/>
      <c r="K5848" s="221"/>
      <c r="L5848" s="221"/>
      <c r="M5848" s="221"/>
    </row>
    <row r="5849" spans="5:13">
      <c r="E5849" s="221"/>
      <c r="F5849" s="221"/>
      <c r="G5849" s="221"/>
      <c r="H5849" s="221"/>
      <c r="I5849" s="221"/>
      <c r="J5849" s="221"/>
      <c r="K5849" s="221"/>
      <c r="L5849" s="221"/>
      <c r="M5849" s="221"/>
    </row>
    <row r="5850" spans="5:13">
      <c r="E5850" s="221"/>
      <c r="F5850" s="221"/>
      <c r="G5850" s="221"/>
      <c r="H5850" s="221"/>
      <c r="I5850" s="221"/>
      <c r="J5850" s="221"/>
      <c r="K5850" s="221"/>
      <c r="L5850" s="221"/>
      <c r="M5850" s="221"/>
    </row>
    <row r="5851" spans="5:13">
      <c r="E5851" s="221"/>
      <c r="F5851" s="221"/>
      <c r="G5851" s="221"/>
      <c r="H5851" s="221"/>
      <c r="I5851" s="221"/>
      <c r="J5851" s="221"/>
      <c r="K5851" s="221"/>
      <c r="L5851" s="221"/>
      <c r="M5851" s="221"/>
    </row>
    <row r="5852" spans="5:13">
      <c r="E5852" s="221"/>
      <c r="F5852" s="221"/>
      <c r="G5852" s="221"/>
      <c r="H5852" s="221"/>
      <c r="I5852" s="221"/>
      <c r="J5852" s="221"/>
      <c r="K5852" s="221"/>
      <c r="L5852" s="221"/>
      <c r="M5852" s="221"/>
    </row>
    <row r="5853" spans="5:13">
      <c r="E5853" s="221"/>
      <c r="F5853" s="221"/>
      <c r="G5853" s="221"/>
      <c r="H5853" s="221"/>
      <c r="I5853" s="221"/>
      <c r="J5853" s="221"/>
      <c r="K5853" s="221"/>
      <c r="L5853" s="221"/>
      <c r="M5853" s="221"/>
    </row>
    <row r="5854" spans="5:13">
      <c r="E5854" s="221"/>
      <c r="F5854" s="221"/>
      <c r="G5854" s="221"/>
      <c r="H5854" s="221"/>
      <c r="I5854" s="221"/>
      <c r="J5854" s="221"/>
      <c r="K5854" s="221"/>
      <c r="L5854" s="221"/>
      <c r="M5854" s="221"/>
    </row>
    <row r="5855" spans="5:13">
      <c r="E5855" s="221"/>
      <c r="F5855" s="221"/>
      <c r="G5855" s="221"/>
      <c r="H5855" s="221"/>
      <c r="I5855" s="221"/>
      <c r="J5855" s="221"/>
      <c r="K5855" s="221"/>
      <c r="L5855" s="221"/>
      <c r="M5855" s="221"/>
    </row>
    <row r="5856" spans="5:13">
      <c r="E5856" s="221"/>
      <c r="F5856" s="221"/>
      <c r="G5856" s="221"/>
      <c r="H5856" s="221"/>
      <c r="I5856" s="221"/>
      <c r="J5856" s="221"/>
      <c r="K5856" s="221"/>
      <c r="L5856" s="221"/>
      <c r="M5856" s="221"/>
    </row>
    <row r="5857" spans="5:13">
      <c r="E5857" s="221"/>
      <c r="F5857" s="221"/>
      <c r="G5857" s="221"/>
      <c r="H5857" s="221"/>
      <c r="I5857" s="221"/>
      <c r="J5857" s="221"/>
      <c r="K5857" s="221"/>
      <c r="L5857" s="221"/>
      <c r="M5857" s="221"/>
    </row>
    <row r="5858" spans="5:13">
      <c r="E5858" s="221"/>
      <c r="F5858" s="221"/>
      <c r="G5858" s="221"/>
      <c r="H5858" s="221"/>
      <c r="I5858" s="221"/>
      <c r="J5858" s="221"/>
      <c r="K5858" s="221"/>
      <c r="L5858" s="221"/>
      <c r="M5858" s="221"/>
    </row>
    <row r="5859" spans="5:13">
      <c r="E5859" s="221"/>
      <c r="F5859" s="221"/>
      <c r="G5859" s="221"/>
      <c r="H5859" s="221"/>
      <c r="I5859" s="221"/>
      <c r="J5859" s="221"/>
      <c r="K5859" s="221"/>
      <c r="L5859" s="221"/>
      <c r="M5859" s="221"/>
    </row>
    <row r="5860" spans="5:13">
      <c r="E5860" s="221"/>
      <c r="F5860" s="221"/>
      <c r="G5860" s="221"/>
      <c r="H5860" s="221"/>
      <c r="I5860" s="221"/>
      <c r="J5860" s="221"/>
      <c r="K5860" s="221"/>
      <c r="L5860" s="221"/>
      <c r="M5860" s="221"/>
    </row>
    <row r="5861" spans="5:13">
      <c r="E5861" s="221"/>
      <c r="F5861" s="221"/>
      <c r="G5861" s="221"/>
      <c r="H5861" s="221"/>
      <c r="I5861" s="221"/>
      <c r="J5861" s="221"/>
      <c r="K5861" s="221"/>
      <c r="L5861" s="221"/>
      <c r="M5861" s="221"/>
    </row>
    <row r="5862" spans="5:13">
      <c r="E5862" s="221"/>
      <c r="F5862" s="221"/>
      <c r="G5862" s="221"/>
      <c r="H5862" s="221"/>
      <c r="I5862" s="221"/>
      <c r="J5862" s="221"/>
      <c r="K5862" s="221"/>
      <c r="L5862" s="221"/>
      <c r="M5862" s="221"/>
    </row>
    <row r="5863" spans="5:13">
      <c r="E5863" s="221"/>
      <c r="F5863" s="221"/>
      <c r="G5863" s="221"/>
      <c r="H5863" s="221"/>
      <c r="I5863" s="221"/>
      <c r="J5863" s="221"/>
      <c r="K5863" s="221"/>
      <c r="L5863" s="221"/>
      <c r="M5863" s="221"/>
    </row>
    <row r="5864" spans="5:13">
      <c r="E5864" s="221"/>
      <c r="F5864" s="221"/>
      <c r="G5864" s="221"/>
      <c r="H5864" s="221"/>
      <c r="I5864" s="221"/>
      <c r="J5864" s="221"/>
      <c r="K5864" s="221"/>
      <c r="L5864" s="221"/>
      <c r="M5864" s="221"/>
    </row>
    <row r="5865" spans="5:13">
      <c r="E5865" s="221"/>
      <c r="F5865" s="221"/>
      <c r="G5865" s="221"/>
      <c r="H5865" s="221"/>
      <c r="I5865" s="221"/>
      <c r="J5865" s="221"/>
      <c r="K5865" s="221"/>
      <c r="L5865" s="221"/>
      <c r="M5865" s="221"/>
    </row>
    <row r="5866" spans="5:13">
      <c r="E5866" s="221"/>
      <c r="F5866" s="221"/>
      <c r="G5866" s="221"/>
      <c r="H5866" s="221"/>
      <c r="I5866" s="221"/>
      <c r="J5866" s="221"/>
      <c r="K5866" s="221"/>
      <c r="L5866" s="221"/>
      <c r="M5866" s="221"/>
    </row>
    <row r="5867" spans="5:13">
      <c r="E5867" s="221"/>
      <c r="F5867" s="221"/>
      <c r="G5867" s="221"/>
      <c r="H5867" s="221"/>
      <c r="I5867" s="221"/>
      <c r="J5867" s="221"/>
      <c r="K5867" s="221"/>
      <c r="L5867" s="221"/>
      <c r="M5867" s="221"/>
    </row>
    <row r="5868" spans="5:13">
      <c r="E5868" s="221"/>
      <c r="F5868" s="221"/>
      <c r="G5868" s="221"/>
      <c r="H5868" s="221"/>
      <c r="I5868" s="221"/>
      <c r="J5868" s="221"/>
      <c r="K5868" s="221"/>
      <c r="L5868" s="221"/>
      <c r="M5868" s="221"/>
    </row>
    <row r="5869" spans="5:13">
      <c r="E5869" s="221"/>
      <c r="F5869" s="221"/>
      <c r="G5869" s="221"/>
      <c r="H5869" s="221"/>
      <c r="I5869" s="221"/>
      <c r="J5869" s="221"/>
      <c r="K5869" s="221"/>
      <c r="L5869" s="221"/>
      <c r="M5869" s="221"/>
    </row>
    <row r="5870" spans="5:13">
      <c r="E5870" s="221"/>
      <c r="F5870" s="221"/>
      <c r="G5870" s="221"/>
      <c r="H5870" s="221"/>
      <c r="I5870" s="221"/>
      <c r="J5870" s="221"/>
      <c r="K5870" s="221"/>
      <c r="L5870" s="221"/>
      <c r="M5870" s="221"/>
    </row>
    <row r="5871" spans="5:13">
      <c r="E5871" s="221"/>
      <c r="F5871" s="221"/>
      <c r="G5871" s="221"/>
      <c r="H5871" s="221"/>
      <c r="I5871" s="221"/>
      <c r="J5871" s="221"/>
      <c r="K5871" s="221"/>
      <c r="L5871" s="221"/>
      <c r="M5871" s="221"/>
    </row>
    <row r="5872" spans="5:13">
      <c r="E5872" s="221"/>
      <c r="F5872" s="221"/>
      <c r="G5872" s="221"/>
      <c r="H5872" s="221"/>
      <c r="I5872" s="221"/>
      <c r="J5872" s="221"/>
      <c r="K5872" s="221"/>
      <c r="L5872" s="221"/>
      <c r="M5872" s="221"/>
    </row>
    <row r="5873" spans="5:13">
      <c r="E5873" s="221"/>
      <c r="F5873" s="221"/>
      <c r="G5873" s="221"/>
      <c r="H5873" s="221"/>
      <c r="I5873" s="221"/>
      <c r="J5873" s="221"/>
      <c r="K5873" s="221"/>
      <c r="L5873" s="221"/>
      <c r="M5873" s="221"/>
    </row>
    <row r="5874" spans="5:13">
      <c r="E5874" s="221"/>
      <c r="F5874" s="221"/>
      <c r="G5874" s="221"/>
      <c r="H5874" s="221"/>
      <c r="I5874" s="221"/>
      <c r="J5874" s="221"/>
      <c r="K5874" s="221"/>
      <c r="L5874" s="221"/>
      <c r="M5874" s="221"/>
    </row>
    <row r="5875" spans="5:13">
      <c r="E5875" s="221"/>
      <c r="F5875" s="221"/>
      <c r="G5875" s="221"/>
      <c r="H5875" s="221"/>
      <c r="I5875" s="221"/>
      <c r="J5875" s="221"/>
      <c r="K5875" s="221"/>
      <c r="L5875" s="221"/>
      <c r="M5875" s="221"/>
    </row>
    <row r="5876" spans="5:13">
      <c r="E5876" s="221"/>
      <c r="F5876" s="221"/>
      <c r="G5876" s="221"/>
      <c r="H5876" s="221"/>
      <c r="I5876" s="221"/>
      <c r="J5876" s="221"/>
      <c r="K5876" s="221"/>
      <c r="L5876" s="221"/>
      <c r="M5876" s="221"/>
    </row>
    <row r="5877" spans="5:13">
      <c r="E5877" s="221"/>
      <c r="F5877" s="221"/>
      <c r="G5877" s="221"/>
      <c r="H5877" s="221"/>
      <c r="I5877" s="221"/>
      <c r="J5877" s="221"/>
      <c r="K5877" s="221"/>
      <c r="L5877" s="221"/>
      <c r="M5877" s="221"/>
    </row>
    <row r="5878" spans="5:13">
      <c r="E5878" s="221"/>
      <c r="F5878" s="221"/>
      <c r="G5878" s="221"/>
      <c r="H5878" s="221"/>
      <c r="I5878" s="221"/>
      <c r="J5878" s="221"/>
      <c r="K5878" s="221"/>
      <c r="L5878" s="221"/>
      <c r="M5878" s="221"/>
    </row>
    <row r="5879" spans="5:13">
      <c r="E5879" s="221"/>
      <c r="F5879" s="221"/>
      <c r="G5879" s="221"/>
      <c r="H5879" s="221"/>
      <c r="I5879" s="221"/>
      <c r="J5879" s="221"/>
      <c r="K5879" s="221"/>
      <c r="L5879" s="221"/>
      <c r="M5879" s="221"/>
    </row>
    <row r="5880" spans="5:13">
      <c r="E5880" s="221"/>
      <c r="F5880" s="221"/>
      <c r="G5880" s="221"/>
      <c r="H5880" s="221"/>
      <c r="I5880" s="221"/>
      <c r="J5880" s="221"/>
      <c r="K5880" s="221"/>
      <c r="L5880" s="221"/>
      <c r="M5880" s="221"/>
    </row>
    <row r="5881" spans="5:13">
      <c r="E5881" s="221"/>
      <c r="F5881" s="221"/>
      <c r="G5881" s="221"/>
      <c r="H5881" s="221"/>
      <c r="I5881" s="221"/>
      <c r="J5881" s="221"/>
      <c r="K5881" s="221"/>
      <c r="L5881" s="221"/>
      <c r="M5881" s="221"/>
    </row>
    <row r="5882" spans="5:13">
      <c r="E5882" s="221"/>
      <c r="F5882" s="221"/>
      <c r="G5882" s="221"/>
      <c r="H5882" s="221"/>
      <c r="I5882" s="221"/>
      <c r="J5882" s="221"/>
      <c r="K5882" s="221"/>
      <c r="L5882" s="221"/>
      <c r="M5882" s="221"/>
    </row>
    <row r="5883" spans="5:13">
      <c r="E5883" s="221"/>
      <c r="F5883" s="221"/>
      <c r="G5883" s="221"/>
      <c r="H5883" s="221"/>
      <c r="I5883" s="221"/>
      <c r="J5883" s="221"/>
      <c r="K5883" s="221"/>
      <c r="L5883" s="221"/>
      <c r="M5883" s="221"/>
    </row>
    <row r="5884" spans="5:13">
      <c r="E5884" s="221"/>
      <c r="F5884" s="221"/>
      <c r="G5884" s="221"/>
      <c r="H5884" s="221"/>
      <c r="I5884" s="221"/>
      <c r="J5884" s="221"/>
      <c r="K5884" s="221"/>
      <c r="L5884" s="221"/>
      <c r="M5884" s="221"/>
    </row>
    <row r="5885" spans="5:13">
      <c r="E5885" s="221"/>
      <c r="F5885" s="221"/>
      <c r="G5885" s="221"/>
      <c r="H5885" s="221"/>
      <c r="I5885" s="221"/>
      <c r="J5885" s="221"/>
      <c r="K5885" s="221"/>
      <c r="L5885" s="221"/>
      <c r="M5885" s="221"/>
    </row>
    <row r="5886" spans="5:13">
      <c r="E5886" s="221"/>
      <c r="F5886" s="221"/>
      <c r="G5886" s="221"/>
      <c r="H5886" s="221"/>
      <c r="I5886" s="221"/>
      <c r="J5886" s="221"/>
      <c r="K5886" s="221"/>
      <c r="L5886" s="221"/>
      <c r="M5886" s="221"/>
    </row>
    <row r="5887" spans="5:13">
      <c r="E5887" s="221"/>
      <c r="F5887" s="221"/>
      <c r="G5887" s="221"/>
      <c r="H5887" s="221"/>
      <c r="I5887" s="221"/>
      <c r="J5887" s="221"/>
      <c r="K5887" s="221"/>
      <c r="L5887" s="221"/>
      <c r="M5887" s="221"/>
    </row>
    <row r="5888" spans="5:13">
      <c r="E5888" s="221"/>
      <c r="F5888" s="221"/>
      <c r="G5888" s="221"/>
      <c r="H5888" s="221"/>
      <c r="I5888" s="221"/>
      <c r="J5888" s="221"/>
      <c r="K5888" s="221"/>
      <c r="L5888" s="221"/>
      <c r="M5888" s="221"/>
    </row>
    <row r="5889" spans="5:13">
      <c r="E5889" s="221"/>
      <c r="F5889" s="221"/>
      <c r="G5889" s="221"/>
      <c r="H5889" s="221"/>
      <c r="I5889" s="221"/>
      <c r="J5889" s="221"/>
      <c r="K5889" s="221"/>
      <c r="L5889" s="221"/>
      <c r="M5889" s="221"/>
    </row>
    <row r="5890" spans="5:13">
      <c r="E5890" s="221"/>
      <c r="F5890" s="221"/>
      <c r="G5890" s="221"/>
      <c r="H5890" s="221"/>
      <c r="I5890" s="221"/>
      <c r="J5890" s="221"/>
      <c r="K5890" s="221"/>
      <c r="L5890" s="221"/>
      <c r="M5890" s="221"/>
    </row>
    <row r="5891" spans="5:13">
      <c r="E5891" s="221"/>
      <c r="F5891" s="221"/>
      <c r="G5891" s="221"/>
      <c r="H5891" s="221"/>
      <c r="I5891" s="221"/>
      <c r="J5891" s="221"/>
      <c r="K5891" s="221"/>
      <c r="L5891" s="221"/>
      <c r="M5891" s="221"/>
    </row>
    <row r="5892" spans="5:13">
      <c r="E5892" s="221"/>
      <c r="F5892" s="221"/>
      <c r="G5892" s="221"/>
      <c r="H5892" s="221"/>
      <c r="I5892" s="221"/>
      <c r="J5892" s="221"/>
      <c r="K5892" s="221"/>
      <c r="L5892" s="221"/>
      <c r="M5892" s="221"/>
    </row>
    <row r="5893" spans="5:13">
      <c r="E5893" s="221"/>
      <c r="F5893" s="221"/>
      <c r="G5893" s="221"/>
      <c r="H5893" s="221"/>
      <c r="I5893" s="221"/>
      <c r="J5893" s="221"/>
      <c r="K5893" s="221"/>
      <c r="L5893" s="221"/>
      <c r="M5893" s="221"/>
    </row>
    <row r="5894" spans="5:13">
      <c r="E5894" s="221"/>
      <c r="F5894" s="221"/>
      <c r="G5894" s="221"/>
      <c r="H5894" s="221"/>
      <c r="I5894" s="221"/>
      <c r="J5894" s="221"/>
      <c r="K5894" s="221"/>
      <c r="L5894" s="221"/>
      <c r="M5894" s="221"/>
    </row>
    <row r="5895" spans="5:13">
      <c r="E5895" s="221"/>
      <c r="F5895" s="221"/>
      <c r="G5895" s="221"/>
      <c r="H5895" s="221"/>
      <c r="I5895" s="221"/>
      <c r="J5895" s="221"/>
      <c r="K5895" s="221"/>
      <c r="L5895" s="221"/>
      <c r="M5895" s="221"/>
    </row>
    <row r="5896" spans="5:13">
      <c r="E5896" s="221"/>
      <c r="F5896" s="221"/>
      <c r="G5896" s="221"/>
      <c r="H5896" s="221"/>
      <c r="I5896" s="221"/>
      <c r="J5896" s="221"/>
      <c r="K5896" s="221"/>
      <c r="L5896" s="221"/>
      <c r="M5896" s="221"/>
    </row>
    <row r="5897" spans="5:13">
      <c r="E5897" s="221"/>
      <c r="F5897" s="221"/>
      <c r="G5897" s="221"/>
      <c r="H5897" s="221"/>
      <c r="I5897" s="221"/>
      <c r="J5897" s="221"/>
      <c r="K5897" s="221"/>
      <c r="L5897" s="221"/>
      <c r="M5897" s="221"/>
    </row>
    <row r="5898" spans="5:13">
      <c r="E5898" s="221"/>
      <c r="F5898" s="221"/>
      <c r="G5898" s="221"/>
      <c r="H5898" s="221"/>
      <c r="I5898" s="221"/>
      <c r="J5898" s="221"/>
      <c r="K5898" s="221"/>
      <c r="L5898" s="221"/>
      <c r="M5898" s="221"/>
    </row>
    <row r="5899" spans="5:13">
      <c r="E5899" s="221"/>
      <c r="F5899" s="221"/>
      <c r="G5899" s="221"/>
      <c r="H5899" s="221"/>
      <c r="I5899" s="221"/>
      <c r="J5899" s="221"/>
      <c r="K5899" s="221"/>
      <c r="L5899" s="221"/>
      <c r="M5899" s="221"/>
    </row>
    <row r="5900" spans="5:13">
      <c r="E5900" s="221"/>
      <c r="F5900" s="221"/>
      <c r="G5900" s="221"/>
      <c r="H5900" s="221"/>
      <c r="I5900" s="221"/>
      <c r="J5900" s="221"/>
      <c r="K5900" s="221"/>
      <c r="L5900" s="221"/>
      <c r="M5900" s="221"/>
    </row>
    <row r="5901" spans="5:13">
      <c r="E5901" s="221"/>
      <c r="F5901" s="221"/>
      <c r="G5901" s="221"/>
      <c r="H5901" s="221"/>
      <c r="I5901" s="221"/>
      <c r="J5901" s="221"/>
      <c r="K5901" s="221"/>
      <c r="L5901" s="221"/>
      <c r="M5901" s="221"/>
    </row>
    <row r="5902" spans="5:13">
      <c r="E5902" s="221"/>
      <c r="F5902" s="221"/>
      <c r="G5902" s="221"/>
      <c r="H5902" s="221"/>
      <c r="I5902" s="221"/>
      <c r="J5902" s="221"/>
      <c r="K5902" s="221"/>
      <c r="L5902" s="221"/>
      <c r="M5902" s="221"/>
    </row>
    <row r="5903" spans="5:13">
      <c r="E5903" s="221"/>
      <c r="F5903" s="221"/>
      <c r="G5903" s="221"/>
      <c r="H5903" s="221"/>
      <c r="I5903" s="221"/>
      <c r="J5903" s="221"/>
      <c r="K5903" s="221"/>
      <c r="L5903" s="221"/>
      <c r="M5903" s="221"/>
    </row>
    <row r="5904" spans="5:13">
      <c r="E5904" s="221"/>
      <c r="F5904" s="221"/>
      <c r="G5904" s="221"/>
      <c r="H5904" s="221"/>
      <c r="I5904" s="221"/>
      <c r="J5904" s="221"/>
      <c r="K5904" s="221"/>
      <c r="L5904" s="221"/>
      <c r="M5904" s="221"/>
    </row>
    <row r="5905" spans="5:13">
      <c r="E5905" s="221"/>
      <c r="F5905" s="221"/>
      <c r="G5905" s="221"/>
      <c r="H5905" s="221"/>
      <c r="I5905" s="221"/>
      <c r="J5905" s="221"/>
      <c r="K5905" s="221"/>
      <c r="L5905" s="221"/>
      <c r="M5905" s="221"/>
    </row>
    <row r="5906" spans="5:13">
      <c r="E5906" s="221"/>
      <c r="F5906" s="221"/>
      <c r="G5906" s="221"/>
      <c r="H5906" s="221"/>
      <c r="I5906" s="221"/>
      <c r="J5906" s="221"/>
      <c r="K5906" s="221"/>
      <c r="L5906" s="221"/>
      <c r="M5906" s="221"/>
    </row>
    <row r="5907" spans="5:13">
      <c r="E5907" s="221"/>
      <c r="F5907" s="221"/>
      <c r="G5907" s="221"/>
      <c r="H5907" s="221"/>
      <c r="I5907" s="221"/>
      <c r="J5907" s="221"/>
      <c r="K5907" s="221"/>
      <c r="L5907" s="221"/>
      <c r="M5907" s="221"/>
    </row>
    <row r="5908" spans="5:13">
      <c r="E5908" s="221"/>
      <c r="F5908" s="221"/>
      <c r="G5908" s="221"/>
      <c r="H5908" s="221"/>
      <c r="I5908" s="221"/>
      <c r="J5908" s="221"/>
      <c r="K5908" s="221"/>
      <c r="L5908" s="221"/>
      <c r="M5908" s="221"/>
    </row>
    <row r="5909" spans="5:13">
      <c r="E5909" s="221"/>
      <c r="F5909" s="221"/>
      <c r="G5909" s="221"/>
      <c r="H5909" s="221"/>
      <c r="I5909" s="221"/>
      <c r="J5909" s="221"/>
      <c r="K5909" s="221"/>
      <c r="L5909" s="221"/>
      <c r="M5909" s="221"/>
    </row>
    <row r="5910" spans="5:13">
      <c r="E5910" s="221"/>
      <c r="F5910" s="221"/>
      <c r="G5910" s="221"/>
      <c r="H5910" s="221"/>
      <c r="I5910" s="221"/>
      <c r="J5910" s="221"/>
      <c r="K5910" s="221"/>
      <c r="L5910" s="221"/>
      <c r="M5910" s="221"/>
    </row>
    <row r="5911" spans="5:13">
      <c r="E5911" s="221"/>
      <c r="F5911" s="221"/>
      <c r="G5911" s="221"/>
      <c r="H5911" s="221"/>
      <c r="I5911" s="221"/>
      <c r="J5911" s="221"/>
      <c r="K5911" s="221"/>
      <c r="L5911" s="221"/>
      <c r="M5911" s="221"/>
    </row>
    <row r="5912" spans="5:13">
      <c r="E5912" s="221"/>
      <c r="F5912" s="221"/>
      <c r="G5912" s="221"/>
      <c r="H5912" s="221"/>
      <c r="I5912" s="221"/>
      <c r="J5912" s="221"/>
      <c r="K5912" s="221"/>
      <c r="L5912" s="221"/>
      <c r="M5912" s="221"/>
    </row>
    <row r="5913" spans="5:13">
      <c r="E5913" s="221"/>
      <c r="F5913" s="221"/>
      <c r="G5913" s="221"/>
      <c r="H5913" s="221"/>
      <c r="I5913" s="221"/>
      <c r="J5913" s="221"/>
      <c r="K5913" s="221"/>
      <c r="L5913" s="221"/>
      <c r="M5913" s="221"/>
    </row>
    <row r="5914" spans="5:13">
      <c r="E5914" s="221"/>
      <c r="F5914" s="221"/>
      <c r="G5914" s="221"/>
      <c r="H5914" s="221"/>
      <c r="I5914" s="221"/>
      <c r="J5914" s="221"/>
      <c r="K5914" s="221"/>
      <c r="L5914" s="221"/>
      <c r="M5914" s="221"/>
    </row>
    <row r="5915" spans="5:13">
      <c r="E5915" s="221"/>
      <c r="F5915" s="221"/>
      <c r="G5915" s="221"/>
      <c r="H5915" s="221"/>
      <c r="I5915" s="221"/>
      <c r="J5915" s="221"/>
      <c r="K5915" s="221"/>
      <c r="L5915" s="221"/>
      <c r="M5915" s="221"/>
    </row>
    <row r="5916" spans="5:13">
      <c r="E5916" s="221"/>
      <c r="F5916" s="221"/>
      <c r="G5916" s="221"/>
      <c r="H5916" s="221"/>
      <c r="I5916" s="221"/>
      <c r="J5916" s="221"/>
      <c r="K5916" s="221"/>
      <c r="L5916" s="221"/>
      <c r="M5916" s="221"/>
    </row>
    <row r="5917" spans="5:13">
      <c r="E5917" s="221"/>
      <c r="F5917" s="221"/>
      <c r="G5917" s="221"/>
      <c r="H5917" s="221"/>
      <c r="I5917" s="221"/>
      <c r="J5917" s="221"/>
      <c r="K5917" s="221"/>
      <c r="L5917" s="221"/>
      <c r="M5917" s="221"/>
    </row>
    <row r="5918" spans="5:13">
      <c r="E5918" s="221"/>
      <c r="F5918" s="221"/>
      <c r="G5918" s="221"/>
      <c r="H5918" s="221"/>
      <c r="I5918" s="221"/>
      <c r="J5918" s="221"/>
      <c r="K5918" s="221"/>
      <c r="L5918" s="221"/>
      <c r="M5918" s="221"/>
    </row>
    <row r="5919" spans="5:13">
      <c r="E5919" s="221"/>
      <c r="F5919" s="221"/>
      <c r="G5919" s="221"/>
      <c r="H5919" s="221"/>
      <c r="I5919" s="221"/>
      <c r="J5919" s="221"/>
      <c r="K5919" s="221"/>
      <c r="L5919" s="221"/>
      <c r="M5919" s="221"/>
    </row>
    <row r="5920" spans="5:13">
      <c r="E5920" s="221"/>
      <c r="F5920" s="221"/>
      <c r="G5920" s="221"/>
      <c r="H5920" s="221"/>
      <c r="I5920" s="221"/>
      <c r="J5920" s="221"/>
      <c r="K5920" s="221"/>
      <c r="L5920" s="221"/>
      <c r="M5920" s="221"/>
    </row>
    <row r="5921" spans="5:13">
      <c r="E5921" s="221"/>
      <c r="F5921" s="221"/>
      <c r="G5921" s="221"/>
      <c r="H5921" s="221"/>
      <c r="I5921" s="221"/>
      <c r="J5921" s="221"/>
      <c r="K5921" s="221"/>
      <c r="L5921" s="221"/>
      <c r="M5921" s="221"/>
    </row>
    <row r="5922" spans="5:13">
      <c r="E5922" s="221"/>
      <c r="F5922" s="221"/>
      <c r="G5922" s="221"/>
      <c r="H5922" s="221"/>
      <c r="I5922" s="221"/>
      <c r="J5922" s="221"/>
      <c r="K5922" s="221"/>
      <c r="L5922" s="221"/>
      <c r="M5922" s="221"/>
    </row>
    <row r="5923" spans="5:13">
      <c r="E5923" s="221"/>
      <c r="F5923" s="221"/>
      <c r="G5923" s="221"/>
      <c r="H5923" s="221"/>
      <c r="I5923" s="221"/>
      <c r="J5923" s="221"/>
      <c r="K5923" s="221"/>
      <c r="L5923" s="221"/>
      <c r="M5923" s="221"/>
    </row>
    <row r="5924" spans="5:13">
      <c r="E5924" s="221"/>
      <c r="F5924" s="221"/>
      <c r="G5924" s="221"/>
      <c r="H5924" s="221"/>
      <c r="I5924" s="221"/>
      <c r="J5924" s="221"/>
      <c r="K5924" s="221"/>
      <c r="L5924" s="221"/>
      <c r="M5924" s="221"/>
    </row>
    <row r="5925" spans="5:13">
      <c r="E5925" s="221"/>
      <c r="F5925" s="221"/>
      <c r="G5925" s="221"/>
      <c r="H5925" s="221"/>
      <c r="I5925" s="221"/>
      <c r="J5925" s="221"/>
      <c r="K5925" s="221"/>
      <c r="L5925" s="221"/>
      <c r="M5925" s="221"/>
    </row>
    <row r="5926" spans="5:13">
      <c r="E5926" s="221"/>
      <c r="F5926" s="221"/>
      <c r="G5926" s="221"/>
      <c r="H5926" s="221"/>
      <c r="I5926" s="221"/>
      <c r="J5926" s="221"/>
      <c r="K5926" s="221"/>
      <c r="L5926" s="221"/>
      <c r="M5926" s="221"/>
    </row>
    <row r="5927" spans="5:13">
      <c r="E5927" s="221"/>
      <c r="F5927" s="221"/>
      <c r="G5927" s="221"/>
      <c r="H5927" s="221"/>
      <c r="I5927" s="221"/>
      <c r="J5927" s="221"/>
      <c r="K5927" s="221"/>
      <c r="L5927" s="221"/>
      <c r="M5927" s="221"/>
    </row>
    <row r="5928" spans="5:13">
      <c r="E5928" s="221"/>
      <c r="F5928" s="221"/>
      <c r="G5928" s="221"/>
      <c r="H5928" s="221"/>
      <c r="I5928" s="221"/>
      <c r="J5928" s="221"/>
      <c r="K5928" s="221"/>
      <c r="L5928" s="221"/>
      <c r="M5928" s="221"/>
    </row>
    <row r="5929" spans="5:13">
      <c r="E5929" s="221"/>
      <c r="F5929" s="221"/>
      <c r="G5929" s="221"/>
      <c r="H5929" s="221"/>
      <c r="I5929" s="221"/>
      <c r="J5929" s="221"/>
      <c r="K5929" s="221"/>
      <c r="L5929" s="221"/>
      <c r="M5929" s="221"/>
    </row>
    <row r="5930" spans="5:13">
      <c r="E5930" s="221"/>
      <c r="F5930" s="221"/>
      <c r="G5930" s="221"/>
      <c r="H5930" s="221"/>
      <c r="I5930" s="221"/>
      <c r="J5930" s="221"/>
      <c r="K5930" s="221"/>
      <c r="L5930" s="221"/>
      <c r="M5930" s="221"/>
    </row>
    <row r="5931" spans="5:13">
      <c r="E5931" s="221"/>
      <c r="F5931" s="221"/>
      <c r="G5931" s="221"/>
      <c r="H5931" s="221"/>
      <c r="I5931" s="221"/>
      <c r="J5931" s="221"/>
      <c r="K5931" s="221"/>
      <c r="L5931" s="221"/>
      <c r="M5931" s="221"/>
    </row>
    <row r="5932" spans="5:13">
      <c r="E5932" s="221"/>
      <c r="F5932" s="221"/>
      <c r="G5932" s="221"/>
      <c r="H5932" s="221"/>
      <c r="I5932" s="221"/>
      <c r="J5932" s="221"/>
      <c r="K5932" s="221"/>
      <c r="L5932" s="221"/>
      <c r="M5932" s="221"/>
    </row>
    <row r="5933" spans="5:13">
      <c r="E5933" s="221"/>
      <c r="F5933" s="221"/>
      <c r="G5933" s="221"/>
      <c r="H5933" s="221"/>
      <c r="I5933" s="221"/>
      <c r="J5933" s="221"/>
      <c r="K5933" s="221"/>
      <c r="L5933" s="221"/>
      <c r="M5933" s="221"/>
    </row>
    <row r="5934" spans="5:13">
      <c r="E5934" s="221"/>
      <c r="F5934" s="221"/>
      <c r="G5934" s="221"/>
      <c r="H5934" s="221"/>
      <c r="I5934" s="221"/>
      <c r="J5934" s="221"/>
      <c r="K5934" s="221"/>
      <c r="L5934" s="221"/>
      <c r="M5934" s="221"/>
    </row>
    <row r="5935" spans="5:13">
      <c r="E5935" s="221"/>
      <c r="F5935" s="221"/>
      <c r="G5935" s="221"/>
      <c r="H5935" s="221"/>
      <c r="I5935" s="221"/>
      <c r="J5935" s="221"/>
      <c r="K5935" s="221"/>
      <c r="L5935" s="221"/>
      <c r="M5935" s="221"/>
    </row>
    <row r="5936" spans="5:13">
      <c r="E5936" s="221"/>
      <c r="F5936" s="221"/>
      <c r="G5936" s="221"/>
      <c r="H5936" s="221"/>
      <c r="I5936" s="221"/>
      <c r="J5936" s="221"/>
      <c r="K5936" s="221"/>
      <c r="L5936" s="221"/>
      <c r="M5936" s="221"/>
    </row>
    <row r="5937" spans="5:13">
      <c r="E5937" s="221"/>
      <c r="F5937" s="221"/>
      <c r="G5937" s="221"/>
      <c r="H5937" s="221"/>
      <c r="I5937" s="221"/>
      <c r="J5937" s="221"/>
      <c r="K5937" s="221"/>
      <c r="L5937" s="221"/>
      <c r="M5937" s="221"/>
    </row>
    <row r="5938" spans="5:13">
      <c r="E5938" s="221"/>
      <c r="F5938" s="221"/>
      <c r="G5938" s="221"/>
      <c r="H5938" s="221"/>
      <c r="I5938" s="221"/>
      <c r="J5938" s="221"/>
      <c r="K5938" s="221"/>
      <c r="L5938" s="221"/>
      <c r="M5938" s="221"/>
    </row>
    <row r="5939" spans="5:13">
      <c r="E5939" s="221"/>
      <c r="F5939" s="221"/>
      <c r="G5939" s="221"/>
      <c r="H5939" s="221"/>
      <c r="I5939" s="221"/>
      <c r="J5939" s="221"/>
      <c r="K5939" s="221"/>
      <c r="L5939" s="221"/>
      <c r="M5939" s="221"/>
    </row>
    <row r="5940" spans="5:13">
      <c r="E5940" s="221"/>
      <c r="F5940" s="221"/>
      <c r="G5940" s="221"/>
      <c r="H5940" s="221"/>
      <c r="I5940" s="221"/>
      <c r="J5940" s="221"/>
      <c r="K5940" s="221"/>
      <c r="L5940" s="221"/>
      <c r="M5940" s="221"/>
    </row>
    <row r="5941" spans="5:13">
      <c r="E5941" s="221"/>
      <c r="F5941" s="221"/>
      <c r="G5941" s="221"/>
      <c r="H5941" s="221"/>
      <c r="I5941" s="221"/>
      <c r="J5941" s="221"/>
      <c r="K5941" s="221"/>
      <c r="L5941" s="221"/>
      <c r="M5941" s="221"/>
    </row>
    <row r="5942" spans="5:13">
      <c r="E5942" s="221"/>
      <c r="F5942" s="221"/>
      <c r="G5942" s="221"/>
      <c r="H5942" s="221"/>
      <c r="I5942" s="221"/>
      <c r="J5942" s="221"/>
      <c r="K5942" s="221"/>
      <c r="L5942" s="221"/>
      <c r="M5942" s="221"/>
    </row>
    <row r="5943" spans="5:13">
      <c r="E5943" s="221"/>
      <c r="F5943" s="221"/>
      <c r="G5943" s="221"/>
      <c r="H5943" s="221"/>
      <c r="I5943" s="221"/>
      <c r="J5943" s="221"/>
      <c r="K5943" s="221"/>
      <c r="L5943" s="221"/>
      <c r="M5943" s="221"/>
    </row>
    <row r="5944" spans="5:13">
      <c r="E5944" s="221"/>
      <c r="F5944" s="221"/>
      <c r="G5944" s="221"/>
      <c r="H5944" s="221"/>
      <c r="I5944" s="221"/>
      <c r="J5944" s="221"/>
      <c r="K5944" s="221"/>
      <c r="L5944" s="221"/>
      <c r="M5944" s="221"/>
    </row>
    <row r="5945" spans="5:13">
      <c r="E5945" s="221"/>
      <c r="F5945" s="221"/>
      <c r="G5945" s="221"/>
      <c r="H5945" s="221"/>
      <c r="I5945" s="221"/>
      <c r="J5945" s="221"/>
      <c r="K5945" s="221"/>
      <c r="L5945" s="221"/>
      <c r="M5945" s="221"/>
    </row>
    <row r="5946" spans="5:13">
      <c r="E5946" s="221"/>
      <c r="F5946" s="221"/>
      <c r="G5946" s="221"/>
      <c r="H5946" s="221"/>
      <c r="I5946" s="221"/>
      <c r="J5946" s="221"/>
      <c r="K5946" s="221"/>
      <c r="L5946" s="221"/>
      <c r="M5946" s="221"/>
    </row>
    <row r="5947" spans="5:13">
      <c r="E5947" s="221"/>
      <c r="F5947" s="221"/>
      <c r="G5947" s="221"/>
      <c r="H5947" s="221"/>
      <c r="I5947" s="221"/>
      <c r="J5947" s="221"/>
      <c r="K5947" s="221"/>
      <c r="L5947" s="221"/>
      <c r="M5947" s="221"/>
    </row>
    <row r="5948" spans="5:13">
      <c r="E5948" s="221"/>
      <c r="F5948" s="221"/>
      <c r="G5948" s="221"/>
      <c r="H5948" s="221"/>
      <c r="I5948" s="221"/>
      <c r="J5948" s="221"/>
      <c r="K5948" s="221"/>
      <c r="L5948" s="221"/>
      <c r="M5948" s="221"/>
    </row>
    <row r="5949" spans="5:13">
      <c r="E5949" s="221"/>
      <c r="F5949" s="221"/>
      <c r="G5949" s="221"/>
      <c r="H5949" s="221"/>
      <c r="I5949" s="221"/>
      <c r="J5949" s="221"/>
      <c r="K5949" s="221"/>
      <c r="L5949" s="221"/>
      <c r="M5949" s="221"/>
    </row>
    <row r="5950" spans="5:13">
      <c r="E5950" s="221"/>
      <c r="F5950" s="221"/>
      <c r="G5950" s="221"/>
      <c r="H5950" s="221"/>
      <c r="I5950" s="221"/>
      <c r="J5950" s="221"/>
      <c r="K5950" s="221"/>
      <c r="L5950" s="221"/>
      <c r="M5950" s="221"/>
    </row>
    <row r="5951" spans="5:13">
      <c r="E5951" s="221"/>
      <c r="F5951" s="221"/>
      <c r="G5951" s="221"/>
      <c r="H5951" s="221"/>
      <c r="I5951" s="221"/>
      <c r="J5951" s="221"/>
      <c r="K5951" s="221"/>
      <c r="L5951" s="221"/>
      <c r="M5951" s="221"/>
    </row>
    <row r="5952" spans="5:13">
      <c r="E5952" s="221"/>
      <c r="F5952" s="221"/>
      <c r="G5952" s="221"/>
      <c r="H5952" s="221"/>
      <c r="I5952" s="221"/>
      <c r="J5952" s="221"/>
      <c r="K5952" s="221"/>
      <c r="L5952" s="221"/>
      <c r="M5952" s="221"/>
    </row>
    <row r="5953" spans="5:13">
      <c r="E5953" s="221"/>
      <c r="F5953" s="221"/>
      <c r="G5953" s="221"/>
      <c r="H5953" s="221"/>
      <c r="I5953" s="221"/>
      <c r="J5953" s="221"/>
      <c r="K5953" s="221"/>
      <c r="L5953" s="221"/>
      <c r="M5953" s="221"/>
    </row>
    <row r="5954" spans="5:13">
      <c r="E5954" s="221"/>
      <c r="F5954" s="221"/>
      <c r="G5954" s="221"/>
      <c r="H5954" s="221"/>
      <c r="I5954" s="221"/>
      <c r="J5954" s="221"/>
      <c r="K5954" s="221"/>
      <c r="L5954" s="221"/>
      <c r="M5954" s="221"/>
    </row>
    <row r="5955" spans="5:13">
      <c r="E5955" s="221"/>
      <c r="F5955" s="221"/>
      <c r="G5955" s="221"/>
      <c r="H5955" s="221"/>
      <c r="I5955" s="221"/>
      <c r="J5955" s="221"/>
      <c r="K5955" s="221"/>
      <c r="L5955" s="221"/>
      <c r="M5955" s="221"/>
    </row>
    <row r="5956" spans="5:13">
      <c r="E5956" s="221"/>
      <c r="F5956" s="221"/>
      <c r="G5956" s="221"/>
      <c r="H5956" s="221"/>
      <c r="I5956" s="221"/>
      <c r="J5956" s="221"/>
      <c r="K5956" s="221"/>
      <c r="L5956" s="221"/>
      <c r="M5956" s="221"/>
    </row>
    <row r="5957" spans="5:13">
      <c r="E5957" s="221"/>
      <c r="F5957" s="221"/>
      <c r="G5957" s="221"/>
      <c r="H5957" s="221"/>
      <c r="I5957" s="221"/>
      <c r="J5957" s="221"/>
      <c r="K5957" s="221"/>
      <c r="L5957" s="221"/>
      <c r="M5957" s="221"/>
    </row>
    <row r="5958" spans="5:13">
      <c r="E5958" s="221"/>
      <c r="F5958" s="221"/>
      <c r="G5958" s="221"/>
      <c r="H5958" s="221"/>
      <c r="I5958" s="221"/>
      <c r="J5958" s="221"/>
      <c r="K5958" s="221"/>
      <c r="L5958" s="221"/>
      <c r="M5958" s="221"/>
    </row>
    <row r="5959" spans="5:13">
      <c r="E5959" s="221"/>
      <c r="F5959" s="221"/>
      <c r="G5959" s="221"/>
      <c r="H5959" s="221"/>
      <c r="I5959" s="221"/>
      <c r="J5959" s="221"/>
      <c r="K5959" s="221"/>
      <c r="L5959" s="221"/>
      <c r="M5959" s="221"/>
    </row>
    <row r="5960" spans="5:13">
      <c r="E5960" s="221"/>
      <c r="F5960" s="221"/>
      <c r="G5960" s="221"/>
      <c r="H5960" s="221"/>
      <c r="I5960" s="221"/>
      <c r="J5960" s="221"/>
      <c r="K5960" s="221"/>
      <c r="L5960" s="221"/>
      <c r="M5960" s="221"/>
    </row>
    <row r="5961" spans="5:13">
      <c r="E5961" s="221"/>
      <c r="F5961" s="221"/>
      <c r="G5961" s="221"/>
      <c r="H5961" s="221"/>
      <c r="I5961" s="221"/>
      <c r="J5961" s="221"/>
      <c r="K5961" s="221"/>
      <c r="L5961" s="221"/>
      <c r="M5961" s="221"/>
    </row>
    <row r="5962" spans="5:13">
      <c r="E5962" s="221"/>
      <c r="F5962" s="221"/>
      <c r="G5962" s="221"/>
      <c r="H5962" s="221"/>
      <c r="I5962" s="221"/>
      <c r="J5962" s="221"/>
      <c r="K5962" s="221"/>
      <c r="L5962" s="221"/>
      <c r="M5962" s="221"/>
    </row>
    <row r="5963" spans="5:13">
      <c r="E5963" s="221"/>
      <c r="F5963" s="221"/>
      <c r="G5963" s="221"/>
      <c r="H5963" s="221"/>
      <c r="I5963" s="221"/>
      <c r="J5963" s="221"/>
      <c r="K5963" s="221"/>
      <c r="L5963" s="221"/>
      <c r="M5963" s="221"/>
    </row>
    <row r="5964" spans="5:13">
      <c r="E5964" s="221"/>
      <c r="F5964" s="221"/>
      <c r="G5964" s="221"/>
      <c r="H5964" s="221"/>
      <c r="I5964" s="221"/>
      <c r="J5964" s="221"/>
      <c r="K5964" s="221"/>
      <c r="L5964" s="221"/>
      <c r="M5964" s="221"/>
    </row>
    <row r="5965" spans="5:13">
      <c r="E5965" s="221"/>
      <c r="F5965" s="221"/>
      <c r="G5965" s="221"/>
      <c r="H5965" s="221"/>
      <c r="I5965" s="221"/>
      <c r="J5965" s="221"/>
      <c r="K5965" s="221"/>
      <c r="L5965" s="221"/>
      <c r="M5965" s="221"/>
    </row>
    <row r="5966" spans="5:13">
      <c r="E5966" s="221"/>
      <c r="F5966" s="221"/>
      <c r="G5966" s="221"/>
      <c r="H5966" s="221"/>
      <c r="I5966" s="221"/>
      <c r="J5966" s="221"/>
      <c r="K5966" s="221"/>
      <c r="L5966" s="221"/>
      <c r="M5966" s="221"/>
    </row>
    <row r="5967" spans="5:13">
      <c r="E5967" s="221"/>
      <c r="F5967" s="221"/>
      <c r="G5967" s="221"/>
      <c r="H5967" s="221"/>
      <c r="I5967" s="221"/>
      <c r="J5967" s="221"/>
      <c r="K5967" s="221"/>
      <c r="L5967" s="221"/>
      <c r="M5967" s="221"/>
    </row>
    <row r="5968" spans="5:13">
      <c r="E5968" s="221"/>
      <c r="F5968" s="221"/>
      <c r="G5968" s="221"/>
      <c r="H5968" s="221"/>
      <c r="I5968" s="221"/>
      <c r="J5968" s="221"/>
      <c r="K5968" s="221"/>
      <c r="L5968" s="221"/>
      <c r="M5968" s="221"/>
    </row>
    <row r="5969" spans="5:13">
      <c r="E5969" s="221"/>
      <c r="F5969" s="221"/>
      <c r="G5969" s="221"/>
      <c r="H5969" s="221"/>
      <c r="I5969" s="221"/>
      <c r="J5969" s="221"/>
      <c r="K5969" s="221"/>
      <c r="L5969" s="221"/>
      <c r="M5969" s="221"/>
    </row>
    <row r="5970" spans="5:13">
      <c r="E5970" s="221"/>
      <c r="F5970" s="221"/>
      <c r="G5970" s="221"/>
      <c r="H5970" s="221"/>
      <c r="I5970" s="221"/>
      <c r="J5970" s="221"/>
      <c r="K5970" s="221"/>
      <c r="L5970" s="221"/>
      <c r="M5970" s="221"/>
    </row>
    <row r="5971" spans="5:13">
      <c r="E5971" s="221"/>
      <c r="F5971" s="221"/>
      <c r="G5971" s="221"/>
      <c r="H5971" s="221"/>
      <c r="I5971" s="221"/>
      <c r="J5971" s="221"/>
      <c r="K5971" s="221"/>
      <c r="L5971" s="221"/>
      <c r="M5971" s="221"/>
    </row>
    <row r="5972" spans="5:13">
      <c r="E5972" s="221"/>
      <c r="F5972" s="221"/>
      <c r="G5972" s="221"/>
      <c r="H5972" s="221"/>
      <c r="I5972" s="221"/>
      <c r="J5972" s="221"/>
      <c r="K5972" s="221"/>
      <c r="L5972" s="221"/>
      <c r="M5972" s="221"/>
    </row>
    <row r="5973" spans="5:13">
      <c r="E5973" s="221"/>
      <c r="F5973" s="221"/>
      <c r="G5973" s="221"/>
      <c r="H5973" s="221"/>
      <c r="I5973" s="221"/>
      <c r="J5973" s="221"/>
      <c r="K5973" s="221"/>
      <c r="L5973" s="221"/>
      <c r="M5973" s="221"/>
    </row>
    <row r="5974" spans="5:13">
      <c r="E5974" s="221"/>
      <c r="F5974" s="221"/>
      <c r="G5974" s="221"/>
      <c r="H5974" s="221"/>
      <c r="I5974" s="221"/>
      <c r="J5974" s="221"/>
      <c r="K5974" s="221"/>
      <c r="L5974" s="221"/>
      <c r="M5974" s="221"/>
    </row>
    <row r="5975" spans="5:13">
      <c r="E5975" s="221"/>
      <c r="F5975" s="221"/>
      <c r="G5975" s="221"/>
      <c r="H5975" s="221"/>
      <c r="I5975" s="221"/>
      <c r="J5975" s="221"/>
      <c r="K5975" s="221"/>
      <c r="L5975" s="221"/>
      <c r="M5975" s="221"/>
    </row>
    <row r="5976" spans="5:13">
      <c r="E5976" s="221"/>
      <c r="F5976" s="221"/>
      <c r="G5976" s="221"/>
      <c r="H5976" s="221"/>
      <c r="I5976" s="221"/>
      <c r="J5976" s="221"/>
      <c r="K5976" s="221"/>
      <c r="L5976" s="221"/>
      <c r="M5976" s="221"/>
    </row>
    <row r="5977" spans="5:13">
      <c r="E5977" s="221"/>
      <c r="F5977" s="221"/>
      <c r="G5977" s="221"/>
      <c r="H5977" s="221"/>
      <c r="I5977" s="221"/>
      <c r="J5977" s="221"/>
      <c r="K5977" s="221"/>
      <c r="L5977" s="221"/>
      <c r="M5977" s="221"/>
    </row>
    <row r="5978" spans="5:13">
      <c r="E5978" s="221"/>
      <c r="F5978" s="221"/>
      <c r="G5978" s="221"/>
      <c r="H5978" s="221"/>
      <c r="I5978" s="221"/>
      <c r="J5978" s="221"/>
      <c r="K5978" s="221"/>
      <c r="L5978" s="221"/>
      <c r="M5978" s="221"/>
    </row>
    <row r="5979" spans="5:13">
      <c r="E5979" s="221"/>
      <c r="F5979" s="221"/>
      <c r="G5979" s="221"/>
      <c r="H5979" s="221"/>
      <c r="I5979" s="221"/>
      <c r="J5979" s="221"/>
      <c r="K5979" s="221"/>
      <c r="L5979" s="221"/>
      <c r="M5979" s="221"/>
    </row>
    <row r="5980" spans="5:13">
      <c r="E5980" s="221"/>
      <c r="F5980" s="221"/>
      <c r="G5980" s="221"/>
      <c r="H5980" s="221"/>
      <c r="I5980" s="221"/>
      <c r="J5980" s="221"/>
      <c r="K5980" s="221"/>
      <c r="L5980" s="221"/>
      <c r="M5980" s="221"/>
    </row>
    <row r="5981" spans="5:13">
      <c r="E5981" s="221"/>
      <c r="F5981" s="221"/>
      <c r="G5981" s="221"/>
      <c r="H5981" s="221"/>
      <c r="I5981" s="221"/>
      <c r="J5981" s="221"/>
      <c r="K5981" s="221"/>
      <c r="L5981" s="221"/>
      <c r="M5981" s="221"/>
    </row>
    <row r="5982" spans="5:13">
      <c r="E5982" s="221"/>
      <c r="F5982" s="221"/>
      <c r="G5982" s="221"/>
      <c r="H5982" s="221"/>
      <c r="I5982" s="221"/>
      <c r="J5982" s="221"/>
      <c r="K5982" s="221"/>
      <c r="L5982" s="221"/>
      <c r="M5982" s="221"/>
    </row>
    <row r="5983" spans="5:13">
      <c r="E5983" s="221"/>
      <c r="F5983" s="221"/>
      <c r="G5983" s="221"/>
      <c r="H5983" s="221"/>
      <c r="I5983" s="221"/>
      <c r="J5983" s="221"/>
      <c r="K5983" s="221"/>
      <c r="L5983" s="221"/>
      <c r="M5983" s="221"/>
    </row>
    <row r="5984" spans="5:13">
      <c r="E5984" s="221"/>
      <c r="F5984" s="221"/>
      <c r="G5984" s="221"/>
      <c r="H5984" s="221"/>
      <c r="I5984" s="221"/>
      <c r="J5984" s="221"/>
      <c r="K5984" s="221"/>
      <c r="L5984" s="221"/>
      <c r="M5984" s="221"/>
    </row>
    <row r="5985" spans="5:13">
      <c r="E5985" s="221"/>
      <c r="F5985" s="221"/>
      <c r="G5985" s="221"/>
      <c r="H5985" s="221"/>
      <c r="I5985" s="221"/>
      <c r="J5985" s="221"/>
      <c r="K5985" s="221"/>
      <c r="L5985" s="221"/>
      <c r="M5985" s="221"/>
    </row>
    <row r="5986" spans="5:13">
      <c r="E5986" s="221"/>
      <c r="F5986" s="221"/>
      <c r="G5986" s="221"/>
      <c r="H5986" s="221"/>
      <c r="I5986" s="221"/>
      <c r="J5986" s="221"/>
      <c r="K5986" s="221"/>
      <c r="L5986" s="221"/>
      <c r="M5986" s="221"/>
    </row>
    <row r="5987" spans="5:13">
      <c r="E5987" s="221"/>
      <c r="F5987" s="221"/>
      <c r="G5987" s="221"/>
      <c r="H5987" s="221"/>
      <c r="I5987" s="221"/>
      <c r="J5987" s="221"/>
      <c r="K5987" s="221"/>
      <c r="L5987" s="221"/>
      <c r="M5987" s="221"/>
    </row>
    <row r="5988" spans="5:13">
      <c r="E5988" s="221"/>
      <c r="F5988" s="221"/>
      <c r="G5988" s="221"/>
      <c r="H5988" s="221"/>
      <c r="I5988" s="221"/>
      <c r="J5988" s="221"/>
      <c r="K5988" s="221"/>
      <c r="L5988" s="221"/>
      <c r="M5988" s="221"/>
    </row>
    <row r="5989" spans="5:13">
      <c r="E5989" s="221"/>
      <c r="F5989" s="221"/>
      <c r="G5989" s="221"/>
      <c r="H5989" s="221"/>
      <c r="I5989" s="221"/>
      <c r="J5989" s="221"/>
      <c r="K5989" s="221"/>
      <c r="L5989" s="221"/>
      <c r="M5989" s="221"/>
    </row>
    <row r="5990" spans="5:13">
      <c r="E5990" s="221"/>
      <c r="F5990" s="221"/>
      <c r="G5990" s="221"/>
      <c r="H5990" s="221"/>
      <c r="I5990" s="221"/>
      <c r="J5990" s="221"/>
      <c r="K5990" s="221"/>
      <c r="L5990" s="221"/>
      <c r="M5990" s="221"/>
    </row>
    <row r="5991" spans="5:13">
      <c r="E5991" s="221"/>
      <c r="F5991" s="221"/>
      <c r="G5991" s="221"/>
      <c r="H5991" s="221"/>
      <c r="I5991" s="221"/>
      <c r="J5991" s="221"/>
      <c r="K5991" s="221"/>
      <c r="L5991" s="221"/>
      <c r="M5991" s="221"/>
    </row>
    <row r="5992" spans="5:13">
      <c r="E5992" s="221"/>
      <c r="F5992" s="221"/>
      <c r="G5992" s="221"/>
      <c r="H5992" s="221"/>
      <c r="I5992" s="221"/>
      <c r="J5992" s="221"/>
      <c r="K5992" s="221"/>
      <c r="L5992" s="221"/>
      <c r="M5992" s="221"/>
    </row>
    <row r="5993" spans="5:13">
      <c r="E5993" s="221"/>
      <c r="F5993" s="221"/>
      <c r="G5993" s="221"/>
      <c r="H5993" s="221"/>
      <c r="I5993" s="221"/>
      <c r="J5993" s="221"/>
      <c r="K5993" s="221"/>
      <c r="L5993" s="221"/>
      <c r="M5993" s="221"/>
    </row>
    <row r="5994" spans="5:13">
      <c r="E5994" s="221"/>
      <c r="F5994" s="221"/>
      <c r="G5994" s="221"/>
      <c r="H5994" s="221"/>
      <c r="I5994" s="221"/>
      <c r="J5994" s="221"/>
      <c r="K5994" s="221"/>
      <c r="L5994" s="221"/>
      <c r="M5994" s="221"/>
    </row>
    <row r="5995" spans="5:13">
      <c r="E5995" s="221"/>
      <c r="F5995" s="221"/>
      <c r="G5995" s="221"/>
      <c r="H5995" s="221"/>
      <c r="I5995" s="221"/>
      <c r="J5995" s="221"/>
      <c r="K5995" s="221"/>
      <c r="L5995" s="221"/>
      <c r="M5995" s="221"/>
    </row>
    <row r="5996" spans="5:13">
      <c r="E5996" s="221"/>
      <c r="F5996" s="221"/>
      <c r="G5996" s="221"/>
      <c r="H5996" s="221"/>
      <c r="I5996" s="221"/>
      <c r="J5996" s="221"/>
      <c r="K5996" s="221"/>
      <c r="L5996" s="221"/>
      <c r="M5996" s="221"/>
    </row>
    <row r="5997" spans="5:13">
      <c r="E5997" s="221"/>
      <c r="F5997" s="221"/>
      <c r="G5997" s="221"/>
      <c r="H5997" s="221"/>
      <c r="I5997" s="221"/>
      <c r="J5997" s="221"/>
      <c r="K5997" s="221"/>
      <c r="L5997" s="221"/>
      <c r="M5997" s="221"/>
    </row>
    <row r="5998" spans="5:13">
      <c r="E5998" s="221"/>
      <c r="F5998" s="221"/>
      <c r="G5998" s="221"/>
      <c r="H5998" s="221"/>
      <c r="I5998" s="221"/>
      <c r="J5998" s="221"/>
      <c r="K5998" s="221"/>
      <c r="L5998" s="221"/>
      <c r="M5998" s="221"/>
    </row>
    <row r="5999" spans="5:13">
      <c r="E5999" s="221"/>
      <c r="F5999" s="221"/>
      <c r="G5999" s="221"/>
      <c r="H5999" s="221"/>
      <c r="I5999" s="221"/>
      <c r="J5999" s="221"/>
      <c r="K5999" s="221"/>
      <c r="L5999" s="221"/>
      <c r="M5999" s="221"/>
    </row>
    <row r="6000" spans="5:13">
      <c r="E6000" s="221"/>
      <c r="F6000" s="221"/>
      <c r="G6000" s="221"/>
      <c r="H6000" s="221"/>
      <c r="I6000" s="221"/>
      <c r="J6000" s="221"/>
      <c r="K6000" s="221"/>
      <c r="L6000" s="221"/>
      <c r="M6000" s="221"/>
    </row>
    <row r="6001" spans="5:13">
      <c r="E6001" s="221"/>
      <c r="F6001" s="221"/>
      <c r="G6001" s="221"/>
      <c r="H6001" s="221"/>
      <c r="I6001" s="221"/>
      <c r="J6001" s="221"/>
      <c r="K6001" s="221"/>
      <c r="L6001" s="221"/>
      <c r="M6001" s="221"/>
    </row>
    <row r="6002" spans="5:13">
      <c r="E6002" s="221"/>
      <c r="F6002" s="221"/>
      <c r="G6002" s="221"/>
      <c r="H6002" s="221"/>
      <c r="I6002" s="221"/>
      <c r="J6002" s="221"/>
      <c r="K6002" s="221"/>
      <c r="L6002" s="221"/>
      <c r="M6002" s="221"/>
    </row>
    <row r="6003" spans="5:13">
      <c r="E6003" s="221"/>
      <c r="F6003" s="221"/>
      <c r="G6003" s="221"/>
      <c r="H6003" s="221"/>
      <c r="I6003" s="221"/>
      <c r="J6003" s="221"/>
      <c r="K6003" s="221"/>
      <c r="L6003" s="221"/>
      <c r="M6003" s="221"/>
    </row>
    <row r="6004" spans="5:13">
      <c r="E6004" s="221"/>
      <c r="F6004" s="221"/>
      <c r="G6004" s="221"/>
      <c r="H6004" s="221"/>
      <c r="I6004" s="221"/>
      <c r="J6004" s="221"/>
      <c r="K6004" s="221"/>
      <c r="L6004" s="221"/>
      <c r="M6004" s="221"/>
    </row>
    <row r="6005" spans="5:13">
      <c r="E6005" s="221"/>
      <c r="F6005" s="221"/>
      <c r="G6005" s="221"/>
      <c r="H6005" s="221"/>
      <c r="I6005" s="221"/>
      <c r="J6005" s="221"/>
      <c r="K6005" s="221"/>
      <c r="L6005" s="221"/>
      <c r="M6005" s="221"/>
    </row>
    <row r="6006" spans="5:13">
      <c r="E6006" s="221"/>
      <c r="F6006" s="221"/>
      <c r="G6006" s="221"/>
      <c r="H6006" s="221"/>
      <c r="I6006" s="221"/>
      <c r="J6006" s="221"/>
      <c r="K6006" s="221"/>
      <c r="L6006" s="221"/>
      <c r="M6006" s="221"/>
    </row>
    <row r="6007" spans="5:13">
      <c r="E6007" s="221"/>
      <c r="F6007" s="221"/>
      <c r="G6007" s="221"/>
      <c r="H6007" s="221"/>
      <c r="I6007" s="221"/>
      <c r="J6007" s="221"/>
      <c r="K6007" s="221"/>
      <c r="L6007" s="221"/>
      <c r="M6007" s="221"/>
    </row>
    <row r="6008" spans="5:13">
      <c r="E6008" s="221"/>
      <c r="F6008" s="221"/>
      <c r="G6008" s="221"/>
      <c r="H6008" s="221"/>
      <c r="I6008" s="221"/>
      <c r="J6008" s="221"/>
      <c r="K6008" s="221"/>
      <c r="L6008" s="221"/>
      <c r="M6008" s="221"/>
    </row>
    <row r="6009" spans="5:13">
      <c r="E6009" s="221"/>
      <c r="F6009" s="221"/>
      <c r="G6009" s="221"/>
      <c r="H6009" s="221"/>
      <c r="I6009" s="221"/>
      <c r="J6009" s="221"/>
      <c r="K6009" s="221"/>
      <c r="L6009" s="221"/>
      <c r="M6009" s="221"/>
    </row>
    <row r="6010" spans="5:13">
      <c r="E6010" s="221"/>
      <c r="F6010" s="221"/>
      <c r="G6010" s="221"/>
      <c r="H6010" s="221"/>
      <c r="I6010" s="221"/>
      <c r="J6010" s="221"/>
      <c r="K6010" s="221"/>
      <c r="L6010" s="221"/>
      <c r="M6010" s="221"/>
    </row>
    <row r="6011" spans="5:13">
      <c r="E6011" s="221"/>
      <c r="F6011" s="221"/>
      <c r="G6011" s="221"/>
      <c r="H6011" s="221"/>
      <c r="I6011" s="221"/>
      <c r="J6011" s="221"/>
      <c r="K6011" s="221"/>
      <c r="L6011" s="221"/>
      <c r="M6011" s="221"/>
    </row>
    <row r="6012" spans="5:13">
      <c r="E6012" s="221"/>
      <c r="F6012" s="221"/>
      <c r="G6012" s="221"/>
      <c r="H6012" s="221"/>
      <c r="I6012" s="221"/>
      <c r="J6012" s="221"/>
      <c r="K6012" s="221"/>
      <c r="L6012" s="221"/>
      <c r="M6012" s="221"/>
    </row>
    <row r="6013" spans="5:13">
      <c r="E6013" s="221"/>
      <c r="F6013" s="221"/>
      <c r="G6013" s="221"/>
      <c r="H6013" s="221"/>
      <c r="I6013" s="221"/>
      <c r="J6013" s="221"/>
      <c r="K6013" s="221"/>
      <c r="L6013" s="221"/>
      <c r="M6013" s="221"/>
    </row>
    <row r="6014" spans="5:13">
      <c r="E6014" s="221"/>
      <c r="F6014" s="221"/>
      <c r="G6014" s="221"/>
      <c r="H6014" s="221"/>
      <c r="I6014" s="221"/>
      <c r="J6014" s="221"/>
      <c r="K6014" s="221"/>
      <c r="L6014" s="221"/>
      <c r="M6014" s="221"/>
    </row>
    <row r="6015" spans="5:13">
      <c r="E6015" s="221"/>
      <c r="F6015" s="221"/>
      <c r="G6015" s="221"/>
      <c r="H6015" s="221"/>
      <c r="I6015" s="221"/>
      <c r="J6015" s="221"/>
      <c r="K6015" s="221"/>
      <c r="L6015" s="221"/>
      <c r="M6015" s="221"/>
    </row>
    <row r="6016" spans="5:13">
      <c r="E6016" s="221"/>
      <c r="F6016" s="221"/>
      <c r="G6016" s="221"/>
      <c r="H6016" s="221"/>
      <c r="I6016" s="221"/>
      <c r="J6016" s="221"/>
      <c r="K6016" s="221"/>
      <c r="L6016" s="221"/>
      <c r="M6016" s="221"/>
    </row>
    <row r="6017" spans="5:13">
      <c r="E6017" s="221"/>
      <c r="F6017" s="221"/>
      <c r="G6017" s="221"/>
      <c r="H6017" s="221"/>
      <c r="I6017" s="221"/>
      <c r="J6017" s="221"/>
      <c r="K6017" s="221"/>
      <c r="L6017" s="221"/>
      <c r="M6017" s="221"/>
    </row>
    <row r="6018" spans="5:13">
      <c r="E6018" s="221"/>
      <c r="F6018" s="221"/>
      <c r="G6018" s="221"/>
      <c r="H6018" s="221"/>
      <c r="I6018" s="221"/>
      <c r="J6018" s="221"/>
      <c r="K6018" s="221"/>
      <c r="L6018" s="221"/>
      <c r="M6018" s="221"/>
    </row>
    <row r="6019" spans="5:13">
      <c r="E6019" s="221"/>
      <c r="F6019" s="221"/>
      <c r="G6019" s="221"/>
      <c r="H6019" s="221"/>
      <c r="I6019" s="221"/>
      <c r="J6019" s="221"/>
      <c r="K6019" s="221"/>
      <c r="L6019" s="221"/>
      <c r="M6019" s="221"/>
    </row>
    <row r="6020" spans="5:13">
      <c r="E6020" s="221"/>
      <c r="F6020" s="221"/>
      <c r="G6020" s="221"/>
      <c r="H6020" s="221"/>
      <c r="I6020" s="221"/>
      <c r="J6020" s="221"/>
      <c r="K6020" s="221"/>
      <c r="L6020" s="221"/>
      <c r="M6020" s="221"/>
    </row>
    <row r="6021" spans="5:13">
      <c r="E6021" s="221"/>
      <c r="F6021" s="221"/>
      <c r="G6021" s="221"/>
      <c r="H6021" s="221"/>
      <c r="I6021" s="221"/>
      <c r="J6021" s="221"/>
      <c r="K6021" s="221"/>
      <c r="L6021" s="221"/>
      <c r="M6021" s="221"/>
    </row>
    <row r="6022" spans="5:13">
      <c r="E6022" s="221"/>
      <c r="F6022" s="221"/>
      <c r="G6022" s="221"/>
      <c r="H6022" s="221"/>
      <c r="I6022" s="221"/>
      <c r="J6022" s="221"/>
      <c r="K6022" s="221"/>
      <c r="L6022" s="221"/>
      <c r="M6022" s="221"/>
    </row>
    <row r="6023" spans="5:13">
      <c r="E6023" s="221"/>
      <c r="F6023" s="221"/>
      <c r="G6023" s="221"/>
      <c r="H6023" s="221"/>
      <c r="I6023" s="221"/>
      <c r="J6023" s="221"/>
      <c r="K6023" s="221"/>
      <c r="L6023" s="221"/>
      <c r="M6023" s="221"/>
    </row>
    <row r="6024" spans="5:13">
      <c r="E6024" s="221"/>
      <c r="F6024" s="221"/>
      <c r="G6024" s="221"/>
      <c r="H6024" s="221"/>
      <c r="I6024" s="221"/>
      <c r="J6024" s="221"/>
      <c r="K6024" s="221"/>
      <c r="L6024" s="221"/>
      <c r="M6024" s="221"/>
    </row>
    <row r="6025" spans="5:13">
      <c r="E6025" s="221"/>
      <c r="F6025" s="221"/>
      <c r="G6025" s="221"/>
      <c r="H6025" s="221"/>
      <c r="I6025" s="221"/>
      <c r="J6025" s="221"/>
      <c r="K6025" s="221"/>
      <c r="L6025" s="221"/>
      <c r="M6025" s="221"/>
    </row>
    <row r="6026" spans="5:13">
      <c r="E6026" s="221"/>
      <c r="F6026" s="221"/>
      <c r="G6026" s="221"/>
      <c r="H6026" s="221"/>
      <c r="I6026" s="221"/>
      <c r="J6026" s="221"/>
      <c r="K6026" s="221"/>
      <c r="L6026" s="221"/>
      <c r="M6026" s="221"/>
    </row>
    <row r="6027" spans="5:13">
      <c r="E6027" s="221"/>
      <c r="F6027" s="221"/>
      <c r="G6027" s="221"/>
      <c r="H6027" s="221"/>
      <c r="I6027" s="221"/>
      <c r="J6027" s="221"/>
      <c r="K6027" s="221"/>
      <c r="L6027" s="221"/>
      <c r="M6027" s="221"/>
    </row>
    <row r="6028" spans="5:13">
      <c r="E6028" s="221"/>
      <c r="F6028" s="221"/>
      <c r="G6028" s="221"/>
      <c r="H6028" s="221"/>
      <c r="I6028" s="221"/>
      <c r="J6028" s="221"/>
      <c r="K6028" s="221"/>
      <c r="L6028" s="221"/>
      <c r="M6028" s="221"/>
    </row>
    <row r="6029" spans="5:13">
      <c r="E6029" s="221"/>
      <c r="F6029" s="221"/>
      <c r="G6029" s="221"/>
      <c r="H6029" s="221"/>
      <c r="I6029" s="221"/>
      <c r="J6029" s="221"/>
      <c r="K6029" s="221"/>
      <c r="L6029" s="221"/>
      <c r="M6029" s="221"/>
    </row>
    <row r="6030" spans="5:13">
      <c r="E6030" s="221"/>
      <c r="F6030" s="221"/>
      <c r="G6030" s="221"/>
      <c r="H6030" s="221"/>
      <c r="I6030" s="221"/>
      <c r="J6030" s="221"/>
      <c r="K6030" s="221"/>
      <c r="L6030" s="221"/>
      <c r="M6030" s="221"/>
    </row>
    <row r="6031" spans="5:13">
      <c r="E6031" s="221"/>
      <c r="F6031" s="221"/>
      <c r="G6031" s="221"/>
      <c r="H6031" s="221"/>
      <c r="I6031" s="221"/>
      <c r="J6031" s="221"/>
      <c r="K6031" s="221"/>
      <c r="L6031" s="221"/>
      <c r="M6031" s="221"/>
    </row>
    <row r="6032" spans="5:13">
      <c r="E6032" s="221"/>
      <c r="F6032" s="221"/>
      <c r="G6032" s="221"/>
      <c r="H6032" s="221"/>
      <c r="I6032" s="221"/>
      <c r="J6032" s="221"/>
      <c r="K6032" s="221"/>
      <c r="L6032" s="221"/>
      <c r="M6032" s="221"/>
    </row>
    <row r="6033" spans="5:13">
      <c r="E6033" s="221"/>
      <c r="F6033" s="221"/>
      <c r="G6033" s="221"/>
      <c r="H6033" s="221"/>
      <c r="I6033" s="221"/>
      <c r="J6033" s="221"/>
      <c r="K6033" s="221"/>
      <c r="L6033" s="221"/>
      <c r="M6033" s="221"/>
    </row>
    <row r="6034" spans="5:13">
      <c r="E6034" s="221"/>
      <c r="F6034" s="221"/>
      <c r="G6034" s="221"/>
      <c r="H6034" s="221"/>
      <c r="I6034" s="221"/>
      <c r="J6034" s="221"/>
      <c r="K6034" s="221"/>
      <c r="L6034" s="221"/>
      <c r="M6034" s="221"/>
    </row>
    <row r="6035" spans="5:13">
      <c r="E6035" s="221"/>
      <c r="F6035" s="221"/>
      <c r="G6035" s="221"/>
      <c r="H6035" s="221"/>
      <c r="I6035" s="221"/>
      <c r="J6035" s="221"/>
      <c r="K6035" s="221"/>
      <c r="L6035" s="221"/>
      <c r="M6035" s="221"/>
    </row>
    <row r="6036" spans="5:13">
      <c r="E6036" s="221"/>
      <c r="F6036" s="221"/>
      <c r="G6036" s="221"/>
      <c r="H6036" s="221"/>
      <c r="I6036" s="221"/>
      <c r="J6036" s="221"/>
      <c r="K6036" s="221"/>
      <c r="L6036" s="221"/>
      <c r="M6036" s="221"/>
    </row>
    <row r="6037" spans="5:13">
      <c r="E6037" s="221"/>
      <c r="F6037" s="221"/>
      <c r="G6037" s="221"/>
      <c r="H6037" s="221"/>
      <c r="I6037" s="221"/>
      <c r="J6037" s="221"/>
      <c r="K6037" s="221"/>
      <c r="L6037" s="221"/>
      <c r="M6037" s="221"/>
    </row>
    <row r="6038" spans="5:13">
      <c r="E6038" s="221"/>
      <c r="F6038" s="221"/>
      <c r="G6038" s="221"/>
      <c r="H6038" s="221"/>
      <c r="I6038" s="221"/>
      <c r="J6038" s="221"/>
      <c r="K6038" s="221"/>
      <c r="L6038" s="221"/>
      <c r="M6038" s="221"/>
    </row>
    <row r="6039" spans="5:13">
      <c r="E6039" s="221"/>
      <c r="F6039" s="221"/>
      <c r="G6039" s="221"/>
      <c r="H6039" s="221"/>
      <c r="I6039" s="221"/>
      <c r="J6039" s="221"/>
      <c r="K6039" s="221"/>
      <c r="L6039" s="221"/>
      <c r="M6039" s="221"/>
    </row>
    <row r="6040" spans="5:13">
      <c r="E6040" s="221"/>
      <c r="F6040" s="221"/>
      <c r="G6040" s="221"/>
      <c r="H6040" s="221"/>
      <c r="I6040" s="221"/>
      <c r="J6040" s="221"/>
      <c r="K6040" s="221"/>
      <c r="L6040" s="221"/>
      <c r="M6040" s="221"/>
    </row>
    <row r="6041" spans="5:13">
      <c r="E6041" s="221"/>
      <c r="F6041" s="221"/>
      <c r="G6041" s="221"/>
      <c r="H6041" s="221"/>
      <c r="I6041" s="221"/>
      <c r="J6041" s="221"/>
      <c r="K6041" s="221"/>
      <c r="L6041" s="221"/>
      <c r="M6041" s="221"/>
    </row>
    <row r="6042" spans="5:13">
      <c r="E6042" s="221"/>
      <c r="F6042" s="221"/>
      <c r="G6042" s="221"/>
      <c r="H6042" s="221"/>
      <c r="I6042" s="221"/>
      <c r="J6042" s="221"/>
      <c r="K6042" s="221"/>
      <c r="L6042" s="221"/>
      <c r="M6042" s="221"/>
    </row>
    <row r="6043" spans="5:13">
      <c r="E6043" s="221"/>
      <c r="F6043" s="221"/>
      <c r="G6043" s="221"/>
      <c r="H6043" s="221"/>
      <c r="I6043" s="221"/>
      <c r="J6043" s="221"/>
      <c r="K6043" s="221"/>
      <c r="L6043" s="221"/>
      <c r="M6043" s="221"/>
    </row>
    <row r="6044" spans="5:13">
      <c r="E6044" s="221"/>
      <c r="F6044" s="221"/>
      <c r="G6044" s="221"/>
      <c r="H6044" s="221"/>
      <c r="I6044" s="221"/>
      <c r="J6044" s="221"/>
      <c r="K6044" s="221"/>
      <c r="L6044" s="221"/>
      <c r="M6044" s="221"/>
    </row>
    <row r="6045" spans="5:13">
      <c r="E6045" s="221"/>
      <c r="F6045" s="221"/>
      <c r="G6045" s="221"/>
      <c r="H6045" s="221"/>
      <c r="I6045" s="221"/>
      <c r="J6045" s="221"/>
      <c r="K6045" s="221"/>
      <c r="L6045" s="221"/>
      <c r="M6045" s="221"/>
    </row>
    <row r="6046" spans="5:13">
      <c r="E6046" s="221"/>
      <c r="F6046" s="221"/>
      <c r="G6046" s="221"/>
      <c r="H6046" s="221"/>
      <c r="I6046" s="221"/>
      <c r="J6046" s="221"/>
      <c r="K6046" s="221"/>
      <c r="L6046" s="221"/>
      <c r="M6046" s="221"/>
    </row>
    <row r="6047" spans="5:13">
      <c r="E6047" s="221"/>
      <c r="F6047" s="221"/>
      <c r="G6047" s="221"/>
      <c r="H6047" s="221"/>
      <c r="I6047" s="221"/>
      <c r="J6047" s="221"/>
      <c r="K6047" s="221"/>
      <c r="L6047" s="221"/>
      <c r="M6047" s="221"/>
    </row>
    <row r="6048" spans="5:13">
      <c r="E6048" s="221"/>
      <c r="F6048" s="221"/>
      <c r="G6048" s="221"/>
      <c r="H6048" s="221"/>
      <c r="I6048" s="221"/>
      <c r="J6048" s="221"/>
      <c r="K6048" s="221"/>
      <c r="L6048" s="221"/>
      <c r="M6048" s="221"/>
    </row>
    <row r="6049" spans="5:13">
      <c r="E6049" s="221"/>
      <c r="F6049" s="221"/>
      <c r="G6049" s="221"/>
      <c r="H6049" s="221"/>
      <c r="I6049" s="221"/>
      <c r="J6049" s="221"/>
      <c r="K6049" s="221"/>
      <c r="L6049" s="221"/>
      <c r="M6049" s="221"/>
    </row>
    <row r="6050" spans="5:13">
      <c r="E6050" s="221"/>
      <c r="F6050" s="221"/>
      <c r="G6050" s="221"/>
      <c r="H6050" s="221"/>
      <c r="I6050" s="221"/>
      <c r="J6050" s="221"/>
      <c r="K6050" s="221"/>
      <c r="L6050" s="221"/>
      <c r="M6050" s="221"/>
    </row>
    <row r="6051" spans="5:13">
      <c r="E6051" s="221"/>
      <c r="F6051" s="221"/>
      <c r="G6051" s="221"/>
      <c r="H6051" s="221"/>
      <c r="I6051" s="221"/>
      <c r="J6051" s="221"/>
      <c r="K6051" s="221"/>
      <c r="L6051" s="221"/>
      <c r="M6051" s="221"/>
    </row>
    <row r="6052" spans="5:13">
      <c r="E6052" s="221"/>
      <c r="F6052" s="221"/>
      <c r="G6052" s="221"/>
      <c r="H6052" s="221"/>
      <c r="I6052" s="221"/>
      <c r="J6052" s="221"/>
      <c r="K6052" s="221"/>
      <c r="L6052" s="221"/>
      <c r="M6052" s="221"/>
    </row>
    <row r="6053" spans="5:13">
      <c r="E6053" s="221"/>
      <c r="F6053" s="221"/>
      <c r="G6053" s="221"/>
      <c r="H6053" s="221"/>
      <c r="I6053" s="221"/>
      <c r="J6053" s="221"/>
      <c r="K6053" s="221"/>
      <c r="L6053" s="221"/>
      <c r="M6053" s="221"/>
    </row>
    <row r="6054" spans="5:13">
      <c r="E6054" s="221"/>
      <c r="F6054" s="221"/>
      <c r="G6054" s="221"/>
      <c r="H6054" s="221"/>
      <c r="I6054" s="221"/>
      <c r="J6054" s="221"/>
      <c r="K6054" s="221"/>
      <c r="L6054" s="221"/>
      <c r="M6054" s="221"/>
    </row>
    <row r="6055" spans="5:13">
      <c r="E6055" s="221"/>
      <c r="F6055" s="221"/>
      <c r="G6055" s="221"/>
      <c r="H6055" s="221"/>
      <c r="I6055" s="221"/>
      <c r="J6055" s="221"/>
      <c r="K6055" s="221"/>
      <c r="L6055" s="221"/>
      <c r="M6055" s="221"/>
    </row>
    <row r="6056" spans="5:13">
      <c r="E6056" s="221"/>
      <c r="F6056" s="221"/>
      <c r="G6056" s="221"/>
      <c r="H6056" s="221"/>
      <c r="I6056" s="221"/>
      <c r="J6056" s="221"/>
      <c r="K6056" s="221"/>
      <c r="L6056" s="221"/>
      <c r="M6056" s="221"/>
    </row>
    <row r="6057" spans="5:13">
      <c r="E6057" s="221"/>
      <c r="F6057" s="221"/>
      <c r="G6057" s="221"/>
      <c r="H6057" s="221"/>
      <c r="I6057" s="221"/>
      <c r="J6057" s="221"/>
      <c r="K6057" s="221"/>
      <c r="L6057" s="221"/>
      <c r="M6057" s="221"/>
    </row>
    <row r="6058" spans="5:13">
      <c r="E6058" s="221"/>
      <c r="F6058" s="221"/>
      <c r="G6058" s="221"/>
      <c r="H6058" s="221"/>
      <c r="I6058" s="221"/>
      <c r="J6058" s="221"/>
      <c r="K6058" s="221"/>
      <c r="L6058" s="221"/>
      <c r="M6058" s="221"/>
    </row>
    <row r="6059" spans="5:13">
      <c r="E6059" s="221"/>
      <c r="F6059" s="221"/>
      <c r="G6059" s="221"/>
      <c r="H6059" s="221"/>
      <c r="I6059" s="221"/>
      <c r="J6059" s="221"/>
      <c r="K6059" s="221"/>
      <c r="L6059" s="221"/>
      <c r="M6059" s="221"/>
    </row>
    <row r="6060" spans="5:13">
      <c r="E6060" s="221"/>
      <c r="F6060" s="221"/>
      <c r="G6060" s="221"/>
      <c r="H6060" s="221"/>
      <c r="I6060" s="221"/>
      <c r="J6060" s="221"/>
      <c r="K6060" s="221"/>
      <c r="L6060" s="221"/>
      <c r="M6060" s="221"/>
    </row>
    <row r="6061" spans="5:13">
      <c r="E6061" s="221"/>
      <c r="F6061" s="221"/>
      <c r="G6061" s="221"/>
      <c r="H6061" s="221"/>
      <c r="I6061" s="221"/>
      <c r="J6061" s="221"/>
      <c r="K6061" s="221"/>
      <c r="L6061" s="221"/>
      <c r="M6061" s="221"/>
    </row>
    <row r="6062" spans="5:13">
      <c r="E6062" s="221"/>
      <c r="F6062" s="221"/>
      <c r="G6062" s="221"/>
      <c r="H6062" s="221"/>
      <c r="I6062" s="221"/>
      <c r="J6062" s="221"/>
      <c r="K6062" s="221"/>
      <c r="L6062" s="221"/>
      <c r="M6062" s="221"/>
    </row>
    <row r="6063" spans="5:13">
      <c r="E6063" s="221"/>
      <c r="F6063" s="221"/>
      <c r="G6063" s="221"/>
      <c r="H6063" s="221"/>
      <c r="I6063" s="221"/>
      <c r="J6063" s="221"/>
      <c r="K6063" s="221"/>
      <c r="L6063" s="221"/>
      <c r="M6063" s="221"/>
    </row>
    <row r="6064" spans="5:13">
      <c r="E6064" s="221"/>
      <c r="F6064" s="221"/>
      <c r="G6064" s="221"/>
      <c r="H6064" s="221"/>
      <c r="I6064" s="221"/>
      <c r="J6064" s="221"/>
      <c r="K6064" s="221"/>
      <c r="L6064" s="221"/>
      <c r="M6064" s="221"/>
    </row>
    <row r="6065" spans="5:13">
      <c r="E6065" s="221"/>
      <c r="F6065" s="221"/>
      <c r="G6065" s="221"/>
      <c r="H6065" s="221"/>
      <c r="I6065" s="221"/>
      <c r="J6065" s="221"/>
      <c r="K6065" s="221"/>
      <c r="L6065" s="221"/>
      <c r="M6065" s="221"/>
    </row>
    <row r="6066" spans="5:13">
      <c r="E6066" s="221"/>
      <c r="F6066" s="221"/>
      <c r="G6066" s="221"/>
      <c r="H6066" s="221"/>
      <c r="I6066" s="221"/>
      <c r="J6066" s="221"/>
      <c r="K6066" s="221"/>
      <c r="L6066" s="221"/>
      <c r="M6066" s="221"/>
    </row>
    <row r="6067" spans="5:13">
      <c r="E6067" s="221"/>
      <c r="F6067" s="221"/>
      <c r="G6067" s="221"/>
      <c r="H6067" s="221"/>
      <c r="I6067" s="221"/>
      <c r="J6067" s="221"/>
      <c r="K6067" s="221"/>
      <c r="L6067" s="221"/>
      <c r="M6067" s="221"/>
    </row>
    <row r="6068" spans="5:13">
      <c r="E6068" s="221"/>
      <c r="F6068" s="221"/>
      <c r="G6068" s="221"/>
      <c r="H6068" s="221"/>
      <c r="I6068" s="221"/>
      <c r="J6068" s="221"/>
      <c r="K6068" s="221"/>
      <c r="L6068" s="221"/>
      <c r="M6068" s="221"/>
    </row>
    <row r="6069" spans="5:13">
      <c r="E6069" s="221"/>
      <c r="F6069" s="221"/>
      <c r="G6069" s="221"/>
      <c r="H6069" s="221"/>
      <c r="I6069" s="221"/>
      <c r="J6069" s="221"/>
      <c r="K6069" s="221"/>
      <c r="L6069" s="221"/>
      <c r="M6069" s="221"/>
    </row>
    <row r="6070" spans="5:13">
      <c r="E6070" s="221"/>
      <c r="F6070" s="221"/>
      <c r="G6070" s="221"/>
      <c r="H6070" s="221"/>
      <c r="I6070" s="221"/>
      <c r="J6070" s="221"/>
      <c r="K6070" s="221"/>
      <c r="L6070" s="221"/>
      <c r="M6070" s="221"/>
    </row>
    <row r="6071" spans="5:13">
      <c r="E6071" s="221"/>
      <c r="F6071" s="221"/>
      <c r="G6071" s="221"/>
      <c r="H6071" s="221"/>
      <c r="I6071" s="221"/>
      <c r="J6071" s="221"/>
      <c r="K6071" s="221"/>
      <c r="L6071" s="221"/>
      <c r="M6071" s="221"/>
    </row>
    <row r="6072" spans="5:13">
      <c r="E6072" s="221"/>
      <c r="F6072" s="221"/>
      <c r="G6072" s="221"/>
      <c r="H6072" s="221"/>
      <c r="I6072" s="221"/>
      <c r="J6072" s="221"/>
      <c r="K6072" s="221"/>
      <c r="L6072" s="221"/>
      <c r="M6072" s="221"/>
    </row>
    <row r="6073" spans="5:13">
      <c r="E6073" s="221"/>
      <c r="F6073" s="221"/>
      <c r="G6073" s="221"/>
      <c r="H6073" s="221"/>
      <c r="I6073" s="221"/>
      <c r="J6073" s="221"/>
      <c r="K6073" s="221"/>
      <c r="L6073" s="221"/>
      <c r="M6073" s="221"/>
    </row>
    <row r="6074" spans="5:13">
      <c r="E6074" s="221"/>
      <c r="F6074" s="221"/>
      <c r="G6074" s="221"/>
      <c r="H6074" s="221"/>
      <c r="I6074" s="221"/>
      <c r="J6074" s="221"/>
      <c r="K6074" s="221"/>
      <c r="L6074" s="221"/>
      <c r="M6074" s="221"/>
    </row>
    <row r="6075" spans="5:13">
      <c r="E6075" s="221"/>
      <c r="F6075" s="221"/>
      <c r="G6075" s="221"/>
      <c r="H6075" s="221"/>
      <c r="I6075" s="221"/>
      <c r="J6075" s="221"/>
      <c r="K6075" s="221"/>
      <c r="L6075" s="221"/>
      <c r="M6075" s="221"/>
    </row>
    <row r="6076" spans="5:13">
      <c r="E6076" s="221"/>
      <c r="F6076" s="221"/>
      <c r="G6076" s="221"/>
      <c r="H6076" s="221"/>
      <c r="I6076" s="221"/>
      <c r="J6076" s="221"/>
      <c r="K6076" s="221"/>
      <c r="L6076" s="221"/>
      <c r="M6076" s="221"/>
    </row>
    <row r="6077" spans="5:13">
      <c r="E6077" s="221"/>
      <c r="F6077" s="221"/>
      <c r="G6077" s="221"/>
      <c r="H6077" s="221"/>
      <c r="I6077" s="221"/>
      <c r="J6077" s="221"/>
      <c r="K6077" s="221"/>
      <c r="L6077" s="221"/>
      <c r="M6077" s="221"/>
    </row>
    <row r="6078" spans="5:13">
      <c r="E6078" s="221"/>
      <c r="F6078" s="221"/>
      <c r="G6078" s="221"/>
      <c r="H6078" s="221"/>
      <c r="I6078" s="221"/>
      <c r="J6078" s="221"/>
      <c r="K6078" s="221"/>
      <c r="L6078" s="221"/>
      <c r="M6078" s="221"/>
    </row>
    <row r="6079" spans="5:13">
      <c r="E6079" s="221"/>
      <c r="F6079" s="221"/>
      <c r="G6079" s="221"/>
      <c r="H6079" s="221"/>
      <c r="I6079" s="221"/>
      <c r="J6079" s="221"/>
      <c r="K6079" s="221"/>
      <c r="L6079" s="221"/>
      <c r="M6079" s="221"/>
    </row>
    <row r="6080" spans="5:13">
      <c r="E6080" s="221"/>
      <c r="F6080" s="221"/>
      <c r="G6080" s="221"/>
      <c r="H6080" s="221"/>
      <c r="I6080" s="221"/>
      <c r="J6080" s="221"/>
      <c r="K6080" s="221"/>
      <c r="L6080" s="221"/>
      <c r="M6080" s="221"/>
    </row>
    <row r="6081" spans="5:13">
      <c r="E6081" s="221"/>
      <c r="F6081" s="221"/>
      <c r="G6081" s="221"/>
      <c r="H6081" s="221"/>
      <c r="I6081" s="221"/>
      <c r="J6081" s="221"/>
      <c r="K6081" s="221"/>
      <c r="L6081" s="221"/>
      <c r="M6081" s="221"/>
    </row>
    <row r="6082" spans="5:13">
      <c r="E6082" s="221"/>
      <c r="F6082" s="221"/>
      <c r="G6082" s="221"/>
      <c r="H6082" s="221"/>
      <c r="I6082" s="221"/>
      <c r="J6082" s="221"/>
      <c r="K6082" s="221"/>
      <c r="L6082" s="221"/>
      <c r="M6082" s="221"/>
    </row>
    <row r="6083" spans="5:13">
      <c r="E6083" s="221"/>
      <c r="F6083" s="221"/>
      <c r="G6083" s="221"/>
      <c r="H6083" s="221"/>
      <c r="I6083" s="221"/>
      <c r="J6083" s="221"/>
      <c r="K6083" s="221"/>
      <c r="L6083" s="221"/>
      <c r="M6083" s="221"/>
    </row>
    <row r="6084" spans="5:13">
      <c r="E6084" s="221"/>
      <c r="F6084" s="221"/>
      <c r="G6084" s="221"/>
      <c r="H6084" s="221"/>
      <c r="I6084" s="221"/>
      <c r="J6084" s="221"/>
      <c r="K6084" s="221"/>
      <c r="L6084" s="221"/>
      <c r="M6084" s="221"/>
    </row>
    <row r="6085" spans="5:13">
      <c r="E6085" s="221"/>
      <c r="F6085" s="221"/>
      <c r="G6085" s="221"/>
      <c r="H6085" s="221"/>
      <c r="I6085" s="221"/>
      <c r="J6085" s="221"/>
      <c r="K6085" s="221"/>
      <c r="L6085" s="221"/>
      <c r="M6085" s="221"/>
    </row>
    <row r="6086" spans="5:13">
      <c r="E6086" s="221"/>
      <c r="F6086" s="221"/>
      <c r="G6086" s="221"/>
      <c r="H6086" s="221"/>
      <c r="I6086" s="221"/>
      <c r="J6086" s="221"/>
      <c r="K6086" s="221"/>
      <c r="L6086" s="221"/>
      <c r="M6086" s="221"/>
    </row>
    <row r="6087" spans="5:13">
      <c r="E6087" s="221"/>
      <c r="F6087" s="221"/>
      <c r="G6087" s="221"/>
      <c r="H6087" s="221"/>
      <c r="I6087" s="221"/>
      <c r="J6087" s="221"/>
      <c r="K6087" s="221"/>
      <c r="L6087" s="221"/>
      <c r="M6087" s="221"/>
    </row>
    <row r="6088" spans="5:13">
      <c r="E6088" s="221"/>
      <c r="F6088" s="221"/>
      <c r="G6088" s="221"/>
      <c r="H6088" s="221"/>
      <c r="I6088" s="221"/>
      <c r="J6088" s="221"/>
      <c r="K6088" s="221"/>
      <c r="L6088" s="221"/>
      <c r="M6088" s="221"/>
    </row>
    <row r="6089" spans="5:13">
      <c r="E6089" s="221"/>
      <c r="F6089" s="221"/>
      <c r="G6089" s="221"/>
      <c r="H6089" s="221"/>
      <c r="I6089" s="221"/>
      <c r="J6089" s="221"/>
      <c r="K6089" s="221"/>
      <c r="L6089" s="221"/>
      <c r="M6089" s="221"/>
    </row>
    <row r="6090" spans="5:13">
      <c r="E6090" s="221"/>
      <c r="F6090" s="221"/>
      <c r="G6090" s="221"/>
      <c r="H6090" s="221"/>
      <c r="I6090" s="221"/>
      <c r="J6090" s="221"/>
      <c r="K6090" s="221"/>
      <c r="L6090" s="221"/>
      <c r="M6090" s="221"/>
    </row>
    <row r="6091" spans="5:13">
      <c r="E6091" s="221"/>
      <c r="F6091" s="221"/>
      <c r="G6091" s="221"/>
      <c r="H6091" s="221"/>
      <c r="I6091" s="221"/>
      <c r="J6091" s="221"/>
      <c r="K6091" s="221"/>
      <c r="L6091" s="221"/>
      <c r="M6091" s="221"/>
    </row>
    <row r="6092" spans="5:13">
      <c r="E6092" s="221"/>
      <c r="F6092" s="221"/>
      <c r="G6092" s="221"/>
      <c r="H6092" s="221"/>
      <c r="I6092" s="221"/>
      <c r="J6092" s="221"/>
      <c r="K6092" s="221"/>
      <c r="L6092" s="221"/>
      <c r="M6092" s="221"/>
    </row>
    <row r="6093" spans="5:13">
      <c r="E6093" s="221"/>
      <c r="F6093" s="221"/>
      <c r="G6093" s="221"/>
      <c r="H6093" s="221"/>
      <c r="I6093" s="221"/>
      <c r="J6093" s="221"/>
      <c r="K6093" s="221"/>
      <c r="L6093" s="221"/>
      <c r="M6093" s="221"/>
    </row>
    <row r="6094" spans="5:13">
      <c r="E6094" s="221"/>
      <c r="F6094" s="221"/>
      <c r="G6094" s="221"/>
      <c r="H6094" s="221"/>
      <c r="I6094" s="221"/>
      <c r="J6094" s="221"/>
      <c r="K6094" s="221"/>
      <c r="L6094" s="221"/>
      <c r="M6094" s="221"/>
    </row>
    <row r="6095" spans="5:13">
      <c r="E6095" s="221"/>
      <c r="F6095" s="221"/>
      <c r="G6095" s="221"/>
      <c r="H6095" s="221"/>
      <c r="I6095" s="221"/>
      <c r="J6095" s="221"/>
      <c r="K6095" s="221"/>
      <c r="L6095" s="221"/>
      <c r="M6095" s="221"/>
    </row>
    <row r="6096" spans="5:13">
      <c r="E6096" s="221"/>
      <c r="F6096" s="221"/>
      <c r="G6096" s="221"/>
      <c r="H6096" s="221"/>
      <c r="I6096" s="221"/>
      <c r="J6096" s="221"/>
      <c r="K6096" s="221"/>
      <c r="L6096" s="221"/>
      <c r="M6096" s="221"/>
    </row>
    <row r="6097" spans="5:13">
      <c r="E6097" s="221"/>
      <c r="F6097" s="221"/>
      <c r="G6097" s="221"/>
      <c r="H6097" s="221"/>
      <c r="I6097" s="221"/>
      <c r="J6097" s="221"/>
      <c r="K6097" s="221"/>
      <c r="L6097" s="221"/>
      <c r="M6097" s="221"/>
    </row>
    <row r="6098" spans="5:13">
      <c r="E6098" s="221"/>
      <c r="F6098" s="221"/>
      <c r="G6098" s="221"/>
      <c r="H6098" s="221"/>
      <c r="I6098" s="221"/>
      <c r="J6098" s="221"/>
      <c r="K6098" s="221"/>
      <c r="L6098" s="221"/>
      <c r="M6098" s="221"/>
    </row>
    <row r="6099" spans="5:13">
      <c r="E6099" s="221"/>
      <c r="F6099" s="221"/>
      <c r="G6099" s="221"/>
      <c r="H6099" s="221"/>
      <c r="I6099" s="221"/>
      <c r="J6099" s="221"/>
      <c r="K6099" s="221"/>
      <c r="L6099" s="221"/>
      <c r="M6099" s="221"/>
    </row>
    <row r="6100" spans="5:13">
      <c r="E6100" s="221"/>
      <c r="F6100" s="221"/>
      <c r="G6100" s="221"/>
      <c r="H6100" s="221"/>
      <c r="I6100" s="221"/>
      <c r="J6100" s="221"/>
      <c r="K6100" s="221"/>
      <c r="L6100" s="221"/>
      <c r="M6100" s="221"/>
    </row>
    <row r="6101" spans="5:13">
      <c r="E6101" s="221"/>
      <c r="F6101" s="221"/>
      <c r="G6101" s="221"/>
      <c r="H6101" s="221"/>
      <c r="I6101" s="221"/>
      <c r="J6101" s="221"/>
      <c r="K6101" s="221"/>
      <c r="L6101" s="221"/>
      <c r="M6101" s="221"/>
    </row>
    <row r="6102" spans="5:13">
      <c r="E6102" s="221"/>
      <c r="F6102" s="221"/>
      <c r="G6102" s="221"/>
      <c r="H6102" s="221"/>
      <c r="I6102" s="221"/>
      <c r="J6102" s="221"/>
      <c r="K6102" s="221"/>
      <c r="L6102" s="221"/>
      <c r="M6102" s="221"/>
    </row>
    <row r="6103" spans="5:13">
      <c r="E6103" s="221"/>
      <c r="F6103" s="221"/>
      <c r="G6103" s="221"/>
      <c r="H6103" s="221"/>
      <c r="I6103" s="221"/>
      <c r="J6103" s="221"/>
      <c r="K6103" s="221"/>
      <c r="L6103" s="221"/>
      <c r="M6103" s="221"/>
    </row>
    <row r="6104" spans="5:13">
      <c r="E6104" s="221"/>
      <c r="F6104" s="221"/>
      <c r="G6104" s="221"/>
      <c r="H6104" s="221"/>
      <c r="I6104" s="221"/>
      <c r="J6104" s="221"/>
      <c r="K6104" s="221"/>
      <c r="L6104" s="221"/>
      <c r="M6104" s="221"/>
    </row>
    <row r="6105" spans="5:13">
      <c r="E6105" s="221"/>
      <c r="F6105" s="221"/>
      <c r="G6105" s="221"/>
      <c r="H6105" s="221"/>
      <c r="I6105" s="221"/>
      <c r="J6105" s="221"/>
      <c r="K6105" s="221"/>
      <c r="L6105" s="221"/>
      <c r="M6105" s="221"/>
    </row>
    <row r="6106" spans="5:13">
      <c r="E6106" s="221"/>
      <c r="F6106" s="221"/>
      <c r="G6106" s="221"/>
      <c r="H6106" s="221"/>
      <c r="I6106" s="221"/>
      <c r="J6106" s="221"/>
      <c r="K6106" s="221"/>
      <c r="L6106" s="221"/>
      <c r="M6106" s="221"/>
    </row>
    <row r="6107" spans="5:13">
      <c r="E6107" s="221"/>
      <c r="F6107" s="221"/>
      <c r="G6107" s="221"/>
      <c r="H6107" s="221"/>
      <c r="I6107" s="221"/>
      <c r="J6107" s="221"/>
      <c r="K6107" s="221"/>
      <c r="L6107" s="221"/>
      <c r="M6107" s="221"/>
    </row>
    <row r="6108" spans="5:13">
      <c r="E6108" s="221"/>
      <c r="F6108" s="221"/>
      <c r="G6108" s="221"/>
      <c r="H6108" s="221"/>
      <c r="I6108" s="221"/>
      <c r="J6108" s="221"/>
      <c r="K6108" s="221"/>
      <c r="L6108" s="221"/>
      <c r="M6108" s="221"/>
    </row>
    <row r="6109" spans="5:13">
      <c r="E6109" s="221"/>
      <c r="F6109" s="221"/>
      <c r="G6109" s="221"/>
      <c r="H6109" s="221"/>
      <c r="I6109" s="221"/>
      <c r="J6109" s="221"/>
      <c r="K6109" s="221"/>
      <c r="L6109" s="221"/>
      <c r="M6109" s="221"/>
    </row>
    <row r="6110" spans="5:13">
      <c r="E6110" s="221"/>
      <c r="F6110" s="221"/>
      <c r="G6110" s="221"/>
      <c r="H6110" s="221"/>
      <c r="I6110" s="221"/>
      <c r="J6110" s="221"/>
      <c r="K6110" s="221"/>
      <c r="L6110" s="221"/>
      <c r="M6110" s="221"/>
    </row>
    <row r="6111" spans="5:13">
      <c r="E6111" s="221"/>
      <c r="F6111" s="221"/>
      <c r="G6111" s="221"/>
      <c r="H6111" s="221"/>
      <c r="I6111" s="221"/>
      <c r="J6111" s="221"/>
      <c r="K6111" s="221"/>
      <c r="L6111" s="221"/>
      <c r="M6111" s="221"/>
    </row>
    <row r="6112" spans="5:13">
      <c r="E6112" s="221"/>
      <c r="F6112" s="221"/>
      <c r="G6112" s="221"/>
      <c r="H6112" s="221"/>
      <c r="I6112" s="221"/>
      <c r="J6112" s="221"/>
      <c r="K6112" s="221"/>
      <c r="L6112" s="221"/>
      <c r="M6112" s="221"/>
    </row>
    <row r="6113" spans="5:13">
      <c r="E6113" s="221"/>
      <c r="F6113" s="221"/>
      <c r="G6113" s="221"/>
      <c r="H6113" s="221"/>
      <c r="I6113" s="221"/>
      <c r="J6113" s="221"/>
      <c r="K6113" s="221"/>
      <c r="L6113" s="221"/>
      <c r="M6113" s="221"/>
    </row>
    <row r="6114" spans="5:13">
      <c r="E6114" s="221"/>
      <c r="F6114" s="221"/>
      <c r="G6114" s="221"/>
      <c r="H6114" s="221"/>
      <c r="I6114" s="221"/>
      <c r="J6114" s="221"/>
      <c r="K6114" s="221"/>
      <c r="L6114" s="221"/>
      <c r="M6114" s="221"/>
    </row>
    <row r="6115" spans="5:13">
      <c r="E6115" s="221"/>
      <c r="F6115" s="221"/>
      <c r="G6115" s="221"/>
      <c r="H6115" s="221"/>
      <c r="I6115" s="221"/>
      <c r="J6115" s="221"/>
      <c r="K6115" s="221"/>
      <c r="L6115" s="221"/>
      <c r="M6115" s="221"/>
    </row>
    <row r="6116" spans="5:13">
      <c r="E6116" s="221"/>
      <c r="F6116" s="221"/>
      <c r="G6116" s="221"/>
      <c r="H6116" s="221"/>
      <c r="I6116" s="221"/>
      <c r="J6116" s="221"/>
      <c r="K6116" s="221"/>
      <c r="L6116" s="221"/>
      <c r="M6116" s="221"/>
    </row>
    <row r="6117" spans="5:13">
      <c r="E6117" s="221"/>
      <c r="F6117" s="221"/>
      <c r="G6117" s="221"/>
      <c r="H6117" s="221"/>
      <c r="I6117" s="221"/>
      <c r="J6117" s="221"/>
      <c r="K6117" s="221"/>
      <c r="L6117" s="221"/>
      <c r="M6117" s="221"/>
    </row>
    <row r="6118" spans="5:13">
      <c r="E6118" s="221"/>
      <c r="F6118" s="221"/>
      <c r="G6118" s="221"/>
      <c r="H6118" s="221"/>
      <c r="I6118" s="221"/>
      <c r="J6118" s="221"/>
      <c r="K6118" s="221"/>
      <c r="L6118" s="221"/>
      <c r="M6118" s="221"/>
    </row>
    <row r="6119" spans="5:13">
      <c r="E6119" s="221"/>
      <c r="F6119" s="221"/>
      <c r="G6119" s="221"/>
      <c r="H6119" s="221"/>
      <c r="I6119" s="221"/>
      <c r="J6119" s="221"/>
      <c r="K6119" s="221"/>
      <c r="L6119" s="221"/>
      <c r="M6119" s="221"/>
    </row>
    <row r="6120" spans="5:13">
      <c r="E6120" s="221"/>
      <c r="F6120" s="221"/>
      <c r="G6120" s="221"/>
      <c r="H6120" s="221"/>
      <c r="I6120" s="221"/>
      <c r="J6120" s="221"/>
      <c r="K6120" s="221"/>
      <c r="L6120" s="221"/>
      <c r="M6120" s="221"/>
    </row>
    <row r="6121" spans="5:13">
      <c r="E6121" s="221"/>
      <c r="F6121" s="221"/>
      <c r="G6121" s="221"/>
      <c r="H6121" s="221"/>
      <c r="I6121" s="221"/>
      <c r="J6121" s="221"/>
      <c r="K6121" s="221"/>
      <c r="L6121" s="221"/>
      <c r="M6121" s="221"/>
    </row>
    <row r="6122" spans="5:13">
      <c r="E6122" s="221"/>
      <c r="F6122" s="221"/>
      <c r="G6122" s="221"/>
      <c r="H6122" s="221"/>
      <c r="I6122" s="221"/>
      <c r="J6122" s="221"/>
      <c r="K6122" s="221"/>
      <c r="L6122" s="221"/>
      <c r="M6122" s="221"/>
    </row>
    <row r="6123" spans="5:13">
      <c r="E6123" s="221"/>
      <c r="F6123" s="221"/>
      <c r="G6123" s="221"/>
      <c r="H6123" s="221"/>
      <c r="I6123" s="221"/>
      <c r="J6123" s="221"/>
      <c r="K6123" s="221"/>
      <c r="L6123" s="221"/>
      <c r="M6123" s="221"/>
    </row>
    <row r="6124" spans="5:13">
      <c r="E6124" s="221"/>
      <c r="F6124" s="221"/>
      <c r="G6124" s="221"/>
      <c r="H6124" s="221"/>
      <c r="I6124" s="221"/>
      <c r="J6124" s="221"/>
      <c r="K6124" s="221"/>
      <c r="L6124" s="221"/>
      <c r="M6124" s="221"/>
    </row>
    <row r="6125" spans="5:13">
      <c r="E6125" s="221"/>
      <c r="F6125" s="221"/>
      <c r="G6125" s="221"/>
      <c r="H6125" s="221"/>
      <c r="I6125" s="221"/>
      <c r="J6125" s="221"/>
      <c r="K6125" s="221"/>
      <c r="L6125" s="221"/>
      <c r="M6125" s="221"/>
    </row>
    <row r="6126" spans="5:13">
      <c r="E6126" s="221"/>
      <c r="F6126" s="221"/>
      <c r="G6126" s="221"/>
      <c r="H6126" s="221"/>
      <c r="I6126" s="221"/>
      <c r="J6126" s="221"/>
      <c r="K6126" s="221"/>
      <c r="L6126" s="221"/>
      <c r="M6126" s="221"/>
    </row>
    <row r="6127" spans="5:13">
      <c r="E6127" s="221"/>
      <c r="F6127" s="221"/>
      <c r="G6127" s="221"/>
      <c r="H6127" s="221"/>
      <c r="I6127" s="221"/>
      <c r="J6127" s="221"/>
      <c r="K6127" s="221"/>
      <c r="L6127" s="221"/>
      <c r="M6127" s="221"/>
    </row>
    <row r="6128" spans="5:13">
      <c r="E6128" s="221"/>
      <c r="F6128" s="221"/>
      <c r="G6128" s="221"/>
      <c r="H6128" s="221"/>
      <c r="I6128" s="221"/>
      <c r="J6128" s="221"/>
      <c r="K6128" s="221"/>
      <c r="L6128" s="221"/>
      <c r="M6128" s="221"/>
    </row>
    <row r="6129" spans="5:13">
      <c r="E6129" s="221"/>
      <c r="F6129" s="221"/>
      <c r="G6129" s="221"/>
      <c r="H6129" s="221"/>
      <c r="I6129" s="221"/>
      <c r="J6129" s="221"/>
      <c r="K6129" s="221"/>
      <c r="L6129" s="221"/>
      <c r="M6129" s="221"/>
    </row>
    <row r="6130" spans="5:13">
      <c r="E6130" s="221"/>
      <c r="F6130" s="221"/>
      <c r="G6130" s="221"/>
      <c r="H6130" s="221"/>
      <c r="I6130" s="221"/>
      <c r="J6130" s="221"/>
      <c r="K6130" s="221"/>
      <c r="L6130" s="221"/>
      <c r="M6130" s="221"/>
    </row>
    <row r="6131" spans="5:13">
      <c r="E6131" s="221"/>
      <c r="F6131" s="221"/>
      <c r="G6131" s="221"/>
      <c r="H6131" s="221"/>
      <c r="I6131" s="221"/>
      <c r="J6131" s="221"/>
      <c r="K6131" s="221"/>
      <c r="L6131" s="221"/>
      <c r="M6131" s="221"/>
    </row>
    <row r="6132" spans="5:13">
      <c r="E6132" s="221"/>
      <c r="F6132" s="221"/>
      <c r="G6132" s="221"/>
      <c r="H6132" s="221"/>
      <c r="I6132" s="221"/>
      <c r="J6132" s="221"/>
      <c r="K6132" s="221"/>
      <c r="L6132" s="221"/>
      <c r="M6132" s="221"/>
    </row>
    <row r="6133" spans="5:13">
      <c r="E6133" s="221"/>
      <c r="F6133" s="221"/>
      <c r="G6133" s="221"/>
      <c r="H6133" s="221"/>
      <c r="I6133" s="221"/>
      <c r="J6133" s="221"/>
      <c r="K6133" s="221"/>
      <c r="L6133" s="221"/>
      <c r="M6133" s="221"/>
    </row>
    <row r="6134" spans="5:13">
      <c r="E6134" s="221"/>
      <c r="F6134" s="221"/>
      <c r="G6134" s="221"/>
      <c r="H6134" s="221"/>
      <c r="I6134" s="221"/>
      <c r="J6134" s="221"/>
      <c r="K6134" s="221"/>
      <c r="L6134" s="221"/>
      <c r="M6134" s="221"/>
    </row>
    <row r="6135" spans="5:13">
      <c r="E6135" s="221"/>
      <c r="F6135" s="221"/>
      <c r="G6135" s="221"/>
      <c r="H6135" s="221"/>
      <c r="I6135" s="221"/>
      <c r="J6135" s="221"/>
      <c r="K6135" s="221"/>
      <c r="L6135" s="221"/>
      <c r="M6135" s="221"/>
    </row>
    <row r="6136" spans="5:13">
      <c r="E6136" s="221"/>
      <c r="F6136" s="221"/>
      <c r="G6136" s="221"/>
      <c r="H6136" s="221"/>
      <c r="I6136" s="221"/>
      <c r="J6136" s="221"/>
      <c r="K6136" s="221"/>
      <c r="L6136" s="221"/>
      <c r="M6136" s="221"/>
    </row>
    <row r="6137" spans="5:13">
      <c r="E6137" s="221"/>
      <c r="F6137" s="221"/>
      <c r="G6137" s="221"/>
      <c r="H6137" s="221"/>
      <c r="I6137" s="221"/>
      <c r="J6137" s="221"/>
      <c r="K6137" s="221"/>
      <c r="L6137" s="221"/>
      <c r="M6137" s="221"/>
    </row>
    <row r="6138" spans="5:13">
      <c r="E6138" s="221"/>
      <c r="F6138" s="221"/>
      <c r="G6138" s="221"/>
      <c r="H6138" s="221"/>
      <c r="I6138" s="221"/>
      <c r="J6138" s="221"/>
      <c r="K6138" s="221"/>
      <c r="L6138" s="221"/>
      <c r="M6138" s="221"/>
    </row>
    <row r="6139" spans="5:13">
      <c r="E6139" s="221"/>
      <c r="F6139" s="221"/>
      <c r="G6139" s="221"/>
      <c r="H6139" s="221"/>
      <c r="I6139" s="221"/>
      <c r="J6139" s="221"/>
      <c r="K6139" s="221"/>
      <c r="L6139" s="221"/>
      <c r="M6139" s="221"/>
    </row>
    <row r="6140" spans="5:13">
      <c r="E6140" s="221"/>
      <c r="F6140" s="221"/>
      <c r="G6140" s="221"/>
      <c r="H6140" s="221"/>
      <c r="I6140" s="221"/>
      <c r="J6140" s="221"/>
      <c r="K6140" s="221"/>
      <c r="L6140" s="221"/>
      <c r="M6140" s="221"/>
    </row>
    <row r="6141" spans="5:13">
      <c r="E6141" s="221"/>
      <c r="F6141" s="221"/>
      <c r="G6141" s="221"/>
      <c r="H6141" s="221"/>
      <c r="I6141" s="221"/>
      <c r="J6141" s="221"/>
      <c r="K6141" s="221"/>
      <c r="L6141" s="221"/>
      <c r="M6141" s="221"/>
    </row>
    <row r="6142" spans="5:13">
      <c r="E6142" s="221"/>
      <c r="F6142" s="221"/>
      <c r="G6142" s="221"/>
      <c r="H6142" s="221"/>
      <c r="I6142" s="221"/>
      <c r="J6142" s="221"/>
      <c r="K6142" s="221"/>
      <c r="L6142" s="221"/>
      <c r="M6142" s="221"/>
    </row>
    <row r="6143" spans="5:13">
      <c r="E6143" s="221"/>
      <c r="F6143" s="221"/>
      <c r="G6143" s="221"/>
      <c r="H6143" s="221"/>
      <c r="I6143" s="221"/>
      <c r="J6143" s="221"/>
      <c r="K6143" s="221"/>
      <c r="L6143" s="221"/>
      <c r="M6143" s="221"/>
    </row>
    <row r="6144" spans="5:13">
      <c r="E6144" s="221"/>
      <c r="F6144" s="221"/>
      <c r="G6144" s="221"/>
      <c r="H6144" s="221"/>
      <c r="I6144" s="221"/>
      <c r="J6144" s="221"/>
      <c r="K6144" s="221"/>
      <c r="L6144" s="221"/>
      <c r="M6144" s="221"/>
    </row>
    <row r="6145" spans="5:13">
      <c r="E6145" s="221"/>
      <c r="F6145" s="221"/>
      <c r="G6145" s="221"/>
      <c r="H6145" s="221"/>
      <c r="I6145" s="221"/>
      <c r="J6145" s="221"/>
      <c r="K6145" s="221"/>
      <c r="L6145" s="221"/>
      <c r="M6145" s="221"/>
    </row>
    <row r="6146" spans="5:13">
      <c r="E6146" s="221"/>
      <c r="F6146" s="221"/>
      <c r="G6146" s="221"/>
      <c r="H6146" s="221"/>
      <c r="I6146" s="221"/>
      <c r="J6146" s="221"/>
      <c r="K6146" s="221"/>
      <c r="L6146" s="221"/>
      <c r="M6146" s="221"/>
    </row>
    <row r="6147" spans="5:13">
      <c r="E6147" s="221"/>
      <c r="F6147" s="221"/>
      <c r="G6147" s="221"/>
      <c r="H6147" s="221"/>
      <c r="I6147" s="221"/>
      <c r="J6147" s="221"/>
      <c r="K6147" s="221"/>
      <c r="L6147" s="221"/>
      <c r="M6147" s="221"/>
    </row>
    <row r="6148" spans="5:13">
      <c r="E6148" s="221"/>
      <c r="F6148" s="221"/>
      <c r="G6148" s="221"/>
      <c r="H6148" s="221"/>
      <c r="I6148" s="221"/>
      <c r="J6148" s="221"/>
      <c r="K6148" s="221"/>
      <c r="L6148" s="221"/>
      <c r="M6148" s="221"/>
    </row>
    <row r="6149" spans="5:13">
      <c r="E6149" s="221"/>
      <c r="F6149" s="221"/>
      <c r="G6149" s="221"/>
      <c r="H6149" s="221"/>
      <c r="I6149" s="221"/>
      <c r="J6149" s="221"/>
      <c r="K6149" s="221"/>
      <c r="L6149" s="221"/>
      <c r="M6149" s="221"/>
    </row>
    <row r="6150" spans="5:13">
      <c r="E6150" s="221"/>
      <c r="F6150" s="221"/>
      <c r="G6150" s="221"/>
      <c r="H6150" s="221"/>
      <c r="I6150" s="221"/>
      <c r="J6150" s="221"/>
      <c r="K6150" s="221"/>
      <c r="L6150" s="221"/>
      <c r="M6150" s="221"/>
    </row>
    <row r="6151" spans="5:13">
      <c r="E6151" s="221"/>
      <c r="F6151" s="221"/>
      <c r="G6151" s="221"/>
      <c r="H6151" s="221"/>
      <c r="I6151" s="221"/>
      <c r="J6151" s="221"/>
      <c r="K6151" s="221"/>
      <c r="L6151" s="221"/>
      <c r="M6151" s="221"/>
    </row>
    <row r="6152" spans="5:13">
      <c r="E6152" s="221"/>
      <c r="F6152" s="221"/>
      <c r="G6152" s="221"/>
      <c r="H6152" s="221"/>
      <c r="I6152" s="221"/>
      <c r="J6152" s="221"/>
      <c r="K6152" s="221"/>
      <c r="L6152" s="221"/>
      <c r="M6152" s="221"/>
    </row>
    <row r="6153" spans="5:13">
      <c r="E6153" s="221"/>
      <c r="F6153" s="221"/>
      <c r="G6153" s="221"/>
      <c r="H6153" s="221"/>
      <c r="I6153" s="221"/>
      <c r="J6153" s="221"/>
      <c r="K6153" s="221"/>
      <c r="L6153" s="221"/>
      <c r="M6153" s="221"/>
    </row>
    <row r="6154" spans="5:13">
      <c r="E6154" s="221"/>
      <c r="F6154" s="221"/>
      <c r="G6154" s="221"/>
      <c r="H6154" s="221"/>
      <c r="I6154" s="221"/>
      <c r="J6154" s="221"/>
      <c r="K6154" s="221"/>
      <c r="L6154" s="221"/>
      <c r="M6154" s="221"/>
    </row>
    <row r="6155" spans="5:13">
      <c r="E6155" s="221"/>
      <c r="F6155" s="221"/>
      <c r="G6155" s="221"/>
      <c r="H6155" s="221"/>
      <c r="I6155" s="221"/>
      <c r="J6155" s="221"/>
      <c r="K6155" s="221"/>
      <c r="L6155" s="221"/>
      <c r="M6155" s="221"/>
    </row>
    <row r="6156" spans="5:13">
      <c r="E6156" s="221"/>
      <c r="F6156" s="221"/>
      <c r="G6156" s="221"/>
      <c r="H6156" s="221"/>
      <c r="I6156" s="221"/>
      <c r="J6156" s="221"/>
      <c r="K6156" s="221"/>
      <c r="L6156" s="221"/>
      <c r="M6156" s="221"/>
    </row>
    <row r="6157" spans="5:13">
      <c r="E6157" s="221"/>
      <c r="F6157" s="221"/>
      <c r="G6157" s="221"/>
      <c r="H6157" s="221"/>
      <c r="I6157" s="221"/>
      <c r="J6157" s="221"/>
      <c r="K6157" s="221"/>
      <c r="L6157" s="221"/>
      <c r="M6157" s="221"/>
    </row>
    <row r="6158" spans="5:13">
      <c r="E6158" s="221"/>
      <c r="F6158" s="221"/>
      <c r="G6158" s="221"/>
      <c r="H6158" s="221"/>
      <c r="I6158" s="221"/>
      <c r="J6158" s="221"/>
      <c r="K6158" s="221"/>
      <c r="L6158" s="221"/>
      <c r="M6158" s="221"/>
    </row>
    <row r="6159" spans="5:13">
      <c r="E6159" s="221"/>
      <c r="F6159" s="221"/>
      <c r="G6159" s="221"/>
      <c r="H6159" s="221"/>
      <c r="I6159" s="221"/>
      <c r="J6159" s="221"/>
      <c r="K6159" s="221"/>
      <c r="L6159" s="221"/>
      <c r="M6159" s="221"/>
    </row>
    <row r="6160" spans="5:13">
      <c r="E6160" s="221"/>
      <c r="F6160" s="221"/>
      <c r="G6160" s="221"/>
      <c r="H6160" s="221"/>
      <c r="I6160" s="221"/>
      <c r="J6160" s="221"/>
      <c r="K6160" s="221"/>
      <c r="L6160" s="221"/>
      <c r="M6160" s="221"/>
    </row>
    <row r="6161" spans="5:13">
      <c r="E6161" s="221"/>
      <c r="F6161" s="221"/>
      <c r="G6161" s="221"/>
      <c r="H6161" s="221"/>
      <c r="I6161" s="221"/>
      <c r="J6161" s="221"/>
      <c r="K6161" s="221"/>
      <c r="L6161" s="221"/>
      <c r="M6161" s="221"/>
    </row>
    <row r="6162" spans="5:13">
      <c r="E6162" s="221"/>
      <c r="F6162" s="221"/>
      <c r="G6162" s="221"/>
      <c r="H6162" s="221"/>
      <c r="I6162" s="221"/>
      <c r="J6162" s="221"/>
      <c r="K6162" s="221"/>
      <c r="L6162" s="221"/>
      <c r="M6162" s="221"/>
    </row>
    <row r="6163" spans="5:13">
      <c r="E6163" s="221"/>
      <c r="F6163" s="221"/>
      <c r="G6163" s="221"/>
      <c r="H6163" s="221"/>
      <c r="I6163" s="221"/>
      <c r="J6163" s="221"/>
      <c r="K6163" s="221"/>
      <c r="L6163" s="221"/>
      <c r="M6163" s="221"/>
    </row>
    <row r="6164" spans="5:13">
      <c r="E6164" s="221"/>
      <c r="F6164" s="221"/>
      <c r="G6164" s="221"/>
      <c r="H6164" s="221"/>
      <c r="I6164" s="221"/>
      <c r="J6164" s="221"/>
      <c r="K6164" s="221"/>
      <c r="L6164" s="221"/>
      <c r="M6164" s="221"/>
    </row>
    <row r="6165" spans="5:13">
      <c r="E6165" s="221"/>
      <c r="F6165" s="221"/>
      <c r="G6165" s="221"/>
      <c r="H6165" s="221"/>
      <c r="I6165" s="221"/>
      <c r="J6165" s="221"/>
      <c r="K6165" s="221"/>
      <c r="L6165" s="221"/>
      <c r="M6165" s="221"/>
    </row>
    <row r="6166" spans="5:13">
      <c r="E6166" s="221"/>
      <c r="F6166" s="221"/>
      <c r="G6166" s="221"/>
      <c r="H6166" s="221"/>
      <c r="I6166" s="221"/>
      <c r="J6166" s="221"/>
      <c r="K6166" s="221"/>
      <c r="L6166" s="221"/>
      <c r="M6166" s="221"/>
    </row>
    <row r="6167" spans="5:13">
      <c r="E6167" s="221"/>
      <c r="F6167" s="221"/>
      <c r="G6167" s="221"/>
      <c r="H6167" s="221"/>
      <c r="I6167" s="221"/>
      <c r="J6167" s="221"/>
      <c r="K6167" s="221"/>
      <c r="L6167" s="221"/>
      <c r="M6167" s="221"/>
    </row>
    <row r="6168" spans="5:13">
      <c r="E6168" s="221"/>
      <c r="F6168" s="221"/>
      <c r="G6168" s="221"/>
      <c r="H6168" s="221"/>
      <c r="I6168" s="221"/>
      <c r="J6168" s="221"/>
      <c r="K6168" s="221"/>
      <c r="L6168" s="221"/>
      <c r="M6168" s="221"/>
    </row>
    <row r="6169" spans="5:13">
      <c r="E6169" s="221"/>
      <c r="F6169" s="221"/>
      <c r="G6169" s="221"/>
      <c r="H6169" s="221"/>
      <c r="I6169" s="221"/>
      <c r="J6169" s="221"/>
      <c r="K6169" s="221"/>
      <c r="L6169" s="221"/>
      <c r="M6169" s="221"/>
    </row>
    <row r="6170" spans="5:13">
      <c r="E6170" s="221"/>
      <c r="F6170" s="221"/>
      <c r="G6170" s="221"/>
      <c r="H6170" s="221"/>
      <c r="I6170" s="221"/>
      <c r="J6170" s="221"/>
      <c r="K6170" s="221"/>
      <c r="L6170" s="221"/>
      <c r="M6170" s="221"/>
    </row>
    <row r="6171" spans="5:13">
      <c r="E6171" s="221"/>
      <c r="F6171" s="221"/>
      <c r="G6171" s="221"/>
      <c r="H6171" s="221"/>
      <c r="I6171" s="221"/>
      <c r="J6171" s="221"/>
      <c r="K6171" s="221"/>
      <c r="L6171" s="221"/>
      <c r="M6171" s="221"/>
    </row>
    <row r="6172" spans="5:13">
      <c r="E6172" s="221"/>
      <c r="F6172" s="221"/>
      <c r="G6172" s="221"/>
      <c r="H6172" s="221"/>
      <c r="I6172" s="221"/>
      <c r="J6172" s="221"/>
      <c r="K6172" s="221"/>
      <c r="L6172" s="221"/>
      <c r="M6172" s="221"/>
    </row>
    <row r="6173" spans="5:13">
      <c r="E6173" s="221"/>
      <c r="F6173" s="221"/>
      <c r="G6173" s="221"/>
      <c r="H6173" s="221"/>
      <c r="I6173" s="221"/>
      <c r="J6173" s="221"/>
      <c r="K6173" s="221"/>
      <c r="L6173" s="221"/>
      <c r="M6173" s="221"/>
    </row>
    <row r="6174" spans="5:13">
      <c r="E6174" s="221"/>
      <c r="F6174" s="221"/>
      <c r="G6174" s="221"/>
      <c r="H6174" s="221"/>
      <c r="I6174" s="221"/>
      <c r="J6174" s="221"/>
      <c r="K6174" s="221"/>
      <c r="L6174" s="221"/>
      <c r="M6174" s="221"/>
    </row>
    <row r="6175" spans="5:13">
      <c r="E6175" s="221"/>
      <c r="F6175" s="221"/>
      <c r="G6175" s="221"/>
      <c r="H6175" s="221"/>
      <c r="I6175" s="221"/>
      <c r="J6175" s="221"/>
      <c r="K6175" s="221"/>
      <c r="L6175" s="221"/>
      <c r="M6175" s="221"/>
    </row>
    <row r="6176" spans="5:13">
      <c r="E6176" s="221"/>
      <c r="F6176" s="221"/>
      <c r="G6176" s="221"/>
      <c r="H6176" s="221"/>
      <c r="I6176" s="221"/>
      <c r="J6176" s="221"/>
      <c r="K6176" s="221"/>
      <c r="L6176" s="221"/>
      <c r="M6176" s="221"/>
    </row>
    <row r="6177" spans="5:13">
      <c r="E6177" s="221"/>
      <c r="F6177" s="221"/>
      <c r="G6177" s="221"/>
      <c r="H6177" s="221"/>
      <c r="I6177" s="221"/>
      <c r="J6177" s="221"/>
      <c r="K6177" s="221"/>
      <c r="L6177" s="221"/>
      <c r="M6177" s="221"/>
    </row>
    <row r="6178" spans="5:13">
      <c r="E6178" s="221"/>
      <c r="F6178" s="221"/>
      <c r="G6178" s="221"/>
      <c r="H6178" s="221"/>
      <c r="I6178" s="221"/>
      <c r="J6178" s="221"/>
      <c r="K6178" s="221"/>
      <c r="L6178" s="221"/>
      <c r="M6178" s="221"/>
    </row>
    <row r="6179" spans="5:13">
      <c r="E6179" s="221"/>
      <c r="F6179" s="221"/>
      <c r="G6179" s="221"/>
      <c r="H6179" s="221"/>
      <c r="I6179" s="221"/>
      <c r="J6179" s="221"/>
      <c r="K6179" s="221"/>
      <c r="L6179" s="221"/>
      <c r="M6179" s="221"/>
    </row>
    <row r="6180" spans="5:13">
      <c r="E6180" s="221"/>
      <c r="F6180" s="221"/>
      <c r="G6180" s="221"/>
      <c r="H6180" s="221"/>
      <c r="I6180" s="221"/>
      <c r="J6180" s="221"/>
      <c r="K6180" s="221"/>
      <c r="L6180" s="221"/>
      <c r="M6180" s="221"/>
    </row>
    <row r="6181" spans="5:13">
      <c r="E6181" s="221"/>
      <c r="F6181" s="221"/>
      <c r="G6181" s="221"/>
      <c r="H6181" s="221"/>
      <c r="I6181" s="221"/>
      <c r="J6181" s="221"/>
      <c r="K6181" s="221"/>
      <c r="L6181" s="221"/>
      <c r="M6181" s="221"/>
    </row>
    <row r="6182" spans="5:13">
      <c r="E6182" s="221"/>
      <c r="F6182" s="221"/>
      <c r="G6182" s="221"/>
      <c r="H6182" s="221"/>
      <c r="I6182" s="221"/>
      <c r="J6182" s="221"/>
      <c r="K6182" s="221"/>
      <c r="L6182" s="221"/>
      <c r="M6182" s="221"/>
    </row>
    <row r="6183" spans="5:13">
      <c r="E6183" s="221"/>
      <c r="F6183" s="221"/>
      <c r="G6183" s="221"/>
      <c r="H6183" s="221"/>
      <c r="I6183" s="221"/>
      <c r="J6183" s="221"/>
      <c r="K6183" s="221"/>
      <c r="L6183" s="221"/>
      <c r="M6183" s="221"/>
    </row>
    <row r="6184" spans="5:13">
      <c r="E6184" s="221"/>
      <c r="F6184" s="221"/>
      <c r="G6184" s="221"/>
      <c r="H6184" s="221"/>
      <c r="I6184" s="221"/>
      <c r="J6184" s="221"/>
      <c r="K6184" s="221"/>
      <c r="L6184" s="221"/>
      <c r="M6184" s="221"/>
    </row>
    <row r="6185" spans="5:13">
      <c r="E6185" s="221"/>
      <c r="F6185" s="221"/>
      <c r="G6185" s="221"/>
      <c r="H6185" s="221"/>
      <c r="I6185" s="221"/>
      <c r="J6185" s="221"/>
      <c r="K6185" s="221"/>
      <c r="L6185" s="221"/>
      <c r="M6185" s="221"/>
    </row>
    <row r="6186" spans="5:13">
      <c r="E6186" s="221"/>
      <c r="F6186" s="221"/>
      <c r="G6186" s="221"/>
      <c r="H6186" s="221"/>
      <c r="I6186" s="221"/>
      <c r="J6186" s="221"/>
      <c r="K6186" s="221"/>
      <c r="L6186" s="221"/>
      <c r="M6186" s="221"/>
    </row>
    <row r="6187" spans="5:13">
      <c r="E6187" s="221"/>
      <c r="F6187" s="221"/>
      <c r="G6187" s="221"/>
      <c r="H6187" s="221"/>
      <c r="I6187" s="221"/>
      <c r="J6187" s="221"/>
      <c r="K6187" s="221"/>
      <c r="L6187" s="221"/>
      <c r="M6187" s="221"/>
    </row>
    <row r="6188" spans="5:13">
      <c r="E6188" s="221"/>
      <c r="F6188" s="221"/>
      <c r="G6188" s="221"/>
      <c r="H6188" s="221"/>
      <c r="I6188" s="221"/>
      <c r="J6188" s="221"/>
      <c r="K6188" s="221"/>
      <c r="L6188" s="221"/>
      <c r="M6188" s="221"/>
    </row>
    <row r="6189" spans="5:13">
      <c r="E6189" s="221"/>
      <c r="F6189" s="221"/>
      <c r="G6189" s="221"/>
      <c r="H6189" s="221"/>
      <c r="I6189" s="221"/>
      <c r="J6189" s="221"/>
      <c r="K6189" s="221"/>
      <c r="L6189" s="221"/>
      <c r="M6189" s="221"/>
    </row>
    <row r="6190" spans="5:13">
      <c r="E6190" s="221"/>
      <c r="F6190" s="221"/>
      <c r="G6190" s="221"/>
      <c r="H6190" s="221"/>
      <c r="I6190" s="221"/>
      <c r="J6190" s="221"/>
      <c r="K6190" s="221"/>
      <c r="L6190" s="221"/>
      <c r="M6190" s="221"/>
    </row>
    <row r="6191" spans="5:13">
      <c r="E6191" s="221"/>
      <c r="F6191" s="221"/>
      <c r="G6191" s="221"/>
      <c r="H6191" s="221"/>
      <c r="I6191" s="221"/>
      <c r="J6191" s="221"/>
      <c r="K6191" s="221"/>
      <c r="L6191" s="221"/>
      <c r="M6191" s="221"/>
    </row>
    <row r="6192" spans="5:13">
      <c r="E6192" s="221"/>
      <c r="F6192" s="221"/>
      <c r="G6192" s="221"/>
      <c r="H6192" s="221"/>
      <c r="I6192" s="221"/>
      <c r="J6192" s="221"/>
      <c r="K6192" s="221"/>
      <c r="L6192" s="221"/>
      <c r="M6192" s="221"/>
    </row>
    <row r="6193" spans="5:13">
      <c r="E6193" s="221"/>
      <c r="F6193" s="221"/>
      <c r="G6193" s="221"/>
      <c r="H6193" s="221"/>
      <c r="I6193" s="221"/>
      <c r="J6193" s="221"/>
      <c r="K6193" s="221"/>
      <c r="L6193" s="221"/>
      <c r="M6193" s="221"/>
    </row>
    <row r="6194" spans="5:13">
      <c r="E6194" s="221"/>
      <c r="F6194" s="221"/>
      <c r="G6194" s="221"/>
      <c r="H6194" s="221"/>
      <c r="I6194" s="221"/>
      <c r="J6194" s="221"/>
      <c r="K6194" s="221"/>
      <c r="L6194" s="221"/>
      <c r="M6194" s="221"/>
    </row>
    <row r="6195" spans="5:13">
      <c r="E6195" s="221"/>
      <c r="F6195" s="221"/>
      <c r="G6195" s="221"/>
      <c r="H6195" s="221"/>
      <c r="I6195" s="221"/>
      <c r="J6195" s="221"/>
      <c r="K6195" s="221"/>
      <c r="L6195" s="221"/>
      <c r="M6195" s="221"/>
    </row>
    <row r="6196" spans="5:13">
      <c r="E6196" s="221"/>
      <c r="F6196" s="221"/>
      <c r="G6196" s="221"/>
      <c r="H6196" s="221"/>
      <c r="I6196" s="221"/>
      <c r="J6196" s="221"/>
      <c r="K6196" s="221"/>
      <c r="L6196" s="221"/>
      <c r="M6196" s="221"/>
    </row>
    <row r="6197" spans="5:13">
      <c r="E6197" s="221"/>
      <c r="F6197" s="221"/>
      <c r="G6197" s="221"/>
      <c r="H6197" s="221"/>
      <c r="I6197" s="221"/>
      <c r="J6197" s="221"/>
      <c r="K6197" s="221"/>
      <c r="L6197" s="221"/>
      <c r="M6197" s="221"/>
    </row>
    <row r="6198" spans="5:13">
      <c r="E6198" s="221"/>
      <c r="F6198" s="221"/>
      <c r="G6198" s="221"/>
      <c r="H6198" s="221"/>
      <c r="I6198" s="221"/>
      <c r="J6198" s="221"/>
      <c r="K6198" s="221"/>
      <c r="L6198" s="221"/>
      <c r="M6198" s="221"/>
    </row>
    <row r="6199" spans="5:13">
      <c r="E6199" s="221"/>
      <c r="F6199" s="221"/>
      <c r="G6199" s="221"/>
      <c r="H6199" s="221"/>
      <c r="I6199" s="221"/>
      <c r="J6199" s="221"/>
      <c r="K6199" s="221"/>
      <c r="L6199" s="221"/>
      <c r="M6199" s="221"/>
    </row>
    <row r="6200" spans="5:13">
      <c r="E6200" s="221"/>
      <c r="F6200" s="221"/>
      <c r="G6200" s="221"/>
      <c r="H6200" s="221"/>
      <c r="I6200" s="221"/>
      <c r="J6200" s="221"/>
      <c r="K6200" s="221"/>
      <c r="L6200" s="221"/>
      <c r="M6200" s="221"/>
    </row>
    <row r="6201" spans="5:13">
      <c r="E6201" s="221"/>
      <c r="F6201" s="221"/>
      <c r="G6201" s="221"/>
      <c r="H6201" s="221"/>
      <c r="I6201" s="221"/>
      <c r="J6201" s="221"/>
      <c r="K6201" s="221"/>
      <c r="L6201" s="221"/>
      <c r="M6201" s="221"/>
    </row>
    <row r="6202" spans="5:13">
      <c r="E6202" s="221"/>
      <c r="F6202" s="221"/>
      <c r="G6202" s="221"/>
      <c r="H6202" s="221"/>
      <c r="I6202" s="221"/>
      <c r="J6202" s="221"/>
      <c r="K6202" s="221"/>
      <c r="L6202" s="221"/>
      <c r="M6202" s="221"/>
    </row>
    <row r="6203" spans="5:13">
      <c r="E6203" s="221"/>
      <c r="F6203" s="221"/>
      <c r="G6203" s="221"/>
      <c r="H6203" s="221"/>
      <c r="I6203" s="221"/>
      <c r="J6203" s="221"/>
      <c r="K6203" s="221"/>
      <c r="L6203" s="221"/>
      <c r="M6203" s="221"/>
    </row>
    <row r="6204" spans="5:13">
      <c r="E6204" s="221"/>
      <c r="F6204" s="221"/>
      <c r="G6204" s="221"/>
      <c r="H6204" s="221"/>
      <c r="I6204" s="221"/>
      <c r="J6204" s="221"/>
      <c r="K6204" s="221"/>
      <c r="L6204" s="221"/>
      <c r="M6204" s="221"/>
    </row>
    <row r="6205" spans="5:13">
      <c r="E6205" s="221"/>
      <c r="F6205" s="221"/>
      <c r="G6205" s="221"/>
      <c r="H6205" s="221"/>
      <c r="I6205" s="221"/>
      <c r="J6205" s="221"/>
      <c r="K6205" s="221"/>
      <c r="L6205" s="221"/>
      <c r="M6205" s="221"/>
    </row>
    <row r="6206" spans="5:13">
      <c r="E6206" s="221"/>
      <c r="F6206" s="221"/>
      <c r="G6206" s="221"/>
      <c r="H6206" s="221"/>
      <c r="I6206" s="221"/>
      <c r="J6206" s="221"/>
      <c r="K6206" s="221"/>
      <c r="L6206" s="221"/>
      <c r="M6206" s="221"/>
    </row>
    <row r="6207" spans="5:13">
      <c r="E6207" s="221"/>
      <c r="F6207" s="221"/>
      <c r="G6207" s="221"/>
      <c r="H6207" s="221"/>
      <c r="I6207" s="221"/>
      <c r="J6207" s="221"/>
      <c r="K6207" s="221"/>
      <c r="L6207" s="221"/>
      <c r="M6207" s="221"/>
    </row>
    <row r="6208" spans="5:13">
      <c r="E6208" s="221"/>
      <c r="F6208" s="221"/>
      <c r="G6208" s="221"/>
      <c r="H6208" s="221"/>
      <c r="I6208" s="221"/>
      <c r="J6208" s="221"/>
      <c r="K6208" s="221"/>
      <c r="L6208" s="221"/>
      <c r="M6208" s="221"/>
    </row>
    <row r="6209" spans="5:13">
      <c r="E6209" s="221"/>
      <c r="F6209" s="221"/>
      <c r="G6209" s="221"/>
      <c r="H6209" s="221"/>
      <c r="I6209" s="221"/>
      <c r="J6209" s="221"/>
      <c r="K6209" s="221"/>
      <c r="L6209" s="221"/>
      <c r="M6209" s="221"/>
    </row>
    <row r="6210" spans="5:13">
      <c r="E6210" s="221"/>
      <c r="F6210" s="221"/>
      <c r="G6210" s="221"/>
      <c r="H6210" s="221"/>
      <c r="I6210" s="221"/>
      <c r="J6210" s="221"/>
      <c r="K6210" s="221"/>
      <c r="L6210" s="221"/>
      <c r="M6210" s="221"/>
    </row>
    <row r="6211" spans="5:13">
      <c r="E6211" s="221"/>
      <c r="F6211" s="221"/>
      <c r="G6211" s="221"/>
      <c r="H6211" s="221"/>
      <c r="I6211" s="221"/>
      <c r="J6211" s="221"/>
      <c r="K6211" s="221"/>
      <c r="L6211" s="221"/>
      <c r="M6211" s="221"/>
    </row>
    <row r="6212" spans="5:13">
      <c r="E6212" s="221"/>
      <c r="F6212" s="221"/>
      <c r="G6212" s="221"/>
      <c r="H6212" s="221"/>
      <c r="I6212" s="221"/>
      <c r="J6212" s="221"/>
      <c r="K6212" s="221"/>
      <c r="L6212" s="221"/>
      <c r="M6212" s="221"/>
    </row>
    <row r="6213" spans="5:13">
      <c r="E6213" s="221"/>
      <c r="F6213" s="221"/>
      <c r="G6213" s="221"/>
      <c r="H6213" s="221"/>
      <c r="I6213" s="221"/>
      <c r="J6213" s="221"/>
      <c r="K6213" s="221"/>
      <c r="L6213" s="221"/>
      <c r="M6213" s="221"/>
    </row>
    <row r="6214" spans="5:13">
      <c r="E6214" s="221"/>
      <c r="F6214" s="221"/>
      <c r="G6214" s="221"/>
      <c r="H6214" s="221"/>
      <c r="I6214" s="221"/>
      <c r="J6214" s="221"/>
      <c r="K6214" s="221"/>
      <c r="L6214" s="221"/>
      <c r="M6214" s="221"/>
    </row>
    <row r="6215" spans="5:13">
      <c r="E6215" s="221"/>
      <c r="F6215" s="221"/>
      <c r="G6215" s="221"/>
      <c r="H6215" s="221"/>
      <c r="I6215" s="221"/>
      <c r="J6215" s="221"/>
      <c r="K6215" s="221"/>
      <c r="L6215" s="221"/>
      <c r="M6215" s="221"/>
    </row>
    <row r="6216" spans="5:13">
      <c r="E6216" s="221"/>
      <c r="F6216" s="221"/>
      <c r="G6216" s="221"/>
      <c r="H6216" s="221"/>
      <c r="I6216" s="221"/>
      <c r="J6216" s="221"/>
      <c r="K6216" s="221"/>
      <c r="L6216" s="221"/>
      <c r="M6216" s="221"/>
    </row>
    <row r="6217" spans="5:13">
      <c r="E6217" s="221"/>
      <c r="F6217" s="221"/>
      <c r="G6217" s="221"/>
      <c r="H6217" s="221"/>
      <c r="I6217" s="221"/>
      <c r="J6217" s="221"/>
      <c r="K6217" s="221"/>
      <c r="L6217" s="221"/>
      <c r="M6217" s="221"/>
    </row>
    <row r="6218" spans="5:13">
      <c r="E6218" s="221"/>
      <c r="F6218" s="221"/>
      <c r="G6218" s="221"/>
      <c r="H6218" s="221"/>
      <c r="I6218" s="221"/>
      <c r="J6218" s="221"/>
      <c r="K6218" s="221"/>
      <c r="L6218" s="221"/>
      <c r="M6218" s="221"/>
    </row>
    <row r="6219" spans="5:13">
      <c r="E6219" s="221"/>
      <c r="F6219" s="221"/>
      <c r="G6219" s="221"/>
      <c r="H6219" s="221"/>
      <c r="I6219" s="221"/>
      <c r="J6219" s="221"/>
      <c r="K6219" s="221"/>
      <c r="L6219" s="221"/>
      <c r="M6219" s="221"/>
    </row>
    <row r="6220" spans="5:13">
      <c r="E6220" s="221"/>
      <c r="F6220" s="221"/>
      <c r="G6220" s="221"/>
      <c r="H6220" s="221"/>
      <c r="I6220" s="221"/>
      <c r="J6220" s="221"/>
      <c r="K6220" s="221"/>
      <c r="L6220" s="221"/>
      <c r="M6220" s="221"/>
    </row>
    <row r="6221" spans="5:13">
      <c r="E6221" s="221"/>
      <c r="F6221" s="221"/>
      <c r="G6221" s="221"/>
      <c r="H6221" s="221"/>
      <c r="I6221" s="221"/>
      <c r="J6221" s="221"/>
      <c r="K6221" s="221"/>
      <c r="L6221" s="221"/>
      <c r="M6221" s="221"/>
    </row>
    <row r="6222" spans="5:13">
      <c r="E6222" s="221"/>
      <c r="F6222" s="221"/>
      <c r="G6222" s="221"/>
      <c r="H6222" s="221"/>
      <c r="I6222" s="221"/>
      <c r="J6222" s="221"/>
      <c r="K6222" s="221"/>
      <c r="L6222" s="221"/>
      <c r="M6222" s="221"/>
    </row>
    <row r="6223" spans="5:13">
      <c r="E6223" s="221"/>
      <c r="F6223" s="221"/>
      <c r="G6223" s="221"/>
      <c r="H6223" s="221"/>
      <c r="I6223" s="221"/>
      <c r="J6223" s="221"/>
      <c r="K6223" s="221"/>
      <c r="L6223" s="221"/>
      <c r="M6223" s="221"/>
    </row>
    <row r="6224" spans="5:13">
      <c r="E6224" s="221"/>
      <c r="F6224" s="221"/>
      <c r="G6224" s="221"/>
      <c r="H6224" s="221"/>
      <c r="I6224" s="221"/>
      <c r="J6224" s="221"/>
      <c r="K6224" s="221"/>
      <c r="L6224" s="221"/>
      <c r="M6224" s="221"/>
    </row>
    <row r="6225" spans="5:13">
      <c r="E6225" s="221"/>
      <c r="F6225" s="221"/>
      <c r="G6225" s="221"/>
      <c r="H6225" s="221"/>
      <c r="I6225" s="221"/>
      <c r="J6225" s="221"/>
      <c r="K6225" s="221"/>
      <c r="L6225" s="221"/>
      <c r="M6225" s="221"/>
    </row>
    <row r="6226" spans="5:13">
      <c r="E6226" s="221"/>
      <c r="F6226" s="221"/>
      <c r="G6226" s="221"/>
      <c r="H6226" s="221"/>
      <c r="I6226" s="221"/>
      <c r="J6226" s="221"/>
      <c r="K6226" s="221"/>
      <c r="L6226" s="221"/>
      <c r="M6226" s="221"/>
    </row>
    <row r="6227" spans="5:13">
      <c r="E6227" s="221"/>
      <c r="F6227" s="221"/>
      <c r="G6227" s="221"/>
      <c r="H6227" s="221"/>
      <c r="I6227" s="221"/>
      <c r="J6227" s="221"/>
      <c r="K6227" s="221"/>
      <c r="L6227" s="221"/>
      <c r="M6227" s="221"/>
    </row>
    <row r="6228" spans="5:13">
      <c r="E6228" s="221"/>
      <c r="F6228" s="221"/>
      <c r="G6228" s="221"/>
      <c r="H6228" s="221"/>
      <c r="I6228" s="221"/>
      <c r="J6228" s="221"/>
      <c r="K6228" s="221"/>
      <c r="L6228" s="221"/>
      <c r="M6228" s="221"/>
    </row>
    <row r="6229" spans="5:13">
      <c r="E6229" s="221"/>
      <c r="F6229" s="221"/>
      <c r="G6229" s="221"/>
      <c r="H6229" s="221"/>
      <c r="I6229" s="221"/>
      <c r="J6229" s="221"/>
      <c r="K6229" s="221"/>
      <c r="L6229" s="221"/>
      <c r="M6229" s="221"/>
    </row>
    <row r="6230" spans="5:13">
      <c r="E6230" s="221"/>
      <c r="F6230" s="221"/>
      <c r="G6230" s="221"/>
      <c r="H6230" s="221"/>
      <c r="I6230" s="221"/>
      <c r="J6230" s="221"/>
      <c r="K6230" s="221"/>
      <c r="L6230" s="221"/>
      <c r="M6230" s="221"/>
    </row>
    <row r="6231" spans="5:13">
      <c r="E6231" s="221"/>
      <c r="F6231" s="221"/>
      <c r="G6231" s="221"/>
      <c r="H6231" s="221"/>
      <c r="I6231" s="221"/>
      <c r="J6231" s="221"/>
      <c r="K6231" s="221"/>
      <c r="L6231" s="221"/>
      <c r="M6231" s="221"/>
    </row>
    <row r="6232" spans="5:13">
      <c r="E6232" s="221"/>
      <c r="F6232" s="221"/>
      <c r="G6232" s="221"/>
      <c r="H6232" s="221"/>
      <c r="I6232" s="221"/>
      <c r="J6232" s="221"/>
      <c r="K6232" s="221"/>
      <c r="L6232" s="221"/>
      <c r="M6232" s="221"/>
    </row>
    <row r="6233" spans="5:13">
      <c r="E6233" s="221"/>
      <c r="F6233" s="221"/>
      <c r="G6233" s="221"/>
      <c r="H6233" s="221"/>
      <c r="I6233" s="221"/>
      <c r="J6233" s="221"/>
      <c r="K6233" s="221"/>
      <c r="L6233" s="221"/>
      <c r="M6233" s="221"/>
    </row>
    <row r="6234" spans="5:13">
      <c r="E6234" s="221"/>
      <c r="F6234" s="221"/>
      <c r="G6234" s="221"/>
      <c r="H6234" s="221"/>
      <c r="I6234" s="221"/>
      <c r="J6234" s="221"/>
      <c r="K6234" s="221"/>
      <c r="L6234" s="221"/>
      <c r="M6234" s="221"/>
    </row>
    <row r="6235" spans="5:13">
      <c r="E6235" s="221"/>
      <c r="F6235" s="221"/>
      <c r="G6235" s="221"/>
      <c r="H6235" s="221"/>
      <c r="I6235" s="221"/>
      <c r="J6235" s="221"/>
      <c r="K6235" s="221"/>
      <c r="L6235" s="221"/>
      <c r="M6235" s="221"/>
    </row>
    <row r="6236" spans="5:13">
      <c r="E6236" s="221"/>
      <c r="F6236" s="221"/>
      <c r="G6236" s="221"/>
      <c r="H6236" s="221"/>
      <c r="I6236" s="221"/>
      <c r="J6236" s="221"/>
      <c r="K6236" s="221"/>
      <c r="L6236" s="221"/>
      <c r="M6236" s="221"/>
    </row>
    <row r="6237" spans="5:13">
      <c r="E6237" s="221"/>
      <c r="F6237" s="221"/>
      <c r="G6237" s="221"/>
      <c r="H6237" s="221"/>
      <c r="I6237" s="221"/>
      <c r="J6237" s="221"/>
      <c r="K6237" s="221"/>
      <c r="L6237" s="221"/>
      <c r="M6237" s="221"/>
    </row>
    <row r="6238" spans="5:13">
      <c r="E6238" s="221"/>
      <c r="F6238" s="221"/>
      <c r="G6238" s="221"/>
      <c r="H6238" s="221"/>
      <c r="I6238" s="221"/>
      <c r="J6238" s="221"/>
      <c r="K6238" s="221"/>
      <c r="L6238" s="221"/>
      <c r="M6238" s="221"/>
    </row>
    <row r="6239" spans="5:13">
      <c r="E6239" s="221"/>
      <c r="F6239" s="221"/>
      <c r="G6239" s="221"/>
      <c r="H6239" s="221"/>
      <c r="I6239" s="221"/>
      <c r="J6239" s="221"/>
      <c r="K6239" s="221"/>
      <c r="L6239" s="221"/>
      <c r="M6239" s="221"/>
    </row>
    <row r="6240" spans="5:13">
      <c r="E6240" s="221"/>
      <c r="F6240" s="221"/>
      <c r="G6240" s="221"/>
      <c r="H6240" s="221"/>
      <c r="I6240" s="221"/>
      <c r="J6240" s="221"/>
      <c r="K6240" s="221"/>
      <c r="L6240" s="221"/>
      <c r="M6240" s="221"/>
    </row>
    <row r="6241" spans="5:13">
      <c r="E6241" s="221"/>
      <c r="F6241" s="221"/>
      <c r="G6241" s="221"/>
      <c r="H6241" s="221"/>
      <c r="I6241" s="221"/>
      <c r="J6241" s="221"/>
      <c r="K6241" s="221"/>
      <c r="L6241" s="221"/>
      <c r="M6241" s="221"/>
    </row>
    <row r="6242" spans="5:13">
      <c r="E6242" s="221"/>
      <c r="F6242" s="221"/>
      <c r="G6242" s="221"/>
      <c r="H6242" s="221"/>
      <c r="I6242" s="221"/>
      <c r="J6242" s="221"/>
      <c r="K6242" s="221"/>
      <c r="L6242" s="221"/>
      <c r="M6242" s="221"/>
    </row>
    <row r="6243" spans="5:13">
      <c r="E6243" s="221"/>
      <c r="F6243" s="221"/>
      <c r="G6243" s="221"/>
      <c r="H6243" s="221"/>
      <c r="I6243" s="221"/>
      <c r="J6243" s="221"/>
      <c r="K6243" s="221"/>
      <c r="L6243" s="221"/>
      <c r="M6243" s="221"/>
    </row>
    <row r="6244" spans="5:13">
      <c r="E6244" s="221"/>
      <c r="F6244" s="221"/>
      <c r="G6244" s="221"/>
      <c r="H6244" s="221"/>
      <c r="I6244" s="221"/>
      <c r="J6244" s="221"/>
      <c r="K6244" s="221"/>
      <c r="L6244" s="221"/>
      <c r="M6244" s="221"/>
    </row>
    <row r="6245" spans="5:13">
      <c r="E6245" s="221"/>
      <c r="F6245" s="221"/>
      <c r="G6245" s="221"/>
      <c r="H6245" s="221"/>
      <c r="I6245" s="221"/>
      <c r="J6245" s="221"/>
      <c r="K6245" s="221"/>
      <c r="L6245" s="221"/>
      <c r="M6245" s="221"/>
    </row>
    <row r="6246" spans="5:13">
      <c r="E6246" s="221"/>
      <c r="F6246" s="221"/>
      <c r="G6246" s="221"/>
      <c r="H6246" s="221"/>
      <c r="I6246" s="221"/>
      <c r="J6246" s="221"/>
      <c r="K6246" s="221"/>
      <c r="L6246" s="221"/>
      <c r="M6246" s="221"/>
    </row>
    <row r="6247" spans="5:13">
      <c r="E6247" s="221"/>
      <c r="F6247" s="221"/>
      <c r="G6247" s="221"/>
      <c r="H6247" s="221"/>
      <c r="I6247" s="221"/>
      <c r="J6247" s="221"/>
      <c r="K6247" s="221"/>
      <c r="L6247" s="221"/>
      <c r="M6247" s="221"/>
    </row>
    <row r="6248" spans="5:13">
      <c r="E6248" s="221"/>
      <c r="F6248" s="221"/>
      <c r="G6248" s="221"/>
      <c r="H6248" s="221"/>
      <c r="I6248" s="221"/>
      <c r="J6248" s="221"/>
      <c r="K6248" s="221"/>
      <c r="L6248" s="221"/>
      <c r="M6248" s="221"/>
    </row>
    <row r="6249" spans="5:13">
      <c r="E6249" s="221"/>
      <c r="F6249" s="221"/>
      <c r="G6249" s="221"/>
      <c r="H6249" s="221"/>
      <c r="I6249" s="221"/>
      <c r="J6249" s="221"/>
      <c r="K6249" s="221"/>
      <c r="L6249" s="221"/>
      <c r="M6249" s="221"/>
    </row>
    <row r="6250" spans="5:13">
      <c r="E6250" s="221"/>
      <c r="F6250" s="221"/>
      <c r="G6250" s="221"/>
      <c r="H6250" s="221"/>
      <c r="I6250" s="221"/>
      <c r="J6250" s="221"/>
      <c r="K6250" s="221"/>
      <c r="L6250" s="221"/>
      <c r="M6250" s="221"/>
    </row>
    <row r="6251" spans="5:13">
      <c r="E6251" s="221"/>
      <c r="F6251" s="221"/>
      <c r="G6251" s="221"/>
      <c r="H6251" s="221"/>
      <c r="I6251" s="221"/>
      <c r="J6251" s="221"/>
      <c r="K6251" s="221"/>
      <c r="L6251" s="221"/>
      <c r="M6251" s="221"/>
    </row>
    <row r="6252" spans="5:13">
      <c r="E6252" s="221"/>
      <c r="F6252" s="221"/>
      <c r="G6252" s="221"/>
      <c r="H6252" s="221"/>
      <c r="I6252" s="221"/>
      <c r="J6252" s="221"/>
      <c r="K6252" s="221"/>
      <c r="L6252" s="221"/>
      <c r="M6252" s="221"/>
    </row>
    <row r="6253" spans="5:13">
      <c r="E6253" s="221"/>
      <c r="F6253" s="221"/>
      <c r="G6253" s="221"/>
      <c r="H6253" s="221"/>
      <c r="I6253" s="221"/>
      <c r="J6253" s="221"/>
      <c r="K6253" s="221"/>
      <c r="L6253" s="221"/>
      <c r="M6253" s="221"/>
    </row>
    <row r="6254" spans="5:13">
      <c r="E6254" s="221"/>
      <c r="F6254" s="221"/>
      <c r="G6254" s="221"/>
      <c r="H6254" s="221"/>
      <c r="I6254" s="221"/>
      <c r="J6254" s="221"/>
      <c r="K6254" s="221"/>
      <c r="L6254" s="221"/>
      <c r="M6254" s="221"/>
    </row>
    <row r="6255" spans="5:13">
      <c r="E6255" s="221"/>
      <c r="F6255" s="221"/>
      <c r="G6255" s="221"/>
      <c r="H6255" s="221"/>
      <c r="I6255" s="221"/>
      <c r="J6255" s="221"/>
      <c r="K6255" s="221"/>
      <c r="L6255" s="221"/>
      <c r="M6255" s="221"/>
    </row>
    <row r="6256" spans="5:13">
      <c r="E6256" s="221"/>
      <c r="F6256" s="221"/>
      <c r="G6256" s="221"/>
      <c r="H6256" s="221"/>
      <c r="I6256" s="221"/>
      <c r="J6256" s="221"/>
      <c r="K6256" s="221"/>
      <c r="L6256" s="221"/>
      <c r="M6256" s="221"/>
    </row>
    <row r="6257" spans="5:13">
      <c r="E6257" s="221"/>
      <c r="F6257" s="221"/>
      <c r="G6257" s="221"/>
      <c r="H6257" s="221"/>
      <c r="I6257" s="221"/>
      <c r="J6257" s="221"/>
      <c r="K6257" s="221"/>
      <c r="L6257" s="221"/>
      <c r="M6257" s="221"/>
    </row>
    <row r="6258" spans="5:13">
      <c r="E6258" s="221"/>
      <c r="F6258" s="221"/>
      <c r="G6258" s="221"/>
      <c r="H6258" s="221"/>
      <c r="I6258" s="221"/>
      <c r="J6258" s="221"/>
      <c r="K6258" s="221"/>
      <c r="L6258" s="221"/>
      <c r="M6258" s="221"/>
    </row>
    <row r="6259" spans="5:13">
      <c r="E6259" s="221"/>
      <c r="F6259" s="221"/>
      <c r="G6259" s="221"/>
      <c r="H6259" s="221"/>
      <c r="I6259" s="221"/>
      <c r="J6259" s="221"/>
      <c r="K6259" s="221"/>
      <c r="L6259" s="221"/>
      <c r="M6259" s="221"/>
    </row>
    <row r="6260" spans="5:13">
      <c r="E6260" s="221"/>
      <c r="F6260" s="221"/>
      <c r="G6260" s="221"/>
      <c r="H6260" s="221"/>
      <c r="I6260" s="221"/>
      <c r="J6260" s="221"/>
      <c r="K6260" s="221"/>
      <c r="L6260" s="221"/>
      <c r="M6260" s="221"/>
    </row>
    <row r="6261" spans="5:13">
      <c r="E6261" s="221"/>
      <c r="F6261" s="221"/>
      <c r="G6261" s="221"/>
      <c r="H6261" s="221"/>
      <c r="I6261" s="221"/>
      <c r="J6261" s="221"/>
      <c r="K6261" s="221"/>
      <c r="L6261" s="221"/>
      <c r="M6261" s="221"/>
    </row>
    <row r="6262" spans="5:13">
      <c r="E6262" s="221"/>
      <c r="F6262" s="221"/>
      <c r="G6262" s="221"/>
      <c r="H6262" s="221"/>
      <c r="I6262" s="221"/>
      <c r="J6262" s="221"/>
      <c r="K6262" s="221"/>
      <c r="L6262" s="221"/>
      <c r="M6262" s="221"/>
    </row>
    <row r="6263" spans="5:13">
      <c r="E6263" s="221"/>
      <c r="F6263" s="221"/>
      <c r="G6263" s="221"/>
      <c r="H6263" s="221"/>
      <c r="I6263" s="221"/>
      <c r="J6263" s="221"/>
      <c r="K6263" s="221"/>
      <c r="L6263" s="221"/>
      <c r="M6263" s="221"/>
    </row>
    <row r="6264" spans="5:13">
      <c r="E6264" s="221"/>
      <c r="F6264" s="221"/>
      <c r="G6264" s="221"/>
      <c r="H6264" s="221"/>
      <c r="I6264" s="221"/>
      <c r="J6264" s="221"/>
      <c r="K6264" s="221"/>
      <c r="L6264" s="221"/>
      <c r="M6264" s="221"/>
    </row>
    <row r="6265" spans="5:13">
      <c r="E6265" s="221"/>
      <c r="F6265" s="221"/>
      <c r="G6265" s="221"/>
      <c r="H6265" s="221"/>
      <c r="I6265" s="221"/>
      <c r="J6265" s="221"/>
      <c r="K6265" s="221"/>
      <c r="L6265" s="221"/>
      <c r="M6265" s="221"/>
    </row>
    <row r="6266" spans="5:13">
      <c r="E6266" s="221"/>
      <c r="F6266" s="221"/>
      <c r="G6266" s="221"/>
      <c r="H6266" s="221"/>
      <c r="I6266" s="221"/>
      <c r="J6266" s="221"/>
      <c r="K6266" s="221"/>
      <c r="L6266" s="221"/>
      <c r="M6266" s="221"/>
    </row>
    <row r="6267" spans="5:13">
      <c r="E6267" s="221"/>
      <c r="F6267" s="221"/>
      <c r="G6267" s="221"/>
      <c r="H6267" s="221"/>
      <c r="I6267" s="221"/>
      <c r="J6267" s="221"/>
      <c r="K6267" s="221"/>
      <c r="L6267" s="221"/>
      <c r="M6267" s="221"/>
    </row>
    <row r="6268" spans="5:13">
      <c r="E6268" s="221"/>
      <c r="F6268" s="221"/>
      <c r="G6268" s="221"/>
      <c r="H6268" s="221"/>
      <c r="I6268" s="221"/>
      <c r="J6268" s="221"/>
      <c r="K6268" s="221"/>
      <c r="L6268" s="221"/>
      <c r="M6268" s="221"/>
    </row>
    <row r="6269" spans="5:13">
      <c r="E6269" s="221"/>
      <c r="F6269" s="221"/>
      <c r="G6269" s="221"/>
      <c r="H6269" s="221"/>
      <c r="I6269" s="221"/>
      <c r="J6269" s="221"/>
      <c r="K6269" s="221"/>
      <c r="L6269" s="221"/>
      <c r="M6269" s="221"/>
    </row>
    <row r="6270" spans="5:13">
      <c r="E6270" s="221"/>
      <c r="F6270" s="221"/>
      <c r="G6270" s="221"/>
      <c r="H6270" s="221"/>
      <c r="I6270" s="221"/>
      <c r="J6270" s="221"/>
      <c r="K6270" s="221"/>
      <c r="L6270" s="221"/>
      <c r="M6270" s="221"/>
    </row>
    <row r="6271" spans="5:13">
      <c r="E6271" s="221"/>
      <c r="F6271" s="221"/>
      <c r="G6271" s="221"/>
      <c r="H6271" s="221"/>
      <c r="I6271" s="221"/>
      <c r="J6271" s="221"/>
      <c r="K6271" s="221"/>
      <c r="L6271" s="221"/>
      <c r="M6271" s="221"/>
    </row>
    <row r="6272" spans="5:13">
      <c r="E6272" s="221"/>
      <c r="F6272" s="221"/>
      <c r="G6272" s="221"/>
      <c r="H6272" s="221"/>
      <c r="I6272" s="221"/>
      <c r="J6272" s="221"/>
      <c r="K6272" s="221"/>
      <c r="L6272" s="221"/>
      <c r="M6272" s="221"/>
    </row>
    <row r="6273" spans="5:13">
      <c r="E6273" s="221"/>
      <c r="F6273" s="221"/>
      <c r="G6273" s="221"/>
      <c r="H6273" s="221"/>
      <c r="I6273" s="221"/>
      <c r="J6273" s="221"/>
      <c r="K6273" s="221"/>
      <c r="L6273" s="221"/>
      <c r="M6273" s="221"/>
    </row>
    <row r="6274" spans="5:13">
      <c r="E6274" s="221"/>
      <c r="F6274" s="221"/>
      <c r="G6274" s="221"/>
      <c r="H6274" s="221"/>
      <c r="I6274" s="221"/>
      <c r="J6274" s="221"/>
      <c r="K6274" s="221"/>
      <c r="L6274" s="221"/>
      <c r="M6274" s="221"/>
    </row>
    <row r="6275" spans="5:13">
      <c r="E6275" s="221"/>
      <c r="F6275" s="221"/>
      <c r="G6275" s="221"/>
      <c r="H6275" s="221"/>
      <c r="I6275" s="221"/>
      <c r="J6275" s="221"/>
      <c r="K6275" s="221"/>
      <c r="L6275" s="221"/>
      <c r="M6275" s="221"/>
    </row>
    <row r="6276" spans="5:13">
      <c r="E6276" s="221"/>
      <c r="F6276" s="221"/>
      <c r="G6276" s="221"/>
      <c r="H6276" s="221"/>
      <c r="I6276" s="221"/>
      <c r="J6276" s="221"/>
      <c r="K6276" s="221"/>
      <c r="L6276" s="221"/>
      <c r="M6276" s="221"/>
    </row>
    <row r="6277" spans="5:13">
      <c r="E6277" s="221"/>
      <c r="F6277" s="221"/>
      <c r="G6277" s="221"/>
      <c r="H6277" s="221"/>
      <c r="I6277" s="221"/>
      <c r="J6277" s="221"/>
      <c r="K6277" s="221"/>
      <c r="L6277" s="221"/>
      <c r="M6277" s="221"/>
    </row>
    <row r="6278" spans="5:13">
      <c r="E6278" s="221"/>
      <c r="F6278" s="221"/>
      <c r="G6278" s="221"/>
      <c r="H6278" s="221"/>
      <c r="I6278" s="221"/>
      <c r="J6278" s="221"/>
      <c r="K6278" s="221"/>
      <c r="L6278" s="221"/>
      <c r="M6278" s="221"/>
    </row>
    <row r="6279" spans="5:13">
      <c r="E6279" s="221"/>
      <c r="F6279" s="221"/>
      <c r="G6279" s="221"/>
      <c r="H6279" s="221"/>
      <c r="I6279" s="221"/>
      <c r="J6279" s="221"/>
      <c r="K6279" s="221"/>
      <c r="L6279" s="221"/>
      <c r="M6279" s="221"/>
    </row>
    <row r="6280" spans="5:13">
      <c r="E6280" s="221"/>
      <c r="F6280" s="221"/>
      <c r="G6280" s="221"/>
      <c r="H6280" s="221"/>
      <c r="I6280" s="221"/>
      <c r="J6280" s="221"/>
      <c r="K6280" s="221"/>
      <c r="L6280" s="221"/>
      <c r="M6280" s="221"/>
    </row>
    <row r="6281" spans="5:13">
      <c r="E6281" s="221"/>
      <c r="F6281" s="221"/>
      <c r="G6281" s="221"/>
      <c r="H6281" s="221"/>
      <c r="I6281" s="221"/>
      <c r="J6281" s="221"/>
      <c r="K6281" s="221"/>
      <c r="L6281" s="221"/>
      <c r="M6281" s="221"/>
    </row>
    <row r="6282" spans="5:13">
      <c r="E6282" s="221"/>
      <c r="F6282" s="221"/>
      <c r="G6282" s="221"/>
      <c r="H6282" s="221"/>
      <c r="I6282" s="221"/>
      <c r="J6282" s="221"/>
      <c r="K6282" s="221"/>
      <c r="L6282" s="221"/>
      <c r="M6282" s="221"/>
    </row>
    <row r="6283" spans="5:13">
      <c r="E6283" s="221"/>
      <c r="F6283" s="221"/>
      <c r="G6283" s="221"/>
      <c r="H6283" s="221"/>
      <c r="I6283" s="221"/>
      <c r="J6283" s="221"/>
      <c r="K6283" s="221"/>
      <c r="L6283" s="221"/>
      <c r="M6283" s="221"/>
    </row>
    <row r="6284" spans="5:13">
      <c r="E6284" s="221"/>
      <c r="F6284" s="221"/>
      <c r="G6284" s="221"/>
      <c r="H6284" s="221"/>
      <c r="I6284" s="221"/>
      <c r="J6284" s="221"/>
      <c r="K6284" s="221"/>
      <c r="L6284" s="221"/>
      <c r="M6284" s="221"/>
    </row>
    <row r="6285" spans="5:13">
      <c r="E6285" s="221"/>
      <c r="F6285" s="221"/>
      <c r="G6285" s="221"/>
      <c r="H6285" s="221"/>
      <c r="I6285" s="221"/>
      <c r="J6285" s="221"/>
      <c r="K6285" s="221"/>
      <c r="L6285" s="221"/>
      <c r="M6285" s="221"/>
    </row>
    <row r="6286" spans="5:13">
      <c r="E6286" s="221"/>
      <c r="F6286" s="221"/>
      <c r="G6286" s="221"/>
      <c r="H6286" s="221"/>
      <c r="I6286" s="221"/>
      <c r="J6286" s="221"/>
      <c r="K6286" s="221"/>
      <c r="L6286" s="221"/>
      <c r="M6286" s="221"/>
    </row>
    <row r="6287" spans="5:13">
      <c r="E6287" s="221"/>
      <c r="F6287" s="221"/>
      <c r="G6287" s="221"/>
      <c r="H6287" s="221"/>
      <c r="I6287" s="221"/>
      <c r="J6287" s="221"/>
      <c r="K6287" s="221"/>
      <c r="L6287" s="221"/>
      <c r="M6287" s="221"/>
    </row>
    <row r="6288" spans="5:13">
      <c r="E6288" s="221"/>
      <c r="F6288" s="221"/>
      <c r="G6288" s="221"/>
      <c r="H6288" s="221"/>
      <c r="I6288" s="221"/>
      <c r="J6288" s="221"/>
      <c r="K6288" s="221"/>
      <c r="L6288" s="221"/>
      <c r="M6288" s="221"/>
    </row>
    <row r="6289" spans="5:13">
      <c r="E6289" s="221"/>
      <c r="F6289" s="221"/>
      <c r="G6289" s="221"/>
      <c r="H6289" s="221"/>
      <c r="I6289" s="221"/>
      <c r="J6289" s="221"/>
      <c r="K6289" s="221"/>
      <c r="L6289" s="221"/>
      <c r="M6289" s="221"/>
    </row>
    <row r="6290" spans="5:13">
      <c r="E6290" s="221"/>
      <c r="F6290" s="221"/>
      <c r="G6290" s="221"/>
      <c r="H6290" s="221"/>
      <c r="I6290" s="221"/>
      <c r="J6290" s="221"/>
      <c r="K6290" s="221"/>
      <c r="L6290" s="221"/>
      <c r="M6290" s="221"/>
    </row>
    <row r="6291" spans="5:13">
      <c r="E6291" s="221"/>
      <c r="F6291" s="221"/>
      <c r="G6291" s="221"/>
      <c r="H6291" s="221"/>
      <c r="I6291" s="221"/>
      <c r="J6291" s="221"/>
      <c r="K6291" s="221"/>
      <c r="L6291" s="221"/>
      <c r="M6291" s="221"/>
    </row>
    <row r="6292" spans="5:13">
      <c r="E6292" s="221"/>
      <c r="F6292" s="221"/>
      <c r="G6292" s="221"/>
      <c r="H6292" s="221"/>
      <c r="I6292" s="221"/>
      <c r="J6292" s="221"/>
      <c r="K6292" s="221"/>
      <c r="L6292" s="221"/>
      <c r="M6292" s="221"/>
    </row>
    <row r="6293" spans="5:13">
      <c r="E6293" s="221"/>
      <c r="F6293" s="221"/>
      <c r="G6293" s="221"/>
      <c r="H6293" s="221"/>
      <c r="I6293" s="221"/>
      <c r="J6293" s="221"/>
      <c r="K6293" s="221"/>
      <c r="L6293" s="221"/>
      <c r="M6293" s="221"/>
    </row>
    <row r="6294" spans="5:13">
      <c r="E6294" s="221"/>
      <c r="F6294" s="221"/>
      <c r="G6294" s="221"/>
      <c r="H6294" s="221"/>
      <c r="I6294" s="221"/>
      <c r="J6294" s="221"/>
      <c r="K6294" s="221"/>
      <c r="L6294" s="221"/>
      <c r="M6294" s="221"/>
    </row>
    <row r="6295" spans="5:13">
      <c r="E6295" s="221"/>
      <c r="F6295" s="221"/>
      <c r="G6295" s="221"/>
      <c r="H6295" s="221"/>
      <c r="I6295" s="221"/>
      <c r="J6295" s="221"/>
      <c r="K6295" s="221"/>
      <c r="L6295" s="221"/>
      <c r="M6295" s="221"/>
    </row>
    <row r="6296" spans="5:13">
      <c r="E6296" s="221"/>
      <c r="F6296" s="221"/>
      <c r="G6296" s="221"/>
      <c r="H6296" s="221"/>
      <c r="I6296" s="221"/>
      <c r="J6296" s="221"/>
      <c r="K6296" s="221"/>
      <c r="L6296" s="221"/>
      <c r="M6296" s="221"/>
    </row>
    <row r="6297" spans="5:13">
      <c r="E6297" s="221"/>
      <c r="F6297" s="221"/>
      <c r="G6297" s="221"/>
      <c r="H6297" s="221"/>
      <c r="I6297" s="221"/>
      <c r="J6297" s="221"/>
      <c r="K6297" s="221"/>
      <c r="L6297" s="221"/>
      <c r="M6297" s="221"/>
    </row>
    <row r="6298" spans="5:13">
      <c r="E6298" s="221"/>
      <c r="F6298" s="221"/>
      <c r="G6298" s="221"/>
      <c r="H6298" s="221"/>
      <c r="I6298" s="221"/>
      <c r="J6298" s="221"/>
      <c r="K6298" s="221"/>
      <c r="L6298" s="221"/>
      <c r="M6298" s="221"/>
    </row>
    <row r="6299" spans="5:13">
      <c r="E6299" s="221"/>
      <c r="F6299" s="221"/>
      <c r="G6299" s="221"/>
      <c r="H6299" s="221"/>
      <c r="I6299" s="221"/>
      <c r="J6299" s="221"/>
      <c r="K6299" s="221"/>
      <c r="L6299" s="221"/>
      <c r="M6299" s="221"/>
    </row>
    <row r="6300" spans="5:13">
      <c r="E6300" s="221"/>
      <c r="F6300" s="221"/>
      <c r="G6300" s="221"/>
      <c r="H6300" s="221"/>
      <c r="I6300" s="221"/>
      <c r="J6300" s="221"/>
      <c r="K6300" s="221"/>
      <c r="L6300" s="221"/>
      <c r="M6300" s="221"/>
    </row>
    <row r="6301" spans="5:13">
      <c r="E6301" s="221"/>
      <c r="F6301" s="221"/>
      <c r="G6301" s="221"/>
      <c r="H6301" s="221"/>
      <c r="I6301" s="221"/>
      <c r="J6301" s="221"/>
      <c r="K6301" s="221"/>
      <c r="L6301" s="221"/>
      <c r="M6301" s="221"/>
    </row>
    <row r="6302" spans="5:13">
      <c r="E6302" s="221"/>
      <c r="F6302" s="221"/>
      <c r="G6302" s="221"/>
      <c r="H6302" s="221"/>
      <c r="I6302" s="221"/>
      <c r="J6302" s="221"/>
      <c r="K6302" s="221"/>
      <c r="L6302" s="221"/>
      <c r="M6302" s="221"/>
    </row>
    <row r="6303" spans="5:13">
      <c r="E6303" s="221"/>
      <c r="F6303" s="221"/>
      <c r="G6303" s="221"/>
      <c r="H6303" s="221"/>
      <c r="I6303" s="221"/>
      <c r="J6303" s="221"/>
      <c r="K6303" s="221"/>
      <c r="L6303" s="221"/>
      <c r="M6303" s="221"/>
    </row>
    <row r="6304" spans="5:13">
      <c r="E6304" s="221"/>
      <c r="F6304" s="221"/>
      <c r="G6304" s="221"/>
      <c r="H6304" s="221"/>
      <c r="I6304" s="221"/>
      <c r="J6304" s="221"/>
      <c r="K6304" s="221"/>
      <c r="L6304" s="221"/>
      <c r="M6304" s="221"/>
    </row>
    <row r="6305" spans="5:13">
      <c r="E6305" s="221"/>
      <c r="F6305" s="221"/>
      <c r="G6305" s="221"/>
      <c r="H6305" s="221"/>
      <c r="I6305" s="221"/>
      <c r="J6305" s="221"/>
      <c r="K6305" s="221"/>
      <c r="L6305" s="221"/>
      <c r="M6305" s="221"/>
    </row>
    <row r="6306" spans="5:13">
      <c r="E6306" s="221"/>
      <c r="F6306" s="221"/>
      <c r="G6306" s="221"/>
      <c r="H6306" s="221"/>
      <c r="I6306" s="221"/>
      <c r="J6306" s="221"/>
      <c r="K6306" s="221"/>
      <c r="L6306" s="221"/>
      <c r="M6306" s="221"/>
    </row>
    <row r="6307" spans="5:13">
      <c r="E6307" s="221"/>
      <c r="F6307" s="221"/>
      <c r="G6307" s="221"/>
      <c r="H6307" s="221"/>
      <c r="I6307" s="221"/>
      <c r="J6307" s="221"/>
      <c r="K6307" s="221"/>
      <c r="L6307" s="221"/>
      <c r="M6307" s="221"/>
    </row>
    <row r="6308" spans="5:13">
      <c r="E6308" s="221"/>
      <c r="F6308" s="221"/>
      <c r="G6308" s="221"/>
      <c r="H6308" s="221"/>
      <c r="I6308" s="221"/>
      <c r="J6308" s="221"/>
      <c r="K6308" s="221"/>
      <c r="L6308" s="221"/>
      <c r="M6308" s="221"/>
    </row>
    <row r="6309" spans="5:13">
      <c r="E6309" s="221"/>
      <c r="F6309" s="221"/>
      <c r="G6309" s="221"/>
      <c r="H6309" s="221"/>
      <c r="I6309" s="221"/>
      <c r="J6309" s="221"/>
      <c r="K6309" s="221"/>
      <c r="L6309" s="221"/>
      <c r="M6309" s="221"/>
    </row>
    <row r="6310" spans="5:13">
      <c r="E6310" s="221"/>
      <c r="F6310" s="221"/>
      <c r="G6310" s="221"/>
      <c r="H6310" s="221"/>
      <c r="I6310" s="221"/>
      <c r="J6310" s="221"/>
      <c r="K6310" s="221"/>
      <c r="L6310" s="221"/>
      <c r="M6310" s="221"/>
    </row>
    <row r="6311" spans="5:13">
      <c r="E6311" s="221"/>
      <c r="F6311" s="221"/>
      <c r="G6311" s="221"/>
      <c r="H6311" s="221"/>
      <c r="I6311" s="221"/>
      <c r="J6311" s="221"/>
      <c r="K6311" s="221"/>
      <c r="L6311" s="221"/>
      <c r="M6311" s="221"/>
    </row>
    <row r="6312" spans="5:13">
      <c r="E6312" s="221"/>
      <c r="F6312" s="221"/>
      <c r="G6312" s="221"/>
      <c r="H6312" s="221"/>
      <c r="I6312" s="221"/>
      <c r="J6312" s="221"/>
      <c r="K6312" s="221"/>
      <c r="L6312" s="221"/>
      <c r="M6312" s="221"/>
    </row>
    <row r="6313" spans="5:13">
      <c r="E6313" s="221"/>
      <c r="F6313" s="221"/>
      <c r="G6313" s="221"/>
      <c r="H6313" s="221"/>
      <c r="I6313" s="221"/>
      <c r="J6313" s="221"/>
      <c r="K6313" s="221"/>
      <c r="L6313" s="221"/>
      <c r="M6313" s="221"/>
    </row>
    <row r="6314" spans="5:13">
      <c r="E6314" s="221"/>
      <c r="F6314" s="221"/>
      <c r="G6314" s="221"/>
      <c r="H6314" s="221"/>
      <c r="I6314" s="221"/>
      <c r="J6314" s="221"/>
      <c r="K6314" s="221"/>
      <c r="L6314" s="221"/>
      <c r="M6314" s="221"/>
    </row>
    <row r="6315" spans="5:13">
      <c r="E6315" s="221"/>
      <c r="F6315" s="221"/>
      <c r="G6315" s="221"/>
      <c r="H6315" s="221"/>
      <c r="I6315" s="221"/>
      <c r="J6315" s="221"/>
      <c r="K6315" s="221"/>
      <c r="L6315" s="221"/>
      <c r="M6315" s="221"/>
    </row>
    <row r="6316" spans="5:13">
      <c r="E6316" s="221"/>
      <c r="F6316" s="221"/>
      <c r="G6316" s="221"/>
      <c r="H6316" s="221"/>
      <c r="I6316" s="221"/>
      <c r="J6316" s="221"/>
      <c r="K6316" s="221"/>
      <c r="L6316" s="221"/>
      <c r="M6316" s="221"/>
    </row>
    <row r="6317" spans="5:13">
      <c r="E6317" s="221"/>
      <c r="F6317" s="221"/>
      <c r="G6317" s="221"/>
      <c r="H6317" s="221"/>
      <c r="I6317" s="221"/>
      <c r="J6317" s="221"/>
      <c r="K6317" s="221"/>
      <c r="L6317" s="221"/>
      <c r="M6317" s="221"/>
    </row>
    <row r="6318" spans="5:13">
      <c r="E6318" s="221"/>
      <c r="F6318" s="221"/>
      <c r="G6318" s="221"/>
      <c r="H6318" s="221"/>
      <c r="I6318" s="221"/>
      <c r="J6318" s="221"/>
      <c r="K6318" s="221"/>
      <c r="L6318" s="221"/>
      <c r="M6318" s="221"/>
    </row>
    <row r="6319" spans="5:13">
      <c r="E6319" s="221"/>
      <c r="F6319" s="221"/>
      <c r="G6319" s="221"/>
      <c r="H6319" s="221"/>
      <c r="I6319" s="221"/>
      <c r="J6319" s="221"/>
      <c r="K6319" s="221"/>
      <c r="L6319" s="221"/>
      <c r="M6319" s="221"/>
    </row>
    <row r="6320" spans="5:13">
      <c r="E6320" s="221"/>
      <c r="F6320" s="221"/>
      <c r="G6320" s="221"/>
      <c r="H6320" s="221"/>
      <c r="I6320" s="221"/>
      <c r="J6320" s="221"/>
      <c r="K6320" s="221"/>
      <c r="L6320" s="221"/>
      <c r="M6320" s="221"/>
    </row>
    <row r="6321" spans="5:13">
      <c r="E6321" s="221"/>
      <c r="F6321" s="221"/>
      <c r="G6321" s="221"/>
      <c r="H6321" s="221"/>
      <c r="I6321" s="221"/>
      <c r="J6321" s="221"/>
      <c r="K6321" s="221"/>
      <c r="L6321" s="221"/>
      <c r="M6321" s="221"/>
    </row>
    <row r="6322" spans="5:13">
      <c r="E6322" s="221"/>
      <c r="F6322" s="221"/>
      <c r="G6322" s="221"/>
      <c r="H6322" s="221"/>
      <c r="I6322" s="221"/>
      <c r="J6322" s="221"/>
      <c r="K6322" s="221"/>
      <c r="L6322" s="221"/>
      <c r="M6322" s="221"/>
    </row>
    <row r="6323" spans="5:13">
      <c r="E6323" s="221"/>
      <c r="F6323" s="221"/>
      <c r="G6323" s="221"/>
      <c r="H6323" s="221"/>
      <c r="I6323" s="221"/>
      <c r="J6323" s="221"/>
      <c r="K6323" s="221"/>
      <c r="L6323" s="221"/>
      <c r="M6323" s="221"/>
    </row>
    <row r="6324" spans="5:13">
      <c r="E6324" s="221"/>
      <c r="F6324" s="221"/>
      <c r="G6324" s="221"/>
      <c r="H6324" s="221"/>
      <c r="I6324" s="221"/>
      <c r="J6324" s="221"/>
      <c r="K6324" s="221"/>
      <c r="L6324" s="221"/>
      <c r="M6324" s="221"/>
    </row>
    <row r="6325" spans="5:13">
      <c r="E6325" s="221"/>
      <c r="F6325" s="221"/>
      <c r="G6325" s="221"/>
      <c r="H6325" s="221"/>
      <c r="I6325" s="221"/>
      <c r="J6325" s="221"/>
      <c r="K6325" s="221"/>
      <c r="L6325" s="221"/>
      <c r="M6325" s="221"/>
    </row>
    <row r="6326" spans="5:13">
      <c r="E6326" s="221"/>
      <c r="F6326" s="221"/>
      <c r="G6326" s="221"/>
      <c r="H6326" s="221"/>
      <c r="I6326" s="221"/>
      <c r="J6326" s="221"/>
      <c r="K6326" s="221"/>
      <c r="L6326" s="221"/>
      <c r="M6326" s="221"/>
    </row>
    <row r="6327" spans="5:13">
      <c r="E6327" s="221"/>
      <c r="F6327" s="221"/>
      <c r="G6327" s="221"/>
      <c r="H6327" s="221"/>
      <c r="I6327" s="221"/>
      <c r="J6327" s="221"/>
      <c r="K6327" s="221"/>
      <c r="L6327" s="221"/>
      <c r="M6327" s="221"/>
    </row>
    <row r="6328" spans="5:13">
      <c r="E6328" s="221"/>
      <c r="F6328" s="221"/>
      <c r="G6328" s="221"/>
      <c r="H6328" s="221"/>
      <c r="I6328" s="221"/>
      <c r="J6328" s="221"/>
      <c r="K6328" s="221"/>
      <c r="L6328" s="221"/>
      <c r="M6328" s="221"/>
    </row>
    <row r="6329" spans="5:13">
      <c r="E6329" s="221"/>
      <c r="F6329" s="221"/>
      <c r="G6329" s="221"/>
      <c r="H6329" s="221"/>
      <c r="I6329" s="221"/>
      <c r="J6329" s="221"/>
      <c r="K6329" s="221"/>
      <c r="L6329" s="221"/>
      <c r="M6329" s="221"/>
    </row>
    <row r="6330" spans="5:13">
      <c r="E6330" s="221"/>
      <c r="F6330" s="221"/>
      <c r="G6330" s="221"/>
      <c r="H6330" s="221"/>
      <c r="I6330" s="221"/>
      <c r="J6330" s="221"/>
      <c r="K6330" s="221"/>
      <c r="L6330" s="221"/>
      <c r="M6330" s="221"/>
    </row>
    <row r="6331" spans="5:13">
      <c r="E6331" s="221"/>
      <c r="F6331" s="221"/>
      <c r="G6331" s="221"/>
      <c r="H6331" s="221"/>
      <c r="I6331" s="221"/>
      <c r="J6331" s="221"/>
      <c r="K6331" s="221"/>
      <c r="L6331" s="221"/>
      <c r="M6331" s="221"/>
    </row>
    <row r="6332" spans="5:13">
      <c r="E6332" s="221"/>
      <c r="F6332" s="221"/>
      <c r="G6332" s="221"/>
      <c r="H6332" s="221"/>
      <c r="I6332" s="221"/>
      <c r="J6332" s="221"/>
      <c r="K6332" s="221"/>
      <c r="L6332" s="221"/>
      <c r="M6332" s="221"/>
    </row>
    <row r="6333" spans="5:13">
      <c r="E6333" s="221"/>
      <c r="F6333" s="221"/>
      <c r="G6333" s="221"/>
      <c r="H6333" s="221"/>
      <c r="I6333" s="221"/>
      <c r="J6333" s="221"/>
      <c r="K6333" s="221"/>
      <c r="L6333" s="221"/>
      <c r="M6333" s="221"/>
    </row>
    <row r="6334" spans="5:13">
      <c r="E6334" s="221"/>
      <c r="F6334" s="221"/>
      <c r="G6334" s="221"/>
      <c r="H6334" s="221"/>
      <c r="I6334" s="221"/>
      <c r="J6334" s="221"/>
      <c r="K6334" s="221"/>
      <c r="L6334" s="221"/>
      <c r="M6334" s="221"/>
    </row>
    <row r="6335" spans="5:13">
      <c r="E6335" s="221"/>
      <c r="F6335" s="221"/>
      <c r="G6335" s="221"/>
      <c r="H6335" s="221"/>
      <c r="I6335" s="221"/>
      <c r="J6335" s="221"/>
      <c r="K6335" s="221"/>
      <c r="L6335" s="221"/>
      <c r="M6335" s="221"/>
    </row>
    <row r="6336" spans="5:13">
      <c r="E6336" s="221"/>
      <c r="F6336" s="221"/>
      <c r="G6336" s="221"/>
      <c r="H6336" s="221"/>
      <c r="I6336" s="221"/>
      <c r="J6336" s="221"/>
      <c r="K6336" s="221"/>
      <c r="L6336" s="221"/>
      <c r="M6336" s="221"/>
    </row>
    <row r="6337" spans="5:13">
      <c r="E6337" s="221"/>
      <c r="F6337" s="221"/>
      <c r="G6337" s="221"/>
      <c r="H6337" s="221"/>
      <c r="I6337" s="221"/>
      <c r="J6337" s="221"/>
      <c r="K6337" s="221"/>
      <c r="L6337" s="221"/>
      <c r="M6337" s="221"/>
    </row>
    <row r="6338" spans="5:13">
      <c r="E6338" s="221"/>
      <c r="F6338" s="221"/>
      <c r="G6338" s="221"/>
      <c r="H6338" s="221"/>
      <c r="I6338" s="221"/>
      <c r="J6338" s="221"/>
      <c r="K6338" s="221"/>
      <c r="L6338" s="221"/>
      <c r="M6338" s="221"/>
    </row>
    <row r="6339" spans="5:13">
      <c r="E6339" s="221"/>
      <c r="F6339" s="221"/>
      <c r="G6339" s="221"/>
      <c r="H6339" s="221"/>
      <c r="I6339" s="221"/>
      <c r="J6339" s="221"/>
      <c r="K6339" s="221"/>
      <c r="L6339" s="221"/>
      <c r="M6339" s="221"/>
    </row>
    <row r="6340" spans="5:13">
      <c r="E6340" s="221"/>
      <c r="F6340" s="221"/>
      <c r="G6340" s="221"/>
      <c r="H6340" s="221"/>
      <c r="I6340" s="221"/>
      <c r="J6340" s="221"/>
      <c r="K6340" s="221"/>
      <c r="L6340" s="221"/>
      <c r="M6340" s="221"/>
    </row>
    <row r="6341" spans="5:13">
      <c r="E6341" s="221"/>
      <c r="F6341" s="221"/>
      <c r="G6341" s="221"/>
      <c r="H6341" s="221"/>
      <c r="I6341" s="221"/>
      <c r="J6341" s="221"/>
      <c r="K6341" s="221"/>
      <c r="L6341" s="221"/>
      <c r="M6341" s="221"/>
    </row>
    <row r="6342" spans="5:13">
      <c r="E6342" s="221"/>
      <c r="F6342" s="221"/>
      <c r="G6342" s="221"/>
      <c r="H6342" s="221"/>
      <c r="I6342" s="221"/>
      <c r="J6342" s="221"/>
      <c r="K6342" s="221"/>
      <c r="L6342" s="221"/>
      <c r="M6342" s="221"/>
    </row>
    <row r="6343" spans="5:13">
      <c r="E6343" s="221"/>
      <c r="F6343" s="221"/>
      <c r="G6343" s="221"/>
      <c r="H6343" s="221"/>
      <c r="I6343" s="221"/>
      <c r="J6343" s="221"/>
      <c r="K6343" s="221"/>
      <c r="L6343" s="221"/>
      <c r="M6343" s="221"/>
    </row>
    <row r="6344" spans="5:13">
      <c r="E6344" s="221"/>
      <c r="F6344" s="221"/>
      <c r="G6344" s="221"/>
      <c r="H6344" s="221"/>
      <c r="I6344" s="221"/>
      <c r="J6344" s="221"/>
      <c r="K6344" s="221"/>
      <c r="L6344" s="221"/>
      <c r="M6344" s="221"/>
    </row>
    <row r="6345" spans="5:13">
      <c r="E6345" s="221"/>
      <c r="F6345" s="221"/>
      <c r="G6345" s="221"/>
      <c r="H6345" s="221"/>
      <c r="I6345" s="221"/>
      <c r="J6345" s="221"/>
      <c r="K6345" s="221"/>
      <c r="L6345" s="221"/>
      <c r="M6345" s="221"/>
    </row>
    <row r="6346" spans="5:13">
      <c r="E6346" s="221"/>
      <c r="F6346" s="221"/>
      <c r="G6346" s="221"/>
      <c r="H6346" s="221"/>
      <c r="I6346" s="221"/>
      <c r="J6346" s="221"/>
      <c r="K6346" s="221"/>
      <c r="L6346" s="221"/>
      <c r="M6346" s="221"/>
    </row>
    <row r="6347" spans="5:13">
      <c r="E6347" s="221"/>
      <c r="F6347" s="221"/>
      <c r="G6347" s="221"/>
      <c r="H6347" s="221"/>
      <c r="I6347" s="221"/>
      <c r="J6347" s="221"/>
      <c r="K6347" s="221"/>
      <c r="L6347" s="221"/>
      <c r="M6347" s="221"/>
    </row>
    <row r="6348" spans="5:13">
      <c r="E6348" s="221"/>
      <c r="F6348" s="221"/>
      <c r="G6348" s="221"/>
      <c r="H6348" s="221"/>
      <c r="I6348" s="221"/>
      <c r="J6348" s="221"/>
      <c r="K6348" s="221"/>
      <c r="L6348" s="221"/>
      <c r="M6348" s="221"/>
    </row>
    <row r="6349" spans="5:13">
      <c r="E6349" s="221"/>
      <c r="F6349" s="221"/>
      <c r="G6349" s="221"/>
      <c r="H6349" s="221"/>
      <c r="I6349" s="221"/>
      <c r="J6349" s="221"/>
      <c r="K6349" s="221"/>
      <c r="L6349" s="221"/>
      <c r="M6349" s="221"/>
    </row>
    <row r="6350" spans="5:13">
      <c r="E6350" s="221"/>
      <c r="F6350" s="221"/>
      <c r="G6350" s="221"/>
      <c r="H6350" s="221"/>
      <c r="I6350" s="221"/>
      <c r="J6350" s="221"/>
      <c r="K6350" s="221"/>
      <c r="L6350" s="221"/>
      <c r="M6350" s="221"/>
    </row>
    <row r="6351" spans="5:13">
      <c r="E6351" s="221"/>
      <c r="F6351" s="221"/>
      <c r="G6351" s="221"/>
      <c r="H6351" s="221"/>
      <c r="I6351" s="221"/>
      <c r="J6351" s="221"/>
      <c r="K6351" s="221"/>
      <c r="L6351" s="221"/>
      <c r="M6351" s="221"/>
    </row>
    <row r="6352" spans="5:13">
      <c r="E6352" s="221"/>
      <c r="F6352" s="221"/>
      <c r="G6352" s="221"/>
      <c r="H6352" s="221"/>
      <c r="I6352" s="221"/>
      <c r="J6352" s="221"/>
      <c r="K6352" s="221"/>
      <c r="L6352" s="221"/>
      <c r="M6352" s="221"/>
    </row>
    <row r="6353" spans="5:13">
      <c r="E6353" s="221"/>
      <c r="F6353" s="221"/>
      <c r="G6353" s="221"/>
      <c r="H6353" s="221"/>
      <c r="I6353" s="221"/>
      <c r="J6353" s="221"/>
      <c r="K6353" s="221"/>
      <c r="L6353" s="221"/>
      <c r="M6353" s="221"/>
    </row>
    <row r="6354" spans="5:13">
      <c r="E6354" s="221"/>
      <c r="F6354" s="221"/>
      <c r="G6354" s="221"/>
      <c r="H6354" s="221"/>
      <c r="I6354" s="221"/>
      <c r="J6354" s="221"/>
      <c r="K6354" s="221"/>
      <c r="L6354" s="221"/>
      <c r="M6354" s="221"/>
    </row>
    <row r="6355" spans="5:13">
      <c r="E6355" s="221"/>
      <c r="F6355" s="221"/>
      <c r="G6355" s="221"/>
      <c r="H6355" s="221"/>
      <c r="I6355" s="221"/>
      <c r="J6355" s="221"/>
      <c r="K6355" s="221"/>
      <c r="L6355" s="221"/>
      <c r="M6355" s="221"/>
    </row>
    <row r="6356" spans="5:13">
      <c r="E6356" s="221"/>
      <c r="F6356" s="221"/>
      <c r="G6356" s="221"/>
      <c r="H6356" s="221"/>
      <c r="I6356" s="221"/>
      <c r="J6356" s="221"/>
      <c r="K6356" s="221"/>
      <c r="L6356" s="221"/>
      <c r="M6356" s="221"/>
    </row>
    <row r="6357" spans="5:13">
      <c r="E6357" s="221"/>
      <c r="F6357" s="221"/>
      <c r="G6357" s="221"/>
      <c r="H6357" s="221"/>
      <c r="I6357" s="221"/>
      <c r="J6357" s="221"/>
      <c r="K6357" s="221"/>
      <c r="L6357" s="221"/>
      <c r="M6357" s="221"/>
    </row>
    <row r="6358" spans="5:13">
      <c r="E6358" s="221"/>
      <c r="F6358" s="221"/>
      <c r="G6358" s="221"/>
      <c r="H6358" s="221"/>
      <c r="I6358" s="221"/>
      <c r="J6358" s="221"/>
      <c r="K6358" s="221"/>
      <c r="L6358" s="221"/>
      <c r="M6358" s="221"/>
    </row>
    <row r="6359" spans="5:13">
      <c r="E6359" s="221"/>
      <c r="F6359" s="221"/>
      <c r="G6359" s="221"/>
      <c r="H6359" s="221"/>
      <c r="I6359" s="221"/>
      <c r="J6359" s="221"/>
      <c r="K6359" s="221"/>
      <c r="L6359" s="221"/>
      <c r="M6359" s="221"/>
    </row>
    <row r="6360" spans="5:13">
      <c r="E6360" s="221"/>
      <c r="F6360" s="221"/>
      <c r="G6360" s="221"/>
      <c r="H6360" s="221"/>
      <c r="I6360" s="221"/>
      <c r="J6360" s="221"/>
      <c r="K6360" s="221"/>
      <c r="L6360" s="221"/>
      <c r="M6360" s="221"/>
    </row>
    <row r="6361" spans="5:13">
      <c r="E6361" s="221"/>
      <c r="F6361" s="221"/>
      <c r="G6361" s="221"/>
      <c r="H6361" s="221"/>
      <c r="I6361" s="221"/>
      <c r="J6361" s="221"/>
      <c r="K6361" s="221"/>
      <c r="L6361" s="221"/>
      <c r="M6361" s="221"/>
    </row>
    <row r="6362" spans="5:13">
      <c r="E6362" s="221"/>
      <c r="F6362" s="221"/>
      <c r="G6362" s="221"/>
      <c r="H6362" s="221"/>
      <c r="I6362" s="221"/>
      <c r="J6362" s="221"/>
      <c r="K6362" s="221"/>
      <c r="L6362" s="221"/>
      <c r="M6362" s="221"/>
    </row>
    <row r="6363" spans="5:13">
      <c r="E6363" s="221"/>
      <c r="F6363" s="221"/>
      <c r="G6363" s="221"/>
      <c r="H6363" s="221"/>
      <c r="I6363" s="221"/>
      <c r="J6363" s="221"/>
      <c r="K6363" s="221"/>
      <c r="L6363" s="221"/>
      <c r="M6363" s="221"/>
    </row>
    <row r="6364" spans="5:13">
      <c r="E6364" s="221"/>
      <c r="F6364" s="221"/>
      <c r="G6364" s="221"/>
      <c r="H6364" s="221"/>
      <c r="I6364" s="221"/>
      <c r="J6364" s="221"/>
      <c r="K6364" s="221"/>
      <c r="L6364" s="221"/>
      <c r="M6364" s="221"/>
    </row>
    <row r="6365" spans="5:13">
      <c r="E6365" s="221"/>
      <c r="F6365" s="221"/>
      <c r="G6365" s="221"/>
      <c r="H6365" s="221"/>
      <c r="I6365" s="221"/>
      <c r="J6365" s="221"/>
      <c r="K6365" s="221"/>
      <c r="L6365" s="221"/>
      <c r="M6365" s="221"/>
    </row>
    <row r="6366" spans="5:13">
      <c r="E6366" s="221"/>
      <c r="F6366" s="221"/>
      <c r="G6366" s="221"/>
      <c r="H6366" s="221"/>
      <c r="I6366" s="221"/>
      <c r="J6366" s="221"/>
      <c r="K6366" s="221"/>
      <c r="L6366" s="221"/>
      <c r="M6366" s="221"/>
    </row>
    <row r="6367" spans="5:13">
      <c r="E6367" s="221"/>
      <c r="F6367" s="221"/>
      <c r="G6367" s="221"/>
      <c r="H6367" s="221"/>
      <c r="I6367" s="221"/>
      <c r="J6367" s="221"/>
      <c r="K6367" s="221"/>
      <c r="L6367" s="221"/>
      <c r="M6367" s="221"/>
    </row>
    <row r="6368" spans="5:13">
      <c r="E6368" s="221"/>
      <c r="F6368" s="221"/>
      <c r="G6368" s="221"/>
      <c r="H6368" s="221"/>
      <c r="I6368" s="221"/>
      <c r="J6368" s="221"/>
      <c r="K6368" s="221"/>
      <c r="L6368" s="221"/>
      <c r="M6368" s="221"/>
    </row>
    <row r="6369" spans="5:13">
      <c r="E6369" s="221"/>
      <c r="F6369" s="221"/>
      <c r="G6369" s="221"/>
      <c r="H6369" s="221"/>
      <c r="I6369" s="221"/>
      <c r="J6369" s="221"/>
      <c r="K6369" s="221"/>
      <c r="L6369" s="221"/>
      <c r="M6369" s="221"/>
    </row>
    <row r="6370" spans="5:13">
      <c r="E6370" s="221"/>
      <c r="F6370" s="221"/>
      <c r="G6370" s="221"/>
      <c r="H6370" s="221"/>
      <c r="I6370" s="221"/>
      <c r="J6370" s="221"/>
      <c r="K6370" s="221"/>
      <c r="L6370" s="221"/>
      <c r="M6370" s="221"/>
    </row>
    <row r="6371" spans="5:13">
      <c r="E6371" s="221"/>
      <c r="F6371" s="221"/>
      <c r="G6371" s="221"/>
      <c r="H6371" s="221"/>
      <c r="I6371" s="221"/>
      <c r="J6371" s="221"/>
      <c r="K6371" s="221"/>
      <c r="L6371" s="221"/>
      <c r="M6371" s="221"/>
    </row>
    <row r="6372" spans="5:13">
      <c r="E6372" s="221"/>
      <c r="F6372" s="221"/>
      <c r="G6372" s="221"/>
      <c r="H6372" s="221"/>
      <c r="I6372" s="221"/>
      <c r="J6372" s="221"/>
      <c r="K6372" s="221"/>
      <c r="L6372" s="221"/>
      <c r="M6372" s="221"/>
    </row>
    <row r="6373" spans="5:13">
      <c r="E6373" s="221"/>
      <c r="F6373" s="221"/>
      <c r="G6373" s="221"/>
      <c r="H6373" s="221"/>
      <c r="I6373" s="221"/>
      <c r="J6373" s="221"/>
      <c r="K6373" s="221"/>
      <c r="L6373" s="221"/>
      <c r="M6373" s="221"/>
    </row>
    <row r="6374" spans="5:13">
      <c r="E6374" s="221"/>
      <c r="F6374" s="221"/>
      <c r="G6374" s="221"/>
      <c r="H6374" s="221"/>
      <c r="I6374" s="221"/>
      <c r="J6374" s="221"/>
      <c r="K6374" s="221"/>
      <c r="L6374" s="221"/>
      <c r="M6374" s="221"/>
    </row>
    <row r="6375" spans="5:13">
      <c r="E6375" s="221"/>
      <c r="F6375" s="221"/>
      <c r="G6375" s="221"/>
      <c r="H6375" s="221"/>
      <c r="I6375" s="221"/>
      <c r="J6375" s="221"/>
      <c r="K6375" s="221"/>
      <c r="L6375" s="221"/>
      <c r="M6375" s="221"/>
    </row>
    <row r="6376" spans="5:13">
      <c r="E6376" s="221"/>
      <c r="F6376" s="221"/>
      <c r="G6376" s="221"/>
      <c r="H6376" s="221"/>
      <c r="I6376" s="221"/>
      <c r="J6376" s="221"/>
      <c r="K6376" s="221"/>
      <c r="L6376" s="221"/>
      <c r="M6376" s="221"/>
    </row>
    <row r="6377" spans="5:13">
      <c r="E6377" s="221"/>
      <c r="F6377" s="221"/>
      <c r="G6377" s="221"/>
      <c r="H6377" s="221"/>
      <c r="I6377" s="221"/>
      <c r="J6377" s="221"/>
      <c r="K6377" s="221"/>
      <c r="L6377" s="221"/>
      <c r="M6377" s="221"/>
    </row>
    <row r="6378" spans="5:13">
      <c r="E6378" s="221"/>
      <c r="F6378" s="221"/>
      <c r="G6378" s="221"/>
      <c r="H6378" s="221"/>
      <c r="I6378" s="221"/>
      <c r="J6378" s="221"/>
      <c r="K6378" s="221"/>
      <c r="L6378" s="221"/>
      <c r="M6378" s="221"/>
    </row>
    <row r="6379" spans="5:13">
      <c r="E6379" s="221"/>
      <c r="F6379" s="221"/>
      <c r="G6379" s="221"/>
      <c r="H6379" s="221"/>
      <c r="I6379" s="221"/>
      <c r="J6379" s="221"/>
      <c r="K6379" s="221"/>
      <c r="L6379" s="221"/>
      <c r="M6379" s="221"/>
    </row>
    <row r="6380" spans="5:13">
      <c r="E6380" s="221"/>
      <c r="F6380" s="221"/>
      <c r="G6380" s="221"/>
      <c r="H6380" s="221"/>
      <c r="I6380" s="221"/>
      <c r="J6380" s="221"/>
      <c r="K6380" s="221"/>
      <c r="L6380" s="221"/>
      <c r="M6380" s="221"/>
    </row>
    <row r="6381" spans="5:13">
      <c r="E6381" s="221"/>
      <c r="F6381" s="221"/>
      <c r="G6381" s="221"/>
      <c r="H6381" s="221"/>
      <c r="I6381" s="221"/>
      <c r="J6381" s="221"/>
      <c r="K6381" s="221"/>
      <c r="L6381" s="221"/>
      <c r="M6381" s="221"/>
    </row>
    <row r="6382" spans="5:13">
      <c r="E6382" s="221"/>
      <c r="F6382" s="221"/>
      <c r="G6382" s="221"/>
      <c r="H6382" s="221"/>
      <c r="I6382" s="221"/>
      <c r="J6382" s="221"/>
      <c r="K6382" s="221"/>
      <c r="L6382" s="221"/>
      <c r="M6382" s="221"/>
    </row>
    <row r="6383" spans="5:13">
      <c r="E6383" s="221"/>
      <c r="F6383" s="221"/>
      <c r="G6383" s="221"/>
      <c r="H6383" s="221"/>
      <c r="I6383" s="221"/>
      <c r="J6383" s="221"/>
      <c r="K6383" s="221"/>
      <c r="L6383" s="221"/>
      <c r="M6383" s="221"/>
    </row>
    <row r="6384" spans="5:13">
      <c r="E6384" s="221"/>
      <c r="F6384" s="221"/>
      <c r="G6384" s="221"/>
      <c r="H6384" s="221"/>
      <c r="I6384" s="221"/>
      <c r="J6384" s="221"/>
      <c r="K6384" s="221"/>
      <c r="L6384" s="221"/>
      <c r="M6384" s="221"/>
    </row>
    <row r="6385" spans="5:13">
      <c r="E6385" s="221"/>
      <c r="F6385" s="221"/>
      <c r="G6385" s="221"/>
      <c r="H6385" s="221"/>
      <c r="I6385" s="221"/>
      <c r="J6385" s="221"/>
      <c r="K6385" s="221"/>
      <c r="L6385" s="221"/>
      <c r="M6385" s="221"/>
    </row>
    <row r="6386" spans="5:13">
      <c r="E6386" s="221"/>
      <c r="F6386" s="221"/>
      <c r="G6386" s="221"/>
      <c r="H6386" s="221"/>
      <c r="I6386" s="221"/>
      <c r="J6386" s="221"/>
      <c r="K6386" s="221"/>
      <c r="L6386" s="221"/>
      <c r="M6386" s="221"/>
    </row>
    <row r="6387" spans="5:13">
      <c r="E6387" s="221"/>
      <c r="F6387" s="221"/>
      <c r="G6387" s="221"/>
      <c r="H6387" s="221"/>
      <c r="I6387" s="221"/>
      <c r="J6387" s="221"/>
      <c r="K6387" s="221"/>
      <c r="L6387" s="221"/>
      <c r="M6387" s="221"/>
    </row>
    <row r="6388" spans="5:13">
      <c r="E6388" s="221"/>
      <c r="F6388" s="221"/>
      <c r="G6388" s="221"/>
      <c r="H6388" s="221"/>
      <c r="I6388" s="221"/>
      <c r="J6388" s="221"/>
      <c r="K6388" s="221"/>
      <c r="L6388" s="221"/>
      <c r="M6388" s="221"/>
    </row>
    <row r="6389" spans="5:13">
      <c r="E6389" s="221"/>
      <c r="F6389" s="221"/>
      <c r="G6389" s="221"/>
      <c r="H6389" s="221"/>
      <c r="I6389" s="221"/>
      <c r="J6389" s="221"/>
      <c r="K6389" s="221"/>
      <c r="L6389" s="221"/>
      <c r="M6389" s="221"/>
    </row>
    <row r="6390" spans="5:13">
      <c r="E6390" s="221"/>
      <c r="F6390" s="221"/>
      <c r="G6390" s="221"/>
      <c r="H6390" s="221"/>
      <c r="I6390" s="221"/>
      <c r="J6390" s="221"/>
      <c r="K6390" s="221"/>
      <c r="L6390" s="221"/>
      <c r="M6390" s="221"/>
    </row>
    <row r="6391" spans="5:13">
      <c r="E6391" s="221"/>
      <c r="F6391" s="221"/>
      <c r="G6391" s="221"/>
      <c r="H6391" s="221"/>
      <c r="I6391" s="221"/>
      <c r="J6391" s="221"/>
      <c r="K6391" s="221"/>
      <c r="L6391" s="221"/>
      <c r="M6391" s="221"/>
    </row>
    <row r="6392" spans="5:13">
      <c r="E6392" s="221"/>
      <c r="F6392" s="221"/>
      <c r="G6392" s="221"/>
      <c r="H6392" s="221"/>
      <c r="I6392" s="221"/>
      <c r="J6392" s="221"/>
      <c r="K6392" s="221"/>
      <c r="L6392" s="221"/>
      <c r="M6392" s="221"/>
    </row>
    <row r="6393" spans="5:13">
      <c r="E6393" s="221"/>
      <c r="F6393" s="221"/>
      <c r="G6393" s="221"/>
      <c r="H6393" s="221"/>
      <c r="I6393" s="221"/>
      <c r="J6393" s="221"/>
      <c r="K6393" s="221"/>
      <c r="L6393" s="221"/>
      <c r="M6393" s="221"/>
    </row>
    <row r="6394" spans="5:13">
      <c r="E6394" s="221"/>
      <c r="F6394" s="221"/>
      <c r="G6394" s="221"/>
      <c r="H6394" s="221"/>
      <c r="I6394" s="221"/>
      <c r="J6394" s="221"/>
      <c r="K6394" s="221"/>
      <c r="L6394" s="221"/>
      <c r="M6394" s="221"/>
    </row>
    <row r="6395" spans="5:13">
      <c r="E6395" s="221"/>
      <c r="F6395" s="221"/>
      <c r="G6395" s="221"/>
      <c r="H6395" s="221"/>
      <c r="I6395" s="221"/>
      <c r="J6395" s="221"/>
      <c r="K6395" s="221"/>
      <c r="L6395" s="221"/>
      <c r="M6395" s="221"/>
    </row>
    <row r="6396" spans="5:13">
      <c r="E6396" s="221"/>
      <c r="F6396" s="221"/>
      <c r="G6396" s="221"/>
      <c r="H6396" s="221"/>
      <c r="I6396" s="221"/>
      <c r="J6396" s="221"/>
      <c r="K6396" s="221"/>
      <c r="L6396" s="221"/>
      <c r="M6396" s="221"/>
    </row>
    <row r="6397" spans="5:13">
      <c r="E6397" s="221"/>
      <c r="F6397" s="221"/>
      <c r="G6397" s="221"/>
      <c r="H6397" s="221"/>
      <c r="I6397" s="221"/>
      <c r="J6397" s="221"/>
      <c r="K6397" s="221"/>
      <c r="L6397" s="221"/>
      <c r="M6397" s="221"/>
    </row>
    <row r="6398" spans="5:13">
      <c r="E6398" s="221"/>
      <c r="F6398" s="221"/>
      <c r="G6398" s="221"/>
      <c r="H6398" s="221"/>
      <c r="I6398" s="221"/>
      <c r="J6398" s="221"/>
      <c r="K6398" s="221"/>
      <c r="L6398" s="221"/>
      <c r="M6398" s="221"/>
    </row>
    <row r="6399" spans="5:13">
      <c r="E6399" s="221"/>
      <c r="F6399" s="221"/>
      <c r="G6399" s="221"/>
      <c r="H6399" s="221"/>
      <c r="I6399" s="221"/>
      <c r="J6399" s="221"/>
      <c r="K6399" s="221"/>
      <c r="L6399" s="221"/>
      <c r="M6399" s="221"/>
    </row>
    <row r="6400" spans="5:13">
      <c r="E6400" s="221"/>
      <c r="F6400" s="221"/>
      <c r="G6400" s="221"/>
      <c r="H6400" s="221"/>
      <c r="I6400" s="221"/>
      <c r="J6400" s="221"/>
      <c r="K6400" s="221"/>
      <c r="L6400" s="221"/>
      <c r="M6400" s="221"/>
    </row>
    <row r="6401" spans="5:13">
      <c r="E6401" s="221"/>
      <c r="F6401" s="221"/>
      <c r="G6401" s="221"/>
      <c r="H6401" s="221"/>
      <c r="I6401" s="221"/>
      <c r="J6401" s="221"/>
      <c r="K6401" s="221"/>
      <c r="L6401" s="221"/>
      <c r="M6401" s="221"/>
    </row>
    <row r="6402" spans="5:13">
      <c r="E6402" s="221"/>
      <c r="F6402" s="221"/>
      <c r="G6402" s="221"/>
      <c r="H6402" s="221"/>
      <c r="I6402" s="221"/>
      <c r="J6402" s="221"/>
      <c r="K6402" s="221"/>
      <c r="L6402" s="221"/>
      <c r="M6402" s="221"/>
    </row>
    <row r="6403" spans="5:13">
      <c r="E6403" s="221"/>
      <c r="F6403" s="221"/>
      <c r="G6403" s="221"/>
      <c r="H6403" s="221"/>
      <c r="I6403" s="221"/>
      <c r="J6403" s="221"/>
      <c r="K6403" s="221"/>
      <c r="L6403" s="221"/>
      <c r="M6403" s="221"/>
    </row>
    <row r="6404" spans="5:13">
      <c r="E6404" s="221"/>
      <c r="F6404" s="221"/>
      <c r="G6404" s="221"/>
      <c r="H6404" s="221"/>
      <c r="I6404" s="221"/>
      <c r="J6404" s="221"/>
      <c r="K6404" s="221"/>
      <c r="L6404" s="221"/>
      <c r="M6404" s="221"/>
    </row>
    <row r="6405" spans="5:13">
      <c r="E6405" s="221"/>
      <c r="F6405" s="221"/>
      <c r="G6405" s="221"/>
      <c r="H6405" s="221"/>
      <c r="I6405" s="221"/>
      <c r="J6405" s="221"/>
      <c r="K6405" s="221"/>
      <c r="L6405" s="221"/>
      <c r="M6405" s="221"/>
    </row>
    <row r="6406" spans="5:13">
      <c r="E6406" s="221"/>
      <c r="F6406" s="221"/>
      <c r="G6406" s="221"/>
      <c r="H6406" s="221"/>
      <c r="I6406" s="221"/>
      <c r="J6406" s="221"/>
      <c r="K6406" s="221"/>
      <c r="L6406" s="221"/>
      <c r="M6406" s="221"/>
    </row>
    <row r="6407" spans="5:13">
      <c r="E6407" s="221"/>
      <c r="F6407" s="221"/>
      <c r="G6407" s="221"/>
      <c r="H6407" s="221"/>
      <c r="I6407" s="221"/>
      <c r="J6407" s="221"/>
      <c r="K6407" s="221"/>
      <c r="L6407" s="221"/>
      <c r="M6407" s="221"/>
    </row>
    <row r="6408" spans="5:13">
      <c r="E6408" s="221"/>
      <c r="F6408" s="221"/>
      <c r="G6408" s="221"/>
      <c r="H6408" s="221"/>
      <c r="I6408" s="221"/>
      <c r="J6408" s="221"/>
      <c r="K6408" s="221"/>
      <c r="L6408" s="221"/>
      <c r="M6408" s="221"/>
    </row>
    <row r="6409" spans="5:13">
      <c r="E6409" s="221"/>
      <c r="F6409" s="221"/>
      <c r="G6409" s="221"/>
      <c r="H6409" s="221"/>
      <c r="I6409" s="221"/>
      <c r="J6409" s="221"/>
      <c r="K6409" s="221"/>
      <c r="L6409" s="221"/>
      <c r="M6409" s="221"/>
    </row>
    <row r="6410" spans="5:13">
      <c r="E6410" s="221"/>
      <c r="F6410" s="221"/>
      <c r="G6410" s="221"/>
      <c r="H6410" s="221"/>
      <c r="I6410" s="221"/>
      <c r="J6410" s="221"/>
      <c r="K6410" s="221"/>
      <c r="L6410" s="221"/>
      <c r="M6410" s="221"/>
    </row>
    <row r="6411" spans="5:13">
      <c r="E6411" s="221"/>
      <c r="F6411" s="221"/>
      <c r="G6411" s="221"/>
      <c r="H6411" s="221"/>
      <c r="I6411" s="221"/>
      <c r="J6411" s="221"/>
      <c r="K6411" s="221"/>
      <c r="L6411" s="221"/>
      <c r="M6411" s="221"/>
    </row>
    <row r="6412" spans="5:13">
      <c r="E6412" s="221"/>
      <c r="F6412" s="221"/>
      <c r="G6412" s="221"/>
      <c r="H6412" s="221"/>
      <c r="I6412" s="221"/>
      <c r="J6412" s="221"/>
      <c r="K6412" s="221"/>
      <c r="L6412" s="221"/>
      <c r="M6412" s="221"/>
    </row>
    <row r="6413" spans="5:13">
      <c r="E6413" s="221"/>
      <c r="F6413" s="221"/>
      <c r="G6413" s="221"/>
      <c r="H6413" s="221"/>
      <c r="I6413" s="221"/>
      <c r="J6413" s="221"/>
      <c r="K6413" s="221"/>
      <c r="L6413" s="221"/>
      <c r="M6413" s="221"/>
    </row>
    <row r="6414" spans="5:13">
      <c r="E6414" s="221"/>
      <c r="F6414" s="221"/>
      <c r="G6414" s="221"/>
      <c r="H6414" s="221"/>
      <c r="I6414" s="221"/>
      <c r="J6414" s="221"/>
      <c r="K6414" s="221"/>
      <c r="L6414" s="221"/>
      <c r="M6414" s="221"/>
    </row>
    <row r="6415" spans="5:13">
      <c r="E6415" s="221"/>
      <c r="F6415" s="221"/>
      <c r="G6415" s="221"/>
      <c r="H6415" s="221"/>
      <c r="I6415" s="221"/>
      <c r="J6415" s="221"/>
      <c r="K6415" s="221"/>
      <c r="L6415" s="221"/>
      <c r="M6415" s="221"/>
    </row>
    <row r="6416" spans="5:13">
      <c r="E6416" s="221"/>
      <c r="F6416" s="221"/>
      <c r="G6416" s="221"/>
      <c r="H6416" s="221"/>
      <c r="I6416" s="221"/>
      <c r="J6416" s="221"/>
      <c r="K6416" s="221"/>
      <c r="L6416" s="221"/>
      <c r="M6416" s="221"/>
    </row>
    <row r="6417" spans="5:13">
      <c r="E6417" s="221"/>
      <c r="F6417" s="221"/>
      <c r="G6417" s="221"/>
      <c r="H6417" s="221"/>
      <c r="I6417" s="221"/>
      <c r="J6417" s="221"/>
      <c r="K6417" s="221"/>
      <c r="L6417" s="221"/>
      <c r="M6417" s="221"/>
    </row>
    <row r="6418" spans="5:13">
      <c r="E6418" s="221"/>
      <c r="F6418" s="221"/>
      <c r="G6418" s="221"/>
      <c r="H6418" s="221"/>
      <c r="I6418" s="221"/>
      <c r="J6418" s="221"/>
      <c r="K6418" s="221"/>
      <c r="L6418" s="221"/>
      <c r="M6418" s="221"/>
    </row>
    <row r="6419" spans="5:13">
      <c r="E6419" s="221"/>
      <c r="F6419" s="221"/>
      <c r="G6419" s="221"/>
      <c r="H6419" s="221"/>
      <c r="I6419" s="221"/>
      <c r="J6419" s="221"/>
      <c r="K6419" s="221"/>
      <c r="L6419" s="221"/>
      <c r="M6419" s="221"/>
    </row>
    <row r="6420" spans="5:13">
      <c r="E6420" s="221"/>
      <c r="F6420" s="221"/>
      <c r="G6420" s="221"/>
      <c r="H6420" s="221"/>
      <c r="I6420" s="221"/>
      <c r="J6420" s="221"/>
      <c r="K6420" s="221"/>
      <c r="L6420" s="221"/>
      <c r="M6420" s="221"/>
    </row>
    <row r="6421" spans="5:13">
      <c r="E6421" s="221"/>
      <c r="F6421" s="221"/>
      <c r="G6421" s="221"/>
      <c r="H6421" s="221"/>
      <c r="I6421" s="221"/>
      <c r="J6421" s="221"/>
      <c r="K6421" s="221"/>
      <c r="L6421" s="221"/>
      <c r="M6421" s="221"/>
    </row>
    <row r="6422" spans="5:13">
      <c r="E6422" s="221"/>
      <c r="F6422" s="221"/>
      <c r="G6422" s="221"/>
      <c r="H6422" s="221"/>
      <c r="I6422" s="221"/>
      <c r="J6422" s="221"/>
      <c r="K6422" s="221"/>
      <c r="L6422" s="221"/>
      <c r="M6422" s="221"/>
    </row>
    <row r="6423" spans="5:13">
      <c r="E6423" s="221"/>
      <c r="F6423" s="221"/>
      <c r="G6423" s="221"/>
      <c r="H6423" s="221"/>
      <c r="I6423" s="221"/>
      <c r="J6423" s="221"/>
      <c r="K6423" s="221"/>
      <c r="L6423" s="221"/>
      <c r="M6423" s="221"/>
    </row>
    <row r="6424" spans="5:13">
      <c r="E6424" s="221"/>
      <c r="F6424" s="221"/>
      <c r="G6424" s="221"/>
      <c r="H6424" s="221"/>
      <c r="I6424" s="221"/>
      <c r="J6424" s="221"/>
      <c r="K6424" s="221"/>
      <c r="L6424" s="221"/>
      <c r="M6424" s="221"/>
    </row>
    <row r="6425" spans="5:13">
      <c r="E6425" s="221"/>
      <c r="F6425" s="221"/>
      <c r="G6425" s="221"/>
      <c r="H6425" s="221"/>
      <c r="I6425" s="221"/>
      <c r="J6425" s="221"/>
      <c r="K6425" s="221"/>
      <c r="L6425" s="221"/>
      <c r="M6425" s="221"/>
    </row>
    <row r="6426" spans="5:13">
      <c r="E6426" s="221"/>
      <c r="F6426" s="221"/>
      <c r="G6426" s="221"/>
      <c r="H6426" s="221"/>
      <c r="I6426" s="221"/>
      <c r="J6426" s="221"/>
      <c r="K6426" s="221"/>
      <c r="L6426" s="221"/>
      <c r="M6426" s="221"/>
    </row>
    <row r="6427" spans="5:13">
      <c r="E6427" s="221"/>
      <c r="F6427" s="221"/>
      <c r="G6427" s="221"/>
      <c r="H6427" s="221"/>
      <c r="I6427" s="221"/>
      <c r="J6427" s="221"/>
      <c r="K6427" s="221"/>
      <c r="L6427" s="221"/>
      <c r="M6427" s="221"/>
    </row>
    <row r="6428" spans="5:13">
      <c r="E6428" s="221"/>
      <c r="F6428" s="221"/>
      <c r="G6428" s="221"/>
      <c r="H6428" s="221"/>
      <c r="I6428" s="221"/>
      <c r="J6428" s="221"/>
      <c r="K6428" s="221"/>
      <c r="L6428" s="221"/>
      <c r="M6428" s="221"/>
    </row>
    <row r="6429" spans="5:13">
      <c r="E6429" s="221"/>
      <c r="F6429" s="221"/>
      <c r="G6429" s="221"/>
      <c r="H6429" s="221"/>
      <c r="I6429" s="221"/>
      <c r="J6429" s="221"/>
      <c r="K6429" s="221"/>
      <c r="L6429" s="221"/>
      <c r="M6429" s="221"/>
    </row>
    <row r="6430" spans="5:13">
      <c r="E6430" s="221"/>
      <c r="F6430" s="221"/>
      <c r="G6430" s="221"/>
      <c r="H6430" s="221"/>
      <c r="I6430" s="221"/>
      <c r="J6430" s="221"/>
      <c r="K6430" s="221"/>
      <c r="L6430" s="221"/>
      <c r="M6430" s="221"/>
    </row>
    <row r="6431" spans="5:13">
      <c r="E6431" s="221"/>
      <c r="F6431" s="221"/>
      <c r="G6431" s="221"/>
      <c r="H6431" s="221"/>
      <c r="I6431" s="221"/>
      <c r="J6431" s="221"/>
      <c r="K6431" s="221"/>
      <c r="L6431" s="221"/>
      <c r="M6431" s="221"/>
    </row>
    <row r="6432" spans="5:13">
      <c r="E6432" s="221"/>
      <c r="F6432" s="221"/>
      <c r="G6432" s="221"/>
      <c r="H6432" s="221"/>
      <c r="I6432" s="221"/>
      <c r="J6432" s="221"/>
      <c r="K6432" s="221"/>
      <c r="L6432" s="221"/>
      <c r="M6432" s="221"/>
    </row>
    <row r="6433" spans="5:13">
      <c r="E6433" s="221"/>
      <c r="F6433" s="221"/>
      <c r="G6433" s="221"/>
      <c r="H6433" s="221"/>
      <c r="I6433" s="221"/>
      <c r="J6433" s="221"/>
      <c r="K6433" s="221"/>
      <c r="L6433" s="221"/>
      <c r="M6433" s="221"/>
    </row>
    <row r="6434" spans="5:13">
      <c r="E6434" s="221"/>
      <c r="F6434" s="221"/>
      <c r="G6434" s="221"/>
      <c r="H6434" s="221"/>
      <c r="I6434" s="221"/>
      <c r="J6434" s="221"/>
      <c r="K6434" s="221"/>
      <c r="L6434" s="221"/>
      <c r="M6434" s="221"/>
    </row>
    <row r="6435" spans="5:13">
      <c r="E6435" s="221"/>
      <c r="F6435" s="221"/>
      <c r="G6435" s="221"/>
      <c r="H6435" s="221"/>
      <c r="I6435" s="221"/>
      <c r="J6435" s="221"/>
      <c r="K6435" s="221"/>
      <c r="L6435" s="221"/>
      <c r="M6435" s="221"/>
    </row>
    <row r="6436" spans="5:13">
      <c r="E6436" s="221"/>
      <c r="F6436" s="221"/>
      <c r="G6436" s="221"/>
      <c r="H6436" s="221"/>
      <c r="I6436" s="221"/>
      <c r="J6436" s="221"/>
      <c r="K6436" s="221"/>
      <c r="L6436" s="221"/>
      <c r="M6436" s="221"/>
    </row>
    <row r="6437" spans="5:13">
      <c r="E6437" s="221"/>
      <c r="F6437" s="221"/>
      <c r="G6437" s="221"/>
      <c r="H6437" s="221"/>
      <c r="I6437" s="221"/>
      <c r="J6437" s="221"/>
      <c r="K6437" s="221"/>
      <c r="L6437" s="221"/>
      <c r="M6437" s="221"/>
    </row>
    <row r="6438" spans="5:13">
      <c r="E6438" s="221"/>
      <c r="F6438" s="221"/>
      <c r="G6438" s="221"/>
      <c r="H6438" s="221"/>
      <c r="I6438" s="221"/>
      <c r="J6438" s="221"/>
      <c r="K6438" s="221"/>
      <c r="L6438" s="221"/>
      <c r="M6438" s="221"/>
    </row>
    <row r="6439" spans="5:13">
      <c r="E6439" s="221"/>
      <c r="F6439" s="221"/>
      <c r="G6439" s="221"/>
      <c r="H6439" s="221"/>
      <c r="I6439" s="221"/>
      <c r="J6439" s="221"/>
      <c r="K6439" s="221"/>
      <c r="L6439" s="221"/>
      <c r="M6439" s="221"/>
    </row>
    <row r="6440" spans="5:13">
      <c r="E6440" s="221"/>
      <c r="F6440" s="221"/>
      <c r="G6440" s="221"/>
      <c r="H6440" s="221"/>
      <c r="I6440" s="221"/>
      <c r="J6440" s="221"/>
      <c r="K6440" s="221"/>
      <c r="L6440" s="221"/>
      <c r="M6440" s="221"/>
    </row>
    <row r="6441" spans="5:13">
      <c r="E6441" s="221"/>
      <c r="F6441" s="221"/>
      <c r="G6441" s="221"/>
      <c r="H6441" s="221"/>
      <c r="I6441" s="221"/>
      <c r="J6441" s="221"/>
      <c r="K6441" s="221"/>
      <c r="L6441" s="221"/>
      <c r="M6441" s="221"/>
    </row>
    <row r="6442" spans="5:13">
      <c r="E6442" s="221"/>
      <c r="F6442" s="221"/>
      <c r="G6442" s="221"/>
      <c r="H6442" s="221"/>
      <c r="I6442" s="221"/>
      <c r="J6442" s="221"/>
      <c r="K6442" s="221"/>
      <c r="L6442" s="221"/>
      <c r="M6442" s="221"/>
    </row>
    <row r="6443" spans="5:13">
      <c r="E6443" s="221"/>
      <c r="F6443" s="221"/>
      <c r="G6443" s="221"/>
      <c r="H6443" s="221"/>
      <c r="I6443" s="221"/>
      <c r="J6443" s="221"/>
      <c r="K6443" s="221"/>
      <c r="L6443" s="221"/>
      <c r="M6443" s="221"/>
    </row>
    <row r="6444" spans="5:13">
      <c r="E6444" s="221"/>
      <c r="F6444" s="221"/>
      <c r="G6444" s="221"/>
      <c r="H6444" s="221"/>
      <c r="I6444" s="221"/>
      <c r="J6444" s="221"/>
      <c r="K6444" s="221"/>
      <c r="L6444" s="221"/>
      <c r="M6444" s="221"/>
    </row>
    <row r="6445" spans="5:13">
      <c r="E6445" s="221"/>
      <c r="F6445" s="221"/>
      <c r="G6445" s="221"/>
      <c r="H6445" s="221"/>
      <c r="I6445" s="221"/>
      <c r="J6445" s="221"/>
      <c r="K6445" s="221"/>
      <c r="L6445" s="221"/>
      <c r="M6445" s="221"/>
    </row>
    <row r="6446" spans="5:13">
      <c r="E6446" s="221"/>
      <c r="F6446" s="221"/>
      <c r="G6446" s="221"/>
      <c r="H6446" s="221"/>
      <c r="I6446" s="221"/>
      <c r="J6446" s="221"/>
      <c r="K6446" s="221"/>
      <c r="L6446" s="221"/>
      <c r="M6446" s="221"/>
    </row>
    <row r="6447" spans="5:13">
      <c r="E6447" s="221"/>
      <c r="F6447" s="221"/>
      <c r="G6447" s="221"/>
      <c r="H6447" s="221"/>
      <c r="I6447" s="221"/>
      <c r="J6447" s="221"/>
      <c r="K6447" s="221"/>
      <c r="L6447" s="221"/>
      <c r="M6447" s="221"/>
    </row>
    <row r="6448" spans="5:13">
      <c r="E6448" s="221"/>
      <c r="F6448" s="221"/>
      <c r="G6448" s="221"/>
      <c r="H6448" s="221"/>
      <c r="I6448" s="221"/>
      <c r="J6448" s="221"/>
      <c r="K6448" s="221"/>
      <c r="L6448" s="221"/>
      <c r="M6448" s="221"/>
    </row>
    <row r="6449" spans="5:13">
      <c r="E6449" s="221"/>
      <c r="F6449" s="221"/>
      <c r="G6449" s="221"/>
      <c r="H6449" s="221"/>
      <c r="I6449" s="221"/>
      <c r="J6449" s="221"/>
      <c r="K6449" s="221"/>
      <c r="L6449" s="221"/>
      <c r="M6449" s="221"/>
    </row>
    <row r="6450" spans="5:13">
      <c r="E6450" s="221"/>
      <c r="F6450" s="221"/>
      <c r="G6450" s="221"/>
      <c r="H6450" s="221"/>
      <c r="I6450" s="221"/>
      <c r="J6450" s="221"/>
      <c r="K6450" s="221"/>
      <c r="L6450" s="221"/>
      <c r="M6450" s="221"/>
    </row>
    <row r="6451" spans="5:13">
      <c r="E6451" s="221"/>
      <c r="F6451" s="221"/>
      <c r="G6451" s="221"/>
      <c r="H6451" s="221"/>
      <c r="I6451" s="221"/>
      <c r="J6451" s="221"/>
      <c r="K6451" s="221"/>
      <c r="L6451" s="221"/>
      <c r="M6451" s="221"/>
    </row>
    <row r="6452" spans="5:13">
      <c r="E6452" s="221"/>
      <c r="F6452" s="221"/>
      <c r="G6452" s="221"/>
      <c r="H6452" s="221"/>
      <c r="I6452" s="221"/>
      <c r="J6452" s="221"/>
      <c r="K6452" s="221"/>
      <c r="L6452" s="221"/>
      <c r="M6452" s="221"/>
    </row>
    <row r="6453" spans="5:13">
      <c r="E6453" s="221"/>
      <c r="F6453" s="221"/>
      <c r="G6453" s="221"/>
      <c r="H6453" s="221"/>
      <c r="I6453" s="221"/>
      <c r="J6453" s="221"/>
      <c r="K6453" s="221"/>
      <c r="L6453" s="221"/>
      <c r="M6453" s="221"/>
    </row>
    <row r="6454" spans="5:13">
      <c r="E6454" s="221"/>
      <c r="F6454" s="221"/>
      <c r="G6454" s="221"/>
      <c r="H6454" s="221"/>
      <c r="I6454" s="221"/>
      <c r="J6454" s="221"/>
      <c r="K6454" s="221"/>
      <c r="L6454" s="221"/>
      <c r="M6454" s="221"/>
    </row>
    <row r="6455" spans="5:13">
      <c r="E6455" s="221"/>
      <c r="F6455" s="221"/>
      <c r="G6455" s="221"/>
      <c r="H6455" s="221"/>
      <c r="I6455" s="221"/>
      <c r="J6455" s="221"/>
      <c r="K6455" s="221"/>
      <c r="L6455" s="221"/>
      <c r="M6455" s="221"/>
    </row>
    <row r="6456" spans="5:13">
      <c r="E6456" s="221"/>
      <c r="F6456" s="221"/>
      <c r="G6456" s="221"/>
      <c r="H6456" s="221"/>
      <c r="I6456" s="221"/>
      <c r="J6456" s="221"/>
      <c r="K6456" s="221"/>
      <c r="L6456" s="221"/>
      <c r="M6456" s="221"/>
    </row>
    <row r="6457" spans="5:13">
      <c r="E6457" s="221"/>
      <c r="F6457" s="221"/>
      <c r="G6457" s="221"/>
      <c r="H6457" s="221"/>
      <c r="I6457" s="221"/>
      <c r="J6457" s="221"/>
      <c r="K6457" s="221"/>
      <c r="L6457" s="221"/>
      <c r="M6457" s="221"/>
    </row>
    <row r="6458" spans="5:13">
      <c r="E6458" s="221"/>
      <c r="F6458" s="221"/>
      <c r="G6458" s="221"/>
      <c r="H6458" s="221"/>
      <c r="I6458" s="221"/>
      <c r="J6458" s="221"/>
      <c r="K6458" s="221"/>
      <c r="L6458" s="221"/>
      <c r="M6458" s="221"/>
    </row>
    <row r="6459" spans="5:13">
      <c r="E6459" s="221"/>
      <c r="F6459" s="221"/>
      <c r="G6459" s="221"/>
      <c r="H6459" s="221"/>
      <c r="I6459" s="221"/>
      <c r="J6459" s="221"/>
      <c r="K6459" s="221"/>
      <c r="L6459" s="221"/>
      <c r="M6459" s="221"/>
    </row>
    <row r="6460" spans="5:13">
      <c r="E6460" s="221"/>
      <c r="F6460" s="221"/>
      <c r="G6460" s="221"/>
      <c r="H6460" s="221"/>
      <c r="I6460" s="221"/>
      <c r="J6460" s="221"/>
      <c r="K6460" s="221"/>
      <c r="L6460" s="221"/>
      <c r="M6460" s="221"/>
    </row>
    <row r="6461" spans="5:13">
      <c r="E6461" s="221"/>
      <c r="F6461" s="221"/>
      <c r="G6461" s="221"/>
      <c r="H6461" s="221"/>
      <c r="I6461" s="221"/>
      <c r="J6461" s="221"/>
      <c r="K6461" s="221"/>
      <c r="L6461" s="221"/>
      <c r="M6461" s="221"/>
    </row>
    <row r="6462" spans="5:13">
      <c r="E6462" s="221"/>
      <c r="F6462" s="221"/>
      <c r="G6462" s="221"/>
      <c r="H6462" s="221"/>
      <c r="I6462" s="221"/>
      <c r="J6462" s="221"/>
      <c r="K6462" s="221"/>
      <c r="L6462" s="221"/>
      <c r="M6462" s="221"/>
    </row>
    <row r="6463" spans="5:13">
      <c r="E6463" s="221"/>
      <c r="F6463" s="221"/>
      <c r="G6463" s="221"/>
      <c r="H6463" s="221"/>
      <c r="I6463" s="221"/>
      <c r="J6463" s="221"/>
      <c r="K6463" s="221"/>
      <c r="L6463" s="221"/>
      <c r="M6463" s="221"/>
    </row>
    <row r="6464" spans="5:13">
      <c r="E6464" s="221"/>
      <c r="F6464" s="221"/>
      <c r="G6464" s="221"/>
      <c r="H6464" s="221"/>
      <c r="I6464" s="221"/>
      <c r="J6464" s="221"/>
      <c r="K6464" s="221"/>
      <c r="L6464" s="221"/>
      <c r="M6464" s="221"/>
    </row>
    <row r="6465" spans="5:13">
      <c r="E6465" s="221"/>
      <c r="F6465" s="221"/>
      <c r="G6465" s="221"/>
      <c r="H6465" s="221"/>
      <c r="I6465" s="221"/>
      <c r="J6465" s="221"/>
      <c r="K6465" s="221"/>
      <c r="L6465" s="221"/>
      <c r="M6465" s="221"/>
    </row>
    <row r="6466" spans="5:13">
      <c r="E6466" s="221"/>
      <c r="F6466" s="221"/>
      <c r="G6466" s="221"/>
      <c r="H6466" s="221"/>
      <c r="I6466" s="221"/>
      <c r="J6466" s="221"/>
      <c r="K6466" s="221"/>
      <c r="L6466" s="221"/>
      <c r="M6466" s="221"/>
    </row>
    <row r="6467" spans="5:13">
      <c r="E6467" s="221"/>
      <c r="F6467" s="221"/>
      <c r="G6467" s="221"/>
      <c r="H6467" s="221"/>
      <c r="I6467" s="221"/>
      <c r="J6467" s="221"/>
      <c r="K6467" s="221"/>
      <c r="L6467" s="221"/>
      <c r="M6467" s="221"/>
    </row>
    <row r="6468" spans="5:13">
      <c r="E6468" s="221"/>
      <c r="F6468" s="221"/>
      <c r="G6468" s="221"/>
      <c r="H6468" s="221"/>
      <c r="I6468" s="221"/>
      <c r="J6468" s="221"/>
      <c r="K6468" s="221"/>
      <c r="L6468" s="221"/>
      <c r="M6468" s="221"/>
    </row>
    <row r="6469" spans="5:13">
      <c r="E6469" s="221"/>
      <c r="F6469" s="221"/>
      <c r="G6469" s="221"/>
      <c r="H6469" s="221"/>
      <c r="I6469" s="221"/>
      <c r="J6469" s="221"/>
      <c r="K6469" s="221"/>
      <c r="L6469" s="221"/>
      <c r="M6469" s="221"/>
    </row>
    <row r="6470" spans="5:13">
      <c r="E6470" s="221"/>
      <c r="F6470" s="221"/>
      <c r="G6470" s="221"/>
      <c r="H6470" s="221"/>
      <c r="I6470" s="221"/>
      <c r="J6470" s="221"/>
      <c r="K6470" s="221"/>
      <c r="L6470" s="221"/>
      <c r="M6470" s="221"/>
    </row>
    <row r="6471" spans="5:13">
      <c r="E6471" s="221"/>
      <c r="F6471" s="221"/>
      <c r="G6471" s="221"/>
      <c r="H6471" s="221"/>
      <c r="I6471" s="221"/>
      <c r="J6471" s="221"/>
      <c r="K6471" s="221"/>
      <c r="L6471" s="221"/>
      <c r="M6471" s="221"/>
    </row>
    <row r="6472" spans="5:13">
      <c r="E6472" s="221"/>
      <c r="F6472" s="221"/>
      <c r="G6472" s="221"/>
      <c r="H6472" s="221"/>
      <c r="I6472" s="221"/>
      <c r="J6472" s="221"/>
      <c r="K6472" s="221"/>
      <c r="L6472" s="221"/>
      <c r="M6472" s="221"/>
    </row>
    <row r="6473" spans="5:13">
      <c r="E6473" s="221"/>
      <c r="F6473" s="221"/>
      <c r="G6473" s="221"/>
      <c r="H6473" s="221"/>
      <c r="I6473" s="221"/>
      <c r="J6473" s="221"/>
      <c r="K6473" s="221"/>
      <c r="L6473" s="221"/>
      <c r="M6473" s="221"/>
    </row>
    <row r="6474" spans="5:13">
      <c r="E6474" s="221"/>
      <c r="F6474" s="221"/>
      <c r="G6474" s="221"/>
      <c r="H6474" s="221"/>
      <c r="I6474" s="221"/>
      <c r="J6474" s="221"/>
      <c r="K6474" s="221"/>
      <c r="L6474" s="221"/>
      <c r="M6474" s="221"/>
    </row>
    <row r="6475" spans="5:13">
      <c r="E6475" s="221"/>
      <c r="F6475" s="221"/>
      <c r="G6475" s="221"/>
      <c r="H6475" s="221"/>
      <c r="I6475" s="221"/>
      <c r="J6475" s="221"/>
      <c r="K6475" s="221"/>
      <c r="L6475" s="221"/>
      <c r="M6475" s="221"/>
    </row>
    <row r="6476" spans="5:13">
      <c r="E6476" s="221"/>
      <c r="F6476" s="221"/>
      <c r="G6476" s="221"/>
      <c r="H6476" s="221"/>
      <c r="I6476" s="221"/>
      <c r="J6476" s="221"/>
      <c r="K6476" s="221"/>
      <c r="L6476" s="221"/>
      <c r="M6476" s="221"/>
    </row>
    <row r="6477" spans="5:13">
      <c r="E6477" s="221"/>
      <c r="F6477" s="221"/>
      <c r="G6477" s="221"/>
      <c r="H6477" s="221"/>
      <c r="I6477" s="221"/>
      <c r="J6477" s="221"/>
      <c r="K6477" s="221"/>
      <c r="L6477" s="221"/>
      <c r="M6477" s="221"/>
    </row>
    <row r="6478" spans="5:13">
      <c r="E6478" s="221"/>
      <c r="F6478" s="221"/>
      <c r="G6478" s="221"/>
      <c r="H6478" s="221"/>
      <c r="I6478" s="221"/>
      <c r="J6478" s="221"/>
      <c r="K6478" s="221"/>
      <c r="L6478" s="221"/>
      <c r="M6478" s="221"/>
    </row>
    <row r="6479" spans="5:13">
      <c r="E6479" s="221"/>
      <c r="F6479" s="221"/>
      <c r="G6479" s="221"/>
      <c r="H6479" s="221"/>
      <c r="I6479" s="221"/>
      <c r="J6479" s="221"/>
      <c r="K6479" s="221"/>
      <c r="L6479" s="221"/>
      <c r="M6479" s="221"/>
    </row>
    <row r="6480" spans="5:13">
      <c r="E6480" s="221"/>
      <c r="F6480" s="221"/>
      <c r="G6480" s="221"/>
      <c r="H6480" s="221"/>
      <c r="I6480" s="221"/>
      <c r="J6480" s="221"/>
      <c r="K6480" s="221"/>
      <c r="L6480" s="221"/>
      <c r="M6480" s="221"/>
    </row>
    <row r="6481" spans="5:13">
      <c r="E6481" s="221"/>
      <c r="F6481" s="221"/>
      <c r="G6481" s="221"/>
      <c r="H6481" s="221"/>
      <c r="I6481" s="221"/>
      <c r="J6481" s="221"/>
      <c r="K6481" s="221"/>
      <c r="L6481" s="221"/>
      <c r="M6481" s="221"/>
    </row>
    <row r="6482" spans="5:13">
      <c r="E6482" s="221"/>
      <c r="F6482" s="221"/>
      <c r="G6482" s="221"/>
      <c r="H6482" s="221"/>
      <c r="I6482" s="221"/>
      <c r="J6482" s="221"/>
      <c r="K6482" s="221"/>
      <c r="L6482" s="221"/>
      <c r="M6482" s="221"/>
    </row>
    <row r="6483" spans="5:13">
      <c r="E6483" s="221"/>
      <c r="F6483" s="221"/>
      <c r="G6483" s="221"/>
      <c r="H6483" s="221"/>
      <c r="I6483" s="221"/>
      <c r="J6483" s="221"/>
      <c r="K6483" s="221"/>
      <c r="L6483" s="221"/>
      <c r="M6483" s="221"/>
    </row>
    <row r="6484" spans="5:13">
      <c r="E6484" s="221"/>
      <c r="F6484" s="221"/>
      <c r="G6484" s="221"/>
      <c r="H6484" s="221"/>
      <c r="I6484" s="221"/>
      <c r="J6484" s="221"/>
      <c r="K6484" s="221"/>
      <c r="L6484" s="221"/>
      <c r="M6484" s="221"/>
    </row>
    <row r="6485" spans="5:13">
      <c r="E6485" s="221"/>
      <c r="F6485" s="221"/>
      <c r="G6485" s="221"/>
      <c r="H6485" s="221"/>
      <c r="I6485" s="221"/>
      <c r="J6485" s="221"/>
      <c r="K6485" s="221"/>
      <c r="L6485" s="221"/>
      <c r="M6485" s="221"/>
    </row>
    <row r="6486" spans="5:13">
      <c r="E6486" s="221"/>
      <c r="F6486" s="221"/>
      <c r="G6486" s="221"/>
      <c r="H6486" s="221"/>
      <c r="I6486" s="221"/>
      <c r="J6486" s="221"/>
      <c r="K6486" s="221"/>
      <c r="L6486" s="221"/>
      <c r="M6486" s="221"/>
    </row>
    <row r="6487" spans="5:13">
      <c r="E6487" s="221"/>
      <c r="F6487" s="221"/>
      <c r="G6487" s="221"/>
      <c r="H6487" s="221"/>
      <c r="I6487" s="221"/>
      <c r="J6487" s="221"/>
      <c r="K6487" s="221"/>
      <c r="L6487" s="221"/>
      <c r="M6487" s="221"/>
    </row>
    <row r="6488" spans="5:13">
      <c r="E6488" s="221"/>
      <c r="F6488" s="221"/>
      <c r="G6488" s="221"/>
      <c r="H6488" s="221"/>
      <c r="I6488" s="221"/>
      <c r="J6488" s="221"/>
      <c r="K6488" s="221"/>
      <c r="L6488" s="221"/>
      <c r="M6488" s="221"/>
    </row>
    <row r="6489" spans="5:13">
      <c r="E6489" s="221"/>
      <c r="F6489" s="221"/>
      <c r="G6489" s="221"/>
      <c r="H6489" s="221"/>
      <c r="I6489" s="221"/>
      <c r="J6489" s="221"/>
      <c r="K6489" s="221"/>
      <c r="L6489" s="221"/>
      <c r="M6489" s="221"/>
    </row>
    <row r="6490" spans="5:13">
      <c r="E6490" s="221"/>
      <c r="F6490" s="221"/>
      <c r="G6490" s="221"/>
      <c r="H6490" s="221"/>
      <c r="I6490" s="221"/>
      <c r="J6490" s="221"/>
      <c r="K6490" s="221"/>
      <c r="L6490" s="221"/>
      <c r="M6490" s="221"/>
    </row>
    <row r="6491" spans="5:13">
      <c r="E6491" s="221"/>
      <c r="F6491" s="221"/>
      <c r="G6491" s="221"/>
      <c r="H6491" s="221"/>
      <c r="I6491" s="221"/>
      <c r="J6491" s="221"/>
      <c r="K6491" s="221"/>
      <c r="L6491" s="221"/>
      <c r="M6491" s="221"/>
    </row>
    <row r="6492" spans="5:13">
      <c r="E6492" s="221"/>
      <c r="F6492" s="221"/>
      <c r="G6492" s="221"/>
      <c r="H6492" s="221"/>
      <c r="I6492" s="221"/>
      <c r="J6492" s="221"/>
      <c r="K6492" s="221"/>
      <c r="L6492" s="221"/>
      <c r="M6492" s="221"/>
    </row>
    <row r="6493" spans="5:13">
      <c r="E6493" s="221"/>
      <c r="F6493" s="221"/>
      <c r="G6493" s="221"/>
      <c r="H6493" s="221"/>
      <c r="I6493" s="221"/>
      <c r="J6493" s="221"/>
      <c r="K6493" s="221"/>
      <c r="L6493" s="221"/>
      <c r="M6493" s="221"/>
    </row>
    <row r="6494" spans="5:13">
      <c r="E6494" s="221"/>
      <c r="F6494" s="221"/>
      <c r="G6494" s="221"/>
      <c r="H6494" s="221"/>
      <c r="I6494" s="221"/>
      <c r="J6494" s="221"/>
      <c r="K6494" s="221"/>
      <c r="L6494" s="221"/>
      <c r="M6494" s="221"/>
    </row>
    <row r="6495" spans="5:13">
      <c r="E6495" s="221"/>
      <c r="F6495" s="221"/>
      <c r="G6495" s="221"/>
      <c r="H6495" s="221"/>
      <c r="I6495" s="221"/>
      <c r="J6495" s="221"/>
      <c r="K6495" s="221"/>
      <c r="L6495" s="221"/>
      <c r="M6495" s="221"/>
    </row>
    <row r="6496" spans="5:13">
      <c r="E6496" s="221"/>
      <c r="F6496" s="221"/>
      <c r="G6496" s="221"/>
      <c r="H6496" s="221"/>
      <c r="I6496" s="221"/>
      <c r="J6496" s="221"/>
      <c r="K6496" s="221"/>
      <c r="L6496" s="221"/>
      <c r="M6496" s="221"/>
    </row>
    <row r="6497" spans="5:13">
      <c r="E6497" s="221"/>
      <c r="F6497" s="221"/>
      <c r="G6497" s="221"/>
      <c r="H6497" s="221"/>
      <c r="I6497" s="221"/>
      <c r="J6497" s="221"/>
      <c r="K6497" s="221"/>
      <c r="L6497" s="221"/>
      <c r="M6497" s="221"/>
    </row>
    <row r="6498" spans="5:13">
      <c r="E6498" s="221"/>
      <c r="F6498" s="221"/>
      <c r="G6498" s="221"/>
      <c r="H6498" s="221"/>
      <c r="I6498" s="221"/>
      <c r="J6498" s="221"/>
      <c r="K6498" s="221"/>
      <c r="L6498" s="221"/>
      <c r="M6498" s="221"/>
    </row>
    <row r="6499" spans="5:13">
      <c r="E6499" s="221"/>
      <c r="F6499" s="221"/>
      <c r="G6499" s="221"/>
      <c r="H6499" s="221"/>
      <c r="I6499" s="221"/>
      <c r="J6499" s="221"/>
      <c r="K6499" s="221"/>
      <c r="L6499" s="221"/>
      <c r="M6499" s="221"/>
    </row>
    <row r="6500" spans="5:13">
      <c r="E6500" s="221"/>
      <c r="F6500" s="221"/>
      <c r="G6500" s="221"/>
      <c r="H6500" s="221"/>
      <c r="I6500" s="221"/>
      <c r="J6500" s="221"/>
      <c r="K6500" s="221"/>
      <c r="L6500" s="221"/>
      <c r="M6500" s="221"/>
    </row>
    <row r="6501" spans="5:13">
      <c r="E6501" s="221"/>
      <c r="F6501" s="221"/>
      <c r="G6501" s="221"/>
      <c r="H6501" s="221"/>
      <c r="I6501" s="221"/>
      <c r="J6501" s="221"/>
      <c r="K6501" s="221"/>
      <c r="L6501" s="221"/>
      <c r="M6501" s="221"/>
    </row>
    <row r="6502" spans="5:13">
      <c r="E6502" s="221"/>
      <c r="F6502" s="221"/>
      <c r="G6502" s="221"/>
      <c r="H6502" s="221"/>
      <c r="I6502" s="221"/>
      <c r="J6502" s="221"/>
      <c r="K6502" s="221"/>
      <c r="L6502" s="221"/>
      <c r="M6502" s="221"/>
    </row>
    <row r="6503" spans="5:13">
      <c r="E6503" s="221"/>
      <c r="F6503" s="221"/>
      <c r="G6503" s="221"/>
      <c r="H6503" s="221"/>
      <c r="I6503" s="221"/>
      <c r="J6503" s="221"/>
      <c r="K6503" s="221"/>
      <c r="L6503" s="221"/>
      <c r="M6503" s="221"/>
    </row>
    <row r="6504" spans="5:13">
      <c r="E6504" s="221"/>
      <c r="F6504" s="221"/>
      <c r="G6504" s="221"/>
      <c r="H6504" s="221"/>
      <c r="I6504" s="221"/>
      <c r="J6504" s="221"/>
      <c r="K6504" s="221"/>
      <c r="L6504" s="221"/>
      <c r="M6504" s="221"/>
    </row>
    <row r="6505" spans="5:13">
      <c r="E6505" s="221"/>
      <c r="F6505" s="221"/>
      <c r="G6505" s="221"/>
      <c r="H6505" s="221"/>
      <c r="I6505" s="221"/>
      <c r="J6505" s="221"/>
      <c r="K6505" s="221"/>
      <c r="L6505" s="221"/>
      <c r="M6505" s="221"/>
    </row>
    <row r="6506" spans="5:13">
      <c r="E6506" s="221"/>
      <c r="F6506" s="221"/>
      <c r="G6506" s="221"/>
      <c r="H6506" s="221"/>
      <c r="I6506" s="221"/>
      <c r="J6506" s="221"/>
      <c r="K6506" s="221"/>
      <c r="L6506" s="221"/>
      <c r="M6506" s="221"/>
    </row>
    <row r="6507" spans="5:13">
      <c r="E6507" s="221"/>
      <c r="F6507" s="221"/>
      <c r="G6507" s="221"/>
      <c r="H6507" s="221"/>
      <c r="I6507" s="221"/>
      <c r="J6507" s="221"/>
      <c r="K6507" s="221"/>
      <c r="L6507" s="221"/>
      <c r="M6507" s="221"/>
    </row>
    <row r="6508" spans="5:13">
      <c r="E6508" s="221"/>
      <c r="F6508" s="221"/>
      <c r="G6508" s="221"/>
      <c r="H6508" s="221"/>
      <c r="I6508" s="221"/>
      <c r="J6508" s="221"/>
      <c r="K6508" s="221"/>
      <c r="L6508" s="221"/>
      <c r="M6508" s="221"/>
    </row>
    <row r="6509" spans="5:13">
      <c r="E6509" s="221"/>
      <c r="F6509" s="221"/>
      <c r="G6509" s="221"/>
      <c r="H6509" s="221"/>
      <c r="I6509" s="221"/>
      <c r="J6509" s="221"/>
      <c r="K6509" s="221"/>
      <c r="L6509" s="221"/>
      <c r="M6509" s="221"/>
    </row>
    <row r="6510" spans="5:13">
      <c r="E6510" s="221"/>
      <c r="F6510" s="221"/>
      <c r="G6510" s="221"/>
      <c r="H6510" s="221"/>
      <c r="I6510" s="221"/>
      <c r="J6510" s="221"/>
      <c r="K6510" s="221"/>
      <c r="L6510" s="221"/>
      <c r="M6510" s="221"/>
    </row>
    <row r="6511" spans="5:13">
      <c r="E6511" s="221"/>
      <c r="F6511" s="221"/>
      <c r="G6511" s="221"/>
      <c r="H6511" s="221"/>
      <c r="I6511" s="221"/>
      <c r="J6511" s="221"/>
      <c r="K6511" s="221"/>
      <c r="L6511" s="221"/>
      <c r="M6511" s="221"/>
    </row>
    <row r="6512" spans="5:13">
      <c r="E6512" s="221"/>
      <c r="F6512" s="221"/>
      <c r="G6512" s="221"/>
      <c r="H6512" s="221"/>
      <c r="I6512" s="221"/>
      <c r="J6512" s="221"/>
      <c r="K6512" s="221"/>
      <c r="L6512" s="221"/>
      <c r="M6512" s="221"/>
    </row>
    <row r="6513" spans="5:13">
      <c r="E6513" s="221"/>
      <c r="F6513" s="221"/>
      <c r="G6513" s="221"/>
      <c r="H6513" s="221"/>
      <c r="I6513" s="221"/>
      <c r="J6513" s="221"/>
      <c r="K6513" s="221"/>
      <c r="L6513" s="221"/>
      <c r="M6513" s="221"/>
    </row>
    <row r="6514" spans="5:13">
      <c r="E6514" s="221"/>
      <c r="F6514" s="221"/>
      <c r="G6514" s="221"/>
      <c r="H6514" s="221"/>
      <c r="I6514" s="221"/>
      <c r="J6514" s="221"/>
      <c r="K6514" s="221"/>
      <c r="L6514" s="221"/>
      <c r="M6514" s="221"/>
    </row>
    <row r="6515" spans="5:13">
      <c r="E6515" s="221"/>
      <c r="F6515" s="221"/>
      <c r="G6515" s="221"/>
      <c r="H6515" s="221"/>
      <c r="I6515" s="221"/>
      <c r="J6515" s="221"/>
      <c r="K6515" s="221"/>
      <c r="L6515" s="221"/>
      <c r="M6515" s="221"/>
    </row>
    <row r="6516" spans="5:13">
      <c r="E6516" s="221"/>
      <c r="F6516" s="221"/>
      <c r="G6516" s="221"/>
      <c r="H6516" s="221"/>
      <c r="I6516" s="221"/>
      <c r="J6516" s="221"/>
      <c r="K6516" s="221"/>
      <c r="L6516" s="221"/>
      <c r="M6516" s="221"/>
    </row>
    <row r="6517" spans="5:13">
      <c r="E6517" s="221"/>
      <c r="F6517" s="221"/>
      <c r="G6517" s="221"/>
      <c r="H6517" s="221"/>
      <c r="I6517" s="221"/>
      <c r="J6517" s="221"/>
      <c r="K6517" s="221"/>
      <c r="L6517" s="221"/>
      <c r="M6517" s="221"/>
    </row>
    <row r="6518" spans="5:13">
      <c r="E6518" s="221"/>
      <c r="F6518" s="221"/>
      <c r="G6518" s="221"/>
      <c r="H6518" s="221"/>
      <c r="I6518" s="221"/>
      <c r="J6518" s="221"/>
      <c r="K6518" s="221"/>
      <c r="L6518" s="221"/>
      <c r="M6518" s="221"/>
    </row>
    <row r="6519" spans="5:13">
      <c r="E6519" s="221"/>
      <c r="F6519" s="221"/>
      <c r="G6519" s="221"/>
      <c r="H6519" s="221"/>
      <c r="I6519" s="221"/>
      <c r="J6519" s="221"/>
      <c r="K6519" s="221"/>
      <c r="L6519" s="221"/>
      <c r="M6519" s="221"/>
    </row>
    <row r="6520" spans="5:13">
      <c r="E6520" s="221"/>
      <c r="F6520" s="221"/>
      <c r="G6520" s="221"/>
      <c r="H6520" s="221"/>
      <c r="I6520" s="221"/>
      <c r="J6520" s="221"/>
      <c r="K6520" s="221"/>
      <c r="L6520" s="221"/>
      <c r="M6520" s="221"/>
    </row>
    <row r="6521" spans="5:13">
      <c r="E6521" s="221"/>
      <c r="F6521" s="221"/>
      <c r="G6521" s="221"/>
      <c r="H6521" s="221"/>
      <c r="I6521" s="221"/>
      <c r="J6521" s="221"/>
      <c r="K6521" s="221"/>
      <c r="L6521" s="221"/>
      <c r="M6521" s="221"/>
    </row>
    <row r="6522" spans="5:13">
      <c r="E6522" s="221"/>
      <c r="F6522" s="221"/>
      <c r="G6522" s="221"/>
      <c r="H6522" s="221"/>
      <c r="I6522" s="221"/>
      <c r="J6522" s="221"/>
      <c r="K6522" s="221"/>
      <c r="L6522" s="221"/>
      <c r="M6522" s="221"/>
    </row>
    <row r="6523" spans="5:13">
      <c r="E6523" s="221"/>
      <c r="F6523" s="221"/>
      <c r="G6523" s="221"/>
      <c r="H6523" s="221"/>
      <c r="I6523" s="221"/>
      <c r="J6523" s="221"/>
      <c r="K6523" s="221"/>
      <c r="L6523" s="221"/>
      <c r="M6523" s="221"/>
    </row>
    <row r="6524" spans="5:13">
      <c r="E6524" s="221"/>
      <c r="F6524" s="221"/>
      <c r="G6524" s="221"/>
      <c r="H6524" s="221"/>
      <c r="I6524" s="221"/>
      <c r="J6524" s="221"/>
      <c r="K6524" s="221"/>
      <c r="L6524" s="221"/>
      <c r="M6524" s="221"/>
    </row>
    <row r="6525" spans="5:13">
      <c r="E6525" s="221"/>
      <c r="F6525" s="221"/>
      <c r="G6525" s="221"/>
      <c r="H6525" s="221"/>
      <c r="I6525" s="221"/>
      <c r="J6525" s="221"/>
      <c r="K6525" s="221"/>
      <c r="L6525" s="221"/>
      <c r="M6525" s="221"/>
    </row>
    <row r="6526" spans="5:13">
      <c r="E6526" s="221"/>
      <c r="F6526" s="221"/>
      <c r="G6526" s="221"/>
      <c r="H6526" s="221"/>
      <c r="I6526" s="221"/>
      <c r="J6526" s="221"/>
      <c r="K6526" s="221"/>
      <c r="L6526" s="221"/>
      <c r="M6526" s="221"/>
    </row>
    <row r="6527" spans="5:13">
      <c r="E6527" s="221"/>
      <c r="F6527" s="221"/>
      <c r="G6527" s="221"/>
      <c r="H6527" s="221"/>
      <c r="I6527" s="221"/>
      <c r="J6527" s="221"/>
      <c r="K6527" s="221"/>
      <c r="L6527" s="221"/>
      <c r="M6527" s="221"/>
    </row>
    <row r="6528" spans="5:13">
      <c r="E6528" s="221"/>
      <c r="F6528" s="221"/>
      <c r="G6528" s="221"/>
      <c r="H6528" s="221"/>
      <c r="I6528" s="221"/>
      <c r="J6528" s="221"/>
      <c r="K6528" s="221"/>
      <c r="L6528" s="221"/>
      <c r="M6528" s="221"/>
    </row>
    <row r="6529" spans="5:13">
      <c r="E6529" s="221"/>
      <c r="F6529" s="221"/>
      <c r="G6529" s="221"/>
      <c r="H6529" s="221"/>
      <c r="I6529" s="221"/>
      <c r="J6529" s="221"/>
      <c r="K6529" s="221"/>
      <c r="L6529" s="221"/>
      <c r="M6529" s="221"/>
    </row>
    <row r="6530" spans="5:13">
      <c r="E6530" s="221"/>
      <c r="F6530" s="221"/>
      <c r="G6530" s="221"/>
      <c r="H6530" s="221"/>
      <c r="I6530" s="221"/>
      <c r="J6530" s="221"/>
      <c r="K6530" s="221"/>
      <c r="L6530" s="221"/>
      <c r="M6530" s="221"/>
    </row>
    <row r="6531" spans="5:13">
      <c r="E6531" s="221"/>
      <c r="F6531" s="221"/>
      <c r="G6531" s="221"/>
      <c r="H6531" s="221"/>
      <c r="I6531" s="221"/>
      <c r="J6531" s="221"/>
      <c r="K6531" s="221"/>
      <c r="L6531" s="221"/>
      <c r="M6531" s="221"/>
    </row>
    <row r="6532" spans="5:13">
      <c r="E6532" s="221"/>
      <c r="F6532" s="221"/>
      <c r="G6532" s="221"/>
      <c r="H6532" s="221"/>
      <c r="I6532" s="221"/>
      <c r="J6532" s="221"/>
      <c r="K6532" s="221"/>
      <c r="L6532" s="221"/>
      <c r="M6532" s="221"/>
    </row>
    <row r="6533" spans="5:13">
      <c r="E6533" s="221"/>
      <c r="F6533" s="221"/>
      <c r="G6533" s="221"/>
      <c r="H6533" s="221"/>
      <c r="I6533" s="221"/>
      <c r="J6533" s="221"/>
      <c r="K6533" s="221"/>
      <c r="L6533" s="221"/>
      <c r="M6533" s="221"/>
    </row>
    <row r="6534" spans="5:13">
      <c r="E6534" s="221"/>
      <c r="F6534" s="221"/>
      <c r="G6534" s="221"/>
      <c r="H6534" s="221"/>
      <c r="I6534" s="221"/>
      <c r="J6534" s="221"/>
      <c r="K6534" s="221"/>
      <c r="L6534" s="221"/>
      <c r="M6534" s="221"/>
    </row>
    <row r="6535" spans="5:13">
      <c r="E6535" s="221"/>
      <c r="F6535" s="221"/>
      <c r="G6535" s="221"/>
      <c r="H6535" s="221"/>
      <c r="I6535" s="221"/>
      <c r="J6535" s="221"/>
      <c r="K6535" s="221"/>
      <c r="L6535" s="221"/>
      <c r="M6535" s="221"/>
    </row>
    <row r="6536" spans="5:13">
      <c r="E6536" s="221"/>
      <c r="F6536" s="221"/>
      <c r="G6536" s="221"/>
      <c r="H6536" s="221"/>
      <c r="I6536" s="221"/>
      <c r="J6536" s="221"/>
      <c r="K6536" s="221"/>
      <c r="L6536" s="221"/>
      <c r="M6536" s="221"/>
    </row>
    <row r="6537" spans="5:13">
      <c r="E6537" s="221"/>
      <c r="F6537" s="221"/>
      <c r="G6537" s="221"/>
      <c r="H6537" s="221"/>
      <c r="I6537" s="221"/>
      <c r="J6537" s="221"/>
      <c r="K6537" s="221"/>
      <c r="L6537" s="221"/>
      <c r="M6537" s="221"/>
    </row>
    <row r="6538" spans="5:13">
      <c r="E6538" s="221"/>
      <c r="F6538" s="221"/>
      <c r="G6538" s="221"/>
      <c r="H6538" s="221"/>
      <c r="I6538" s="221"/>
      <c r="J6538" s="221"/>
      <c r="K6538" s="221"/>
      <c r="L6538" s="221"/>
      <c r="M6538" s="221"/>
    </row>
    <row r="6539" spans="5:13">
      <c r="E6539" s="221"/>
      <c r="F6539" s="221"/>
      <c r="G6539" s="221"/>
      <c r="H6539" s="221"/>
      <c r="I6539" s="221"/>
      <c r="J6539" s="221"/>
      <c r="K6539" s="221"/>
      <c r="L6539" s="221"/>
      <c r="M6539" s="221"/>
    </row>
    <row r="6540" spans="5:13">
      <c r="E6540" s="221"/>
      <c r="F6540" s="221"/>
      <c r="G6540" s="221"/>
      <c r="H6540" s="221"/>
      <c r="I6540" s="221"/>
      <c r="J6540" s="221"/>
      <c r="K6540" s="221"/>
      <c r="L6540" s="221"/>
      <c r="M6540" s="221"/>
    </row>
    <row r="6541" spans="5:13">
      <c r="E6541" s="221"/>
      <c r="F6541" s="221"/>
      <c r="G6541" s="221"/>
      <c r="H6541" s="221"/>
      <c r="I6541" s="221"/>
      <c r="J6541" s="221"/>
      <c r="K6541" s="221"/>
      <c r="L6541" s="221"/>
      <c r="M6541" s="221"/>
    </row>
    <row r="6542" spans="5:13">
      <c r="E6542" s="221"/>
      <c r="F6542" s="221"/>
      <c r="G6542" s="221"/>
      <c r="H6542" s="221"/>
      <c r="I6542" s="221"/>
      <c r="J6542" s="221"/>
      <c r="K6542" s="221"/>
      <c r="L6542" s="221"/>
      <c r="M6542" s="221"/>
    </row>
    <row r="6543" spans="5:13">
      <c r="E6543" s="221"/>
      <c r="F6543" s="221"/>
      <c r="G6543" s="221"/>
      <c r="H6543" s="221"/>
      <c r="I6543" s="221"/>
      <c r="J6543" s="221"/>
      <c r="K6543" s="221"/>
      <c r="L6543" s="221"/>
      <c r="M6543" s="221"/>
    </row>
    <row r="6544" spans="5:13">
      <c r="E6544" s="221"/>
      <c r="F6544" s="221"/>
      <c r="G6544" s="221"/>
      <c r="H6544" s="221"/>
      <c r="I6544" s="221"/>
      <c r="J6544" s="221"/>
      <c r="K6544" s="221"/>
      <c r="L6544" s="221"/>
      <c r="M6544" s="221"/>
    </row>
    <row r="6545" spans="5:13">
      <c r="E6545" s="221"/>
      <c r="F6545" s="221"/>
      <c r="G6545" s="221"/>
      <c r="H6545" s="221"/>
      <c r="I6545" s="221"/>
      <c r="J6545" s="221"/>
      <c r="K6545" s="221"/>
      <c r="L6545" s="221"/>
      <c r="M6545" s="221"/>
    </row>
    <row r="6546" spans="5:13">
      <c r="E6546" s="221"/>
      <c r="F6546" s="221"/>
      <c r="G6546" s="221"/>
      <c r="H6546" s="221"/>
      <c r="I6546" s="221"/>
      <c r="J6546" s="221"/>
      <c r="K6546" s="221"/>
      <c r="L6546" s="221"/>
      <c r="M6546" s="221"/>
    </row>
    <row r="6547" spans="5:13">
      <c r="E6547" s="221"/>
      <c r="F6547" s="221"/>
      <c r="G6547" s="221"/>
      <c r="H6547" s="221"/>
      <c r="I6547" s="221"/>
      <c r="J6547" s="221"/>
      <c r="K6547" s="221"/>
      <c r="L6547" s="221"/>
      <c r="M6547" s="221"/>
    </row>
    <row r="6548" spans="5:13">
      <c r="E6548" s="221"/>
      <c r="F6548" s="221"/>
      <c r="G6548" s="221"/>
      <c r="H6548" s="221"/>
      <c r="I6548" s="221"/>
      <c r="J6548" s="221"/>
      <c r="K6548" s="221"/>
      <c r="L6548" s="221"/>
      <c r="M6548" s="221"/>
    </row>
    <row r="6549" spans="5:13">
      <c r="E6549" s="221"/>
      <c r="F6549" s="221"/>
      <c r="G6549" s="221"/>
      <c r="H6549" s="221"/>
      <c r="I6549" s="221"/>
      <c r="J6549" s="221"/>
      <c r="K6549" s="221"/>
      <c r="L6549" s="221"/>
      <c r="M6549" s="221"/>
    </row>
    <row r="6550" spans="5:13">
      <c r="E6550" s="221"/>
      <c r="F6550" s="221"/>
      <c r="G6550" s="221"/>
      <c r="H6550" s="221"/>
      <c r="I6550" s="221"/>
      <c r="J6550" s="221"/>
      <c r="K6550" s="221"/>
      <c r="L6550" s="221"/>
      <c r="M6550" s="221"/>
    </row>
    <row r="6551" spans="5:13">
      <c r="E6551" s="221"/>
      <c r="F6551" s="221"/>
      <c r="G6551" s="221"/>
      <c r="H6551" s="221"/>
      <c r="I6551" s="221"/>
      <c r="J6551" s="221"/>
      <c r="K6551" s="221"/>
      <c r="L6551" s="221"/>
      <c r="M6551" s="221"/>
    </row>
    <row r="6552" spans="5:13">
      <c r="E6552" s="221"/>
      <c r="F6552" s="221"/>
      <c r="G6552" s="221"/>
      <c r="H6552" s="221"/>
      <c r="I6552" s="221"/>
      <c r="J6552" s="221"/>
      <c r="K6552" s="221"/>
      <c r="L6552" s="221"/>
      <c r="M6552" s="221"/>
    </row>
    <row r="6553" spans="5:13">
      <c r="E6553" s="221"/>
      <c r="F6553" s="221"/>
      <c r="G6553" s="221"/>
      <c r="H6553" s="221"/>
      <c r="I6553" s="221"/>
      <c r="J6553" s="221"/>
      <c r="K6553" s="221"/>
      <c r="L6553" s="221"/>
      <c r="M6553" s="221"/>
    </row>
    <row r="6554" spans="5:13">
      <c r="E6554" s="221"/>
      <c r="F6554" s="221"/>
      <c r="G6554" s="221"/>
      <c r="H6554" s="221"/>
      <c r="I6554" s="221"/>
      <c r="J6554" s="221"/>
      <c r="K6554" s="221"/>
      <c r="L6554" s="221"/>
      <c r="M6554" s="221"/>
    </row>
    <row r="6555" spans="5:13">
      <c r="E6555" s="221"/>
      <c r="F6555" s="221"/>
      <c r="G6555" s="221"/>
      <c r="H6555" s="221"/>
      <c r="I6555" s="221"/>
      <c r="J6555" s="221"/>
      <c r="K6555" s="221"/>
      <c r="L6555" s="221"/>
      <c r="M6555" s="221"/>
    </row>
    <row r="6556" spans="5:13">
      <c r="E6556" s="221"/>
      <c r="F6556" s="221"/>
      <c r="G6556" s="221"/>
      <c r="H6556" s="221"/>
      <c r="I6556" s="221"/>
      <c r="J6556" s="221"/>
      <c r="K6556" s="221"/>
      <c r="L6556" s="221"/>
      <c r="M6556" s="221"/>
    </row>
    <row r="6557" spans="5:13">
      <c r="E6557" s="221"/>
      <c r="F6557" s="221"/>
      <c r="G6557" s="221"/>
      <c r="H6557" s="221"/>
      <c r="I6557" s="221"/>
      <c r="J6557" s="221"/>
      <c r="K6557" s="221"/>
      <c r="L6557" s="221"/>
      <c r="M6557" s="221"/>
    </row>
    <row r="6558" spans="5:13">
      <c r="E6558" s="221"/>
      <c r="F6558" s="221"/>
      <c r="G6558" s="221"/>
      <c r="H6558" s="221"/>
      <c r="I6558" s="221"/>
      <c r="J6558" s="221"/>
      <c r="K6558" s="221"/>
      <c r="L6558" s="221"/>
      <c r="M6558" s="221"/>
    </row>
    <row r="6559" spans="5:13">
      <c r="E6559" s="221"/>
      <c r="F6559" s="221"/>
      <c r="G6559" s="221"/>
      <c r="H6559" s="221"/>
      <c r="I6559" s="221"/>
      <c r="J6559" s="221"/>
      <c r="K6559" s="221"/>
      <c r="L6559" s="221"/>
      <c r="M6559" s="221"/>
    </row>
    <row r="6560" spans="5:13">
      <c r="E6560" s="221"/>
      <c r="F6560" s="221"/>
      <c r="G6560" s="221"/>
      <c r="H6560" s="221"/>
      <c r="I6560" s="221"/>
      <c r="J6560" s="221"/>
      <c r="K6560" s="221"/>
      <c r="L6560" s="221"/>
      <c r="M6560" s="221"/>
    </row>
    <row r="6561" spans="5:13">
      <c r="E6561" s="221"/>
      <c r="F6561" s="221"/>
      <c r="G6561" s="221"/>
      <c r="H6561" s="221"/>
      <c r="I6561" s="221"/>
      <c r="J6561" s="221"/>
      <c r="K6561" s="221"/>
      <c r="L6561" s="221"/>
      <c r="M6561" s="221"/>
    </row>
    <row r="6562" spans="5:13">
      <c r="E6562" s="221"/>
      <c r="F6562" s="221"/>
      <c r="G6562" s="221"/>
      <c r="H6562" s="221"/>
      <c r="I6562" s="221"/>
      <c r="J6562" s="221"/>
      <c r="K6562" s="221"/>
      <c r="L6562" s="221"/>
      <c r="M6562" s="221"/>
    </row>
    <row r="6563" spans="5:13">
      <c r="E6563" s="221"/>
      <c r="F6563" s="221"/>
      <c r="G6563" s="221"/>
      <c r="H6563" s="221"/>
      <c r="I6563" s="221"/>
      <c r="J6563" s="221"/>
      <c r="K6563" s="221"/>
      <c r="L6563" s="221"/>
      <c r="M6563" s="221"/>
    </row>
    <row r="6564" spans="5:13">
      <c r="E6564" s="221"/>
      <c r="F6564" s="221"/>
      <c r="G6564" s="221"/>
      <c r="H6564" s="221"/>
      <c r="I6564" s="221"/>
      <c r="J6564" s="221"/>
      <c r="K6564" s="221"/>
      <c r="L6564" s="221"/>
      <c r="M6564" s="221"/>
    </row>
    <row r="6565" spans="5:13">
      <c r="E6565" s="221"/>
      <c r="F6565" s="221"/>
      <c r="G6565" s="221"/>
      <c r="H6565" s="221"/>
      <c r="I6565" s="221"/>
      <c r="J6565" s="221"/>
      <c r="K6565" s="221"/>
      <c r="L6565" s="221"/>
      <c r="M6565" s="221"/>
    </row>
    <row r="6566" spans="5:13">
      <c r="E6566" s="221"/>
      <c r="F6566" s="221"/>
      <c r="G6566" s="221"/>
      <c r="H6566" s="221"/>
      <c r="I6566" s="221"/>
      <c r="J6566" s="221"/>
      <c r="K6566" s="221"/>
      <c r="L6566" s="221"/>
      <c r="M6566" s="221"/>
    </row>
    <row r="6567" spans="5:13">
      <c r="E6567" s="221"/>
      <c r="F6567" s="221"/>
      <c r="G6567" s="221"/>
      <c r="H6567" s="221"/>
      <c r="I6567" s="221"/>
      <c r="J6567" s="221"/>
      <c r="K6567" s="221"/>
      <c r="L6567" s="221"/>
      <c r="M6567" s="221"/>
    </row>
    <row r="6568" spans="5:13">
      <c r="E6568" s="221"/>
      <c r="F6568" s="221"/>
      <c r="G6568" s="221"/>
      <c r="H6568" s="221"/>
      <c r="I6568" s="221"/>
      <c r="J6568" s="221"/>
      <c r="K6568" s="221"/>
      <c r="L6568" s="221"/>
      <c r="M6568" s="221"/>
    </row>
    <row r="6569" spans="5:13">
      <c r="E6569" s="221"/>
      <c r="F6569" s="221"/>
      <c r="G6569" s="221"/>
      <c r="H6569" s="221"/>
      <c r="I6569" s="221"/>
      <c r="J6569" s="221"/>
      <c r="K6569" s="221"/>
      <c r="L6569" s="221"/>
      <c r="M6569" s="221"/>
    </row>
    <row r="6570" spans="5:13">
      <c r="E6570" s="221"/>
      <c r="F6570" s="221"/>
      <c r="G6570" s="221"/>
      <c r="H6570" s="221"/>
      <c r="I6570" s="221"/>
      <c r="J6570" s="221"/>
      <c r="K6570" s="221"/>
      <c r="L6570" s="221"/>
      <c r="M6570" s="221"/>
    </row>
    <row r="6571" spans="5:13">
      <c r="E6571" s="221"/>
      <c r="F6571" s="221"/>
      <c r="G6571" s="221"/>
      <c r="H6571" s="221"/>
      <c r="I6571" s="221"/>
      <c r="J6571" s="221"/>
      <c r="K6571" s="221"/>
      <c r="L6571" s="221"/>
      <c r="M6571" s="221"/>
    </row>
    <row r="6572" spans="5:13">
      <c r="E6572" s="221"/>
      <c r="F6572" s="221"/>
      <c r="G6572" s="221"/>
      <c r="H6572" s="221"/>
      <c r="I6572" s="221"/>
      <c r="J6572" s="221"/>
      <c r="K6572" s="221"/>
      <c r="L6572" s="221"/>
      <c r="M6572" s="221"/>
    </row>
    <row r="6573" spans="5:13">
      <c r="E6573" s="221"/>
      <c r="F6573" s="221"/>
      <c r="G6573" s="221"/>
      <c r="H6573" s="221"/>
      <c r="I6573" s="221"/>
      <c r="J6573" s="221"/>
      <c r="K6573" s="221"/>
      <c r="L6573" s="221"/>
      <c r="M6573" s="221"/>
    </row>
    <row r="6574" spans="5:13">
      <c r="E6574" s="221"/>
      <c r="F6574" s="221"/>
      <c r="G6574" s="221"/>
      <c r="H6574" s="221"/>
      <c r="I6574" s="221"/>
      <c r="J6574" s="221"/>
      <c r="K6574" s="221"/>
      <c r="L6574" s="221"/>
      <c r="M6574" s="221"/>
    </row>
    <row r="6575" spans="5:13">
      <c r="E6575" s="221"/>
      <c r="F6575" s="221"/>
      <c r="G6575" s="221"/>
      <c r="H6575" s="221"/>
      <c r="I6575" s="221"/>
      <c r="J6575" s="221"/>
      <c r="K6575" s="221"/>
      <c r="L6575" s="221"/>
      <c r="M6575" s="221"/>
    </row>
    <row r="6576" spans="5:13">
      <c r="E6576" s="221"/>
      <c r="F6576" s="221"/>
      <c r="G6576" s="221"/>
      <c r="H6576" s="221"/>
      <c r="I6576" s="221"/>
      <c r="J6576" s="221"/>
      <c r="K6576" s="221"/>
      <c r="L6576" s="221"/>
      <c r="M6576" s="221"/>
    </row>
    <row r="6577" spans="5:13">
      <c r="E6577" s="221"/>
      <c r="F6577" s="221"/>
      <c r="G6577" s="221"/>
      <c r="H6577" s="221"/>
      <c r="I6577" s="221"/>
      <c r="J6577" s="221"/>
      <c r="K6577" s="221"/>
      <c r="L6577" s="221"/>
      <c r="M6577" s="221"/>
    </row>
    <row r="6578" spans="5:13">
      <c r="E6578" s="221"/>
      <c r="F6578" s="221"/>
      <c r="G6578" s="221"/>
      <c r="H6578" s="221"/>
      <c r="I6578" s="221"/>
      <c r="J6578" s="221"/>
      <c r="K6578" s="221"/>
      <c r="L6578" s="221"/>
      <c r="M6578" s="221"/>
    </row>
    <row r="6579" spans="5:13">
      <c r="E6579" s="221"/>
      <c r="F6579" s="221"/>
      <c r="G6579" s="221"/>
      <c r="H6579" s="221"/>
      <c r="I6579" s="221"/>
      <c r="J6579" s="221"/>
      <c r="K6579" s="221"/>
      <c r="L6579" s="221"/>
      <c r="M6579" s="221"/>
    </row>
    <row r="6580" spans="5:13">
      <c r="E6580" s="221"/>
      <c r="F6580" s="221"/>
      <c r="G6580" s="221"/>
      <c r="H6580" s="221"/>
      <c r="I6580" s="221"/>
      <c r="J6580" s="221"/>
      <c r="K6580" s="221"/>
      <c r="L6580" s="221"/>
      <c r="M6580" s="221"/>
    </row>
    <row r="6581" spans="5:13">
      <c r="E6581" s="221"/>
      <c r="F6581" s="221"/>
      <c r="G6581" s="221"/>
      <c r="H6581" s="221"/>
      <c r="I6581" s="221"/>
      <c r="J6581" s="221"/>
      <c r="K6581" s="221"/>
      <c r="L6581" s="221"/>
      <c r="M6581" s="221"/>
    </row>
    <row r="6582" spans="5:13">
      <c r="E6582" s="221"/>
      <c r="F6582" s="221"/>
      <c r="G6582" s="221"/>
      <c r="H6582" s="221"/>
      <c r="I6582" s="221"/>
      <c r="J6582" s="221"/>
      <c r="K6582" s="221"/>
      <c r="L6582" s="221"/>
      <c r="M6582" s="221"/>
    </row>
    <row r="6583" spans="5:13">
      <c r="E6583" s="221"/>
      <c r="F6583" s="221"/>
      <c r="G6583" s="221"/>
      <c r="H6583" s="221"/>
      <c r="I6583" s="221"/>
      <c r="J6583" s="221"/>
      <c r="K6583" s="221"/>
      <c r="L6583" s="221"/>
      <c r="M6583" s="221"/>
    </row>
    <row r="6584" spans="5:13">
      <c r="E6584" s="221"/>
      <c r="F6584" s="221"/>
      <c r="G6584" s="221"/>
      <c r="H6584" s="221"/>
      <c r="I6584" s="221"/>
      <c r="J6584" s="221"/>
      <c r="K6584" s="221"/>
      <c r="L6584" s="221"/>
      <c r="M6584" s="221"/>
    </row>
    <row r="6585" spans="5:13">
      <c r="E6585" s="221"/>
      <c r="F6585" s="221"/>
      <c r="G6585" s="221"/>
      <c r="H6585" s="221"/>
      <c r="I6585" s="221"/>
      <c r="J6585" s="221"/>
      <c r="K6585" s="221"/>
      <c r="L6585" s="221"/>
      <c r="M6585" s="221"/>
    </row>
    <row r="6586" spans="5:13">
      <c r="E6586" s="221"/>
      <c r="F6586" s="221"/>
      <c r="G6586" s="221"/>
      <c r="H6586" s="221"/>
      <c r="I6586" s="221"/>
      <c r="J6586" s="221"/>
      <c r="K6586" s="221"/>
      <c r="L6586" s="221"/>
      <c r="M6586" s="221"/>
    </row>
    <row r="6587" spans="5:13">
      <c r="E6587" s="221"/>
      <c r="F6587" s="221"/>
      <c r="G6587" s="221"/>
      <c r="H6587" s="221"/>
      <c r="I6587" s="221"/>
      <c r="J6587" s="221"/>
      <c r="K6587" s="221"/>
      <c r="L6587" s="221"/>
      <c r="M6587" s="221"/>
    </row>
    <row r="6588" spans="5:13">
      <c r="E6588" s="221"/>
      <c r="F6588" s="221"/>
      <c r="G6588" s="221"/>
      <c r="H6588" s="221"/>
      <c r="I6588" s="221"/>
      <c r="J6588" s="221"/>
      <c r="K6588" s="221"/>
      <c r="L6588" s="221"/>
      <c r="M6588" s="221"/>
    </row>
    <row r="6589" spans="5:13">
      <c r="E6589" s="221"/>
      <c r="F6589" s="221"/>
      <c r="G6589" s="221"/>
      <c r="H6589" s="221"/>
      <c r="I6589" s="221"/>
      <c r="J6589" s="221"/>
      <c r="K6589" s="221"/>
      <c r="L6589" s="221"/>
      <c r="M6589" s="221"/>
    </row>
    <row r="6590" spans="5:13">
      <c r="E6590" s="221"/>
      <c r="F6590" s="221"/>
      <c r="G6590" s="221"/>
      <c r="H6590" s="221"/>
      <c r="I6590" s="221"/>
      <c r="J6590" s="221"/>
      <c r="K6590" s="221"/>
      <c r="L6590" s="221"/>
      <c r="M6590" s="221"/>
    </row>
    <row r="6591" spans="5:13">
      <c r="E6591" s="221"/>
      <c r="F6591" s="221"/>
      <c r="G6591" s="221"/>
      <c r="H6591" s="221"/>
      <c r="I6591" s="221"/>
      <c r="J6591" s="221"/>
      <c r="K6591" s="221"/>
      <c r="L6591" s="221"/>
      <c r="M6591" s="221"/>
    </row>
    <row r="6592" spans="5:13">
      <c r="E6592" s="221"/>
      <c r="F6592" s="221"/>
      <c r="G6592" s="221"/>
      <c r="H6592" s="221"/>
      <c r="I6592" s="221"/>
      <c r="J6592" s="221"/>
      <c r="K6592" s="221"/>
      <c r="L6592" s="221"/>
      <c r="M6592" s="221"/>
    </row>
    <row r="6593" spans="5:13">
      <c r="E6593" s="221"/>
      <c r="F6593" s="221"/>
      <c r="G6593" s="221"/>
      <c r="H6593" s="221"/>
      <c r="I6593" s="221"/>
      <c r="J6593" s="221"/>
      <c r="K6593" s="221"/>
      <c r="L6593" s="221"/>
      <c r="M6593" s="221"/>
    </row>
    <row r="6594" spans="5:13">
      <c r="E6594" s="221"/>
      <c r="F6594" s="221"/>
      <c r="G6594" s="221"/>
      <c r="H6594" s="221"/>
      <c r="I6594" s="221"/>
      <c r="J6594" s="221"/>
      <c r="K6594" s="221"/>
      <c r="L6594" s="221"/>
      <c r="M6594" s="221"/>
    </row>
    <row r="6595" spans="5:13">
      <c r="E6595" s="221"/>
      <c r="F6595" s="221"/>
      <c r="G6595" s="221"/>
      <c r="H6595" s="221"/>
      <c r="I6595" s="221"/>
      <c r="J6595" s="221"/>
      <c r="K6595" s="221"/>
      <c r="L6595" s="221"/>
      <c r="M6595" s="221"/>
    </row>
    <row r="6596" spans="5:13">
      <c r="E6596" s="221"/>
      <c r="F6596" s="221"/>
      <c r="G6596" s="221"/>
      <c r="H6596" s="221"/>
      <c r="I6596" s="221"/>
      <c r="J6596" s="221"/>
      <c r="K6596" s="221"/>
      <c r="L6596" s="221"/>
      <c r="M6596" s="221"/>
    </row>
    <row r="6597" spans="5:13">
      <c r="E6597" s="221"/>
      <c r="F6597" s="221"/>
      <c r="G6597" s="221"/>
      <c r="H6597" s="221"/>
      <c r="I6597" s="221"/>
      <c r="J6597" s="221"/>
      <c r="K6597" s="221"/>
      <c r="L6597" s="221"/>
      <c r="M6597" s="221"/>
    </row>
    <row r="6598" spans="5:13">
      <c r="E6598" s="221"/>
      <c r="F6598" s="221"/>
      <c r="G6598" s="221"/>
      <c r="H6598" s="221"/>
      <c r="I6598" s="221"/>
      <c r="J6598" s="221"/>
      <c r="K6598" s="221"/>
      <c r="L6598" s="221"/>
      <c r="M6598" s="221"/>
    </row>
    <row r="6599" spans="5:13">
      <c r="E6599" s="221"/>
      <c r="F6599" s="221"/>
      <c r="G6599" s="221"/>
      <c r="H6599" s="221"/>
      <c r="I6599" s="221"/>
      <c r="J6599" s="221"/>
      <c r="K6599" s="221"/>
      <c r="L6599" s="221"/>
      <c r="M6599" s="221"/>
    </row>
    <row r="6600" spans="5:13">
      <c r="E6600" s="221"/>
      <c r="F6600" s="221"/>
      <c r="G6600" s="221"/>
      <c r="H6600" s="221"/>
      <c r="I6600" s="221"/>
      <c r="J6600" s="221"/>
      <c r="K6600" s="221"/>
      <c r="L6600" s="221"/>
      <c r="M6600" s="221"/>
    </row>
    <row r="6601" spans="5:13">
      <c r="E6601" s="221"/>
      <c r="F6601" s="221"/>
      <c r="G6601" s="221"/>
      <c r="H6601" s="221"/>
      <c r="I6601" s="221"/>
      <c r="J6601" s="221"/>
      <c r="K6601" s="221"/>
      <c r="L6601" s="221"/>
      <c r="M6601" s="221"/>
    </row>
    <row r="6602" spans="5:13">
      <c r="E6602" s="221"/>
      <c r="F6602" s="221"/>
      <c r="G6602" s="221"/>
      <c r="H6602" s="221"/>
      <c r="I6602" s="221"/>
      <c r="J6602" s="221"/>
      <c r="K6602" s="221"/>
      <c r="L6602" s="221"/>
      <c r="M6602" s="221"/>
    </row>
    <row r="6603" spans="5:13">
      <c r="E6603" s="221"/>
      <c r="F6603" s="221"/>
      <c r="G6603" s="221"/>
      <c r="H6603" s="221"/>
      <c r="I6603" s="221"/>
      <c r="J6603" s="221"/>
      <c r="K6603" s="221"/>
      <c r="L6603" s="221"/>
      <c r="M6603" s="221"/>
    </row>
    <row r="6604" spans="5:13">
      <c r="E6604" s="221"/>
      <c r="F6604" s="221"/>
      <c r="G6604" s="221"/>
      <c r="H6604" s="221"/>
      <c r="I6604" s="221"/>
      <c r="J6604" s="221"/>
      <c r="K6604" s="221"/>
      <c r="L6604" s="221"/>
      <c r="M6604" s="221"/>
    </row>
    <row r="6605" spans="5:13">
      <c r="E6605" s="221"/>
      <c r="F6605" s="221"/>
      <c r="G6605" s="221"/>
      <c r="H6605" s="221"/>
      <c r="I6605" s="221"/>
      <c r="J6605" s="221"/>
      <c r="K6605" s="221"/>
      <c r="L6605" s="221"/>
      <c r="M6605" s="221"/>
    </row>
    <row r="6606" spans="5:13">
      <c r="E6606" s="221"/>
      <c r="F6606" s="221"/>
      <c r="G6606" s="221"/>
      <c r="H6606" s="221"/>
      <c r="I6606" s="221"/>
      <c r="J6606" s="221"/>
      <c r="K6606" s="221"/>
      <c r="L6606" s="221"/>
      <c r="M6606" s="221"/>
    </row>
    <row r="6607" spans="5:13">
      <c r="E6607" s="221"/>
      <c r="F6607" s="221"/>
      <c r="G6607" s="221"/>
      <c r="H6607" s="221"/>
      <c r="I6607" s="221"/>
      <c r="J6607" s="221"/>
      <c r="K6607" s="221"/>
      <c r="L6607" s="221"/>
      <c r="M6607" s="221"/>
    </row>
    <row r="6608" spans="5:13">
      <c r="E6608" s="221"/>
      <c r="F6608" s="221"/>
      <c r="G6608" s="221"/>
      <c r="H6608" s="221"/>
      <c r="I6608" s="221"/>
      <c r="J6608" s="221"/>
      <c r="K6608" s="221"/>
      <c r="L6608" s="221"/>
      <c r="M6608" s="221"/>
    </row>
    <row r="6609" spans="5:13">
      <c r="E6609" s="221"/>
      <c r="F6609" s="221"/>
      <c r="G6609" s="221"/>
      <c r="H6609" s="221"/>
      <c r="I6609" s="221"/>
      <c r="J6609" s="221"/>
      <c r="K6609" s="221"/>
      <c r="L6609" s="221"/>
      <c r="M6609" s="221"/>
    </row>
    <row r="6610" spans="5:13">
      <c r="E6610" s="221"/>
      <c r="F6610" s="221"/>
      <c r="G6610" s="221"/>
      <c r="H6610" s="221"/>
      <c r="I6610" s="221"/>
      <c r="J6610" s="221"/>
      <c r="K6610" s="221"/>
      <c r="L6610" s="221"/>
      <c r="M6610" s="221"/>
    </row>
    <row r="6611" spans="5:13">
      <c r="E6611" s="221"/>
      <c r="F6611" s="221"/>
      <c r="G6611" s="221"/>
      <c r="H6611" s="221"/>
      <c r="I6611" s="221"/>
      <c r="J6611" s="221"/>
      <c r="K6611" s="221"/>
      <c r="L6611" s="221"/>
      <c r="M6611" s="221"/>
    </row>
    <row r="6612" spans="5:13">
      <c r="E6612" s="221"/>
      <c r="F6612" s="221"/>
      <c r="G6612" s="221"/>
      <c r="H6612" s="221"/>
      <c r="I6612" s="221"/>
      <c r="J6612" s="221"/>
      <c r="K6612" s="221"/>
      <c r="L6612" s="221"/>
      <c r="M6612" s="221"/>
    </row>
    <row r="6613" spans="5:13">
      <c r="E6613" s="221"/>
      <c r="F6613" s="221"/>
      <c r="G6613" s="221"/>
      <c r="H6613" s="221"/>
      <c r="I6613" s="221"/>
      <c r="J6613" s="221"/>
      <c r="K6613" s="221"/>
      <c r="L6613" s="221"/>
      <c r="M6613" s="221"/>
    </row>
    <row r="6614" spans="5:13">
      <c r="E6614" s="221"/>
      <c r="F6614" s="221"/>
      <c r="G6614" s="221"/>
      <c r="H6614" s="221"/>
      <c r="I6614" s="221"/>
      <c r="J6614" s="221"/>
      <c r="K6614" s="221"/>
      <c r="L6614" s="221"/>
      <c r="M6614" s="221"/>
    </row>
    <row r="6615" spans="5:13">
      <c r="E6615" s="221"/>
      <c r="F6615" s="221"/>
      <c r="G6615" s="221"/>
      <c r="H6615" s="221"/>
      <c r="I6615" s="221"/>
      <c r="J6615" s="221"/>
      <c r="K6615" s="221"/>
      <c r="L6615" s="221"/>
      <c r="M6615" s="221"/>
    </row>
    <row r="6616" spans="5:13">
      <c r="E6616" s="221"/>
      <c r="F6616" s="221"/>
      <c r="G6616" s="221"/>
      <c r="H6616" s="221"/>
      <c r="I6616" s="221"/>
      <c r="J6616" s="221"/>
      <c r="K6616" s="221"/>
      <c r="L6616" s="221"/>
      <c r="M6616" s="221"/>
    </row>
    <row r="6617" spans="5:13">
      <c r="E6617" s="221"/>
      <c r="F6617" s="221"/>
      <c r="G6617" s="221"/>
      <c r="H6617" s="221"/>
      <c r="I6617" s="221"/>
      <c r="J6617" s="221"/>
      <c r="K6617" s="221"/>
      <c r="L6617" s="221"/>
      <c r="M6617" s="221"/>
    </row>
    <row r="6618" spans="5:13">
      <c r="E6618" s="221"/>
      <c r="F6618" s="221"/>
      <c r="G6618" s="221"/>
      <c r="H6618" s="221"/>
      <c r="I6618" s="221"/>
      <c r="J6618" s="221"/>
      <c r="K6618" s="221"/>
      <c r="L6618" s="221"/>
      <c r="M6618" s="221"/>
    </row>
    <row r="6619" spans="5:13">
      <c r="E6619" s="221"/>
      <c r="F6619" s="221"/>
      <c r="G6619" s="221"/>
      <c r="H6619" s="221"/>
      <c r="I6619" s="221"/>
      <c r="J6619" s="221"/>
      <c r="K6619" s="221"/>
      <c r="L6619" s="221"/>
      <c r="M6619" s="221"/>
    </row>
    <row r="6620" spans="5:13">
      <c r="E6620" s="221"/>
      <c r="F6620" s="221"/>
      <c r="G6620" s="221"/>
      <c r="H6620" s="221"/>
      <c r="I6620" s="221"/>
      <c r="J6620" s="221"/>
      <c r="K6620" s="221"/>
      <c r="L6620" s="221"/>
      <c r="M6620" s="221"/>
    </row>
    <row r="6621" spans="5:13">
      <c r="E6621" s="221"/>
      <c r="F6621" s="221"/>
      <c r="G6621" s="221"/>
      <c r="H6621" s="221"/>
      <c r="I6621" s="221"/>
      <c r="J6621" s="221"/>
      <c r="K6621" s="221"/>
      <c r="L6621" s="221"/>
      <c r="M6621" s="221"/>
    </row>
    <row r="6622" spans="5:13">
      <c r="E6622" s="221"/>
      <c r="F6622" s="221"/>
      <c r="G6622" s="221"/>
      <c r="H6622" s="221"/>
      <c r="I6622" s="221"/>
      <c r="J6622" s="221"/>
      <c r="K6622" s="221"/>
      <c r="L6622" s="221"/>
      <c r="M6622" s="221"/>
    </row>
    <row r="6623" spans="5:13">
      <c r="E6623" s="221"/>
      <c r="F6623" s="221"/>
      <c r="G6623" s="221"/>
      <c r="H6623" s="221"/>
      <c r="I6623" s="221"/>
      <c r="J6623" s="221"/>
      <c r="K6623" s="221"/>
      <c r="L6623" s="221"/>
      <c r="M6623" s="221"/>
    </row>
    <row r="6624" spans="5:13">
      <c r="E6624" s="221"/>
      <c r="F6624" s="221"/>
      <c r="G6624" s="221"/>
      <c r="H6624" s="221"/>
      <c r="I6624" s="221"/>
      <c r="J6624" s="221"/>
      <c r="K6624" s="221"/>
      <c r="L6624" s="221"/>
      <c r="M6624" s="221"/>
    </row>
    <row r="6625" spans="5:13">
      <c r="E6625" s="221"/>
      <c r="F6625" s="221"/>
      <c r="G6625" s="221"/>
      <c r="H6625" s="221"/>
      <c r="I6625" s="221"/>
      <c r="J6625" s="221"/>
      <c r="K6625" s="221"/>
      <c r="L6625" s="221"/>
      <c r="M6625" s="221"/>
    </row>
    <row r="6626" spans="5:13">
      <c r="E6626" s="221"/>
      <c r="F6626" s="221"/>
      <c r="G6626" s="221"/>
      <c r="H6626" s="221"/>
      <c r="I6626" s="221"/>
      <c r="J6626" s="221"/>
      <c r="K6626" s="221"/>
      <c r="L6626" s="221"/>
      <c r="M6626" s="221"/>
    </row>
    <row r="6627" spans="5:13">
      <c r="E6627" s="221"/>
      <c r="F6627" s="221"/>
      <c r="G6627" s="221"/>
      <c r="H6627" s="221"/>
      <c r="I6627" s="221"/>
      <c r="J6627" s="221"/>
      <c r="K6627" s="221"/>
      <c r="L6627" s="221"/>
      <c r="M6627" s="221"/>
    </row>
    <row r="6628" spans="5:13">
      <c r="E6628" s="221"/>
      <c r="F6628" s="221"/>
      <c r="G6628" s="221"/>
      <c r="H6628" s="221"/>
      <c r="I6628" s="221"/>
      <c r="J6628" s="221"/>
      <c r="K6628" s="221"/>
      <c r="L6628" s="221"/>
      <c r="M6628" s="221"/>
    </row>
    <row r="6629" spans="5:13">
      <c r="E6629" s="221"/>
      <c r="F6629" s="221"/>
      <c r="G6629" s="221"/>
      <c r="H6629" s="221"/>
      <c r="I6629" s="221"/>
      <c r="J6629" s="221"/>
      <c r="K6629" s="221"/>
      <c r="L6629" s="221"/>
      <c r="M6629" s="221"/>
    </row>
    <row r="6630" spans="5:13">
      <c r="E6630" s="221"/>
      <c r="F6630" s="221"/>
      <c r="G6630" s="221"/>
      <c r="H6630" s="221"/>
      <c r="I6630" s="221"/>
      <c r="J6630" s="221"/>
      <c r="K6630" s="221"/>
      <c r="L6630" s="221"/>
      <c r="M6630" s="221"/>
    </row>
    <row r="6631" spans="5:13">
      <c r="E6631" s="221"/>
      <c r="F6631" s="221"/>
      <c r="G6631" s="221"/>
      <c r="H6631" s="221"/>
      <c r="I6631" s="221"/>
      <c r="J6631" s="221"/>
      <c r="K6631" s="221"/>
      <c r="L6631" s="221"/>
      <c r="M6631" s="221"/>
    </row>
    <row r="6632" spans="5:13">
      <c r="E6632" s="221"/>
      <c r="F6632" s="221"/>
      <c r="G6632" s="221"/>
      <c r="H6632" s="221"/>
      <c r="I6632" s="221"/>
      <c r="J6632" s="221"/>
      <c r="K6632" s="221"/>
      <c r="L6632" s="221"/>
      <c r="M6632" s="221"/>
    </row>
    <row r="6633" spans="5:13">
      <c r="E6633" s="221"/>
      <c r="F6633" s="221"/>
      <c r="G6633" s="221"/>
      <c r="H6633" s="221"/>
      <c r="I6633" s="221"/>
      <c r="J6633" s="221"/>
      <c r="K6633" s="221"/>
      <c r="L6633" s="221"/>
      <c r="M6633" s="221"/>
    </row>
    <row r="6634" spans="5:13">
      <c r="E6634" s="221"/>
      <c r="F6634" s="221"/>
      <c r="G6634" s="221"/>
      <c r="H6634" s="221"/>
      <c r="I6634" s="221"/>
      <c r="J6634" s="221"/>
      <c r="K6634" s="221"/>
      <c r="L6634" s="221"/>
      <c r="M6634" s="221"/>
    </row>
    <row r="6635" spans="5:13">
      <c r="E6635" s="221"/>
      <c r="F6635" s="221"/>
      <c r="G6635" s="221"/>
      <c r="H6635" s="221"/>
      <c r="I6635" s="221"/>
      <c r="J6635" s="221"/>
      <c r="K6635" s="221"/>
      <c r="L6635" s="221"/>
      <c r="M6635" s="221"/>
    </row>
    <row r="6636" spans="5:13">
      <c r="E6636" s="221"/>
      <c r="F6636" s="221"/>
      <c r="G6636" s="221"/>
      <c r="H6636" s="221"/>
      <c r="I6636" s="221"/>
      <c r="J6636" s="221"/>
      <c r="K6636" s="221"/>
      <c r="L6636" s="221"/>
      <c r="M6636" s="221"/>
    </row>
    <row r="6637" spans="5:13">
      <c r="E6637" s="221"/>
      <c r="F6637" s="221"/>
      <c r="G6637" s="221"/>
      <c r="H6637" s="221"/>
      <c r="I6637" s="221"/>
      <c r="J6637" s="221"/>
      <c r="K6637" s="221"/>
      <c r="L6637" s="221"/>
      <c r="M6637" s="221"/>
    </row>
    <row r="6638" spans="5:13">
      <c r="E6638" s="221"/>
      <c r="F6638" s="221"/>
      <c r="G6638" s="221"/>
      <c r="H6638" s="221"/>
      <c r="I6638" s="221"/>
      <c r="J6638" s="221"/>
      <c r="K6638" s="221"/>
      <c r="L6638" s="221"/>
      <c r="M6638" s="221"/>
    </row>
    <row r="6639" spans="5:13">
      <c r="E6639" s="221"/>
      <c r="F6639" s="221"/>
      <c r="G6639" s="221"/>
      <c r="H6639" s="221"/>
      <c r="I6639" s="221"/>
      <c r="J6639" s="221"/>
      <c r="K6639" s="221"/>
      <c r="L6639" s="221"/>
      <c r="M6639" s="221"/>
    </row>
    <row r="6640" spans="5:13">
      <c r="E6640" s="221"/>
      <c r="F6640" s="221"/>
      <c r="G6640" s="221"/>
      <c r="H6640" s="221"/>
      <c r="I6640" s="221"/>
      <c r="J6640" s="221"/>
      <c r="K6640" s="221"/>
      <c r="L6640" s="221"/>
      <c r="M6640" s="221"/>
    </row>
    <row r="6641" spans="5:13">
      <c r="E6641" s="221"/>
      <c r="F6641" s="221"/>
      <c r="G6641" s="221"/>
      <c r="H6641" s="221"/>
      <c r="I6641" s="221"/>
      <c r="J6641" s="221"/>
      <c r="K6641" s="221"/>
      <c r="L6641" s="221"/>
      <c r="M6641" s="221"/>
    </row>
    <row r="6642" spans="5:13">
      <c r="E6642" s="221"/>
      <c r="F6642" s="221"/>
      <c r="G6642" s="221"/>
      <c r="H6642" s="221"/>
      <c r="I6642" s="221"/>
      <c r="J6642" s="221"/>
      <c r="K6642" s="221"/>
      <c r="L6642" s="221"/>
      <c r="M6642" s="221"/>
    </row>
    <row r="6643" spans="5:13">
      <c r="E6643" s="221"/>
      <c r="F6643" s="221"/>
      <c r="G6643" s="221"/>
      <c r="H6643" s="221"/>
      <c r="I6643" s="221"/>
      <c r="J6643" s="221"/>
      <c r="K6643" s="221"/>
      <c r="L6643" s="221"/>
      <c r="M6643" s="221"/>
    </row>
    <row r="6644" spans="5:13">
      <c r="E6644" s="221"/>
      <c r="F6644" s="221"/>
      <c r="G6644" s="221"/>
      <c r="H6644" s="221"/>
      <c r="I6644" s="221"/>
      <c r="J6644" s="221"/>
      <c r="K6644" s="221"/>
      <c r="L6644" s="221"/>
      <c r="M6644" s="221"/>
    </row>
    <row r="6645" spans="5:13">
      <c r="E6645" s="221"/>
      <c r="F6645" s="221"/>
      <c r="G6645" s="221"/>
      <c r="H6645" s="221"/>
      <c r="I6645" s="221"/>
      <c r="J6645" s="221"/>
      <c r="K6645" s="221"/>
      <c r="L6645" s="221"/>
      <c r="M6645" s="221"/>
    </row>
    <row r="6646" spans="5:13">
      <c r="E6646" s="221"/>
      <c r="F6646" s="221"/>
      <c r="G6646" s="221"/>
      <c r="H6646" s="221"/>
      <c r="I6646" s="221"/>
      <c r="J6646" s="221"/>
      <c r="K6646" s="221"/>
      <c r="L6646" s="221"/>
      <c r="M6646" s="221"/>
    </row>
    <row r="6647" spans="5:13">
      <c r="E6647" s="221"/>
      <c r="F6647" s="221"/>
      <c r="G6647" s="221"/>
      <c r="H6647" s="221"/>
      <c r="I6647" s="221"/>
      <c r="J6647" s="221"/>
      <c r="K6647" s="221"/>
      <c r="L6647" s="221"/>
      <c r="M6647" s="221"/>
    </row>
    <row r="6648" spans="5:13">
      <c r="E6648" s="221"/>
      <c r="F6648" s="221"/>
      <c r="G6648" s="221"/>
      <c r="H6648" s="221"/>
      <c r="I6648" s="221"/>
      <c r="J6648" s="221"/>
      <c r="K6648" s="221"/>
      <c r="L6648" s="221"/>
      <c r="M6648" s="221"/>
    </row>
    <row r="6649" spans="5:13">
      <c r="E6649" s="221"/>
      <c r="F6649" s="221"/>
      <c r="G6649" s="221"/>
      <c r="H6649" s="221"/>
      <c r="I6649" s="221"/>
      <c r="J6649" s="221"/>
      <c r="K6649" s="221"/>
      <c r="L6649" s="221"/>
      <c r="M6649" s="221"/>
    </row>
    <row r="6650" spans="5:13">
      <c r="E6650" s="221"/>
      <c r="F6650" s="221"/>
      <c r="G6650" s="221"/>
      <c r="H6650" s="221"/>
      <c r="I6650" s="221"/>
      <c r="J6650" s="221"/>
      <c r="K6650" s="221"/>
      <c r="L6650" s="221"/>
      <c r="M6650" s="221"/>
    </row>
    <row r="6651" spans="5:13">
      <c r="E6651" s="221"/>
      <c r="F6651" s="221"/>
      <c r="G6651" s="221"/>
      <c r="H6651" s="221"/>
      <c r="I6651" s="221"/>
      <c r="J6651" s="221"/>
      <c r="K6651" s="221"/>
      <c r="L6651" s="221"/>
      <c r="M6651" s="221"/>
    </row>
    <row r="6652" spans="5:13">
      <c r="E6652" s="221"/>
      <c r="F6652" s="221"/>
      <c r="G6652" s="221"/>
      <c r="H6652" s="221"/>
      <c r="I6652" s="221"/>
      <c r="J6652" s="221"/>
      <c r="K6652" s="221"/>
      <c r="L6652" s="221"/>
      <c r="M6652" s="221"/>
    </row>
    <row r="6653" spans="5:13">
      <c r="E6653" s="221"/>
      <c r="F6653" s="221"/>
      <c r="G6653" s="221"/>
      <c r="H6653" s="221"/>
      <c r="I6653" s="221"/>
      <c r="J6653" s="221"/>
      <c r="K6653" s="221"/>
      <c r="L6653" s="221"/>
      <c r="M6653" s="221"/>
    </row>
    <row r="6654" spans="5:13">
      <c r="E6654" s="221"/>
      <c r="F6654" s="221"/>
      <c r="G6654" s="221"/>
      <c r="H6654" s="221"/>
      <c r="I6654" s="221"/>
      <c r="J6654" s="221"/>
      <c r="K6654" s="221"/>
      <c r="L6654" s="221"/>
      <c r="M6654" s="221"/>
    </row>
    <row r="6655" spans="5:13">
      <c r="E6655" s="221"/>
      <c r="F6655" s="221"/>
      <c r="G6655" s="221"/>
      <c r="H6655" s="221"/>
      <c r="I6655" s="221"/>
      <c r="J6655" s="221"/>
      <c r="K6655" s="221"/>
      <c r="L6655" s="221"/>
      <c r="M6655" s="221"/>
    </row>
    <row r="6656" spans="5:13">
      <c r="E6656" s="221"/>
      <c r="F6656" s="221"/>
      <c r="G6656" s="221"/>
      <c r="H6656" s="221"/>
      <c r="I6656" s="221"/>
      <c r="J6656" s="221"/>
      <c r="K6656" s="221"/>
      <c r="L6656" s="221"/>
      <c r="M6656" s="221"/>
    </row>
    <row r="6657" spans="5:13">
      <c r="E6657" s="221"/>
      <c r="F6657" s="221"/>
      <c r="G6657" s="221"/>
      <c r="H6657" s="221"/>
      <c r="I6657" s="221"/>
      <c r="J6657" s="221"/>
      <c r="K6657" s="221"/>
      <c r="L6657" s="221"/>
      <c r="M6657" s="221"/>
    </row>
    <row r="6658" spans="5:13">
      <c r="E6658" s="221"/>
      <c r="F6658" s="221"/>
      <c r="G6658" s="221"/>
      <c r="H6658" s="221"/>
      <c r="I6658" s="221"/>
      <c r="J6658" s="221"/>
      <c r="K6658" s="221"/>
      <c r="L6658" s="221"/>
      <c r="M6658" s="221"/>
    </row>
    <row r="6659" spans="5:13">
      <c r="E6659" s="221"/>
      <c r="F6659" s="221"/>
      <c r="G6659" s="221"/>
      <c r="H6659" s="221"/>
      <c r="I6659" s="221"/>
      <c r="J6659" s="221"/>
      <c r="K6659" s="221"/>
      <c r="L6659" s="221"/>
      <c r="M6659" s="221"/>
    </row>
    <row r="6660" spans="5:13">
      <c r="E6660" s="221"/>
      <c r="F6660" s="221"/>
      <c r="G6660" s="221"/>
      <c r="H6660" s="221"/>
      <c r="I6660" s="221"/>
      <c r="J6660" s="221"/>
      <c r="K6660" s="221"/>
      <c r="L6660" s="221"/>
      <c r="M6660" s="221"/>
    </row>
    <row r="6661" spans="5:13">
      <c r="E6661" s="221"/>
      <c r="F6661" s="221"/>
      <c r="G6661" s="221"/>
      <c r="H6661" s="221"/>
      <c r="I6661" s="221"/>
      <c r="J6661" s="221"/>
      <c r="K6661" s="221"/>
      <c r="L6661" s="221"/>
      <c r="M6661" s="221"/>
    </row>
    <row r="6662" spans="5:13">
      <c r="E6662" s="221"/>
      <c r="F6662" s="221"/>
      <c r="G6662" s="221"/>
      <c r="H6662" s="221"/>
      <c r="I6662" s="221"/>
      <c r="J6662" s="221"/>
      <c r="K6662" s="221"/>
      <c r="L6662" s="221"/>
      <c r="M6662" s="221"/>
    </row>
    <row r="6663" spans="5:13">
      <c r="E6663" s="221"/>
      <c r="F6663" s="221"/>
      <c r="G6663" s="221"/>
      <c r="H6663" s="221"/>
      <c r="I6663" s="221"/>
      <c r="J6663" s="221"/>
      <c r="K6663" s="221"/>
      <c r="L6663" s="221"/>
      <c r="M6663" s="221"/>
    </row>
    <row r="6664" spans="5:13">
      <c r="E6664" s="221"/>
      <c r="F6664" s="221"/>
      <c r="G6664" s="221"/>
      <c r="H6664" s="221"/>
      <c r="I6664" s="221"/>
      <c r="J6664" s="221"/>
      <c r="K6664" s="221"/>
      <c r="L6664" s="221"/>
      <c r="M6664" s="221"/>
    </row>
    <row r="6665" spans="5:13">
      <c r="E6665" s="221"/>
      <c r="F6665" s="221"/>
      <c r="G6665" s="221"/>
      <c r="H6665" s="221"/>
      <c r="I6665" s="221"/>
      <c r="J6665" s="221"/>
      <c r="K6665" s="221"/>
      <c r="L6665" s="221"/>
      <c r="M6665" s="221"/>
    </row>
    <row r="6666" spans="5:13">
      <c r="E6666" s="221"/>
      <c r="F6666" s="221"/>
      <c r="G6666" s="221"/>
      <c r="H6666" s="221"/>
      <c r="I6666" s="221"/>
      <c r="J6666" s="221"/>
      <c r="K6666" s="221"/>
      <c r="L6666" s="221"/>
      <c r="M6666" s="221"/>
    </row>
    <row r="6667" spans="5:13">
      <c r="E6667" s="221"/>
      <c r="F6667" s="221"/>
      <c r="G6667" s="221"/>
      <c r="H6667" s="221"/>
      <c r="I6667" s="221"/>
      <c r="J6667" s="221"/>
      <c r="K6667" s="221"/>
      <c r="L6667" s="221"/>
      <c r="M6667" s="221"/>
    </row>
    <row r="6668" spans="5:13">
      <c r="E6668" s="221"/>
      <c r="F6668" s="221"/>
      <c r="G6668" s="221"/>
      <c r="H6668" s="221"/>
      <c r="I6668" s="221"/>
      <c r="J6668" s="221"/>
      <c r="K6668" s="221"/>
      <c r="L6668" s="221"/>
      <c r="M6668" s="221"/>
    </row>
    <row r="6669" spans="5:13">
      <c r="E6669" s="221"/>
      <c r="F6669" s="221"/>
      <c r="G6669" s="221"/>
      <c r="H6669" s="221"/>
      <c r="I6669" s="221"/>
      <c r="J6669" s="221"/>
      <c r="K6669" s="221"/>
      <c r="L6669" s="221"/>
      <c r="M6669" s="221"/>
    </row>
    <row r="6670" spans="5:13">
      <c r="E6670" s="221"/>
      <c r="F6670" s="221"/>
      <c r="G6670" s="221"/>
      <c r="H6670" s="221"/>
      <c r="I6670" s="221"/>
      <c r="J6670" s="221"/>
      <c r="K6670" s="221"/>
      <c r="L6670" s="221"/>
      <c r="M6670" s="221"/>
    </row>
    <row r="6671" spans="5:13">
      <c r="E6671" s="221"/>
      <c r="F6671" s="221"/>
      <c r="G6671" s="221"/>
      <c r="H6671" s="221"/>
      <c r="I6671" s="221"/>
      <c r="J6671" s="221"/>
      <c r="K6671" s="221"/>
      <c r="L6671" s="221"/>
      <c r="M6671" s="221"/>
    </row>
    <row r="6672" spans="5:13">
      <c r="E6672" s="221"/>
      <c r="F6672" s="221"/>
      <c r="G6672" s="221"/>
      <c r="H6672" s="221"/>
      <c r="I6672" s="221"/>
      <c r="J6672" s="221"/>
      <c r="K6672" s="221"/>
      <c r="L6672" s="221"/>
      <c r="M6672" s="221"/>
    </row>
    <row r="6673" spans="5:13">
      <c r="E6673" s="221"/>
      <c r="F6673" s="221"/>
      <c r="G6673" s="221"/>
      <c r="H6673" s="221"/>
      <c r="I6673" s="221"/>
      <c r="J6673" s="221"/>
      <c r="K6673" s="221"/>
      <c r="L6673" s="221"/>
      <c r="M6673" s="221"/>
    </row>
    <row r="6674" spans="5:13">
      <c r="E6674" s="221"/>
      <c r="F6674" s="221"/>
      <c r="G6674" s="221"/>
      <c r="H6674" s="221"/>
      <c r="I6674" s="221"/>
      <c r="J6674" s="221"/>
      <c r="K6674" s="221"/>
      <c r="L6674" s="221"/>
      <c r="M6674" s="221"/>
    </row>
    <row r="6675" spans="5:13">
      <c r="E6675" s="221"/>
      <c r="F6675" s="221"/>
      <c r="G6675" s="221"/>
      <c r="H6675" s="221"/>
      <c r="I6675" s="221"/>
      <c r="J6675" s="221"/>
      <c r="K6675" s="221"/>
      <c r="L6675" s="221"/>
      <c r="M6675" s="221"/>
    </row>
    <row r="6676" spans="5:13">
      <c r="E6676" s="221"/>
      <c r="F6676" s="221"/>
      <c r="G6676" s="221"/>
      <c r="H6676" s="221"/>
      <c r="I6676" s="221"/>
      <c r="J6676" s="221"/>
      <c r="K6676" s="221"/>
      <c r="L6676" s="221"/>
      <c r="M6676" s="221"/>
    </row>
    <row r="6677" spans="5:13">
      <c r="E6677" s="221"/>
      <c r="F6677" s="221"/>
      <c r="G6677" s="221"/>
      <c r="H6677" s="221"/>
      <c r="I6677" s="221"/>
      <c r="J6677" s="221"/>
      <c r="K6677" s="221"/>
      <c r="L6677" s="221"/>
      <c r="M6677" s="221"/>
    </row>
    <row r="6678" spans="5:13">
      <c r="E6678" s="221"/>
      <c r="F6678" s="221"/>
      <c r="G6678" s="221"/>
      <c r="H6678" s="221"/>
      <c r="I6678" s="221"/>
      <c r="J6678" s="221"/>
      <c r="K6678" s="221"/>
      <c r="L6678" s="221"/>
      <c r="M6678" s="221"/>
    </row>
    <row r="6679" spans="5:13">
      <c r="E6679" s="221"/>
      <c r="F6679" s="221"/>
      <c r="G6679" s="221"/>
      <c r="H6679" s="221"/>
      <c r="I6679" s="221"/>
      <c r="J6679" s="221"/>
      <c r="K6679" s="221"/>
      <c r="L6679" s="221"/>
      <c r="M6679" s="221"/>
    </row>
    <row r="6680" spans="5:13">
      <c r="E6680" s="221"/>
      <c r="F6680" s="221"/>
      <c r="G6680" s="221"/>
      <c r="H6680" s="221"/>
      <c r="I6680" s="221"/>
      <c r="J6680" s="221"/>
      <c r="K6680" s="221"/>
      <c r="L6680" s="221"/>
      <c r="M6680" s="221"/>
    </row>
    <row r="6681" spans="5:13">
      <c r="E6681" s="221"/>
      <c r="F6681" s="221"/>
      <c r="G6681" s="221"/>
      <c r="H6681" s="221"/>
      <c r="I6681" s="221"/>
      <c r="J6681" s="221"/>
      <c r="K6681" s="221"/>
      <c r="L6681" s="221"/>
      <c r="M6681" s="221"/>
    </row>
    <row r="6682" spans="5:13">
      <c r="E6682" s="221"/>
      <c r="F6682" s="221"/>
      <c r="G6682" s="221"/>
      <c r="H6682" s="221"/>
      <c r="I6682" s="221"/>
      <c r="J6682" s="221"/>
      <c r="K6682" s="221"/>
      <c r="L6682" s="221"/>
      <c r="M6682" s="221"/>
    </row>
    <row r="6683" spans="5:13">
      <c r="E6683" s="221"/>
      <c r="F6683" s="221"/>
      <c r="G6683" s="221"/>
      <c r="H6683" s="221"/>
      <c r="I6683" s="221"/>
      <c r="J6683" s="221"/>
      <c r="K6683" s="221"/>
      <c r="L6683" s="221"/>
      <c r="M6683" s="221"/>
    </row>
    <row r="6684" spans="5:13">
      <c r="E6684" s="221"/>
      <c r="F6684" s="221"/>
      <c r="G6684" s="221"/>
      <c r="H6684" s="221"/>
      <c r="I6684" s="221"/>
      <c r="J6684" s="221"/>
      <c r="K6684" s="221"/>
      <c r="L6684" s="221"/>
      <c r="M6684" s="221"/>
    </row>
    <row r="6685" spans="5:13">
      <c r="E6685" s="221"/>
      <c r="F6685" s="221"/>
      <c r="G6685" s="221"/>
      <c r="H6685" s="221"/>
      <c r="I6685" s="221"/>
      <c r="J6685" s="221"/>
      <c r="K6685" s="221"/>
      <c r="L6685" s="221"/>
      <c r="M6685" s="221"/>
    </row>
    <row r="6686" spans="5:13">
      <c r="E6686" s="221"/>
      <c r="F6686" s="221"/>
      <c r="G6686" s="221"/>
      <c r="H6686" s="221"/>
      <c r="I6686" s="221"/>
      <c r="J6686" s="221"/>
      <c r="K6686" s="221"/>
      <c r="L6686" s="221"/>
      <c r="M6686" s="221"/>
    </row>
    <row r="6687" spans="5:13">
      <c r="E6687" s="221"/>
      <c r="F6687" s="221"/>
      <c r="G6687" s="221"/>
      <c r="H6687" s="221"/>
      <c r="I6687" s="221"/>
      <c r="J6687" s="221"/>
      <c r="K6687" s="221"/>
      <c r="L6687" s="221"/>
      <c r="M6687" s="221"/>
    </row>
    <row r="6688" spans="5:13">
      <c r="E6688" s="221"/>
      <c r="F6688" s="221"/>
      <c r="G6688" s="221"/>
      <c r="H6688" s="221"/>
      <c r="I6688" s="221"/>
      <c r="J6688" s="221"/>
      <c r="K6688" s="221"/>
      <c r="L6688" s="221"/>
      <c r="M6688" s="221"/>
    </row>
    <row r="6689" spans="5:13">
      <c r="E6689" s="221"/>
      <c r="F6689" s="221"/>
      <c r="G6689" s="221"/>
      <c r="H6689" s="221"/>
      <c r="I6689" s="221"/>
      <c r="J6689" s="221"/>
      <c r="K6689" s="221"/>
      <c r="L6689" s="221"/>
      <c r="M6689" s="221"/>
    </row>
    <row r="6690" spans="5:13">
      <c r="E6690" s="221"/>
      <c r="F6690" s="221"/>
      <c r="G6690" s="221"/>
      <c r="H6690" s="221"/>
      <c r="I6690" s="221"/>
      <c r="J6690" s="221"/>
      <c r="K6690" s="221"/>
      <c r="L6690" s="221"/>
      <c r="M6690" s="221"/>
    </row>
    <row r="6691" spans="5:13">
      <c r="E6691" s="221"/>
      <c r="F6691" s="221"/>
      <c r="G6691" s="221"/>
      <c r="H6691" s="221"/>
      <c r="I6691" s="221"/>
      <c r="J6691" s="221"/>
      <c r="K6691" s="221"/>
      <c r="L6691" s="221"/>
      <c r="M6691" s="221"/>
    </row>
    <row r="6692" spans="5:13">
      <c r="E6692" s="221"/>
      <c r="F6692" s="221"/>
      <c r="G6692" s="221"/>
      <c r="H6692" s="221"/>
      <c r="I6692" s="221"/>
      <c r="J6692" s="221"/>
      <c r="K6692" s="221"/>
      <c r="L6692" s="221"/>
      <c r="M6692" s="221"/>
    </row>
    <row r="6693" spans="5:13">
      <c r="E6693" s="221"/>
      <c r="F6693" s="221"/>
      <c r="G6693" s="221"/>
      <c r="H6693" s="221"/>
      <c r="I6693" s="221"/>
      <c r="J6693" s="221"/>
      <c r="K6693" s="221"/>
      <c r="L6693" s="221"/>
      <c r="M6693" s="221"/>
    </row>
    <row r="6694" spans="5:13">
      <c r="E6694" s="221"/>
      <c r="F6694" s="221"/>
      <c r="G6694" s="221"/>
      <c r="H6694" s="221"/>
      <c r="I6694" s="221"/>
      <c r="J6694" s="221"/>
      <c r="K6694" s="221"/>
      <c r="L6694" s="221"/>
      <c r="M6694" s="221"/>
    </row>
    <row r="6695" spans="5:13">
      <c r="E6695" s="221"/>
      <c r="F6695" s="221"/>
      <c r="G6695" s="221"/>
      <c r="H6695" s="221"/>
      <c r="I6695" s="221"/>
      <c r="J6695" s="221"/>
      <c r="K6695" s="221"/>
      <c r="L6695" s="221"/>
      <c r="M6695" s="221"/>
    </row>
    <row r="6696" spans="5:13">
      <c r="E6696" s="221"/>
      <c r="F6696" s="221"/>
      <c r="G6696" s="221"/>
      <c r="H6696" s="221"/>
      <c r="I6696" s="221"/>
      <c r="J6696" s="221"/>
      <c r="K6696" s="221"/>
      <c r="L6696" s="221"/>
      <c r="M6696" s="221"/>
    </row>
    <row r="6697" spans="5:13">
      <c r="E6697" s="221"/>
      <c r="F6697" s="221"/>
      <c r="G6697" s="221"/>
      <c r="H6697" s="221"/>
      <c r="I6697" s="221"/>
      <c r="J6697" s="221"/>
      <c r="K6697" s="221"/>
      <c r="L6697" s="221"/>
      <c r="M6697" s="221"/>
    </row>
    <row r="6698" spans="5:13">
      <c r="E6698" s="221"/>
      <c r="F6698" s="221"/>
      <c r="G6698" s="221"/>
      <c r="H6698" s="221"/>
      <c r="I6698" s="221"/>
      <c r="J6698" s="221"/>
      <c r="K6698" s="221"/>
      <c r="L6698" s="221"/>
      <c r="M6698" s="221"/>
    </row>
    <row r="6699" spans="5:13">
      <c r="E6699" s="221"/>
      <c r="F6699" s="221"/>
      <c r="G6699" s="221"/>
      <c r="H6699" s="221"/>
      <c r="I6699" s="221"/>
      <c r="J6699" s="221"/>
      <c r="K6699" s="221"/>
      <c r="L6699" s="221"/>
      <c r="M6699" s="221"/>
    </row>
    <row r="6700" spans="5:13">
      <c r="E6700" s="221"/>
      <c r="F6700" s="221"/>
      <c r="G6700" s="221"/>
      <c r="H6700" s="221"/>
      <c r="I6700" s="221"/>
      <c r="J6700" s="221"/>
      <c r="K6700" s="221"/>
      <c r="L6700" s="221"/>
      <c r="M6700" s="221"/>
    </row>
    <row r="6701" spans="5:13">
      <c r="E6701" s="221"/>
      <c r="F6701" s="221"/>
      <c r="G6701" s="221"/>
      <c r="H6701" s="221"/>
      <c r="I6701" s="221"/>
      <c r="J6701" s="221"/>
      <c r="K6701" s="221"/>
      <c r="L6701" s="221"/>
      <c r="M6701" s="221"/>
    </row>
    <row r="6702" spans="5:13">
      <c r="E6702" s="221"/>
      <c r="F6702" s="221"/>
      <c r="G6702" s="221"/>
      <c r="H6702" s="221"/>
      <c r="I6702" s="221"/>
      <c r="J6702" s="221"/>
      <c r="K6702" s="221"/>
      <c r="L6702" s="221"/>
      <c r="M6702" s="221"/>
    </row>
    <row r="6703" spans="5:13">
      <c r="E6703" s="221"/>
      <c r="F6703" s="221"/>
      <c r="G6703" s="221"/>
      <c r="H6703" s="221"/>
      <c r="I6703" s="221"/>
      <c r="J6703" s="221"/>
      <c r="K6703" s="221"/>
      <c r="L6703" s="221"/>
      <c r="M6703" s="221"/>
    </row>
    <row r="6704" spans="5:13">
      <c r="E6704" s="221"/>
      <c r="F6704" s="221"/>
      <c r="G6704" s="221"/>
      <c r="H6704" s="221"/>
      <c r="I6704" s="221"/>
      <c r="J6704" s="221"/>
      <c r="K6704" s="221"/>
      <c r="L6704" s="221"/>
      <c r="M6704" s="221"/>
    </row>
    <row r="6705" spans="5:13">
      <c r="E6705" s="221"/>
      <c r="F6705" s="221"/>
      <c r="G6705" s="221"/>
      <c r="H6705" s="221"/>
      <c r="I6705" s="221"/>
      <c r="J6705" s="221"/>
      <c r="K6705" s="221"/>
      <c r="L6705" s="221"/>
      <c r="M6705" s="221"/>
    </row>
    <row r="6706" spans="5:13">
      <c r="E6706" s="221"/>
      <c r="F6706" s="221"/>
      <c r="G6706" s="221"/>
      <c r="H6706" s="221"/>
      <c r="I6706" s="221"/>
      <c r="J6706" s="221"/>
      <c r="K6706" s="221"/>
      <c r="L6706" s="221"/>
      <c r="M6706" s="221"/>
    </row>
    <row r="6707" spans="5:13">
      <c r="E6707" s="221"/>
      <c r="F6707" s="221"/>
      <c r="G6707" s="221"/>
      <c r="H6707" s="221"/>
      <c r="I6707" s="221"/>
      <c r="J6707" s="221"/>
      <c r="K6707" s="221"/>
      <c r="L6707" s="221"/>
      <c r="M6707" s="221"/>
    </row>
    <row r="6708" spans="5:13">
      <c r="E6708" s="221"/>
      <c r="F6708" s="221"/>
      <c r="G6708" s="221"/>
      <c r="H6708" s="221"/>
      <c r="I6708" s="221"/>
      <c r="J6708" s="221"/>
      <c r="K6708" s="221"/>
      <c r="L6708" s="221"/>
      <c r="M6708" s="221"/>
    </row>
    <row r="6709" spans="5:13">
      <c r="E6709" s="221"/>
      <c r="F6709" s="221"/>
      <c r="G6709" s="221"/>
      <c r="H6709" s="221"/>
      <c r="I6709" s="221"/>
      <c r="J6709" s="221"/>
      <c r="K6709" s="221"/>
      <c r="L6709" s="221"/>
      <c r="M6709" s="221"/>
    </row>
    <row r="6710" spans="5:13">
      <c r="E6710" s="221"/>
      <c r="F6710" s="221"/>
      <c r="G6710" s="221"/>
      <c r="H6710" s="221"/>
      <c r="I6710" s="221"/>
      <c r="J6710" s="221"/>
      <c r="K6710" s="221"/>
      <c r="L6710" s="221"/>
      <c r="M6710" s="221"/>
    </row>
    <row r="6711" spans="5:13">
      <c r="E6711" s="221"/>
      <c r="F6711" s="221"/>
      <c r="G6711" s="221"/>
      <c r="H6711" s="221"/>
      <c r="I6711" s="221"/>
      <c r="J6711" s="221"/>
      <c r="K6711" s="221"/>
      <c r="L6711" s="221"/>
      <c r="M6711" s="221"/>
    </row>
    <row r="6712" spans="5:13">
      <c r="E6712" s="221"/>
      <c r="F6712" s="221"/>
      <c r="G6712" s="221"/>
      <c r="H6712" s="221"/>
      <c r="I6712" s="221"/>
      <c r="J6712" s="221"/>
      <c r="K6712" s="221"/>
      <c r="L6712" s="221"/>
      <c r="M6712" s="221"/>
    </row>
    <row r="6713" spans="5:13">
      <c r="E6713" s="221"/>
      <c r="F6713" s="221"/>
      <c r="G6713" s="221"/>
      <c r="H6713" s="221"/>
      <c r="I6713" s="221"/>
      <c r="J6713" s="221"/>
      <c r="K6713" s="221"/>
      <c r="L6713" s="221"/>
      <c r="M6713" s="221"/>
    </row>
    <row r="6714" spans="5:13">
      <c r="E6714" s="221"/>
      <c r="F6714" s="221"/>
      <c r="G6714" s="221"/>
      <c r="H6714" s="221"/>
      <c r="I6714" s="221"/>
      <c r="J6714" s="221"/>
      <c r="K6714" s="221"/>
      <c r="L6714" s="221"/>
      <c r="M6714" s="221"/>
    </row>
    <row r="6715" spans="5:13">
      <c r="E6715" s="221"/>
      <c r="F6715" s="221"/>
      <c r="G6715" s="221"/>
      <c r="H6715" s="221"/>
      <c r="I6715" s="221"/>
      <c r="J6715" s="221"/>
      <c r="K6715" s="221"/>
      <c r="L6715" s="221"/>
      <c r="M6715" s="221"/>
    </row>
    <row r="6716" spans="5:13">
      <c r="E6716" s="221"/>
      <c r="F6716" s="221"/>
      <c r="G6716" s="221"/>
      <c r="H6716" s="221"/>
      <c r="I6716" s="221"/>
      <c r="J6716" s="221"/>
      <c r="K6716" s="221"/>
      <c r="L6716" s="221"/>
      <c r="M6716" s="221"/>
    </row>
    <row r="6717" spans="5:13">
      <c r="E6717" s="221"/>
      <c r="F6717" s="221"/>
      <c r="G6717" s="221"/>
      <c r="H6717" s="221"/>
      <c r="I6717" s="221"/>
      <c r="J6717" s="221"/>
      <c r="K6717" s="221"/>
      <c r="L6717" s="221"/>
      <c r="M6717" s="221"/>
    </row>
    <row r="6718" spans="5:13">
      <c r="E6718" s="221"/>
      <c r="F6718" s="221"/>
      <c r="G6718" s="221"/>
      <c r="H6718" s="221"/>
      <c r="I6718" s="221"/>
      <c r="J6718" s="221"/>
      <c r="K6718" s="221"/>
      <c r="L6718" s="221"/>
      <c r="M6718" s="221"/>
    </row>
    <row r="6719" spans="5:13">
      <c r="E6719" s="221"/>
      <c r="F6719" s="221"/>
      <c r="G6719" s="221"/>
      <c r="H6719" s="221"/>
      <c r="I6719" s="221"/>
      <c r="J6719" s="221"/>
      <c r="K6719" s="221"/>
      <c r="L6719" s="221"/>
      <c r="M6719" s="221"/>
    </row>
    <row r="6720" spans="5:13">
      <c r="E6720" s="221"/>
      <c r="F6720" s="221"/>
      <c r="G6720" s="221"/>
      <c r="H6720" s="221"/>
      <c r="I6720" s="221"/>
      <c r="J6720" s="221"/>
      <c r="K6720" s="221"/>
      <c r="L6720" s="221"/>
      <c r="M6720" s="221"/>
    </row>
    <row r="6721" spans="5:13">
      <c r="E6721" s="221"/>
      <c r="F6721" s="221"/>
      <c r="G6721" s="221"/>
      <c r="H6721" s="221"/>
      <c r="I6721" s="221"/>
      <c r="J6721" s="221"/>
      <c r="K6721" s="221"/>
      <c r="L6721" s="221"/>
      <c r="M6721" s="221"/>
    </row>
    <row r="6722" spans="5:13">
      <c r="E6722" s="221"/>
      <c r="F6722" s="221"/>
      <c r="G6722" s="221"/>
      <c r="H6722" s="221"/>
      <c r="I6722" s="221"/>
      <c r="J6722" s="221"/>
      <c r="K6722" s="221"/>
      <c r="L6722" s="221"/>
      <c r="M6722" s="221"/>
    </row>
    <row r="6723" spans="5:13">
      <c r="E6723" s="221"/>
      <c r="F6723" s="221"/>
      <c r="G6723" s="221"/>
      <c r="H6723" s="221"/>
      <c r="I6723" s="221"/>
      <c r="J6723" s="221"/>
      <c r="K6723" s="221"/>
      <c r="L6723" s="221"/>
      <c r="M6723" s="221"/>
    </row>
    <row r="6724" spans="5:13">
      <c r="E6724" s="221"/>
      <c r="F6724" s="221"/>
      <c r="G6724" s="221"/>
      <c r="H6724" s="221"/>
      <c r="I6724" s="221"/>
      <c r="J6724" s="221"/>
      <c r="K6724" s="221"/>
      <c r="L6724" s="221"/>
      <c r="M6724" s="221"/>
    </row>
    <row r="6725" spans="5:13">
      <c r="E6725" s="221"/>
      <c r="F6725" s="221"/>
      <c r="G6725" s="221"/>
      <c r="H6725" s="221"/>
      <c r="I6725" s="221"/>
      <c r="J6725" s="221"/>
      <c r="K6725" s="221"/>
      <c r="L6725" s="221"/>
      <c r="M6725" s="221"/>
    </row>
    <row r="6726" spans="5:13">
      <c r="E6726" s="221"/>
      <c r="F6726" s="221"/>
      <c r="G6726" s="221"/>
      <c r="H6726" s="221"/>
      <c r="I6726" s="221"/>
      <c r="J6726" s="221"/>
      <c r="K6726" s="221"/>
      <c r="L6726" s="221"/>
      <c r="M6726" s="221"/>
    </row>
    <row r="6727" spans="5:13">
      <c r="E6727" s="221"/>
      <c r="F6727" s="221"/>
      <c r="G6727" s="221"/>
      <c r="H6727" s="221"/>
      <c r="I6727" s="221"/>
      <c r="J6727" s="221"/>
      <c r="K6727" s="221"/>
      <c r="L6727" s="221"/>
      <c r="M6727" s="221"/>
    </row>
    <row r="6728" spans="5:13">
      <c r="E6728" s="221"/>
      <c r="F6728" s="221"/>
      <c r="G6728" s="221"/>
      <c r="H6728" s="221"/>
      <c r="I6728" s="221"/>
      <c r="J6728" s="221"/>
      <c r="K6728" s="221"/>
      <c r="L6728" s="221"/>
      <c r="M6728" s="221"/>
    </row>
    <row r="6729" spans="5:13">
      <c r="E6729" s="221"/>
      <c r="F6729" s="221"/>
      <c r="G6729" s="221"/>
      <c r="H6729" s="221"/>
      <c r="I6729" s="221"/>
      <c r="J6729" s="221"/>
      <c r="K6729" s="221"/>
      <c r="L6729" s="221"/>
      <c r="M6729" s="221"/>
    </row>
    <row r="6730" spans="5:13">
      <c r="E6730" s="221"/>
      <c r="F6730" s="221"/>
      <c r="G6730" s="221"/>
      <c r="H6730" s="221"/>
      <c r="I6730" s="221"/>
      <c r="J6730" s="221"/>
      <c r="K6730" s="221"/>
      <c r="L6730" s="221"/>
      <c r="M6730" s="221"/>
    </row>
    <row r="6731" spans="5:13">
      <c r="E6731" s="221"/>
      <c r="F6731" s="221"/>
      <c r="G6731" s="221"/>
      <c r="H6731" s="221"/>
      <c r="I6731" s="221"/>
      <c r="J6731" s="221"/>
      <c r="K6731" s="221"/>
      <c r="L6731" s="221"/>
      <c r="M6731" s="221"/>
    </row>
    <row r="6732" spans="5:13">
      <c r="E6732" s="221"/>
      <c r="F6732" s="221"/>
      <c r="G6732" s="221"/>
      <c r="H6732" s="221"/>
      <c r="I6732" s="221"/>
      <c r="J6732" s="221"/>
      <c r="K6732" s="221"/>
      <c r="L6732" s="221"/>
      <c r="M6732" s="221"/>
    </row>
    <row r="6733" spans="5:13">
      <c r="E6733" s="221"/>
      <c r="F6733" s="221"/>
      <c r="G6733" s="221"/>
      <c r="H6733" s="221"/>
      <c r="I6733" s="221"/>
      <c r="J6733" s="221"/>
      <c r="K6733" s="221"/>
      <c r="L6733" s="221"/>
      <c r="M6733" s="221"/>
    </row>
    <row r="6734" spans="5:13">
      <c r="E6734" s="221"/>
      <c r="F6734" s="221"/>
      <c r="G6734" s="221"/>
      <c r="H6734" s="221"/>
      <c r="I6734" s="221"/>
      <c r="J6734" s="221"/>
      <c r="K6734" s="221"/>
      <c r="L6734" s="221"/>
      <c r="M6734" s="221"/>
    </row>
    <row r="6735" spans="5:13">
      <c r="E6735" s="221"/>
      <c r="F6735" s="221"/>
      <c r="G6735" s="221"/>
      <c r="H6735" s="221"/>
      <c r="I6735" s="221"/>
      <c r="J6735" s="221"/>
      <c r="K6735" s="221"/>
      <c r="L6735" s="221"/>
      <c r="M6735" s="221"/>
    </row>
    <row r="6736" spans="5:13">
      <c r="E6736" s="221"/>
      <c r="F6736" s="221"/>
      <c r="G6736" s="221"/>
      <c r="H6736" s="221"/>
      <c r="I6736" s="221"/>
      <c r="J6736" s="221"/>
      <c r="K6736" s="221"/>
      <c r="L6736" s="221"/>
      <c r="M6736" s="221"/>
    </row>
    <row r="6737" spans="5:13">
      <c r="E6737" s="221"/>
      <c r="F6737" s="221"/>
      <c r="G6737" s="221"/>
      <c r="H6737" s="221"/>
      <c r="I6737" s="221"/>
      <c r="J6737" s="221"/>
      <c r="K6737" s="221"/>
      <c r="L6737" s="221"/>
      <c r="M6737" s="221"/>
    </row>
    <row r="6738" spans="5:13">
      <c r="E6738" s="221"/>
      <c r="F6738" s="221"/>
      <c r="G6738" s="221"/>
      <c r="H6738" s="221"/>
      <c r="I6738" s="221"/>
      <c r="J6738" s="221"/>
      <c r="K6738" s="221"/>
      <c r="L6738" s="221"/>
      <c r="M6738" s="221"/>
    </row>
    <row r="6739" spans="5:13">
      <c r="E6739" s="221"/>
      <c r="F6739" s="221"/>
      <c r="G6739" s="221"/>
      <c r="H6739" s="221"/>
      <c r="I6739" s="221"/>
      <c r="J6739" s="221"/>
      <c r="K6739" s="221"/>
      <c r="L6739" s="221"/>
      <c r="M6739" s="221"/>
    </row>
    <row r="6740" spans="5:13">
      <c r="E6740" s="221"/>
      <c r="F6740" s="221"/>
      <c r="G6740" s="221"/>
      <c r="H6740" s="221"/>
      <c r="I6740" s="221"/>
      <c r="J6740" s="221"/>
      <c r="K6740" s="221"/>
      <c r="L6740" s="221"/>
      <c r="M6740" s="221"/>
    </row>
    <row r="6741" spans="5:13">
      <c r="E6741" s="221"/>
      <c r="F6741" s="221"/>
      <c r="G6741" s="221"/>
      <c r="H6741" s="221"/>
      <c r="I6741" s="221"/>
      <c r="J6741" s="221"/>
      <c r="K6741" s="221"/>
      <c r="L6741" s="221"/>
      <c r="M6741" s="221"/>
    </row>
    <row r="6742" spans="5:13">
      <c r="E6742" s="221"/>
      <c r="F6742" s="221"/>
      <c r="G6742" s="221"/>
      <c r="H6742" s="221"/>
      <c r="I6742" s="221"/>
      <c r="J6742" s="221"/>
      <c r="K6742" s="221"/>
      <c r="L6742" s="221"/>
      <c r="M6742" s="221"/>
    </row>
    <row r="6743" spans="5:13">
      <c r="E6743" s="221"/>
      <c r="F6743" s="221"/>
      <c r="G6743" s="221"/>
      <c r="H6743" s="221"/>
      <c r="I6743" s="221"/>
      <c r="J6743" s="221"/>
      <c r="K6743" s="221"/>
      <c r="L6743" s="221"/>
      <c r="M6743" s="221"/>
    </row>
    <row r="6744" spans="5:13">
      <c r="E6744" s="221"/>
      <c r="F6744" s="221"/>
      <c r="G6744" s="221"/>
      <c r="H6744" s="221"/>
      <c r="I6744" s="221"/>
      <c r="J6744" s="221"/>
      <c r="K6744" s="221"/>
      <c r="L6744" s="221"/>
      <c r="M6744" s="221"/>
    </row>
    <row r="6745" spans="5:13">
      <c r="E6745" s="221"/>
      <c r="F6745" s="221"/>
      <c r="G6745" s="221"/>
      <c r="H6745" s="221"/>
      <c r="I6745" s="221"/>
      <c r="J6745" s="221"/>
      <c r="K6745" s="221"/>
      <c r="L6745" s="221"/>
      <c r="M6745" s="221"/>
    </row>
    <row r="6746" spans="5:13">
      <c r="E6746" s="221"/>
      <c r="F6746" s="221"/>
      <c r="G6746" s="221"/>
      <c r="H6746" s="221"/>
      <c r="I6746" s="221"/>
      <c r="J6746" s="221"/>
      <c r="K6746" s="221"/>
      <c r="L6746" s="221"/>
      <c r="M6746" s="221"/>
    </row>
    <row r="6747" spans="5:13">
      <c r="E6747" s="221"/>
      <c r="F6747" s="221"/>
      <c r="G6747" s="221"/>
      <c r="H6747" s="221"/>
      <c r="I6747" s="221"/>
      <c r="J6747" s="221"/>
      <c r="K6747" s="221"/>
      <c r="L6747" s="221"/>
      <c r="M6747" s="221"/>
    </row>
    <row r="6748" spans="5:13">
      <c r="E6748" s="221"/>
      <c r="F6748" s="221"/>
      <c r="G6748" s="221"/>
      <c r="H6748" s="221"/>
      <c r="I6748" s="221"/>
      <c r="J6748" s="221"/>
      <c r="K6748" s="221"/>
      <c r="L6748" s="221"/>
      <c r="M6748" s="221"/>
    </row>
    <row r="6749" spans="5:13">
      <c r="E6749" s="221"/>
      <c r="F6749" s="221"/>
      <c r="G6749" s="221"/>
      <c r="H6749" s="221"/>
      <c r="I6749" s="221"/>
      <c r="J6749" s="221"/>
      <c r="K6749" s="221"/>
      <c r="L6749" s="221"/>
      <c r="M6749" s="221"/>
    </row>
    <row r="6750" spans="5:13">
      <c r="E6750" s="221"/>
      <c r="F6750" s="221"/>
      <c r="G6750" s="221"/>
      <c r="H6750" s="221"/>
      <c r="I6750" s="221"/>
      <c r="J6750" s="221"/>
      <c r="K6750" s="221"/>
      <c r="L6750" s="221"/>
      <c r="M6750" s="221"/>
    </row>
    <row r="6751" spans="5:13">
      <c r="E6751" s="221"/>
      <c r="F6751" s="221"/>
      <c r="G6751" s="221"/>
      <c r="H6751" s="221"/>
      <c r="I6751" s="221"/>
      <c r="J6751" s="221"/>
      <c r="K6751" s="221"/>
      <c r="L6751" s="221"/>
      <c r="M6751" s="221"/>
    </row>
    <row r="6752" spans="5:13">
      <c r="E6752" s="221"/>
      <c r="F6752" s="221"/>
      <c r="G6752" s="221"/>
      <c r="H6752" s="221"/>
      <c r="I6752" s="221"/>
      <c r="J6752" s="221"/>
      <c r="K6752" s="221"/>
      <c r="L6752" s="221"/>
      <c r="M6752" s="221"/>
    </row>
    <row r="6753" spans="5:13">
      <c r="E6753" s="221"/>
      <c r="F6753" s="221"/>
      <c r="G6753" s="221"/>
      <c r="H6753" s="221"/>
      <c r="I6753" s="221"/>
      <c r="J6753" s="221"/>
      <c r="K6753" s="221"/>
      <c r="L6753" s="221"/>
      <c r="M6753" s="221"/>
    </row>
    <row r="6754" spans="5:13">
      <c r="E6754" s="221"/>
      <c r="F6754" s="221"/>
      <c r="G6754" s="221"/>
      <c r="H6754" s="221"/>
      <c r="I6754" s="221"/>
      <c r="J6754" s="221"/>
      <c r="K6754" s="221"/>
      <c r="L6754" s="221"/>
      <c r="M6754" s="221"/>
    </row>
    <row r="6755" spans="5:13">
      <c r="E6755" s="221"/>
      <c r="F6755" s="221"/>
      <c r="G6755" s="221"/>
      <c r="H6755" s="221"/>
      <c r="I6755" s="221"/>
      <c r="J6755" s="221"/>
      <c r="K6755" s="221"/>
      <c r="L6755" s="221"/>
      <c r="M6755" s="221"/>
    </row>
    <row r="6756" spans="5:13">
      <c r="E6756" s="221"/>
      <c r="F6756" s="221"/>
      <c r="G6756" s="221"/>
      <c r="H6756" s="221"/>
      <c r="I6756" s="221"/>
      <c r="J6756" s="221"/>
      <c r="K6756" s="221"/>
      <c r="L6756" s="221"/>
      <c r="M6756" s="221"/>
    </row>
    <row r="6757" spans="5:13">
      <c r="E6757" s="221"/>
      <c r="F6757" s="221"/>
      <c r="G6757" s="221"/>
      <c r="H6757" s="221"/>
      <c r="I6757" s="221"/>
      <c r="J6757" s="221"/>
      <c r="K6757" s="221"/>
      <c r="L6757" s="221"/>
      <c r="M6757" s="221"/>
    </row>
    <row r="6758" spans="5:13">
      <c r="E6758" s="221"/>
      <c r="F6758" s="221"/>
      <c r="G6758" s="221"/>
      <c r="H6758" s="221"/>
      <c r="I6758" s="221"/>
      <c r="J6758" s="221"/>
      <c r="K6758" s="221"/>
      <c r="L6758" s="221"/>
      <c r="M6758" s="221"/>
    </row>
    <row r="6759" spans="5:13">
      <c r="E6759" s="221"/>
      <c r="F6759" s="221"/>
      <c r="G6759" s="221"/>
      <c r="H6759" s="221"/>
      <c r="I6759" s="221"/>
      <c r="J6759" s="221"/>
      <c r="K6759" s="221"/>
      <c r="L6759" s="221"/>
      <c r="M6759" s="221"/>
    </row>
    <row r="6760" spans="5:13">
      <c r="E6760" s="221"/>
      <c r="F6760" s="221"/>
      <c r="G6760" s="221"/>
      <c r="H6760" s="221"/>
      <c r="I6760" s="221"/>
      <c r="J6760" s="221"/>
      <c r="K6760" s="221"/>
      <c r="L6760" s="221"/>
      <c r="M6760" s="221"/>
    </row>
    <row r="6761" spans="5:13">
      <c r="E6761" s="221"/>
      <c r="F6761" s="221"/>
      <c r="G6761" s="221"/>
      <c r="H6761" s="221"/>
      <c r="I6761" s="221"/>
      <c r="J6761" s="221"/>
      <c r="K6761" s="221"/>
      <c r="L6761" s="221"/>
      <c r="M6761" s="221"/>
    </row>
    <row r="6762" spans="5:13">
      <c r="E6762" s="221"/>
      <c r="F6762" s="221"/>
      <c r="G6762" s="221"/>
      <c r="H6762" s="221"/>
      <c r="I6762" s="221"/>
      <c r="J6762" s="221"/>
      <c r="K6762" s="221"/>
      <c r="L6762" s="221"/>
      <c r="M6762" s="221"/>
    </row>
    <row r="6763" spans="5:13">
      <c r="E6763" s="221"/>
      <c r="F6763" s="221"/>
      <c r="G6763" s="221"/>
      <c r="H6763" s="221"/>
      <c r="I6763" s="221"/>
      <c r="J6763" s="221"/>
      <c r="K6763" s="221"/>
      <c r="L6763" s="221"/>
      <c r="M6763" s="221"/>
    </row>
    <row r="6764" spans="5:13">
      <c r="E6764" s="221"/>
      <c r="F6764" s="221"/>
      <c r="G6764" s="221"/>
      <c r="H6764" s="221"/>
      <c r="I6764" s="221"/>
      <c r="J6764" s="221"/>
      <c r="K6764" s="221"/>
      <c r="L6764" s="221"/>
      <c r="M6764" s="221"/>
    </row>
    <row r="6765" spans="5:13">
      <c r="E6765" s="221"/>
      <c r="F6765" s="221"/>
      <c r="G6765" s="221"/>
      <c r="H6765" s="221"/>
      <c r="I6765" s="221"/>
      <c r="J6765" s="221"/>
      <c r="K6765" s="221"/>
      <c r="L6765" s="221"/>
      <c r="M6765" s="221"/>
    </row>
    <row r="6766" spans="5:13">
      <c r="E6766" s="221"/>
      <c r="F6766" s="221"/>
      <c r="G6766" s="221"/>
      <c r="H6766" s="221"/>
      <c r="I6766" s="221"/>
      <c r="J6766" s="221"/>
      <c r="K6766" s="221"/>
      <c r="L6766" s="221"/>
      <c r="M6766" s="221"/>
    </row>
    <row r="6767" spans="5:13">
      <c r="E6767" s="221"/>
      <c r="F6767" s="221"/>
      <c r="G6767" s="221"/>
      <c r="H6767" s="221"/>
      <c r="I6767" s="221"/>
      <c r="J6767" s="221"/>
      <c r="K6767" s="221"/>
      <c r="L6767" s="221"/>
      <c r="M6767" s="221"/>
    </row>
    <row r="6768" spans="5:13">
      <c r="E6768" s="221"/>
      <c r="F6768" s="221"/>
      <c r="G6768" s="221"/>
      <c r="H6768" s="221"/>
      <c r="I6768" s="221"/>
      <c r="J6768" s="221"/>
      <c r="K6768" s="221"/>
      <c r="L6768" s="221"/>
      <c r="M6768" s="221"/>
    </row>
    <row r="6769" spans="5:13">
      <c r="E6769" s="221"/>
      <c r="F6769" s="221"/>
      <c r="G6769" s="221"/>
      <c r="H6769" s="221"/>
      <c r="I6769" s="221"/>
      <c r="J6769" s="221"/>
      <c r="K6769" s="221"/>
      <c r="L6769" s="221"/>
      <c r="M6769" s="221"/>
    </row>
    <row r="6770" spans="5:13">
      <c r="E6770" s="221"/>
      <c r="F6770" s="221"/>
      <c r="G6770" s="221"/>
      <c r="H6770" s="221"/>
      <c r="I6770" s="221"/>
      <c r="J6770" s="221"/>
      <c r="K6770" s="221"/>
      <c r="L6770" s="221"/>
      <c r="M6770" s="221"/>
    </row>
    <row r="6771" spans="5:13">
      <c r="E6771" s="221"/>
      <c r="F6771" s="221"/>
      <c r="G6771" s="221"/>
      <c r="H6771" s="221"/>
      <c r="I6771" s="221"/>
      <c r="J6771" s="221"/>
      <c r="K6771" s="221"/>
      <c r="L6771" s="221"/>
      <c r="M6771" s="221"/>
    </row>
    <row r="6772" spans="5:13">
      <c r="E6772" s="221"/>
      <c r="F6772" s="221"/>
      <c r="G6772" s="221"/>
      <c r="H6772" s="221"/>
      <c r="I6772" s="221"/>
      <c r="J6772" s="221"/>
      <c r="K6772" s="221"/>
      <c r="L6772" s="221"/>
      <c r="M6772" s="221"/>
    </row>
    <row r="6773" spans="5:13">
      <c r="E6773" s="221"/>
      <c r="F6773" s="221"/>
      <c r="G6773" s="221"/>
      <c r="H6773" s="221"/>
      <c r="I6773" s="221"/>
      <c r="J6773" s="221"/>
      <c r="K6773" s="221"/>
      <c r="L6773" s="221"/>
      <c r="M6773" s="221"/>
    </row>
    <row r="6774" spans="5:13">
      <c r="E6774" s="221"/>
      <c r="F6774" s="221"/>
      <c r="G6774" s="221"/>
      <c r="H6774" s="221"/>
      <c r="I6774" s="221"/>
      <c r="J6774" s="221"/>
      <c r="K6774" s="221"/>
      <c r="L6774" s="221"/>
      <c r="M6774" s="221"/>
    </row>
    <row r="6775" spans="5:13">
      <c r="E6775" s="221"/>
      <c r="F6775" s="221"/>
      <c r="G6775" s="221"/>
      <c r="H6775" s="221"/>
      <c r="I6775" s="221"/>
      <c r="J6775" s="221"/>
      <c r="K6775" s="221"/>
      <c r="L6775" s="221"/>
      <c r="M6775" s="221"/>
    </row>
    <row r="6776" spans="5:13">
      <c r="E6776" s="221"/>
      <c r="F6776" s="221"/>
      <c r="G6776" s="221"/>
      <c r="H6776" s="221"/>
      <c r="I6776" s="221"/>
      <c r="J6776" s="221"/>
      <c r="K6776" s="221"/>
      <c r="L6776" s="221"/>
      <c r="M6776" s="221"/>
    </row>
    <row r="6777" spans="5:13">
      <c r="E6777" s="221"/>
      <c r="F6777" s="221"/>
      <c r="G6777" s="221"/>
      <c r="H6777" s="221"/>
      <c r="I6777" s="221"/>
      <c r="J6777" s="221"/>
      <c r="K6777" s="221"/>
      <c r="L6777" s="221"/>
      <c r="M6777" s="221"/>
    </row>
    <row r="6778" spans="5:13">
      <c r="E6778" s="221"/>
      <c r="F6778" s="221"/>
      <c r="G6778" s="221"/>
      <c r="H6778" s="221"/>
      <c r="I6778" s="221"/>
      <c r="J6778" s="221"/>
      <c r="K6778" s="221"/>
      <c r="L6778" s="221"/>
      <c r="M6778" s="221"/>
    </row>
    <row r="6779" spans="5:13">
      <c r="E6779" s="221"/>
      <c r="F6779" s="221"/>
      <c r="G6779" s="221"/>
      <c r="H6779" s="221"/>
      <c r="I6779" s="221"/>
      <c r="J6779" s="221"/>
      <c r="K6779" s="221"/>
      <c r="L6779" s="221"/>
      <c r="M6779" s="221"/>
    </row>
    <row r="6780" spans="5:13">
      <c r="E6780" s="221"/>
      <c r="F6780" s="221"/>
      <c r="G6780" s="221"/>
      <c r="H6780" s="221"/>
      <c r="I6780" s="221"/>
      <c r="J6780" s="221"/>
      <c r="K6780" s="221"/>
      <c r="L6780" s="221"/>
      <c r="M6780" s="221"/>
    </row>
    <row r="6781" spans="5:13">
      <c r="E6781" s="221"/>
      <c r="F6781" s="221"/>
      <c r="G6781" s="221"/>
      <c r="H6781" s="221"/>
      <c r="I6781" s="221"/>
      <c r="J6781" s="221"/>
      <c r="K6781" s="221"/>
      <c r="L6781" s="221"/>
      <c r="M6781" s="221"/>
    </row>
    <row r="6782" spans="5:13">
      <c r="E6782" s="221"/>
      <c r="F6782" s="221"/>
      <c r="G6782" s="221"/>
      <c r="H6782" s="221"/>
      <c r="I6782" s="221"/>
      <c r="J6782" s="221"/>
      <c r="K6782" s="221"/>
      <c r="L6782" s="221"/>
      <c r="M6782" s="221"/>
    </row>
    <row r="6783" spans="5:13">
      <c r="E6783" s="221"/>
      <c r="F6783" s="221"/>
      <c r="G6783" s="221"/>
      <c r="H6783" s="221"/>
      <c r="I6783" s="221"/>
      <c r="J6783" s="221"/>
      <c r="K6783" s="221"/>
      <c r="L6783" s="221"/>
      <c r="M6783" s="221"/>
    </row>
    <row r="6784" spans="5:13">
      <c r="E6784" s="221"/>
      <c r="F6784" s="221"/>
      <c r="G6784" s="221"/>
      <c r="H6784" s="221"/>
      <c r="I6784" s="221"/>
      <c r="J6784" s="221"/>
      <c r="K6784" s="221"/>
      <c r="L6784" s="221"/>
      <c r="M6784" s="221"/>
    </row>
    <row r="6785" spans="5:13">
      <c r="E6785" s="221"/>
      <c r="F6785" s="221"/>
      <c r="G6785" s="221"/>
      <c r="H6785" s="221"/>
      <c r="I6785" s="221"/>
      <c r="J6785" s="221"/>
      <c r="K6785" s="221"/>
      <c r="L6785" s="221"/>
      <c r="M6785" s="221"/>
    </row>
    <row r="6786" spans="5:13">
      <c r="E6786" s="221"/>
      <c r="F6786" s="221"/>
      <c r="G6786" s="221"/>
      <c r="H6786" s="221"/>
      <c r="I6786" s="221"/>
      <c r="J6786" s="221"/>
      <c r="K6786" s="221"/>
      <c r="L6786" s="221"/>
      <c r="M6786" s="221"/>
    </row>
    <row r="6787" spans="5:13">
      <c r="E6787" s="221"/>
      <c r="F6787" s="221"/>
      <c r="G6787" s="221"/>
      <c r="H6787" s="221"/>
      <c r="I6787" s="221"/>
      <c r="J6787" s="221"/>
      <c r="K6787" s="221"/>
      <c r="L6787" s="221"/>
      <c r="M6787" s="221"/>
    </row>
    <row r="6788" spans="5:13">
      <c r="E6788" s="221"/>
      <c r="F6788" s="221"/>
      <c r="G6788" s="221"/>
      <c r="H6788" s="221"/>
      <c r="I6788" s="221"/>
      <c r="J6788" s="221"/>
      <c r="K6788" s="221"/>
      <c r="L6788" s="221"/>
      <c r="M6788" s="221"/>
    </row>
    <row r="6789" spans="5:13">
      <c r="E6789" s="221"/>
      <c r="F6789" s="221"/>
      <c r="G6789" s="221"/>
      <c r="H6789" s="221"/>
      <c r="I6789" s="221"/>
      <c r="J6789" s="221"/>
      <c r="K6789" s="221"/>
      <c r="L6789" s="221"/>
      <c r="M6789" s="221"/>
    </row>
    <row r="6790" spans="5:13">
      <c r="E6790" s="221"/>
      <c r="F6790" s="221"/>
      <c r="G6790" s="221"/>
      <c r="H6790" s="221"/>
      <c r="I6790" s="221"/>
      <c r="J6790" s="221"/>
      <c r="K6790" s="221"/>
      <c r="L6790" s="221"/>
      <c r="M6790" s="221"/>
    </row>
    <row r="6791" spans="5:13">
      <c r="E6791" s="221"/>
      <c r="F6791" s="221"/>
      <c r="G6791" s="221"/>
      <c r="H6791" s="221"/>
      <c r="I6791" s="221"/>
      <c r="J6791" s="221"/>
      <c r="K6791" s="221"/>
      <c r="L6791" s="221"/>
      <c r="M6791" s="221"/>
    </row>
    <row r="6792" spans="5:13">
      <c r="E6792" s="221"/>
      <c r="F6792" s="221"/>
      <c r="G6792" s="221"/>
      <c r="H6792" s="221"/>
      <c r="I6792" s="221"/>
      <c r="J6792" s="221"/>
      <c r="K6792" s="221"/>
      <c r="L6792" s="221"/>
      <c r="M6792" s="221"/>
    </row>
    <row r="6793" spans="5:13">
      <c r="E6793" s="221"/>
      <c r="F6793" s="221"/>
      <c r="G6793" s="221"/>
      <c r="H6793" s="221"/>
      <c r="I6793" s="221"/>
      <c r="J6793" s="221"/>
      <c r="K6793" s="221"/>
      <c r="L6793" s="221"/>
      <c r="M6793" s="221"/>
    </row>
    <row r="6794" spans="5:13">
      <c r="E6794" s="221"/>
      <c r="F6794" s="221"/>
      <c r="G6794" s="221"/>
      <c r="H6794" s="221"/>
      <c r="I6794" s="221"/>
      <c r="J6794" s="221"/>
      <c r="K6794" s="221"/>
      <c r="L6794" s="221"/>
      <c r="M6794" s="221"/>
    </row>
    <row r="6795" spans="5:13">
      <c r="E6795" s="221"/>
      <c r="F6795" s="221"/>
      <c r="G6795" s="221"/>
      <c r="H6795" s="221"/>
      <c r="I6795" s="221"/>
      <c r="J6795" s="221"/>
      <c r="K6795" s="221"/>
      <c r="L6795" s="221"/>
      <c r="M6795" s="221"/>
    </row>
    <row r="6796" spans="5:13">
      <c r="E6796" s="221"/>
      <c r="F6796" s="221"/>
      <c r="G6796" s="221"/>
      <c r="H6796" s="221"/>
      <c r="I6796" s="221"/>
      <c r="J6796" s="221"/>
      <c r="K6796" s="221"/>
      <c r="L6796" s="221"/>
      <c r="M6796" s="221"/>
    </row>
    <row r="6797" spans="5:13">
      <c r="E6797" s="221"/>
      <c r="F6797" s="221"/>
      <c r="G6797" s="221"/>
      <c r="H6797" s="221"/>
      <c r="I6797" s="221"/>
      <c r="J6797" s="221"/>
      <c r="K6797" s="221"/>
      <c r="L6797" s="221"/>
      <c r="M6797" s="221"/>
    </row>
    <row r="6798" spans="5:13">
      <c r="E6798" s="221"/>
      <c r="F6798" s="221"/>
      <c r="G6798" s="221"/>
      <c r="H6798" s="221"/>
      <c r="I6798" s="221"/>
      <c r="J6798" s="221"/>
      <c r="K6798" s="221"/>
      <c r="L6798" s="221"/>
      <c r="M6798" s="221"/>
    </row>
    <row r="6799" spans="5:13">
      <c r="E6799" s="221"/>
      <c r="F6799" s="221"/>
      <c r="G6799" s="221"/>
      <c r="H6799" s="221"/>
      <c r="I6799" s="221"/>
      <c r="J6799" s="221"/>
      <c r="K6799" s="221"/>
      <c r="L6799" s="221"/>
      <c r="M6799" s="221"/>
    </row>
    <row r="6800" spans="5:13">
      <c r="E6800" s="221"/>
      <c r="F6800" s="221"/>
      <c r="G6800" s="221"/>
      <c r="H6800" s="221"/>
      <c r="I6800" s="221"/>
      <c r="J6800" s="221"/>
      <c r="K6800" s="221"/>
      <c r="L6800" s="221"/>
      <c r="M6800" s="221"/>
    </row>
    <row r="6801" spans="5:13">
      <c r="E6801" s="221"/>
      <c r="F6801" s="221"/>
      <c r="G6801" s="221"/>
      <c r="H6801" s="221"/>
      <c r="I6801" s="221"/>
      <c r="J6801" s="221"/>
      <c r="K6801" s="221"/>
      <c r="L6801" s="221"/>
      <c r="M6801" s="221"/>
    </row>
    <row r="6802" spans="5:13">
      <c r="E6802" s="221"/>
      <c r="F6802" s="221"/>
      <c r="G6802" s="221"/>
      <c r="H6802" s="221"/>
      <c r="I6802" s="221"/>
      <c r="J6802" s="221"/>
      <c r="K6802" s="221"/>
      <c r="L6802" s="221"/>
      <c r="M6802" s="221"/>
    </row>
    <row r="6803" spans="5:13">
      <c r="E6803" s="221"/>
      <c r="F6803" s="221"/>
      <c r="G6803" s="221"/>
      <c r="H6803" s="221"/>
      <c r="I6803" s="221"/>
      <c r="J6803" s="221"/>
      <c r="K6803" s="221"/>
      <c r="L6803" s="221"/>
      <c r="M6803" s="221"/>
    </row>
    <row r="6804" spans="5:13">
      <c r="E6804" s="221"/>
      <c r="F6804" s="221"/>
      <c r="G6804" s="221"/>
      <c r="H6804" s="221"/>
      <c r="I6804" s="221"/>
      <c r="J6804" s="221"/>
      <c r="K6804" s="221"/>
      <c r="L6804" s="221"/>
      <c r="M6804" s="221"/>
    </row>
    <row r="6805" spans="5:13">
      <c r="E6805" s="221"/>
      <c r="F6805" s="221"/>
      <c r="G6805" s="221"/>
      <c r="H6805" s="221"/>
      <c r="I6805" s="221"/>
      <c r="J6805" s="221"/>
      <c r="K6805" s="221"/>
      <c r="L6805" s="221"/>
      <c r="M6805" s="221"/>
    </row>
    <row r="6806" spans="5:13">
      <c r="E6806" s="221"/>
      <c r="F6806" s="221"/>
      <c r="G6806" s="221"/>
      <c r="H6806" s="221"/>
      <c r="I6806" s="221"/>
      <c r="J6806" s="221"/>
      <c r="K6806" s="221"/>
      <c r="L6806" s="221"/>
      <c r="M6806" s="221"/>
    </row>
    <row r="6807" spans="5:13">
      <c r="E6807" s="221"/>
      <c r="F6807" s="221"/>
      <c r="G6807" s="221"/>
      <c r="H6807" s="221"/>
      <c r="I6807" s="221"/>
      <c r="J6807" s="221"/>
      <c r="K6807" s="221"/>
      <c r="L6807" s="221"/>
      <c r="M6807" s="221"/>
    </row>
    <row r="6808" spans="5:13">
      <c r="E6808" s="221"/>
      <c r="F6808" s="221"/>
      <c r="G6808" s="221"/>
      <c r="H6808" s="221"/>
      <c r="I6808" s="221"/>
      <c r="J6808" s="221"/>
      <c r="K6808" s="221"/>
      <c r="L6808" s="221"/>
      <c r="M6808" s="221"/>
    </row>
    <row r="6809" spans="5:13">
      <c r="E6809" s="221"/>
      <c r="F6809" s="221"/>
      <c r="G6809" s="221"/>
      <c r="H6809" s="221"/>
      <c r="I6809" s="221"/>
      <c r="J6809" s="221"/>
      <c r="K6809" s="221"/>
      <c r="L6809" s="221"/>
      <c r="M6809" s="221"/>
    </row>
    <row r="6810" spans="5:13">
      <c r="E6810" s="221"/>
      <c r="F6810" s="221"/>
      <c r="G6810" s="221"/>
      <c r="H6810" s="221"/>
      <c r="I6810" s="221"/>
      <c r="J6810" s="221"/>
      <c r="K6810" s="221"/>
      <c r="L6810" s="221"/>
      <c r="M6810" s="221"/>
    </row>
    <row r="6811" spans="5:13">
      <c r="E6811" s="221"/>
      <c r="F6811" s="221"/>
      <c r="G6811" s="221"/>
      <c r="H6811" s="221"/>
      <c r="I6811" s="221"/>
      <c r="J6811" s="221"/>
      <c r="K6811" s="221"/>
      <c r="L6811" s="221"/>
      <c r="M6811" s="221"/>
    </row>
    <row r="6812" spans="5:13">
      <c r="E6812" s="221"/>
      <c r="F6812" s="221"/>
      <c r="G6812" s="221"/>
      <c r="H6812" s="221"/>
      <c r="I6812" s="221"/>
      <c r="J6812" s="221"/>
      <c r="K6812" s="221"/>
      <c r="L6812" s="221"/>
      <c r="M6812" s="221"/>
    </row>
    <row r="6813" spans="5:13">
      <c r="E6813" s="221"/>
      <c r="F6813" s="221"/>
      <c r="G6813" s="221"/>
      <c r="H6813" s="221"/>
      <c r="I6813" s="221"/>
      <c r="J6813" s="221"/>
      <c r="K6813" s="221"/>
      <c r="L6813" s="221"/>
      <c r="M6813" s="221"/>
    </row>
    <row r="6814" spans="5:13">
      <c r="E6814" s="221"/>
      <c r="F6814" s="221"/>
      <c r="G6814" s="221"/>
      <c r="H6814" s="221"/>
      <c r="I6814" s="221"/>
      <c r="J6814" s="221"/>
      <c r="K6814" s="221"/>
      <c r="L6814" s="221"/>
      <c r="M6814" s="221"/>
    </row>
    <row r="6815" spans="5:13">
      <c r="E6815" s="221"/>
      <c r="F6815" s="221"/>
      <c r="G6815" s="221"/>
      <c r="H6815" s="221"/>
      <c r="I6815" s="221"/>
      <c r="J6815" s="221"/>
      <c r="K6815" s="221"/>
      <c r="L6815" s="221"/>
      <c r="M6815" s="221"/>
    </row>
    <row r="6816" spans="5:13">
      <c r="E6816" s="221"/>
      <c r="F6816" s="221"/>
      <c r="G6816" s="221"/>
      <c r="H6816" s="221"/>
      <c r="I6816" s="221"/>
      <c r="J6816" s="221"/>
      <c r="K6816" s="221"/>
      <c r="L6816" s="221"/>
      <c r="M6816" s="221"/>
    </row>
    <row r="6817" spans="5:13">
      <c r="E6817" s="221"/>
      <c r="F6817" s="221"/>
      <c r="G6817" s="221"/>
      <c r="H6817" s="221"/>
      <c r="I6817" s="221"/>
      <c r="J6817" s="221"/>
      <c r="K6817" s="221"/>
      <c r="L6817" s="221"/>
      <c r="M6817" s="221"/>
    </row>
    <row r="6818" spans="5:13">
      <c r="E6818" s="221"/>
      <c r="F6818" s="221"/>
      <c r="G6818" s="221"/>
      <c r="H6818" s="221"/>
      <c r="I6818" s="221"/>
      <c r="J6818" s="221"/>
      <c r="K6818" s="221"/>
      <c r="L6818" s="221"/>
      <c r="M6818" s="221"/>
    </row>
    <row r="6819" spans="5:13">
      <c r="E6819" s="221"/>
      <c r="F6819" s="221"/>
      <c r="G6819" s="221"/>
      <c r="H6819" s="221"/>
      <c r="I6819" s="221"/>
      <c r="J6819" s="221"/>
      <c r="K6819" s="221"/>
      <c r="L6819" s="221"/>
      <c r="M6819" s="221"/>
    </row>
    <row r="6820" spans="5:13">
      <c r="E6820" s="221"/>
      <c r="F6820" s="221"/>
      <c r="G6820" s="221"/>
      <c r="H6820" s="221"/>
      <c r="I6820" s="221"/>
      <c r="J6820" s="221"/>
      <c r="K6820" s="221"/>
      <c r="L6820" s="221"/>
      <c r="M6820" s="221"/>
    </row>
    <row r="6821" spans="5:13">
      <c r="E6821" s="221"/>
      <c r="F6821" s="221"/>
      <c r="G6821" s="221"/>
      <c r="H6821" s="221"/>
      <c r="I6821" s="221"/>
      <c r="J6821" s="221"/>
      <c r="K6821" s="221"/>
      <c r="L6821" s="221"/>
      <c r="M6821" s="221"/>
    </row>
    <row r="6822" spans="5:13">
      <c r="E6822" s="221"/>
      <c r="F6822" s="221"/>
      <c r="G6822" s="221"/>
      <c r="H6822" s="221"/>
      <c r="I6822" s="221"/>
      <c r="J6822" s="221"/>
      <c r="K6822" s="221"/>
      <c r="L6822" s="221"/>
      <c r="M6822" s="221"/>
    </row>
    <row r="6823" spans="5:13">
      <c r="E6823" s="221"/>
      <c r="F6823" s="221"/>
      <c r="G6823" s="221"/>
      <c r="H6823" s="221"/>
      <c r="I6823" s="221"/>
      <c r="J6823" s="221"/>
      <c r="K6823" s="221"/>
      <c r="L6823" s="221"/>
      <c r="M6823" s="221"/>
    </row>
    <row r="6824" spans="5:13">
      <c r="E6824" s="221"/>
      <c r="F6824" s="221"/>
      <c r="G6824" s="221"/>
      <c r="H6824" s="221"/>
      <c r="I6824" s="221"/>
      <c r="J6824" s="221"/>
      <c r="K6824" s="221"/>
      <c r="L6824" s="221"/>
      <c r="M6824" s="221"/>
    </row>
    <row r="6825" spans="5:13">
      <c r="E6825" s="221"/>
      <c r="F6825" s="221"/>
      <c r="G6825" s="221"/>
      <c r="H6825" s="221"/>
      <c r="I6825" s="221"/>
      <c r="J6825" s="221"/>
      <c r="K6825" s="221"/>
      <c r="L6825" s="221"/>
      <c r="M6825" s="221"/>
    </row>
    <row r="6826" spans="5:13">
      <c r="E6826" s="221"/>
      <c r="F6826" s="221"/>
      <c r="G6826" s="221"/>
      <c r="H6826" s="221"/>
      <c r="I6826" s="221"/>
      <c r="J6826" s="221"/>
      <c r="K6826" s="221"/>
      <c r="L6826" s="221"/>
      <c r="M6826" s="221"/>
    </row>
    <row r="6827" spans="5:13">
      <c r="E6827" s="221"/>
      <c r="F6827" s="221"/>
      <c r="G6827" s="221"/>
      <c r="H6827" s="221"/>
      <c r="I6827" s="221"/>
      <c r="J6827" s="221"/>
      <c r="K6827" s="221"/>
      <c r="L6827" s="221"/>
      <c r="M6827" s="221"/>
    </row>
    <row r="6828" spans="5:13">
      <c r="E6828" s="221"/>
      <c r="F6828" s="221"/>
      <c r="G6828" s="221"/>
      <c r="H6828" s="221"/>
      <c r="I6828" s="221"/>
      <c r="J6828" s="221"/>
      <c r="K6828" s="221"/>
      <c r="L6828" s="221"/>
      <c r="M6828" s="221"/>
    </row>
    <row r="6829" spans="5:13">
      <c r="E6829" s="221"/>
      <c r="F6829" s="221"/>
      <c r="G6829" s="221"/>
      <c r="H6829" s="221"/>
      <c r="I6829" s="221"/>
      <c r="J6829" s="221"/>
      <c r="K6829" s="221"/>
      <c r="L6829" s="221"/>
      <c r="M6829" s="221"/>
    </row>
    <row r="6830" spans="5:13">
      <c r="E6830" s="221"/>
      <c r="F6830" s="221"/>
      <c r="G6830" s="221"/>
      <c r="H6830" s="221"/>
      <c r="I6830" s="221"/>
      <c r="J6830" s="221"/>
      <c r="K6830" s="221"/>
      <c r="L6830" s="221"/>
      <c r="M6830" s="221"/>
    </row>
    <row r="6831" spans="5:13">
      <c r="E6831" s="221"/>
      <c r="F6831" s="221"/>
      <c r="G6831" s="221"/>
      <c r="H6831" s="221"/>
      <c r="I6831" s="221"/>
      <c r="J6831" s="221"/>
      <c r="K6831" s="221"/>
      <c r="L6831" s="221"/>
      <c r="M6831" s="221"/>
    </row>
    <row r="6832" spans="5:13">
      <c r="E6832" s="221"/>
      <c r="F6832" s="221"/>
      <c r="G6832" s="221"/>
      <c r="H6832" s="221"/>
      <c r="I6832" s="221"/>
      <c r="J6832" s="221"/>
      <c r="K6832" s="221"/>
      <c r="L6832" s="221"/>
      <c r="M6832" s="221"/>
    </row>
    <row r="6833" spans="5:13">
      <c r="E6833" s="221"/>
      <c r="F6833" s="221"/>
      <c r="G6833" s="221"/>
      <c r="H6833" s="221"/>
      <c r="I6833" s="221"/>
      <c r="J6833" s="221"/>
      <c r="K6833" s="221"/>
      <c r="L6833" s="221"/>
      <c r="M6833" s="221"/>
    </row>
    <row r="6834" spans="5:13">
      <c r="E6834" s="221"/>
      <c r="F6834" s="221"/>
      <c r="G6834" s="221"/>
      <c r="H6834" s="221"/>
      <c r="I6834" s="221"/>
      <c r="J6834" s="221"/>
      <c r="K6834" s="221"/>
      <c r="L6834" s="221"/>
      <c r="M6834" s="221"/>
    </row>
    <row r="6835" spans="5:13">
      <c r="E6835" s="221"/>
      <c r="F6835" s="221"/>
      <c r="G6835" s="221"/>
      <c r="H6835" s="221"/>
      <c r="I6835" s="221"/>
      <c r="J6835" s="221"/>
      <c r="K6835" s="221"/>
      <c r="L6835" s="221"/>
      <c r="M6835" s="221"/>
    </row>
    <row r="6836" spans="5:13">
      <c r="E6836" s="221"/>
      <c r="F6836" s="221"/>
      <c r="G6836" s="221"/>
      <c r="H6836" s="221"/>
      <c r="I6836" s="221"/>
      <c r="J6836" s="221"/>
      <c r="K6836" s="221"/>
      <c r="L6836" s="221"/>
      <c r="M6836" s="221"/>
    </row>
    <row r="6837" spans="5:13">
      <c r="E6837" s="221"/>
      <c r="F6837" s="221"/>
      <c r="G6837" s="221"/>
      <c r="H6837" s="221"/>
      <c r="I6837" s="221"/>
      <c r="J6837" s="221"/>
      <c r="K6837" s="221"/>
      <c r="L6837" s="221"/>
      <c r="M6837" s="221"/>
    </row>
    <row r="6838" spans="5:13">
      <c r="E6838" s="221"/>
      <c r="F6838" s="221"/>
      <c r="G6838" s="221"/>
      <c r="H6838" s="221"/>
      <c r="I6838" s="221"/>
      <c r="J6838" s="221"/>
      <c r="K6838" s="221"/>
      <c r="L6838" s="221"/>
      <c r="M6838" s="221"/>
    </row>
    <row r="6839" spans="5:13">
      <c r="E6839" s="221"/>
      <c r="F6839" s="221"/>
      <c r="G6839" s="221"/>
      <c r="H6839" s="221"/>
      <c r="I6839" s="221"/>
      <c r="J6839" s="221"/>
      <c r="K6839" s="221"/>
      <c r="L6839" s="221"/>
      <c r="M6839" s="221"/>
    </row>
    <row r="6840" spans="5:13">
      <c r="E6840" s="221"/>
      <c r="F6840" s="221"/>
      <c r="G6840" s="221"/>
      <c r="H6840" s="221"/>
      <c r="I6840" s="221"/>
      <c r="J6840" s="221"/>
      <c r="K6840" s="221"/>
      <c r="L6840" s="221"/>
      <c r="M6840" s="221"/>
    </row>
    <row r="6841" spans="5:13">
      <c r="E6841" s="221"/>
      <c r="F6841" s="221"/>
      <c r="G6841" s="221"/>
      <c r="H6841" s="221"/>
      <c r="I6841" s="221"/>
      <c r="J6841" s="221"/>
      <c r="K6841" s="221"/>
      <c r="L6841" s="221"/>
      <c r="M6841" s="221"/>
    </row>
    <row r="6842" spans="5:13">
      <c r="E6842" s="221"/>
      <c r="F6842" s="221"/>
      <c r="G6842" s="221"/>
      <c r="H6842" s="221"/>
      <c r="I6842" s="221"/>
      <c r="J6842" s="221"/>
      <c r="K6842" s="221"/>
      <c r="L6842" s="221"/>
      <c r="M6842" s="221"/>
    </row>
    <row r="6843" spans="5:13">
      <c r="E6843" s="221"/>
      <c r="F6843" s="221"/>
      <c r="G6843" s="221"/>
      <c r="H6843" s="221"/>
      <c r="I6843" s="221"/>
      <c r="J6843" s="221"/>
      <c r="K6843" s="221"/>
      <c r="L6843" s="221"/>
      <c r="M6843" s="221"/>
    </row>
    <row r="6844" spans="5:13">
      <c r="E6844" s="221"/>
      <c r="F6844" s="221"/>
      <c r="G6844" s="221"/>
      <c r="H6844" s="221"/>
      <c r="I6844" s="221"/>
      <c r="J6844" s="221"/>
      <c r="K6844" s="221"/>
      <c r="L6844" s="221"/>
      <c r="M6844" s="221"/>
    </row>
    <row r="6845" spans="5:13">
      <c r="E6845" s="221"/>
      <c r="F6845" s="221"/>
      <c r="G6845" s="221"/>
      <c r="H6845" s="221"/>
      <c r="I6845" s="221"/>
      <c r="J6845" s="221"/>
      <c r="K6845" s="221"/>
      <c r="L6845" s="221"/>
      <c r="M6845" s="221"/>
    </row>
    <row r="6846" spans="5:13">
      <c r="E6846" s="221"/>
      <c r="F6846" s="221"/>
      <c r="G6846" s="221"/>
      <c r="H6846" s="221"/>
      <c r="I6846" s="221"/>
      <c r="J6846" s="221"/>
      <c r="K6846" s="221"/>
      <c r="L6846" s="221"/>
      <c r="M6846" s="221"/>
    </row>
    <row r="6847" spans="5:13">
      <c r="E6847" s="221"/>
      <c r="F6847" s="221"/>
      <c r="G6847" s="221"/>
      <c r="H6847" s="221"/>
      <c r="I6847" s="221"/>
      <c r="J6847" s="221"/>
      <c r="K6847" s="221"/>
      <c r="L6847" s="221"/>
      <c r="M6847" s="221"/>
    </row>
    <row r="6848" spans="5:13">
      <c r="E6848" s="221"/>
      <c r="F6848" s="221"/>
      <c r="G6848" s="221"/>
      <c r="H6848" s="221"/>
      <c r="I6848" s="221"/>
      <c r="J6848" s="221"/>
      <c r="K6848" s="221"/>
      <c r="L6848" s="221"/>
      <c r="M6848" s="221"/>
    </row>
    <row r="6849" spans="5:13">
      <c r="E6849" s="221"/>
      <c r="F6849" s="221"/>
      <c r="G6849" s="221"/>
      <c r="H6849" s="221"/>
      <c r="I6849" s="221"/>
      <c r="J6849" s="221"/>
      <c r="K6849" s="221"/>
      <c r="L6849" s="221"/>
      <c r="M6849" s="221"/>
    </row>
    <row r="6850" spans="5:13">
      <c r="E6850" s="221"/>
      <c r="F6850" s="221"/>
      <c r="G6850" s="221"/>
      <c r="H6850" s="221"/>
      <c r="I6850" s="221"/>
      <c r="J6850" s="221"/>
      <c r="K6850" s="221"/>
      <c r="L6850" s="221"/>
      <c r="M6850" s="221"/>
    </row>
    <row r="6851" spans="5:13">
      <c r="E6851" s="221"/>
      <c r="F6851" s="221"/>
      <c r="G6851" s="221"/>
      <c r="H6851" s="221"/>
      <c r="I6851" s="221"/>
      <c r="J6851" s="221"/>
      <c r="K6851" s="221"/>
      <c r="L6851" s="221"/>
      <c r="M6851" s="221"/>
    </row>
    <row r="6852" spans="5:13">
      <c r="E6852" s="221"/>
      <c r="F6852" s="221"/>
      <c r="G6852" s="221"/>
      <c r="H6852" s="221"/>
      <c r="I6852" s="221"/>
      <c r="J6852" s="221"/>
      <c r="K6852" s="221"/>
      <c r="L6852" s="221"/>
      <c r="M6852" s="221"/>
    </row>
    <row r="6853" spans="5:13">
      <c r="E6853" s="221"/>
      <c r="F6853" s="221"/>
      <c r="G6853" s="221"/>
      <c r="H6853" s="221"/>
      <c r="I6853" s="221"/>
      <c r="J6853" s="221"/>
      <c r="K6853" s="221"/>
      <c r="L6853" s="221"/>
      <c r="M6853" s="221"/>
    </row>
    <row r="6854" spans="5:13">
      <c r="E6854" s="221"/>
      <c r="F6854" s="221"/>
      <c r="G6854" s="221"/>
      <c r="H6854" s="221"/>
      <c r="I6854" s="221"/>
      <c r="J6854" s="221"/>
      <c r="K6854" s="221"/>
      <c r="L6854" s="221"/>
      <c r="M6854" s="221"/>
    </row>
    <row r="6855" spans="5:13">
      <c r="E6855" s="221"/>
      <c r="F6855" s="221"/>
      <c r="G6855" s="221"/>
      <c r="H6855" s="221"/>
      <c r="I6855" s="221"/>
      <c r="J6855" s="221"/>
      <c r="K6855" s="221"/>
      <c r="L6855" s="221"/>
      <c r="M6855" s="221"/>
    </row>
    <row r="6856" spans="5:13">
      <c r="E6856" s="221"/>
      <c r="F6856" s="221"/>
      <c r="G6856" s="221"/>
      <c r="H6856" s="221"/>
      <c r="I6856" s="221"/>
      <c r="J6856" s="221"/>
      <c r="K6856" s="221"/>
      <c r="L6856" s="221"/>
      <c r="M6856" s="221"/>
    </row>
    <row r="6857" spans="5:13">
      <c r="E6857" s="221"/>
      <c r="F6857" s="221"/>
      <c r="G6857" s="221"/>
      <c r="H6857" s="221"/>
      <c r="I6857" s="221"/>
      <c r="J6857" s="221"/>
      <c r="K6857" s="221"/>
      <c r="L6857" s="221"/>
      <c r="M6857" s="221"/>
    </row>
    <row r="6858" spans="5:13">
      <c r="E6858" s="221"/>
      <c r="F6858" s="221"/>
      <c r="G6858" s="221"/>
      <c r="H6858" s="221"/>
      <c r="I6858" s="221"/>
      <c r="J6858" s="221"/>
      <c r="K6858" s="221"/>
      <c r="L6858" s="221"/>
      <c r="M6858" s="221"/>
    </row>
    <row r="6859" spans="5:13">
      <c r="E6859" s="221"/>
      <c r="F6859" s="221"/>
      <c r="G6859" s="221"/>
      <c r="H6859" s="221"/>
      <c r="I6859" s="221"/>
      <c r="J6859" s="221"/>
      <c r="K6859" s="221"/>
      <c r="L6859" s="221"/>
      <c r="M6859" s="221"/>
    </row>
    <row r="6860" spans="5:13">
      <c r="E6860" s="221"/>
      <c r="F6860" s="221"/>
      <c r="G6860" s="221"/>
      <c r="H6860" s="221"/>
      <c r="I6860" s="221"/>
      <c r="J6860" s="221"/>
      <c r="K6860" s="221"/>
      <c r="L6860" s="221"/>
      <c r="M6860" s="221"/>
    </row>
    <row r="6861" spans="5:13">
      <c r="E6861" s="221"/>
      <c r="F6861" s="221"/>
      <c r="G6861" s="221"/>
      <c r="H6861" s="221"/>
      <c r="I6861" s="221"/>
      <c r="J6861" s="221"/>
      <c r="K6861" s="221"/>
      <c r="L6861" s="221"/>
      <c r="M6861" s="221"/>
    </row>
    <row r="6862" spans="5:13">
      <c r="E6862" s="221"/>
      <c r="F6862" s="221"/>
      <c r="G6862" s="221"/>
      <c r="H6862" s="221"/>
      <c r="I6862" s="221"/>
      <c r="J6862" s="221"/>
      <c r="K6862" s="221"/>
      <c r="L6862" s="221"/>
      <c r="M6862" s="221"/>
    </row>
    <row r="6863" spans="5:13">
      <c r="E6863" s="221"/>
      <c r="F6863" s="221"/>
      <c r="G6863" s="221"/>
      <c r="H6863" s="221"/>
      <c r="I6863" s="221"/>
      <c r="J6863" s="221"/>
      <c r="K6863" s="221"/>
      <c r="L6863" s="221"/>
      <c r="M6863" s="221"/>
    </row>
    <row r="6864" spans="5:13">
      <c r="E6864" s="221"/>
      <c r="F6864" s="221"/>
      <c r="G6864" s="221"/>
      <c r="H6864" s="221"/>
      <c r="I6864" s="221"/>
      <c r="J6864" s="221"/>
      <c r="K6864" s="221"/>
      <c r="L6864" s="221"/>
      <c r="M6864" s="221"/>
    </row>
    <row r="6865" spans="5:13">
      <c r="E6865" s="221"/>
      <c r="F6865" s="221"/>
      <c r="G6865" s="221"/>
      <c r="H6865" s="221"/>
      <c r="I6865" s="221"/>
      <c r="J6865" s="221"/>
      <c r="K6865" s="221"/>
      <c r="L6865" s="221"/>
      <c r="M6865" s="221"/>
    </row>
    <row r="6866" spans="5:13">
      <c r="E6866" s="221"/>
      <c r="F6866" s="221"/>
      <c r="G6866" s="221"/>
      <c r="H6866" s="221"/>
      <c r="I6866" s="221"/>
      <c r="J6866" s="221"/>
      <c r="K6866" s="221"/>
      <c r="L6866" s="221"/>
      <c r="M6866" s="221"/>
    </row>
    <row r="6867" spans="5:13">
      <c r="E6867" s="221"/>
      <c r="F6867" s="221"/>
      <c r="G6867" s="221"/>
      <c r="H6867" s="221"/>
      <c r="I6867" s="221"/>
      <c r="J6867" s="221"/>
      <c r="K6867" s="221"/>
      <c r="L6867" s="221"/>
      <c r="M6867" s="221"/>
    </row>
    <row r="6868" spans="5:13">
      <c r="E6868" s="221"/>
      <c r="F6868" s="221"/>
      <c r="G6868" s="221"/>
      <c r="H6868" s="221"/>
      <c r="I6868" s="221"/>
      <c r="J6868" s="221"/>
      <c r="K6868" s="221"/>
      <c r="L6868" s="221"/>
      <c r="M6868" s="221"/>
    </row>
    <row r="6869" spans="5:13">
      <c r="E6869" s="221"/>
      <c r="F6869" s="221"/>
      <c r="G6869" s="221"/>
      <c r="H6869" s="221"/>
      <c r="I6869" s="221"/>
      <c r="J6869" s="221"/>
      <c r="K6869" s="221"/>
      <c r="L6869" s="221"/>
      <c r="M6869" s="221"/>
    </row>
    <row r="6870" spans="5:13">
      <c r="E6870" s="221"/>
      <c r="F6870" s="221"/>
      <c r="G6870" s="221"/>
      <c r="H6870" s="221"/>
      <c r="I6870" s="221"/>
      <c r="J6870" s="221"/>
      <c r="K6870" s="221"/>
      <c r="L6870" s="221"/>
      <c r="M6870" s="221"/>
    </row>
    <row r="6871" spans="5:13">
      <c r="E6871" s="221"/>
      <c r="F6871" s="221"/>
      <c r="G6871" s="221"/>
      <c r="H6871" s="221"/>
      <c r="I6871" s="221"/>
      <c r="J6871" s="221"/>
      <c r="K6871" s="221"/>
      <c r="L6871" s="221"/>
      <c r="M6871" s="221"/>
    </row>
    <row r="6872" spans="5:13">
      <c r="E6872" s="221"/>
      <c r="F6872" s="221"/>
      <c r="G6872" s="221"/>
      <c r="H6872" s="221"/>
      <c r="I6872" s="221"/>
      <c r="J6872" s="221"/>
      <c r="K6872" s="221"/>
      <c r="L6872" s="221"/>
      <c r="M6872" s="221"/>
    </row>
    <row r="6873" spans="5:13">
      <c r="E6873" s="221"/>
      <c r="F6873" s="221"/>
      <c r="G6873" s="221"/>
      <c r="H6873" s="221"/>
      <c r="I6873" s="221"/>
      <c r="J6873" s="221"/>
      <c r="K6873" s="221"/>
      <c r="L6873" s="221"/>
      <c r="M6873" s="221"/>
    </row>
    <row r="6874" spans="5:13">
      <c r="E6874" s="221"/>
      <c r="F6874" s="221"/>
      <c r="G6874" s="221"/>
      <c r="H6874" s="221"/>
      <c r="I6874" s="221"/>
      <c r="J6874" s="221"/>
      <c r="K6874" s="221"/>
      <c r="L6874" s="221"/>
      <c r="M6874" s="221"/>
    </row>
    <row r="6875" spans="5:13">
      <c r="E6875" s="221"/>
      <c r="F6875" s="221"/>
      <c r="G6875" s="221"/>
      <c r="H6875" s="221"/>
      <c r="I6875" s="221"/>
      <c r="J6875" s="221"/>
      <c r="K6875" s="221"/>
      <c r="L6875" s="221"/>
      <c r="M6875" s="221"/>
    </row>
    <row r="6876" spans="5:13">
      <c r="E6876" s="221"/>
      <c r="F6876" s="221"/>
      <c r="G6876" s="221"/>
      <c r="H6876" s="221"/>
      <c r="I6876" s="221"/>
      <c r="J6876" s="221"/>
      <c r="K6876" s="221"/>
      <c r="L6876" s="221"/>
      <c r="M6876" s="221"/>
    </row>
    <row r="6877" spans="5:13">
      <c r="E6877" s="221"/>
      <c r="F6877" s="221"/>
      <c r="G6877" s="221"/>
      <c r="H6877" s="221"/>
      <c r="I6877" s="221"/>
      <c r="J6877" s="221"/>
      <c r="K6877" s="221"/>
      <c r="L6877" s="221"/>
      <c r="M6877" s="221"/>
    </row>
    <row r="6878" spans="5:13">
      <c r="E6878" s="221"/>
      <c r="F6878" s="221"/>
      <c r="G6878" s="221"/>
      <c r="H6878" s="221"/>
      <c r="I6878" s="221"/>
      <c r="J6878" s="221"/>
      <c r="K6878" s="221"/>
      <c r="L6878" s="221"/>
      <c r="M6878" s="221"/>
    </row>
    <row r="6879" spans="5:13">
      <c r="E6879" s="221"/>
      <c r="F6879" s="221"/>
      <c r="G6879" s="221"/>
      <c r="H6879" s="221"/>
      <c r="I6879" s="221"/>
      <c r="J6879" s="221"/>
      <c r="K6879" s="221"/>
      <c r="L6879" s="221"/>
      <c r="M6879" s="221"/>
    </row>
    <row r="6880" spans="5:13">
      <c r="E6880" s="221"/>
      <c r="F6880" s="221"/>
      <c r="G6880" s="221"/>
      <c r="H6880" s="221"/>
      <c r="I6880" s="221"/>
      <c r="J6880" s="221"/>
      <c r="K6880" s="221"/>
      <c r="L6880" s="221"/>
      <c r="M6880" s="221"/>
    </row>
    <row r="6881" spans="5:13">
      <c r="E6881" s="221"/>
      <c r="F6881" s="221"/>
      <c r="G6881" s="221"/>
      <c r="H6881" s="221"/>
      <c r="I6881" s="221"/>
      <c r="J6881" s="221"/>
      <c r="K6881" s="221"/>
      <c r="L6881" s="221"/>
      <c r="M6881" s="221"/>
    </row>
    <row r="6882" spans="5:13">
      <c r="E6882" s="221"/>
      <c r="F6882" s="221"/>
      <c r="G6882" s="221"/>
      <c r="H6882" s="221"/>
      <c r="I6882" s="221"/>
      <c r="J6882" s="221"/>
      <c r="K6882" s="221"/>
      <c r="L6882" s="221"/>
      <c r="M6882" s="221"/>
    </row>
    <row r="6883" spans="5:13">
      <c r="E6883" s="221"/>
      <c r="F6883" s="221"/>
      <c r="G6883" s="221"/>
      <c r="H6883" s="221"/>
      <c r="I6883" s="221"/>
      <c r="J6883" s="221"/>
      <c r="K6883" s="221"/>
      <c r="L6883" s="221"/>
      <c r="M6883" s="221"/>
    </row>
    <row r="6884" spans="5:13">
      <c r="E6884" s="221"/>
      <c r="F6884" s="221"/>
      <c r="G6884" s="221"/>
      <c r="H6884" s="221"/>
      <c r="I6884" s="221"/>
      <c r="J6884" s="221"/>
      <c r="K6884" s="221"/>
      <c r="L6884" s="221"/>
      <c r="M6884" s="221"/>
    </row>
    <row r="6885" spans="5:13">
      <c r="E6885" s="221"/>
      <c r="F6885" s="221"/>
      <c r="G6885" s="221"/>
      <c r="H6885" s="221"/>
      <c r="I6885" s="221"/>
      <c r="J6885" s="221"/>
      <c r="K6885" s="221"/>
      <c r="L6885" s="221"/>
      <c r="M6885" s="221"/>
    </row>
    <row r="6886" spans="5:13">
      <c r="E6886" s="221"/>
      <c r="F6886" s="221"/>
      <c r="G6886" s="221"/>
      <c r="H6886" s="221"/>
      <c r="I6886" s="221"/>
      <c r="J6886" s="221"/>
      <c r="K6886" s="221"/>
      <c r="L6886" s="221"/>
      <c r="M6886" s="221"/>
    </row>
    <row r="6887" spans="5:13">
      <c r="E6887" s="221"/>
      <c r="F6887" s="221"/>
      <c r="G6887" s="221"/>
      <c r="H6887" s="221"/>
      <c r="I6887" s="221"/>
      <c r="J6887" s="221"/>
      <c r="K6887" s="221"/>
      <c r="L6887" s="221"/>
      <c r="M6887" s="221"/>
    </row>
    <row r="6888" spans="5:13">
      <c r="E6888" s="221"/>
      <c r="F6888" s="221"/>
      <c r="G6888" s="221"/>
      <c r="H6888" s="221"/>
      <c r="I6888" s="221"/>
      <c r="J6888" s="221"/>
      <c r="K6888" s="221"/>
      <c r="L6888" s="221"/>
      <c r="M6888" s="221"/>
    </row>
    <row r="6889" spans="5:13">
      <c r="E6889" s="221"/>
      <c r="F6889" s="221"/>
      <c r="G6889" s="221"/>
      <c r="H6889" s="221"/>
      <c r="I6889" s="221"/>
      <c r="J6889" s="221"/>
      <c r="K6889" s="221"/>
      <c r="L6889" s="221"/>
      <c r="M6889" s="221"/>
    </row>
    <row r="6890" spans="5:13">
      <c r="E6890" s="221"/>
      <c r="F6890" s="221"/>
      <c r="G6890" s="221"/>
      <c r="H6890" s="221"/>
      <c r="I6890" s="221"/>
      <c r="J6890" s="221"/>
      <c r="K6890" s="221"/>
      <c r="L6890" s="221"/>
      <c r="M6890" s="221"/>
    </row>
    <row r="6891" spans="5:13">
      <c r="E6891" s="221"/>
      <c r="F6891" s="221"/>
      <c r="G6891" s="221"/>
      <c r="H6891" s="221"/>
      <c r="I6891" s="221"/>
      <c r="J6891" s="221"/>
      <c r="K6891" s="221"/>
      <c r="L6891" s="221"/>
      <c r="M6891" s="221"/>
    </row>
    <row r="6892" spans="5:13">
      <c r="E6892" s="221"/>
      <c r="F6892" s="221"/>
      <c r="G6892" s="221"/>
      <c r="H6892" s="221"/>
      <c r="I6892" s="221"/>
      <c r="J6892" s="221"/>
      <c r="K6892" s="221"/>
      <c r="L6892" s="221"/>
      <c r="M6892" s="221"/>
    </row>
    <row r="6893" spans="5:13">
      <c r="E6893" s="221"/>
      <c r="F6893" s="221"/>
      <c r="G6893" s="221"/>
      <c r="H6893" s="221"/>
      <c r="I6893" s="221"/>
      <c r="J6893" s="221"/>
      <c r="K6893" s="221"/>
      <c r="L6893" s="221"/>
      <c r="M6893" s="221"/>
    </row>
    <row r="6894" spans="5:13">
      <c r="E6894" s="221"/>
      <c r="F6894" s="221"/>
      <c r="G6894" s="221"/>
      <c r="H6894" s="221"/>
      <c r="I6894" s="221"/>
      <c r="J6894" s="221"/>
      <c r="K6894" s="221"/>
      <c r="L6894" s="221"/>
      <c r="M6894" s="221"/>
    </row>
    <row r="6895" spans="5:13">
      <c r="E6895" s="221"/>
      <c r="F6895" s="221"/>
      <c r="G6895" s="221"/>
      <c r="H6895" s="221"/>
      <c r="I6895" s="221"/>
      <c r="J6895" s="221"/>
      <c r="K6895" s="221"/>
      <c r="L6895" s="221"/>
      <c r="M6895" s="221"/>
    </row>
    <row r="6896" spans="5:13">
      <c r="E6896" s="221"/>
      <c r="F6896" s="221"/>
      <c r="G6896" s="221"/>
      <c r="H6896" s="221"/>
      <c r="I6896" s="221"/>
      <c r="J6896" s="221"/>
      <c r="K6896" s="221"/>
      <c r="L6896" s="221"/>
      <c r="M6896" s="221"/>
    </row>
    <row r="6897" spans="5:13">
      <c r="E6897" s="221"/>
      <c r="F6897" s="221"/>
      <c r="G6897" s="221"/>
      <c r="H6897" s="221"/>
      <c r="I6897" s="221"/>
      <c r="J6897" s="221"/>
      <c r="K6897" s="221"/>
      <c r="L6897" s="221"/>
      <c r="M6897" s="221"/>
    </row>
    <row r="6898" spans="5:13">
      <c r="E6898" s="221"/>
      <c r="F6898" s="221"/>
      <c r="G6898" s="221"/>
      <c r="H6898" s="221"/>
      <c r="I6898" s="221"/>
      <c r="J6898" s="221"/>
      <c r="K6898" s="221"/>
      <c r="L6898" s="221"/>
      <c r="M6898" s="221"/>
    </row>
    <row r="6899" spans="5:13">
      <c r="E6899" s="221"/>
      <c r="F6899" s="221"/>
      <c r="G6899" s="221"/>
      <c r="H6899" s="221"/>
      <c r="I6899" s="221"/>
      <c r="J6899" s="221"/>
      <c r="K6899" s="221"/>
      <c r="L6899" s="221"/>
      <c r="M6899" s="221"/>
    </row>
    <row r="6900" spans="5:13">
      <c r="E6900" s="221"/>
      <c r="F6900" s="221"/>
      <c r="G6900" s="221"/>
      <c r="H6900" s="221"/>
      <c r="I6900" s="221"/>
      <c r="J6900" s="221"/>
      <c r="K6900" s="221"/>
      <c r="L6900" s="221"/>
      <c r="M6900" s="221"/>
    </row>
    <row r="6901" spans="5:13">
      <c r="E6901" s="221"/>
      <c r="F6901" s="221"/>
      <c r="G6901" s="221"/>
      <c r="H6901" s="221"/>
      <c r="I6901" s="221"/>
      <c r="J6901" s="221"/>
      <c r="K6901" s="221"/>
      <c r="L6901" s="221"/>
      <c r="M6901" s="221"/>
    </row>
    <row r="6902" spans="5:13">
      <c r="E6902" s="221"/>
      <c r="F6902" s="221"/>
      <c r="G6902" s="221"/>
      <c r="H6902" s="221"/>
      <c r="I6902" s="221"/>
      <c r="J6902" s="221"/>
      <c r="K6902" s="221"/>
      <c r="L6902" s="221"/>
      <c r="M6902" s="221"/>
    </row>
    <row r="6903" spans="5:13">
      <c r="E6903" s="221"/>
      <c r="F6903" s="221"/>
      <c r="G6903" s="221"/>
      <c r="H6903" s="221"/>
      <c r="I6903" s="221"/>
      <c r="J6903" s="221"/>
      <c r="K6903" s="221"/>
      <c r="L6903" s="221"/>
      <c r="M6903" s="221"/>
    </row>
    <row r="6904" spans="5:13">
      <c r="E6904" s="221"/>
      <c r="F6904" s="221"/>
      <c r="G6904" s="221"/>
      <c r="H6904" s="221"/>
      <c r="I6904" s="221"/>
      <c r="J6904" s="221"/>
      <c r="K6904" s="221"/>
      <c r="L6904" s="221"/>
      <c r="M6904" s="221"/>
    </row>
    <row r="6905" spans="5:13">
      <c r="E6905" s="221"/>
      <c r="F6905" s="221"/>
      <c r="G6905" s="221"/>
      <c r="H6905" s="221"/>
      <c r="I6905" s="221"/>
      <c r="J6905" s="221"/>
      <c r="K6905" s="221"/>
      <c r="L6905" s="221"/>
      <c r="M6905" s="221"/>
    </row>
    <row r="6906" spans="5:13">
      <c r="E6906" s="221"/>
      <c r="F6906" s="221"/>
      <c r="G6906" s="221"/>
      <c r="H6906" s="221"/>
      <c r="I6906" s="221"/>
      <c r="J6906" s="221"/>
      <c r="K6906" s="221"/>
      <c r="L6906" s="221"/>
      <c r="M6906" s="221"/>
    </row>
    <row r="6907" spans="5:13">
      <c r="E6907" s="221"/>
      <c r="F6907" s="221"/>
      <c r="G6907" s="221"/>
      <c r="H6907" s="221"/>
      <c r="I6907" s="221"/>
      <c r="J6907" s="221"/>
      <c r="K6907" s="221"/>
      <c r="L6907" s="221"/>
      <c r="M6907" s="221"/>
    </row>
    <row r="6908" spans="5:13">
      <c r="E6908" s="221"/>
      <c r="F6908" s="221"/>
      <c r="G6908" s="221"/>
      <c r="H6908" s="221"/>
      <c r="I6908" s="221"/>
      <c r="J6908" s="221"/>
      <c r="K6908" s="221"/>
      <c r="L6908" s="221"/>
      <c r="M6908" s="221"/>
    </row>
    <row r="6909" spans="5:13">
      <c r="E6909" s="221"/>
      <c r="F6909" s="221"/>
      <c r="G6909" s="221"/>
      <c r="H6909" s="221"/>
      <c r="I6909" s="221"/>
      <c r="J6909" s="221"/>
      <c r="K6909" s="221"/>
      <c r="L6909" s="221"/>
      <c r="M6909" s="221"/>
    </row>
    <row r="6910" spans="5:13">
      <c r="E6910" s="221"/>
      <c r="F6910" s="221"/>
      <c r="G6910" s="221"/>
      <c r="H6910" s="221"/>
      <c r="I6910" s="221"/>
      <c r="J6910" s="221"/>
      <c r="K6910" s="221"/>
      <c r="L6910" s="221"/>
      <c r="M6910" s="221"/>
    </row>
    <row r="6911" spans="5:13">
      <c r="E6911" s="221"/>
      <c r="F6911" s="221"/>
      <c r="G6911" s="221"/>
      <c r="H6911" s="221"/>
      <c r="I6911" s="221"/>
      <c r="J6911" s="221"/>
      <c r="K6911" s="221"/>
      <c r="L6911" s="221"/>
      <c r="M6911" s="221"/>
    </row>
    <row r="6912" spans="5:13">
      <c r="E6912" s="221"/>
      <c r="F6912" s="221"/>
      <c r="G6912" s="221"/>
      <c r="H6912" s="221"/>
      <c r="I6912" s="221"/>
      <c r="J6912" s="221"/>
      <c r="K6912" s="221"/>
      <c r="L6912" s="221"/>
      <c r="M6912" s="221"/>
    </row>
    <row r="6913" spans="5:13">
      <c r="E6913" s="221"/>
      <c r="F6913" s="221"/>
      <c r="G6913" s="221"/>
      <c r="H6913" s="221"/>
      <c r="I6913" s="221"/>
      <c r="J6913" s="221"/>
      <c r="K6913" s="221"/>
      <c r="L6913" s="221"/>
      <c r="M6913" s="221"/>
    </row>
    <row r="6914" spans="5:13">
      <c r="E6914" s="221"/>
      <c r="F6914" s="221"/>
      <c r="G6914" s="221"/>
      <c r="H6914" s="221"/>
      <c r="I6914" s="221"/>
      <c r="J6914" s="221"/>
      <c r="K6914" s="221"/>
      <c r="L6914" s="221"/>
      <c r="M6914" s="221"/>
    </row>
    <row r="6915" spans="5:13">
      <c r="E6915" s="221"/>
      <c r="F6915" s="221"/>
      <c r="G6915" s="221"/>
      <c r="H6915" s="221"/>
      <c r="I6915" s="221"/>
      <c r="J6915" s="221"/>
      <c r="K6915" s="221"/>
      <c r="L6915" s="221"/>
      <c r="M6915" s="221"/>
    </row>
    <row r="6916" spans="5:13">
      <c r="E6916" s="221"/>
      <c r="F6916" s="221"/>
      <c r="G6916" s="221"/>
      <c r="H6916" s="221"/>
      <c r="I6916" s="221"/>
      <c r="J6916" s="221"/>
      <c r="K6916" s="221"/>
      <c r="L6916" s="221"/>
      <c r="M6916" s="221"/>
    </row>
    <row r="6917" spans="5:13">
      <c r="E6917" s="221"/>
      <c r="F6917" s="221"/>
      <c r="G6917" s="221"/>
      <c r="H6917" s="221"/>
      <c r="I6917" s="221"/>
      <c r="J6917" s="221"/>
      <c r="K6917" s="221"/>
      <c r="L6917" s="221"/>
      <c r="M6917" s="221"/>
    </row>
    <row r="6918" spans="5:13">
      <c r="E6918" s="221"/>
      <c r="F6918" s="221"/>
      <c r="G6918" s="221"/>
      <c r="H6918" s="221"/>
      <c r="I6918" s="221"/>
      <c r="J6918" s="221"/>
      <c r="K6918" s="221"/>
      <c r="L6918" s="221"/>
      <c r="M6918" s="221"/>
    </row>
    <row r="6919" spans="5:13">
      <c r="E6919" s="221"/>
      <c r="F6919" s="221"/>
      <c r="G6919" s="221"/>
      <c r="H6919" s="221"/>
      <c r="I6919" s="221"/>
      <c r="J6919" s="221"/>
      <c r="K6919" s="221"/>
      <c r="L6919" s="221"/>
      <c r="M6919" s="221"/>
    </row>
    <row r="6920" spans="5:13">
      <c r="E6920" s="221"/>
      <c r="F6920" s="221"/>
      <c r="G6920" s="221"/>
      <c r="H6920" s="221"/>
      <c r="I6920" s="221"/>
      <c r="J6920" s="221"/>
      <c r="K6920" s="221"/>
      <c r="L6920" s="221"/>
      <c r="M6920" s="221"/>
    </row>
    <row r="6921" spans="5:13">
      <c r="E6921" s="221"/>
      <c r="F6921" s="221"/>
      <c r="G6921" s="221"/>
      <c r="H6921" s="221"/>
      <c r="I6921" s="221"/>
      <c r="J6921" s="221"/>
      <c r="K6921" s="221"/>
      <c r="L6921" s="221"/>
      <c r="M6921" s="221"/>
    </row>
    <row r="6922" spans="5:13">
      <c r="E6922" s="221"/>
      <c r="F6922" s="221"/>
      <c r="G6922" s="221"/>
      <c r="H6922" s="221"/>
      <c r="I6922" s="221"/>
      <c r="J6922" s="221"/>
      <c r="K6922" s="221"/>
      <c r="L6922" s="221"/>
      <c r="M6922" s="221"/>
    </row>
    <row r="6923" spans="5:13">
      <c r="E6923" s="221"/>
      <c r="F6923" s="221"/>
      <c r="G6923" s="221"/>
      <c r="H6923" s="221"/>
      <c r="I6923" s="221"/>
      <c r="J6923" s="221"/>
      <c r="K6923" s="221"/>
      <c r="L6923" s="221"/>
      <c r="M6923" s="221"/>
    </row>
    <row r="6924" spans="5:13">
      <c r="E6924" s="221"/>
      <c r="F6924" s="221"/>
      <c r="G6924" s="221"/>
      <c r="H6924" s="221"/>
      <c r="I6924" s="221"/>
      <c r="J6924" s="221"/>
      <c r="K6924" s="221"/>
      <c r="L6924" s="221"/>
      <c r="M6924" s="221"/>
    </row>
    <row r="6925" spans="5:13">
      <c r="E6925" s="221"/>
      <c r="F6925" s="221"/>
      <c r="G6925" s="221"/>
      <c r="H6925" s="221"/>
      <c r="I6925" s="221"/>
      <c r="J6925" s="221"/>
      <c r="K6925" s="221"/>
      <c r="L6925" s="221"/>
      <c r="M6925" s="221"/>
    </row>
    <row r="6926" spans="5:13">
      <c r="E6926" s="221"/>
      <c r="F6926" s="221"/>
      <c r="G6926" s="221"/>
      <c r="H6926" s="221"/>
      <c r="I6926" s="221"/>
      <c r="J6926" s="221"/>
      <c r="K6926" s="221"/>
      <c r="L6926" s="221"/>
      <c r="M6926" s="221"/>
    </row>
    <row r="6927" spans="5:13">
      <c r="E6927" s="221"/>
      <c r="F6927" s="221"/>
      <c r="G6927" s="221"/>
      <c r="H6927" s="221"/>
      <c r="I6927" s="221"/>
      <c r="J6927" s="221"/>
      <c r="K6927" s="221"/>
      <c r="L6927" s="221"/>
      <c r="M6927" s="221"/>
    </row>
    <row r="6928" spans="5:13">
      <c r="E6928" s="221"/>
      <c r="F6928" s="221"/>
      <c r="G6928" s="221"/>
      <c r="H6928" s="221"/>
      <c r="I6928" s="221"/>
      <c r="J6928" s="221"/>
      <c r="K6928" s="221"/>
      <c r="L6928" s="221"/>
      <c r="M6928" s="221"/>
    </row>
    <row r="6929" spans="5:13">
      <c r="E6929" s="221"/>
      <c r="F6929" s="221"/>
      <c r="G6929" s="221"/>
      <c r="H6929" s="221"/>
      <c r="I6929" s="221"/>
      <c r="J6929" s="221"/>
      <c r="K6929" s="221"/>
      <c r="L6929" s="221"/>
      <c r="M6929" s="221"/>
    </row>
    <row r="6930" spans="5:13">
      <c r="E6930" s="221"/>
      <c r="F6930" s="221"/>
      <c r="G6930" s="221"/>
      <c r="H6930" s="221"/>
      <c r="I6930" s="221"/>
      <c r="J6930" s="221"/>
      <c r="K6930" s="221"/>
      <c r="L6930" s="221"/>
      <c r="M6930" s="221"/>
    </row>
    <row r="6931" spans="5:13">
      <c r="E6931" s="221"/>
      <c r="F6931" s="221"/>
      <c r="G6931" s="221"/>
      <c r="H6931" s="221"/>
      <c r="I6931" s="221"/>
      <c r="J6931" s="221"/>
      <c r="K6931" s="221"/>
      <c r="L6931" s="221"/>
      <c r="M6931" s="221"/>
    </row>
    <row r="6932" spans="5:13">
      <c r="E6932" s="221"/>
      <c r="F6932" s="221"/>
      <c r="G6932" s="221"/>
      <c r="H6932" s="221"/>
      <c r="I6932" s="221"/>
      <c r="J6932" s="221"/>
      <c r="K6932" s="221"/>
      <c r="L6932" s="221"/>
      <c r="M6932" s="221"/>
    </row>
    <row r="6933" spans="5:13">
      <c r="E6933" s="221"/>
      <c r="F6933" s="221"/>
      <c r="G6933" s="221"/>
      <c r="H6933" s="221"/>
      <c r="I6933" s="221"/>
      <c r="J6933" s="221"/>
      <c r="K6933" s="221"/>
      <c r="L6933" s="221"/>
      <c r="M6933" s="221"/>
    </row>
    <row r="6934" spans="5:13">
      <c r="E6934" s="221"/>
      <c r="F6934" s="221"/>
      <c r="G6934" s="221"/>
      <c r="H6934" s="221"/>
      <c r="I6934" s="221"/>
      <c r="J6934" s="221"/>
      <c r="K6934" s="221"/>
      <c r="L6934" s="221"/>
      <c r="M6934" s="221"/>
    </row>
    <row r="6935" spans="5:13">
      <c r="E6935" s="221"/>
      <c r="F6935" s="221"/>
      <c r="G6935" s="221"/>
      <c r="H6935" s="221"/>
      <c r="I6935" s="221"/>
      <c r="J6935" s="221"/>
      <c r="K6935" s="221"/>
      <c r="L6935" s="221"/>
      <c r="M6935" s="221"/>
    </row>
    <row r="6936" spans="5:13">
      <c r="E6936" s="221"/>
      <c r="F6936" s="221"/>
      <c r="G6936" s="221"/>
      <c r="H6936" s="221"/>
      <c r="I6936" s="221"/>
      <c r="J6936" s="221"/>
      <c r="K6936" s="221"/>
      <c r="L6936" s="221"/>
      <c r="M6936" s="221"/>
    </row>
    <row r="6937" spans="5:13">
      <c r="E6937" s="221"/>
      <c r="F6937" s="221"/>
      <c r="G6937" s="221"/>
      <c r="H6937" s="221"/>
      <c r="I6937" s="221"/>
      <c r="J6937" s="221"/>
      <c r="K6937" s="221"/>
      <c r="L6937" s="221"/>
      <c r="M6937" s="221"/>
    </row>
    <row r="6938" spans="5:13">
      <c r="E6938" s="221"/>
      <c r="F6938" s="221"/>
      <c r="G6938" s="221"/>
      <c r="H6938" s="221"/>
      <c r="I6938" s="221"/>
      <c r="J6938" s="221"/>
      <c r="K6938" s="221"/>
      <c r="L6938" s="221"/>
      <c r="M6938" s="221"/>
    </row>
    <row r="6939" spans="5:13">
      <c r="E6939" s="221"/>
      <c r="F6939" s="221"/>
      <c r="G6939" s="221"/>
      <c r="H6939" s="221"/>
      <c r="I6939" s="221"/>
      <c r="J6939" s="221"/>
      <c r="K6939" s="221"/>
      <c r="L6939" s="221"/>
      <c r="M6939" s="221"/>
    </row>
    <row r="6940" spans="5:13">
      <c r="E6940" s="221"/>
      <c r="F6940" s="221"/>
      <c r="G6940" s="221"/>
      <c r="H6940" s="221"/>
      <c r="I6940" s="221"/>
      <c r="J6940" s="221"/>
      <c r="K6940" s="221"/>
      <c r="L6940" s="221"/>
      <c r="M6940" s="221"/>
    </row>
    <row r="6941" spans="5:13">
      <c r="E6941" s="221"/>
      <c r="F6941" s="221"/>
      <c r="G6941" s="221"/>
      <c r="H6941" s="221"/>
      <c r="I6941" s="221"/>
      <c r="J6941" s="221"/>
      <c r="K6941" s="221"/>
      <c r="L6941" s="221"/>
      <c r="M6941" s="221"/>
    </row>
    <row r="6942" spans="5:13">
      <c r="E6942" s="221"/>
      <c r="F6942" s="221"/>
      <c r="G6942" s="221"/>
      <c r="H6942" s="221"/>
      <c r="I6942" s="221"/>
      <c r="J6942" s="221"/>
      <c r="K6942" s="221"/>
      <c r="L6942" s="221"/>
      <c r="M6942" s="221"/>
    </row>
    <row r="6943" spans="5:13">
      <c r="E6943" s="221"/>
      <c r="F6943" s="221"/>
      <c r="G6943" s="221"/>
      <c r="H6943" s="221"/>
      <c r="I6943" s="221"/>
      <c r="J6943" s="221"/>
      <c r="K6943" s="221"/>
      <c r="L6943" s="221"/>
      <c r="M6943" s="221"/>
    </row>
    <row r="6944" spans="5:13">
      <c r="E6944" s="221"/>
      <c r="F6944" s="221"/>
      <c r="G6944" s="221"/>
      <c r="H6944" s="221"/>
      <c r="I6944" s="221"/>
      <c r="J6944" s="221"/>
      <c r="K6944" s="221"/>
      <c r="L6944" s="221"/>
      <c r="M6944" s="221"/>
    </row>
    <row r="6945" spans="5:13">
      <c r="E6945" s="221"/>
      <c r="F6945" s="221"/>
      <c r="G6945" s="221"/>
      <c r="H6945" s="221"/>
      <c r="I6945" s="221"/>
      <c r="J6945" s="221"/>
      <c r="K6945" s="221"/>
      <c r="L6945" s="221"/>
      <c r="M6945" s="221"/>
    </row>
    <row r="6946" spans="5:13">
      <c r="E6946" s="221"/>
      <c r="F6946" s="221"/>
      <c r="G6946" s="221"/>
      <c r="H6946" s="221"/>
      <c r="I6946" s="221"/>
      <c r="J6946" s="221"/>
      <c r="K6946" s="221"/>
      <c r="L6946" s="221"/>
      <c r="M6946" s="221"/>
    </row>
    <row r="6947" spans="5:13">
      <c r="E6947" s="221"/>
      <c r="F6947" s="221"/>
      <c r="G6947" s="221"/>
      <c r="H6947" s="221"/>
      <c r="I6947" s="221"/>
      <c r="J6947" s="221"/>
      <c r="K6947" s="221"/>
      <c r="L6947" s="221"/>
      <c r="M6947" s="221"/>
    </row>
    <row r="6948" spans="5:13">
      <c r="E6948" s="221"/>
      <c r="F6948" s="221"/>
      <c r="G6948" s="221"/>
      <c r="H6948" s="221"/>
      <c r="I6948" s="221"/>
      <c r="J6948" s="221"/>
      <c r="K6948" s="221"/>
      <c r="L6948" s="221"/>
      <c r="M6948" s="221"/>
    </row>
    <row r="6949" spans="5:13">
      <c r="E6949" s="221"/>
      <c r="F6949" s="221"/>
      <c r="G6949" s="221"/>
      <c r="H6949" s="221"/>
      <c r="I6949" s="221"/>
      <c r="J6949" s="221"/>
      <c r="K6949" s="221"/>
      <c r="L6949" s="221"/>
      <c r="M6949" s="221"/>
    </row>
    <row r="6950" spans="5:13">
      <c r="E6950" s="221"/>
      <c r="F6950" s="221"/>
      <c r="G6950" s="221"/>
      <c r="H6950" s="221"/>
      <c r="I6950" s="221"/>
      <c r="J6950" s="221"/>
      <c r="K6950" s="221"/>
      <c r="L6950" s="221"/>
      <c r="M6950" s="221"/>
    </row>
    <row r="6951" spans="5:13">
      <c r="E6951" s="221"/>
      <c r="F6951" s="221"/>
      <c r="G6951" s="221"/>
      <c r="H6951" s="221"/>
      <c r="I6951" s="221"/>
      <c r="J6951" s="221"/>
      <c r="K6951" s="221"/>
      <c r="L6951" s="221"/>
      <c r="M6951" s="221"/>
    </row>
    <row r="6952" spans="5:13">
      <c r="E6952" s="221"/>
      <c r="F6952" s="221"/>
      <c r="G6952" s="221"/>
      <c r="H6952" s="221"/>
      <c r="I6952" s="221"/>
      <c r="J6952" s="221"/>
      <c r="K6952" s="221"/>
      <c r="L6952" s="221"/>
      <c r="M6952" s="221"/>
    </row>
    <row r="6953" spans="5:13">
      <c r="E6953" s="221"/>
      <c r="F6953" s="221"/>
      <c r="G6953" s="221"/>
      <c r="H6953" s="221"/>
      <c r="I6953" s="221"/>
      <c r="J6953" s="221"/>
      <c r="K6953" s="221"/>
      <c r="L6953" s="221"/>
      <c r="M6953" s="221"/>
    </row>
    <row r="6954" spans="5:13">
      <c r="E6954" s="221"/>
      <c r="F6954" s="221"/>
      <c r="G6954" s="221"/>
      <c r="H6954" s="221"/>
      <c r="I6954" s="221"/>
      <c r="J6954" s="221"/>
      <c r="K6954" s="221"/>
      <c r="L6954" s="221"/>
      <c r="M6954" s="221"/>
    </row>
    <row r="6955" spans="5:13">
      <c r="E6955" s="221"/>
      <c r="F6955" s="221"/>
      <c r="G6955" s="221"/>
      <c r="H6955" s="221"/>
      <c r="I6955" s="221"/>
      <c r="J6955" s="221"/>
      <c r="K6955" s="221"/>
      <c r="L6955" s="221"/>
      <c r="M6955" s="221"/>
    </row>
    <row r="6956" spans="5:13">
      <c r="E6956" s="221"/>
      <c r="F6956" s="221"/>
      <c r="G6956" s="221"/>
      <c r="H6956" s="221"/>
      <c r="I6956" s="221"/>
      <c r="J6956" s="221"/>
      <c r="K6956" s="221"/>
      <c r="L6956" s="221"/>
      <c r="M6956" s="221"/>
    </row>
    <row r="6957" spans="5:13">
      <c r="E6957" s="221"/>
      <c r="F6957" s="221"/>
      <c r="G6957" s="221"/>
      <c r="H6957" s="221"/>
      <c r="I6957" s="221"/>
      <c r="J6957" s="221"/>
      <c r="K6957" s="221"/>
      <c r="L6957" s="221"/>
      <c r="M6957" s="221"/>
    </row>
    <row r="6958" spans="5:13">
      <c r="E6958" s="221"/>
      <c r="F6958" s="221"/>
      <c r="G6958" s="221"/>
      <c r="H6958" s="221"/>
      <c r="I6958" s="221"/>
      <c r="J6958" s="221"/>
      <c r="K6958" s="221"/>
      <c r="L6958" s="221"/>
      <c r="M6958" s="221"/>
    </row>
    <row r="6959" spans="5:13">
      <c r="E6959" s="221"/>
      <c r="F6959" s="221"/>
      <c r="G6959" s="221"/>
      <c r="H6959" s="221"/>
      <c r="I6959" s="221"/>
      <c r="J6959" s="221"/>
      <c r="K6959" s="221"/>
      <c r="L6959" s="221"/>
      <c r="M6959" s="221"/>
    </row>
    <row r="6960" spans="5:13">
      <c r="E6960" s="221"/>
      <c r="F6960" s="221"/>
      <c r="G6960" s="221"/>
      <c r="H6960" s="221"/>
      <c r="I6960" s="221"/>
      <c r="J6960" s="221"/>
      <c r="K6960" s="221"/>
      <c r="L6960" s="221"/>
      <c r="M6960" s="221"/>
    </row>
    <row r="6961" spans="5:13">
      <c r="E6961" s="221"/>
      <c r="F6961" s="221"/>
      <c r="G6961" s="221"/>
      <c r="H6961" s="221"/>
      <c r="I6961" s="221"/>
      <c r="J6961" s="221"/>
      <c r="K6961" s="221"/>
      <c r="L6961" s="221"/>
      <c r="M6961" s="221"/>
    </row>
    <row r="6962" spans="5:13">
      <c r="E6962" s="221"/>
      <c r="F6962" s="221"/>
      <c r="G6962" s="221"/>
      <c r="H6962" s="221"/>
      <c r="I6962" s="221"/>
      <c r="J6962" s="221"/>
      <c r="K6962" s="221"/>
      <c r="L6962" s="221"/>
      <c r="M6962" s="221"/>
    </row>
    <row r="6963" spans="5:13">
      <c r="E6963" s="221"/>
      <c r="F6963" s="221"/>
      <c r="G6963" s="221"/>
      <c r="H6963" s="221"/>
      <c r="I6963" s="221"/>
      <c r="J6963" s="221"/>
      <c r="K6963" s="221"/>
      <c r="L6963" s="221"/>
      <c r="M6963" s="221"/>
    </row>
    <row r="6964" spans="5:13">
      <c r="E6964" s="221"/>
      <c r="F6964" s="221"/>
      <c r="G6964" s="221"/>
      <c r="H6964" s="221"/>
      <c r="I6964" s="221"/>
      <c r="J6964" s="221"/>
      <c r="K6964" s="221"/>
      <c r="L6964" s="221"/>
      <c r="M6964" s="221"/>
    </row>
    <row r="6965" spans="5:13">
      <c r="E6965" s="221"/>
      <c r="F6965" s="221"/>
      <c r="G6965" s="221"/>
      <c r="H6965" s="221"/>
      <c r="I6965" s="221"/>
      <c r="J6965" s="221"/>
      <c r="K6965" s="221"/>
      <c r="L6965" s="221"/>
      <c r="M6965" s="221"/>
    </row>
    <row r="6966" spans="5:13">
      <c r="E6966" s="221"/>
      <c r="F6966" s="221"/>
      <c r="G6966" s="221"/>
      <c r="H6966" s="221"/>
      <c r="I6966" s="221"/>
      <c r="J6966" s="221"/>
      <c r="K6966" s="221"/>
      <c r="L6966" s="221"/>
      <c r="M6966" s="221"/>
    </row>
    <row r="6967" spans="5:13">
      <c r="E6967" s="221"/>
      <c r="F6967" s="221"/>
      <c r="G6967" s="221"/>
      <c r="H6967" s="221"/>
      <c r="I6967" s="221"/>
      <c r="J6967" s="221"/>
      <c r="K6967" s="221"/>
      <c r="L6967" s="221"/>
      <c r="M6967" s="221"/>
    </row>
    <row r="6968" spans="5:13">
      <c r="E6968" s="221"/>
      <c r="F6968" s="221"/>
      <c r="G6968" s="221"/>
      <c r="H6968" s="221"/>
      <c r="I6968" s="221"/>
      <c r="J6968" s="221"/>
      <c r="K6968" s="221"/>
      <c r="L6968" s="221"/>
      <c r="M6968" s="221"/>
    </row>
    <row r="6969" spans="5:13">
      <c r="E6969" s="221"/>
      <c r="F6969" s="221"/>
      <c r="G6969" s="221"/>
      <c r="H6969" s="221"/>
      <c r="I6969" s="221"/>
      <c r="J6969" s="221"/>
      <c r="K6969" s="221"/>
      <c r="L6969" s="221"/>
      <c r="M6969" s="221"/>
    </row>
    <row r="6970" spans="5:13">
      <c r="E6970" s="221"/>
      <c r="F6970" s="221"/>
      <c r="G6970" s="221"/>
      <c r="H6970" s="221"/>
      <c r="I6970" s="221"/>
      <c r="J6970" s="221"/>
      <c r="K6970" s="221"/>
      <c r="L6970" s="221"/>
      <c r="M6970" s="221"/>
    </row>
    <row r="6971" spans="5:13">
      <c r="E6971" s="221"/>
      <c r="F6971" s="221"/>
      <c r="G6971" s="221"/>
      <c r="H6971" s="221"/>
      <c r="I6971" s="221"/>
      <c r="J6971" s="221"/>
      <c r="K6971" s="221"/>
      <c r="L6971" s="221"/>
      <c r="M6971" s="221"/>
    </row>
    <row r="6972" spans="5:13">
      <c r="E6972" s="221"/>
      <c r="F6972" s="221"/>
      <c r="G6972" s="221"/>
      <c r="H6972" s="221"/>
      <c r="I6972" s="221"/>
      <c r="J6972" s="221"/>
      <c r="K6972" s="221"/>
      <c r="L6972" s="221"/>
      <c r="M6972" s="221"/>
    </row>
    <row r="6973" spans="5:13">
      <c r="E6973" s="221"/>
      <c r="F6973" s="221"/>
      <c r="G6973" s="221"/>
      <c r="H6973" s="221"/>
      <c r="I6973" s="221"/>
      <c r="J6973" s="221"/>
      <c r="K6973" s="221"/>
      <c r="L6973" s="221"/>
      <c r="M6973" s="221"/>
    </row>
    <row r="6974" spans="5:13">
      <c r="E6974" s="221"/>
      <c r="F6974" s="221"/>
      <c r="G6974" s="221"/>
      <c r="H6974" s="221"/>
      <c r="I6974" s="221"/>
      <c r="J6974" s="221"/>
      <c r="K6974" s="221"/>
      <c r="L6974" s="221"/>
      <c r="M6974" s="221"/>
    </row>
    <row r="6975" spans="5:13">
      <c r="E6975" s="221"/>
      <c r="F6975" s="221"/>
      <c r="G6975" s="221"/>
      <c r="H6975" s="221"/>
      <c r="I6975" s="221"/>
      <c r="J6975" s="221"/>
      <c r="K6975" s="221"/>
      <c r="L6975" s="221"/>
      <c r="M6975" s="221"/>
    </row>
    <row r="6976" spans="5:13">
      <c r="E6976" s="221"/>
      <c r="F6976" s="221"/>
      <c r="G6976" s="221"/>
      <c r="H6976" s="221"/>
      <c r="I6976" s="221"/>
      <c r="J6976" s="221"/>
      <c r="K6976" s="221"/>
      <c r="L6976" s="221"/>
      <c r="M6976" s="221"/>
    </row>
    <row r="6977" spans="5:13">
      <c r="E6977" s="221"/>
      <c r="F6977" s="221"/>
      <c r="G6977" s="221"/>
      <c r="H6977" s="221"/>
      <c r="I6977" s="221"/>
      <c r="J6977" s="221"/>
      <c r="K6977" s="221"/>
      <c r="L6977" s="221"/>
      <c r="M6977" s="221"/>
    </row>
    <row r="6978" spans="5:13">
      <c r="E6978" s="221"/>
      <c r="F6978" s="221"/>
      <c r="G6978" s="221"/>
      <c r="H6978" s="221"/>
      <c r="I6978" s="221"/>
      <c r="J6978" s="221"/>
      <c r="K6978" s="221"/>
      <c r="L6978" s="221"/>
      <c r="M6978" s="221"/>
    </row>
    <row r="6979" spans="5:13">
      <c r="E6979" s="221"/>
      <c r="F6979" s="221"/>
      <c r="G6979" s="221"/>
      <c r="H6979" s="221"/>
      <c r="I6979" s="221"/>
      <c r="J6979" s="221"/>
      <c r="K6979" s="221"/>
      <c r="L6979" s="221"/>
      <c r="M6979" s="221"/>
    </row>
    <row r="6980" spans="5:13">
      <c r="E6980" s="221"/>
      <c r="F6980" s="221"/>
      <c r="G6980" s="221"/>
      <c r="H6980" s="221"/>
      <c r="I6980" s="221"/>
      <c r="J6980" s="221"/>
      <c r="K6980" s="221"/>
      <c r="L6980" s="221"/>
      <c r="M6980" s="221"/>
    </row>
    <row r="6981" spans="5:13">
      <c r="E6981" s="221"/>
      <c r="F6981" s="221"/>
      <c r="G6981" s="221"/>
      <c r="H6981" s="221"/>
      <c r="I6981" s="221"/>
      <c r="J6981" s="221"/>
      <c r="K6981" s="221"/>
      <c r="L6981" s="221"/>
      <c r="M6981" s="221"/>
    </row>
    <row r="6982" spans="5:13">
      <c r="E6982" s="221"/>
      <c r="F6982" s="221"/>
      <c r="G6982" s="221"/>
      <c r="H6982" s="221"/>
      <c r="I6982" s="221"/>
      <c r="J6982" s="221"/>
      <c r="K6982" s="221"/>
      <c r="L6982" s="221"/>
      <c r="M6982" s="221"/>
    </row>
    <row r="6983" spans="5:13">
      <c r="E6983" s="221"/>
      <c r="F6983" s="221"/>
      <c r="G6983" s="221"/>
      <c r="H6983" s="221"/>
      <c r="I6983" s="221"/>
      <c r="J6983" s="221"/>
      <c r="K6983" s="221"/>
      <c r="L6983" s="221"/>
      <c r="M6983" s="221"/>
    </row>
    <row r="6984" spans="5:13">
      <c r="E6984" s="221"/>
      <c r="F6984" s="221"/>
      <c r="G6984" s="221"/>
      <c r="H6984" s="221"/>
      <c r="I6984" s="221"/>
      <c r="J6984" s="221"/>
      <c r="K6984" s="221"/>
      <c r="L6984" s="221"/>
      <c r="M6984" s="221"/>
    </row>
    <row r="6985" spans="5:13">
      <c r="E6985" s="221"/>
      <c r="F6985" s="221"/>
      <c r="G6985" s="221"/>
      <c r="H6985" s="221"/>
      <c r="I6985" s="221"/>
      <c r="J6985" s="221"/>
      <c r="K6985" s="221"/>
      <c r="L6985" s="221"/>
      <c r="M6985" s="221"/>
    </row>
    <row r="6986" spans="5:13">
      <c r="E6986" s="221"/>
      <c r="F6986" s="221"/>
      <c r="G6986" s="221"/>
      <c r="H6986" s="221"/>
      <c r="I6986" s="221"/>
      <c r="J6986" s="221"/>
      <c r="K6986" s="221"/>
      <c r="L6986" s="221"/>
      <c r="M6986" s="221"/>
    </row>
    <row r="6987" spans="5:13">
      <c r="E6987" s="221"/>
      <c r="F6987" s="221"/>
      <c r="G6987" s="221"/>
      <c r="H6987" s="221"/>
      <c r="I6987" s="221"/>
      <c r="J6987" s="221"/>
      <c r="K6987" s="221"/>
      <c r="L6987" s="221"/>
      <c r="M6987" s="221"/>
    </row>
    <row r="6988" spans="5:13">
      <c r="E6988" s="221"/>
      <c r="F6988" s="221"/>
      <c r="G6988" s="221"/>
      <c r="H6988" s="221"/>
      <c r="I6988" s="221"/>
      <c r="J6988" s="221"/>
      <c r="K6988" s="221"/>
      <c r="L6988" s="221"/>
      <c r="M6988" s="221"/>
    </row>
    <row r="6989" spans="5:13">
      <c r="E6989" s="221"/>
      <c r="F6989" s="221"/>
      <c r="G6989" s="221"/>
      <c r="H6989" s="221"/>
      <c r="I6989" s="221"/>
      <c r="J6989" s="221"/>
      <c r="K6989" s="221"/>
      <c r="L6989" s="221"/>
      <c r="M6989" s="221"/>
    </row>
    <row r="6990" spans="5:13">
      <c r="E6990" s="221"/>
      <c r="F6990" s="221"/>
      <c r="G6990" s="221"/>
      <c r="H6990" s="221"/>
      <c r="I6990" s="221"/>
      <c r="J6990" s="221"/>
      <c r="K6990" s="221"/>
      <c r="L6990" s="221"/>
      <c r="M6990" s="221"/>
    </row>
    <row r="6991" spans="5:13">
      <c r="E6991" s="221"/>
      <c r="F6991" s="221"/>
      <c r="G6991" s="221"/>
      <c r="H6991" s="221"/>
      <c r="I6991" s="221"/>
      <c r="J6991" s="221"/>
      <c r="K6991" s="221"/>
      <c r="L6991" s="221"/>
      <c r="M6991" s="221"/>
    </row>
    <row r="6992" spans="5:13">
      <c r="E6992" s="221"/>
      <c r="F6992" s="221"/>
      <c r="G6992" s="221"/>
      <c r="H6992" s="221"/>
      <c r="I6992" s="221"/>
      <c r="J6992" s="221"/>
      <c r="K6992" s="221"/>
      <c r="L6992" s="221"/>
      <c r="M6992" s="221"/>
    </row>
    <row r="6993" spans="5:13">
      <c r="E6993" s="221"/>
      <c r="F6993" s="221"/>
      <c r="G6993" s="221"/>
      <c r="H6993" s="221"/>
      <c r="I6993" s="221"/>
      <c r="J6993" s="221"/>
      <c r="K6993" s="221"/>
      <c r="L6993" s="221"/>
      <c r="M6993" s="221"/>
    </row>
    <row r="6994" spans="5:13">
      <c r="E6994" s="221"/>
      <c r="F6994" s="221"/>
      <c r="G6994" s="221"/>
      <c r="H6994" s="221"/>
      <c r="I6994" s="221"/>
      <c r="J6994" s="221"/>
      <c r="K6994" s="221"/>
      <c r="L6994" s="221"/>
      <c r="M6994" s="221"/>
    </row>
    <row r="6995" spans="5:13">
      <c r="E6995" s="221"/>
      <c r="F6995" s="221"/>
      <c r="G6995" s="221"/>
      <c r="H6995" s="221"/>
      <c r="I6995" s="221"/>
      <c r="J6995" s="221"/>
      <c r="K6995" s="221"/>
      <c r="L6995" s="221"/>
      <c r="M6995" s="221"/>
    </row>
    <row r="6996" spans="5:13">
      <c r="E6996" s="221"/>
      <c r="F6996" s="221"/>
      <c r="G6996" s="221"/>
      <c r="H6996" s="221"/>
      <c r="I6996" s="221"/>
      <c r="J6996" s="221"/>
      <c r="K6996" s="221"/>
      <c r="L6996" s="221"/>
      <c r="M6996" s="221"/>
    </row>
    <row r="6997" spans="5:13">
      <c r="E6997" s="221"/>
      <c r="F6997" s="221"/>
      <c r="G6997" s="221"/>
      <c r="H6997" s="221"/>
      <c r="I6997" s="221"/>
      <c r="J6997" s="221"/>
      <c r="K6997" s="221"/>
      <c r="L6997" s="221"/>
      <c r="M6997" s="221"/>
    </row>
    <row r="6998" spans="5:13">
      <c r="E6998" s="221"/>
      <c r="F6998" s="221"/>
      <c r="G6998" s="221"/>
      <c r="H6998" s="221"/>
      <c r="I6998" s="221"/>
      <c r="J6998" s="221"/>
      <c r="K6998" s="221"/>
      <c r="L6998" s="221"/>
      <c r="M6998" s="221"/>
    </row>
    <row r="6999" spans="5:13">
      <c r="E6999" s="221"/>
      <c r="F6999" s="221"/>
      <c r="G6999" s="221"/>
      <c r="H6999" s="221"/>
      <c r="I6999" s="221"/>
      <c r="J6999" s="221"/>
      <c r="K6999" s="221"/>
      <c r="L6999" s="221"/>
      <c r="M6999" s="221"/>
    </row>
    <row r="7000" spans="5:13">
      <c r="E7000" s="221"/>
      <c r="F7000" s="221"/>
      <c r="G7000" s="221"/>
      <c r="H7000" s="221"/>
      <c r="I7000" s="221"/>
      <c r="J7000" s="221"/>
      <c r="K7000" s="221"/>
      <c r="L7000" s="221"/>
      <c r="M7000" s="221"/>
    </row>
    <row r="7001" spans="5:13">
      <c r="E7001" s="221"/>
      <c r="F7001" s="221"/>
      <c r="G7001" s="221"/>
      <c r="H7001" s="221"/>
      <c r="I7001" s="221"/>
      <c r="J7001" s="221"/>
      <c r="K7001" s="221"/>
      <c r="L7001" s="221"/>
      <c r="M7001" s="221"/>
    </row>
    <row r="7002" spans="5:13">
      <c r="E7002" s="221"/>
      <c r="F7002" s="221"/>
      <c r="G7002" s="221"/>
      <c r="H7002" s="221"/>
      <c r="I7002" s="221"/>
      <c r="J7002" s="221"/>
      <c r="K7002" s="221"/>
      <c r="L7002" s="221"/>
      <c r="M7002" s="221"/>
    </row>
    <row r="7003" spans="5:13">
      <c r="E7003" s="221"/>
      <c r="F7003" s="221"/>
      <c r="G7003" s="221"/>
      <c r="H7003" s="221"/>
      <c r="I7003" s="221"/>
      <c r="J7003" s="221"/>
      <c r="K7003" s="221"/>
      <c r="L7003" s="221"/>
      <c r="M7003" s="221"/>
    </row>
    <row r="7004" spans="5:13">
      <c r="E7004" s="221"/>
      <c r="F7004" s="221"/>
      <c r="G7004" s="221"/>
      <c r="H7004" s="221"/>
      <c r="I7004" s="221"/>
      <c r="J7004" s="221"/>
      <c r="K7004" s="221"/>
      <c r="L7004" s="221"/>
      <c r="M7004" s="221"/>
    </row>
    <row r="7005" spans="5:13">
      <c r="E7005" s="221"/>
      <c r="F7005" s="221"/>
      <c r="G7005" s="221"/>
      <c r="H7005" s="221"/>
      <c r="I7005" s="221"/>
      <c r="J7005" s="221"/>
      <c r="K7005" s="221"/>
      <c r="L7005" s="221"/>
      <c r="M7005" s="221"/>
    </row>
    <row r="7006" spans="5:13">
      <c r="E7006" s="221"/>
      <c r="F7006" s="221"/>
      <c r="G7006" s="221"/>
      <c r="H7006" s="221"/>
      <c r="I7006" s="221"/>
      <c r="J7006" s="221"/>
      <c r="K7006" s="221"/>
      <c r="L7006" s="221"/>
      <c r="M7006" s="221"/>
    </row>
    <row r="7007" spans="5:13">
      <c r="E7007" s="221"/>
      <c r="F7007" s="221"/>
      <c r="G7007" s="221"/>
      <c r="H7007" s="221"/>
      <c r="I7007" s="221"/>
      <c r="J7007" s="221"/>
      <c r="K7007" s="221"/>
      <c r="L7007" s="221"/>
      <c r="M7007" s="221"/>
    </row>
    <row r="7008" spans="5:13">
      <c r="E7008" s="221"/>
      <c r="F7008" s="221"/>
      <c r="G7008" s="221"/>
      <c r="H7008" s="221"/>
      <c r="I7008" s="221"/>
      <c r="J7008" s="221"/>
      <c r="K7008" s="221"/>
      <c r="L7008" s="221"/>
      <c r="M7008" s="221"/>
    </row>
    <row r="7009" spans="5:13">
      <c r="E7009" s="221"/>
      <c r="F7009" s="221"/>
      <c r="G7009" s="221"/>
      <c r="H7009" s="221"/>
      <c r="I7009" s="221"/>
      <c r="J7009" s="221"/>
      <c r="K7009" s="221"/>
      <c r="L7009" s="221"/>
      <c r="M7009" s="221"/>
    </row>
    <row r="7010" spans="5:13">
      <c r="E7010" s="221"/>
      <c r="F7010" s="221"/>
      <c r="G7010" s="221"/>
      <c r="H7010" s="221"/>
      <c r="I7010" s="221"/>
      <c r="J7010" s="221"/>
      <c r="K7010" s="221"/>
      <c r="L7010" s="221"/>
      <c r="M7010" s="221"/>
    </row>
    <row r="7011" spans="5:13">
      <c r="E7011" s="221"/>
      <c r="F7011" s="221"/>
      <c r="G7011" s="221"/>
      <c r="H7011" s="221"/>
      <c r="I7011" s="221"/>
      <c r="J7011" s="221"/>
      <c r="K7011" s="221"/>
      <c r="L7011" s="221"/>
      <c r="M7011" s="221"/>
    </row>
    <row r="7012" spans="5:13">
      <c r="E7012" s="221"/>
      <c r="F7012" s="221"/>
      <c r="G7012" s="221"/>
      <c r="H7012" s="221"/>
      <c r="I7012" s="221"/>
      <c r="J7012" s="221"/>
      <c r="K7012" s="221"/>
      <c r="L7012" s="221"/>
      <c r="M7012" s="221"/>
    </row>
    <row r="7013" spans="5:13">
      <c r="E7013" s="221"/>
      <c r="F7013" s="221"/>
      <c r="G7013" s="221"/>
      <c r="H7013" s="221"/>
      <c r="I7013" s="221"/>
      <c r="J7013" s="221"/>
      <c r="K7013" s="221"/>
      <c r="L7013" s="221"/>
      <c r="M7013" s="221"/>
    </row>
    <row r="7014" spans="5:13">
      <c r="E7014" s="221"/>
      <c r="F7014" s="221"/>
      <c r="G7014" s="221"/>
      <c r="H7014" s="221"/>
      <c r="I7014" s="221"/>
      <c r="J7014" s="221"/>
      <c r="K7014" s="221"/>
      <c r="L7014" s="221"/>
      <c r="M7014" s="221"/>
    </row>
    <row r="7015" spans="5:13">
      <c r="E7015" s="221"/>
      <c r="F7015" s="221"/>
      <c r="G7015" s="221"/>
      <c r="H7015" s="221"/>
      <c r="I7015" s="221"/>
      <c r="J7015" s="221"/>
      <c r="K7015" s="221"/>
      <c r="L7015" s="221"/>
      <c r="M7015" s="221"/>
    </row>
    <row r="7016" spans="5:13">
      <c r="E7016" s="221"/>
      <c r="F7016" s="221"/>
      <c r="G7016" s="221"/>
      <c r="H7016" s="221"/>
      <c r="I7016" s="221"/>
      <c r="J7016" s="221"/>
      <c r="K7016" s="221"/>
      <c r="L7016" s="221"/>
      <c r="M7016" s="221"/>
    </row>
    <row r="7017" spans="5:13">
      <c r="E7017" s="221"/>
      <c r="F7017" s="221"/>
      <c r="G7017" s="221"/>
      <c r="H7017" s="221"/>
      <c r="I7017" s="221"/>
      <c r="J7017" s="221"/>
      <c r="K7017" s="221"/>
      <c r="L7017" s="221"/>
      <c r="M7017" s="221"/>
    </row>
    <row r="7018" spans="5:13">
      <c r="E7018" s="221"/>
      <c r="F7018" s="221"/>
      <c r="G7018" s="221"/>
      <c r="H7018" s="221"/>
      <c r="I7018" s="221"/>
      <c r="J7018" s="221"/>
      <c r="K7018" s="221"/>
      <c r="L7018" s="221"/>
      <c r="M7018" s="221"/>
    </row>
    <row r="7019" spans="5:13">
      <c r="E7019" s="221"/>
      <c r="F7019" s="221"/>
      <c r="G7019" s="221"/>
      <c r="H7019" s="221"/>
      <c r="I7019" s="221"/>
      <c r="J7019" s="221"/>
      <c r="K7019" s="221"/>
      <c r="L7019" s="221"/>
      <c r="M7019" s="221"/>
    </row>
    <row r="7020" spans="5:13">
      <c r="E7020" s="221"/>
      <c r="F7020" s="221"/>
      <c r="G7020" s="221"/>
      <c r="H7020" s="221"/>
      <c r="I7020" s="221"/>
      <c r="J7020" s="221"/>
      <c r="K7020" s="221"/>
      <c r="L7020" s="221"/>
      <c r="M7020" s="221"/>
    </row>
    <row r="7021" spans="5:13">
      <c r="E7021" s="221"/>
      <c r="F7021" s="221"/>
      <c r="G7021" s="221"/>
      <c r="H7021" s="221"/>
      <c r="I7021" s="221"/>
      <c r="J7021" s="221"/>
      <c r="K7021" s="221"/>
      <c r="L7021" s="221"/>
      <c r="M7021" s="221"/>
    </row>
    <row r="7022" spans="5:13">
      <c r="E7022" s="221"/>
      <c r="F7022" s="221"/>
      <c r="G7022" s="221"/>
      <c r="H7022" s="221"/>
      <c r="I7022" s="221"/>
      <c r="J7022" s="221"/>
      <c r="K7022" s="221"/>
      <c r="L7022" s="221"/>
      <c r="M7022" s="221"/>
    </row>
    <row r="7023" spans="5:13">
      <c r="E7023" s="221"/>
      <c r="F7023" s="221"/>
      <c r="G7023" s="221"/>
      <c r="H7023" s="221"/>
      <c r="I7023" s="221"/>
      <c r="J7023" s="221"/>
      <c r="K7023" s="221"/>
      <c r="L7023" s="221"/>
      <c r="M7023" s="221"/>
    </row>
    <row r="7024" spans="5:13">
      <c r="E7024" s="221"/>
      <c r="F7024" s="221"/>
      <c r="G7024" s="221"/>
      <c r="H7024" s="221"/>
      <c r="I7024" s="221"/>
      <c r="J7024" s="221"/>
      <c r="K7024" s="221"/>
      <c r="L7024" s="221"/>
      <c r="M7024" s="221"/>
    </row>
    <row r="7025" spans="5:13">
      <c r="E7025" s="221"/>
      <c r="F7025" s="221"/>
      <c r="G7025" s="221"/>
      <c r="H7025" s="221"/>
      <c r="I7025" s="221"/>
      <c r="J7025" s="221"/>
      <c r="K7025" s="221"/>
      <c r="L7025" s="221"/>
      <c r="M7025" s="221"/>
    </row>
    <row r="7026" spans="5:13">
      <c r="E7026" s="221"/>
      <c r="F7026" s="221"/>
      <c r="G7026" s="221"/>
      <c r="H7026" s="221"/>
      <c r="I7026" s="221"/>
      <c r="J7026" s="221"/>
      <c r="K7026" s="221"/>
      <c r="L7026" s="221"/>
      <c r="M7026" s="221"/>
    </row>
    <row r="7027" spans="5:13">
      <c r="E7027" s="221"/>
      <c r="F7027" s="221"/>
      <c r="G7027" s="221"/>
      <c r="H7027" s="221"/>
      <c r="I7027" s="221"/>
      <c r="J7027" s="221"/>
      <c r="K7027" s="221"/>
      <c r="L7027" s="221"/>
      <c r="M7027" s="221"/>
    </row>
    <row r="7028" spans="5:13">
      <c r="E7028" s="221"/>
      <c r="F7028" s="221"/>
      <c r="G7028" s="221"/>
      <c r="H7028" s="221"/>
      <c r="I7028" s="221"/>
      <c r="J7028" s="221"/>
      <c r="K7028" s="221"/>
      <c r="L7028" s="221"/>
      <c r="M7028" s="221"/>
    </row>
    <row r="7029" spans="5:13">
      <c r="E7029" s="221"/>
      <c r="F7029" s="221"/>
      <c r="G7029" s="221"/>
      <c r="H7029" s="221"/>
      <c r="I7029" s="221"/>
      <c r="J7029" s="221"/>
      <c r="K7029" s="221"/>
      <c r="L7029" s="221"/>
      <c r="M7029" s="221"/>
    </row>
    <row r="7030" spans="5:13">
      <c r="E7030" s="221"/>
      <c r="F7030" s="221"/>
      <c r="G7030" s="221"/>
      <c r="H7030" s="221"/>
      <c r="I7030" s="221"/>
      <c r="J7030" s="221"/>
      <c r="K7030" s="221"/>
      <c r="L7030" s="221"/>
      <c r="M7030" s="221"/>
    </row>
    <row r="7031" spans="5:13">
      <c r="E7031" s="221"/>
      <c r="F7031" s="221"/>
      <c r="G7031" s="221"/>
      <c r="H7031" s="221"/>
      <c r="I7031" s="221"/>
      <c r="J7031" s="221"/>
      <c r="K7031" s="221"/>
      <c r="L7031" s="221"/>
      <c r="M7031" s="221"/>
    </row>
    <row r="7032" spans="5:13">
      <c r="E7032" s="221"/>
      <c r="F7032" s="221"/>
      <c r="G7032" s="221"/>
      <c r="H7032" s="221"/>
      <c r="I7032" s="221"/>
      <c r="J7032" s="221"/>
      <c r="K7032" s="221"/>
      <c r="L7032" s="221"/>
      <c r="M7032" s="221"/>
    </row>
    <row r="7033" spans="5:13">
      <c r="E7033" s="221"/>
      <c r="F7033" s="221"/>
      <c r="G7033" s="221"/>
      <c r="H7033" s="221"/>
      <c r="I7033" s="221"/>
      <c r="J7033" s="221"/>
      <c r="K7033" s="221"/>
      <c r="L7033" s="221"/>
      <c r="M7033" s="221"/>
    </row>
    <row r="7034" spans="5:13">
      <c r="E7034" s="221"/>
      <c r="F7034" s="221"/>
      <c r="G7034" s="221"/>
      <c r="H7034" s="221"/>
      <c r="I7034" s="221"/>
      <c r="J7034" s="221"/>
      <c r="K7034" s="221"/>
      <c r="L7034" s="221"/>
      <c r="M7034" s="221"/>
    </row>
    <row r="7035" spans="5:13">
      <c r="E7035" s="221"/>
      <c r="F7035" s="221"/>
      <c r="G7035" s="221"/>
      <c r="H7035" s="221"/>
      <c r="I7035" s="221"/>
      <c r="J7035" s="221"/>
      <c r="K7035" s="221"/>
      <c r="L7035" s="221"/>
      <c r="M7035" s="221"/>
    </row>
    <row r="7036" spans="5:13">
      <c r="E7036" s="221"/>
      <c r="F7036" s="221"/>
      <c r="G7036" s="221"/>
      <c r="H7036" s="221"/>
      <c r="I7036" s="221"/>
      <c r="J7036" s="221"/>
      <c r="K7036" s="221"/>
      <c r="L7036" s="221"/>
      <c r="M7036" s="221"/>
    </row>
    <row r="7037" spans="5:13">
      <c r="E7037" s="221"/>
      <c r="F7037" s="221"/>
      <c r="G7037" s="221"/>
      <c r="H7037" s="221"/>
      <c r="I7037" s="221"/>
      <c r="J7037" s="221"/>
      <c r="K7037" s="221"/>
      <c r="L7037" s="221"/>
      <c r="M7037" s="221"/>
    </row>
    <row r="7038" spans="5:13">
      <c r="E7038" s="221"/>
      <c r="F7038" s="221"/>
      <c r="G7038" s="221"/>
      <c r="H7038" s="221"/>
      <c r="I7038" s="221"/>
      <c r="J7038" s="221"/>
      <c r="K7038" s="221"/>
      <c r="L7038" s="221"/>
      <c r="M7038" s="221"/>
    </row>
    <row r="7039" spans="5:13">
      <c r="E7039" s="221"/>
      <c r="F7039" s="221"/>
      <c r="G7039" s="221"/>
      <c r="H7039" s="221"/>
      <c r="I7039" s="221"/>
      <c r="J7039" s="221"/>
      <c r="K7039" s="221"/>
      <c r="L7039" s="221"/>
      <c r="M7039" s="221"/>
    </row>
    <row r="7040" spans="5:13">
      <c r="E7040" s="221"/>
      <c r="F7040" s="221"/>
      <c r="G7040" s="221"/>
      <c r="H7040" s="221"/>
      <c r="I7040" s="221"/>
      <c r="J7040" s="221"/>
      <c r="K7040" s="221"/>
      <c r="L7040" s="221"/>
      <c r="M7040" s="221"/>
    </row>
    <row r="7041" spans="5:13">
      <c r="E7041" s="221"/>
      <c r="F7041" s="221"/>
      <c r="G7041" s="221"/>
      <c r="H7041" s="221"/>
      <c r="I7041" s="221"/>
      <c r="J7041" s="221"/>
      <c r="K7041" s="221"/>
      <c r="L7041" s="221"/>
      <c r="M7041" s="221"/>
    </row>
    <row r="7042" spans="5:13">
      <c r="E7042" s="221"/>
      <c r="F7042" s="221"/>
      <c r="G7042" s="221"/>
      <c r="H7042" s="221"/>
      <c r="I7042" s="221"/>
      <c r="J7042" s="221"/>
      <c r="K7042" s="221"/>
      <c r="L7042" s="221"/>
      <c r="M7042" s="221"/>
    </row>
    <row r="7043" spans="5:13">
      <c r="E7043" s="221"/>
      <c r="F7043" s="221"/>
      <c r="G7043" s="221"/>
      <c r="H7043" s="221"/>
      <c r="I7043" s="221"/>
      <c r="J7043" s="221"/>
      <c r="K7043" s="221"/>
      <c r="L7043" s="221"/>
      <c r="M7043" s="221"/>
    </row>
    <row r="7044" spans="5:13">
      <c r="E7044" s="221"/>
      <c r="F7044" s="221"/>
      <c r="G7044" s="221"/>
      <c r="H7044" s="221"/>
      <c r="I7044" s="221"/>
      <c r="J7044" s="221"/>
      <c r="K7044" s="221"/>
      <c r="L7044" s="221"/>
      <c r="M7044" s="221"/>
    </row>
    <row r="7045" spans="5:13">
      <c r="E7045" s="221"/>
      <c r="F7045" s="221"/>
      <c r="G7045" s="221"/>
      <c r="H7045" s="221"/>
      <c r="I7045" s="221"/>
      <c r="J7045" s="221"/>
      <c r="K7045" s="221"/>
      <c r="L7045" s="221"/>
      <c r="M7045" s="221"/>
    </row>
    <row r="7046" spans="5:13">
      <c r="E7046" s="221"/>
      <c r="F7046" s="221"/>
      <c r="G7046" s="221"/>
      <c r="H7046" s="221"/>
      <c r="I7046" s="221"/>
      <c r="J7046" s="221"/>
      <c r="K7046" s="221"/>
      <c r="L7046" s="221"/>
      <c r="M7046" s="221"/>
    </row>
    <row r="7047" spans="5:13">
      <c r="E7047" s="221"/>
      <c r="F7047" s="221"/>
      <c r="G7047" s="221"/>
      <c r="H7047" s="221"/>
      <c r="I7047" s="221"/>
      <c r="J7047" s="221"/>
      <c r="K7047" s="221"/>
      <c r="L7047" s="221"/>
      <c r="M7047" s="221"/>
    </row>
    <row r="7048" spans="5:13">
      <c r="E7048" s="221"/>
      <c r="F7048" s="221"/>
      <c r="G7048" s="221"/>
      <c r="H7048" s="221"/>
      <c r="I7048" s="221"/>
      <c r="J7048" s="221"/>
      <c r="K7048" s="221"/>
      <c r="L7048" s="221"/>
      <c r="M7048" s="221"/>
    </row>
    <row r="7049" spans="5:13">
      <c r="E7049" s="221"/>
      <c r="F7049" s="221"/>
      <c r="G7049" s="221"/>
      <c r="H7049" s="221"/>
      <c r="I7049" s="221"/>
      <c r="J7049" s="221"/>
      <c r="K7049" s="221"/>
      <c r="L7049" s="221"/>
      <c r="M7049" s="221"/>
    </row>
    <row r="7050" spans="5:13">
      <c r="E7050" s="221"/>
      <c r="F7050" s="221"/>
      <c r="G7050" s="221"/>
      <c r="H7050" s="221"/>
      <c r="I7050" s="221"/>
      <c r="J7050" s="221"/>
      <c r="K7050" s="221"/>
      <c r="L7050" s="221"/>
      <c r="M7050" s="221"/>
    </row>
    <row r="7051" spans="5:13">
      <c r="E7051" s="221"/>
      <c r="F7051" s="221"/>
      <c r="G7051" s="221"/>
      <c r="H7051" s="221"/>
      <c r="I7051" s="221"/>
      <c r="J7051" s="221"/>
      <c r="K7051" s="221"/>
      <c r="L7051" s="221"/>
      <c r="M7051" s="221"/>
    </row>
    <row r="7052" spans="5:13">
      <c r="E7052" s="221"/>
      <c r="F7052" s="221"/>
      <c r="G7052" s="221"/>
      <c r="H7052" s="221"/>
      <c r="I7052" s="221"/>
      <c r="J7052" s="221"/>
      <c r="K7052" s="221"/>
      <c r="L7052" s="221"/>
      <c r="M7052" s="221"/>
    </row>
    <row r="7053" spans="5:13">
      <c r="E7053" s="221"/>
      <c r="F7053" s="221"/>
      <c r="G7053" s="221"/>
      <c r="H7053" s="221"/>
      <c r="I7053" s="221"/>
      <c r="J7053" s="221"/>
      <c r="K7053" s="221"/>
      <c r="L7053" s="221"/>
      <c r="M7053" s="221"/>
    </row>
    <row r="7054" spans="5:13">
      <c r="E7054" s="221"/>
      <c r="F7054" s="221"/>
      <c r="G7054" s="221"/>
      <c r="H7054" s="221"/>
      <c r="I7054" s="221"/>
      <c r="J7054" s="221"/>
      <c r="K7054" s="221"/>
      <c r="L7054" s="221"/>
      <c r="M7054" s="221"/>
    </row>
    <row r="7055" spans="5:13">
      <c r="E7055" s="221"/>
      <c r="F7055" s="221"/>
      <c r="G7055" s="221"/>
      <c r="H7055" s="221"/>
      <c r="I7055" s="221"/>
      <c r="J7055" s="221"/>
      <c r="K7055" s="221"/>
      <c r="L7055" s="221"/>
      <c r="M7055" s="221"/>
    </row>
    <row r="7056" spans="5:13">
      <c r="E7056" s="221"/>
      <c r="F7056" s="221"/>
      <c r="G7056" s="221"/>
      <c r="H7056" s="221"/>
      <c r="I7056" s="221"/>
      <c r="J7056" s="221"/>
      <c r="K7056" s="221"/>
      <c r="L7056" s="221"/>
      <c r="M7056" s="221"/>
    </row>
    <row r="7057" spans="5:13">
      <c r="E7057" s="221"/>
      <c r="F7057" s="221"/>
      <c r="G7057" s="221"/>
      <c r="H7057" s="221"/>
      <c r="I7057" s="221"/>
      <c r="J7057" s="221"/>
      <c r="K7057" s="221"/>
      <c r="L7057" s="221"/>
      <c r="M7057" s="221"/>
    </row>
    <row r="7058" spans="5:13">
      <c r="E7058" s="221"/>
      <c r="F7058" s="221"/>
      <c r="G7058" s="221"/>
      <c r="H7058" s="221"/>
      <c r="I7058" s="221"/>
      <c r="J7058" s="221"/>
      <c r="K7058" s="221"/>
      <c r="L7058" s="221"/>
      <c r="M7058" s="221"/>
    </row>
    <row r="7059" spans="5:13">
      <c r="E7059" s="221"/>
      <c r="F7059" s="221"/>
      <c r="G7059" s="221"/>
      <c r="H7059" s="221"/>
      <c r="I7059" s="221"/>
      <c r="J7059" s="221"/>
      <c r="K7059" s="221"/>
      <c r="L7059" s="221"/>
      <c r="M7059" s="221"/>
    </row>
    <row r="7060" spans="5:13">
      <c r="E7060" s="221"/>
      <c r="F7060" s="221"/>
      <c r="G7060" s="221"/>
      <c r="H7060" s="221"/>
      <c r="I7060" s="221"/>
      <c r="J7060" s="221"/>
      <c r="K7060" s="221"/>
      <c r="L7060" s="221"/>
      <c r="M7060" s="221"/>
    </row>
    <row r="7061" spans="5:13">
      <c r="E7061" s="221"/>
      <c r="F7061" s="221"/>
      <c r="G7061" s="221"/>
      <c r="H7061" s="221"/>
      <c r="I7061" s="221"/>
      <c r="J7061" s="221"/>
      <c r="K7061" s="221"/>
      <c r="L7061" s="221"/>
      <c r="M7061" s="221"/>
    </row>
    <row r="7062" spans="5:13">
      <c r="E7062" s="221"/>
      <c r="F7062" s="221"/>
      <c r="G7062" s="221"/>
      <c r="H7062" s="221"/>
      <c r="I7062" s="221"/>
      <c r="J7062" s="221"/>
      <c r="K7062" s="221"/>
      <c r="L7062" s="221"/>
      <c r="M7062" s="221"/>
    </row>
    <row r="7063" spans="5:13">
      <c r="E7063" s="221"/>
      <c r="F7063" s="221"/>
      <c r="G7063" s="221"/>
      <c r="H7063" s="221"/>
      <c r="I7063" s="221"/>
      <c r="J7063" s="221"/>
      <c r="K7063" s="221"/>
      <c r="L7063" s="221"/>
      <c r="M7063" s="221"/>
    </row>
    <row r="7064" spans="5:13">
      <c r="E7064" s="221"/>
      <c r="F7064" s="221"/>
      <c r="G7064" s="221"/>
      <c r="H7064" s="221"/>
      <c r="I7064" s="221"/>
      <c r="J7064" s="221"/>
      <c r="K7064" s="221"/>
      <c r="L7064" s="221"/>
      <c r="M7064" s="221"/>
    </row>
    <row r="7065" spans="5:13">
      <c r="E7065" s="221"/>
      <c r="F7065" s="221"/>
      <c r="G7065" s="221"/>
      <c r="H7065" s="221"/>
      <c r="I7065" s="221"/>
      <c r="J7065" s="221"/>
      <c r="K7065" s="221"/>
      <c r="L7065" s="221"/>
      <c r="M7065" s="221"/>
    </row>
    <row r="7066" spans="5:13">
      <c r="E7066" s="221"/>
      <c r="F7066" s="221"/>
      <c r="G7066" s="221"/>
      <c r="H7066" s="221"/>
      <c r="I7066" s="221"/>
      <c r="J7066" s="221"/>
      <c r="K7066" s="221"/>
      <c r="L7066" s="221"/>
      <c r="M7066" s="221"/>
    </row>
    <row r="7067" spans="5:13">
      <c r="E7067" s="221"/>
      <c r="F7067" s="221"/>
      <c r="G7067" s="221"/>
      <c r="H7067" s="221"/>
      <c r="I7067" s="221"/>
      <c r="J7067" s="221"/>
      <c r="K7067" s="221"/>
      <c r="L7067" s="221"/>
      <c r="M7067" s="221"/>
    </row>
    <row r="7068" spans="5:13">
      <c r="E7068" s="221"/>
      <c r="F7068" s="221"/>
      <c r="G7068" s="221"/>
      <c r="H7068" s="221"/>
      <c r="I7068" s="221"/>
      <c r="J7068" s="221"/>
      <c r="K7068" s="221"/>
      <c r="L7068" s="221"/>
      <c r="M7068" s="221"/>
    </row>
    <row r="7069" spans="5:13">
      <c r="E7069" s="221"/>
      <c r="F7069" s="221"/>
      <c r="G7069" s="221"/>
      <c r="H7069" s="221"/>
      <c r="I7069" s="221"/>
      <c r="J7069" s="221"/>
      <c r="K7069" s="221"/>
      <c r="L7069" s="221"/>
      <c r="M7069" s="221"/>
    </row>
    <row r="7070" spans="5:13">
      <c r="E7070" s="221"/>
      <c r="F7070" s="221"/>
      <c r="G7070" s="221"/>
      <c r="H7070" s="221"/>
      <c r="I7070" s="221"/>
      <c r="J7070" s="221"/>
      <c r="K7070" s="221"/>
      <c r="L7070" s="221"/>
      <c r="M7070" s="221"/>
    </row>
    <row r="7071" spans="5:13">
      <c r="E7071" s="221"/>
      <c r="F7071" s="221"/>
      <c r="G7071" s="221"/>
      <c r="H7071" s="221"/>
      <c r="I7071" s="221"/>
      <c r="J7071" s="221"/>
      <c r="K7071" s="221"/>
      <c r="L7071" s="221"/>
      <c r="M7071" s="221"/>
    </row>
    <row r="7072" spans="5:13">
      <c r="E7072" s="221"/>
      <c r="F7072" s="221"/>
      <c r="G7072" s="221"/>
      <c r="H7072" s="221"/>
      <c r="I7072" s="221"/>
      <c r="J7072" s="221"/>
      <c r="K7072" s="221"/>
      <c r="L7072" s="221"/>
      <c r="M7072" s="221"/>
    </row>
    <row r="7073" spans="5:13">
      <c r="E7073" s="221"/>
      <c r="F7073" s="221"/>
      <c r="G7073" s="221"/>
      <c r="H7073" s="221"/>
      <c r="I7073" s="221"/>
      <c r="J7073" s="221"/>
      <c r="K7073" s="221"/>
      <c r="L7073" s="221"/>
      <c r="M7073" s="221"/>
    </row>
    <row r="7074" spans="5:13">
      <c r="E7074" s="221"/>
      <c r="F7074" s="221"/>
      <c r="G7074" s="221"/>
      <c r="H7074" s="221"/>
      <c r="I7074" s="221"/>
      <c r="J7074" s="221"/>
      <c r="K7074" s="221"/>
      <c r="L7074" s="221"/>
      <c r="M7074" s="221"/>
    </row>
    <row r="7075" spans="5:13">
      <c r="E7075" s="221"/>
      <c r="F7075" s="221"/>
      <c r="G7075" s="221"/>
      <c r="H7075" s="221"/>
      <c r="I7075" s="221"/>
      <c r="J7075" s="221"/>
      <c r="K7075" s="221"/>
      <c r="L7075" s="221"/>
      <c r="M7075" s="221"/>
    </row>
    <row r="7076" spans="5:13">
      <c r="E7076" s="221"/>
      <c r="F7076" s="221"/>
      <c r="G7076" s="221"/>
      <c r="H7076" s="221"/>
      <c r="I7076" s="221"/>
      <c r="J7076" s="221"/>
      <c r="K7076" s="221"/>
      <c r="L7076" s="221"/>
      <c r="M7076" s="221"/>
    </row>
    <row r="7077" spans="5:13">
      <c r="E7077" s="221"/>
      <c r="F7077" s="221"/>
      <c r="G7077" s="221"/>
      <c r="H7077" s="221"/>
      <c r="I7077" s="221"/>
      <c r="J7077" s="221"/>
      <c r="K7077" s="221"/>
      <c r="L7077" s="221"/>
      <c r="M7077" s="221"/>
    </row>
    <row r="7078" spans="5:13">
      <c r="E7078" s="221"/>
      <c r="F7078" s="221"/>
      <c r="G7078" s="221"/>
      <c r="H7078" s="221"/>
      <c r="I7078" s="221"/>
      <c r="J7078" s="221"/>
      <c r="K7078" s="221"/>
      <c r="L7078" s="221"/>
      <c r="M7078" s="221"/>
    </row>
    <row r="7079" spans="5:13">
      <c r="E7079" s="221"/>
      <c r="F7079" s="221"/>
      <c r="G7079" s="221"/>
      <c r="H7079" s="221"/>
      <c r="I7079" s="221"/>
      <c r="J7079" s="221"/>
      <c r="K7079" s="221"/>
      <c r="L7079" s="221"/>
      <c r="M7079" s="221"/>
    </row>
    <row r="7080" spans="5:13">
      <c r="E7080" s="221"/>
      <c r="F7080" s="221"/>
      <c r="G7080" s="221"/>
      <c r="H7080" s="221"/>
      <c r="I7080" s="221"/>
      <c r="J7080" s="221"/>
      <c r="K7080" s="221"/>
      <c r="L7080" s="221"/>
      <c r="M7080" s="221"/>
    </row>
    <row r="7081" spans="5:13">
      <c r="E7081" s="221"/>
      <c r="F7081" s="221"/>
      <c r="G7081" s="221"/>
      <c r="H7081" s="221"/>
      <c r="I7081" s="221"/>
      <c r="J7081" s="221"/>
      <c r="K7081" s="221"/>
      <c r="L7081" s="221"/>
      <c r="M7081" s="221"/>
    </row>
    <row r="7082" spans="5:13">
      <c r="E7082" s="221"/>
      <c r="F7082" s="221"/>
      <c r="G7082" s="221"/>
      <c r="H7082" s="221"/>
      <c r="I7082" s="221"/>
      <c r="J7082" s="221"/>
      <c r="K7082" s="221"/>
      <c r="L7082" s="221"/>
      <c r="M7082" s="221"/>
    </row>
    <row r="7083" spans="5:13">
      <c r="E7083" s="221"/>
      <c r="F7083" s="221"/>
      <c r="G7083" s="221"/>
      <c r="H7083" s="221"/>
      <c r="I7083" s="221"/>
      <c r="J7083" s="221"/>
      <c r="K7083" s="221"/>
      <c r="L7083" s="221"/>
      <c r="M7083" s="221"/>
    </row>
    <row r="7084" spans="5:13">
      <c r="E7084" s="221"/>
      <c r="F7084" s="221"/>
      <c r="G7084" s="221"/>
      <c r="H7084" s="221"/>
      <c r="I7084" s="221"/>
      <c r="J7084" s="221"/>
      <c r="K7084" s="221"/>
      <c r="L7084" s="221"/>
      <c r="M7084" s="221"/>
    </row>
    <row r="7085" spans="5:13">
      <c r="E7085" s="221"/>
      <c r="F7085" s="221"/>
      <c r="G7085" s="221"/>
      <c r="H7085" s="221"/>
      <c r="I7085" s="221"/>
      <c r="J7085" s="221"/>
      <c r="K7085" s="221"/>
      <c r="L7085" s="221"/>
      <c r="M7085" s="221"/>
    </row>
    <row r="7086" spans="5:13">
      <c r="E7086" s="221"/>
      <c r="F7086" s="221"/>
      <c r="G7086" s="221"/>
      <c r="H7086" s="221"/>
      <c r="I7086" s="221"/>
      <c r="J7086" s="221"/>
      <c r="K7086" s="221"/>
      <c r="L7086" s="221"/>
      <c r="M7086" s="221"/>
    </row>
    <row r="7087" spans="5:13">
      <c r="E7087" s="221"/>
      <c r="F7087" s="221"/>
      <c r="G7087" s="221"/>
      <c r="H7087" s="221"/>
      <c r="I7087" s="221"/>
      <c r="J7087" s="221"/>
      <c r="K7087" s="221"/>
      <c r="L7087" s="221"/>
      <c r="M7087" s="221"/>
    </row>
    <row r="7088" spans="5:13">
      <c r="E7088" s="221"/>
      <c r="F7088" s="221"/>
      <c r="G7088" s="221"/>
      <c r="H7088" s="221"/>
      <c r="I7088" s="221"/>
      <c r="J7088" s="221"/>
      <c r="K7088" s="221"/>
      <c r="L7088" s="221"/>
      <c r="M7088" s="221"/>
    </row>
    <row r="7089" spans="5:13">
      <c r="E7089" s="221"/>
      <c r="F7089" s="221"/>
      <c r="G7089" s="221"/>
      <c r="H7089" s="221"/>
      <c r="I7089" s="221"/>
      <c r="J7089" s="221"/>
      <c r="K7089" s="221"/>
      <c r="L7089" s="221"/>
      <c r="M7089" s="221"/>
    </row>
    <row r="7090" spans="5:13">
      <c r="E7090" s="221"/>
      <c r="F7090" s="221"/>
      <c r="G7090" s="221"/>
      <c r="H7090" s="221"/>
      <c r="I7090" s="221"/>
      <c r="J7090" s="221"/>
      <c r="K7090" s="221"/>
      <c r="L7090" s="221"/>
      <c r="M7090" s="221"/>
    </row>
    <row r="7091" spans="5:13">
      <c r="E7091" s="221"/>
      <c r="F7091" s="221"/>
      <c r="G7091" s="221"/>
      <c r="H7091" s="221"/>
      <c r="I7091" s="221"/>
      <c r="J7091" s="221"/>
      <c r="K7091" s="221"/>
      <c r="L7091" s="221"/>
      <c r="M7091" s="221"/>
    </row>
    <row r="7092" spans="5:13">
      <c r="E7092" s="221"/>
      <c r="F7092" s="221"/>
      <c r="G7092" s="221"/>
      <c r="H7092" s="221"/>
      <c r="I7092" s="221"/>
      <c r="J7092" s="221"/>
      <c r="K7092" s="221"/>
      <c r="L7092" s="221"/>
      <c r="M7092" s="221"/>
    </row>
    <row r="7093" spans="5:13">
      <c r="E7093" s="221"/>
      <c r="F7093" s="221"/>
      <c r="G7093" s="221"/>
      <c r="H7093" s="221"/>
      <c r="I7093" s="221"/>
      <c r="J7093" s="221"/>
      <c r="K7093" s="221"/>
      <c r="L7093" s="221"/>
      <c r="M7093" s="221"/>
    </row>
    <row r="7094" spans="5:13">
      <c r="E7094" s="221"/>
      <c r="F7094" s="221"/>
      <c r="G7094" s="221"/>
      <c r="H7094" s="221"/>
      <c r="I7094" s="221"/>
      <c r="J7094" s="221"/>
      <c r="K7094" s="221"/>
      <c r="L7094" s="221"/>
      <c r="M7094" s="221"/>
    </row>
    <row r="7095" spans="5:13">
      <c r="E7095" s="221"/>
      <c r="F7095" s="221"/>
      <c r="G7095" s="221"/>
      <c r="H7095" s="221"/>
      <c r="I7095" s="221"/>
      <c r="J7095" s="221"/>
      <c r="K7095" s="221"/>
      <c r="L7095" s="221"/>
      <c r="M7095" s="221"/>
    </row>
    <row r="7096" spans="5:13">
      <c r="E7096" s="221"/>
      <c r="F7096" s="221"/>
      <c r="G7096" s="221"/>
      <c r="H7096" s="221"/>
      <c r="I7096" s="221"/>
      <c r="J7096" s="221"/>
      <c r="K7096" s="221"/>
      <c r="L7096" s="221"/>
      <c r="M7096" s="221"/>
    </row>
    <row r="7097" spans="5:13">
      <c r="E7097" s="221"/>
      <c r="F7097" s="221"/>
      <c r="G7097" s="221"/>
      <c r="H7097" s="221"/>
      <c r="I7097" s="221"/>
      <c r="J7097" s="221"/>
      <c r="K7097" s="221"/>
      <c r="L7097" s="221"/>
      <c r="M7097" s="221"/>
    </row>
    <row r="7098" spans="5:13">
      <c r="E7098" s="221"/>
      <c r="F7098" s="221"/>
      <c r="G7098" s="221"/>
      <c r="H7098" s="221"/>
      <c r="I7098" s="221"/>
      <c r="J7098" s="221"/>
      <c r="K7098" s="221"/>
      <c r="L7098" s="221"/>
      <c r="M7098" s="221"/>
    </row>
    <row r="7099" spans="5:13">
      <c r="E7099" s="221"/>
      <c r="F7099" s="221"/>
      <c r="G7099" s="221"/>
      <c r="H7099" s="221"/>
      <c r="I7099" s="221"/>
      <c r="J7099" s="221"/>
      <c r="K7099" s="221"/>
      <c r="L7099" s="221"/>
      <c r="M7099" s="221"/>
    </row>
    <row r="7100" spans="5:13">
      <c r="E7100" s="221"/>
      <c r="F7100" s="221"/>
      <c r="G7100" s="221"/>
      <c r="H7100" s="221"/>
      <c r="I7100" s="221"/>
      <c r="J7100" s="221"/>
      <c r="K7100" s="221"/>
      <c r="L7100" s="221"/>
      <c r="M7100" s="221"/>
    </row>
    <row r="7101" spans="5:13">
      <c r="E7101" s="221"/>
      <c r="F7101" s="221"/>
      <c r="G7101" s="221"/>
      <c r="H7101" s="221"/>
      <c r="I7101" s="221"/>
      <c r="J7101" s="221"/>
      <c r="K7101" s="221"/>
      <c r="L7101" s="221"/>
      <c r="M7101" s="221"/>
    </row>
    <row r="7102" spans="5:13">
      <c r="E7102" s="221"/>
      <c r="F7102" s="221"/>
      <c r="G7102" s="221"/>
      <c r="H7102" s="221"/>
      <c r="I7102" s="221"/>
      <c r="J7102" s="221"/>
      <c r="K7102" s="221"/>
      <c r="L7102" s="221"/>
      <c r="M7102" s="221"/>
    </row>
    <row r="7103" spans="5:13">
      <c r="E7103" s="221"/>
      <c r="F7103" s="221"/>
      <c r="G7103" s="221"/>
      <c r="H7103" s="221"/>
      <c r="I7103" s="221"/>
      <c r="J7103" s="221"/>
      <c r="K7103" s="221"/>
      <c r="L7103" s="221"/>
      <c r="M7103" s="221"/>
    </row>
    <row r="7104" spans="5:13">
      <c r="E7104" s="221"/>
      <c r="F7104" s="221"/>
      <c r="G7104" s="221"/>
      <c r="H7104" s="221"/>
      <c r="I7104" s="221"/>
      <c r="J7104" s="221"/>
      <c r="K7104" s="221"/>
      <c r="L7104" s="221"/>
      <c r="M7104" s="221"/>
    </row>
    <row r="7105" spans="5:13">
      <c r="E7105" s="221"/>
      <c r="F7105" s="221"/>
      <c r="G7105" s="221"/>
      <c r="H7105" s="221"/>
      <c r="I7105" s="221"/>
      <c r="J7105" s="221"/>
      <c r="K7105" s="221"/>
      <c r="L7105" s="221"/>
      <c r="M7105" s="221"/>
    </row>
    <row r="7106" spans="5:13">
      <c r="E7106" s="221"/>
      <c r="F7106" s="221"/>
      <c r="G7106" s="221"/>
      <c r="H7106" s="221"/>
      <c r="I7106" s="221"/>
      <c r="J7106" s="221"/>
      <c r="K7106" s="221"/>
      <c r="L7106" s="221"/>
      <c r="M7106" s="221"/>
    </row>
    <row r="7107" spans="5:13">
      <c r="E7107" s="221"/>
      <c r="F7107" s="221"/>
      <c r="G7107" s="221"/>
      <c r="H7107" s="221"/>
      <c r="I7107" s="221"/>
      <c r="J7107" s="221"/>
      <c r="K7107" s="221"/>
      <c r="L7107" s="221"/>
      <c r="M7107" s="221"/>
    </row>
    <row r="7108" spans="5:13">
      <c r="E7108" s="221"/>
      <c r="F7108" s="221"/>
      <c r="G7108" s="221"/>
      <c r="H7108" s="221"/>
      <c r="I7108" s="221"/>
      <c r="J7108" s="221"/>
      <c r="K7108" s="221"/>
      <c r="L7108" s="221"/>
      <c r="M7108" s="221"/>
    </row>
    <row r="7109" spans="5:13">
      <c r="E7109" s="221"/>
      <c r="F7109" s="221"/>
      <c r="G7109" s="221"/>
      <c r="H7109" s="221"/>
      <c r="I7109" s="221"/>
      <c r="J7109" s="221"/>
      <c r="K7109" s="221"/>
      <c r="L7109" s="221"/>
      <c r="M7109" s="221"/>
    </row>
    <row r="7110" spans="5:13">
      <c r="E7110" s="221"/>
      <c r="F7110" s="221"/>
      <c r="G7110" s="221"/>
      <c r="H7110" s="221"/>
      <c r="I7110" s="221"/>
      <c r="J7110" s="221"/>
      <c r="K7110" s="221"/>
      <c r="L7110" s="221"/>
      <c r="M7110" s="221"/>
    </row>
    <row r="7111" spans="5:13">
      <c r="E7111" s="221"/>
      <c r="F7111" s="221"/>
      <c r="G7111" s="221"/>
      <c r="H7111" s="221"/>
      <c r="I7111" s="221"/>
      <c r="J7111" s="221"/>
      <c r="K7111" s="221"/>
      <c r="L7111" s="221"/>
      <c r="M7111" s="221"/>
    </row>
    <row r="7112" spans="5:13">
      <c r="E7112" s="221"/>
      <c r="F7112" s="221"/>
      <c r="G7112" s="221"/>
      <c r="H7112" s="221"/>
      <c r="I7112" s="221"/>
      <c r="J7112" s="221"/>
      <c r="K7112" s="221"/>
      <c r="L7112" s="221"/>
      <c r="M7112" s="221"/>
    </row>
    <row r="7113" spans="5:13">
      <c r="E7113" s="221"/>
      <c r="F7113" s="221"/>
      <c r="G7113" s="221"/>
      <c r="H7113" s="221"/>
      <c r="I7113" s="221"/>
      <c r="J7113" s="221"/>
      <c r="K7113" s="221"/>
      <c r="L7113" s="221"/>
      <c r="M7113" s="221"/>
    </row>
    <row r="7114" spans="5:13">
      <c r="E7114" s="221"/>
      <c r="F7114" s="221"/>
      <c r="G7114" s="221"/>
      <c r="H7114" s="221"/>
      <c r="I7114" s="221"/>
      <c r="J7114" s="221"/>
      <c r="K7114" s="221"/>
      <c r="L7114" s="221"/>
      <c r="M7114" s="221"/>
    </row>
    <row r="7115" spans="5:13">
      <c r="E7115" s="221"/>
      <c r="F7115" s="221"/>
      <c r="G7115" s="221"/>
      <c r="H7115" s="221"/>
      <c r="I7115" s="221"/>
      <c r="J7115" s="221"/>
      <c r="K7115" s="221"/>
      <c r="L7115" s="221"/>
      <c r="M7115" s="221"/>
    </row>
    <row r="7116" spans="5:13">
      <c r="E7116" s="221"/>
      <c r="F7116" s="221"/>
      <c r="G7116" s="221"/>
      <c r="H7116" s="221"/>
      <c r="I7116" s="221"/>
      <c r="J7116" s="221"/>
      <c r="K7116" s="221"/>
      <c r="L7116" s="221"/>
      <c r="M7116" s="221"/>
    </row>
    <row r="7117" spans="5:13">
      <c r="E7117" s="221"/>
      <c r="F7117" s="221"/>
      <c r="G7117" s="221"/>
      <c r="H7117" s="221"/>
      <c r="I7117" s="221"/>
      <c r="J7117" s="221"/>
      <c r="K7117" s="221"/>
      <c r="L7117" s="221"/>
      <c r="M7117" s="221"/>
    </row>
    <row r="7118" spans="5:13">
      <c r="E7118" s="221"/>
      <c r="F7118" s="221"/>
      <c r="G7118" s="221"/>
      <c r="H7118" s="221"/>
      <c r="I7118" s="221"/>
      <c r="J7118" s="221"/>
      <c r="K7118" s="221"/>
      <c r="L7118" s="221"/>
      <c r="M7118" s="221"/>
    </row>
    <row r="7119" spans="5:13">
      <c r="E7119" s="221"/>
      <c r="F7119" s="221"/>
      <c r="G7119" s="221"/>
      <c r="H7119" s="221"/>
      <c r="I7119" s="221"/>
      <c r="J7119" s="221"/>
      <c r="K7119" s="221"/>
      <c r="L7119" s="221"/>
      <c r="M7119" s="221"/>
    </row>
    <row r="7120" spans="5:13">
      <c r="E7120" s="221"/>
      <c r="F7120" s="221"/>
      <c r="G7120" s="221"/>
      <c r="H7120" s="221"/>
      <c r="I7120" s="221"/>
      <c r="J7120" s="221"/>
      <c r="K7120" s="221"/>
      <c r="L7120" s="221"/>
      <c r="M7120" s="221"/>
    </row>
    <row r="7121" spans="5:13">
      <c r="E7121" s="221"/>
      <c r="F7121" s="221"/>
      <c r="G7121" s="221"/>
      <c r="H7121" s="221"/>
      <c r="I7121" s="221"/>
      <c r="J7121" s="221"/>
      <c r="K7121" s="221"/>
      <c r="L7121" s="221"/>
      <c r="M7121" s="221"/>
    </row>
    <row r="7122" spans="5:13">
      <c r="E7122" s="221"/>
      <c r="F7122" s="221"/>
      <c r="G7122" s="221"/>
      <c r="H7122" s="221"/>
      <c r="I7122" s="221"/>
      <c r="J7122" s="221"/>
      <c r="K7122" s="221"/>
      <c r="L7122" s="221"/>
      <c r="M7122" s="221"/>
    </row>
    <row r="7123" spans="5:13">
      <c r="E7123" s="221"/>
      <c r="F7123" s="221"/>
      <c r="G7123" s="221"/>
      <c r="H7123" s="221"/>
      <c r="I7123" s="221"/>
      <c r="J7123" s="221"/>
      <c r="K7123" s="221"/>
      <c r="L7123" s="221"/>
      <c r="M7123" s="221"/>
    </row>
    <row r="7124" spans="5:13">
      <c r="E7124" s="221"/>
      <c r="F7124" s="221"/>
      <c r="G7124" s="221"/>
      <c r="H7124" s="221"/>
      <c r="I7124" s="221"/>
      <c r="J7124" s="221"/>
      <c r="K7124" s="221"/>
      <c r="L7124" s="221"/>
      <c r="M7124" s="221"/>
    </row>
    <row r="7125" spans="5:13">
      <c r="E7125" s="221"/>
      <c r="F7125" s="221"/>
      <c r="G7125" s="221"/>
      <c r="H7125" s="221"/>
      <c r="I7125" s="221"/>
      <c r="J7125" s="221"/>
      <c r="K7125" s="221"/>
      <c r="L7125" s="221"/>
      <c r="M7125" s="221"/>
    </row>
    <row r="7126" spans="5:13">
      <c r="E7126" s="221"/>
      <c r="F7126" s="221"/>
      <c r="G7126" s="221"/>
      <c r="H7126" s="221"/>
      <c r="I7126" s="221"/>
      <c r="J7126" s="221"/>
      <c r="K7126" s="221"/>
      <c r="L7126" s="221"/>
      <c r="M7126" s="221"/>
    </row>
    <row r="7127" spans="5:13">
      <c r="E7127" s="221"/>
      <c r="F7127" s="221"/>
      <c r="G7127" s="221"/>
      <c r="H7127" s="221"/>
      <c r="I7127" s="221"/>
      <c r="J7127" s="221"/>
      <c r="K7127" s="221"/>
      <c r="L7127" s="221"/>
      <c r="M7127" s="221"/>
    </row>
    <row r="7128" spans="5:13">
      <c r="E7128" s="221"/>
      <c r="F7128" s="221"/>
      <c r="G7128" s="221"/>
      <c r="H7128" s="221"/>
      <c r="I7128" s="221"/>
      <c r="J7128" s="221"/>
      <c r="K7128" s="221"/>
      <c r="L7128" s="221"/>
      <c r="M7128" s="221"/>
    </row>
    <row r="7129" spans="5:13">
      <c r="E7129" s="221"/>
      <c r="F7129" s="221"/>
      <c r="G7129" s="221"/>
      <c r="H7129" s="221"/>
      <c r="I7129" s="221"/>
      <c r="J7129" s="221"/>
      <c r="K7129" s="221"/>
      <c r="L7129" s="221"/>
      <c r="M7129" s="221"/>
    </row>
    <row r="7130" spans="5:13">
      <c r="E7130" s="221"/>
      <c r="F7130" s="221"/>
      <c r="G7130" s="221"/>
      <c r="H7130" s="221"/>
      <c r="I7130" s="221"/>
      <c r="J7130" s="221"/>
      <c r="K7130" s="221"/>
      <c r="L7130" s="221"/>
      <c r="M7130" s="221"/>
    </row>
    <row r="7131" spans="5:13">
      <c r="E7131" s="221"/>
      <c r="F7131" s="221"/>
      <c r="G7131" s="221"/>
      <c r="H7131" s="221"/>
      <c r="I7131" s="221"/>
      <c r="J7131" s="221"/>
      <c r="K7131" s="221"/>
      <c r="L7131" s="221"/>
      <c r="M7131" s="221"/>
    </row>
    <row r="7132" spans="5:13">
      <c r="E7132" s="221"/>
      <c r="F7132" s="221"/>
      <c r="G7132" s="221"/>
      <c r="H7132" s="221"/>
      <c r="I7132" s="221"/>
      <c r="J7132" s="221"/>
      <c r="K7132" s="221"/>
      <c r="L7132" s="221"/>
      <c r="M7132" s="221"/>
    </row>
    <row r="7133" spans="5:13">
      <c r="E7133" s="221"/>
      <c r="F7133" s="221"/>
      <c r="G7133" s="221"/>
      <c r="H7133" s="221"/>
      <c r="I7133" s="221"/>
      <c r="J7133" s="221"/>
      <c r="K7133" s="221"/>
      <c r="L7133" s="221"/>
      <c r="M7133" s="221"/>
    </row>
    <row r="7134" spans="5:13">
      <c r="E7134" s="221"/>
      <c r="F7134" s="221"/>
      <c r="G7134" s="221"/>
      <c r="H7134" s="221"/>
      <c r="I7134" s="221"/>
      <c r="J7134" s="221"/>
      <c r="K7134" s="221"/>
      <c r="L7134" s="221"/>
      <c r="M7134" s="221"/>
    </row>
    <row r="7135" spans="5:13">
      <c r="E7135" s="221"/>
      <c r="F7135" s="221"/>
      <c r="G7135" s="221"/>
      <c r="H7135" s="221"/>
      <c r="I7135" s="221"/>
      <c r="J7135" s="221"/>
      <c r="K7135" s="221"/>
      <c r="L7135" s="221"/>
      <c r="M7135" s="221"/>
    </row>
    <row r="7136" spans="5:13">
      <c r="E7136" s="221"/>
      <c r="F7136" s="221"/>
      <c r="G7136" s="221"/>
      <c r="H7136" s="221"/>
      <c r="I7136" s="221"/>
      <c r="J7136" s="221"/>
      <c r="K7136" s="221"/>
      <c r="L7136" s="221"/>
      <c r="M7136" s="221"/>
    </row>
    <row r="7137" spans="5:13">
      <c r="E7137" s="221"/>
      <c r="F7137" s="221"/>
      <c r="G7137" s="221"/>
      <c r="H7137" s="221"/>
      <c r="I7137" s="221"/>
      <c r="J7137" s="221"/>
      <c r="K7137" s="221"/>
      <c r="L7137" s="221"/>
      <c r="M7137" s="221"/>
    </row>
    <row r="7138" spans="5:13">
      <c r="E7138" s="221"/>
      <c r="F7138" s="221"/>
      <c r="G7138" s="221"/>
      <c r="H7138" s="221"/>
      <c r="I7138" s="221"/>
      <c r="J7138" s="221"/>
      <c r="K7138" s="221"/>
      <c r="L7138" s="221"/>
      <c r="M7138" s="221"/>
    </row>
    <row r="7139" spans="5:13">
      <c r="E7139" s="221"/>
      <c r="F7139" s="221"/>
      <c r="G7139" s="221"/>
      <c r="H7139" s="221"/>
      <c r="I7139" s="221"/>
      <c r="J7139" s="221"/>
      <c r="K7139" s="221"/>
      <c r="L7139" s="221"/>
      <c r="M7139" s="221"/>
    </row>
    <row r="7140" spans="5:13">
      <c r="E7140" s="221"/>
      <c r="F7140" s="221"/>
      <c r="G7140" s="221"/>
      <c r="H7140" s="221"/>
      <c r="I7140" s="221"/>
      <c r="J7140" s="221"/>
      <c r="K7140" s="221"/>
      <c r="L7140" s="221"/>
      <c r="M7140" s="221"/>
    </row>
    <row r="7141" spans="5:13">
      <c r="E7141" s="221"/>
      <c r="F7141" s="221"/>
      <c r="G7141" s="221"/>
      <c r="H7141" s="221"/>
      <c r="I7141" s="221"/>
      <c r="J7141" s="221"/>
      <c r="K7141" s="221"/>
      <c r="L7141" s="221"/>
      <c r="M7141" s="221"/>
    </row>
    <row r="7142" spans="5:13">
      <c r="E7142" s="221"/>
      <c r="F7142" s="221"/>
      <c r="G7142" s="221"/>
      <c r="H7142" s="221"/>
      <c r="I7142" s="221"/>
      <c r="J7142" s="221"/>
      <c r="K7142" s="221"/>
      <c r="L7142" s="221"/>
      <c r="M7142" s="221"/>
    </row>
    <row r="7143" spans="5:13">
      <c r="E7143" s="221"/>
      <c r="F7143" s="221"/>
      <c r="G7143" s="221"/>
      <c r="H7143" s="221"/>
      <c r="I7143" s="221"/>
      <c r="J7143" s="221"/>
      <c r="K7143" s="221"/>
      <c r="L7143" s="221"/>
      <c r="M7143" s="221"/>
    </row>
    <row r="7144" spans="5:13">
      <c r="E7144" s="221"/>
      <c r="F7144" s="221"/>
      <c r="G7144" s="221"/>
      <c r="H7144" s="221"/>
      <c r="I7144" s="221"/>
      <c r="J7144" s="221"/>
      <c r="K7144" s="221"/>
      <c r="L7144" s="221"/>
      <c r="M7144" s="221"/>
    </row>
    <row r="7145" spans="5:13">
      <c r="E7145" s="221"/>
      <c r="F7145" s="221"/>
      <c r="G7145" s="221"/>
      <c r="H7145" s="221"/>
      <c r="I7145" s="221"/>
      <c r="J7145" s="221"/>
      <c r="K7145" s="221"/>
      <c r="L7145" s="221"/>
      <c r="M7145" s="221"/>
    </row>
    <row r="7146" spans="5:13">
      <c r="E7146" s="221"/>
      <c r="F7146" s="221"/>
      <c r="G7146" s="221"/>
      <c r="H7146" s="221"/>
      <c r="I7146" s="221"/>
      <c r="J7146" s="221"/>
      <c r="K7146" s="221"/>
      <c r="L7146" s="221"/>
      <c r="M7146" s="221"/>
    </row>
    <row r="7147" spans="5:13">
      <c r="E7147" s="221"/>
      <c r="F7147" s="221"/>
      <c r="G7147" s="221"/>
      <c r="H7147" s="221"/>
      <c r="I7147" s="221"/>
      <c r="J7147" s="221"/>
      <c r="K7147" s="221"/>
      <c r="L7147" s="221"/>
      <c r="M7147" s="221"/>
    </row>
    <row r="7148" spans="5:13">
      <c r="E7148" s="221"/>
      <c r="F7148" s="221"/>
      <c r="G7148" s="221"/>
      <c r="H7148" s="221"/>
      <c r="I7148" s="221"/>
      <c r="J7148" s="221"/>
      <c r="K7148" s="221"/>
      <c r="L7148" s="221"/>
      <c r="M7148" s="221"/>
    </row>
    <row r="7149" spans="5:13">
      <c r="E7149" s="221"/>
      <c r="F7149" s="221"/>
      <c r="G7149" s="221"/>
      <c r="H7149" s="221"/>
      <c r="I7149" s="221"/>
      <c r="J7149" s="221"/>
      <c r="K7149" s="221"/>
      <c r="L7149" s="221"/>
      <c r="M7149" s="221"/>
    </row>
    <row r="7150" spans="5:13">
      <c r="E7150" s="221"/>
      <c r="F7150" s="221"/>
      <c r="G7150" s="221"/>
      <c r="H7150" s="221"/>
      <c r="I7150" s="221"/>
      <c r="J7150" s="221"/>
      <c r="K7150" s="221"/>
      <c r="L7150" s="221"/>
      <c r="M7150" s="221"/>
    </row>
    <row r="7151" spans="5:13">
      <c r="E7151" s="221"/>
      <c r="F7151" s="221"/>
      <c r="G7151" s="221"/>
      <c r="H7151" s="221"/>
      <c r="I7151" s="221"/>
      <c r="J7151" s="221"/>
      <c r="K7151" s="221"/>
      <c r="L7151" s="221"/>
      <c r="M7151" s="221"/>
    </row>
    <row r="7152" spans="5:13">
      <c r="E7152" s="221"/>
      <c r="F7152" s="221"/>
      <c r="G7152" s="221"/>
      <c r="H7152" s="221"/>
      <c r="I7152" s="221"/>
      <c r="J7152" s="221"/>
      <c r="K7152" s="221"/>
      <c r="L7152" s="221"/>
      <c r="M7152" s="221"/>
    </row>
    <row r="7153" spans="5:13">
      <c r="E7153" s="221"/>
      <c r="F7153" s="221"/>
      <c r="G7153" s="221"/>
      <c r="H7153" s="221"/>
      <c r="I7153" s="221"/>
      <c r="J7153" s="221"/>
      <c r="K7153" s="221"/>
      <c r="L7153" s="221"/>
      <c r="M7153" s="221"/>
    </row>
    <row r="7154" spans="5:13">
      <c r="E7154" s="221"/>
      <c r="F7154" s="221"/>
      <c r="G7154" s="221"/>
      <c r="H7154" s="221"/>
      <c r="I7154" s="221"/>
      <c r="J7154" s="221"/>
      <c r="K7154" s="221"/>
      <c r="L7154" s="221"/>
      <c r="M7154" s="221"/>
    </row>
    <row r="7155" spans="5:13">
      <c r="E7155" s="221"/>
      <c r="F7155" s="221"/>
      <c r="G7155" s="221"/>
      <c r="H7155" s="221"/>
      <c r="I7155" s="221"/>
      <c r="J7155" s="221"/>
      <c r="K7155" s="221"/>
      <c r="L7155" s="221"/>
      <c r="M7155" s="221"/>
    </row>
    <row r="7156" spans="5:13">
      <c r="E7156" s="221"/>
      <c r="F7156" s="221"/>
      <c r="G7156" s="221"/>
      <c r="H7156" s="221"/>
      <c r="I7156" s="221"/>
      <c r="J7156" s="221"/>
      <c r="K7156" s="221"/>
      <c r="L7156" s="221"/>
      <c r="M7156" s="221"/>
    </row>
    <row r="7157" spans="5:13">
      <c r="E7157" s="221"/>
      <c r="F7157" s="221"/>
      <c r="G7157" s="221"/>
      <c r="H7157" s="221"/>
      <c r="I7157" s="221"/>
      <c r="J7157" s="221"/>
      <c r="K7157" s="221"/>
      <c r="L7157" s="221"/>
      <c r="M7157" s="221"/>
    </row>
    <row r="7158" spans="5:13">
      <c r="E7158" s="221"/>
      <c r="F7158" s="221"/>
      <c r="G7158" s="221"/>
      <c r="H7158" s="221"/>
      <c r="I7158" s="221"/>
      <c r="J7158" s="221"/>
      <c r="K7158" s="221"/>
      <c r="L7158" s="221"/>
      <c r="M7158" s="221"/>
    </row>
    <row r="7159" spans="5:13">
      <c r="E7159" s="221"/>
      <c r="F7159" s="221"/>
      <c r="G7159" s="221"/>
      <c r="H7159" s="221"/>
      <c r="I7159" s="221"/>
      <c r="J7159" s="221"/>
      <c r="K7159" s="221"/>
      <c r="L7159" s="221"/>
      <c r="M7159" s="221"/>
    </row>
    <row r="7160" spans="5:13">
      <c r="E7160" s="221"/>
      <c r="F7160" s="221"/>
      <c r="G7160" s="221"/>
      <c r="H7160" s="221"/>
      <c r="I7160" s="221"/>
      <c r="J7160" s="221"/>
      <c r="K7160" s="221"/>
      <c r="L7160" s="221"/>
      <c r="M7160" s="221"/>
    </row>
    <row r="7161" spans="5:13">
      <c r="E7161" s="221"/>
      <c r="F7161" s="221"/>
      <c r="G7161" s="221"/>
      <c r="H7161" s="221"/>
      <c r="I7161" s="221"/>
      <c r="J7161" s="221"/>
      <c r="K7161" s="221"/>
      <c r="L7161" s="221"/>
      <c r="M7161" s="221"/>
    </row>
    <row r="7162" spans="5:13">
      <c r="E7162" s="221"/>
      <c r="F7162" s="221"/>
      <c r="G7162" s="221"/>
      <c r="H7162" s="221"/>
      <c r="I7162" s="221"/>
      <c r="J7162" s="221"/>
      <c r="K7162" s="221"/>
      <c r="L7162" s="221"/>
      <c r="M7162" s="221"/>
    </row>
    <row r="7163" spans="5:13">
      <c r="E7163" s="221"/>
      <c r="F7163" s="221"/>
      <c r="G7163" s="221"/>
      <c r="H7163" s="221"/>
      <c r="I7163" s="221"/>
      <c r="J7163" s="221"/>
      <c r="K7163" s="221"/>
      <c r="L7163" s="221"/>
      <c r="M7163" s="221"/>
    </row>
    <row r="7164" spans="5:13">
      <c r="E7164" s="221"/>
      <c r="F7164" s="221"/>
      <c r="G7164" s="221"/>
      <c r="H7164" s="221"/>
      <c r="I7164" s="221"/>
      <c r="J7164" s="221"/>
      <c r="K7164" s="221"/>
      <c r="L7164" s="221"/>
      <c r="M7164" s="221"/>
    </row>
    <row r="7165" spans="5:13">
      <c r="E7165" s="221"/>
      <c r="F7165" s="221"/>
      <c r="G7165" s="221"/>
      <c r="H7165" s="221"/>
      <c r="I7165" s="221"/>
      <c r="J7165" s="221"/>
      <c r="K7165" s="221"/>
      <c r="L7165" s="221"/>
      <c r="M7165" s="221"/>
    </row>
    <row r="7166" spans="5:13">
      <c r="E7166" s="221"/>
      <c r="F7166" s="221"/>
      <c r="G7166" s="221"/>
      <c r="H7166" s="221"/>
      <c r="I7166" s="221"/>
      <c r="J7166" s="221"/>
      <c r="K7166" s="221"/>
      <c r="L7166" s="221"/>
      <c r="M7166" s="221"/>
    </row>
    <row r="7167" spans="5:13">
      <c r="E7167" s="221"/>
      <c r="F7167" s="221"/>
      <c r="G7167" s="221"/>
      <c r="H7167" s="221"/>
      <c r="I7167" s="221"/>
      <c r="J7167" s="221"/>
      <c r="K7167" s="221"/>
      <c r="L7167" s="221"/>
      <c r="M7167" s="221"/>
    </row>
    <row r="7168" spans="5:13">
      <c r="E7168" s="221"/>
      <c r="F7168" s="221"/>
      <c r="G7168" s="221"/>
      <c r="H7168" s="221"/>
      <c r="I7168" s="221"/>
      <c r="J7168" s="221"/>
      <c r="K7168" s="221"/>
      <c r="L7168" s="221"/>
      <c r="M7168" s="221"/>
    </row>
    <row r="7169" spans="5:13">
      <c r="E7169" s="221"/>
      <c r="F7169" s="221"/>
      <c r="G7169" s="221"/>
      <c r="H7169" s="221"/>
      <c r="I7169" s="221"/>
      <c r="J7169" s="221"/>
      <c r="K7169" s="221"/>
      <c r="L7169" s="221"/>
      <c r="M7169" s="221"/>
    </row>
    <row r="7170" spans="5:13">
      <c r="E7170" s="221"/>
      <c r="F7170" s="221"/>
      <c r="G7170" s="221"/>
      <c r="H7170" s="221"/>
      <c r="I7170" s="221"/>
      <c r="J7170" s="221"/>
      <c r="K7170" s="221"/>
      <c r="L7170" s="221"/>
      <c r="M7170" s="221"/>
    </row>
    <row r="7171" spans="5:13">
      <c r="E7171" s="221"/>
      <c r="F7171" s="221"/>
      <c r="G7171" s="221"/>
      <c r="H7171" s="221"/>
      <c r="I7171" s="221"/>
      <c r="J7171" s="221"/>
      <c r="K7171" s="221"/>
      <c r="L7171" s="221"/>
      <c r="M7171" s="221"/>
    </row>
    <row r="7172" spans="5:13">
      <c r="E7172" s="221"/>
      <c r="F7172" s="221"/>
      <c r="G7172" s="221"/>
      <c r="H7172" s="221"/>
      <c r="I7172" s="221"/>
      <c r="J7172" s="221"/>
      <c r="K7172" s="221"/>
      <c r="L7172" s="221"/>
      <c r="M7172" s="221"/>
    </row>
    <row r="7173" spans="5:13">
      <c r="E7173" s="221"/>
      <c r="F7173" s="221"/>
      <c r="G7173" s="221"/>
      <c r="H7173" s="221"/>
      <c r="I7173" s="221"/>
      <c r="J7173" s="221"/>
      <c r="K7173" s="221"/>
      <c r="L7173" s="221"/>
      <c r="M7173" s="221"/>
    </row>
    <row r="7174" spans="5:13">
      <c r="E7174" s="221"/>
      <c r="F7174" s="221"/>
      <c r="G7174" s="221"/>
      <c r="H7174" s="221"/>
      <c r="I7174" s="221"/>
      <c r="J7174" s="221"/>
      <c r="K7174" s="221"/>
      <c r="L7174" s="221"/>
      <c r="M7174" s="221"/>
    </row>
    <row r="7175" spans="5:13">
      <c r="E7175" s="221"/>
      <c r="F7175" s="221"/>
      <c r="G7175" s="221"/>
      <c r="H7175" s="221"/>
      <c r="I7175" s="221"/>
      <c r="J7175" s="221"/>
      <c r="K7175" s="221"/>
      <c r="L7175" s="221"/>
      <c r="M7175" s="221"/>
    </row>
    <row r="7176" spans="5:13">
      <c r="E7176" s="221"/>
      <c r="F7176" s="221"/>
      <c r="G7176" s="221"/>
      <c r="H7176" s="221"/>
      <c r="I7176" s="221"/>
      <c r="J7176" s="221"/>
      <c r="K7176" s="221"/>
      <c r="L7176" s="221"/>
      <c r="M7176" s="221"/>
    </row>
    <row r="7177" spans="5:13">
      <c r="E7177" s="221"/>
      <c r="F7177" s="221"/>
      <c r="G7177" s="221"/>
      <c r="H7177" s="221"/>
      <c r="I7177" s="221"/>
      <c r="J7177" s="221"/>
      <c r="K7177" s="221"/>
      <c r="L7177" s="221"/>
      <c r="M7177" s="221"/>
    </row>
    <row r="7178" spans="5:13">
      <c r="E7178" s="221"/>
      <c r="F7178" s="221"/>
      <c r="G7178" s="221"/>
      <c r="H7178" s="221"/>
      <c r="I7178" s="221"/>
      <c r="J7178" s="221"/>
      <c r="K7178" s="221"/>
      <c r="L7178" s="221"/>
      <c r="M7178" s="221"/>
    </row>
    <row r="7179" spans="5:13">
      <c r="E7179" s="221"/>
      <c r="F7179" s="221"/>
      <c r="G7179" s="221"/>
      <c r="H7179" s="221"/>
      <c r="I7179" s="221"/>
      <c r="J7179" s="221"/>
      <c r="K7179" s="221"/>
      <c r="L7179" s="221"/>
      <c r="M7179" s="221"/>
    </row>
    <row r="7180" spans="5:13">
      <c r="E7180" s="221"/>
      <c r="F7180" s="221"/>
      <c r="G7180" s="221"/>
      <c r="H7180" s="221"/>
      <c r="I7180" s="221"/>
      <c r="J7180" s="221"/>
      <c r="K7180" s="221"/>
      <c r="L7180" s="221"/>
      <c r="M7180" s="221"/>
    </row>
    <row r="7181" spans="5:13">
      <c r="E7181" s="221"/>
      <c r="F7181" s="221"/>
      <c r="G7181" s="221"/>
      <c r="H7181" s="221"/>
      <c r="I7181" s="221"/>
      <c r="J7181" s="221"/>
      <c r="K7181" s="221"/>
      <c r="L7181" s="221"/>
      <c r="M7181" s="221"/>
    </row>
    <row r="7182" spans="5:13">
      <c r="E7182" s="221"/>
      <c r="F7182" s="221"/>
      <c r="G7182" s="221"/>
      <c r="H7182" s="221"/>
      <c r="I7182" s="221"/>
      <c r="J7182" s="221"/>
      <c r="K7182" s="221"/>
      <c r="L7182" s="221"/>
      <c r="M7182" s="221"/>
    </row>
    <row r="7183" spans="5:13">
      <c r="E7183" s="221"/>
      <c r="F7183" s="221"/>
      <c r="G7183" s="221"/>
      <c r="H7183" s="221"/>
      <c r="I7183" s="221"/>
      <c r="J7183" s="221"/>
      <c r="K7183" s="221"/>
      <c r="L7183" s="221"/>
      <c r="M7183" s="221"/>
    </row>
    <row r="7184" spans="5:13">
      <c r="E7184" s="221"/>
      <c r="F7184" s="221"/>
      <c r="G7184" s="221"/>
      <c r="H7184" s="221"/>
      <c r="I7184" s="221"/>
      <c r="J7184" s="221"/>
      <c r="K7184" s="221"/>
      <c r="L7184" s="221"/>
      <c r="M7184" s="221"/>
    </row>
    <row r="7185" spans="5:13">
      <c r="E7185" s="221"/>
      <c r="F7185" s="221"/>
      <c r="G7185" s="221"/>
      <c r="H7185" s="221"/>
      <c r="I7185" s="221"/>
      <c r="J7185" s="221"/>
      <c r="K7185" s="221"/>
      <c r="L7185" s="221"/>
      <c r="M7185" s="221"/>
    </row>
    <row r="7186" spans="5:13">
      <c r="E7186" s="221"/>
      <c r="F7186" s="221"/>
      <c r="G7186" s="221"/>
      <c r="H7186" s="221"/>
      <c r="I7186" s="221"/>
      <c r="J7186" s="221"/>
      <c r="K7186" s="221"/>
      <c r="L7186" s="221"/>
      <c r="M7186" s="221"/>
    </row>
    <row r="7187" spans="5:13">
      <c r="E7187" s="221"/>
      <c r="F7187" s="221"/>
      <c r="G7187" s="221"/>
      <c r="H7187" s="221"/>
      <c r="I7187" s="221"/>
      <c r="J7187" s="221"/>
      <c r="K7187" s="221"/>
      <c r="L7187" s="221"/>
      <c r="M7187" s="221"/>
    </row>
    <row r="7188" spans="5:13">
      <c r="E7188" s="221"/>
      <c r="F7188" s="221"/>
      <c r="G7188" s="221"/>
      <c r="H7188" s="221"/>
      <c r="I7188" s="221"/>
      <c r="J7188" s="221"/>
      <c r="K7188" s="221"/>
      <c r="L7188" s="221"/>
      <c r="M7188" s="221"/>
    </row>
    <row r="7189" spans="5:13">
      <c r="E7189" s="221"/>
      <c r="F7189" s="221"/>
      <c r="G7189" s="221"/>
      <c r="H7189" s="221"/>
      <c r="I7189" s="221"/>
      <c r="J7189" s="221"/>
      <c r="K7189" s="221"/>
      <c r="L7189" s="221"/>
      <c r="M7189" s="221"/>
    </row>
    <row r="7190" spans="5:13">
      <c r="E7190" s="221"/>
      <c r="F7190" s="221"/>
      <c r="G7190" s="221"/>
      <c r="H7190" s="221"/>
      <c r="I7190" s="221"/>
      <c r="J7190" s="221"/>
      <c r="K7190" s="221"/>
      <c r="L7190" s="221"/>
      <c r="M7190" s="221"/>
    </row>
    <row r="7191" spans="5:13">
      <c r="E7191" s="221"/>
      <c r="F7191" s="221"/>
      <c r="G7191" s="221"/>
      <c r="H7191" s="221"/>
      <c r="I7191" s="221"/>
      <c r="J7191" s="221"/>
      <c r="K7191" s="221"/>
      <c r="L7191" s="221"/>
      <c r="M7191" s="221"/>
    </row>
    <row r="7192" spans="5:13">
      <c r="E7192" s="221"/>
      <c r="F7192" s="221"/>
      <c r="G7192" s="221"/>
      <c r="H7192" s="221"/>
      <c r="I7192" s="221"/>
      <c r="J7192" s="221"/>
      <c r="K7192" s="221"/>
      <c r="L7192" s="221"/>
      <c r="M7192" s="221"/>
    </row>
    <row r="7193" spans="5:13">
      <c r="E7193" s="221"/>
      <c r="F7193" s="221"/>
      <c r="G7193" s="221"/>
      <c r="H7193" s="221"/>
      <c r="I7193" s="221"/>
      <c r="J7193" s="221"/>
      <c r="K7193" s="221"/>
      <c r="L7193" s="221"/>
      <c r="M7193" s="221"/>
    </row>
    <row r="7194" spans="5:13">
      <c r="E7194" s="221"/>
      <c r="F7194" s="221"/>
      <c r="G7194" s="221"/>
      <c r="H7194" s="221"/>
      <c r="I7194" s="221"/>
      <c r="J7194" s="221"/>
      <c r="K7194" s="221"/>
      <c r="L7194" s="221"/>
      <c r="M7194" s="221"/>
    </row>
    <row r="7195" spans="5:13">
      <c r="E7195" s="221"/>
      <c r="F7195" s="221"/>
      <c r="G7195" s="221"/>
      <c r="H7195" s="221"/>
      <c r="I7195" s="221"/>
      <c r="J7195" s="221"/>
      <c r="K7195" s="221"/>
      <c r="L7195" s="221"/>
      <c r="M7195" s="221"/>
    </row>
    <row r="7196" spans="5:13">
      <c r="E7196" s="221"/>
      <c r="F7196" s="221"/>
      <c r="G7196" s="221"/>
      <c r="H7196" s="221"/>
      <c r="I7196" s="221"/>
      <c r="J7196" s="221"/>
      <c r="K7196" s="221"/>
      <c r="L7196" s="221"/>
      <c r="M7196" s="221"/>
    </row>
    <row r="7197" spans="5:13">
      <c r="E7197" s="221"/>
      <c r="F7197" s="221"/>
      <c r="G7197" s="221"/>
      <c r="H7197" s="221"/>
      <c r="I7197" s="221"/>
      <c r="J7197" s="221"/>
      <c r="K7197" s="221"/>
      <c r="L7197" s="221"/>
      <c r="M7197" s="221"/>
    </row>
    <row r="7198" spans="5:13">
      <c r="E7198" s="221"/>
      <c r="F7198" s="221"/>
      <c r="G7198" s="221"/>
      <c r="H7198" s="221"/>
      <c r="I7198" s="221"/>
      <c r="J7198" s="221"/>
      <c r="K7198" s="221"/>
      <c r="L7198" s="221"/>
      <c r="M7198" s="221"/>
    </row>
    <row r="7199" spans="5:13">
      <c r="E7199" s="221"/>
      <c r="F7199" s="221"/>
      <c r="G7199" s="221"/>
      <c r="H7199" s="221"/>
      <c r="I7199" s="221"/>
      <c r="J7199" s="221"/>
      <c r="K7199" s="221"/>
      <c r="L7199" s="221"/>
      <c r="M7199" s="221"/>
    </row>
    <row r="7200" spans="5:13">
      <c r="E7200" s="221"/>
      <c r="F7200" s="221"/>
      <c r="G7200" s="221"/>
      <c r="H7200" s="221"/>
      <c r="I7200" s="221"/>
      <c r="J7200" s="221"/>
      <c r="K7200" s="221"/>
      <c r="L7200" s="221"/>
      <c r="M7200" s="221"/>
    </row>
    <row r="7201" spans="5:13">
      <c r="E7201" s="221"/>
      <c r="F7201" s="221"/>
      <c r="G7201" s="221"/>
      <c r="H7201" s="221"/>
      <c r="I7201" s="221"/>
      <c r="J7201" s="221"/>
      <c r="K7201" s="221"/>
      <c r="L7201" s="221"/>
      <c r="M7201" s="221"/>
    </row>
    <row r="7202" spans="5:13">
      <c r="E7202" s="221"/>
      <c r="F7202" s="221"/>
      <c r="G7202" s="221"/>
      <c r="H7202" s="221"/>
      <c r="I7202" s="221"/>
      <c r="J7202" s="221"/>
      <c r="K7202" s="221"/>
      <c r="L7202" s="221"/>
      <c r="M7202" s="221"/>
    </row>
    <row r="7203" spans="5:13">
      <c r="E7203" s="221"/>
      <c r="F7203" s="221"/>
      <c r="G7203" s="221"/>
      <c r="H7203" s="221"/>
      <c r="I7203" s="221"/>
      <c r="J7203" s="221"/>
      <c r="K7203" s="221"/>
      <c r="L7203" s="221"/>
      <c r="M7203" s="221"/>
    </row>
    <row r="7204" spans="5:13">
      <c r="E7204" s="221"/>
      <c r="F7204" s="221"/>
      <c r="G7204" s="221"/>
      <c r="H7204" s="221"/>
      <c r="I7204" s="221"/>
      <c r="J7204" s="221"/>
      <c r="K7204" s="221"/>
      <c r="L7204" s="221"/>
      <c r="M7204" s="221"/>
    </row>
    <row r="7205" spans="5:13">
      <c r="E7205" s="221"/>
      <c r="F7205" s="221"/>
      <c r="G7205" s="221"/>
      <c r="H7205" s="221"/>
      <c r="I7205" s="221"/>
      <c r="J7205" s="221"/>
      <c r="K7205" s="221"/>
      <c r="L7205" s="221"/>
      <c r="M7205" s="221"/>
    </row>
    <row r="7206" spans="5:13">
      <c r="E7206" s="221"/>
      <c r="F7206" s="221"/>
      <c r="G7206" s="221"/>
      <c r="H7206" s="221"/>
      <c r="I7206" s="221"/>
      <c r="J7206" s="221"/>
      <c r="K7206" s="221"/>
      <c r="L7206" s="221"/>
      <c r="M7206" s="221"/>
    </row>
    <row r="7207" spans="5:13">
      <c r="E7207" s="221"/>
      <c r="F7207" s="221"/>
      <c r="G7207" s="221"/>
      <c r="H7207" s="221"/>
      <c r="I7207" s="221"/>
      <c r="J7207" s="221"/>
      <c r="K7207" s="221"/>
      <c r="L7207" s="221"/>
      <c r="M7207" s="221"/>
    </row>
    <row r="7208" spans="5:13">
      <c r="E7208" s="221"/>
      <c r="F7208" s="221"/>
      <c r="G7208" s="221"/>
      <c r="H7208" s="221"/>
      <c r="I7208" s="221"/>
      <c r="J7208" s="221"/>
      <c r="K7208" s="221"/>
      <c r="L7208" s="221"/>
      <c r="M7208" s="221"/>
    </row>
    <row r="7209" spans="5:13">
      <c r="E7209" s="221"/>
      <c r="F7209" s="221"/>
      <c r="G7209" s="221"/>
      <c r="H7209" s="221"/>
      <c r="I7209" s="221"/>
      <c r="J7209" s="221"/>
      <c r="K7209" s="221"/>
      <c r="L7209" s="221"/>
      <c r="M7209" s="221"/>
    </row>
    <row r="7210" spans="5:13">
      <c r="E7210" s="221"/>
      <c r="F7210" s="221"/>
      <c r="G7210" s="221"/>
      <c r="H7210" s="221"/>
      <c r="I7210" s="221"/>
      <c r="J7210" s="221"/>
      <c r="K7210" s="221"/>
      <c r="L7210" s="221"/>
      <c r="M7210" s="221"/>
    </row>
    <row r="7211" spans="5:13">
      <c r="E7211" s="221"/>
      <c r="F7211" s="221"/>
      <c r="G7211" s="221"/>
      <c r="H7211" s="221"/>
      <c r="I7211" s="221"/>
      <c r="J7211" s="221"/>
      <c r="K7211" s="221"/>
      <c r="L7211" s="221"/>
      <c r="M7211" s="221"/>
    </row>
    <row r="7212" spans="5:13">
      <c r="E7212" s="221"/>
      <c r="F7212" s="221"/>
      <c r="G7212" s="221"/>
      <c r="H7212" s="221"/>
      <c r="I7212" s="221"/>
      <c r="J7212" s="221"/>
      <c r="K7212" s="221"/>
      <c r="L7212" s="221"/>
      <c r="M7212" s="221"/>
    </row>
    <row r="7213" spans="5:13">
      <c r="E7213" s="221"/>
      <c r="F7213" s="221"/>
      <c r="G7213" s="221"/>
      <c r="H7213" s="221"/>
      <c r="I7213" s="221"/>
      <c r="J7213" s="221"/>
      <c r="K7213" s="221"/>
      <c r="L7213" s="221"/>
      <c r="M7213" s="221"/>
    </row>
    <row r="7214" spans="5:13">
      <c r="E7214" s="221"/>
      <c r="F7214" s="221"/>
      <c r="G7214" s="221"/>
      <c r="H7214" s="221"/>
      <c r="I7214" s="221"/>
      <c r="J7214" s="221"/>
      <c r="K7214" s="221"/>
      <c r="L7214" s="221"/>
      <c r="M7214" s="221"/>
    </row>
    <row r="7215" spans="5:13">
      <c r="E7215" s="221"/>
      <c r="F7215" s="221"/>
      <c r="G7215" s="221"/>
      <c r="H7215" s="221"/>
      <c r="I7215" s="221"/>
      <c r="J7215" s="221"/>
      <c r="K7215" s="221"/>
      <c r="L7215" s="221"/>
      <c r="M7215" s="221"/>
    </row>
    <row r="7216" spans="5:13">
      <c r="E7216" s="221"/>
      <c r="F7216" s="221"/>
      <c r="G7216" s="221"/>
      <c r="H7216" s="221"/>
      <c r="I7216" s="221"/>
      <c r="J7216" s="221"/>
      <c r="K7216" s="221"/>
      <c r="L7216" s="221"/>
      <c r="M7216" s="221"/>
    </row>
    <row r="7217" spans="5:13">
      <c r="E7217" s="221"/>
      <c r="F7217" s="221"/>
      <c r="G7217" s="221"/>
      <c r="H7217" s="221"/>
      <c r="I7217" s="221"/>
      <c r="J7217" s="221"/>
      <c r="K7217" s="221"/>
      <c r="L7217" s="221"/>
      <c r="M7217" s="221"/>
    </row>
    <row r="7218" spans="5:13">
      <c r="E7218" s="221"/>
      <c r="F7218" s="221"/>
      <c r="G7218" s="221"/>
      <c r="H7218" s="221"/>
      <c r="I7218" s="221"/>
      <c r="J7218" s="221"/>
      <c r="K7218" s="221"/>
      <c r="L7218" s="221"/>
      <c r="M7218" s="221"/>
    </row>
    <row r="7219" spans="5:13">
      <c r="E7219" s="221"/>
      <c r="F7219" s="221"/>
      <c r="G7219" s="221"/>
      <c r="H7219" s="221"/>
      <c r="I7219" s="221"/>
      <c r="J7219" s="221"/>
      <c r="K7219" s="221"/>
      <c r="L7219" s="221"/>
      <c r="M7219" s="221"/>
    </row>
    <row r="7220" spans="5:13">
      <c r="E7220" s="221"/>
      <c r="F7220" s="221"/>
      <c r="G7220" s="221"/>
      <c r="H7220" s="221"/>
      <c r="I7220" s="221"/>
      <c r="J7220" s="221"/>
      <c r="K7220" s="221"/>
      <c r="L7220" s="221"/>
      <c r="M7220" s="221"/>
    </row>
    <row r="7221" spans="5:13">
      <c r="E7221" s="221"/>
      <c r="F7221" s="221"/>
      <c r="G7221" s="221"/>
      <c r="H7221" s="221"/>
      <c r="I7221" s="221"/>
      <c r="J7221" s="221"/>
      <c r="K7221" s="221"/>
      <c r="L7221" s="221"/>
      <c r="M7221" s="221"/>
    </row>
    <row r="7222" spans="5:13">
      <c r="E7222" s="221"/>
      <c r="F7222" s="221"/>
      <c r="G7222" s="221"/>
      <c r="H7222" s="221"/>
      <c r="I7222" s="221"/>
      <c r="J7222" s="221"/>
      <c r="K7222" s="221"/>
      <c r="L7222" s="221"/>
      <c r="M7222" s="221"/>
    </row>
    <row r="7223" spans="5:13">
      <c r="E7223" s="221"/>
      <c r="F7223" s="221"/>
      <c r="G7223" s="221"/>
      <c r="H7223" s="221"/>
      <c r="I7223" s="221"/>
      <c r="J7223" s="221"/>
      <c r="K7223" s="221"/>
      <c r="L7223" s="221"/>
      <c r="M7223" s="221"/>
    </row>
    <row r="7224" spans="5:13">
      <c r="E7224" s="221"/>
      <c r="F7224" s="221"/>
      <c r="G7224" s="221"/>
      <c r="H7224" s="221"/>
      <c r="I7224" s="221"/>
      <c r="J7224" s="221"/>
      <c r="K7224" s="221"/>
      <c r="L7224" s="221"/>
      <c r="M7224" s="221"/>
    </row>
    <row r="7225" spans="5:13">
      <c r="E7225" s="221"/>
      <c r="F7225" s="221"/>
      <c r="G7225" s="221"/>
      <c r="H7225" s="221"/>
      <c r="I7225" s="221"/>
      <c r="J7225" s="221"/>
      <c r="K7225" s="221"/>
      <c r="L7225" s="221"/>
      <c r="M7225" s="221"/>
    </row>
    <row r="7226" spans="5:13">
      <c r="E7226" s="221"/>
      <c r="F7226" s="221"/>
      <c r="G7226" s="221"/>
      <c r="H7226" s="221"/>
      <c r="I7226" s="221"/>
      <c r="J7226" s="221"/>
      <c r="K7226" s="221"/>
      <c r="L7226" s="221"/>
      <c r="M7226" s="221"/>
    </row>
    <row r="7227" spans="5:13">
      <c r="E7227" s="221"/>
      <c r="F7227" s="221"/>
      <c r="G7227" s="221"/>
      <c r="H7227" s="221"/>
      <c r="I7227" s="221"/>
      <c r="J7227" s="221"/>
      <c r="K7227" s="221"/>
      <c r="L7227" s="221"/>
      <c r="M7227" s="221"/>
    </row>
    <row r="7228" spans="5:13">
      <c r="E7228" s="221"/>
      <c r="F7228" s="221"/>
      <c r="G7228" s="221"/>
      <c r="H7228" s="221"/>
      <c r="I7228" s="221"/>
      <c r="J7228" s="221"/>
      <c r="K7228" s="221"/>
      <c r="L7228" s="221"/>
      <c r="M7228" s="221"/>
    </row>
    <row r="7229" spans="5:13">
      <c r="E7229" s="221"/>
      <c r="F7229" s="221"/>
      <c r="G7229" s="221"/>
      <c r="H7229" s="221"/>
      <c r="I7229" s="221"/>
      <c r="J7229" s="221"/>
      <c r="K7229" s="221"/>
      <c r="L7229" s="221"/>
      <c r="M7229" s="221"/>
    </row>
    <row r="7230" spans="5:13">
      <c r="E7230" s="221"/>
      <c r="F7230" s="221"/>
      <c r="G7230" s="221"/>
      <c r="H7230" s="221"/>
      <c r="I7230" s="221"/>
      <c r="J7230" s="221"/>
      <c r="K7230" s="221"/>
      <c r="L7230" s="221"/>
      <c r="M7230" s="221"/>
    </row>
    <row r="7231" spans="5:13">
      <c r="E7231" s="221"/>
      <c r="F7231" s="221"/>
      <c r="G7231" s="221"/>
      <c r="H7231" s="221"/>
      <c r="I7231" s="221"/>
      <c r="J7231" s="221"/>
      <c r="K7231" s="221"/>
      <c r="L7231" s="221"/>
      <c r="M7231" s="221"/>
    </row>
    <row r="7232" spans="5:13">
      <c r="E7232" s="221"/>
      <c r="F7232" s="221"/>
      <c r="G7232" s="221"/>
      <c r="H7232" s="221"/>
      <c r="I7232" s="221"/>
      <c r="J7232" s="221"/>
      <c r="K7232" s="221"/>
      <c r="L7232" s="221"/>
      <c r="M7232" s="221"/>
    </row>
    <row r="7233" spans="5:13">
      <c r="E7233" s="221"/>
      <c r="F7233" s="221"/>
      <c r="G7233" s="221"/>
      <c r="H7233" s="221"/>
      <c r="I7233" s="221"/>
      <c r="J7233" s="221"/>
      <c r="K7233" s="221"/>
      <c r="L7233" s="221"/>
      <c r="M7233" s="221"/>
    </row>
    <row r="7234" spans="5:13">
      <c r="E7234" s="221"/>
      <c r="F7234" s="221"/>
      <c r="G7234" s="221"/>
      <c r="H7234" s="221"/>
      <c r="I7234" s="221"/>
      <c r="J7234" s="221"/>
      <c r="K7234" s="221"/>
      <c r="L7234" s="221"/>
      <c r="M7234" s="221"/>
    </row>
    <row r="7235" spans="5:13">
      <c r="E7235" s="221"/>
      <c r="F7235" s="221"/>
      <c r="G7235" s="221"/>
      <c r="H7235" s="221"/>
      <c r="I7235" s="221"/>
      <c r="J7235" s="221"/>
      <c r="K7235" s="221"/>
      <c r="L7235" s="221"/>
      <c r="M7235" s="221"/>
    </row>
    <row r="7236" spans="5:13">
      <c r="E7236" s="221"/>
      <c r="F7236" s="221"/>
      <c r="G7236" s="221"/>
      <c r="H7236" s="221"/>
      <c r="I7236" s="221"/>
      <c r="J7236" s="221"/>
      <c r="K7236" s="221"/>
      <c r="L7236" s="221"/>
      <c r="M7236" s="221"/>
    </row>
    <row r="7237" spans="5:13">
      <c r="E7237" s="221"/>
      <c r="F7237" s="221"/>
      <c r="G7237" s="221"/>
      <c r="H7237" s="221"/>
      <c r="I7237" s="221"/>
      <c r="J7237" s="221"/>
      <c r="K7237" s="221"/>
      <c r="L7237" s="221"/>
      <c r="M7237" s="221"/>
    </row>
    <row r="7238" spans="5:13">
      <c r="E7238" s="221"/>
      <c r="F7238" s="221"/>
      <c r="G7238" s="221"/>
      <c r="H7238" s="221"/>
      <c r="I7238" s="221"/>
      <c r="J7238" s="221"/>
      <c r="K7238" s="221"/>
      <c r="L7238" s="221"/>
      <c r="M7238" s="221"/>
    </row>
    <row r="7239" spans="5:13">
      <c r="E7239" s="221"/>
      <c r="F7239" s="221"/>
      <c r="G7239" s="221"/>
      <c r="H7239" s="221"/>
      <c r="I7239" s="221"/>
      <c r="J7239" s="221"/>
      <c r="K7239" s="221"/>
      <c r="L7239" s="221"/>
      <c r="M7239" s="221"/>
    </row>
    <row r="7240" spans="5:13">
      <c r="E7240" s="221"/>
      <c r="F7240" s="221"/>
      <c r="G7240" s="221"/>
      <c r="H7240" s="221"/>
      <c r="I7240" s="221"/>
      <c r="J7240" s="221"/>
      <c r="K7240" s="221"/>
      <c r="L7240" s="221"/>
      <c r="M7240" s="221"/>
    </row>
    <row r="7241" spans="5:13">
      <c r="E7241" s="221"/>
      <c r="F7241" s="221"/>
      <c r="G7241" s="221"/>
      <c r="H7241" s="221"/>
      <c r="I7241" s="221"/>
      <c r="J7241" s="221"/>
      <c r="K7241" s="221"/>
      <c r="L7241" s="221"/>
      <c r="M7241" s="221"/>
    </row>
    <row r="7242" spans="5:13">
      <c r="E7242" s="221"/>
      <c r="F7242" s="221"/>
      <c r="G7242" s="221"/>
      <c r="H7242" s="221"/>
      <c r="I7242" s="221"/>
      <c r="J7242" s="221"/>
      <c r="K7242" s="221"/>
      <c r="L7242" s="221"/>
      <c r="M7242" s="221"/>
    </row>
    <row r="7243" spans="5:13">
      <c r="E7243" s="221"/>
      <c r="F7243" s="221"/>
      <c r="G7243" s="221"/>
      <c r="H7243" s="221"/>
      <c r="I7243" s="221"/>
      <c r="J7243" s="221"/>
      <c r="K7243" s="221"/>
      <c r="L7243" s="221"/>
      <c r="M7243" s="221"/>
    </row>
    <row r="7244" spans="5:13">
      <c r="E7244" s="221"/>
      <c r="F7244" s="221"/>
      <c r="G7244" s="221"/>
      <c r="H7244" s="221"/>
      <c r="I7244" s="221"/>
      <c r="J7244" s="221"/>
      <c r="K7244" s="221"/>
      <c r="L7244" s="221"/>
      <c r="M7244" s="221"/>
    </row>
    <row r="7245" spans="5:13">
      <c r="E7245" s="221"/>
      <c r="F7245" s="221"/>
      <c r="G7245" s="221"/>
      <c r="H7245" s="221"/>
      <c r="I7245" s="221"/>
      <c r="J7245" s="221"/>
      <c r="K7245" s="221"/>
      <c r="L7245" s="221"/>
      <c r="M7245" s="221"/>
    </row>
    <row r="7246" spans="5:13">
      <c r="E7246" s="221"/>
      <c r="F7246" s="221"/>
      <c r="G7246" s="221"/>
      <c r="H7246" s="221"/>
      <c r="I7246" s="221"/>
      <c r="J7246" s="221"/>
      <c r="K7246" s="221"/>
      <c r="L7246" s="221"/>
      <c r="M7246" s="221"/>
    </row>
    <row r="7247" spans="5:13">
      <c r="E7247" s="221"/>
      <c r="F7247" s="221"/>
      <c r="G7247" s="221"/>
      <c r="H7247" s="221"/>
      <c r="I7247" s="221"/>
      <c r="J7247" s="221"/>
      <c r="K7247" s="221"/>
      <c r="L7247" s="221"/>
      <c r="M7247" s="221"/>
    </row>
    <row r="7248" spans="5:13">
      <c r="E7248" s="221"/>
      <c r="F7248" s="221"/>
      <c r="G7248" s="221"/>
      <c r="H7248" s="221"/>
      <c r="I7248" s="221"/>
      <c r="J7248" s="221"/>
      <c r="K7248" s="221"/>
      <c r="L7248" s="221"/>
      <c r="M7248" s="221"/>
    </row>
    <row r="7249" spans="5:13">
      <c r="E7249" s="221"/>
      <c r="F7249" s="221"/>
      <c r="G7249" s="221"/>
      <c r="H7249" s="221"/>
      <c r="I7249" s="221"/>
      <c r="J7249" s="221"/>
      <c r="K7249" s="221"/>
      <c r="L7249" s="221"/>
      <c r="M7249" s="221"/>
    </row>
    <row r="7250" spans="5:13">
      <c r="E7250" s="221"/>
      <c r="F7250" s="221"/>
      <c r="G7250" s="221"/>
      <c r="H7250" s="221"/>
      <c r="I7250" s="221"/>
      <c r="J7250" s="221"/>
      <c r="K7250" s="221"/>
      <c r="L7250" s="221"/>
      <c r="M7250" s="221"/>
    </row>
    <row r="7251" spans="5:13">
      <c r="E7251" s="221"/>
      <c r="F7251" s="221"/>
      <c r="G7251" s="221"/>
      <c r="H7251" s="221"/>
      <c r="I7251" s="221"/>
      <c r="J7251" s="221"/>
      <c r="K7251" s="221"/>
      <c r="L7251" s="221"/>
      <c r="M7251" s="221"/>
    </row>
    <row r="7252" spans="5:13">
      <c r="E7252" s="221"/>
      <c r="F7252" s="221"/>
      <c r="G7252" s="221"/>
      <c r="H7252" s="221"/>
      <c r="I7252" s="221"/>
      <c r="J7252" s="221"/>
      <c r="K7252" s="221"/>
      <c r="L7252" s="221"/>
      <c r="M7252" s="221"/>
    </row>
    <row r="7253" spans="5:13">
      <c r="E7253" s="221"/>
      <c r="F7253" s="221"/>
      <c r="G7253" s="221"/>
      <c r="H7253" s="221"/>
      <c r="I7253" s="221"/>
      <c r="J7253" s="221"/>
      <c r="K7253" s="221"/>
      <c r="L7253" s="221"/>
      <c r="M7253" s="221"/>
    </row>
    <row r="7254" spans="5:13">
      <c r="E7254" s="221"/>
      <c r="F7254" s="221"/>
      <c r="G7254" s="221"/>
      <c r="H7254" s="221"/>
      <c r="I7254" s="221"/>
      <c r="J7254" s="221"/>
      <c r="K7254" s="221"/>
      <c r="L7254" s="221"/>
      <c r="M7254" s="221"/>
    </row>
    <row r="7255" spans="5:13">
      <c r="E7255" s="221"/>
      <c r="F7255" s="221"/>
      <c r="G7255" s="221"/>
      <c r="H7255" s="221"/>
      <c r="I7255" s="221"/>
      <c r="J7255" s="221"/>
      <c r="K7255" s="221"/>
      <c r="L7255" s="221"/>
      <c r="M7255" s="221"/>
    </row>
    <row r="7256" spans="5:13">
      <c r="E7256" s="221"/>
      <c r="F7256" s="221"/>
      <c r="G7256" s="221"/>
      <c r="H7256" s="221"/>
      <c r="I7256" s="221"/>
      <c r="J7256" s="221"/>
      <c r="K7256" s="221"/>
      <c r="L7256" s="221"/>
      <c r="M7256" s="221"/>
    </row>
    <row r="7257" spans="5:13">
      <c r="E7257" s="221"/>
      <c r="F7257" s="221"/>
      <c r="G7257" s="221"/>
      <c r="H7257" s="221"/>
      <c r="I7257" s="221"/>
      <c r="J7257" s="221"/>
      <c r="K7257" s="221"/>
      <c r="L7257" s="221"/>
      <c r="M7257" s="221"/>
    </row>
    <row r="7258" spans="5:13">
      <c r="E7258" s="221"/>
      <c r="F7258" s="221"/>
      <c r="G7258" s="221"/>
      <c r="H7258" s="221"/>
      <c r="I7258" s="221"/>
      <c r="J7258" s="221"/>
      <c r="K7258" s="221"/>
      <c r="L7258" s="221"/>
      <c r="M7258" s="221"/>
    </row>
    <row r="7259" spans="5:13">
      <c r="E7259" s="221"/>
      <c r="F7259" s="221"/>
      <c r="G7259" s="221"/>
      <c r="H7259" s="221"/>
      <c r="I7259" s="221"/>
      <c r="J7259" s="221"/>
      <c r="K7259" s="221"/>
      <c r="L7259" s="221"/>
      <c r="M7259" s="221"/>
    </row>
    <row r="7260" spans="5:13">
      <c r="E7260" s="221"/>
      <c r="F7260" s="221"/>
      <c r="G7260" s="221"/>
      <c r="H7260" s="221"/>
      <c r="I7260" s="221"/>
      <c r="J7260" s="221"/>
      <c r="K7260" s="221"/>
      <c r="L7260" s="221"/>
      <c r="M7260" s="221"/>
    </row>
    <row r="7261" spans="5:13">
      <c r="E7261" s="221"/>
      <c r="F7261" s="221"/>
      <c r="G7261" s="221"/>
      <c r="H7261" s="221"/>
      <c r="I7261" s="221"/>
      <c r="J7261" s="221"/>
      <c r="K7261" s="221"/>
      <c r="L7261" s="221"/>
      <c r="M7261" s="221"/>
    </row>
    <row r="7262" spans="5:13">
      <c r="E7262" s="221"/>
      <c r="F7262" s="221"/>
      <c r="G7262" s="221"/>
      <c r="H7262" s="221"/>
      <c r="I7262" s="221"/>
      <c r="J7262" s="221"/>
      <c r="K7262" s="221"/>
      <c r="L7262" s="221"/>
      <c r="M7262" s="221"/>
    </row>
    <row r="7263" spans="5:13">
      <c r="E7263" s="221"/>
      <c r="F7263" s="221"/>
      <c r="G7263" s="221"/>
      <c r="H7263" s="221"/>
      <c r="I7263" s="221"/>
      <c r="J7263" s="221"/>
      <c r="K7263" s="221"/>
      <c r="L7263" s="221"/>
      <c r="M7263" s="221"/>
    </row>
    <row r="7264" spans="5:13">
      <c r="E7264" s="221"/>
      <c r="F7264" s="221"/>
      <c r="G7264" s="221"/>
      <c r="H7264" s="221"/>
      <c r="I7264" s="221"/>
      <c r="J7264" s="221"/>
      <c r="K7264" s="221"/>
      <c r="L7264" s="221"/>
      <c r="M7264" s="221"/>
    </row>
    <row r="7265" spans="5:13">
      <c r="E7265" s="221"/>
      <c r="F7265" s="221"/>
      <c r="G7265" s="221"/>
      <c r="H7265" s="221"/>
      <c r="I7265" s="221"/>
      <c r="J7265" s="221"/>
      <c r="K7265" s="221"/>
      <c r="L7265" s="221"/>
      <c r="M7265" s="221"/>
    </row>
    <row r="7266" spans="5:13">
      <c r="E7266" s="221"/>
      <c r="F7266" s="221"/>
      <c r="G7266" s="221"/>
      <c r="H7266" s="221"/>
      <c r="I7266" s="221"/>
      <c r="J7266" s="221"/>
      <c r="K7266" s="221"/>
      <c r="L7266" s="221"/>
      <c r="M7266" s="221"/>
    </row>
    <row r="7267" spans="5:13">
      <c r="E7267" s="221"/>
      <c r="F7267" s="221"/>
      <c r="G7267" s="221"/>
      <c r="H7267" s="221"/>
      <c r="I7267" s="221"/>
      <c r="J7267" s="221"/>
      <c r="K7267" s="221"/>
      <c r="L7267" s="221"/>
      <c r="M7267" s="221"/>
    </row>
    <row r="7268" spans="5:13">
      <c r="E7268" s="221"/>
      <c r="F7268" s="221"/>
      <c r="G7268" s="221"/>
      <c r="H7268" s="221"/>
      <c r="I7268" s="221"/>
      <c r="J7268" s="221"/>
      <c r="K7268" s="221"/>
      <c r="L7268" s="221"/>
      <c r="M7268" s="221"/>
    </row>
    <row r="7269" spans="5:13">
      <c r="E7269" s="221"/>
      <c r="F7269" s="221"/>
      <c r="G7269" s="221"/>
      <c r="H7269" s="221"/>
      <c r="I7269" s="221"/>
      <c r="J7269" s="221"/>
      <c r="K7269" s="221"/>
      <c r="L7269" s="221"/>
      <c r="M7269" s="221"/>
    </row>
    <row r="7270" spans="5:13">
      <c r="E7270" s="221"/>
      <c r="F7270" s="221"/>
      <c r="G7270" s="221"/>
      <c r="H7270" s="221"/>
      <c r="I7270" s="221"/>
      <c r="J7270" s="221"/>
      <c r="K7270" s="221"/>
      <c r="L7270" s="221"/>
      <c r="M7270" s="221"/>
    </row>
    <row r="7271" spans="5:13">
      <c r="E7271" s="221"/>
      <c r="F7271" s="221"/>
      <c r="G7271" s="221"/>
      <c r="H7271" s="221"/>
      <c r="I7271" s="221"/>
      <c r="J7271" s="221"/>
      <c r="K7271" s="221"/>
      <c r="L7271" s="221"/>
      <c r="M7271" s="221"/>
    </row>
    <row r="7272" spans="5:13">
      <c r="E7272" s="221"/>
      <c r="F7272" s="221"/>
      <c r="G7272" s="221"/>
      <c r="H7272" s="221"/>
      <c r="I7272" s="221"/>
      <c r="J7272" s="221"/>
      <c r="K7272" s="221"/>
      <c r="L7272" s="221"/>
      <c r="M7272" s="221"/>
    </row>
    <row r="7273" spans="5:13">
      <c r="E7273" s="221"/>
      <c r="F7273" s="221"/>
      <c r="G7273" s="221"/>
      <c r="H7273" s="221"/>
      <c r="I7273" s="221"/>
      <c r="J7273" s="221"/>
      <c r="K7273" s="221"/>
      <c r="L7273" s="221"/>
      <c r="M7273" s="221"/>
    </row>
    <row r="7274" spans="5:13">
      <c r="E7274" s="221"/>
      <c r="F7274" s="221"/>
      <c r="G7274" s="221"/>
      <c r="H7274" s="221"/>
      <c r="I7274" s="221"/>
      <c r="J7274" s="221"/>
      <c r="K7274" s="221"/>
      <c r="L7274" s="221"/>
      <c r="M7274" s="221"/>
    </row>
    <row r="7275" spans="5:13">
      <c r="E7275" s="221"/>
      <c r="F7275" s="221"/>
      <c r="G7275" s="221"/>
      <c r="H7275" s="221"/>
      <c r="I7275" s="221"/>
      <c r="J7275" s="221"/>
      <c r="K7275" s="221"/>
      <c r="L7275" s="221"/>
      <c r="M7275" s="221"/>
    </row>
    <row r="7276" spans="5:13">
      <c r="E7276" s="221"/>
      <c r="F7276" s="221"/>
      <c r="G7276" s="221"/>
      <c r="H7276" s="221"/>
      <c r="I7276" s="221"/>
      <c r="J7276" s="221"/>
      <c r="K7276" s="221"/>
      <c r="L7276" s="221"/>
      <c r="M7276" s="221"/>
    </row>
    <row r="7277" spans="5:13">
      <c r="E7277" s="221"/>
      <c r="F7277" s="221"/>
      <c r="G7277" s="221"/>
      <c r="H7277" s="221"/>
      <c r="I7277" s="221"/>
      <c r="J7277" s="221"/>
      <c r="K7277" s="221"/>
      <c r="L7277" s="221"/>
      <c r="M7277" s="221"/>
    </row>
    <row r="7278" spans="5:13">
      <c r="E7278" s="221"/>
      <c r="F7278" s="221"/>
      <c r="G7278" s="221"/>
      <c r="H7278" s="221"/>
      <c r="I7278" s="221"/>
      <c r="J7278" s="221"/>
      <c r="K7278" s="221"/>
      <c r="L7278" s="221"/>
      <c r="M7278" s="221"/>
    </row>
    <row r="7279" spans="5:13">
      <c r="E7279" s="221"/>
      <c r="F7279" s="221"/>
      <c r="G7279" s="221"/>
      <c r="H7279" s="221"/>
      <c r="I7279" s="221"/>
      <c r="J7279" s="221"/>
      <c r="K7279" s="221"/>
      <c r="L7279" s="221"/>
      <c r="M7279" s="221"/>
    </row>
    <row r="7280" spans="5:13">
      <c r="E7280" s="221"/>
      <c r="F7280" s="221"/>
      <c r="G7280" s="221"/>
      <c r="H7280" s="221"/>
      <c r="I7280" s="221"/>
      <c r="J7280" s="221"/>
      <c r="K7280" s="221"/>
      <c r="L7280" s="221"/>
      <c r="M7280" s="221"/>
    </row>
    <row r="7281" spans="5:13">
      <c r="E7281" s="221"/>
      <c r="F7281" s="221"/>
      <c r="G7281" s="221"/>
      <c r="H7281" s="221"/>
      <c r="I7281" s="221"/>
      <c r="J7281" s="221"/>
      <c r="K7281" s="221"/>
      <c r="L7281" s="221"/>
      <c r="M7281" s="221"/>
    </row>
    <row r="7282" spans="5:13">
      <c r="E7282" s="221"/>
      <c r="F7282" s="221"/>
      <c r="G7282" s="221"/>
      <c r="H7282" s="221"/>
      <c r="I7282" s="221"/>
      <c r="J7282" s="221"/>
      <c r="K7282" s="221"/>
      <c r="L7282" s="221"/>
      <c r="M7282" s="221"/>
    </row>
    <row r="7283" spans="5:13">
      <c r="E7283" s="221"/>
      <c r="F7283" s="221"/>
      <c r="G7283" s="221"/>
      <c r="H7283" s="221"/>
      <c r="I7283" s="221"/>
      <c r="J7283" s="221"/>
      <c r="K7283" s="221"/>
      <c r="L7283" s="221"/>
      <c r="M7283" s="221"/>
    </row>
    <row r="7284" spans="5:13">
      <c r="E7284" s="221"/>
      <c r="F7284" s="221"/>
      <c r="G7284" s="221"/>
      <c r="H7284" s="221"/>
      <c r="I7284" s="221"/>
      <c r="J7284" s="221"/>
      <c r="K7284" s="221"/>
      <c r="L7284" s="221"/>
      <c r="M7284" s="221"/>
    </row>
    <row r="7285" spans="5:13">
      <c r="E7285" s="221"/>
      <c r="F7285" s="221"/>
      <c r="G7285" s="221"/>
      <c r="H7285" s="221"/>
      <c r="I7285" s="221"/>
      <c r="J7285" s="221"/>
      <c r="K7285" s="221"/>
      <c r="L7285" s="221"/>
      <c r="M7285" s="221"/>
    </row>
    <row r="7286" spans="5:13">
      <c r="E7286" s="221"/>
      <c r="F7286" s="221"/>
      <c r="G7286" s="221"/>
      <c r="H7286" s="221"/>
      <c r="I7286" s="221"/>
      <c r="J7286" s="221"/>
      <c r="K7286" s="221"/>
      <c r="L7286" s="221"/>
      <c r="M7286" s="221"/>
    </row>
    <row r="7287" spans="5:13">
      <c r="E7287" s="221"/>
      <c r="F7287" s="221"/>
      <c r="G7287" s="221"/>
      <c r="H7287" s="221"/>
      <c r="I7287" s="221"/>
      <c r="J7287" s="221"/>
      <c r="K7287" s="221"/>
      <c r="L7287" s="221"/>
      <c r="M7287" s="221"/>
    </row>
    <row r="7288" spans="5:13">
      <c r="E7288" s="221"/>
      <c r="F7288" s="221"/>
      <c r="G7288" s="221"/>
      <c r="H7288" s="221"/>
      <c r="I7288" s="221"/>
      <c r="J7288" s="221"/>
      <c r="K7288" s="221"/>
      <c r="L7288" s="221"/>
      <c r="M7288" s="221"/>
    </row>
    <row r="7289" spans="5:13">
      <c r="E7289" s="221"/>
      <c r="F7289" s="221"/>
      <c r="G7289" s="221"/>
      <c r="H7289" s="221"/>
      <c r="I7289" s="221"/>
      <c r="J7289" s="221"/>
      <c r="K7289" s="221"/>
      <c r="L7289" s="221"/>
      <c r="M7289" s="221"/>
    </row>
    <row r="7290" spans="5:13">
      <c r="E7290" s="221"/>
      <c r="F7290" s="221"/>
      <c r="G7290" s="221"/>
      <c r="H7290" s="221"/>
      <c r="I7290" s="221"/>
      <c r="J7290" s="221"/>
      <c r="K7290" s="221"/>
      <c r="L7290" s="221"/>
      <c r="M7290" s="221"/>
    </row>
    <row r="7291" spans="5:13">
      <c r="E7291" s="221"/>
      <c r="F7291" s="221"/>
      <c r="G7291" s="221"/>
      <c r="H7291" s="221"/>
      <c r="I7291" s="221"/>
      <c r="J7291" s="221"/>
      <c r="K7291" s="221"/>
      <c r="L7291" s="221"/>
      <c r="M7291" s="221"/>
    </row>
    <row r="7292" spans="5:13">
      <c r="E7292" s="221"/>
      <c r="F7292" s="221"/>
      <c r="G7292" s="221"/>
      <c r="H7292" s="221"/>
      <c r="I7292" s="221"/>
      <c r="J7292" s="221"/>
      <c r="K7292" s="221"/>
      <c r="L7292" s="221"/>
      <c r="M7292" s="221"/>
    </row>
    <row r="7293" spans="5:13">
      <c r="E7293" s="221"/>
      <c r="F7293" s="221"/>
      <c r="G7293" s="221"/>
      <c r="H7293" s="221"/>
      <c r="I7293" s="221"/>
      <c r="J7293" s="221"/>
      <c r="K7293" s="221"/>
      <c r="L7293" s="221"/>
      <c r="M7293" s="221"/>
    </row>
    <row r="7294" spans="5:13">
      <c r="E7294" s="221"/>
      <c r="F7294" s="221"/>
      <c r="G7294" s="221"/>
      <c r="H7294" s="221"/>
      <c r="I7294" s="221"/>
      <c r="J7294" s="221"/>
      <c r="K7294" s="221"/>
      <c r="L7294" s="221"/>
      <c r="M7294" s="221"/>
    </row>
    <row r="7295" spans="5:13">
      <c r="E7295" s="221"/>
      <c r="F7295" s="221"/>
      <c r="G7295" s="221"/>
      <c r="H7295" s="221"/>
      <c r="I7295" s="221"/>
      <c r="J7295" s="221"/>
      <c r="K7295" s="221"/>
      <c r="L7295" s="221"/>
      <c r="M7295" s="221"/>
    </row>
    <row r="7296" spans="5:13">
      <c r="E7296" s="221"/>
      <c r="F7296" s="221"/>
      <c r="G7296" s="221"/>
      <c r="H7296" s="221"/>
      <c r="I7296" s="221"/>
      <c r="J7296" s="221"/>
      <c r="K7296" s="221"/>
      <c r="L7296" s="221"/>
      <c r="M7296" s="221"/>
    </row>
    <row r="7297" spans="5:13">
      <c r="E7297" s="221"/>
      <c r="F7297" s="221"/>
      <c r="G7297" s="221"/>
      <c r="H7297" s="221"/>
      <c r="I7297" s="221"/>
      <c r="J7297" s="221"/>
      <c r="K7297" s="221"/>
      <c r="L7297" s="221"/>
      <c r="M7297" s="221"/>
    </row>
    <row r="7298" spans="5:13">
      <c r="E7298" s="221"/>
      <c r="F7298" s="221"/>
      <c r="G7298" s="221"/>
      <c r="H7298" s="221"/>
      <c r="I7298" s="221"/>
      <c r="J7298" s="221"/>
      <c r="K7298" s="221"/>
      <c r="L7298" s="221"/>
      <c r="M7298" s="221"/>
    </row>
    <row r="7299" spans="5:13">
      <c r="E7299" s="221"/>
      <c r="F7299" s="221"/>
      <c r="G7299" s="221"/>
      <c r="H7299" s="221"/>
      <c r="I7299" s="221"/>
      <c r="J7299" s="221"/>
      <c r="K7299" s="221"/>
      <c r="L7299" s="221"/>
      <c r="M7299" s="221"/>
    </row>
    <row r="7300" spans="5:13">
      <c r="E7300" s="221"/>
      <c r="F7300" s="221"/>
      <c r="G7300" s="221"/>
      <c r="H7300" s="221"/>
      <c r="I7300" s="221"/>
      <c r="J7300" s="221"/>
      <c r="K7300" s="221"/>
      <c r="L7300" s="221"/>
      <c r="M7300" s="221"/>
    </row>
    <row r="7301" spans="5:13">
      <c r="E7301" s="221"/>
      <c r="F7301" s="221"/>
      <c r="G7301" s="221"/>
      <c r="H7301" s="221"/>
      <c r="I7301" s="221"/>
      <c r="J7301" s="221"/>
      <c r="K7301" s="221"/>
      <c r="L7301" s="221"/>
      <c r="M7301" s="221"/>
    </row>
    <row r="7302" spans="5:13">
      <c r="E7302" s="221"/>
      <c r="F7302" s="221"/>
      <c r="G7302" s="221"/>
      <c r="H7302" s="221"/>
      <c r="I7302" s="221"/>
      <c r="J7302" s="221"/>
      <c r="K7302" s="221"/>
      <c r="L7302" s="221"/>
      <c r="M7302" s="221"/>
    </row>
    <row r="7303" spans="5:13">
      <c r="E7303" s="221"/>
      <c r="F7303" s="221"/>
      <c r="G7303" s="221"/>
      <c r="H7303" s="221"/>
      <c r="I7303" s="221"/>
      <c r="J7303" s="221"/>
      <c r="K7303" s="221"/>
      <c r="L7303" s="221"/>
      <c r="M7303" s="221"/>
    </row>
    <row r="7304" spans="5:13">
      <c r="E7304" s="221"/>
      <c r="F7304" s="221"/>
      <c r="G7304" s="221"/>
      <c r="H7304" s="221"/>
      <c r="I7304" s="221"/>
      <c r="J7304" s="221"/>
      <c r="K7304" s="221"/>
      <c r="L7304" s="221"/>
      <c r="M7304" s="221"/>
    </row>
    <row r="7305" spans="5:13">
      <c r="E7305" s="221"/>
      <c r="F7305" s="221"/>
      <c r="G7305" s="221"/>
      <c r="H7305" s="221"/>
      <c r="I7305" s="221"/>
      <c r="J7305" s="221"/>
      <c r="K7305" s="221"/>
      <c r="L7305" s="221"/>
      <c r="M7305" s="221"/>
    </row>
    <row r="7306" spans="5:13">
      <c r="E7306" s="221"/>
      <c r="F7306" s="221"/>
      <c r="G7306" s="221"/>
      <c r="H7306" s="221"/>
      <c r="I7306" s="221"/>
      <c r="J7306" s="221"/>
      <c r="K7306" s="221"/>
      <c r="L7306" s="221"/>
      <c r="M7306" s="221"/>
    </row>
    <row r="7307" spans="5:13">
      <c r="E7307" s="221"/>
      <c r="F7307" s="221"/>
      <c r="G7307" s="221"/>
      <c r="H7307" s="221"/>
      <c r="I7307" s="221"/>
      <c r="J7307" s="221"/>
      <c r="K7307" s="221"/>
      <c r="L7307" s="221"/>
      <c r="M7307" s="221"/>
    </row>
    <row r="7308" spans="5:13">
      <c r="E7308" s="221"/>
      <c r="F7308" s="221"/>
      <c r="G7308" s="221"/>
      <c r="H7308" s="221"/>
      <c r="I7308" s="221"/>
      <c r="J7308" s="221"/>
      <c r="K7308" s="221"/>
      <c r="L7308" s="221"/>
      <c r="M7308" s="221"/>
    </row>
    <row r="7309" spans="5:13">
      <c r="E7309" s="221"/>
      <c r="F7309" s="221"/>
      <c r="G7309" s="221"/>
      <c r="H7309" s="221"/>
      <c r="I7309" s="221"/>
      <c r="J7309" s="221"/>
      <c r="K7309" s="221"/>
      <c r="L7309" s="221"/>
      <c r="M7309" s="221"/>
    </row>
    <row r="7310" spans="5:13">
      <c r="E7310" s="221"/>
      <c r="F7310" s="221"/>
      <c r="G7310" s="221"/>
      <c r="H7310" s="221"/>
      <c r="I7310" s="221"/>
      <c r="J7310" s="221"/>
      <c r="K7310" s="221"/>
      <c r="L7310" s="221"/>
      <c r="M7310" s="221"/>
    </row>
    <row r="7311" spans="5:13">
      <c r="E7311" s="221"/>
      <c r="F7311" s="221"/>
      <c r="G7311" s="221"/>
      <c r="H7311" s="221"/>
      <c r="I7311" s="221"/>
      <c r="J7311" s="221"/>
      <c r="K7311" s="221"/>
      <c r="L7311" s="221"/>
      <c r="M7311" s="221"/>
    </row>
    <row r="7312" spans="5:13">
      <c r="E7312" s="221"/>
      <c r="F7312" s="221"/>
      <c r="G7312" s="221"/>
      <c r="H7312" s="221"/>
      <c r="I7312" s="221"/>
      <c r="J7312" s="221"/>
      <c r="K7312" s="221"/>
      <c r="L7312" s="221"/>
      <c r="M7312" s="221"/>
    </row>
    <row r="7313" spans="5:13">
      <c r="E7313" s="221"/>
      <c r="F7313" s="221"/>
      <c r="G7313" s="221"/>
      <c r="H7313" s="221"/>
      <c r="I7313" s="221"/>
      <c r="J7313" s="221"/>
      <c r="K7313" s="221"/>
      <c r="L7313" s="221"/>
      <c r="M7313" s="221"/>
    </row>
    <row r="7314" spans="5:13">
      <c r="E7314" s="221"/>
      <c r="F7314" s="221"/>
      <c r="G7314" s="221"/>
      <c r="H7314" s="221"/>
      <c r="I7314" s="221"/>
      <c r="J7314" s="221"/>
      <c r="K7314" s="221"/>
      <c r="L7314" s="221"/>
      <c r="M7314" s="221"/>
    </row>
    <row r="7315" spans="5:13">
      <c r="E7315" s="221"/>
      <c r="F7315" s="221"/>
      <c r="G7315" s="221"/>
      <c r="H7315" s="221"/>
      <c r="I7315" s="221"/>
      <c r="J7315" s="221"/>
      <c r="K7315" s="221"/>
      <c r="L7315" s="221"/>
      <c r="M7315" s="221"/>
    </row>
    <row r="7316" spans="5:13">
      <c r="E7316" s="221"/>
      <c r="F7316" s="221"/>
      <c r="G7316" s="221"/>
      <c r="H7316" s="221"/>
      <c r="I7316" s="221"/>
      <c r="J7316" s="221"/>
      <c r="K7316" s="221"/>
      <c r="L7316" s="221"/>
      <c r="M7316" s="221"/>
    </row>
    <row r="7317" spans="5:13">
      <c r="E7317" s="221"/>
      <c r="F7317" s="221"/>
      <c r="G7317" s="221"/>
      <c r="H7317" s="221"/>
      <c r="I7317" s="221"/>
      <c r="J7317" s="221"/>
      <c r="K7317" s="221"/>
      <c r="L7317" s="221"/>
      <c r="M7317" s="221"/>
    </row>
    <row r="7318" spans="5:13">
      <c r="E7318" s="221"/>
      <c r="F7318" s="221"/>
      <c r="G7318" s="221"/>
      <c r="H7318" s="221"/>
      <c r="I7318" s="221"/>
      <c r="J7318" s="221"/>
      <c r="K7318" s="221"/>
      <c r="L7318" s="221"/>
      <c r="M7318" s="221"/>
    </row>
    <row r="7319" spans="5:13">
      <c r="E7319" s="221"/>
      <c r="F7319" s="221"/>
      <c r="G7319" s="221"/>
      <c r="H7319" s="221"/>
      <c r="I7319" s="221"/>
      <c r="J7319" s="221"/>
      <c r="K7319" s="221"/>
      <c r="L7319" s="221"/>
      <c r="M7319" s="221"/>
    </row>
    <row r="7320" spans="5:13">
      <c r="E7320" s="221"/>
      <c r="F7320" s="221"/>
      <c r="G7320" s="221"/>
      <c r="H7320" s="221"/>
      <c r="I7320" s="221"/>
      <c r="J7320" s="221"/>
      <c r="K7320" s="221"/>
      <c r="L7320" s="221"/>
      <c r="M7320" s="221"/>
    </row>
    <row r="7321" spans="5:13">
      <c r="E7321" s="221"/>
      <c r="F7321" s="221"/>
      <c r="G7321" s="221"/>
      <c r="H7321" s="221"/>
      <c r="I7321" s="221"/>
      <c r="J7321" s="221"/>
      <c r="K7321" s="221"/>
      <c r="L7321" s="221"/>
      <c r="M7321" s="221"/>
    </row>
    <row r="7322" spans="5:13">
      <c r="E7322" s="221"/>
      <c r="F7322" s="221"/>
      <c r="G7322" s="221"/>
      <c r="H7322" s="221"/>
      <c r="I7322" s="221"/>
      <c r="J7322" s="221"/>
      <c r="K7322" s="221"/>
      <c r="L7322" s="221"/>
      <c r="M7322" s="221"/>
    </row>
    <row r="7323" spans="5:13">
      <c r="E7323" s="221"/>
      <c r="F7323" s="221"/>
      <c r="G7323" s="221"/>
      <c r="H7323" s="221"/>
      <c r="I7323" s="221"/>
      <c r="J7323" s="221"/>
      <c r="K7323" s="221"/>
      <c r="L7323" s="221"/>
      <c r="M7323" s="221"/>
    </row>
    <row r="7324" spans="5:13">
      <c r="E7324" s="221"/>
      <c r="F7324" s="221"/>
      <c r="G7324" s="221"/>
      <c r="H7324" s="221"/>
      <c r="I7324" s="221"/>
      <c r="J7324" s="221"/>
      <c r="K7324" s="221"/>
      <c r="L7324" s="221"/>
      <c r="M7324" s="221"/>
    </row>
    <row r="7325" spans="5:13">
      <c r="E7325" s="221"/>
      <c r="F7325" s="221"/>
      <c r="G7325" s="221"/>
      <c r="H7325" s="221"/>
      <c r="I7325" s="221"/>
      <c r="J7325" s="221"/>
      <c r="K7325" s="221"/>
      <c r="L7325" s="221"/>
      <c r="M7325" s="221"/>
    </row>
    <row r="7326" spans="5:13">
      <c r="E7326" s="221"/>
      <c r="F7326" s="221"/>
      <c r="G7326" s="221"/>
      <c r="H7326" s="221"/>
      <c r="I7326" s="221"/>
      <c r="J7326" s="221"/>
      <c r="K7326" s="221"/>
      <c r="L7326" s="221"/>
      <c r="M7326" s="221"/>
    </row>
    <row r="7327" spans="5:13">
      <c r="E7327" s="221"/>
      <c r="F7327" s="221"/>
      <c r="G7327" s="221"/>
      <c r="H7327" s="221"/>
      <c r="I7327" s="221"/>
      <c r="J7327" s="221"/>
      <c r="K7327" s="221"/>
      <c r="L7327" s="221"/>
      <c r="M7327" s="221"/>
    </row>
    <row r="7328" spans="5:13">
      <c r="E7328" s="221"/>
      <c r="F7328" s="221"/>
      <c r="G7328" s="221"/>
      <c r="H7328" s="221"/>
      <c r="I7328" s="221"/>
      <c r="J7328" s="221"/>
      <c r="K7328" s="221"/>
      <c r="L7328" s="221"/>
      <c r="M7328" s="221"/>
    </row>
    <row r="7329" spans="5:13">
      <c r="E7329" s="221"/>
      <c r="F7329" s="221"/>
      <c r="G7329" s="221"/>
      <c r="H7329" s="221"/>
      <c r="I7329" s="221"/>
      <c r="J7329" s="221"/>
      <c r="K7329" s="221"/>
      <c r="L7329" s="221"/>
      <c r="M7329" s="221"/>
    </row>
    <row r="7330" spans="5:13">
      <c r="E7330" s="221"/>
      <c r="F7330" s="221"/>
      <c r="G7330" s="221"/>
      <c r="H7330" s="221"/>
      <c r="I7330" s="221"/>
      <c r="J7330" s="221"/>
      <c r="K7330" s="221"/>
      <c r="L7330" s="221"/>
      <c r="M7330" s="221"/>
    </row>
    <row r="7331" spans="5:13">
      <c r="E7331" s="221"/>
      <c r="F7331" s="221"/>
      <c r="G7331" s="221"/>
      <c r="H7331" s="221"/>
      <c r="I7331" s="221"/>
      <c r="J7331" s="221"/>
      <c r="K7331" s="221"/>
      <c r="L7331" s="221"/>
      <c r="M7331" s="221"/>
    </row>
    <row r="7332" spans="5:13">
      <c r="E7332" s="221"/>
      <c r="F7332" s="221"/>
      <c r="G7332" s="221"/>
      <c r="H7332" s="221"/>
      <c r="I7332" s="221"/>
      <c r="J7332" s="221"/>
      <c r="K7332" s="221"/>
      <c r="L7332" s="221"/>
      <c r="M7332" s="221"/>
    </row>
    <row r="7333" spans="5:13">
      <c r="E7333" s="221"/>
      <c r="F7333" s="221"/>
      <c r="G7333" s="221"/>
      <c r="H7333" s="221"/>
      <c r="I7333" s="221"/>
      <c r="J7333" s="221"/>
      <c r="K7333" s="221"/>
      <c r="L7333" s="221"/>
      <c r="M7333" s="221"/>
    </row>
    <row r="7334" spans="5:13">
      <c r="E7334" s="221"/>
      <c r="F7334" s="221"/>
      <c r="G7334" s="221"/>
      <c r="H7334" s="221"/>
      <c r="I7334" s="221"/>
      <c r="J7334" s="221"/>
      <c r="K7334" s="221"/>
      <c r="L7334" s="221"/>
      <c r="M7334" s="221"/>
    </row>
    <row r="7335" spans="5:13">
      <c r="E7335" s="221"/>
      <c r="F7335" s="221"/>
      <c r="G7335" s="221"/>
      <c r="H7335" s="221"/>
      <c r="I7335" s="221"/>
      <c r="J7335" s="221"/>
      <c r="K7335" s="221"/>
      <c r="L7335" s="221"/>
      <c r="M7335" s="221"/>
    </row>
    <row r="7336" spans="5:13">
      <c r="E7336" s="221"/>
      <c r="F7336" s="221"/>
      <c r="G7336" s="221"/>
      <c r="H7336" s="221"/>
      <c r="I7336" s="221"/>
      <c r="J7336" s="221"/>
      <c r="K7336" s="221"/>
      <c r="L7336" s="221"/>
      <c r="M7336" s="221"/>
    </row>
    <row r="7337" spans="5:13">
      <c r="E7337" s="221"/>
      <c r="F7337" s="221"/>
      <c r="G7337" s="221"/>
      <c r="H7337" s="221"/>
      <c r="I7337" s="221"/>
      <c r="J7337" s="221"/>
      <c r="K7337" s="221"/>
      <c r="L7337" s="221"/>
      <c r="M7337" s="221"/>
    </row>
    <row r="7338" spans="5:13">
      <c r="E7338" s="221"/>
      <c r="F7338" s="221"/>
      <c r="G7338" s="221"/>
      <c r="H7338" s="221"/>
      <c r="I7338" s="221"/>
      <c r="J7338" s="221"/>
      <c r="K7338" s="221"/>
      <c r="L7338" s="221"/>
      <c r="M7338" s="221"/>
    </row>
    <row r="7339" spans="5:13">
      <c r="E7339" s="221"/>
      <c r="F7339" s="221"/>
      <c r="G7339" s="221"/>
      <c r="H7339" s="221"/>
      <c r="I7339" s="221"/>
      <c r="J7339" s="221"/>
      <c r="K7339" s="221"/>
      <c r="L7339" s="221"/>
      <c r="M7339" s="221"/>
    </row>
    <row r="7340" spans="5:13">
      <c r="E7340" s="221"/>
      <c r="F7340" s="221"/>
      <c r="G7340" s="221"/>
      <c r="H7340" s="221"/>
      <c r="I7340" s="221"/>
      <c r="J7340" s="221"/>
      <c r="K7340" s="221"/>
      <c r="L7340" s="221"/>
      <c r="M7340" s="221"/>
    </row>
    <row r="7341" spans="5:13">
      <c r="E7341" s="221"/>
      <c r="F7341" s="221"/>
      <c r="G7341" s="221"/>
      <c r="H7341" s="221"/>
      <c r="I7341" s="221"/>
      <c r="J7341" s="221"/>
      <c r="K7341" s="221"/>
      <c r="L7341" s="221"/>
      <c r="M7341" s="221"/>
    </row>
    <row r="7342" spans="5:13">
      <c r="E7342" s="221"/>
      <c r="F7342" s="221"/>
      <c r="G7342" s="221"/>
      <c r="H7342" s="221"/>
      <c r="I7342" s="221"/>
      <c r="J7342" s="221"/>
      <c r="K7342" s="221"/>
      <c r="L7342" s="221"/>
      <c r="M7342" s="221"/>
    </row>
    <row r="7343" spans="5:13">
      <c r="E7343" s="221"/>
      <c r="F7343" s="221"/>
      <c r="G7343" s="221"/>
      <c r="H7343" s="221"/>
      <c r="I7343" s="221"/>
      <c r="J7343" s="221"/>
      <c r="K7343" s="221"/>
      <c r="L7343" s="221"/>
      <c r="M7343" s="221"/>
    </row>
    <row r="7344" spans="5:13">
      <c r="E7344" s="221"/>
      <c r="F7344" s="221"/>
      <c r="G7344" s="221"/>
      <c r="H7344" s="221"/>
      <c r="I7344" s="221"/>
      <c r="J7344" s="221"/>
      <c r="K7344" s="221"/>
      <c r="L7344" s="221"/>
      <c r="M7344" s="221"/>
    </row>
    <row r="7345" spans="5:13">
      <c r="E7345" s="221"/>
      <c r="F7345" s="221"/>
      <c r="G7345" s="221"/>
      <c r="H7345" s="221"/>
      <c r="I7345" s="221"/>
      <c r="J7345" s="221"/>
      <c r="K7345" s="221"/>
      <c r="L7345" s="221"/>
      <c r="M7345" s="221"/>
    </row>
    <row r="7346" spans="5:13">
      <c r="E7346" s="221"/>
      <c r="F7346" s="221"/>
      <c r="G7346" s="221"/>
      <c r="H7346" s="221"/>
      <c r="I7346" s="221"/>
      <c r="J7346" s="221"/>
      <c r="K7346" s="221"/>
      <c r="L7346" s="221"/>
      <c r="M7346" s="221"/>
    </row>
    <row r="7347" spans="5:13">
      <c r="E7347" s="221"/>
      <c r="F7347" s="221"/>
      <c r="G7347" s="221"/>
      <c r="H7347" s="221"/>
      <c r="I7347" s="221"/>
      <c r="J7347" s="221"/>
      <c r="K7347" s="221"/>
      <c r="L7347" s="221"/>
      <c r="M7347" s="221"/>
    </row>
    <row r="7348" spans="5:13">
      <c r="E7348" s="221"/>
      <c r="F7348" s="221"/>
      <c r="G7348" s="221"/>
      <c r="H7348" s="221"/>
      <c r="I7348" s="221"/>
      <c r="J7348" s="221"/>
      <c r="K7348" s="221"/>
      <c r="L7348" s="221"/>
      <c r="M7348" s="221"/>
    </row>
    <row r="7349" spans="5:13">
      <c r="E7349" s="221"/>
      <c r="F7349" s="221"/>
      <c r="G7349" s="221"/>
      <c r="H7349" s="221"/>
      <c r="I7349" s="221"/>
      <c r="J7349" s="221"/>
      <c r="K7349" s="221"/>
      <c r="L7349" s="221"/>
      <c r="M7349" s="221"/>
    </row>
    <row r="7350" spans="5:13">
      <c r="E7350" s="221"/>
      <c r="F7350" s="221"/>
      <c r="G7350" s="221"/>
      <c r="H7350" s="221"/>
      <c r="I7350" s="221"/>
      <c r="J7350" s="221"/>
      <c r="K7350" s="221"/>
      <c r="L7350" s="221"/>
      <c r="M7350" s="221"/>
    </row>
    <row r="7351" spans="5:13">
      <c r="E7351" s="221"/>
      <c r="F7351" s="221"/>
      <c r="G7351" s="221"/>
      <c r="H7351" s="221"/>
      <c r="I7351" s="221"/>
      <c r="J7351" s="221"/>
      <c r="K7351" s="221"/>
      <c r="L7351" s="221"/>
      <c r="M7351" s="221"/>
    </row>
    <row r="7352" spans="5:13">
      <c r="E7352" s="221"/>
      <c r="F7352" s="221"/>
      <c r="G7352" s="221"/>
      <c r="H7352" s="221"/>
      <c r="I7352" s="221"/>
      <c r="J7352" s="221"/>
      <c r="K7352" s="221"/>
      <c r="L7352" s="221"/>
      <c r="M7352" s="221"/>
    </row>
    <row r="7353" spans="5:13">
      <c r="E7353" s="221"/>
      <c r="F7353" s="221"/>
      <c r="G7353" s="221"/>
      <c r="H7353" s="221"/>
      <c r="I7353" s="221"/>
      <c r="J7353" s="221"/>
      <c r="K7353" s="221"/>
      <c r="L7353" s="221"/>
      <c r="M7353" s="221"/>
    </row>
    <row r="7354" spans="5:13">
      <c r="E7354" s="221"/>
      <c r="F7354" s="221"/>
      <c r="G7354" s="221"/>
      <c r="H7354" s="221"/>
      <c r="I7354" s="221"/>
      <c r="J7354" s="221"/>
      <c r="K7354" s="221"/>
      <c r="L7354" s="221"/>
      <c r="M7354" s="221"/>
    </row>
    <row r="7355" spans="5:13">
      <c r="E7355" s="221"/>
      <c r="F7355" s="221"/>
      <c r="G7355" s="221"/>
      <c r="H7355" s="221"/>
      <c r="I7355" s="221"/>
      <c r="J7355" s="221"/>
      <c r="K7355" s="221"/>
      <c r="L7355" s="221"/>
      <c r="M7355" s="221"/>
    </row>
    <row r="7356" spans="5:13">
      <c r="E7356" s="221"/>
      <c r="F7356" s="221"/>
      <c r="G7356" s="221"/>
      <c r="H7356" s="221"/>
      <c r="I7356" s="221"/>
      <c r="J7356" s="221"/>
      <c r="K7356" s="221"/>
      <c r="L7356" s="221"/>
      <c r="M7356" s="221"/>
    </row>
    <row r="7357" spans="5:13">
      <c r="E7357" s="221"/>
      <c r="F7357" s="221"/>
      <c r="G7357" s="221"/>
      <c r="H7357" s="221"/>
      <c r="I7357" s="221"/>
      <c r="J7357" s="221"/>
      <c r="K7357" s="221"/>
      <c r="L7357" s="221"/>
      <c r="M7357" s="221"/>
    </row>
    <row r="7358" spans="5:13">
      <c r="E7358" s="221"/>
      <c r="F7358" s="221"/>
      <c r="G7358" s="221"/>
      <c r="H7358" s="221"/>
      <c r="I7358" s="221"/>
      <c r="J7358" s="221"/>
      <c r="K7358" s="221"/>
      <c r="L7358" s="221"/>
      <c r="M7358" s="221"/>
    </row>
    <row r="7359" spans="5:13">
      <c r="E7359" s="221"/>
      <c r="F7359" s="221"/>
      <c r="G7359" s="221"/>
      <c r="H7359" s="221"/>
      <c r="I7359" s="221"/>
      <c r="J7359" s="221"/>
      <c r="K7359" s="221"/>
      <c r="L7359" s="221"/>
      <c r="M7359" s="221"/>
    </row>
    <row r="7360" spans="5:13">
      <c r="E7360" s="221"/>
      <c r="F7360" s="221"/>
      <c r="G7360" s="221"/>
      <c r="H7360" s="221"/>
      <c r="I7360" s="221"/>
      <c r="J7360" s="221"/>
      <c r="K7360" s="221"/>
      <c r="L7360" s="221"/>
      <c r="M7360" s="221"/>
    </row>
    <row r="7361" spans="5:13">
      <c r="E7361" s="221"/>
      <c r="F7361" s="221"/>
      <c r="G7361" s="221"/>
      <c r="H7361" s="221"/>
      <c r="I7361" s="221"/>
      <c r="J7361" s="221"/>
      <c r="K7361" s="221"/>
      <c r="L7361" s="221"/>
      <c r="M7361" s="221"/>
    </row>
    <row r="7362" spans="5:13">
      <c r="E7362" s="221"/>
      <c r="F7362" s="221"/>
      <c r="G7362" s="221"/>
      <c r="H7362" s="221"/>
      <c r="I7362" s="221"/>
      <c r="J7362" s="221"/>
      <c r="K7362" s="221"/>
      <c r="L7362" s="221"/>
      <c r="M7362" s="221"/>
    </row>
    <row r="7363" spans="5:13">
      <c r="E7363" s="221"/>
      <c r="F7363" s="221"/>
      <c r="G7363" s="221"/>
      <c r="H7363" s="221"/>
      <c r="I7363" s="221"/>
      <c r="J7363" s="221"/>
      <c r="K7363" s="221"/>
      <c r="L7363" s="221"/>
      <c r="M7363" s="221"/>
    </row>
    <row r="7364" spans="5:13">
      <c r="E7364" s="221"/>
      <c r="F7364" s="221"/>
      <c r="G7364" s="221"/>
      <c r="H7364" s="221"/>
      <c r="I7364" s="221"/>
      <c r="J7364" s="221"/>
      <c r="K7364" s="221"/>
      <c r="L7364" s="221"/>
      <c r="M7364" s="221"/>
    </row>
    <row r="7365" spans="5:13">
      <c r="E7365" s="221"/>
      <c r="F7365" s="221"/>
      <c r="G7365" s="221"/>
      <c r="H7365" s="221"/>
      <c r="I7365" s="221"/>
      <c r="J7365" s="221"/>
      <c r="K7365" s="221"/>
      <c r="L7365" s="221"/>
      <c r="M7365" s="221"/>
    </row>
    <row r="7366" spans="5:13">
      <c r="E7366" s="221"/>
      <c r="F7366" s="221"/>
      <c r="G7366" s="221"/>
      <c r="H7366" s="221"/>
      <c r="I7366" s="221"/>
      <c r="J7366" s="221"/>
      <c r="K7366" s="221"/>
      <c r="L7366" s="221"/>
      <c r="M7366" s="221"/>
    </row>
    <row r="7367" spans="5:13">
      <c r="E7367" s="221"/>
      <c r="F7367" s="221"/>
      <c r="G7367" s="221"/>
      <c r="H7367" s="221"/>
      <c r="I7367" s="221"/>
      <c r="J7367" s="221"/>
      <c r="K7367" s="221"/>
      <c r="L7367" s="221"/>
      <c r="M7367" s="221"/>
    </row>
    <row r="7368" spans="5:13">
      <c r="E7368" s="221"/>
      <c r="F7368" s="221"/>
      <c r="G7368" s="221"/>
      <c r="H7368" s="221"/>
      <c r="I7368" s="221"/>
      <c r="J7368" s="221"/>
      <c r="K7368" s="221"/>
      <c r="L7368" s="221"/>
      <c r="M7368" s="221"/>
    </row>
    <row r="7369" spans="5:13">
      <c r="E7369" s="221"/>
      <c r="F7369" s="221"/>
      <c r="G7369" s="221"/>
      <c r="H7369" s="221"/>
      <c r="I7369" s="221"/>
      <c r="J7369" s="221"/>
      <c r="K7369" s="221"/>
      <c r="L7369" s="221"/>
      <c r="M7369" s="221"/>
    </row>
    <row r="7370" spans="5:13">
      <c r="E7370" s="221"/>
      <c r="F7370" s="221"/>
      <c r="G7370" s="221"/>
      <c r="H7370" s="221"/>
      <c r="I7370" s="221"/>
      <c r="J7370" s="221"/>
      <c r="K7370" s="221"/>
      <c r="L7370" s="221"/>
      <c r="M7370" s="221"/>
    </row>
    <row r="7371" spans="5:13">
      <c r="E7371" s="221"/>
      <c r="F7371" s="221"/>
      <c r="G7371" s="221"/>
      <c r="H7371" s="221"/>
      <c r="I7371" s="221"/>
      <c r="J7371" s="221"/>
      <c r="K7371" s="221"/>
      <c r="L7371" s="221"/>
      <c r="M7371" s="221"/>
    </row>
    <row r="7372" spans="5:13">
      <c r="E7372" s="221"/>
      <c r="F7372" s="221"/>
      <c r="G7372" s="221"/>
      <c r="H7372" s="221"/>
      <c r="I7372" s="221"/>
      <c r="J7372" s="221"/>
      <c r="K7372" s="221"/>
      <c r="L7372" s="221"/>
      <c r="M7372" s="221"/>
    </row>
    <row r="7373" spans="5:13">
      <c r="E7373" s="221"/>
      <c r="F7373" s="221"/>
      <c r="G7373" s="221"/>
      <c r="H7373" s="221"/>
      <c r="I7373" s="221"/>
      <c r="J7373" s="221"/>
      <c r="K7373" s="221"/>
      <c r="L7373" s="221"/>
      <c r="M7373" s="221"/>
    </row>
    <row r="7374" spans="5:13">
      <c r="E7374" s="221"/>
      <c r="F7374" s="221"/>
      <c r="G7374" s="221"/>
      <c r="H7374" s="221"/>
      <c r="I7374" s="221"/>
      <c r="J7374" s="221"/>
      <c r="K7374" s="221"/>
      <c r="L7374" s="221"/>
      <c r="M7374" s="221"/>
    </row>
    <row r="7375" spans="5:13">
      <c r="E7375" s="221"/>
      <c r="F7375" s="221"/>
      <c r="G7375" s="221"/>
      <c r="H7375" s="221"/>
      <c r="I7375" s="221"/>
      <c r="J7375" s="221"/>
      <c r="K7375" s="221"/>
      <c r="L7375" s="221"/>
      <c r="M7375" s="221"/>
    </row>
    <row r="7376" spans="5:13">
      <c r="E7376" s="221"/>
      <c r="F7376" s="221"/>
      <c r="G7376" s="221"/>
      <c r="H7376" s="221"/>
      <c r="I7376" s="221"/>
      <c r="J7376" s="221"/>
      <c r="K7376" s="221"/>
      <c r="L7376" s="221"/>
      <c r="M7376" s="221"/>
    </row>
    <row r="7377" spans="5:13">
      <c r="E7377" s="221"/>
      <c r="F7377" s="221"/>
      <c r="G7377" s="221"/>
      <c r="H7377" s="221"/>
      <c r="I7377" s="221"/>
      <c r="J7377" s="221"/>
      <c r="K7377" s="221"/>
      <c r="L7377" s="221"/>
      <c r="M7377" s="221"/>
    </row>
    <row r="7378" spans="5:13">
      <c r="E7378" s="221"/>
      <c r="F7378" s="221"/>
      <c r="G7378" s="221"/>
      <c r="H7378" s="221"/>
      <c r="I7378" s="221"/>
      <c r="J7378" s="221"/>
      <c r="K7378" s="221"/>
      <c r="L7378" s="221"/>
      <c r="M7378" s="221"/>
    </row>
    <row r="7379" spans="5:13">
      <c r="E7379" s="221"/>
      <c r="F7379" s="221"/>
      <c r="G7379" s="221"/>
      <c r="H7379" s="221"/>
      <c r="I7379" s="221"/>
      <c r="J7379" s="221"/>
      <c r="K7379" s="221"/>
      <c r="L7379" s="221"/>
      <c r="M7379" s="221"/>
    </row>
    <row r="7380" spans="5:13">
      <c r="E7380" s="221"/>
      <c r="F7380" s="221"/>
      <c r="G7380" s="221"/>
      <c r="H7380" s="221"/>
      <c r="I7380" s="221"/>
      <c r="J7380" s="221"/>
      <c r="K7380" s="221"/>
      <c r="L7380" s="221"/>
      <c r="M7380" s="221"/>
    </row>
    <row r="7381" spans="5:13">
      <c r="E7381" s="221"/>
      <c r="F7381" s="221"/>
      <c r="G7381" s="221"/>
      <c r="H7381" s="221"/>
      <c r="I7381" s="221"/>
      <c r="J7381" s="221"/>
      <c r="K7381" s="221"/>
      <c r="L7381" s="221"/>
      <c r="M7381" s="221"/>
    </row>
    <row r="7382" spans="5:13">
      <c r="E7382" s="221"/>
      <c r="F7382" s="221"/>
      <c r="G7382" s="221"/>
      <c r="H7382" s="221"/>
      <c r="I7382" s="221"/>
      <c r="J7382" s="221"/>
      <c r="K7382" s="221"/>
      <c r="L7382" s="221"/>
      <c r="M7382" s="221"/>
    </row>
    <row r="7383" spans="5:13">
      <c r="E7383" s="221"/>
      <c r="F7383" s="221"/>
      <c r="G7383" s="221"/>
      <c r="H7383" s="221"/>
      <c r="I7383" s="221"/>
      <c r="J7383" s="221"/>
      <c r="K7383" s="221"/>
      <c r="L7383" s="221"/>
      <c r="M7383" s="221"/>
    </row>
    <row r="7384" spans="5:13">
      <c r="E7384" s="221"/>
      <c r="F7384" s="221"/>
      <c r="G7384" s="221"/>
      <c r="H7384" s="221"/>
      <c r="I7384" s="221"/>
      <c r="J7384" s="221"/>
      <c r="K7384" s="221"/>
      <c r="L7384" s="221"/>
      <c r="M7384" s="221"/>
    </row>
    <row r="7385" spans="5:13">
      <c r="E7385" s="221"/>
      <c r="F7385" s="221"/>
      <c r="G7385" s="221"/>
      <c r="H7385" s="221"/>
      <c r="I7385" s="221"/>
      <c r="J7385" s="221"/>
      <c r="K7385" s="221"/>
      <c r="L7385" s="221"/>
      <c r="M7385" s="221"/>
    </row>
    <row r="7386" spans="5:13">
      <c r="E7386" s="221"/>
      <c r="F7386" s="221"/>
      <c r="G7386" s="221"/>
      <c r="H7386" s="221"/>
      <c r="I7386" s="221"/>
      <c r="J7386" s="221"/>
      <c r="K7386" s="221"/>
      <c r="L7386" s="221"/>
      <c r="M7386" s="221"/>
    </row>
    <row r="7387" spans="5:13">
      <c r="E7387" s="221"/>
      <c r="F7387" s="221"/>
      <c r="G7387" s="221"/>
      <c r="H7387" s="221"/>
      <c r="I7387" s="221"/>
      <c r="J7387" s="221"/>
      <c r="K7387" s="221"/>
      <c r="L7387" s="221"/>
      <c r="M7387" s="221"/>
    </row>
    <row r="7388" spans="5:13">
      <c r="E7388" s="221"/>
      <c r="F7388" s="221"/>
      <c r="G7388" s="221"/>
      <c r="H7388" s="221"/>
      <c r="I7388" s="221"/>
      <c r="J7388" s="221"/>
      <c r="K7388" s="221"/>
      <c r="L7388" s="221"/>
      <c r="M7388" s="221"/>
    </row>
    <row r="7389" spans="5:13">
      <c r="E7389" s="221"/>
      <c r="F7389" s="221"/>
      <c r="G7389" s="221"/>
      <c r="H7389" s="221"/>
      <c r="I7389" s="221"/>
      <c r="J7389" s="221"/>
      <c r="K7389" s="221"/>
      <c r="L7389" s="221"/>
      <c r="M7389" s="221"/>
    </row>
    <row r="7390" spans="5:13">
      <c r="E7390" s="221"/>
      <c r="F7390" s="221"/>
      <c r="G7390" s="221"/>
      <c r="H7390" s="221"/>
      <c r="I7390" s="221"/>
      <c r="J7390" s="221"/>
      <c r="K7390" s="221"/>
      <c r="L7390" s="221"/>
      <c r="M7390" s="221"/>
    </row>
    <row r="7391" spans="5:13">
      <c r="E7391" s="221"/>
      <c r="F7391" s="221"/>
      <c r="G7391" s="221"/>
      <c r="H7391" s="221"/>
      <c r="I7391" s="221"/>
      <c r="J7391" s="221"/>
      <c r="K7391" s="221"/>
      <c r="L7391" s="221"/>
      <c r="M7391" s="221"/>
    </row>
    <row r="7392" spans="5:13">
      <c r="E7392" s="221"/>
      <c r="F7392" s="221"/>
      <c r="G7392" s="221"/>
      <c r="H7392" s="221"/>
      <c r="I7392" s="221"/>
      <c r="J7392" s="221"/>
      <c r="K7392" s="221"/>
      <c r="L7392" s="221"/>
      <c r="M7392" s="221"/>
    </row>
    <row r="7393" spans="5:13">
      <c r="E7393" s="221"/>
      <c r="F7393" s="221"/>
      <c r="G7393" s="221"/>
      <c r="H7393" s="221"/>
      <c r="I7393" s="221"/>
      <c r="J7393" s="221"/>
      <c r="K7393" s="221"/>
      <c r="L7393" s="221"/>
      <c r="M7393" s="221"/>
    </row>
    <row r="7394" spans="5:13">
      <c r="E7394" s="221"/>
      <c r="F7394" s="221"/>
      <c r="G7394" s="221"/>
      <c r="H7394" s="221"/>
      <c r="I7394" s="221"/>
      <c r="J7394" s="221"/>
      <c r="K7394" s="221"/>
      <c r="L7394" s="221"/>
      <c r="M7394" s="221"/>
    </row>
    <row r="7395" spans="5:13">
      <c r="E7395" s="221"/>
      <c r="F7395" s="221"/>
      <c r="G7395" s="221"/>
      <c r="H7395" s="221"/>
      <c r="I7395" s="221"/>
      <c r="J7395" s="221"/>
      <c r="K7395" s="221"/>
      <c r="L7395" s="221"/>
      <c r="M7395" s="221"/>
    </row>
    <row r="7396" spans="5:13">
      <c r="E7396" s="221"/>
      <c r="F7396" s="221"/>
      <c r="G7396" s="221"/>
      <c r="H7396" s="221"/>
      <c r="I7396" s="221"/>
      <c r="J7396" s="221"/>
      <c r="K7396" s="221"/>
      <c r="L7396" s="221"/>
      <c r="M7396" s="221"/>
    </row>
    <row r="7397" spans="5:13">
      <c r="E7397" s="221"/>
      <c r="F7397" s="221"/>
      <c r="G7397" s="221"/>
      <c r="H7397" s="221"/>
      <c r="I7397" s="221"/>
      <c r="J7397" s="221"/>
      <c r="K7397" s="221"/>
      <c r="L7397" s="221"/>
      <c r="M7397" s="221"/>
    </row>
    <row r="7398" spans="5:13">
      <c r="E7398" s="221"/>
      <c r="F7398" s="221"/>
      <c r="G7398" s="221"/>
      <c r="H7398" s="221"/>
      <c r="I7398" s="221"/>
      <c r="J7398" s="221"/>
      <c r="K7398" s="221"/>
      <c r="L7398" s="221"/>
      <c r="M7398" s="221"/>
    </row>
    <row r="7399" spans="5:13">
      <c r="E7399" s="221"/>
      <c r="F7399" s="221"/>
      <c r="G7399" s="221"/>
      <c r="H7399" s="221"/>
      <c r="I7399" s="221"/>
      <c r="J7399" s="221"/>
      <c r="K7399" s="221"/>
      <c r="L7399" s="221"/>
      <c r="M7399" s="221"/>
    </row>
    <row r="7400" spans="5:13">
      <c r="E7400" s="221"/>
      <c r="F7400" s="221"/>
      <c r="G7400" s="221"/>
      <c r="H7400" s="221"/>
      <c r="I7400" s="221"/>
      <c r="J7400" s="221"/>
      <c r="K7400" s="221"/>
      <c r="L7400" s="221"/>
      <c r="M7400" s="221"/>
    </row>
    <row r="7401" spans="5:13">
      <c r="E7401" s="221"/>
      <c r="F7401" s="221"/>
      <c r="G7401" s="221"/>
      <c r="H7401" s="221"/>
      <c r="I7401" s="221"/>
      <c r="J7401" s="221"/>
      <c r="K7401" s="221"/>
      <c r="L7401" s="221"/>
      <c r="M7401" s="221"/>
    </row>
    <row r="7402" spans="5:13">
      <c r="E7402" s="221"/>
      <c r="F7402" s="221"/>
      <c r="G7402" s="221"/>
      <c r="H7402" s="221"/>
      <c r="I7402" s="221"/>
      <c r="J7402" s="221"/>
      <c r="K7402" s="221"/>
      <c r="L7402" s="221"/>
      <c r="M7402" s="221"/>
    </row>
    <row r="7403" spans="5:13">
      <c r="E7403" s="221"/>
      <c r="F7403" s="221"/>
      <c r="G7403" s="221"/>
      <c r="H7403" s="221"/>
      <c r="I7403" s="221"/>
      <c r="J7403" s="221"/>
      <c r="K7403" s="221"/>
      <c r="L7403" s="221"/>
      <c r="M7403" s="221"/>
    </row>
    <row r="7404" spans="5:13">
      <c r="E7404" s="221"/>
      <c r="F7404" s="221"/>
      <c r="G7404" s="221"/>
      <c r="H7404" s="221"/>
      <c r="I7404" s="221"/>
      <c r="J7404" s="221"/>
      <c r="K7404" s="221"/>
      <c r="L7404" s="221"/>
      <c r="M7404" s="221"/>
    </row>
    <row r="7405" spans="5:13">
      <c r="E7405" s="221"/>
      <c r="F7405" s="221"/>
      <c r="G7405" s="221"/>
      <c r="H7405" s="221"/>
      <c r="I7405" s="221"/>
      <c r="J7405" s="221"/>
      <c r="K7405" s="221"/>
      <c r="L7405" s="221"/>
      <c r="M7405" s="221"/>
    </row>
    <row r="7406" spans="5:13">
      <c r="E7406" s="221"/>
      <c r="F7406" s="221"/>
      <c r="G7406" s="221"/>
      <c r="H7406" s="221"/>
      <c r="I7406" s="221"/>
      <c r="J7406" s="221"/>
      <c r="K7406" s="221"/>
      <c r="L7406" s="221"/>
      <c r="M7406" s="221"/>
    </row>
    <row r="7407" spans="5:13">
      <c r="E7407" s="221"/>
      <c r="F7407" s="221"/>
      <c r="G7407" s="221"/>
      <c r="H7407" s="221"/>
      <c r="I7407" s="221"/>
      <c r="J7407" s="221"/>
      <c r="K7407" s="221"/>
      <c r="L7407" s="221"/>
      <c r="M7407" s="221"/>
    </row>
    <row r="7408" spans="5:13">
      <c r="E7408" s="221"/>
      <c r="F7408" s="221"/>
      <c r="G7408" s="221"/>
      <c r="H7408" s="221"/>
      <c r="I7408" s="221"/>
      <c r="J7408" s="221"/>
      <c r="K7408" s="221"/>
      <c r="L7408" s="221"/>
      <c r="M7408" s="221"/>
    </row>
    <row r="7409" spans="5:13">
      <c r="E7409" s="221"/>
      <c r="F7409" s="221"/>
      <c r="G7409" s="221"/>
      <c r="H7409" s="221"/>
      <c r="I7409" s="221"/>
      <c r="J7409" s="221"/>
      <c r="K7409" s="221"/>
      <c r="L7409" s="221"/>
      <c r="M7409" s="221"/>
    </row>
    <row r="7410" spans="5:13">
      <c r="E7410" s="221"/>
      <c r="F7410" s="221"/>
      <c r="G7410" s="221"/>
      <c r="H7410" s="221"/>
      <c r="I7410" s="221"/>
      <c r="J7410" s="221"/>
      <c r="K7410" s="221"/>
      <c r="L7410" s="221"/>
      <c r="M7410" s="221"/>
    </row>
    <row r="7411" spans="5:13">
      <c r="E7411" s="221"/>
      <c r="F7411" s="221"/>
      <c r="G7411" s="221"/>
      <c r="H7411" s="221"/>
      <c r="I7411" s="221"/>
      <c r="J7411" s="221"/>
      <c r="K7411" s="221"/>
      <c r="L7411" s="221"/>
      <c r="M7411" s="221"/>
    </row>
    <row r="7412" spans="5:13">
      <c r="E7412" s="221"/>
      <c r="F7412" s="221"/>
      <c r="G7412" s="221"/>
      <c r="H7412" s="221"/>
      <c r="I7412" s="221"/>
      <c r="J7412" s="221"/>
      <c r="K7412" s="221"/>
      <c r="L7412" s="221"/>
      <c r="M7412" s="221"/>
    </row>
    <row r="7413" spans="5:13">
      <c r="E7413" s="221"/>
      <c r="F7413" s="221"/>
      <c r="G7413" s="221"/>
      <c r="H7413" s="221"/>
      <c r="I7413" s="221"/>
      <c r="J7413" s="221"/>
      <c r="K7413" s="221"/>
      <c r="L7413" s="221"/>
      <c r="M7413" s="221"/>
    </row>
    <row r="7414" spans="5:13">
      <c r="E7414" s="221"/>
      <c r="F7414" s="221"/>
      <c r="G7414" s="221"/>
      <c r="H7414" s="221"/>
      <c r="I7414" s="221"/>
      <c r="J7414" s="221"/>
      <c r="K7414" s="221"/>
      <c r="L7414" s="221"/>
      <c r="M7414" s="221"/>
    </row>
    <row r="7415" spans="5:13">
      <c r="E7415" s="221"/>
      <c r="F7415" s="221"/>
      <c r="G7415" s="221"/>
      <c r="H7415" s="221"/>
      <c r="I7415" s="221"/>
      <c r="J7415" s="221"/>
      <c r="K7415" s="221"/>
      <c r="L7415" s="221"/>
      <c r="M7415" s="221"/>
    </row>
    <row r="7416" spans="5:13">
      <c r="E7416" s="221"/>
      <c r="F7416" s="221"/>
      <c r="G7416" s="221"/>
      <c r="H7416" s="221"/>
      <c r="I7416" s="221"/>
      <c r="J7416" s="221"/>
      <c r="K7416" s="221"/>
      <c r="L7416" s="221"/>
      <c r="M7416" s="221"/>
    </row>
    <row r="7417" spans="5:13">
      <c r="E7417" s="221"/>
      <c r="F7417" s="221"/>
      <c r="G7417" s="221"/>
      <c r="H7417" s="221"/>
      <c r="I7417" s="221"/>
      <c r="J7417" s="221"/>
      <c r="K7417" s="221"/>
      <c r="L7417" s="221"/>
      <c r="M7417" s="221"/>
    </row>
    <row r="7418" spans="5:13">
      <c r="E7418" s="221"/>
      <c r="F7418" s="221"/>
      <c r="G7418" s="221"/>
      <c r="H7418" s="221"/>
      <c r="I7418" s="221"/>
      <c r="J7418" s="221"/>
      <c r="K7418" s="221"/>
      <c r="L7418" s="221"/>
      <c r="M7418" s="221"/>
    </row>
    <row r="7419" spans="5:13">
      <c r="E7419" s="221"/>
      <c r="F7419" s="221"/>
      <c r="G7419" s="221"/>
      <c r="H7419" s="221"/>
      <c r="I7419" s="221"/>
      <c r="J7419" s="221"/>
      <c r="K7419" s="221"/>
      <c r="L7419" s="221"/>
      <c r="M7419" s="221"/>
    </row>
    <row r="7420" spans="5:13">
      <c r="E7420" s="221"/>
      <c r="F7420" s="221"/>
      <c r="G7420" s="221"/>
      <c r="H7420" s="221"/>
      <c r="I7420" s="221"/>
      <c r="J7420" s="221"/>
      <c r="K7420" s="221"/>
      <c r="L7420" s="221"/>
      <c r="M7420" s="221"/>
    </row>
    <row r="7421" spans="5:13">
      <c r="E7421" s="221"/>
      <c r="F7421" s="221"/>
      <c r="G7421" s="221"/>
      <c r="H7421" s="221"/>
      <c r="I7421" s="221"/>
      <c r="J7421" s="221"/>
      <c r="K7421" s="221"/>
      <c r="L7421" s="221"/>
      <c r="M7421" s="221"/>
    </row>
    <row r="7422" spans="5:13">
      <c r="E7422" s="221"/>
      <c r="F7422" s="221"/>
      <c r="G7422" s="221"/>
      <c r="H7422" s="221"/>
      <c r="I7422" s="221"/>
      <c r="J7422" s="221"/>
      <c r="K7422" s="221"/>
      <c r="L7422" s="221"/>
      <c r="M7422" s="221"/>
    </row>
    <row r="7423" spans="5:13">
      <c r="E7423" s="221"/>
      <c r="F7423" s="221"/>
      <c r="G7423" s="221"/>
      <c r="H7423" s="221"/>
      <c r="I7423" s="221"/>
      <c r="J7423" s="221"/>
      <c r="K7423" s="221"/>
      <c r="L7423" s="221"/>
      <c r="M7423" s="221"/>
    </row>
    <row r="7424" spans="5:13">
      <c r="E7424" s="221"/>
      <c r="F7424" s="221"/>
      <c r="G7424" s="221"/>
      <c r="H7424" s="221"/>
      <c r="I7424" s="221"/>
      <c r="J7424" s="221"/>
      <c r="K7424" s="221"/>
      <c r="L7424" s="221"/>
      <c r="M7424" s="221"/>
    </row>
    <row r="7425" spans="5:13">
      <c r="E7425" s="221"/>
      <c r="F7425" s="221"/>
      <c r="G7425" s="221"/>
      <c r="H7425" s="221"/>
      <c r="I7425" s="221"/>
      <c r="J7425" s="221"/>
      <c r="K7425" s="221"/>
      <c r="L7425" s="221"/>
      <c r="M7425" s="221"/>
    </row>
    <row r="7426" spans="5:13">
      <c r="E7426" s="221"/>
      <c r="F7426" s="221"/>
      <c r="G7426" s="221"/>
      <c r="H7426" s="221"/>
      <c r="I7426" s="221"/>
      <c r="J7426" s="221"/>
      <c r="K7426" s="221"/>
      <c r="L7426" s="221"/>
      <c r="M7426" s="221"/>
    </row>
    <row r="7427" spans="5:13">
      <c r="E7427" s="221"/>
      <c r="F7427" s="221"/>
      <c r="G7427" s="221"/>
      <c r="H7427" s="221"/>
      <c r="I7427" s="221"/>
      <c r="J7427" s="221"/>
      <c r="K7427" s="221"/>
      <c r="L7427" s="221"/>
      <c r="M7427" s="221"/>
    </row>
    <row r="7428" spans="5:13">
      <c r="E7428" s="221"/>
      <c r="F7428" s="221"/>
      <c r="G7428" s="221"/>
      <c r="H7428" s="221"/>
      <c r="I7428" s="221"/>
      <c r="J7428" s="221"/>
      <c r="K7428" s="221"/>
      <c r="L7428" s="221"/>
      <c r="M7428" s="221"/>
    </row>
    <row r="7429" spans="5:13">
      <c r="E7429" s="221"/>
      <c r="F7429" s="221"/>
      <c r="G7429" s="221"/>
      <c r="H7429" s="221"/>
      <c r="I7429" s="221"/>
      <c r="J7429" s="221"/>
      <c r="K7429" s="221"/>
      <c r="L7429" s="221"/>
      <c r="M7429" s="221"/>
    </row>
    <row r="7430" spans="5:13">
      <c r="E7430" s="221"/>
      <c r="F7430" s="221"/>
      <c r="G7430" s="221"/>
      <c r="H7430" s="221"/>
      <c r="I7430" s="221"/>
      <c r="J7430" s="221"/>
      <c r="K7430" s="221"/>
      <c r="L7430" s="221"/>
      <c r="M7430" s="221"/>
    </row>
    <row r="7431" spans="5:13">
      <c r="E7431" s="221"/>
      <c r="F7431" s="221"/>
      <c r="G7431" s="221"/>
      <c r="H7431" s="221"/>
      <c r="I7431" s="221"/>
      <c r="J7431" s="221"/>
      <c r="K7431" s="221"/>
      <c r="L7431" s="221"/>
      <c r="M7431" s="221"/>
    </row>
    <row r="7432" spans="5:13">
      <c r="E7432" s="221"/>
      <c r="F7432" s="221"/>
      <c r="G7432" s="221"/>
      <c r="H7432" s="221"/>
      <c r="I7432" s="221"/>
      <c r="J7432" s="221"/>
      <c r="K7432" s="221"/>
      <c r="L7432" s="221"/>
      <c r="M7432" s="221"/>
    </row>
    <row r="7433" spans="5:13">
      <c r="E7433" s="221"/>
      <c r="F7433" s="221"/>
      <c r="G7433" s="221"/>
      <c r="H7433" s="221"/>
      <c r="I7433" s="221"/>
      <c r="J7433" s="221"/>
      <c r="K7433" s="221"/>
      <c r="L7433" s="221"/>
      <c r="M7433" s="221"/>
    </row>
    <row r="7434" spans="5:13">
      <c r="E7434" s="221"/>
      <c r="F7434" s="221"/>
      <c r="G7434" s="221"/>
      <c r="H7434" s="221"/>
      <c r="I7434" s="221"/>
      <c r="J7434" s="221"/>
      <c r="K7434" s="221"/>
      <c r="L7434" s="221"/>
      <c r="M7434" s="221"/>
    </row>
    <row r="7435" spans="5:13">
      <c r="E7435" s="221"/>
      <c r="F7435" s="221"/>
      <c r="G7435" s="221"/>
      <c r="H7435" s="221"/>
      <c r="I7435" s="221"/>
      <c r="J7435" s="221"/>
      <c r="K7435" s="221"/>
      <c r="L7435" s="221"/>
      <c r="M7435" s="221"/>
    </row>
    <row r="7436" spans="5:13">
      <c r="E7436" s="221"/>
      <c r="F7436" s="221"/>
      <c r="G7436" s="221"/>
      <c r="H7436" s="221"/>
      <c r="I7436" s="221"/>
      <c r="J7436" s="221"/>
      <c r="K7436" s="221"/>
      <c r="L7436" s="221"/>
      <c r="M7436" s="221"/>
    </row>
    <row r="7437" spans="5:13">
      <c r="E7437" s="221"/>
      <c r="F7437" s="221"/>
      <c r="G7437" s="221"/>
      <c r="H7437" s="221"/>
      <c r="I7437" s="221"/>
      <c r="J7437" s="221"/>
      <c r="K7437" s="221"/>
      <c r="L7437" s="221"/>
      <c r="M7437" s="221"/>
    </row>
    <row r="7438" spans="5:13">
      <c r="E7438" s="221"/>
      <c r="F7438" s="221"/>
      <c r="G7438" s="221"/>
      <c r="H7438" s="221"/>
      <c r="I7438" s="221"/>
      <c r="J7438" s="221"/>
      <c r="K7438" s="221"/>
      <c r="L7438" s="221"/>
      <c r="M7438" s="221"/>
    </row>
    <row r="7439" spans="5:13">
      <c r="E7439" s="221"/>
      <c r="F7439" s="221"/>
      <c r="G7439" s="221"/>
      <c r="H7439" s="221"/>
      <c r="I7439" s="221"/>
      <c r="J7439" s="221"/>
      <c r="K7439" s="221"/>
      <c r="L7439" s="221"/>
      <c r="M7439" s="221"/>
    </row>
    <row r="7440" spans="5:13">
      <c r="E7440" s="221"/>
      <c r="F7440" s="221"/>
      <c r="G7440" s="221"/>
      <c r="H7440" s="221"/>
      <c r="I7440" s="221"/>
      <c r="J7440" s="221"/>
      <c r="K7440" s="221"/>
      <c r="L7440" s="221"/>
      <c r="M7440" s="221"/>
    </row>
    <row r="7441" spans="5:13">
      <c r="E7441" s="221"/>
      <c r="F7441" s="221"/>
      <c r="G7441" s="221"/>
      <c r="H7441" s="221"/>
      <c r="I7441" s="221"/>
      <c r="J7441" s="221"/>
      <c r="K7441" s="221"/>
      <c r="L7441" s="221"/>
      <c r="M7441" s="221"/>
    </row>
    <row r="7442" spans="5:13">
      <c r="E7442" s="221"/>
      <c r="F7442" s="221"/>
      <c r="G7442" s="221"/>
      <c r="H7442" s="221"/>
      <c r="I7442" s="221"/>
      <c r="J7442" s="221"/>
      <c r="K7442" s="221"/>
      <c r="L7442" s="221"/>
      <c r="M7442" s="221"/>
    </row>
    <row r="7443" spans="5:13">
      <c r="E7443" s="221"/>
      <c r="F7443" s="221"/>
      <c r="G7443" s="221"/>
      <c r="H7443" s="221"/>
      <c r="I7443" s="221"/>
      <c r="J7443" s="221"/>
      <c r="K7443" s="221"/>
      <c r="L7443" s="221"/>
      <c r="M7443" s="221"/>
    </row>
    <row r="7444" spans="5:13">
      <c r="E7444" s="221"/>
      <c r="F7444" s="221"/>
      <c r="G7444" s="221"/>
      <c r="H7444" s="221"/>
      <c r="I7444" s="221"/>
      <c r="J7444" s="221"/>
      <c r="K7444" s="221"/>
      <c r="L7444" s="221"/>
      <c r="M7444" s="221"/>
    </row>
    <row r="7445" spans="5:13">
      <c r="E7445" s="221"/>
      <c r="F7445" s="221"/>
      <c r="G7445" s="221"/>
      <c r="H7445" s="221"/>
      <c r="I7445" s="221"/>
      <c r="J7445" s="221"/>
      <c r="K7445" s="221"/>
      <c r="L7445" s="221"/>
      <c r="M7445" s="221"/>
    </row>
    <row r="7446" spans="5:13">
      <c r="E7446" s="221"/>
      <c r="F7446" s="221"/>
      <c r="G7446" s="221"/>
      <c r="H7446" s="221"/>
      <c r="I7446" s="221"/>
      <c r="J7446" s="221"/>
      <c r="K7446" s="221"/>
      <c r="L7446" s="221"/>
      <c r="M7446" s="221"/>
    </row>
    <row r="7447" spans="5:13">
      <c r="E7447" s="221"/>
      <c r="F7447" s="221"/>
      <c r="G7447" s="221"/>
      <c r="H7447" s="221"/>
      <c r="I7447" s="221"/>
      <c r="J7447" s="221"/>
      <c r="K7447" s="221"/>
      <c r="L7447" s="221"/>
      <c r="M7447" s="221"/>
    </row>
    <row r="7448" spans="5:13">
      <c r="E7448" s="221"/>
      <c r="F7448" s="221"/>
      <c r="G7448" s="221"/>
      <c r="H7448" s="221"/>
      <c r="I7448" s="221"/>
      <c r="J7448" s="221"/>
      <c r="K7448" s="221"/>
      <c r="L7448" s="221"/>
      <c r="M7448" s="221"/>
    </row>
    <row r="7449" spans="5:13">
      <c r="E7449" s="221"/>
      <c r="F7449" s="221"/>
      <c r="G7449" s="221"/>
      <c r="H7449" s="221"/>
      <c r="I7449" s="221"/>
      <c r="J7449" s="221"/>
      <c r="K7449" s="221"/>
      <c r="L7449" s="221"/>
      <c r="M7449" s="221"/>
    </row>
    <row r="7450" spans="5:13">
      <c r="E7450" s="221"/>
      <c r="F7450" s="221"/>
      <c r="G7450" s="221"/>
      <c r="H7450" s="221"/>
      <c r="I7450" s="221"/>
      <c r="J7450" s="221"/>
      <c r="K7450" s="221"/>
      <c r="L7450" s="221"/>
      <c r="M7450" s="221"/>
    </row>
    <row r="7451" spans="5:13">
      <c r="E7451" s="221"/>
      <c r="F7451" s="221"/>
      <c r="G7451" s="221"/>
      <c r="H7451" s="221"/>
      <c r="I7451" s="221"/>
      <c r="J7451" s="221"/>
      <c r="K7451" s="221"/>
      <c r="L7451" s="221"/>
      <c r="M7451" s="221"/>
    </row>
    <row r="7452" spans="5:13">
      <c r="E7452" s="221"/>
      <c r="F7452" s="221"/>
      <c r="G7452" s="221"/>
      <c r="H7452" s="221"/>
      <c r="I7452" s="221"/>
      <c r="J7452" s="221"/>
      <c r="K7452" s="221"/>
      <c r="L7452" s="221"/>
      <c r="M7452" s="221"/>
    </row>
    <row r="7453" spans="5:13">
      <c r="E7453" s="221"/>
      <c r="F7453" s="221"/>
      <c r="G7453" s="221"/>
      <c r="H7453" s="221"/>
      <c r="I7453" s="221"/>
      <c r="J7453" s="221"/>
      <c r="K7453" s="221"/>
      <c r="L7453" s="221"/>
      <c r="M7453" s="221"/>
    </row>
    <row r="7454" spans="5:13">
      <c r="E7454" s="221"/>
      <c r="F7454" s="221"/>
      <c r="G7454" s="221"/>
      <c r="H7454" s="221"/>
      <c r="I7454" s="221"/>
      <c r="J7454" s="221"/>
      <c r="K7454" s="221"/>
      <c r="L7454" s="221"/>
      <c r="M7454" s="221"/>
    </row>
    <row r="7455" spans="5:13">
      <c r="E7455" s="221"/>
      <c r="F7455" s="221"/>
      <c r="G7455" s="221"/>
      <c r="H7455" s="221"/>
      <c r="I7455" s="221"/>
      <c r="J7455" s="221"/>
      <c r="K7455" s="221"/>
      <c r="L7455" s="221"/>
      <c r="M7455" s="221"/>
    </row>
    <row r="7456" spans="5:13">
      <c r="E7456" s="221"/>
      <c r="F7456" s="221"/>
      <c r="G7456" s="221"/>
      <c r="H7456" s="221"/>
      <c r="I7456" s="221"/>
      <c r="J7456" s="221"/>
      <c r="K7456" s="221"/>
      <c r="L7456" s="221"/>
      <c r="M7456" s="221"/>
    </row>
    <row r="7457" spans="5:13">
      <c r="E7457" s="221"/>
      <c r="F7457" s="221"/>
      <c r="G7457" s="221"/>
      <c r="H7457" s="221"/>
      <c r="I7457" s="221"/>
      <c r="J7457" s="221"/>
      <c r="K7457" s="221"/>
      <c r="L7457" s="221"/>
      <c r="M7457" s="221"/>
    </row>
    <row r="7458" spans="5:13">
      <c r="E7458" s="221"/>
      <c r="F7458" s="221"/>
      <c r="G7458" s="221"/>
      <c r="H7458" s="221"/>
      <c r="I7458" s="221"/>
      <c r="J7458" s="221"/>
      <c r="K7458" s="221"/>
      <c r="L7458" s="221"/>
      <c r="M7458" s="221"/>
    </row>
    <row r="7459" spans="5:13">
      <c r="E7459" s="221"/>
      <c r="F7459" s="221"/>
      <c r="G7459" s="221"/>
      <c r="H7459" s="221"/>
      <c r="I7459" s="221"/>
      <c r="J7459" s="221"/>
      <c r="K7459" s="221"/>
      <c r="L7459" s="221"/>
      <c r="M7459" s="221"/>
    </row>
    <row r="7460" spans="5:13">
      <c r="E7460" s="221"/>
      <c r="F7460" s="221"/>
      <c r="G7460" s="221"/>
      <c r="H7460" s="221"/>
      <c r="I7460" s="221"/>
      <c r="J7460" s="221"/>
      <c r="K7460" s="221"/>
      <c r="L7460" s="221"/>
      <c r="M7460" s="221"/>
    </row>
    <row r="7461" spans="5:13">
      <c r="E7461" s="221"/>
      <c r="F7461" s="221"/>
      <c r="G7461" s="221"/>
      <c r="H7461" s="221"/>
      <c r="I7461" s="221"/>
      <c r="J7461" s="221"/>
      <c r="K7461" s="221"/>
      <c r="L7461" s="221"/>
      <c r="M7461" s="221"/>
    </row>
    <row r="7462" spans="5:13">
      <c r="E7462" s="221"/>
      <c r="F7462" s="221"/>
      <c r="G7462" s="221"/>
      <c r="H7462" s="221"/>
      <c r="I7462" s="221"/>
      <c r="J7462" s="221"/>
      <c r="K7462" s="221"/>
      <c r="L7462" s="221"/>
      <c r="M7462" s="221"/>
    </row>
    <row r="7463" spans="5:13">
      <c r="E7463" s="221"/>
      <c r="F7463" s="221"/>
      <c r="G7463" s="221"/>
      <c r="H7463" s="221"/>
      <c r="I7463" s="221"/>
      <c r="J7463" s="221"/>
      <c r="K7463" s="221"/>
      <c r="L7463" s="221"/>
      <c r="M7463" s="221"/>
    </row>
    <row r="7464" spans="5:13">
      <c r="E7464" s="221"/>
      <c r="F7464" s="221"/>
      <c r="G7464" s="221"/>
      <c r="H7464" s="221"/>
      <c r="I7464" s="221"/>
      <c r="J7464" s="221"/>
      <c r="K7464" s="221"/>
      <c r="L7464" s="221"/>
      <c r="M7464" s="221"/>
    </row>
    <row r="7465" spans="5:13">
      <c r="E7465" s="221"/>
      <c r="F7465" s="221"/>
      <c r="G7465" s="221"/>
      <c r="H7465" s="221"/>
      <c r="I7465" s="221"/>
      <c r="J7465" s="221"/>
      <c r="K7465" s="221"/>
      <c r="L7465" s="221"/>
      <c r="M7465" s="221"/>
    </row>
    <row r="7466" spans="5:13">
      <c r="E7466" s="221"/>
      <c r="F7466" s="221"/>
      <c r="G7466" s="221"/>
      <c r="H7466" s="221"/>
      <c r="I7466" s="221"/>
      <c r="J7466" s="221"/>
      <c r="K7466" s="221"/>
      <c r="L7466" s="221"/>
      <c r="M7466" s="221"/>
    </row>
    <row r="7467" spans="5:13">
      <c r="E7467" s="221"/>
      <c r="F7467" s="221"/>
      <c r="G7467" s="221"/>
      <c r="H7467" s="221"/>
      <c r="I7467" s="221"/>
      <c r="J7467" s="221"/>
      <c r="K7467" s="221"/>
      <c r="L7467" s="221"/>
      <c r="M7467" s="221"/>
    </row>
    <row r="7468" spans="5:13">
      <c r="E7468" s="221"/>
      <c r="F7468" s="221"/>
      <c r="G7468" s="221"/>
      <c r="H7468" s="221"/>
      <c r="I7468" s="221"/>
      <c r="J7468" s="221"/>
      <c r="K7468" s="221"/>
      <c r="L7468" s="221"/>
      <c r="M7468" s="221"/>
    </row>
    <row r="7469" spans="5:13">
      <c r="E7469" s="221"/>
      <c r="F7469" s="221"/>
      <c r="G7469" s="221"/>
      <c r="H7469" s="221"/>
      <c r="I7469" s="221"/>
      <c r="J7469" s="221"/>
      <c r="K7469" s="221"/>
      <c r="L7469" s="221"/>
      <c r="M7469" s="221"/>
    </row>
    <row r="7470" spans="5:13">
      <c r="E7470" s="221"/>
      <c r="F7470" s="221"/>
      <c r="G7470" s="221"/>
      <c r="H7470" s="221"/>
      <c r="I7470" s="221"/>
      <c r="J7470" s="221"/>
      <c r="K7470" s="221"/>
      <c r="L7470" s="221"/>
      <c r="M7470" s="221"/>
    </row>
    <row r="7471" spans="5:13">
      <c r="E7471" s="221"/>
      <c r="F7471" s="221"/>
      <c r="G7471" s="221"/>
      <c r="H7471" s="221"/>
      <c r="I7471" s="221"/>
      <c r="J7471" s="221"/>
      <c r="K7471" s="221"/>
      <c r="L7471" s="221"/>
      <c r="M7471" s="221"/>
    </row>
    <row r="7472" spans="5:13">
      <c r="E7472" s="221"/>
      <c r="F7472" s="221"/>
      <c r="G7472" s="221"/>
      <c r="H7472" s="221"/>
      <c r="I7472" s="221"/>
      <c r="J7472" s="221"/>
      <c r="K7472" s="221"/>
      <c r="L7472" s="221"/>
      <c r="M7472" s="221"/>
    </row>
    <row r="7473" spans="5:13">
      <c r="E7473" s="221"/>
      <c r="F7473" s="221"/>
      <c r="G7473" s="221"/>
      <c r="H7473" s="221"/>
      <c r="I7473" s="221"/>
      <c r="J7473" s="221"/>
      <c r="K7473" s="221"/>
      <c r="L7473" s="221"/>
      <c r="M7473" s="221"/>
    </row>
    <row r="7474" spans="5:13">
      <c r="E7474" s="221"/>
      <c r="F7474" s="221"/>
      <c r="G7474" s="221"/>
      <c r="H7474" s="221"/>
      <c r="I7474" s="221"/>
      <c r="J7474" s="221"/>
      <c r="K7474" s="221"/>
      <c r="L7474" s="221"/>
      <c r="M7474" s="221"/>
    </row>
    <row r="7475" spans="5:13">
      <c r="E7475" s="221"/>
      <c r="F7475" s="221"/>
      <c r="G7475" s="221"/>
      <c r="H7475" s="221"/>
      <c r="I7475" s="221"/>
      <c r="J7475" s="221"/>
      <c r="K7475" s="221"/>
      <c r="L7475" s="221"/>
      <c r="M7475" s="221"/>
    </row>
    <row r="7476" spans="5:13">
      <c r="E7476" s="221"/>
      <c r="F7476" s="221"/>
      <c r="G7476" s="221"/>
      <c r="H7476" s="221"/>
      <c r="I7476" s="221"/>
      <c r="J7476" s="221"/>
      <c r="K7476" s="221"/>
      <c r="L7476" s="221"/>
      <c r="M7476" s="221"/>
    </row>
    <row r="7477" spans="5:13">
      <c r="E7477" s="221"/>
      <c r="F7477" s="221"/>
      <c r="G7477" s="221"/>
      <c r="H7477" s="221"/>
      <c r="I7477" s="221"/>
      <c r="J7477" s="221"/>
      <c r="K7477" s="221"/>
      <c r="L7477" s="221"/>
      <c r="M7477" s="221"/>
    </row>
    <row r="7478" spans="5:13">
      <c r="E7478" s="221"/>
      <c r="F7478" s="221"/>
      <c r="G7478" s="221"/>
      <c r="H7478" s="221"/>
      <c r="I7478" s="221"/>
      <c r="J7478" s="221"/>
      <c r="K7478" s="221"/>
      <c r="L7478" s="221"/>
      <c r="M7478" s="221"/>
    </row>
    <row r="7479" spans="5:13">
      <c r="E7479" s="221"/>
      <c r="F7479" s="221"/>
      <c r="G7479" s="221"/>
      <c r="H7479" s="221"/>
      <c r="I7479" s="221"/>
      <c r="J7479" s="221"/>
      <c r="K7479" s="221"/>
      <c r="L7479" s="221"/>
      <c r="M7479" s="221"/>
    </row>
    <row r="7480" spans="5:13">
      <c r="E7480" s="221"/>
      <c r="F7480" s="221"/>
      <c r="G7480" s="221"/>
      <c r="H7480" s="221"/>
      <c r="I7480" s="221"/>
      <c r="J7480" s="221"/>
      <c r="K7480" s="221"/>
      <c r="L7480" s="221"/>
      <c r="M7480" s="221"/>
    </row>
    <row r="7481" spans="5:13">
      <c r="E7481" s="221"/>
      <c r="F7481" s="221"/>
      <c r="G7481" s="221"/>
      <c r="H7481" s="221"/>
      <c r="I7481" s="221"/>
      <c r="J7481" s="221"/>
      <c r="K7481" s="221"/>
      <c r="L7481" s="221"/>
      <c r="M7481" s="221"/>
    </row>
    <row r="7482" spans="5:13">
      <c r="E7482" s="221"/>
      <c r="F7482" s="221"/>
      <c r="G7482" s="221"/>
      <c r="H7482" s="221"/>
      <c r="I7482" s="221"/>
      <c r="J7482" s="221"/>
      <c r="K7482" s="221"/>
      <c r="L7482" s="221"/>
      <c r="M7482" s="221"/>
    </row>
    <row r="7483" spans="5:13">
      <c r="E7483" s="221"/>
      <c r="F7483" s="221"/>
      <c r="G7483" s="221"/>
      <c r="H7483" s="221"/>
      <c r="I7483" s="221"/>
      <c r="J7483" s="221"/>
      <c r="K7483" s="221"/>
      <c r="L7483" s="221"/>
      <c r="M7483" s="221"/>
    </row>
    <row r="7484" spans="5:13">
      <c r="E7484" s="221"/>
      <c r="F7484" s="221"/>
      <c r="G7484" s="221"/>
      <c r="H7484" s="221"/>
      <c r="I7484" s="221"/>
      <c r="J7484" s="221"/>
      <c r="K7484" s="221"/>
      <c r="L7484" s="221"/>
      <c r="M7484" s="221"/>
    </row>
    <row r="7485" spans="5:13">
      <c r="E7485" s="221"/>
      <c r="F7485" s="221"/>
      <c r="G7485" s="221"/>
      <c r="H7485" s="221"/>
      <c r="I7485" s="221"/>
      <c r="J7485" s="221"/>
      <c r="K7485" s="221"/>
      <c r="L7485" s="221"/>
      <c r="M7485" s="221"/>
    </row>
    <row r="7486" spans="5:13">
      <c r="E7486" s="221"/>
      <c r="F7486" s="221"/>
      <c r="G7486" s="221"/>
      <c r="H7486" s="221"/>
      <c r="I7486" s="221"/>
      <c r="J7486" s="221"/>
      <c r="K7486" s="221"/>
      <c r="L7486" s="221"/>
      <c r="M7486" s="221"/>
    </row>
    <row r="7487" spans="5:13">
      <c r="E7487" s="221"/>
      <c r="F7487" s="221"/>
      <c r="G7487" s="221"/>
      <c r="H7487" s="221"/>
      <c r="I7487" s="221"/>
      <c r="J7487" s="221"/>
      <c r="K7487" s="221"/>
      <c r="L7487" s="221"/>
      <c r="M7487" s="221"/>
    </row>
    <row r="7488" spans="5:13">
      <c r="E7488" s="221"/>
      <c r="F7488" s="221"/>
      <c r="G7488" s="221"/>
      <c r="H7488" s="221"/>
      <c r="I7488" s="221"/>
      <c r="J7488" s="221"/>
      <c r="K7488" s="221"/>
      <c r="L7488" s="221"/>
      <c r="M7488" s="221"/>
    </row>
    <row r="7489" spans="5:13">
      <c r="E7489" s="221"/>
      <c r="F7489" s="221"/>
      <c r="G7489" s="221"/>
      <c r="H7489" s="221"/>
      <c r="I7489" s="221"/>
      <c r="J7489" s="221"/>
      <c r="K7489" s="221"/>
      <c r="L7489" s="221"/>
      <c r="M7489" s="221"/>
    </row>
    <row r="7490" spans="5:13">
      <c r="E7490" s="221"/>
      <c r="F7490" s="221"/>
      <c r="G7490" s="221"/>
      <c r="H7490" s="221"/>
      <c r="I7490" s="221"/>
      <c r="J7490" s="221"/>
      <c r="K7490" s="221"/>
      <c r="L7490" s="221"/>
      <c r="M7490" s="221"/>
    </row>
    <row r="7491" spans="5:13">
      <c r="E7491" s="221"/>
      <c r="F7491" s="221"/>
      <c r="G7491" s="221"/>
      <c r="H7491" s="221"/>
      <c r="I7491" s="221"/>
      <c r="J7491" s="221"/>
      <c r="K7491" s="221"/>
      <c r="L7491" s="221"/>
      <c r="M7491" s="221"/>
    </row>
    <row r="7492" spans="5:13">
      <c r="E7492" s="221"/>
      <c r="F7492" s="221"/>
      <c r="G7492" s="221"/>
      <c r="H7492" s="221"/>
      <c r="I7492" s="221"/>
      <c r="J7492" s="221"/>
      <c r="K7492" s="221"/>
      <c r="L7492" s="221"/>
      <c r="M7492" s="221"/>
    </row>
    <row r="7493" spans="5:13">
      <c r="E7493" s="221"/>
      <c r="F7493" s="221"/>
      <c r="G7493" s="221"/>
      <c r="H7493" s="221"/>
      <c r="I7493" s="221"/>
      <c r="J7493" s="221"/>
      <c r="K7493" s="221"/>
      <c r="L7493" s="221"/>
      <c r="M7493" s="221"/>
    </row>
    <row r="7494" spans="5:13">
      <c r="E7494" s="221"/>
      <c r="F7494" s="221"/>
      <c r="G7494" s="221"/>
      <c r="H7494" s="221"/>
      <c r="I7494" s="221"/>
      <c r="J7494" s="221"/>
      <c r="K7494" s="221"/>
      <c r="L7494" s="221"/>
      <c r="M7494" s="221"/>
    </row>
    <row r="7495" spans="5:13">
      <c r="E7495" s="221"/>
      <c r="F7495" s="221"/>
      <c r="G7495" s="221"/>
      <c r="H7495" s="221"/>
      <c r="I7495" s="221"/>
      <c r="J7495" s="221"/>
      <c r="K7495" s="221"/>
      <c r="L7495" s="221"/>
      <c r="M7495" s="221"/>
    </row>
    <row r="7496" spans="5:13">
      <c r="E7496" s="221"/>
      <c r="F7496" s="221"/>
      <c r="G7496" s="221"/>
      <c r="H7496" s="221"/>
      <c r="I7496" s="221"/>
      <c r="J7496" s="221"/>
      <c r="K7496" s="221"/>
      <c r="L7496" s="221"/>
      <c r="M7496" s="221"/>
    </row>
    <row r="7497" spans="5:13">
      <c r="E7497" s="221"/>
      <c r="F7497" s="221"/>
      <c r="G7497" s="221"/>
      <c r="H7497" s="221"/>
      <c r="I7497" s="221"/>
      <c r="J7497" s="221"/>
      <c r="K7497" s="221"/>
      <c r="L7497" s="221"/>
      <c r="M7497" s="221"/>
    </row>
    <row r="7498" spans="5:13">
      <c r="E7498" s="221"/>
      <c r="F7498" s="221"/>
      <c r="G7498" s="221"/>
      <c r="H7498" s="221"/>
      <c r="I7498" s="221"/>
      <c r="J7498" s="221"/>
      <c r="K7498" s="221"/>
      <c r="L7498" s="221"/>
      <c r="M7498" s="221"/>
    </row>
    <row r="7499" spans="5:13">
      <c r="E7499" s="221"/>
      <c r="F7499" s="221"/>
      <c r="G7499" s="221"/>
      <c r="H7499" s="221"/>
      <c r="I7499" s="221"/>
      <c r="J7499" s="221"/>
      <c r="K7499" s="221"/>
      <c r="L7499" s="221"/>
      <c r="M7499" s="221"/>
    </row>
    <row r="7500" spans="5:13">
      <c r="E7500" s="221"/>
      <c r="F7500" s="221"/>
      <c r="G7500" s="221"/>
      <c r="H7500" s="221"/>
      <c r="I7500" s="221"/>
      <c r="J7500" s="221"/>
      <c r="K7500" s="221"/>
      <c r="L7500" s="221"/>
      <c r="M7500" s="221"/>
    </row>
    <row r="7501" spans="5:13">
      <c r="E7501" s="221"/>
      <c r="F7501" s="221"/>
      <c r="G7501" s="221"/>
      <c r="H7501" s="221"/>
      <c r="I7501" s="221"/>
      <c r="J7501" s="221"/>
      <c r="K7501" s="221"/>
      <c r="L7501" s="221"/>
      <c r="M7501" s="221"/>
    </row>
    <row r="7502" spans="5:13">
      <c r="E7502" s="221"/>
      <c r="F7502" s="221"/>
      <c r="G7502" s="221"/>
      <c r="H7502" s="221"/>
      <c r="I7502" s="221"/>
      <c r="J7502" s="221"/>
      <c r="K7502" s="221"/>
      <c r="L7502" s="221"/>
      <c r="M7502" s="221"/>
    </row>
    <row r="7503" spans="5:13">
      <c r="E7503" s="221"/>
      <c r="F7503" s="221"/>
      <c r="G7503" s="221"/>
      <c r="H7503" s="221"/>
      <c r="I7503" s="221"/>
      <c r="J7503" s="221"/>
      <c r="K7503" s="221"/>
      <c r="L7503" s="221"/>
      <c r="M7503" s="221"/>
    </row>
    <row r="7504" spans="5:13">
      <c r="E7504" s="221"/>
      <c r="F7504" s="221"/>
      <c r="G7504" s="221"/>
      <c r="H7504" s="221"/>
      <c r="I7504" s="221"/>
      <c r="J7504" s="221"/>
      <c r="K7504" s="221"/>
      <c r="L7504" s="221"/>
      <c r="M7504" s="221"/>
    </row>
    <row r="7505" spans="5:13">
      <c r="E7505" s="221"/>
      <c r="F7505" s="221"/>
      <c r="G7505" s="221"/>
      <c r="H7505" s="221"/>
      <c r="I7505" s="221"/>
      <c r="J7505" s="221"/>
      <c r="K7505" s="221"/>
      <c r="L7505" s="221"/>
      <c r="M7505" s="221"/>
    </row>
    <row r="7506" spans="5:13">
      <c r="E7506" s="221"/>
      <c r="F7506" s="221"/>
      <c r="G7506" s="221"/>
      <c r="H7506" s="221"/>
      <c r="I7506" s="221"/>
      <c r="J7506" s="221"/>
      <c r="K7506" s="221"/>
      <c r="L7506" s="221"/>
      <c r="M7506" s="221"/>
    </row>
    <row r="7507" spans="5:13">
      <c r="E7507" s="221"/>
      <c r="F7507" s="221"/>
      <c r="G7507" s="221"/>
      <c r="H7507" s="221"/>
      <c r="I7507" s="221"/>
      <c r="J7507" s="221"/>
      <c r="K7507" s="221"/>
      <c r="L7507" s="221"/>
      <c r="M7507" s="221"/>
    </row>
    <row r="7508" spans="5:13">
      <c r="E7508" s="221"/>
      <c r="F7508" s="221"/>
      <c r="G7508" s="221"/>
      <c r="H7508" s="221"/>
      <c r="I7508" s="221"/>
      <c r="J7508" s="221"/>
      <c r="K7508" s="221"/>
      <c r="L7508" s="221"/>
      <c r="M7508" s="221"/>
    </row>
    <row r="7509" spans="5:13">
      <c r="E7509" s="221"/>
      <c r="F7509" s="221"/>
      <c r="G7509" s="221"/>
      <c r="H7509" s="221"/>
      <c r="I7509" s="221"/>
      <c r="J7509" s="221"/>
      <c r="K7509" s="221"/>
      <c r="L7509" s="221"/>
      <c r="M7509" s="221"/>
    </row>
    <row r="7510" spans="5:13">
      <c r="E7510" s="221"/>
      <c r="F7510" s="221"/>
      <c r="G7510" s="221"/>
      <c r="H7510" s="221"/>
      <c r="I7510" s="221"/>
      <c r="J7510" s="221"/>
      <c r="K7510" s="221"/>
      <c r="L7510" s="221"/>
      <c r="M7510" s="221"/>
    </row>
    <row r="7511" spans="5:13">
      <c r="E7511" s="221"/>
      <c r="F7511" s="221"/>
      <c r="G7511" s="221"/>
      <c r="H7511" s="221"/>
      <c r="I7511" s="221"/>
      <c r="J7511" s="221"/>
      <c r="K7511" s="221"/>
      <c r="L7511" s="221"/>
      <c r="M7511" s="221"/>
    </row>
    <row r="7512" spans="5:13">
      <c r="E7512" s="221"/>
      <c r="F7512" s="221"/>
      <c r="G7512" s="221"/>
      <c r="H7512" s="221"/>
      <c r="I7512" s="221"/>
      <c r="J7512" s="221"/>
      <c r="K7512" s="221"/>
      <c r="L7512" s="221"/>
      <c r="M7512" s="221"/>
    </row>
    <row r="7513" spans="5:13">
      <c r="E7513" s="221"/>
      <c r="F7513" s="221"/>
      <c r="G7513" s="221"/>
      <c r="H7513" s="221"/>
      <c r="I7513" s="221"/>
      <c r="J7513" s="221"/>
      <c r="K7513" s="221"/>
      <c r="L7513" s="221"/>
      <c r="M7513" s="221"/>
    </row>
    <row r="7514" spans="5:13">
      <c r="E7514" s="221"/>
      <c r="F7514" s="221"/>
      <c r="G7514" s="221"/>
      <c r="H7514" s="221"/>
      <c r="I7514" s="221"/>
      <c r="J7514" s="221"/>
      <c r="K7514" s="221"/>
      <c r="L7514" s="221"/>
      <c r="M7514" s="221"/>
    </row>
    <row r="7515" spans="5:13">
      <c r="E7515" s="221"/>
      <c r="F7515" s="221"/>
      <c r="G7515" s="221"/>
      <c r="H7515" s="221"/>
      <c r="I7515" s="221"/>
      <c r="J7515" s="221"/>
      <c r="K7515" s="221"/>
      <c r="L7515" s="221"/>
      <c r="M7515" s="221"/>
    </row>
    <row r="7516" spans="5:13">
      <c r="E7516" s="221"/>
      <c r="F7516" s="221"/>
      <c r="G7516" s="221"/>
      <c r="H7516" s="221"/>
      <c r="I7516" s="221"/>
      <c r="J7516" s="221"/>
      <c r="K7516" s="221"/>
      <c r="L7516" s="221"/>
      <c r="M7516" s="221"/>
    </row>
    <row r="7517" spans="5:13">
      <c r="E7517" s="221"/>
      <c r="F7517" s="221"/>
      <c r="G7517" s="221"/>
      <c r="H7517" s="221"/>
      <c r="I7517" s="221"/>
      <c r="J7517" s="221"/>
      <c r="K7517" s="221"/>
      <c r="L7517" s="221"/>
      <c r="M7517" s="221"/>
    </row>
    <row r="7518" spans="5:13">
      <c r="E7518" s="221"/>
      <c r="F7518" s="221"/>
      <c r="G7518" s="221"/>
      <c r="H7518" s="221"/>
      <c r="I7518" s="221"/>
      <c r="J7518" s="221"/>
      <c r="K7518" s="221"/>
      <c r="L7518" s="221"/>
      <c r="M7518" s="221"/>
    </row>
    <row r="7519" spans="5:13">
      <c r="E7519" s="221"/>
      <c r="F7519" s="221"/>
      <c r="G7519" s="221"/>
      <c r="H7519" s="221"/>
      <c r="I7519" s="221"/>
      <c r="J7519" s="221"/>
      <c r="K7519" s="221"/>
      <c r="L7519" s="221"/>
      <c r="M7519" s="221"/>
    </row>
    <row r="7520" spans="5:13">
      <c r="E7520" s="221"/>
      <c r="F7520" s="221"/>
      <c r="G7520" s="221"/>
      <c r="H7520" s="221"/>
      <c r="I7520" s="221"/>
      <c r="J7520" s="221"/>
      <c r="K7520" s="221"/>
      <c r="L7520" s="221"/>
      <c r="M7520" s="221"/>
    </row>
    <row r="7521" spans="5:13">
      <c r="E7521" s="221"/>
      <c r="F7521" s="221"/>
      <c r="G7521" s="221"/>
      <c r="H7521" s="221"/>
      <c r="I7521" s="221"/>
      <c r="J7521" s="221"/>
      <c r="K7521" s="221"/>
      <c r="L7521" s="221"/>
      <c r="M7521" s="221"/>
    </row>
    <row r="7522" spans="5:13">
      <c r="E7522" s="221"/>
      <c r="F7522" s="221"/>
      <c r="G7522" s="221"/>
      <c r="H7522" s="221"/>
      <c r="I7522" s="221"/>
      <c r="J7522" s="221"/>
      <c r="K7522" s="221"/>
      <c r="L7522" s="221"/>
      <c r="M7522" s="221"/>
    </row>
    <row r="7523" spans="5:13">
      <c r="E7523" s="221"/>
      <c r="F7523" s="221"/>
      <c r="G7523" s="221"/>
      <c r="H7523" s="221"/>
      <c r="I7523" s="221"/>
      <c r="J7523" s="221"/>
      <c r="K7523" s="221"/>
      <c r="L7523" s="221"/>
      <c r="M7523" s="221"/>
    </row>
    <row r="7524" spans="5:13">
      <c r="E7524" s="221"/>
      <c r="F7524" s="221"/>
      <c r="G7524" s="221"/>
      <c r="H7524" s="221"/>
      <c r="I7524" s="221"/>
      <c r="J7524" s="221"/>
      <c r="K7524" s="221"/>
      <c r="L7524" s="221"/>
      <c r="M7524" s="221"/>
    </row>
    <row r="7525" spans="5:13">
      <c r="E7525" s="221"/>
      <c r="F7525" s="221"/>
      <c r="G7525" s="221"/>
      <c r="H7525" s="221"/>
      <c r="I7525" s="221"/>
      <c r="J7525" s="221"/>
      <c r="K7525" s="221"/>
      <c r="L7525" s="221"/>
      <c r="M7525" s="221"/>
    </row>
    <row r="7526" spans="5:13">
      <c r="E7526" s="221"/>
      <c r="F7526" s="221"/>
      <c r="G7526" s="221"/>
      <c r="H7526" s="221"/>
      <c r="I7526" s="221"/>
      <c r="J7526" s="221"/>
      <c r="K7526" s="221"/>
      <c r="L7526" s="221"/>
      <c r="M7526" s="221"/>
    </row>
    <row r="7527" spans="5:13">
      <c r="E7527" s="221"/>
      <c r="F7527" s="221"/>
      <c r="G7527" s="221"/>
      <c r="H7527" s="221"/>
      <c r="I7527" s="221"/>
      <c r="J7527" s="221"/>
      <c r="K7527" s="221"/>
      <c r="L7527" s="221"/>
      <c r="M7527" s="221"/>
    </row>
    <row r="7528" spans="5:13">
      <c r="E7528" s="221"/>
      <c r="F7528" s="221"/>
      <c r="G7528" s="221"/>
      <c r="H7528" s="221"/>
      <c r="I7528" s="221"/>
      <c r="J7528" s="221"/>
      <c r="K7528" s="221"/>
      <c r="L7528" s="221"/>
      <c r="M7528" s="221"/>
    </row>
    <row r="7529" spans="5:13">
      <c r="E7529" s="221"/>
      <c r="F7529" s="221"/>
      <c r="G7529" s="221"/>
      <c r="H7529" s="221"/>
      <c r="I7529" s="221"/>
      <c r="J7529" s="221"/>
      <c r="K7529" s="221"/>
      <c r="L7529" s="221"/>
      <c r="M7529" s="221"/>
    </row>
    <row r="7530" spans="5:13">
      <c r="E7530" s="221"/>
      <c r="F7530" s="221"/>
      <c r="G7530" s="221"/>
      <c r="H7530" s="221"/>
      <c r="I7530" s="221"/>
      <c r="J7530" s="221"/>
      <c r="K7530" s="221"/>
      <c r="L7530" s="221"/>
      <c r="M7530" s="221"/>
    </row>
    <row r="7531" spans="5:13">
      <c r="E7531" s="221"/>
      <c r="F7531" s="221"/>
      <c r="G7531" s="221"/>
      <c r="H7531" s="221"/>
      <c r="I7531" s="221"/>
      <c r="J7531" s="221"/>
      <c r="K7531" s="221"/>
      <c r="L7531" s="221"/>
      <c r="M7531" s="221"/>
    </row>
    <row r="7532" spans="5:13">
      <c r="E7532" s="221"/>
      <c r="F7532" s="221"/>
      <c r="G7532" s="221"/>
      <c r="H7532" s="221"/>
      <c r="I7532" s="221"/>
      <c r="J7532" s="221"/>
      <c r="K7532" s="221"/>
      <c r="L7532" s="221"/>
      <c r="M7532" s="221"/>
    </row>
    <row r="7533" spans="5:13">
      <c r="E7533" s="221"/>
      <c r="F7533" s="221"/>
      <c r="G7533" s="221"/>
      <c r="H7533" s="221"/>
      <c r="I7533" s="221"/>
      <c r="J7533" s="221"/>
      <c r="K7533" s="221"/>
      <c r="L7533" s="221"/>
      <c r="M7533" s="221"/>
    </row>
    <row r="7534" spans="5:13">
      <c r="E7534" s="221"/>
      <c r="F7534" s="221"/>
      <c r="G7534" s="221"/>
      <c r="H7534" s="221"/>
      <c r="I7534" s="221"/>
      <c r="J7534" s="221"/>
      <c r="K7534" s="221"/>
      <c r="L7534" s="221"/>
      <c r="M7534" s="221"/>
    </row>
    <row r="7535" spans="5:13">
      <c r="E7535" s="221"/>
      <c r="F7535" s="221"/>
      <c r="G7535" s="221"/>
      <c r="H7535" s="221"/>
      <c r="I7535" s="221"/>
      <c r="J7535" s="221"/>
      <c r="K7535" s="221"/>
      <c r="L7535" s="221"/>
      <c r="M7535" s="221"/>
    </row>
    <row r="7536" spans="5:13">
      <c r="E7536" s="221"/>
      <c r="F7536" s="221"/>
      <c r="G7536" s="221"/>
      <c r="H7536" s="221"/>
      <c r="I7536" s="221"/>
      <c r="J7536" s="221"/>
      <c r="K7536" s="221"/>
      <c r="L7536" s="221"/>
      <c r="M7536" s="221"/>
    </row>
    <row r="7537" spans="5:13">
      <c r="E7537" s="221"/>
      <c r="F7537" s="221"/>
      <c r="G7537" s="221"/>
      <c r="H7537" s="221"/>
      <c r="I7537" s="221"/>
      <c r="J7537" s="221"/>
      <c r="K7537" s="221"/>
      <c r="L7537" s="221"/>
      <c r="M7537" s="221"/>
    </row>
    <row r="7538" spans="5:13">
      <c r="E7538" s="221"/>
      <c r="F7538" s="221"/>
      <c r="G7538" s="221"/>
      <c r="H7538" s="221"/>
      <c r="I7538" s="221"/>
      <c r="J7538" s="221"/>
      <c r="K7538" s="221"/>
      <c r="L7538" s="221"/>
      <c r="M7538" s="221"/>
    </row>
    <row r="7539" spans="5:13">
      <c r="E7539" s="221"/>
      <c r="F7539" s="221"/>
      <c r="G7539" s="221"/>
      <c r="H7539" s="221"/>
      <c r="I7539" s="221"/>
      <c r="J7539" s="221"/>
      <c r="K7539" s="221"/>
      <c r="L7539" s="221"/>
      <c r="M7539" s="221"/>
    </row>
    <row r="7540" spans="5:13">
      <c r="E7540" s="221"/>
      <c r="F7540" s="221"/>
      <c r="G7540" s="221"/>
      <c r="H7540" s="221"/>
      <c r="I7540" s="221"/>
      <c r="J7540" s="221"/>
      <c r="K7540" s="221"/>
      <c r="L7540" s="221"/>
      <c r="M7540" s="221"/>
    </row>
    <row r="7541" spans="5:13">
      <c r="E7541" s="221"/>
      <c r="F7541" s="221"/>
      <c r="G7541" s="221"/>
      <c r="H7541" s="221"/>
      <c r="I7541" s="221"/>
      <c r="J7541" s="221"/>
      <c r="K7541" s="221"/>
      <c r="L7541" s="221"/>
      <c r="M7541" s="221"/>
    </row>
    <row r="7542" spans="5:13">
      <c r="E7542" s="221"/>
      <c r="F7542" s="221"/>
      <c r="G7542" s="221"/>
      <c r="H7542" s="221"/>
      <c r="I7542" s="221"/>
      <c r="J7542" s="221"/>
      <c r="K7542" s="221"/>
      <c r="L7542" s="221"/>
      <c r="M7542" s="221"/>
    </row>
    <row r="7543" spans="5:13">
      <c r="E7543" s="221"/>
      <c r="F7543" s="221"/>
      <c r="G7543" s="221"/>
      <c r="H7543" s="221"/>
      <c r="I7543" s="221"/>
      <c r="J7543" s="221"/>
      <c r="K7543" s="221"/>
      <c r="L7543" s="221"/>
      <c r="M7543" s="221"/>
    </row>
    <row r="7544" spans="5:13">
      <c r="E7544" s="221"/>
      <c r="F7544" s="221"/>
      <c r="G7544" s="221"/>
      <c r="H7544" s="221"/>
      <c r="I7544" s="221"/>
      <c r="J7544" s="221"/>
      <c r="K7544" s="221"/>
      <c r="L7544" s="221"/>
      <c r="M7544" s="221"/>
    </row>
    <row r="7545" spans="5:13">
      <c r="E7545" s="221"/>
      <c r="F7545" s="221"/>
      <c r="G7545" s="221"/>
      <c r="H7545" s="221"/>
      <c r="I7545" s="221"/>
      <c r="J7545" s="221"/>
      <c r="K7545" s="221"/>
      <c r="L7545" s="221"/>
      <c r="M7545" s="221"/>
    </row>
    <row r="7546" spans="5:13">
      <c r="E7546" s="221"/>
      <c r="F7546" s="221"/>
      <c r="G7546" s="221"/>
      <c r="H7546" s="221"/>
      <c r="I7546" s="221"/>
      <c r="J7546" s="221"/>
      <c r="K7546" s="221"/>
      <c r="L7546" s="221"/>
      <c r="M7546" s="221"/>
    </row>
    <row r="7547" spans="5:13">
      <c r="E7547" s="221"/>
      <c r="F7547" s="221"/>
      <c r="G7547" s="221"/>
      <c r="H7547" s="221"/>
      <c r="I7547" s="221"/>
      <c r="J7547" s="221"/>
      <c r="K7547" s="221"/>
      <c r="L7547" s="221"/>
      <c r="M7547" s="221"/>
    </row>
    <row r="7548" spans="5:13">
      <c r="E7548" s="221"/>
      <c r="F7548" s="221"/>
      <c r="G7548" s="221"/>
      <c r="H7548" s="221"/>
      <c r="I7548" s="221"/>
      <c r="J7548" s="221"/>
      <c r="K7548" s="221"/>
      <c r="L7548" s="221"/>
      <c r="M7548" s="221"/>
    </row>
    <row r="7549" spans="5:13">
      <c r="E7549" s="221"/>
      <c r="F7549" s="221"/>
      <c r="G7549" s="221"/>
      <c r="H7549" s="221"/>
      <c r="I7549" s="221"/>
      <c r="J7549" s="221"/>
      <c r="K7549" s="221"/>
      <c r="L7549" s="221"/>
      <c r="M7549" s="221"/>
    </row>
    <row r="7550" spans="5:13">
      <c r="E7550" s="221"/>
      <c r="F7550" s="221"/>
      <c r="G7550" s="221"/>
      <c r="H7550" s="221"/>
      <c r="I7550" s="221"/>
      <c r="J7550" s="221"/>
      <c r="K7550" s="221"/>
      <c r="L7550" s="221"/>
      <c r="M7550" s="221"/>
    </row>
    <row r="7551" spans="5:13">
      <c r="E7551" s="221"/>
      <c r="F7551" s="221"/>
      <c r="G7551" s="221"/>
      <c r="H7551" s="221"/>
      <c r="I7551" s="221"/>
      <c r="J7551" s="221"/>
      <c r="K7551" s="221"/>
      <c r="L7551" s="221"/>
      <c r="M7551" s="221"/>
    </row>
    <row r="7552" spans="5:13">
      <c r="E7552" s="221"/>
      <c r="F7552" s="221"/>
      <c r="G7552" s="221"/>
      <c r="H7552" s="221"/>
      <c r="I7552" s="221"/>
      <c r="J7552" s="221"/>
      <c r="K7552" s="221"/>
      <c r="L7552" s="221"/>
      <c r="M7552" s="221"/>
    </row>
    <row r="7553" spans="5:13">
      <c r="E7553" s="221"/>
      <c r="F7553" s="221"/>
      <c r="G7553" s="221"/>
      <c r="H7553" s="221"/>
      <c r="I7553" s="221"/>
      <c r="J7553" s="221"/>
      <c r="K7553" s="221"/>
      <c r="L7553" s="221"/>
      <c r="M7553" s="221"/>
    </row>
    <row r="7554" spans="5:13">
      <c r="E7554" s="221"/>
      <c r="F7554" s="221"/>
      <c r="G7554" s="221"/>
      <c r="H7554" s="221"/>
      <c r="I7554" s="221"/>
      <c r="J7554" s="221"/>
      <c r="K7554" s="221"/>
      <c r="L7554" s="221"/>
      <c r="M7554" s="221"/>
    </row>
    <row r="7555" spans="5:13">
      <c r="E7555" s="221"/>
      <c r="F7555" s="221"/>
      <c r="G7555" s="221"/>
      <c r="H7555" s="221"/>
      <c r="I7555" s="221"/>
      <c r="J7555" s="221"/>
      <c r="K7555" s="221"/>
      <c r="L7555" s="221"/>
      <c r="M7555" s="221"/>
    </row>
    <row r="7556" spans="5:13">
      <c r="E7556" s="221"/>
      <c r="F7556" s="221"/>
      <c r="G7556" s="221"/>
      <c r="H7556" s="221"/>
      <c r="I7556" s="221"/>
      <c r="J7556" s="221"/>
      <c r="K7556" s="221"/>
      <c r="L7556" s="221"/>
      <c r="M7556" s="221"/>
    </row>
    <row r="7557" spans="5:13">
      <c r="E7557" s="221"/>
      <c r="F7557" s="221"/>
      <c r="G7557" s="221"/>
      <c r="H7557" s="221"/>
      <c r="I7557" s="221"/>
      <c r="J7557" s="221"/>
      <c r="K7557" s="221"/>
      <c r="L7557" s="221"/>
      <c r="M7557" s="221"/>
    </row>
    <row r="7558" spans="5:13">
      <c r="E7558" s="221"/>
      <c r="F7558" s="221"/>
      <c r="G7558" s="221"/>
      <c r="H7558" s="221"/>
      <c r="I7558" s="221"/>
      <c r="J7558" s="221"/>
      <c r="K7558" s="221"/>
      <c r="L7558" s="221"/>
      <c r="M7558" s="221"/>
    </row>
    <row r="7559" spans="5:13">
      <c r="E7559" s="221"/>
      <c r="F7559" s="221"/>
      <c r="G7559" s="221"/>
      <c r="H7559" s="221"/>
      <c r="I7559" s="221"/>
      <c r="J7559" s="221"/>
      <c r="K7559" s="221"/>
      <c r="L7559" s="221"/>
      <c r="M7559" s="221"/>
    </row>
    <row r="7560" spans="5:13">
      <c r="E7560" s="221"/>
      <c r="F7560" s="221"/>
      <c r="G7560" s="221"/>
      <c r="H7560" s="221"/>
      <c r="I7560" s="221"/>
      <c r="J7560" s="221"/>
      <c r="K7560" s="221"/>
      <c r="L7560" s="221"/>
      <c r="M7560" s="221"/>
    </row>
    <row r="7561" spans="5:13">
      <c r="E7561" s="221"/>
      <c r="F7561" s="221"/>
      <c r="G7561" s="221"/>
      <c r="H7561" s="221"/>
      <c r="I7561" s="221"/>
      <c r="J7561" s="221"/>
      <c r="K7561" s="221"/>
      <c r="L7561" s="221"/>
      <c r="M7561" s="221"/>
    </row>
    <row r="7562" spans="5:13">
      <c r="E7562" s="221"/>
      <c r="F7562" s="221"/>
      <c r="G7562" s="221"/>
      <c r="H7562" s="221"/>
      <c r="I7562" s="221"/>
      <c r="J7562" s="221"/>
      <c r="K7562" s="221"/>
      <c r="L7562" s="221"/>
      <c r="M7562" s="221"/>
    </row>
    <row r="7563" spans="5:13">
      <c r="E7563" s="221"/>
      <c r="F7563" s="221"/>
      <c r="G7563" s="221"/>
      <c r="H7563" s="221"/>
      <c r="I7563" s="221"/>
      <c r="J7563" s="221"/>
      <c r="K7563" s="221"/>
      <c r="L7563" s="221"/>
      <c r="M7563" s="221"/>
    </row>
    <row r="7564" spans="5:13">
      <c r="E7564" s="221"/>
      <c r="F7564" s="221"/>
      <c r="G7564" s="221"/>
      <c r="H7564" s="221"/>
      <c r="I7564" s="221"/>
      <c r="J7564" s="221"/>
      <c r="K7564" s="221"/>
      <c r="L7564" s="221"/>
      <c r="M7564" s="221"/>
    </row>
    <row r="7565" spans="5:13">
      <c r="E7565" s="221"/>
      <c r="F7565" s="221"/>
      <c r="G7565" s="221"/>
      <c r="H7565" s="221"/>
      <c r="I7565" s="221"/>
      <c r="J7565" s="221"/>
      <c r="K7565" s="221"/>
      <c r="L7565" s="221"/>
      <c r="M7565" s="221"/>
    </row>
    <row r="7566" spans="5:13">
      <c r="E7566" s="221"/>
      <c r="F7566" s="221"/>
      <c r="G7566" s="221"/>
      <c r="H7566" s="221"/>
      <c r="I7566" s="221"/>
      <c r="J7566" s="221"/>
      <c r="K7566" s="221"/>
      <c r="L7566" s="221"/>
      <c r="M7566" s="221"/>
    </row>
    <row r="7567" spans="5:13">
      <c r="E7567" s="221"/>
      <c r="F7567" s="221"/>
      <c r="G7567" s="221"/>
      <c r="H7567" s="221"/>
      <c r="I7567" s="221"/>
      <c r="J7567" s="221"/>
      <c r="K7567" s="221"/>
      <c r="L7567" s="221"/>
      <c r="M7567" s="221"/>
    </row>
    <row r="7568" spans="5:13">
      <c r="E7568" s="221"/>
      <c r="F7568" s="221"/>
      <c r="G7568" s="221"/>
      <c r="H7568" s="221"/>
      <c r="I7568" s="221"/>
      <c r="J7568" s="221"/>
      <c r="K7568" s="221"/>
      <c r="L7568" s="221"/>
      <c r="M7568" s="221"/>
    </row>
    <row r="7569" spans="5:13">
      <c r="E7569" s="221"/>
      <c r="F7569" s="221"/>
      <c r="G7569" s="221"/>
      <c r="H7569" s="221"/>
      <c r="I7569" s="221"/>
      <c r="J7569" s="221"/>
      <c r="K7569" s="221"/>
      <c r="L7569" s="221"/>
      <c r="M7569" s="221"/>
    </row>
    <row r="7570" spans="5:13">
      <c r="E7570" s="221"/>
      <c r="F7570" s="221"/>
      <c r="G7570" s="221"/>
      <c r="H7570" s="221"/>
      <c r="I7570" s="221"/>
      <c r="J7570" s="221"/>
      <c r="K7570" s="221"/>
      <c r="L7570" s="221"/>
      <c r="M7570" s="221"/>
    </row>
    <row r="7571" spans="5:13">
      <c r="E7571" s="221"/>
      <c r="F7571" s="221"/>
      <c r="G7571" s="221"/>
      <c r="H7571" s="221"/>
      <c r="I7571" s="221"/>
      <c r="J7571" s="221"/>
      <c r="K7571" s="221"/>
      <c r="L7571" s="221"/>
      <c r="M7571" s="221"/>
    </row>
    <row r="7572" spans="5:13">
      <c r="E7572" s="221"/>
      <c r="F7572" s="221"/>
      <c r="G7572" s="221"/>
      <c r="H7572" s="221"/>
      <c r="I7572" s="221"/>
      <c r="J7572" s="221"/>
      <c r="K7572" s="221"/>
      <c r="L7572" s="221"/>
      <c r="M7572" s="221"/>
    </row>
    <row r="7573" spans="5:13">
      <c r="E7573" s="221"/>
      <c r="F7573" s="221"/>
      <c r="G7573" s="221"/>
      <c r="H7573" s="221"/>
      <c r="I7573" s="221"/>
      <c r="J7573" s="221"/>
      <c r="K7573" s="221"/>
      <c r="L7573" s="221"/>
      <c r="M7573" s="221"/>
    </row>
    <row r="7574" spans="5:13">
      <c r="E7574" s="221"/>
      <c r="F7574" s="221"/>
      <c r="G7574" s="221"/>
      <c r="H7574" s="221"/>
      <c r="I7574" s="221"/>
      <c r="J7574" s="221"/>
      <c r="K7574" s="221"/>
      <c r="L7574" s="221"/>
      <c r="M7574" s="221"/>
    </row>
    <row r="7575" spans="5:13">
      <c r="E7575" s="221"/>
      <c r="F7575" s="221"/>
      <c r="G7575" s="221"/>
      <c r="H7575" s="221"/>
      <c r="I7575" s="221"/>
      <c r="J7575" s="221"/>
      <c r="K7575" s="221"/>
      <c r="L7575" s="221"/>
      <c r="M7575" s="221"/>
    </row>
    <row r="7576" spans="5:13">
      <c r="E7576" s="221"/>
      <c r="F7576" s="221"/>
      <c r="G7576" s="221"/>
      <c r="H7576" s="221"/>
      <c r="I7576" s="221"/>
      <c r="J7576" s="221"/>
      <c r="K7576" s="221"/>
      <c r="L7576" s="221"/>
      <c r="M7576" s="221"/>
    </row>
    <row r="7577" spans="5:13">
      <c r="E7577" s="221"/>
      <c r="F7577" s="221"/>
      <c r="G7577" s="221"/>
      <c r="H7577" s="221"/>
      <c r="I7577" s="221"/>
      <c r="J7577" s="221"/>
      <c r="K7577" s="221"/>
      <c r="L7577" s="221"/>
      <c r="M7577" s="221"/>
    </row>
    <row r="7578" spans="5:13">
      <c r="E7578" s="221"/>
      <c r="F7578" s="221"/>
      <c r="G7578" s="221"/>
      <c r="H7578" s="221"/>
      <c r="I7578" s="221"/>
      <c r="J7578" s="221"/>
      <c r="K7578" s="221"/>
      <c r="L7578" s="221"/>
      <c r="M7578" s="221"/>
    </row>
    <row r="7579" spans="5:13">
      <c r="E7579" s="221"/>
      <c r="F7579" s="221"/>
      <c r="G7579" s="221"/>
      <c r="H7579" s="221"/>
      <c r="I7579" s="221"/>
      <c r="J7579" s="221"/>
      <c r="K7579" s="221"/>
      <c r="L7579" s="221"/>
      <c r="M7579" s="221"/>
    </row>
    <row r="7580" spans="5:13">
      <c r="E7580" s="221"/>
      <c r="F7580" s="221"/>
      <c r="G7580" s="221"/>
      <c r="H7580" s="221"/>
      <c r="I7580" s="221"/>
      <c r="J7580" s="221"/>
      <c r="K7580" s="221"/>
      <c r="L7580" s="221"/>
      <c r="M7580" s="221"/>
    </row>
    <row r="7581" spans="5:13">
      <c r="E7581" s="221"/>
      <c r="F7581" s="221"/>
      <c r="G7581" s="221"/>
      <c r="H7581" s="221"/>
      <c r="I7581" s="221"/>
      <c r="J7581" s="221"/>
      <c r="K7581" s="221"/>
      <c r="L7581" s="221"/>
      <c r="M7581" s="221"/>
    </row>
    <row r="7582" spans="5:13">
      <c r="E7582" s="221"/>
      <c r="F7582" s="221"/>
      <c r="G7582" s="221"/>
      <c r="H7582" s="221"/>
      <c r="I7582" s="221"/>
      <c r="J7582" s="221"/>
      <c r="K7582" s="221"/>
      <c r="L7582" s="221"/>
      <c r="M7582" s="221"/>
    </row>
    <row r="7583" spans="5:13">
      <c r="E7583" s="221"/>
      <c r="F7583" s="221"/>
      <c r="G7583" s="221"/>
      <c r="H7583" s="221"/>
      <c r="I7583" s="221"/>
      <c r="J7583" s="221"/>
      <c r="K7583" s="221"/>
      <c r="L7583" s="221"/>
      <c r="M7583" s="221"/>
    </row>
    <row r="7584" spans="5:13">
      <c r="E7584" s="221"/>
      <c r="F7584" s="221"/>
      <c r="G7584" s="221"/>
      <c r="H7584" s="221"/>
      <c r="I7584" s="221"/>
      <c r="J7584" s="221"/>
      <c r="K7584" s="221"/>
      <c r="L7584" s="221"/>
      <c r="M7584" s="221"/>
    </row>
    <row r="7585" spans="5:13">
      <c r="E7585" s="221"/>
      <c r="F7585" s="221"/>
      <c r="G7585" s="221"/>
      <c r="H7585" s="221"/>
      <c r="I7585" s="221"/>
      <c r="J7585" s="221"/>
      <c r="K7585" s="221"/>
      <c r="L7585" s="221"/>
      <c r="M7585" s="221"/>
    </row>
    <row r="7586" spans="5:13">
      <c r="E7586" s="221"/>
      <c r="F7586" s="221"/>
      <c r="G7586" s="221"/>
      <c r="H7586" s="221"/>
      <c r="I7586" s="221"/>
      <c r="J7586" s="221"/>
      <c r="K7586" s="221"/>
      <c r="L7586" s="221"/>
      <c r="M7586" s="221"/>
    </row>
    <row r="7587" spans="5:13">
      <c r="E7587" s="221"/>
      <c r="F7587" s="221"/>
      <c r="G7587" s="221"/>
      <c r="H7587" s="221"/>
      <c r="I7587" s="221"/>
      <c r="J7587" s="221"/>
      <c r="K7587" s="221"/>
      <c r="L7587" s="221"/>
      <c r="M7587" s="221"/>
    </row>
    <row r="7588" spans="5:13">
      <c r="E7588" s="221"/>
      <c r="F7588" s="221"/>
      <c r="G7588" s="221"/>
      <c r="H7588" s="221"/>
      <c r="I7588" s="221"/>
      <c r="J7588" s="221"/>
      <c r="K7588" s="221"/>
      <c r="L7588" s="221"/>
      <c r="M7588" s="221"/>
    </row>
    <row r="7589" spans="5:13">
      <c r="E7589" s="221"/>
      <c r="F7589" s="221"/>
      <c r="G7589" s="221"/>
      <c r="H7589" s="221"/>
      <c r="I7589" s="221"/>
      <c r="J7589" s="221"/>
      <c r="K7589" s="221"/>
      <c r="L7589" s="221"/>
      <c r="M7589" s="221"/>
    </row>
    <row r="7590" spans="5:13">
      <c r="E7590" s="221"/>
      <c r="F7590" s="221"/>
      <c r="G7590" s="221"/>
      <c r="H7590" s="221"/>
      <c r="I7590" s="221"/>
      <c r="J7590" s="221"/>
      <c r="K7590" s="221"/>
      <c r="L7590" s="221"/>
      <c r="M7590" s="221"/>
    </row>
    <row r="7591" spans="5:13">
      <c r="E7591" s="221"/>
      <c r="F7591" s="221"/>
      <c r="G7591" s="221"/>
      <c r="H7591" s="221"/>
      <c r="I7591" s="221"/>
      <c r="J7591" s="221"/>
      <c r="K7591" s="221"/>
      <c r="L7591" s="221"/>
      <c r="M7591" s="221"/>
    </row>
    <row r="7592" spans="5:13">
      <c r="E7592" s="221"/>
      <c r="F7592" s="221"/>
      <c r="G7592" s="221"/>
      <c r="H7592" s="221"/>
      <c r="I7592" s="221"/>
      <c r="J7592" s="221"/>
      <c r="K7592" s="221"/>
      <c r="L7592" s="221"/>
      <c r="M7592" s="221"/>
    </row>
    <row r="7593" spans="5:13">
      <c r="E7593" s="221"/>
      <c r="F7593" s="221"/>
      <c r="G7593" s="221"/>
      <c r="H7593" s="221"/>
      <c r="I7593" s="221"/>
      <c r="J7593" s="221"/>
      <c r="K7593" s="221"/>
      <c r="L7593" s="221"/>
      <c r="M7593" s="221"/>
    </row>
    <row r="7594" spans="5:13">
      <c r="E7594" s="221"/>
      <c r="F7594" s="221"/>
      <c r="G7594" s="221"/>
      <c r="H7594" s="221"/>
      <c r="I7594" s="221"/>
      <c r="J7594" s="221"/>
      <c r="K7594" s="221"/>
      <c r="L7594" s="221"/>
      <c r="M7594" s="221"/>
    </row>
    <row r="7595" spans="5:13">
      <c r="E7595" s="221"/>
      <c r="F7595" s="221"/>
      <c r="G7595" s="221"/>
      <c r="H7595" s="221"/>
      <c r="I7595" s="221"/>
      <c r="J7595" s="221"/>
      <c r="K7595" s="221"/>
      <c r="L7595" s="221"/>
      <c r="M7595" s="221"/>
    </row>
    <row r="7596" spans="5:13">
      <c r="E7596" s="221"/>
      <c r="F7596" s="221"/>
      <c r="G7596" s="221"/>
      <c r="H7596" s="221"/>
      <c r="I7596" s="221"/>
      <c r="J7596" s="221"/>
      <c r="K7596" s="221"/>
      <c r="L7596" s="221"/>
      <c r="M7596" s="221"/>
    </row>
    <row r="7597" spans="5:13">
      <c r="E7597" s="221"/>
      <c r="F7597" s="221"/>
      <c r="G7597" s="221"/>
      <c r="H7597" s="221"/>
      <c r="I7597" s="221"/>
      <c r="J7597" s="221"/>
      <c r="K7597" s="221"/>
      <c r="L7597" s="221"/>
      <c r="M7597" s="221"/>
    </row>
    <row r="7598" spans="5:13">
      <c r="E7598" s="221"/>
      <c r="F7598" s="221"/>
      <c r="G7598" s="221"/>
      <c r="H7598" s="221"/>
      <c r="I7598" s="221"/>
      <c r="J7598" s="221"/>
      <c r="K7598" s="221"/>
      <c r="L7598" s="221"/>
      <c r="M7598" s="221"/>
    </row>
    <row r="7599" spans="5:13">
      <c r="E7599" s="221"/>
      <c r="F7599" s="221"/>
      <c r="G7599" s="221"/>
      <c r="H7599" s="221"/>
      <c r="I7599" s="221"/>
      <c r="J7599" s="221"/>
      <c r="K7599" s="221"/>
      <c r="L7599" s="221"/>
      <c r="M7599" s="221"/>
    </row>
    <row r="7600" spans="5:13">
      <c r="E7600" s="221"/>
      <c r="F7600" s="221"/>
      <c r="G7600" s="221"/>
      <c r="H7600" s="221"/>
      <c r="I7600" s="221"/>
      <c r="J7600" s="221"/>
      <c r="K7600" s="221"/>
      <c r="L7600" s="221"/>
      <c r="M7600" s="221"/>
    </row>
    <row r="7601" spans="5:13">
      <c r="E7601" s="221"/>
      <c r="F7601" s="221"/>
      <c r="G7601" s="221"/>
      <c r="H7601" s="221"/>
      <c r="I7601" s="221"/>
      <c r="J7601" s="221"/>
      <c r="K7601" s="221"/>
      <c r="L7601" s="221"/>
      <c r="M7601" s="221"/>
    </row>
    <row r="7602" spans="5:13">
      <c r="E7602" s="221"/>
      <c r="F7602" s="221"/>
      <c r="G7602" s="221"/>
      <c r="H7602" s="221"/>
      <c r="I7602" s="221"/>
      <c r="J7602" s="221"/>
      <c r="K7602" s="221"/>
      <c r="L7602" s="221"/>
      <c r="M7602" s="221"/>
    </row>
    <row r="7603" spans="5:13">
      <c r="E7603" s="221"/>
      <c r="F7603" s="221"/>
      <c r="G7603" s="221"/>
      <c r="H7603" s="221"/>
      <c r="I7603" s="221"/>
      <c r="J7603" s="221"/>
      <c r="K7603" s="221"/>
      <c r="L7603" s="221"/>
      <c r="M7603" s="221"/>
    </row>
    <row r="7604" spans="5:13">
      <c r="E7604" s="221"/>
      <c r="F7604" s="221"/>
      <c r="G7604" s="221"/>
      <c r="H7604" s="221"/>
      <c r="I7604" s="221"/>
      <c r="J7604" s="221"/>
      <c r="K7604" s="221"/>
      <c r="L7604" s="221"/>
      <c r="M7604" s="221"/>
    </row>
    <row r="7605" spans="5:13">
      <c r="E7605" s="221"/>
      <c r="F7605" s="221"/>
      <c r="G7605" s="221"/>
      <c r="H7605" s="221"/>
      <c r="I7605" s="221"/>
      <c r="J7605" s="221"/>
      <c r="K7605" s="221"/>
      <c r="L7605" s="221"/>
      <c r="M7605" s="221"/>
    </row>
    <row r="7606" spans="5:13">
      <c r="E7606" s="221"/>
      <c r="F7606" s="221"/>
      <c r="G7606" s="221"/>
      <c r="H7606" s="221"/>
      <c r="I7606" s="221"/>
      <c r="J7606" s="221"/>
      <c r="K7606" s="221"/>
      <c r="L7606" s="221"/>
      <c r="M7606" s="221"/>
    </row>
    <row r="7607" spans="5:13">
      <c r="E7607" s="221"/>
      <c r="F7607" s="221"/>
      <c r="G7607" s="221"/>
      <c r="H7607" s="221"/>
      <c r="I7607" s="221"/>
      <c r="J7607" s="221"/>
      <c r="K7607" s="221"/>
      <c r="L7607" s="221"/>
      <c r="M7607" s="221"/>
    </row>
    <row r="7608" spans="5:13">
      <c r="E7608" s="221"/>
      <c r="F7608" s="221"/>
      <c r="G7608" s="221"/>
      <c r="H7608" s="221"/>
      <c r="I7608" s="221"/>
      <c r="J7608" s="221"/>
      <c r="K7608" s="221"/>
      <c r="L7608" s="221"/>
      <c r="M7608" s="221"/>
    </row>
    <row r="7609" spans="5:13">
      <c r="E7609" s="221"/>
      <c r="F7609" s="221"/>
      <c r="G7609" s="221"/>
      <c r="H7609" s="221"/>
      <c r="I7609" s="221"/>
      <c r="J7609" s="221"/>
      <c r="K7609" s="221"/>
      <c r="L7609" s="221"/>
      <c r="M7609" s="221"/>
    </row>
    <row r="7610" spans="5:13">
      <c r="E7610" s="221"/>
      <c r="F7610" s="221"/>
      <c r="G7610" s="221"/>
      <c r="H7610" s="221"/>
      <c r="I7610" s="221"/>
      <c r="J7610" s="221"/>
      <c r="K7610" s="221"/>
      <c r="L7610" s="221"/>
      <c r="M7610" s="221"/>
    </row>
    <row r="7611" spans="5:13">
      <c r="E7611" s="221"/>
      <c r="F7611" s="221"/>
      <c r="G7611" s="221"/>
      <c r="H7611" s="221"/>
      <c r="I7611" s="221"/>
      <c r="J7611" s="221"/>
      <c r="K7611" s="221"/>
      <c r="L7611" s="221"/>
      <c r="M7611" s="221"/>
    </row>
    <row r="7612" spans="5:13">
      <c r="E7612" s="221"/>
      <c r="F7612" s="221"/>
      <c r="G7612" s="221"/>
      <c r="H7612" s="221"/>
      <c r="I7612" s="221"/>
      <c r="J7612" s="221"/>
      <c r="K7612" s="221"/>
      <c r="L7612" s="221"/>
      <c r="M7612" s="221"/>
    </row>
    <row r="7613" spans="5:13">
      <c r="E7613" s="221"/>
      <c r="F7613" s="221"/>
      <c r="G7613" s="221"/>
      <c r="H7613" s="221"/>
      <c r="I7613" s="221"/>
      <c r="J7613" s="221"/>
      <c r="K7613" s="221"/>
      <c r="L7613" s="221"/>
      <c r="M7613" s="221"/>
    </row>
    <row r="7614" spans="5:13">
      <c r="E7614" s="221"/>
      <c r="F7614" s="221"/>
      <c r="G7614" s="221"/>
      <c r="H7614" s="221"/>
      <c r="I7614" s="221"/>
      <c r="J7614" s="221"/>
      <c r="K7614" s="221"/>
      <c r="L7614" s="221"/>
      <c r="M7614" s="221"/>
    </row>
    <row r="7615" spans="5:13">
      <c r="E7615" s="221"/>
      <c r="F7615" s="221"/>
      <c r="G7615" s="221"/>
      <c r="H7615" s="221"/>
      <c r="I7615" s="221"/>
      <c r="J7615" s="221"/>
      <c r="K7615" s="221"/>
      <c r="L7615" s="221"/>
      <c r="M7615" s="221"/>
    </row>
    <row r="7616" spans="5:13">
      <c r="E7616" s="221"/>
      <c r="F7616" s="221"/>
      <c r="G7616" s="221"/>
      <c r="H7616" s="221"/>
      <c r="I7616" s="221"/>
      <c r="J7616" s="221"/>
      <c r="K7616" s="221"/>
      <c r="L7616" s="221"/>
      <c r="M7616" s="221"/>
    </row>
    <row r="7617" spans="5:13">
      <c r="E7617" s="221"/>
      <c r="F7617" s="221"/>
      <c r="G7617" s="221"/>
      <c r="H7617" s="221"/>
      <c r="I7617" s="221"/>
      <c r="J7617" s="221"/>
      <c r="K7617" s="221"/>
      <c r="L7617" s="221"/>
      <c r="M7617" s="221"/>
    </row>
    <row r="7618" spans="5:13">
      <c r="E7618" s="221"/>
      <c r="F7618" s="221"/>
      <c r="G7618" s="221"/>
      <c r="H7618" s="221"/>
      <c r="I7618" s="221"/>
      <c r="J7618" s="221"/>
      <c r="K7618" s="221"/>
      <c r="L7618" s="221"/>
      <c r="M7618" s="221"/>
    </row>
    <row r="7619" spans="5:13">
      <c r="E7619" s="221"/>
      <c r="F7619" s="221"/>
      <c r="G7619" s="221"/>
      <c r="H7619" s="221"/>
      <c r="I7619" s="221"/>
      <c r="J7619" s="221"/>
      <c r="K7619" s="221"/>
      <c r="L7619" s="221"/>
      <c r="M7619" s="221"/>
    </row>
    <row r="7620" spans="5:13">
      <c r="E7620" s="221"/>
      <c r="F7620" s="221"/>
      <c r="G7620" s="221"/>
      <c r="H7620" s="221"/>
      <c r="I7620" s="221"/>
      <c r="J7620" s="221"/>
      <c r="K7620" s="221"/>
      <c r="L7620" s="221"/>
      <c r="M7620" s="221"/>
    </row>
    <row r="7621" spans="5:13">
      <c r="E7621" s="221"/>
      <c r="F7621" s="221"/>
      <c r="G7621" s="221"/>
      <c r="H7621" s="221"/>
      <c r="I7621" s="221"/>
      <c r="J7621" s="221"/>
      <c r="K7621" s="221"/>
      <c r="L7621" s="221"/>
      <c r="M7621" s="221"/>
    </row>
    <row r="7622" spans="5:13">
      <c r="E7622" s="221"/>
      <c r="F7622" s="221"/>
      <c r="G7622" s="221"/>
      <c r="H7622" s="221"/>
      <c r="I7622" s="221"/>
      <c r="J7622" s="221"/>
      <c r="K7622" s="221"/>
      <c r="L7622" s="221"/>
      <c r="M7622" s="221"/>
    </row>
    <row r="7623" spans="5:13">
      <c r="E7623" s="221"/>
      <c r="F7623" s="221"/>
      <c r="G7623" s="221"/>
      <c r="H7623" s="221"/>
      <c r="I7623" s="221"/>
      <c r="J7623" s="221"/>
      <c r="K7623" s="221"/>
      <c r="L7623" s="221"/>
      <c r="M7623" s="221"/>
    </row>
    <row r="7624" spans="5:13">
      <c r="E7624" s="221"/>
      <c r="F7624" s="221"/>
      <c r="G7624" s="221"/>
      <c r="H7624" s="221"/>
      <c r="I7624" s="221"/>
      <c r="J7624" s="221"/>
      <c r="K7624" s="221"/>
      <c r="L7624" s="221"/>
      <c r="M7624" s="221"/>
    </row>
    <row r="7625" spans="5:13">
      <c r="E7625" s="221"/>
      <c r="F7625" s="221"/>
      <c r="G7625" s="221"/>
      <c r="H7625" s="221"/>
      <c r="I7625" s="221"/>
      <c r="J7625" s="221"/>
      <c r="K7625" s="221"/>
      <c r="L7625" s="221"/>
      <c r="M7625" s="221"/>
    </row>
    <row r="7626" spans="5:13">
      <c r="E7626" s="221"/>
      <c r="F7626" s="221"/>
      <c r="G7626" s="221"/>
      <c r="H7626" s="221"/>
      <c r="I7626" s="221"/>
      <c r="J7626" s="221"/>
      <c r="K7626" s="221"/>
      <c r="L7626" s="221"/>
      <c r="M7626" s="221"/>
    </row>
    <row r="7627" spans="5:13">
      <c r="E7627" s="221"/>
      <c r="F7627" s="221"/>
      <c r="G7627" s="221"/>
      <c r="H7627" s="221"/>
      <c r="I7627" s="221"/>
      <c r="J7627" s="221"/>
      <c r="K7627" s="221"/>
      <c r="L7627" s="221"/>
      <c r="M7627" s="221"/>
    </row>
    <row r="7628" spans="5:13">
      <c r="E7628" s="221"/>
      <c r="F7628" s="221"/>
      <c r="G7628" s="221"/>
      <c r="H7628" s="221"/>
      <c r="I7628" s="221"/>
      <c r="J7628" s="221"/>
      <c r="K7628" s="221"/>
      <c r="L7628" s="221"/>
      <c r="M7628" s="221"/>
    </row>
    <row r="7629" spans="5:13">
      <c r="E7629" s="221"/>
      <c r="F7629" s="221"/>
      <c r="G7629" s="221"/>
      <c r="H7629" s="221"/>
      <c r="I7629" s="221"/>
      <c r="J7629" s="221"/>
      <c r="K7629" s="221"/>
      <c r="L7629" s="221"/>
      <c r="M7629" s="221"/>
    </row>
    <row r="7630" spans="5:13">
      <c r="E7630" s="221"/>
      <c r="F7630" s="221"/>
      <c r="G7630" s="221"/>
      <c r="H7630" s="221"/>
      <c r="I7630" s="221"/>
      <c r="J7630" s="221"/>
      <c r="K7630" s="221"/>
      <c r="L7630" s="221"/>
      <c r="M7630" s="221"/>
    </row>
    <row r="7631" spans="5:13">
      <c r="E7631" s="221"/>
      <c r="F7631" s="221"/>
      <c r="G7631" s="221"/>
      <c r="H7631" s="221"/>
      <c r="I7631" s="221"/>
      <c r="J7631" s="221"/>
      <c r="K7631" s="221"/>
      <c r="L7631" s="221"/>
      <c r="M7631" s="221"/>
    </row>
    <row r="7632" spans="5:13">
      <c r="E7632" s="221"/>
      <c r="F7632" s="221"/>
      <c r="G7632" s="221"/>
      <c r="H7632" s="221"/>
      <c r="I7632" s="221"/>
      <c r="J7632" s="221"/>
      <c r="K7632" s="221"/>
      <c r="L7632" s="221"/>
      <c r="M7632" s="221"/>
    </row>
    <row r="7633" spans="5:13">
      <c r="E7633" s="221"/>
      <c r="F7633" s="221"/>
      <c r="G7633" s="221"/>
      <c r="H7633" s="221"/>
      <c r="I7633" s="221"/>
      <c r="J7633" s="221"/>
      <c r="K7633" s="221"/>
      <c r="L7633" s="221"/>
      <c r="M7633" s="221"/>
    </row>
    <row r="7634" spans="5:13">
      <c r="E7634" s="221"/>
      <c r="F7634" s="221"/>
      <c r="G7634" s="221"/>
      <c r="H7634" s="221"/>
      <c r="I7634" s="221"/>
      <c r="J7634" s="221"/>
      <c r="K7634" s="221"/>
      <c r="L7634" s="221"/>
      <c r="M7634" s="221"/>
    </row>
    <row r="7635" spans="5:13">
      <c r="E7635" s="221"/>
      <c r="F7635" s="221"/>
      <c r="G7635" s="221"/>
      <c r="H7635" s="221"/>
      <c r="I7635" s="221"/>
      <c r="J7635" s="221"/>
      <c r="K7635" s="221"/>
      <c r="L7635" s="221"/>
      <c r="M7635" s="221"/>
    </row>
    <row r="7636" spans="5:13">
      <c r="E7636" s="221"/>
      <c r="F7636" s="221"/>
      <c r="G7636" s="221"/>
      <c r="H7636" s="221"/>
      <c r="I7636" s="221"/>
      <c r="J7636" s="221"/>
      <c r="K7636" s="221"/>
      <c r="L7636" s="221"/>
      <c r="M7636" s="221"/>
    </row>
    <row r="7637" spans="5:13">
      <c r="E7637" s="221"/>
      <c r="F7637" s="221"/>
      <c r="G7637" s="221"/>
      <c r="H7637" s="221"/>
      <c r="I7637" s="221"/>
      <c r="J7637" s="221"/>
      <c r="K7637" s="221"/>
      <c r="L7637" s="221"/>
      <c r="M7637" s="221"/>
    </row>
    <row r="7638" spans="5:13">
      <c r="E7638" s="221"/>
      <c r="F7638" s="221"/>
      <c r="G7638" s="221"/>
      <c r="H7638" s="221"/>
      <c r="I7638" s="221"/>
      <c r="J7638" s="221"/>
      <c r="K7638" s="221"/>
      <c r="L7638" s="221"/>
      <c r="M7638" s="221"/>
    </row>
    <row r="7639" spans="5:13">
      <c r="E7639" s="221"/>
      <c r="F7639" s="221"/>
      <c r="G7639" s="221"/>
      <c r="H7639" s="221"/>
      <c r="I7639" s="221"/>
      <c r="J7639" s="221"/>
      <c r="K7639" s="221"/>
      <c r="L7639" s="221"/>
      <c r="M7639" s="221"/>
    </row>
    <row r="7640" spans="5:13">
      <c r="E7640" s="221"/>
      <c r="F7640" s="221"/>
      <c r="G7640" s="221"/>
      <c r="H7640" s="221"/>
      <c r="I7640" s="221"/>
      <c r="J7640" s="221"/>
      <c r="K7640" s="221"/>
      <c r="L7640" s="221"/>
      <c r="M7640" s="221"/>
    </row>
    <row r="7641" spans="5:13">
      <c r="E7641" s="221"/>
      <c r="F7641" s="221"/>
      <c r="G7641" s="221"/>
      <c r="H7641" s="221"/>
      <c r="I7641" s="221"/>
      <c r="J7641" s="221"/>
      <c r="K7641" s="221"/>
      <c r="L7641" s="221"/>
      <c r="M7641" s="221"/>
    </row>
    <row r="7642" spans="5:13">
      <c r="E7642" s="221"/>
      <c r="F7642" s="221"/>
      <c r="G7642" s="221"/>
      <c r="H7642" s="221"/>
      <c r="I7642" s="221"/>
      <c r="J7642" s="221"/>
      <c r="K7642" s="221"/>
      <c r="L7642" s="221"/>
      <c r="M7642" s="221"/>
    </row>
    <row r="7643" spans="5:13">
      <c r="E7643" s="221"/>
      <c r="F7643" s="221"/>
      <c r="G7643" s="221"/>
      <c r="H7643" s="221"/>
      <c r="I7643" s="221"/>
      <c r="J7643" s="221"/>
      <c r="K7643" s="221"/>
      <c r="L7643" s="221"/>
      <c r="M7643" s="221"/>
    </row>
    <row r="7644" spans="5:13">
      <c r="E7644" s="221"/>
      <c r="F7644" s="221"/>
      <c r="G7644" s="221"/>
      <c r="H7644" s="221"/>
      <c r="I7644" s="221"/>
      <c r="J7644" s="221"/>
      <c r="K7644" s="221"/>
      <c r="L7644" s="221"/>
      <c r="M7644" s="221"/>
    </row>
    <row r="7645" spans="5:13">
      <c r="E7645" s="221"/>
      <c r="F7645" s="221"/>
      <c r="G7645" s="221"/>
      <c r="H7645" s="221"/>
      <c r="I7645" s="221"/>
      <c r="J7645" s="221"/>
      <c r="K7645" s="221"/>
      <c r="L7645" s="221"/>
      <c r="M7645" s="221"/>
    </row>
    <row r="7646" spans="5:13">
      <c r="E7646" s="221"/>
      <c r="F7646" s="221"/>
      <c r="G7646" s="221"/>
      <c r="H7646" s="221"/>
      <c r="I7646" s="221"/>
      <c r="J7646" s="221"/>
      <c r="K7646" s="221"/>
      <c r="L7646" s="221"/>
      <c r="M7646" s="221"/>
    </row>
    <row r="7647" spans="5:13">
      <c r="E7647" s="221"/>
      <c r="F7647" s="221"/>
      <c r="G7647" s="221"/>
      <c r="H7647" s="221"/>
      <c r="I7647" s="221"/>
      <c r="J7647" s="221"/>
      <c r="K7647" s="221"/>
      <c r="L7647" s="221"/>
      <c r="M7647" s="221"/>
    </row>
    <row r="7648" spans="5:13">
      <c r="E7648" s="221"/>
      <c r="F7648" s="221"/>
      <c r="G7648" s="221"/>
      <c r="H7648" s="221"/>
      <c r="I7648" s="221"/>
      <c r="J7648" s="221"/>
      <c r="K7648" s="221"/>
      <c r="L7648" s="221"/>
      <c r="M7648" s="221"/>
    </row>
    <row r="7649" spans="5:13">
      <c r="E7649" s="221"/>
      <c r="F7649" s="221"/>
      <c r="G7649" s="221"/>
      <c r="H7649" s="221"/>
      <c r="I7649" s="221"/>
      <c r="J7649" s="221"/>
      <c r="K7649" s="221"/>
      <c r="L7649" s="221"/>
      <c r="M7649" s="221"/>
    </row>
    <row r="7650" spans="5:13">
      <c r="E7650" s="221"/>
      <c r="F7650" s="221"/>
      <c r="G7650" s="221"/>
      <c r="H7650" s="221"/>
      <c r="I7650" s="221"/>
      <c r="J7650" s="221"/>
      <c r="K7650" s="221"/>
      <c r="L7650" s="221"/>
      <c r="M7650" s="221"/>
    </row>
    <row r="7651" spans="5:13">
      <c r="E7651" s="221"/>
      <c r="F7651" s="221"/>
      <c r="G7651" s="221"/>
      <c r="H7651" s="221"/>
      <c r="I7651" s="221"/>
      <c r="J7651" s="221"/>
      <c r="K7651" s="221"/>
      <c r="L7651" s="221"/>
      <c r="M7651" s="221"/>
    </row>
    <row r="7652" spans="5:13">
      <c r="E7652" s="221"/>
      <c r="F7652" s="221"/>
      <c r="G7652" s="221"/>
      <c r="H7652" s="221"/>
      <c r="I7652" s="221"/>
      <c r="J7652" s="221"/>
      <c r="K7652" s="221"/>
      <c r="L7652" s="221"/>
      <c r="M7652" s="221"/>
    </row>
    <row r="7653" spans="5:13">
      <c r="E7653" s="221"/>
      <c r="F7653" s="221"/>
      <c r="G7653" s="221"/>
      <c r="H7653" s="221"/>
      <c r="I7653" s="221"/>
      <c r="J7653" s="221"/>
      <c r="K7653" s="221"/>
      <c r="L7653" s="221"/>
      <c r="M7653" s="221"/>
    </row>
    <row r="7654" spans="5:13">
      <c r="E7654" s="221"/>
      <c r="F7654" s="221"/>
      <c r="G7654" s="221"/>
      <c r="H7654" s="221"/>
      <c r="I7654" s="221"/>
      <c r="J7654" s="221"/>
      <c r="K7654" s="221"/>
      <c r="L7654" s="221"/>
      <c r="M7654" s="221"/>
    </row>
    <row r="7655" spans="5:13">
      <c r="E7655" s="221"/>
      <c r="F7655" s="221"/>
      <c r="G7655" s="221"/>
      <c r="H7655" s="221"/>
      <c r="I7655" s="221"/>
      <c r="J7655" s="221"/>
      <c r="K7655" s="221"/>
      <c r="L7655" s="221"/>
      <c r="M7655" s="221"/>
    </row>
    <row r="7656" spans="5:13">
      <c r="E7656" s="221"/>
      <c r="F7656" s="221"/>
      <c r="G7656" s="221"/>
      <c r="H7656" s="221"/>
      <c r="I7656" s="221"/>
      <c r="J7656" s="221"/>
      <c r="K7656" s="221"/>
      <c r="L7656" s="221"/>
      <c r="M7656" s="221"/>
    </row>
    <row r="7657" spans="5:13">
      <c r="E7657" s="221"/>
      <c r="F7657" s="221"/>
      <c r="G7657" s="221"/>
      <c r="H7657" s="221"/>
      <c r="I7657" s="221"/>
      <c r="J7657" s="221"/>
      <c r="K7657" s="221"/>
      <c r="L7657" s="221"/>
      <c r="M7657" s="221"/>
    </row>
    <row r="7658" spans="5:13">
      <c r="E7658" s="221"/>
      <c r="F7658" s="221"/>
      <c r="G7658" s="221"/>
      <c r="H7658" s="221"/>
      <c r="I7658" s="221"/>
      <c r="J7658" s="221"/>
      <c r="K7658" s="221"/>
      <c r="L7658" s="221"/>
      <c r="M7658" s="221"/>
    </row>
    <row r="7659" spans="5:13">
      <c r="E7659" s="221"/>
      <c r="F7659" s="221"/>
      <c r="G7659" s="221"/>
      <c r="H7659" s="221"/>
      <c r="I7659" s="221"/>
      <c r="J7659" s="221"/>
      <c r="K7659" s="221"/>
      <c r="L7659" s="221"/>
      <c r="M7659" s="221"/>
    </row>
    <row r="7660" spans="5:13">
      <c r="E7660" s="221"/>
      <c r="F7660" s="221"/>
      <c r="G7660" s="221"/>
      <c r="H7660" s="221"/>
      <c r="I7660" s="221"/>
      <c r="J7660" s="221"/>
      <c r="K7660" s="221"/>
      <c r="L7660" s="221"/>
      <c r="M7660" s="221"/>
    </row>
    <row r="7661" spans="5:13">
      <c r="E7661" s="221"/>
      <c r="F7661" s="221"/>
      <c r="G7661" s="221"/>
      <c r="H7661" s="221"/>
      <c r="I7661" s="221"/>
      <c r="J7661" s="221"/>
      <c r="K7661" s="221"/>
      <c r="L7661" s="221"/>
      <c r="M7661" s="221"/>
    </row>
    <row r="7662" spans="5:13">
      <c r="E7662" s="221"/>
      <c r="F7662" s="221"/>
      <c r="G7662" s="221"/>
      <c r="H7662" s="221"/>
      <c r="I7662" s="221"/>
      <c r="J7662" s="221"/>
      <c r="K7662" s="221"/>
      <c r="L7662" s="221"/>
      <c r="M7662" s="221"/>
    </row>
    <row r="7663" spans="5:13">
      <c r="E7663" s="221"/>
      <c r="F7663" s="221"/>
      <c r="G7663" s="221"/>
      <c r="H7663" s="221"/>
      <c r="I7663" s="221"/>
      <c r="J7663" s="221"/>
      <c r="K7663" s="221"/>
      <c r="L7663" s="221"/>
      <c r="M7663" s="221"/>
    </row>
    <row r="7664" spans="5:13">
      <c r="E7664" s="221"/>
      <c r="F7664" s="221"/>
      <c r="G7664" s="221"/>
      <c r="H7664" s="221"/>
      <c r="I7664" s="221"/>
      <c r="J7664" s="221"/>
      <c r="K7664" s="221"/>
      <c r="L7664" s="221"/>
      <c r="M7664" s="221"/>
    </row>
    <row r="7665" spans="5:13">
      <c r="E7665" s="221"/>
      <c r="F7665" s="221"/>
      <c r="G7665" s="221"/>
      <c r="H7665" s="221"/>
      <c r="I7665" s="221"/>
      <c r="J7665" s="221"/>
      <c r="K7665" s="221"/>
      <c r="L7665" s="221"/>
      <c r="M7665" s="221"/>
    </row>
    <row r="7666" spans="5:13">
      <c r="E7666" s="221"/>
      <c r="F7666" s="221"/>
      <c r="G7666" s="221"/>
      <c r="H7666" s="221"/>
      <c r="I7666" s="221"/>
      <c r="J7666" s="221"/>
      <c r="K7666" s="221"/>
      <c r="L7666" s="221"/>
      <c r="M7666" s="221"/>
    </row>
    <row r="7667" spans="5:13">
      <c r="E7667" s="221"/>
      <c r="F7667" s="221"/>
      <c r="G7667" s="221"/>
      <c r="H7667" s="221"/>
      <c r="I7667" s="221"/>
      <c r="J7667" s="221"/>
      <c r="K7667" s="221"/>
      <c r="L7667" s="221"/>
      <c r="M7667" s="221"/>
    </row>
    <row r="7668" spans="5:13">
      <c r="E7668" s="221"/>
      <c r="F7668" s="221"/>
      <c r="G7668" s="221"/>
      <c r="H7668" s="221"/>
      <c r="I7668" s="221"/>
      <c r="J7668" s="221"/>
      <c r="K7668" s="221"/>
      <c r="L7668" s="221"/>
      <c r="M7668" s="221"/>
    </row>
    <row r="7669" spans="5:13">
      <c r="E7669" s="221"/>
      <c r="F7669" s="221"/>
      <c r="G7669" s="221"/>
      <c r="H7669" s="221"/>
      <c r="I7669" s="221"/>
      <c r="J7669" s="221"/>
      <c r="K7669" s="221"/>
      <c r="L7669" s="221"/>
      <c r="M7669" s="221"/>
    </row>
    <row r="7670" spans="5:13">
      <c r="E7670" s="221"/>
      <c r="F7670" s="221"/>
      <c r="G7670" s="221"/>
      <c r="H7670" s="221"/>
      <c r="I7670" s="221"/>
      <c r="J7670" s="221"/>
      <c r="K7670" s="221"/>
      <c r="L7670" s="221"/>
      <c r="M7670" s="221"/>
    </row>
    <row r="7671" spans="5:13">
      <c r="E7671" s="221"/>
      <c r="F7671" s="221"/>
      <c r="G7671" s="221"/>
      <c r="H7671" s="221"/>
      <c r="I7671" s="221"/>
      <c r="J7671" s="221"/>
      <c r="K7671" s="221"/>
      <c r="L7671" s="221"/>
      <c r="M7671" s="221"/>
    </row>
    <row r="7672" spans="5:13">
      <c r="E7672" s="221"/>
      <c r="F7672" s="221"/>
      <c r="G7672" s="221"/>
      <c r="H7672" s="221"/>
      <c r="I7672" s="221"/>
      <c r="J7672" s="221"/>
      <c r="K7672" s="221"/>
      <c r="L7672" s="221"/>
      <c r="M7672" s="221"/>
    </row>
    <row r="7673" spans="5:13">
      <c r="E7673" s="221"/>
      <c r="F7673" s="221"/>
      <c r="G7673" s="221"/>
      <c r="H7673" s="221"/>
      <c r="I7673" s="221"/>
      <c r="J7673" s="221"/>
      <c r="K7673" s="221"/>
      <c r="L7673" s="221"/>
      <c r="M7673" s="221"/>
    </row>
    <row r="7674" spans="5:13">
      <c r="E7674" s="221"/>
      <c r="F7674" s="221"/>
      <c r="G7674" s="221"/>
      <c r="H7674" s="221"/>
      <c r="I7674" s="221"/>
      <c r="J7674" s="221"/>
      <c r="K7674" s="221"/>
      <c r="L7674" s="221"/>
      <c r="M7674" s="221"/>
    </row>
    <row r="7675" spans="5:13">
      <c r="E7675" s="221"/>
      <c r="F7675" s="221"/>
      <c r="G7675" s="221"/>
      <c r="H7675" s="221"/>
      <c r="I7675" s="221"/>
      <c r="J7675" s="221"/>
      <c r="K7675" s="221"/>
      <c r="L7675" s="221"/>
      <c r="M7675" s="221"/>
    </row>
    <row r="7676" spans="5:13">
      <c r="E7676" s="221"/>
      <c r="F7676" s="221"/>
      <c r="G7676" s="221"/>
      <c r="H7676" s="221"/>
      <c r="I7676" s="221"/>
      <c r="J7676" s="221"/>
      <c r="K7676" s="221"/>
      <c r="L7676" s="221"/>
      <c r="M7676" s="221"/>
    </row>
    <row r="7677" spans="5:13">
      <c r="E7677" s="221"/>
      <c r="F7677" s="221"/>
      <c r="G7677" s="221"/>
      <c r="H7677" s="221"/>
      <c r="I7677" s="221"/>
      <c r="J7677" s="221"/>
      <c r="K7677" s="221"/>
      <c r="L7677" s="221"/>
      <c r="M7677" s="221"/>
    </row>
    <row r="7678" spans="5:13">
      <c r="E7678" s="221"/>
      <c r="F7678" s="221"/>
      <c r="G7678" s="221"/>
      <c r="H7678" s="221"/>
      <c r="I7678" s="221"/>
      <c r="J7678" s="221"/>
      <c r="K7678" s="221"/>
      <c r="L7678" s="221"/>
      <c r="M7678" s="221"/>
    </row>
    <row r="7679" spans="5:13">
      <c r="E7679" s="221"/>
      <c r="F7679" s="221"/>
      <c r="G7679" s="221"/>
      <c r="H7679" s="221"/>
      <c r="I7679" s="221"/>
      <c r="J7679" s="221"/>
      <c r="K7679" s="221"/>
      <c r="L7679" s="221"/>
      <c r="M7679" s="221"/>
    </row>
    <row r="7680" spans="5:13">
      <c r="E7680" s="221"/>
      <c r="F7680" s="221"/>
      <c r="G7680" s="221"/>
      <c r="H7680" s="221"/>
      <c r="I7680" s="221"/>
      <c r="J7680" s="221"/>
      <c r="K7680" s="221"/>
      <c r="L7680" s="221"/>
      <c r="M7680" s="221"/>
    </row>
    <row r="7681" spans="5:13">
      <c r="E7681" s="221"/>
      <c r="F7681" s="221"/>
      <c r="G7681" s="221"/>
      <c r="H7681" s="221"/>
      <c r="I7681" s="221"/>
      <c r="J7681" s="221"/>
      <c r="K7681" s="221"/>
      <c r="L7681" s="221"/>
      <c r="M7681" s="221"/>
    </row>
    <row r="7682" spans="5:13">
      <c r="E7682" s="221"/>
      <c r="F7682" s="221"/>
      <c r="G7682" s="221"/>
      <c r="H7682" s="221"/>
      <c r="I7682" s="221"/>
      <c r="J7682" s="221"/>
      <c r="K7682" s="221"/>
      <c r="L7682" s="221"/>
      <c r="M7682" s="221"/>
    </row>
    <row r="7683" spans="5:13">
      <c r="E7683" s="221"/>
      <c r="F7683" s="221"/>
      <c r="G7683" s="221"/>
      <c r="H7683" s="221"/>
      <c r="I7683" s="221"/>
      <c r="J7683" s="221"/>
      <c r="K7683" s="221"/>
      <c r="L7683" s="221"/>
      <c r="M7683" s="221"/>
    </row>
    <row r="7684" spans="5:13">
      <c r="E7684" s="221"/>
      <c r="F7684" s="221"/>
      <c r="G7684" s="221"/>
      <c r="H7684" s="221"/>
      <c r="I7684" s="221"/>
      <c r="J7684" s="221"/>
      <c r="K7684" s="221"/>
      <c r="L7684" s="221"/>
      <c r="M7684" s="221"/>
    </row>
    <row r="7685" spans="5:13">
      <c r="E7685" s="221"/>
      <c r="F7685" s="221"/>
      <c r="G7685" s="221"/>
      <c r="H7685" s="221"/>
      <c r="I7685" s="221"/>
      <c r="J7685" s="221"/>
      <c r="K7685" s="221"/>
      <c r="L7685" s="221"/>
      <c r="M7685" s="221"/>
    </row>
    <row r="7686" spans="5:13">
      <c r="E7686" s="221"/>
      <c r="F7686" s="221"/>
      <c r="G7686" s="221"/>
      <c r="H7686" s="221"/>
      <c r="I7686" s="221"/>
      <c r="J7686" s="221"/>
      <c r="K7686" s="221"/>
      <c r="L7686" s="221"/>
      <c r="M7686" s="221"/>
    </row>
    <row r="7687" spans="5:13">
      <c r="E7687" s="221"/>
      <c r="F7687" s="221"/>
      <c r="G7687" s="221"/>
      <c r="H7687" s="221"/>
      <c r="I7687" s="221"/>
      <c r="J7687" s="221"/>
      <c r="K7687" s="221"/>
      <c r="L7687" s="221"/>
      <c r="M7687" s="221"/>
    </row>
    <row r="7688" spans="5:13">
      <c r="E7688" s="221"/>
      <c r="F7688" s="221"/>
      <c r="G7688" s="221"/>
      <c r="H7688" s="221"/>
      <c r="I7688" s="221"/>
      <c r="J7688" s="221"/>
      <c r="K7688" s="221"/>
      <c r="L7688" s="221"/>
      <c r="M7688" s="221"/>
    </row>
    <row r="7689" spans="5:13">
      <c r="E7689" s="221"/>
      <c r="F7689" s="221"/>
      <c r="G7689" s="221"/>
      <c r="H7689" s="221"/>
      <c r="I7689" s="221"/>
      <c r="J7689" s="221"/>
      <c r="K7689" s="221"/>
      <c r="L7689" s="221"/>
      <c r="M7689" s="221"/>
    </row>
    <row r="7690" spans="5:13">
      <c r="E7690" s="221"/>
      <c r="F7690" s="221"/>
      <c r="G7690" s="221"/>
      <c r="H7690" s="221"/>
      <c r="I7690" s="221"/>
      <c r="J7690" s="221"/>
      <c r="K7690" s="221"/>
      <c r="L7690" s="221"/>
      <c r="M7690" s="221"/>
    </row>
    <row r="7691" spans="5:13">
      <c r="E7691" s="221"/>
      <c r="F7691" s="221"/>
      <c r="G7691" s="221"/>
      <c r="H7691" s="221"/>
      <c r="I7691" s="221"/>
      <c r="J7691" s="221"/>
      <c r="K7691" s="221"/>
      <c r="L7691" s="221"/>
      <c r="M7691" s="221"/>
    </row>
    <row r="7692" spans="5:13">
      <c r="E7692" s="221"/>
      <c r="F7692" s="221"/>
      <c r="G7692" s="221"/>
      <c r="H7692" s="221"/>
      <c r="I7692" s="221"/>
      <c r="J7692" s="221"/>
      <c r="K7692" s="221"/>
      <c r="L7692" s="221"/>
      <c r="M7692" s="221"/>
    </row>
    <row r="7693" spans="5:13">
      <c r="E7693" s="221"/>
      <c r="F7693" s="221"/>
      <c r="G7693" s="221"/>
      <c r="H7693" s="221"/>
      <c r="I7693" s="221"/>
      <c r="J7693" s="221"/>
      <c r="K7693" s="221"/>
      <c r="L7693" s="221"/>
      <c r="M7693" s="221"/>
    </row>
    <row r="7694" spans="5:13">
      <c r="E7694" s="221"/>
      <c r="F7694" s="221"/>
      <c r="G7694" s="221"/>
      <c r="H7694" s="221"/>
      <c r="I7694" s="221"/>
      <c r="J7694" s="221"/>
      <c r="K7694" s="221"/>
      <c r="L7694" s="221"/>
      <c r="M7694" s="221"/>
    </row>
    <row r="7695" spans="5:13">
      <c r="E7695" s="221"/>
      <c r="F7695" s="221"/>
      <c r="G7695" s="221"/>
      <c r="H7695" s="221"/>
      <c r="I7695" s="221"/>
      <c r="J7695" s="221"/>
      <c r="K7695" s="221"/>
      <c r="L7695" s="221"/>
      <c r="M7695" s="221"/>
    </row>
    <row r="7696" spans="5:13">
      <c r="E7696" s="221"/>
      <c r="F7696" s="221"/>
      <c r="G7696" s="221"/>
      <c r="H7696" s="221"/>
      <c r="I7696" s="221"/>
      <c r="J7696" s="221"/>
      <c r="K7696" s="221"/>
      <c r="L7696" s="221"/>
      <c r="M7696" s="221"/>
    </row>
    <row r="7697" spans="5:13">
      <c r="E7697" s="221"/>
      <c r="F7697" s="221"/>
      <c r="G7697" s="221"/>
      <c r="H7697" s="221"/>
      <c r="I7697" s="221"/>
      <c r="J7697" s="221"/>
      <c r="K7697" s="221"/>
      <c r="L7697" s="221"/>
      <c r="M7697" s="221"/>
    </row>
    <row r="7698" spans="5:13">
      <c r="E7698" s="221"/>
      <c r="F7698" s="221"/>
      <c r="G7698" s="221"/>
      <c r="H7698" s="221"/>
      <c r="I7698" s="221"/>
      <c r="J7698" s="221"/>
      <c r="K7698" s="221"/>
      <c r="L7698" s="221"/>
      <c r="M7698" s="221"/>
    </row>
    <row r="7699" spans="5:13">
      <c r="E7699" s="221"/>
      <c r="F7699" s="221"/>
      <c r="G7699" s="221"/>
      <c r="H7699" s="221"/>
      <c r="I7699" s="221"/>
      <c r="J7699" s="221"/>
      <c r="K7699" s="221"/>
      <c r="L7699" s="221"/>
      <c r="M7699" s="221"/>
    </row>
    <row r="7700" spans="5:13">
      <c r="E7700" s="221"/>
      <c r="F7700" s="221"/>
      <c r="G7700" s="221"/>
      <c r="H7700" s="221"/>
      <c r="I7700" s="221"/>
      <c r="J7700" s="221"/>
      <c r="K7700" s="221"/>
      <c r="L7700" s="221"/>
      <c r="M7700" s="221"/>
    </row>
    <row r="7701" spans="5:13">
      <c r="E7701" s="221"/>
      <c r="F7701" s="221"/>
      <c r="G7701" s="221"/>
      <c r="H7701" s="221"/>
      <c r="I7701" s="221"/>
      <c r="J7701" s="221"/>
      <c r="K7701" s="221"/>
      <c r="L7701" s="221"/>
      <c r="M7701" s="221"/>
    </row>
    <row r="7702" spans="5:13">
      <c r="E7702" s="221"/>
      <c r="F7702" s="221"/>
      <c r="G7702" s="221"/>
      <c r="H7702" s="221"/>
      <c r="I7702" s="221"/>
      <c r="J7702" s="221"/>
      <c r="K7702" s="221"/>
      <c r="L7702" s="221"/>
      <c r="M7702" s="221"/>
    </row>
    <row r="7703" spans="5:13">
      <c r="E7703" s="221"/>
      <c r="F7703" s="221"/>
      <c r="G7703" s="221"/>
      <c r="H7703" s="221"/>
      <c r="I7703" s="221"/>
      <c r="J7703" s="221"/>
      <c r="K7703" s="221"/>
      <c r="L7703" s="221"/>
      <c r="M7703" s="221"/>
    </row>
    <row r="7704" spans="5:13">
      <c r="E7704" s="221"/>
      <c r="F7704" s="221"/>
      <c r="G7704" s="221"/>
      <c r="H7704" s="221"/>
      <c r="I7704" s="221"/>
      <c r="J7704" s="221"/>
      <c r="K7704" s="221"/>
      <c r="L7704" s="221"/>
      <c r="M7704" s="221"/>
    </row>
    <row r="7705" spans="5:13">
      <c r="E7705" s="221"/>
      <c r="F7705" s="221"/>
      <c r="G7705" s="221"/>
      <c r="H7705" s="221"/>
      <c r="I7705" s="221"/>
      <c r="J7705" s="221"/>
      <c r="K7705" s="221"/>
      <c r="L7705" s="221"/>
      <c r="M7705" s="221"/>
    </row>
    <row r="7706" spans="5:13">
      <c r="E7706" s="221"/>
      <c r="F7706" s="221"/>
      <c r="G7706" s="221"/>
      <c r="H7706" s="221"/>
      <c r="I7706" s="221"/>
      <c r="J7706" s="221"/>
      <c r="K7706" s="221"/>
      <c r="L7706" s="221"/>
      <c r="M7706" s="221"/>
    </row>
    <row r="7707" spans="5:13">
      <c r="E7707" s="221"/>
      <c r="F7707" s="221"/>
      <c r="G7707" s="221"/>
      <c r="H7707" s="221"/>
      <c r="I7707" s="221"/>
      <c r="J7707" s="221"/>
      <c r="K7707" s="221"/>
      <c r="L7707" s="221"/>
      <c r="M7707" s="221"/>
    </row>
    <row r="7708" spans="5:13">
      <c r="E7708" s="221"/>
      <c r="F7708" s="221"/>
      <c r="G7708" s="221"/>
      <c r="H7708" s="221"/>
      <c r="I7708" s="221"/>
      <c r="J7708" s="221"/>
      <c r="K7708" s="221"/>
      <c r="L7708" s="221"/>
      <c r="M7708" s="221"/>
    </row>
    <row r="7709" spans="5:13">
      <c r="E7709" s="221"/>
      <c r="F7709" s="221"/>
      <c r="G7709" s="221"/>
      <c r="H7709" s="221"/>
      <c r="I7709" s="221"/>
      <c r="J7709" s="221"/>
      <c r="K7709" s="221"/>
      <c r="L7709" s="221"/>
      <c r="M7709" s="221"/>
    </row>
    <row r="7710" spans="5:13">
      <c r="E7710" s="221"/>
      <c r="F7710" s="221"/>
      <c r="G7710" s="221"/>
      <c r="H7710" s="221"/>
      <c r="I7710" s="221"/>
      <c r="J7710" s="221"/>
      <c r="K7710" s="221"/>
      <c r="L7710" s="221"/>
      <c r="M7710" s="221"/>
    </row>
    <row r="7711" spans="5:13">
      <c r="E7711" s="221"/>
      <c r="F7711" s="221"/>
      <c r="G7711" s="221"/>
      <c r="H7711" s="221"/>
      <c r="I7711" s="221"/>
      <c r="J7711" s="221"/>
      <c r="K7711" s="221"/>
      <c r="L7711" s="221"/>
      <c r="M7711" s="221"/>
    </row>
    <row r="7712" spans="5:13">
      <c r="E7712" s="221"/>
      <c r="F7712" s="221"/>
      <c r="G7712" s="221"/>
      <c r="H7712" s="221"/>
      <c r="I7712" s="221"/>
      <c r="J7712" s="221"/>
      <c r="K7712" s="221"/>
      <c r="L7712" s="221"/>
      <c r="M7712" s="221"/>
    </row>
    <row r="7713" spans="5:13">
      <c r="E7713" s="221"/>
      <c r="F7713" s="221"/>
      <c r="G7713" s="221"/>
      <c r="H7713" s="221"/>
      <c r="I7713" s="221"/>
      <c r="J7713" s="221"/>
      <c r="K7713" s="221"/>
      <c r="L7713" s="221"/>
      <c r="M7713" s="221"/>
    </row>
    <row r="7714" spans="5:13">
      <c r="E7714" s="221"/>
      <c r="F7714" s="221"/>
      <c r="G7714" s="221"/>
      <c r="H7714" s="221"/>
      <c r="I7714" s="221"/>
      <c r="J7714" s="221"/>
      <c r="K7714" s="221"/>
      <c r="L7714" s="221"/>
      <c r="M7714" s="221"/>
    </row>
    <row r="7715" spans="5:13">
      <c r="E7715" s="221"/>
      <c r="F7715" s="221"/>
      <c r="G7715" s="221"/>
      <c r="H7715" s="221"/>
      <c r="I7715" s="221"/>
      <c r="J7715" s="221"/>
      <c r="K7715" s="221"/>
      <c r="L7715" s="221"/>
      <c r="M7715" s="221"/>
    </row>
    <row r="7716" spans="5:13">
      <c r="E7716" s="221"/>
      <c r="F7716" s="221"/>
      <c r="G7716" s="221"/>
      <c r="H7716" s="221"/>
      <c r="I7716" s="221"/>
      <c r="J7716" s="221"/>
      <c r="K7716" s="221"/>
      <c r="L7716" s="221"/>
      <c r="M7716" s="221"/>
    </row>
    <row r="7717" spans="5:13">
      <c r="E7717" s="221"/>
      <c r="F7717" s="221"/>
      <c r="G7717" s="221"/>
      <c r="H7717" s="221"/>
      <c r="I7717" s="221"/>
      <c r="J7717" s="221"/>
      <c r="K7717" s="221"/>
      <c r="L7717" s="221"/>
      <c r="M7717" s="221"/>
    </row>
    <row r="7718" spans="5:13">
      <c r="E7718" s="221"/>
      <c r="F7718" s="221"/>
      <c r="G7718" s="221"/>
      <c r="H7718" s="221"/>
      <c r="I7718" s="221"/>
      <c r="J7718" s="221"/>
      <c r="K7718" s="221"/>
      <c r="L7718" s="221"/>
      <c r="M7718" s="221"/>
    </row>
    <row r="7719" spans="5:13">
      <c r="E7719" s="221"/>
      <c r="F7719" s="221"/>
      <c r="G7719" s="221"/>
      <c r="H7719" s="221"/>
      <c r="I7719" s="221"/>
      <c r="J7719" s="221"/>
      <c r="K7719" s="221"/>
      <c r="L7719" s="221"/>
      <c r="M7719" s="221"/>
    </row>
    <row r="7720" spans="5:13">
      <c r="E7720" s="221"/>
      <c r="F7720" s="221"/>
      <c r="G7720" s="221"/>
      <c r="H7720" s="221"/>
      <c r="I7720" s="221"/>
      <c r="J7720" s="221"/>
      <c r="K7720" s="221"/>
      <c r="L7720" s="221"/>
      <c r="M7720" s="221"/>
    </row>
    <row r="7721" spans="5:13">
      <c r="E7721" s="221"/>
      <c r="F7721" s="221"/>
      <c r="G7721" s="221"/>
      <c r="H7721" s="221"/>
      <c r="I7721" s="221"/>
      <c r="J7721" s="221"/>
      <c r="K7721" s="221"/>
      <c r="L7721" s="221"/>
      <c r="M7721" s="221"/>
    </row>
    <row r="7722" spans="5:13">
      <c r="E7722" s="221"/>
      <c r="F7722" s="221"/>
      <c r="G7722" s="221"/>
      <c r="H7722" s="221"/>
      <c r="I7722" s="221"/>
      <c r="J7722" s="221"/>
      <c r="K7722" s="221"/>
      <c r="L7722" s="221"/>
      <c r="M7722" s="221"/>
    </row>
    <row r="7723" spans="5:13">
      <c r="E7723" s="221"/>
      <c r="F7723" s="221"/>
      <c r="G7723" s="221"/>
      <c r="H7723" s="221"/>
      <c r="I7723" s="221"/>
      <c r="J7723" s="221"/>
      <c r="K7723" s="221"/>
      <c r="L7723" s="221"/>
      <c r="M7723" s="221"/>
    </row>
    <row r="7724" spans="5:13">
      <c r="E7724" s="221"/>
      <c r="F7724" s="221"/>
      <c r="G7724" s="221"/>
      <c r="H7724" s="221"/>
      <c r="I7724" s="221"/>
      <c r="J7724" s="221"/>
      <c r="K7724" s="221"/>
      <c r="L7724" s="221"/>
      <c r="M7724" s="221"/>
    </row>
    <row r="7725" spans="5:13">
      <c r="E7725" s="221"/>
      <c r="F7725" s="221"/>
      <c r="G7725" s="221"/>
      <c r="H7725" s="221"/>
      <c r="I7725" s="221"/>
      <c r="J7725" s="221"/>
      <c r="K7725" s="221"/>
      <c r="L7725" s="221"/>
      <c r="M7725" s="221"/>
    </row>
    <row r="7726" spans="5:13">
      <c r="E7726" s="221"/>
      <c r="F7726" s="221"/>
      <c r="G7726" s="221"/>
      <c r="H7726" s="221"/>
      <c r="I7726" s="221"/>
      <c r="J7726" s="221"/>
      <c r="K7726" s="221"/>
      <c r="L7726" s="221"/>
      <c r="M7726" s="221"/>
    </row>
    <row r="7727" spans="5:13">
      <c r="E7727" s="221"/>
      <c r="F7727" s="221"/>
      <c r="G7727" s="221"/>
      <c r="H7727" s="221"/>
      <c r="I7727" s="221"/>
      <c r="J7727" s="221"/>
      <c r="K7727" s="221"/>
      <c r="L7727" s="221"/>
      <c r="M7727" s="221"/>
    </row>
    <row r="7728" spans="5:13">
      <c r="E7728" s="221"/>
      <c r="F7728" s="221"/>
      <c r="G7728" s="221"/>
      <c r="H7728" s="221"/>
      <c r="I7728" s="221"/>
      <c r="J7728" s="221"/>
      <c r="K7728" s="221"/>
      <c r="L7728" s="221"/>
      <c r="M7728" s="221"/>
    </row>
    <row r="7729" spans="5:13">
      <c r="E7729" s="221"/>
      <c r="F7729" s="221"/>
      <c r="G7729" s="221"/>
      <c r="H7729" s="221"/>
      <c r="I7729" s="221"/>
      <c r="J7729" s="221"/>
      <c r="K7729" s="221"/>
      <c r="L7729" s="221"/>
      <c r="M7729" s="221"/>
    </row>
    <row r="7730" spans="5:13">
      <c r="E7730" s="221"/>
      <c r="F7730" s="221"/>
      <c r="G7730" s="221"/>
      <c r="H7730" s="221"/>
      <c r="I7730" s="221"/>
      <c r="J7730" s="221"/>
      <c r="K7730" s="221"/>
      <c r="L7730" s="221"/>
      <c r="M7730" s="221"/>
    </row>
    <row r="7731" spans="5:13">
      <c r="E7731" s="221"/>
      <c r="F7731" s="221"/>
      <c r="G7731" s="221"/>
      <c r="H7731" s="221"/>
      <c r="I7731" s="221"/>
      <c r="J7731" s="221"/>
      <c r="K7731" s="221"/>
      <c r="L7731" s="221"/>
      <c r="M7731" s="221"/>
    </row>
    <row r="7732" spans="5:13">
      <c r="E7732" s="221"/>
      <c r="F7732" s="221"/>
      <c r="G7732" s="221"/>
      <c r="H7732" s="221"/>
      <c r="I7732" s="221"/>
      <c r="J7732" s="221"/>
      <c r="K7732" s="221"/>
      <c r="L7732" s="221"/>
      <c r="M7732" s="221"/>
    </row>
    <row r="7733" spans="5:13">
      <c r="E7733" s="221"/>
      <c r="F7733" s="221"/>
      <c r="G7733" s="221"/>
      <c r="H7733" s="221"/>
      <c r="I7733" s="221"/>
      <c r="J7733" s="221"/>
      <c r="K7733" s="221"/>
      <c r="L7733" s="221"/>
      <c r="M7733" s="221"/>
    </row>
    <row r="7734" spans="5:13">
      <c r="E7734" s="221"/>
      <c r="F7734" s="221"/>
      <c r="G7734" s="221"/>
      <c r="H7734" s="221"/>
      <c r="I7734" s="221"/>
      <c r="J7734" s="221"/>
      <c r="K7734" s="221"/>
      <c r="L7734" s="221"/>
      <c r="M7734" s="221"/>
    </row>
    <row r="7735" spans="5:13">
      <c r="E7735" s="221"/>
      <c r="F7735" s="221"/>
      <c r="G7735" s="221"/>
      <c r="H7735" s="221"/>
      <c r="I7735" s="221"/>
      <c r="J7735" s="221"/>
      <c r="K7735" s="221"/>
      <c r="L7735" s="221"/>
      <c r="M7735" s="221"/>
    </row>
    <row r="7736" spans="5:13">
      <c r="E7736" s="221"/>
      <c r="F7736" s="221"/>
      <c r="G7736" s="221"/>
      <c r="H7736" s="221"/>
      <c r="I7736" s="221"/>
      <c r="J7736" s="221"/>
      <c r="K7736" s="221"/>
      <c r="L7736" s="221"/>
      <c r="M7736" s="221"/>
    </row>
    <row r="7737" spans="5:13">
      <c r="E7737" s="221"/>
      <c r="F7737" s="221"/>
      <c r="G7737" s="221"/>
      <c r="H7737" s="221"/>
      <c r="I7737" s="221"/>
      <c r="J7737" s="221"/>
      <c r="K7737" s="221"/>
      <c r="L7737" s="221"/>
      <c r="M7737" s="221"/>
    </row>
    <row r="7738" spans="5:13">
      <c r="E7738" s="221"/>
      <c r="F7738" s="221"/>
      <c r="G7738" s="221"/>
      <c r="H7738" s="221"/>
      <c r="I7738" s="221"/>
      <c r="J7738" s="221"/>
      <c r="K7738" s="221"/>
      <c r="L7738" s="221"/>
      <c r="M7738" s="221"/>
    </row>
    <row r="7739" spans="5:13">
      <c r="E7739" s="221"/>
      <c r="F7739" s="221"/>
      <c r="G7739" s="221"/>
      <c r="H7739" s="221"/>
      <c r="I7739" s="221"/>
      <c r="J7739" s="221"/>
      <c r="K7739" s="221"/>
      <c r="L7739" s="221"/>
      <c r="M7739" s="221"/>
    </row>
    <row r="7740" spans="5:13">
      <c r="E7740" s="221"/>
      <c r="F7740" s="221"/>
      <c r="G7740" s="221"/>
      <c r="H7740" s="221"/>
      <c r="I7740" s="221"/>
      <c r="J7740" s="221"/>
      <c r="K7740" s="221"/>
      <c r="L7740" s="221"/>
      <c r="M7740" s="221"/>
    </row>
    <row r="7741" spans="5:13">
      <c r="E7741" s="221"/>
      <c r="F7741" s="221"/>
      <c r="G7741" s="221"/>
      <c r="H7741" s="221"/>
      <c r="I7741" s="221"/>
      <c r="J7741" s="221"/>
      <c r="K7741" s="221"/>
      <c r="L7741" s="221"/>
      <c r="M7741" s="221"/>
    </row>
    <row r="7742" spans="5:13">
      <c r="E7742" s="221"/>
      <c r="F7742" s="221"/>
      <c r="G7742" s="221"/>
      <c r="H7742" s="221"/>
      <c r="I7742" s="221"/>
      <c r="J7742" s="221"/>
      <c r="K7742" s="221"/>
      <c r="L7742" s="221"/>
      <c r="M7742" s="221"/>
    </row>
    <row r="7743" spans="5:13">
      <c r="E7743" s="221"/>
      <c r="F7743" s="221"/>
      <c r="G7743" s="221"/>
      <c r="H7743" s="221"/>
      <c r="I7743" s="221"/>
      <c r="J7743" s="221"/>
      <c r="K7743" s="221"/>
      <c r="L7743" s="221"/>
      <c r="M7743" s="221"/>
    </row>
    <row r="7744" spans="5:13">
      <c r="E7744" s="221"/>
      <c r="F7744" s="221"/>
      <c r="G7744" s="221"/>
      <c r="H7744" s="221"/>
      <c r="I7744" s="221"/>
      <c r="J7744" s="221"/>
      <c r="K7744" s="221"/>
      <c r="L7744" s="221"/>
      <c r="M7744" s="221"/>
    </row>
    <row r="7745" spans="5:13">
      <c r="E7745" s="221"/>
      <c r="F7745" s="221"/>
      <c r="G7745" s="221"/>
      <c r="H7745" s="221"/>
      <c r="I7745" s="221"/>
      <c r="J7745" s="221"/>
      <c r="K7745" s="221"/>
      <c r="L7745" s="221"/>
      <c r="M7745" s="221"/>
    </row>
    <row r="7746" spans="5:13">
      <c r="E7746" s="221"/>
      <c r="F7746" s="221"/>
      <c r="G7746" s="221"/>
      <c r="H7746" s="221"/>
      <c r="I7746" s="221"/>
      <c r="J7746" s="221"/>
      <c r="K7746" s="221"/>
      <c r="L7746" s="221"/>
      <c r="M7746" s="221"/>
    </row>
    <row r="7747" spans="5:13">
      <c r="E7747" s="221"/>
      <c r="F7747" s="221"/>
      <c r="G7747" s="221"/>
      <c r="H7747" s="221"/>
      <c r="I7747" s="221"/>
      <c r="J7747" s="221"/>
      <c r="K7747" s="221"/>
      <c r="L7747" s="221"/>
      <c r="M7747" s="221"/>
    </row>
    <row r="7748" spans="5:13">
      <c r="E7748" s="221"/>
      <c r="F7748" s="221"/>
      <c r="G7748" s="221"/>
      <c r="H7748" s="221"/>
      <c r="I7748" s="221"/>
      <c r="J7748" s="221"/>
      <c r="K7748" s="221"/>
      <c r="L7748" s="221"/>
      <c r="M7748" s="221"/>
    </row>
    <row r="7749" spans="5:13">
      <c r="E7749" s="221"/>
      <c r="F7749" s="221"/>
      <c r="G7749" s="221"/>
      <c r="H7749" s="221"/>
      <c r="I7749" s="221"/>
      <c r="J7749" s="221"/>
      <c r="K7749" s="221"/>
      <c r="L7749" s="221"/>
      <c r="M7749" s="221"/>
    </row>
    <row r="7750" spans="5:13">
      <c r="E7750" s="221"/>
      <c r="F7750" s="221"/>
      <c r="G7750" s="221"/>
      <c r="H7750" s="221"/>
      <c r="I7750" s="221"/>
      <c r="J7750" s="221"/>
      <c r="K7750" s="221"/>
      <c r="L7750" s="221"/>
      <c r="M7750" s="221"/>
    </row>
    <row r="7751" spans="5:13">
      <c r="E7751" s="221"/>
      <c r="F7751" s="221"/>
      <c r="G7751" s="221"/>
      <c r="H7751" s="221"/>
      <c r="I7751" s="221"/>
      <c r="J7751" s="221"/>
      <c r="K7751" s="221"/>
      <c r="L7751" s="221"/>
      <c r="M7751" s="221"/>
    </row>
    <row r="7752" spans="5:13">
      <c r="E7752" s="221"/>
      <c r="F7752" s="221"/>
      <c r="G7752" s="221"/>
      <c r="H7752" s="221"/>
      <c r="I7752" s="221"/>
      <c r="J7752" s="221"/>
      <c r="K7752" s="221"/>
      <c r="L7752" s="221"/>
      <c r="M7752" s="221"/>
    </row>
    <row r="7753" spans="5:13">
      <c r="E7753" s="221"/>
      <c r="F7753" s="221"/>
      <c r="G7753" s="221"/>
      <c r="H7753" s="221"/>
      <c r="I7753" s="221"/>
      <c r="J7753" s="221"/>
      <c r="K7753" s="221"/>
      <c r="L7753" s="221"/>
      <c r="M7753" s="221"/>
    </row>
    <row r="7754" spans="5:13">
      <c r="E7754" s="221"/>
      <c r="F7754" s="221"/>
      <c r="G7754" s="221"/>
      <c r="H7754" s="221"/>
      <c r="I7754" s="221"/>
      <c r="J7754" s="221"/>
      <c r="K7754" s="221"/>
      <c r="L7754" s="221"/>
      <c r="M7754" s="221"/>
    </row>
    <row r="7755" spans="5:13">
      <c r="E7755" s="221"/>
      <c r="F7755" s="221"/>
      <c r="G7755" s="221"/>
      <c r="H7755" s="221"/>
      <c r="I7755" s="221"/>
      <c r="J7755" s="221"/>
      <c r="K7755" s="221"/>
      <c r="L7755" s="221"/>
      <c r="M7755" s="221"/>
    </row>
    <row r="7756" spans="5:13">
      <c r="E7756" s="221"/>
      <c r="F7756" s="221"/>
      <c r="G7756" s="221"/>
      <c r="H7756" s="221"/>
      <c r="I7756" s="221"/>
      <c r="J7756" s="221"/>
      <c r="K7756" s="221"/>
      <c r="L7756" s="221"/>
      <c r="M7756" s="221"/>
    </row>
    <row r="7757" spans="5:13">
      <c r="E7757" s="221"/>
      <c r="F7757" s="221"/>
      <c r="G7757" s="221"/>
      <c r="H7757" s="221"/>
      <c r="I7757" s="221"/>
      <c r="J7757" s="221"/>
      <c r="K7757" s="221"/>
      <c r="L7757" s="221"/>
      <c r="M7757" s="221"/>
    </row>
    <row r="7758" spans="5:13">
      <c r="E7758" s="221"/>
      <c r="F7758" s="221"/>
      <c r="G7758" s="221"/>
      <c r="H7758" s="221"/>
      <c r="I7758" s="221"/>
      <c r="J7758" s="221"/>
      <c r="K7758" s="221"/>
      <c r="L7758" s="221"/>
      <c r="M7758" s="221"/>
    </row>
    <row r="7759" spans="5:13">
      <c r="E7759" s="221"/>
      <c r="F7759" s="221"/>
      <c r="G7759" s="221"/>
      <c r="H7759" s="221"/>
      <c r="I7759" s="221"/>
      <c r="J7759" s="221"/>
      <c r="K7759" s="221"/>
      <c r="L7759" s="221"/>
      <c r="M7759" s="221"/>
    </row>
    <row r="7760" spans="5:13">
      <c r="E7760" s="221"/>
      <c r="F7760" s="221"/>
      <c r="G7760" s="221"/>
      <c r="H7760" s="221"/>
      <c r="I7760" s="221"/>
      <c r="J7760" s="221"/>
      <c r="K7760" s="221"/>
      <c r="L7760" s="221"/>
      <c r="M7760" s="221"/>
    </row>
    <row r="7761" spans="5:13">
      <c r="E7761" s="221"/>
      <c r="F7761" s="221"/>
      <c r="G7761" s="221"/>
      <c r="H7761" s="221"/>
      <c r="I7761" s="221"/>
      <c r="J7761" s="221"/>
      <c r="K7761" s="221"/>
      <c r="L7761" s="221"/>
      <c r="M7761" s="221"/>
    </row>
    <row r="7762" spans="5:13">
      <c r="E7762" s="221"/>
      <c r="F7762" s="221"/>
      <c r="G7762" s="221"/>
      <c r="H7762" s="221"/>
      <c r="I7762" s="221"/>
      <c r="J7762" s="221"/>
      <c r="K7762" s="221"/>
      <c r="L7762" s="221"/>
      <c r="M7762" s="221"/>
    </row>
    <row r="7763" spans="5:13">
      <c r="E7763" s="221"/>
      <c r="F7763" s="221"/>
      <c r="G7763" s="221"/>
      <c r="H7763" s="221"/>
      <c r="I7763" s="221"/>
      <c r="J7763" s="221"/>
      <c r="K7763" s="221"/>
      <c r="L7763" s="221"/>
      <c r="M7763" s="221"/>
    </row>
    <row r="7764" spans="5:13">
      <c r="E7764" s="221"/>
      <c r="F7764" s="221"/>
      <c r="G7764" s="221"/>
      <c r="H7764" s="221"/>
      <c r="I7764" s="221"/>
      <c r="J7764" s="221"/>
      <c r="K7764" s="221"/>
      <c r="L7764" s="221"/>
      <c r="M7764" s="221"/>
    </row>
    <row r="7765" spans="5:13">
      <c r="E7765" s="221"/>
      <c r="F7765" s="221"/>
      <c r="G7765" s="221"/>
      <c r="H7765" s="221"/>
      <c r="I7765" s="221"/>
      <c r="J7765" s="221"/>
      <c r="K7765" s="221"/>
      <c r="L7765" s="221"/>
      <c r="M7765" s="221"/>
    </row>
    <row r="7766" spans="5:13">
      <c r="E7766" s="221"/>
      <c r="F7766" s="221"/>
      <c r="G7766" s="221"/>
      <c r="H7766" s="221"/>
      <c r="I7766" s="221"/>
      <c r="J7766" s="221"/>
      <c r="K7766" s="221"/>
      <c r="L7766" s="221"/>
      <c r="M7766" s="221"/>
    </row>
    <row r="7767" spans="5:13">
      <c r="E7767" s="221"/>
      <c r="F7767" s="221"/>
      <c r="G7767" s="221"/>
      <c r="H7767" s="221"/>
      <c r="I7767" s="221"/>
      <c r="J7767" s="221"/>
      <c r="K7767" s="221"/>
      <c r="L7767" s="221"/>
      <c r="M7767" s="221"/>
    </row>
    <row r="7768" spans="5:13">
      <c r="E7768" s="221"/>
      <c r="F7768" s="221"/>
      <c r="G7768" s="221"/>
      <c r="H7768" s="221"/>
      <c r="I7768" s="221"/>
      <c r="J7768" s="221"/>
      <c r="K7768" s="221"/>
      <c r="L7768" s="221"/>
      <c r="M7768" s="221"/>
    </row>
    <row r="7769" spans="5:13">
      <c r="E7769" s="221"/>
      <c r="F7769" s="221"/>
      <c r="G7769" s="221"/>
      <c r="H7769" s="221"/>
      <c r="I7769" s="221"/>
      <c r="J7769" s="221"/>
      <c r="K7769" s="221"/>
      <c r="L7769" s="221"/>
      <c r="M7769" s="221"/>
    </row>
    <row r="7770" spans="5:13">
      <c r="E7770" s="221"/>
      <c r="F7770" s="221"/>
      <c r="G7770" s="221"/>
      <c r="H7770" s="221"/>
      <c r="I7770" s="221"/>
      <c r="J7770" s="221"/>
      <c r="K7770" s="221"/>
      <c r="L7770" s="221"/>
      <c r="M7770" s="221"/>
    </row>
    <row r="7771" spans="5:13">
      <c r="E7771" s="221"/>
      <c r="F7771" s="221"/>
      <c r="G7771" s="221"/>
      <c r="H7771" s="221"/>
      <c r="I7771" s="221"/>
      <c r="J7771" s="221"/>
      <c r="K7771" s="221"/>
      <c r="L7771" s="221"/>
      <c r="M7771" s="221"/>
    </row>
    <row r="7772" spans="5:13">
      <c r="E7772" s="221"/>
      <c r="F7772" s="221"/>
      <c r="G7772" s="221"/>
      <c r="H7772" s="221"/>
      <c r="I7772" s="221"/>
      <c r="J7772" s="221"/>
      <c r="K7772" s="221"/>
      <c r="L7772" s="221"/>
      <c r="M7772" s="221"/>
    </row>
    <row r="7773" spans="5:13">
      <c r="E7773" s="221"/>
      <c r="F7773" s="221"/>
      <c r="G7773" s="221"/>
      <c r="H7773" s="221"/>
      <c r="I7773" s="221"/>
      <c r="J7773" s="221"/>
      <c r="K7773" s="221"/>
      <c r="L7773" s="221"/>
      <c r="M7773" s="221"/>
    </row>
    <row r="7774" spans="5:13">
      <c r="E7774" s="221"/>
      <c r="F7774" s="221"/>
      <c r="G7774" s="221"/>
      <c r="H7774" s="221"/>
      <c r="I7774" s="221"/>
      <c r="J7774" s="221"/>
      <c r="K7774" s="221"/>
      <c r="L7774" s="221"/>
      <c r="M7774" s="221"/>
    </row>
    <row r="7775" spans="5:13">
      <c r="E7775" s="221"/>
      <c r="F7775" s="221"/>
      <c r="G7775" s="221"/>
      <c r="H7775" s="221"/>
      <c r="I7775" s="221"/>
      <c r="J7775" s="221"/>
      <c r="K7775" s="221"/>
      <c r="L7775" s="221"/>
      <c r="M7775" s="221"/>
    </row>
    <row r="7776" spans="5:13">
      <c r="E7776" s="221"/>
      <c r="F7776" s="221"/>
      <c r="G7776" s="221"/>
      <c r="H7776" s="221"/>
      <c r="I7776" s="221"/>
      <c r="J7776" s="221"/>
      <c r="K7776" s="221"/>
      <c r="L7776" s="221"/>
      <c r="M7776" s="221"/>
    </row>
    <row r="7777" spans="5:13">
      <c r="E7777" s="221"/>
      <c r="F7777" s="221"/>
      <c r="G7777" s="221"/>
      <c r="H7777" s="221"/>
      <c r="I7777" s="221"/>
      <c r="J7777" s="221"/>
      <c r="K7777" s="221"/>
      <c r="L7777" s="221"/>
      <c r="M7777" s="221"/>
    </row>
    <row r="7778" spans="5:13">
      <c r="E7778" s="221"/>
      <c r="F7778" s="221"/>
      <c r="G7778" s="221"/>
      <c r="H7778" s="221"/>
      <c r="I7778" s="221"/>
      <c r="J7778" s="221"/>
      <c r="K7778" s="221"/>
      <c r="L7778" s="221"/>
      <c r="M7778" s="221"/>
    </row>
    <row r="7779" spans="5:13">
      <c r="E7779" s="221"/>
      <c r="F7779" s="221"/>
      <c r="G7779" s="221"/>
      <c r="H7779" s="221"/>
      <c r="I7779" s="221"/>
      <c r="J7779" s="221"/>
      <c r="K7779" s="221"/>
      <c r="L7779" s="221"/>
      <c r="M7779" s="221"/>
    </row>
    <row r="7780" spans="5:13">
      <c r="E7780" s="221"/>
      <c r="F7780" s="221"/>
      <c r="G7780" s="221"/>
      <c r="H7780" s="221"/>
      <c r="I7780" s="221"/>
      <c r="J7780" s="221"/>
      <c r="K7780" s="221"/>
      <c r="L7780" s="221"/>
      <c r="M7780" s="221"/>
    </row>
    <row r="7781" spans="5:13">
      <c r="E7781" s="221"/>
      <c r="F7781" s="221"/>
      <c r="G7781" s="221"/>
      <c r="H7781" s="221"/>
      <c r="I7781" s="221"/>
      <c r="J7781" s="221"/>
      <c r="K7781" s="221"/>
      <c r="L7781" s="221"/>
      <c r="M7781" s="221"/>
    </row>
    <row r="7782" spans="5:13">
      <c r="E7782" s="221"/>
      <c r="F7782" s="221"/>
      <c r="G7782" s="221"/>
      <c r="H7782" s="221"/>
      <c r="I7782" s="221"/>
      <c r="J7782" s="221"/>
      <c r="K7782" s="221"/>
      <c r="L7782" s="221"/>
      <c r="M7782" s="221"/>
    </row>
    <row r="7783" spans="5:13">
      <c r="E7783" s="221"/>
      <c r="F7783" s="221"/>
      <c r="G7783" s="221"/>
      <c r="H7783" s="221"/>
      <c r="I7783" s="221"/>
      <c r="J7783" s="221"/>
      <c r="K7783" s="221"/>
      <c r="L7783" s="221"/>
      <c r="M7783" s="221"/>
    </row>
    <row r="7784" spans="5:13">
      <c r="E7784" s="221"/>
      <c r="F7784" s="221"/>
      <c r="G7784" s="221"/>
      <c r="H7784" s="221"/>
      <c r="I7784" s="221"/>
      <c r="J7784" s="221"/>
      <c r="K7784" s="221"/>
      <c r="L7784" s="221"/>
      <c r="M7784" s="221"/>
    </row>
    <row r="7785" spans="5:13">
      <c r="E7785" s="221"/>
      <c r="F7785" s="221"/>
      <c r="G7785" s="221"/>
      <c r="H7785" s="221"/>
      <c r="I7785" s="221"/>
      <c r="J7785" s="221"/>
      <c r="K7785" s="221"/>
      <c r="L7785" s="221"/>
      <c r="M7785" s="221"/>
    </row>
    <row r="7786" spans="5:13">
      <c r="E7786" s="221"/>
      <c r="F7786" s="221"/>
      <c r="G7786" s="221"/>
      <c r="H7786" s="221"/>
      <c r="I7786" s="221"/>
      <c r="J7786" s="221"/>
      <c r="K7786" s="221"/>
      <c r="L7786" s="221"/>
      <c r="M7786" s="221"/>
    </row>
    <row r="7787" spans="5:13">
      <c r="E7787" s="221"/>
      <c r="F7787" s="221"/>
      <c r="G7787" s="221"/>
      <c r="H7787" s="221"/>
      <c r="I7787" s="221"/>
      <c r="J7787" s="221"/>
      <c r="K7787" s="221"/>
      <c r="L7787" s="221"/>
      <c r="M7787" s="221"/>
    </row>
    <row r="7788" spans="5:13">
      <c r="E7788" s="221"/>
      <c r="F7788" s="221"/>
      <c r="G7788" s="221"/>
      <c r="H7788" s="221"/>
      <c r="I7788" s="221"/>
      <c r="J7788" s="221"/>
      <c r="K7788" s="221"/>
      <c r="L7788" s="221"/>
      <c r="M7788" s="221"/>
    </row>
    <row r="7789" spans="5:13">
      <c r="E7789" s="221"/>
      <c r="F7789" s="221"/>
      <c r="G7789" s="221"/>
      <c r="H7789" s="221"/>
      <c r="I7789" s="221"/>
      <c r="J7789" s="221"/>
      <c r="K7789" s="221"/>
      <c r="L7789" s="221"/>
      <c r="M7789" s="221"/>
    </row>
    <row r="7790" spans="5:13">
      <c r="E7790" s="221"/>
      <c r="F7790" s="221"/>
      <c r="G7790" s="221"/>
      <c r="H7790" s="221"/>
      <c r="I7790" s="221"/>
      <c r="J7790" s="221"/>
      <c r="K7790" s="221"/>
      <c r="L7790" s="221"/>
      <c r="M7790" s="221"/>
    </row>
    <row r="7791" spans="5:13">
      <c r="E7791" s="221"/>
      <c r="F7791" s="221"/>
      <c r="G7791" s="221"/>
      <c r="H7791" s="221"/>
      <c r="I7791" s="221"/>
      <c r="J7791" s="221"/>
      <c r="K7791" s="221"/>
      <c r="L7791" s="221"/>
      <c r="M7791" s="221"/>
    </row>
    <row r="7792" spans="5:13">
      <c r="E7792" s="221"/>
      <c r="F7792" s="221"/>
      <c r="G7792" s="221"/>
      <c r="H7792" s="221"/>
      <c r="I7792" s="221"/>
      <c r="J7792" s="221"/>
      <c r="K7792" s="221"/>
      <c r="L7792" s="221"/>
      <c r="M7792" s="221"/>
    </row>
    <row r="7793" spans="5:13">
      <c r="E7793" s="221"/>
      <c r="F7793" s="221"/>
      <c r="G7793" s="221"/>
      <c r="H7793" s="221"/>
      <c r="I7793" s="221"/>
      <c r="J7793" s="221"/>
      <c r="K7793" s="221"/>
      <c r="L7793" s="221"/>
      <c r="M7793" s="221"/>
    </row>
    <row r="7794" spans="5:13">
      <c r="E7794" s="221"/>
      <c r="F7794" s="221"/>
      <c r="G7794" s="221"/>
      <c r="H7794" s="221"/>
      <c r="I7794" s="221"/>
      <c r="J7794" s="221"/>
      <c r="K7794" s="221"/>
      <c r="L7794" s="221"/>
      <c r="M7794" s="221"/>
    </row>
    <row r="7795" spans="5:13">
      <c r="E7795" s="221"/>
      <c r="F7795" s="221"/>
      <c r="G7795" s="221"/>
      <c r="H7795" s="221"/>
      <c r="I7795" s="221"/>
      <c r="J7795" s="221"/>
      <c r="K7795" s="221"/>
      <c r="L7795" s="221"/>
      <c r="M7795" s="221"/>
    </row>
    <row r="7796" spans="5:13">
      <c r="E7796" s="221"/>
      <c r="F7796" s="221"/>
      <c r="G7796" s="221"/>
      <c r="H7796" s="221"/>
      <c r="I7796" s="221"/>
      <c r="J7796" s="221"/>
      <c r="K7796" s="221"/>
      <c r="L7796" s="221"/>
      <c r="M7796" s="221"/>
    </row>
    <row r="7797" spans="5:13">
      <c r="E7797" s="221"/>
      <c r="F7797" s="221"/>
      <c r="G7797" s="221"/>
      <c r="H7797" s="221"/>
      <c r="I7797" s="221"/>
      <c r="J7797" s="221"/>
      <c r="K7797" s="221"/>
      <c r="L7797" s="221"/>
      <c r="M7797" s="221"/>
    </row>
    <row r="7798" spans="5:13">
      <c r="E7798" s="221"/>
      <c r="F7798" s="221"/>
      <c r="G7798" s="221"/>
      <c r="H7798" s="221"/>
      <c r="I7798" s="221"/>
      <c r="J7798" s="221"/>
      <c r="K7798" s="221"/>
      <c r="L7798" s="221"/>
      <c r="M7798" s="221"/>
    </row>
    <row r="7799" spans="5:13">
      <c r="E7799" s="221"/>
      <c r="F7799" s="221"/>
      <c r="G7799" s="221"/>
      <c r="H7799" s="221"/>
      <c r="I7799" s="221"/>
      <c r="J7799" s="221"/>
      <c r="K7799" s="221"/>
      <c r="L7799" s="221"/>
      <c r="M7799" s="221"/>
    </row>
    <row r="7800" spans="5:13">
      <c r="E7800" s="221"/>
      <c r="F7800" s="221"/>
      <c r="G7800" s="221"/>
      <c r="H7800" s="221"/>
      <c r="I7800" s="221"/>
      <c r="J7800" s="221"/>
      <c r="K7800" s="221"/>
      <c r="L7800" s="221"/>
      <c r="M7800" s="221"/>
    </row>
    <row r="7801" spans="5:13">
      <c r="E7801" s="221"/>
      <c r="F7801" s="221"/>
      <c r="G7801" s="221"/>
      <c r="H7801" s="221"/>
      <c r="I7801" s="221"/>
      <c r="J7801" s="221"/>
      <c r="K7801" s="221"/>
      <c r="L7801" s="221"/>
      <c r="M7801" s="221"/>
    </row>
    <row r="7802" spans="5:13">
      <c r="E7802" s="221"/>
      <c r="F7802" s="221"/>
      <c r="G7802" s="221"/>
      <c r="H7802" s="221"/>
      <c r="I7802" s="221"/>
      <c r="J7802" s="221"/>
      <c r="K7802" s="221"/>
      <c r="L7802" s="221"/>
      <c r="M7802" s="221"/>
    </row>
    <row r="7803" spans="5:13">
      <c r="E7803" s="221"/>
      <c r="F7803" s="221"/>
      <c r="G7803" s="221"/>
      <c r="H7803" s="221"/>
      <c r="I7803" s="221"/>
      <c r="J7803" s="221"/>
      <c r="K7803" s="221"/>
      <c r="L7803" s="221"/>
      <c r="M7803" s="221"/>
    </row>
    <row r="7804" spans="5:13">
      <c r="E7804" s="221"/>
      <c r="F7804" s="221"/>
      <c r="G7804" s="221"/>
      <c r="H7804" s="221"/>
      <c r="I7804" s="221"/>
      <c r="J7804" s="221"/>
      <c r="K7804" s="221"/>
      <c r="L7804" s="221"/>
      <c r="M7804" s="221"/>
    </row>
    <row r="7805" spans="5:13">
      <c r="E7805" s="221"/>
      <c r="F7805" s="221"/>
      <c r="G7805" s="221"/>
      <c r="H7805" s="221"/>
      <c r="I7805" s="221"/>
      <c r="J7805" s="221"/>
      <c r="K7805" s="221"/>
      <c r="L7805" s="221"/>
      <c r="M7805" s="221"/>
    </row>
    <row r="7806" spans="5:13">
      <c r="E7806" s="221"/>
      <c r="F7806" s="221"/>
      <c r="G7806" s="221"/>
      <c r="H7806" s="221"/>
      <c r="I7806" s="221"/>
      <c r="J7806" s="221"/>
      <c r="K7806" s="221"/>
      <c r="L7806" s="221"/>
      <c r="M7806" s="221"/>
    </row>
    <row r="7807" spans="5:13">
      <c r="E7807" s="221"/>
      <c r="F7807" s="221"/>
      <c r="G7807" s="221"/>
      <c r="H7807" s="221"/>
      <c r="I7807" s="221"/>
      <c r="J7807" s="221"/>
      <c r="K7807" s="221"/>
      <c r="L7807" s="221"/>
      <c r="M7807" s="221"/>
    </row>
    <row r="7808" spans="5:13">
      <c r="E7808" s="221"/>
      <c r="F7808" s="221"/>
      <c r="G7808" s="221"/>
      <c r="H7808" s="221"/>
      <c r="I7808" s="221"/>
      <c r="J7808" s="221"/>
      <c r="K7808" s="221"/>
      <c r="L7808" s="221"/>
      <c r="M7808" s="221"/>
    </row>
    <row r="7809" spans="5:13">
      <c r="E7809" s="221"/>
      <c r="F7809" s="221"/>
      <c r="G7809" s="221"/>
      <c r="H7809" s="221"/>
      <c r="I7809" s="221"/>
      <c r="J7809" s="221"/>
      <c r="K7809" s="221"/>
      <c r="L7809" s="221"/>
      <c r="M7809" s="221"/>
    </row>
    <row r="7810" spans="5:13">
      <c r="E7810" s="221"/>
      <c r="F7810" s="221"/>
      <c r="G7810" s="221"/>
      <c r="H7810" s="221"/>
      <c r="I7810" s="221"/>
      <c r="J7810" s="221"/>
      <c r="K7810" s="221"/>
      <c r="L7810" s="221"/>
      <c r="M7810" s="221"/>
    </row>
    <row r="7811" spans="5:13">
      <c r="E7811" s="221"/>
      <c r="F7811" s="221"/>
      <c r="G7811" s="221"/>
      <c r="H7811" s="221"/>
      <c r="I7811" s="221"/>
      <c r="J7811" s="221"/>
      <c r="K7811" s="221"/>
      <c r="L7811" s="221"/>
      <c r="M7811" s="221"/>
    </row>
    <row r="7812" spans="5:13">
      <c r="E7812" s="221"/>
      <c r="F7812" s="221"/>
      <c r="G7812" s="221"/>
      <c r="H7812" s="221"/>
      <c r="I7812" s="221"/>
      <c r="J7812" s="221"/>
      <c r="K7812" s="221"/>
      <c r="L7812" s="221"/>
      <c r="M7812" s="221"/>
    </row>
    <row r="7813" spans="5:13">
      <c r="E7813" s="221"/>
      <c r="F7813" s="221"/>
      <c r="G7813" s="221"/>
      <c r="H7813" s="221"/>
      <c r="I7813" s="221"/>
      <c r="J7813" s="221"/>
      <c r="K7813" s="221"/>
      <c r="L7813" s="221"/>
      <c r="M7813" s="221"/>
    </row>
    <row r="7814" spans="5:13">
      <c r="E7814" s="221"/>
      <c r="F7814" s="221"/>
      <c r="G7814" s="221"/>
      <c r="H7814" s="221"/>
      <c r="I7814" s="221"/>
      <c r="J7814" s="221"/>
      <c r="K7814" s="221"/>
      <c r="L7814" s="221"/>
      <c r="M7814" s="221"/>
    </row>
    <row r="7815" spans="5:13">
      <c r="E7815" s="221"/>
      <c r="F7815" s="221"/>
      <c r="G7815" s="221"/>
      <c r="H7815" s="221"/>
      <c r="I7815" s="221"/>
      <c r="J7815" s="221"/>
      <c r="K7815" s="221"/>
      <c r="L7815" s="221"/>
      <c r="M7815" s="221"/>
    </row>
    <row r="7816" spans="5:13">
      <c r="E7816" s="221"/>
      <c r="F7816" s="221"/>
      <c r="G7816" s="221"/>
      <c r="H7816" s="221"/>
      <c r="I7816" s="221"/>
      <c r="J7816" s="221"/>
      <c r="K7816" s="221"/>
      <c r="L7816" s="221"/>
      <c r="M7816" s="221"/>
    </row>
    <row r="7817" spans="5:13">
      <c r="E7817" s="221"/>
      <c r="F7817" s="221"/>
      <c r="G7817" s="221"/>
      <c r="H7817" s="221"/>
      <c r="I7817" s="221"/>
      <c r="J7817" s="221"/>
      <c r="K7817" s="221"/>
      <c r="L7817" s="221"/>
      <c r="M7817" s="221"/>
    </row>
    <row r="7818" spans="5:13">
      <c r="E7818" s="221"/>
      <c r="F7818" s="221"/>
      <c r="G7818" s="221"/>
      <c r="H7818" s="221"/>
      <c r="I7818" s="221"/>
      <c r="J7818" s="221"/>
      <c r="K7818" s="221"/>
      <c r="L7818" s="221"/>
      <c r="M7818" s="221"/>
    </row>
    <row r="7819" spans="5:13">
      <c r="E7819" s="221"/>
      <c r="F7819" s="221"/>
      <c r="G7819" s="221"/>
      <c r="H7819" s="221"/>
      <c r="I7819" s="221"/>
      <c r="J7819" s="221"/>
      <c r="K7819" s="221"/>
      <c r="L7819" s="221"/>
      <c r="M7819" s="221"/>
    </row>
    <row r="7820" spans="5:13">
      <c r="E7820" s="221"/>
      <c r="F7820" s="221"/>
      <c r="G7820" s="221"/>
      <c r="H7820" s="221"/>
      <c r="I7820" s="221"/>
      <c r="J7820" s="221"/>
      <c r="K7820" s="221"/>
      <c r="L7820" s="221"/>
      <c r="M7820" s="221"/>
    </row>
    <row r="7821" spans="5:13">
      <c r="E7821" s="221"/>
      <c r="F7821" s="221"/>
      <c r="G7821" s="221"/>
      <c r="H7821" s="221"/>
      <c r="I7821" s="221"/>
      <c r="J7821" s="221"/>
      <c r="K7821" s="221"/>
      <c r="L7821" s="221"/>
      <c r="M7821" s="221"/>
    </row>
    <row r="7822" spans="5:13">
      <c r="E7822" s="221"/>
      <c r="F7822" s="221"/>
      <c r="G7822" s="221"/>
      <c r="H7822" s="221"/>
      <c r="I7822" s="221"/>
      <c r="J7822" s="221"/>
      <c r="K7822" s="221"/>
      <c r="L7822" s="221"/>
      <c r="M7822" s="221"/>
    </row>
    <row r="7823" spans="5:13">
      <c r="E7823" s="221"/>
      <c r="F7823" s="221"/>
      <c r="G7823" s="221"/>
      <c r="H7823" s="221"/>
      <c r="I7823" s="221"/>
      <c r="J7823" s="221"/>
      <c r="K7823" s="221"/>
      <c r="L7823" s="221"/>
      <c r="M7823" s="221"/>
    </row>
    <row r="7824" spans="5:13">
      <c r="E7824" s="221"/>
      <c r="F7824" s="221"/>
      <c r="G7824" s="221"/>
      <c r="H7824" s="221"/>
      <c r="I7824" s="221"/>
      <c r="J7824" s="221"/>
      <c r="K7824" s="221"/>
      <c r="L7824" s="221"/>
      <c r="M7824" s="221"/>
    </row>
    <row r="7825" spans="5:13">
      <c r="E7825" s="221"/>
      <c r="F7825" s="221"/>
      <c r="G7825" s="221"/>
      <c r="H7825" s="221"/>
      <c r="I7825" s="221"/>
      <c r="J7825" s="221"/>
      <c r="K7825" s="221"/>
      <c r="L7825" s="221"/>
      <c r="M7825" s="221"/>
    </row>
    <row r="7826" spans="5:13">
      <c r="E7826" s="221"/>
      <c r="F7826" s="221"/>
      <c r="G7826" s="221"/>
      <c r="H7826" s="221"/>
      <c r="I7826" s="221"/>
      <c r="J7826" s="221"/>
      <c r="K7826" s="221"/>
      <c r="L7826" s="221"/>
      <c r="M7826" s="221"/>
    </row>
    <row r="7827" spans="5:13">
      <c r="E7827" s="221"/>
      <c r="F7827" s="221"/>
      <c r="G7827" s="221"/>
      <c r="H7827" s="221"/>
      <c r="I7827" s="221"/>
      <c r="J7827" s="221"/>
      <c r="K7827" s="221"/>
      <c r="L7827" s="221"/>
      <c r="M7827" s="221"/>
    </row>
    <row r="7828" spans="5:13">
      <c r="E7828" s="221"/>
      <c r="F7828" s="221"/>
      <c r="G7828" s="221"/>
      <c r="H7828" s="221"/>
      <c r="I7828" s="221"/>
      <c r="J7828" s="221"/>
      <c r="K7828" s="221"/>
      <c r="L7828" s="221"/>
      <c r="M7828" s="221"/>
    </row>
    <row r="7829" spans="5:13">
      <c r="E7829" s="221"/>
      <c r="F7829" s="221"/>
      <c r="G7829" s="221"/>
      <c r="H7829" s="221"/>
      <c r="I7829" s="221"/>
      <c r="J7829" s="221"/>
      <c r="K7829" s="221"/>
      <c r="L7829" s="221"/>
      <c r="M7829" s="221"/>
    </row>
    <row r="7830" spans="5:13">
      <c r="E7830" s="221"/>
      <c r="F7830" s="221"/>
      <c r="G7830" s="221"/>
      <c r="H7830" s="221"/>
      <c r="I7830" s="221"/>
      <c r="J7830" s="221"/>
      <c r="K7830" s="221"/>
      <c r="L7830" s="221"/>
      <c r="M7830" s="221"/>
    </row>
    <row r="7831" spans="5:13">
      <c r="E7831" s="221"/>
      <c r="F7831" s="221"/>
      <c r="G7831" s="221"/>
      <c r="H7831" s="221"/>
      <c r="I7831" s="221"/>
      <c r="J7831" s="221"/>
      <c r="K7831" s="221"/>
      <c r="L7831" s="221"/>
      <c r="M7831" s="221"/>
    </row>
    <row r="7832" spans="5:13">
      <c r="E7832" s="221"/>
      <c r="F7832" s="221"/>
      <c r="G7832" s="221"/>
      <c r="H7832" s="221"/>
      <c r="I7832" s="221"/>
      <c r="J7832" s="221"/>
      <c r="K7832" s="221"/>
      <c r="L7832" s="221"/>
      <c r="M7832" s="221"/>
    </row>
    <row r="7833" spans="5:13">
      <c r="E7833" s="221"/>
      <c r="F7833" s="221"/>
      <c r="G7833" s="221"/>
      <c r="H7833" s="221"/>
      <c r="I7833" s="221"/>
      <c r="J7833" s="221"/>
      <c r="K7833" s="221"/>
      <c r="L7833" s="221"/>
      <c r="M7833" s="221"/>
    </row>
    <row r="7834" spans="5:13">
      <c r="E7834" s="221"/>
      <c r="F7834" s="221"/>
      <c r="G7834" s="221"/>
      <c r="H7834" s="221"/>
      <c r="I7834" s="221"/>
      <c r="J7834" s="221"/>
      <c r="K7834" s="221"/>
      <c r="L7834" s="221"/>
      <c r="M7834" s="221"/>
    </row>
    <row r="7835" spans="5:13">
      <c r="E7835" s="221"/>
      <c r="F7835" s="221"/>
      <c r="G7835" s="221"/>
      <c r="H7835" s="221"/>
      <c r="I7835" s="221"/>
      <c r="J7835" s="221"/>
      <c r="K7835" s="221"/>
      <c r="L7835" s="221"/>
      <c r="M7835" s="221"/>
    </row>
    <row r="7836" spans="5:13">
      <c r="E7836" s="221"/>
      <c r="F7836" s="221"/>
      <c r="G7836" s="221"/>
      <c r="H7836" s="221"/>
      <c r="I7836" s="221"/>
      <c r="J7836" s="221"/>
      <c r="K7836" s="221"/>
      <c r="L7836" s="221"/>
      <c r="M7836" s="221"/>
    </row>
    <row r="7837" spans="5:13">
      <c r="E7837" s="221"/>
      <c r="F7837" s="221"/>
      <c r="G7837" s="221"/>
      <c r="H7837" s="221"/>
      <c r="I7837" s="221"/>
      <c r="J7837" s="221"/>
      <c r="K7837" s="221"/>
      <c r="L7837" s="221"/>
      <c r="M7837" s="221"/>
    </row>
    <row r="7838" spans="5:13">
      <c r="E7838" s="221"/>
      <c r="F7838" s="221"/>
      <c r="G7838" s="221"/>
      <c r="H7838" s="221"/>
      <c r="I7838" s="221"/>
      <c r="J7838" s="221"/>
      <c r="K7838" s="221"/>
      <c r="L7838" s="221"/>
      <c r="M7838" s="221"/>
    </row>
    <row r="7839" spans="5:13">
      <c r="E7839" s="221"/>
      <c r="F7839" s="221"/>
      <c r="G7839" s="221"/>
      <c r="H7839" s="221"/>
      <c r="I7839" s="221"/>
      <c r="J7839" s="221"/>
      <c r="K7839" s="221"/>
      <c r="L7839" s="221"/>
      <c r="M7839" s="221"/>
    </row>
    <row r="7840" spans="5:13">
      <c r="E7840" s="221"/>
      <c r="F7840" s="221"/>
      <c r="G7840" s="221"/>
      <c r="H7840" s="221"/>
      <c r="I7840" s="221"/>
      <c r="J7840" s="221"/>
      <c r="K7840" s="221"/>
      <c r="L7840" s="221"/>
      <c r="M7840" s="221"/>
    </row>
    <row r="7841" spans="5:13">
      <c r="E7841" s="221"/>
      <c r="F7841" s="221"/>
      <c r="G7841" s="221"/>
      <c r="H7841" s="221"/>
      <c r="I7841" s="221"/>
      <c r="J7841" s="221"/>
      <c r="K7841" s="221"/>
      <c r="L7841" s="221"/>
      <c r="M7841" s="221"/>
    </row>
    <row r="7842" spans="5:13">
      <c r="E7842" s="221"/>
      <c r="F7842" s="221"/>
      <c r="G7842" s="221"/>
      <c r="H7842" s="221"/>
      <c r="I7842" s="221"/>
      <c r="J7842" s="221"/>
      <c r="K7842" s="221"/>
      <c r="L7842" s="221"/>
      <c r="M7842" s="221"/>
    </row>
    <row r="7843" spans="5:13">
      <c r="E7843" s="221"/>
      <c r="F7843" s="221"/>
      <c r="G7843" s="221"/>
      <c r="H7843" s="221"/>
      <c r="I7843" s="221"/>
      <c r="J7843" s="221"/>
      <c r="K7843" s="221"/>
      <c r="L7843" s="221"/>
      <c r="M7843" s="221"/>
    </row>
    <row r="7844" spans="5:13">
      <c r="E7844" s="221"/>
      <c r="F7844" s="221"/>
      <c r="G7844" s="221"/>
      <c r="H7844" s="221"/>
      <c r="I7844" s="221"/>
      <c r="J7844" s="221"/>
      <c r="K7844" s="221"/>
      <c r="L7844" s="221"/>
      <c r="M7844" s="221"/>
    </row>
    <row r="7845" spans="5:13">
      <c r="E7845" s="221"/>
      <c r="F7845" s="221"/>
      <c r="G7845" s="221"/>
      <c r="H7845" s="221"/>
      <c r="I7845" s="221"/>
      <c r="J7845" s="221"/>
      <c r="K7845" s="221"/>
      <c r="L7845" s="221"/>
      <c r="M7845" s="221"/>
    </row>
    <row r="7846" spans="5:13">
      <c r="E7846" s="221"/>
      <c r="F7846" s="221"/>
      <c r="G7846" s="221"/>
      <c r="H7846" s="221"/>
      <c r="I7846" s="221"/>
      <c r="J7846" s="221"/>
      <c r="K7846" s="221"/>
      <c r="L7846" s="221"/>
      <c r="M7846" s="221"/>
    </row>
    <row r="7847" spans="5:13">
      <c r="E7847" s="221"/>
      <c r="F7847" s="221"/>
      <c r="G7847" s="221"/>
      <c r="H7847" s="221"/>
      <c r="I7847" s="221"/>
      <c r="J7847" s="221"/>
      <c r="K7847" s="221"/>
      <c r="L7847" s="221"/>
      <c r="M7847" s="221"/>
    </row>
    <row r="7848" spans="5:13">
      <c r="E7848" s="221"/>
      <c r="F7848" s="221"/>
      <c r="G7848" s="221"/>
      <c r="H7848" s="221"/>
      <c r="I7848" s="221"/>
      <c r="J7848" s="221"/>
      <c r="K7848" s="221"/>
      <c r="L7848" s="221"/>
      <c r="M7848" s="221"/>
    </row>
    <row r="7849" spans="5:13">
      <c r="E7849" s="221"/>
      <c r="F7849" s="221"/>
      <c r="G7849" s="221"/>
      <c r="H7849" s="221"/>
      <c r="I7849" s="221"/>
      <c r="J7849" s="221"/>
      <c r="K7849" s="221"/>
      <c r="L7849" s="221"/>
      <c r="M7849" s="221"/>
    </row>
    <row r="7850" spans="5:13">
      <c r="E7850" s="221"/>
      <c r="F7850" s="221"/>
      <c r="G7850" s="221"/>
      <c r="H7850" s="221"/>
      <c r="I7850" s="221"/>
      <c r="J7850" s="221"/>
      <c r="K7850" s="221"/>
      <c r="L7850" s="221"/>
      <c r="M7850" s="221"/>
    </row>
    <row r="7851" spans="5:13">
      <c r="E7851" s="221"/>
      <c r="F7851" s="221"/>
      <c r="G7851" s="221"/>
      <c r="H7851" s="221"/>
      <c r="I7851" s="221"/>
      <c r="J7851" s="221"/>
      <c r="K7851" s="221"/>
      <c r="L7851" s="221"/>
      <c r="M7851" s="221"/>
    </row>
    <row r="7852" spans="5:13">
      <c r="E7852" s="221"/>
      <c r="F7852" s="221"/>
      <c r="G7852" s="221"/>
      <c r="H7852" s="221"/>
      <c r="I7852" s="221"/>
      <c r="J7852" s="221"/>
      <c r="K7852" s="221"/>
      <c r="L7852" s="221"/>
      <c r="M7852" s="221"/>
    </row>
    <row r="7853" spans="5:13">
      <c r="E7853" s="221"/>
      <c r="F7853" s="221"/>
      <c r="G7853" s="221"/>
      <c r="H7853" s="221"/>
      <c r="I7853" s="221"/>
      <c r="J7853" s="221"/>
      <c r="K7853" s="221"/>
      <c r="L7853" s="221"/>
      <c r="M7853" s="221"/>
    </row>
    <row r="7854" spans="5:13">
      <c r="E7854" s="221"/>
      <c r="F7854" s="221"/>
      <c r="G7854" s="221"/>
      <c r="H7854" s="221"/>
      <c r="I7854" s="221"/>
      <c r="J7854" s="221"/>
      <c r="K7854" s="221"/>
      <c r="L7854" s="221"/>
      <c r="M7854" s="221"/>
    </row>
    <row r="7855" spans="5:13">
      <c r="E7855" s="221"/>
      <c r="F7855" s="221"/>
      <c r="G7855" s="221"/>
      <c r="H7855" s="221"/>
      <c r="I7855" s="221"/>
      <c r="J7855" s="221"/>
      <c r="K7855" s="221"/>
      <c r="L7855" s="221"/>
      <c r="M7855" s="221"/>
    </row>
    <row r="7856" spans="5:13">
      <c r="E7856" s="221"/>
      <c r="F7856" s="221"/>
      <c r="G7856" s="221"/>
      <c r="H7856" s="221"/>
      <c r="I7856" s="221"/>
      <c r="J7856" s="221"/>
      <c r="K7856" s="221"/>
      <c r="L7856" s="221"/>
      <c r="M7856" s="221"/>
    </row>
    <row r="7857" spans="5:13">
      <c r="E7857" s="221"/>
      <c r="F7857" s="221"/>
      <c r="G7857" s="221"/>
      <c r="H7857" s="221"/>
      <c r="I7857" s="221"/>
      <c r="J7857" s="221"/>
      <c r="K7857" s="221"/>
      <c r="L7857" s="221"/>
      <c r="M7857" s="221"/>
    </row>
    <row r="7858" spans="5:13">
      <c r="E7858" s="221"/>
      <c r="F7858" s="221"/>
      <c r="G7858" s="221"/>
      <c r="H7858" s="221"/>
      <c r="I7858" s="221"/>
      <c r="J7858" s="221"/>
      <c r="K7858" s="221"/>
      <c r="L7858" s="221"/>
      <c r="M7858" s="221"/>
    </row>
    <row r="7859" spans="5:13">
      <c r="E7859" s="221"/>
      <c r="F7859" s="221"/>
      <c r="G7859" s="221"/>
      <c r="H7859" s="221"/>
      <c r="I7859" s="221"/>
      <c r="J7859" s="221"/>
      <c r="K7859" s="221"/>
      <c r="L7859" s="221"/>
      <c r="M7859" s="221"/>
    </row>
    <row r="7860" spans="5:13">
      <c r="E7860" s="221"/>
      <c r="F7860" s="221"/>
      <c r="G7860" s="221"/>
      <c r="H7860" s="221"/>
      <c r="I7860" s="221"/>
      <c r="J7860" s="221"/>
      <c r="K7860" s="221"/>
      <c r="L7860" s="221"/>
      <c r="M7860" s="221"/>
    </row>
    <row r="7861" spans="5:13">
      <c r="E7861" s="221"/>
      <c r="F7861" s="221"/>
      <c r="G7861" s="221"/>
      <c r="H7861" s="221"/>
      <c r="I7861" s="221"/>
      <c r="J7861" s="221"/>
      <c r="K7861" s="221"/>
      <c r="L7861" s="221"/>
      <c r="M7861" s="221"/>
    </row>
    <row r="7862" spans="5:13">
      <c r="E7862" s="221"/>
      <c r="F7862" s="221"/>
      <c r="G7862" s="221"/>
      <c r="H7862" s="221"/>
      <c r="I7862" s="221"/>
      <c r="J7862" s="221"/>
      <c r="K7862" s="221"/>
      <c r="L7862" s="221"/>
      <c r="M7862" s="221"/>
    </row>
    <row r="7863" spans="5:13">
      <c r="E7863" s="221"/>
      <c r="F7863" s="221"/>
      <c r="G7863" s="221"/>
      <c r="H7863" s="221"/>
      <c r="I7863" s="221"/>
      <c r="J7863" s="221"/>
      <c r="K7863" s="221"/>
      <c r="L7863" s="221"/>
      <c r="M7863" s="221"/>
    </row>
    <row r="7864" spans="5:13">
      <c r="E7864" s="221"/>
      <c r="F7864" s="221"/>
      <c r="G7864" s="221"/>
      <c r="H7864" s="221"/>
      <c r="I7864" s="221"/>
      <c r="J7864" s="221"/>
      <c r="K7864" s="221"/>
      <c r="L7864" s="221"/>
      <c r="M7864" s="221"/>
    </row>
    <row r="7865" spans="5:13">
      <c r="E7865" s="221"/>
      <c r="F7865" s="221"/>
      <c r="G7865" s="221"/>
      <c r="H7865" s="221"/>
      <c r="I7865" s="221"/>
      <c r="J7865" s="221"/>
      <c r="K7865" s="221"/>
      <c r="L7865" s="221"/>
      <c r="M7865" s="221"/>
    </row>
    <row r="7866" spans="5:13">
      <c r="E7866" s="221"/>
      <c r="F7866" s="221"/>
      <c r="G7866" s="221"/>
      <c r="H7866" s="221"/>
      <c r="I7866" s="221"/>
      <c r="J7866" s="221"/>
      <c r="K7866" s="221"/>
      <c r="L7866" s="221"/>
      <c r="M7866" s="221"/>
    </row>
    <row r="7867" spans="5:13">
      <c r="E7867" s="221"/>
      <c r="F7867" s="221"/>
      <c r="G7867" s="221"/>
      <c r="H7867" s="221"/>
      <c r="I7867" s="221"/>
      <c r="J7867" s="221"/>
      <c r="K7867" s="221"/>
      <c r="L7867" s="221"/>
      <c r="M7867" s="221"/>
    </row>
    <row r="7868" spans="5:13">
      <c r="E7868" s="221"/>
      <c r="F7868" s="221"/>
      <c r="G7868" s="221"/>
      <c r="H7868" s="221"/>
      <c r="I7868" s="221"/>
      <c r="J7868" s="221"/>
      <c r="K7868" s="221"/>
      <c r="L7868" s="221"/>
      <c r="M7868" s="221"/>
    </row>
    <row r="7869" spans="5:13">
      <c r="E7869" s="221"/>
      <c r="F7869" s="221"/>
      <c r="G7869" s="221"/>
      <c r="H7869" s="221"/>
      <c r="I7869" s="221"/>
      <c r="J7869" s="221"/>
      <c r="K7869" s="221"/>
      <c r="L7869" s="221"/>
      <c r="M7869" s="221"/>
    </row>
    <row r="7870" spans="5:13">
      <c r="E7870" s="221"/>
      <c r="F7870" s="221"/>
      <c r="G7870" s="221"/>
      <c r="H7870" s="221"/>
      <c r="I7870" s="221"/>
      <c r="J7870" s="221"/>
      <c r="K7870" s="221"/>
      <c r="L7870" s="221"/>
      <c r="M7870" s="221"/>
    </row>
    <row r="7871" spans="5:13">
      <c r="E7871" s="221"/>
      <c r="F7871" s="221"/>
      <c r="G7871" s="221"/>
      <c r="H7871" s="221"/>
      <c r="I7871" s="221"/>
      <c r="J7871" s="221"/>
      <c r="K7871" s="221"/>
      <c r="L7871" s="221"/>
      <c r="M7871" s="221"/>
    </row>
    <row r="7872" spans="5:13">
      <c r="E7872" s="221"/>
      <c r="F7872" s="221"/>
      <c r="G7872" s="221"/>
      <c r="H7872" s="221"/>
      <c r="I7872" s="221"/>
      <c r="J7872" s="221"/>
      <c r="K7872" s="221"/>
      <c r="L7872" s="221"/>
      <c r="M7872" s="221"/>
    </row>
    <row r="7873" spans="5:13">
      <c r="E7873" s="221"/>
      <c r="F7873" s="221"/>
      <c r="G7873" s="221"/>
      <c r="H7873" s="221"/>
      <c r="I7873" s="221"/>
      <c r="J7873" s="221"/>
      <c r="K7873" s="221"/>
      <c r="L7873" s="221"/>
      <c r="M7873" s="221"/>
    </row>
    <row r="7874" spans="5:13">
      <c r="E7874" s="221"/>
      <c r="F7874" s="221"/>
      <c r="G7874" s="221"/>
      <c r="H7874" s="221"/>
      <c r="I7874" s="221"/>
      <c r="J7874" s="221"/>
      <c r="K7874" s="221"/>
      <c r="L7874" s="221"/>
      <c r="M7874" s="221"/>
    </row>
    <row r="7875" spans="5:13">
      <c r="E7875" s="221"/>
      <c r="F7875" s="221"/>
      <c r="G7875" s="221"/>
      <c r="H7875" s="221"/>
      <c r="I7875" s="221"/>
      <c r="J7875" s="221"/>
      <c r="K7875" s="221"/>
      <c r="L7875" s="221"/>
      <c r="M7875" s="221"/>
    </row>
    <row r="7876" spans="5:13">
      <c r="E7876" s="221"/>
      <c r="F7876" s="221"/>
      <c r="G7876" s="221"/>
      <c r="H7876" s="221"/>
      <c r="I7876" s="221"/>
      <c r="J7876" s="221"/>
      <c r="K7876" s="221"/>
      <c r="L7876" s="221"/>
      <c r="M7876" s="221"/>
    </row>
    <row r="7877" spans="5:13">
      <c r="E7877" s="221"/>
      <c r="F7877" s="221"/>
      <c r="G7877" s="221"/>
      <c r="H7877" s="221"/>
      <c r="I7877" s="221"/>
      <c r="J7877" s="221"/>
      <c r="K7877" s="221"/>
      <c r="L7877" s="221"/>
      <c r="M7877" s="221"/>
    </row>
    <row r="7878" spans="5:13">
      <c r="E7878" s="221"/>
      <c r="F7878" s="221"/>
      <c r="G7878" s="221"/>
      <c r="H7878" s="221"/>
      <c r="I7878" s="221"/>
      <c r="J7878" s="221"/>
      <c r="K7878" s="221"/>
      <c r="L7878" s="221"/>
      <c r="M7878" s="221"/>
    </row>
    <row r="7879" spans="5:13">
      <c r="E7879" s="221"/>
      <c r="F7879" s="221"/>
      <c r="G7879" s="221"/>
      <c r="H7879" s="221"/>
      <c r="I7879" s="221"/>
      <c r="J7879" s="221"/>
      <c r="K7879" s="221"/>
      <c r="L7879" s="221"/>
      <c r="M7879" s="221"/>
    </row>
    <row r="7880" spans="5:13">
      <c r="E7880" s="221"/>
      <c r="F7880" s="221"/>
      <c r="G7880" s="221"/>
      <c r="H7880" s="221"/>
      <c r="I7880" s="221"/>
      <c r="J7880" s="221"/>
      <c r="K7880" s="221"/>
      <c r="L7880" s="221"/>
      <c r="M7880" s="221"/>
    </row>
    <row r="7881" spans="5:13">
      <c r="E7881" s="221"/>
      <c r="F7881" s="221"/>
      <c r="G7881" s="221"/>
      <c r="H7881" s="221"/>
      <c r="I7881" s="221"/>
      <c r="J7881" s="221"/>
      <c r="K7881" s="221"/>
      <c r="L7881" s="221"/>
      <c r="M7881" s="221"/>
    </row>
    <row r="7882" spans="5:13">
      <c r="E7882" s="221"/>
      <c r="F7882" s="221"/>
      <c r="G7882" s="221"/>
      <c r="H7882" s="221"/>
      <c r="I7882" s="221"/>
      <c r="J7882" s="221"/>
      <c r="K7882" s="221"/>
      <c r="L7882" s="221"/>
      <c r="M7882" s="221"/>
    </row>
    <row r="7883" spans="5:13">
      <c r="E7883" s="221"/>
      <c r="F7883" s="221"/>
      <c r="G7883" s="221"/>
      <c r="H7883" s="221"/>
      <c r="I7883" s="221"/>
      <c r="J7883" s="221"/>
      <c r="K7883" s="221"/>
      <c r="L7883" s="221"/>
      <c r="M7883" s="221"/>
    </row>
    <row r="7884" spans="5:13">
      <c r="E7884" s="221"/>
      <c r="F7884" s="221"/>
      <c r="G7884" s="221"/>
      <c r="H7884" s="221"/>
      <c r="I7884" s="221"/>
      <c r="J7884" s="221"/>
      <c r="K7884" s="221"/>
      <c r="L7884" s="221"/>
      <c r="M7884" s="221"/>
    </row>
    <row r="7885" spans="5:13">
      <c r="E7885" s="221"/>
      <c r="F7885" s="221"/>
      <c r="G7885" s="221"/>
      <c r="H7885" s="221"/>
      <c r="I7885" s="221"/>
      <c r="J7885" s="221"/>
      <c r="K7885" s="221"/>
      <c r="L7885" s="221"/>
      <c r="M7885" s="221"/>
    </row>
    <row r="7886" spans="5:13">
      <c r="E7886" s="221"/>
      <c r="F7886" s="221"/>
      <c r="G7886" s="221"/>
      <c r="H7886" s="221"/>
      <c r="I7886" s="221"/>
      <c r="J7886" s="221"/>
      <c r="K7886" s="221"/>
      <c r="L7886" s="221"/>
      <c r="M7886" s="221"/>
    </row>
    <row r="7887" spans="5:13">
      <c r="E7887" s="221"/>
      <c r="F7887" s="221"/>
      <c r="G7887" s="221"/>
      <c r="H7887" s="221"/>
      <c r="I7887" s="221"/>
      <c r="J7887" s="221"/>
      <c r="K7887" s="221"/>
      <c r="L7887" s="221"/>
      <c r="M7887" s="221"/>
    </row>
    <row r="7888" spans="5:13">
      <c r="E7888" s="221"/>
      <c r="F7888" s="221"/>
      <c r="G7888" s="221"/>
      <c r="H7888" s="221"/>
      <c r="I7888" s="221"/>
      <c r="J7888" s="221"/>
      <c r="K7888" s="221"/>
      <c r="L7888" s="221"/>
      <c r="M7888" s="221"/>
    </row>
    <row r="7889" spans="5:13">
      <c r="E7889" s="221"/>
      <c r="F7889" s="221"/>
      <c r="G7889" s="221"/>
      <c r="H7889" s="221"/>
      <c r="I7889" s="221"/>
      <c r="J7889" s="221"/>
      <c r="K7889" s="221"/>
      <c r="L7889" s="221"/>
      <c r="M7889" s="221"/>
    </row>
    <row r="7890" spans="5:13">
      <c r="E7890" s="221"/>
      <c r="F7890" s="221"/>
      <c r="G7890" s="221"/>
      <c r="H7890" s="221"/>
      <c r="I7890" s="221"/>
      <c r="J7890" s="221"/>
      <c r="K7890" s="221"/>
      <c r="L7890" s="221"/>
      <c r="M7890" s="221"/>
    </row>
    <row r="7891" spans="5:13">
      <c r="E7891" s="221"/>
      <c r="F7891" s="221"/>
      <c r="G7891" s="221"/>
      <c r="H7891" s="221"/>
      <c r="I7891" s="221"/>
      <c r="J7891" s="221"/>
      <c r="K7891" s="221"/>
      <c r="L7891" s="221"/>
      <c r="M7891" s="221"/>
    </row>
    <row r="7892" spans="5:13">
      <c r="E7892" s="221"/>
      <c r="F7892" s="221"/>
      <c r="G7892" s="221"/>
      <c r="H7892" s="221"/>
      <c r="I7892" s="221"/>
      <c r="J7892" s="221"/>
      <c r="K7892" s="221"/>
      <c r="L7892" s="221"/>
      <c r="M7892" s="221"/>
    </row>
    <row r="7893" spans="5:13">
      <c r="E7893" s="221"/>
      <c r="F7893" s="221"/>
      <c r="G7893" s="221"/>
      <c r="H7893" s="221"/>
      <c r="I7893" s="221"/>
      <c r="J7893" s="221"/>
      <c r="K7893" s="221"/>
      <c r="L7893" s="221"/>
      <c r="M7893" s="221"/>
    </row>
    <row r="7894" spans="5:13">
      <c r="E7894" s="221"/>
      <c r="F7894" s="221"/>
      <c r="G7894" s="221"/>
      <c r="H7894" s="221"/>
      <c r="I7894" s="221"/>
      <c r="J7894" s="221"/>
      <c r="K7894" s="221"/>
      <c r="L7894" s="221"/>
      <c r="M7894" s="221"/>
    </row>
    <row r="7895" spans="5:13">
      <c r="E7895" s="221"/>
      <c r="F7895" s="221"/>
      <c r="G7895" s="221"/>
      <c r="H7895" s="221"/>
      <c r="I7895" s="221"/>
      <c r="J7895" s="221"/>
      <c r="K7895" s="221"/>
      <c r="L7895" s="221"/>
      <c r="M7895" s="221"/>
    </row>
    <row r="7896" spans="5:13">
      <c r="E7896" s="221"/>
      <c r="F7896" s="221"/>
      <c r="G7896" s="221"/>
      <c r="H7896" s="221"/>
      <c r="I7896" s="221"/>
      <c r="J7896" s="221"/>
      <c r="K7896" s="221"/>
      <c r="L7896" s="221"/>
      <c r="M7896" s="221"/>
    </row>
    <row r="7897" spans="5:13">
      <c r="E7897" s="221"/>
      <c r="F7897" s="221"/>
      <c r="G7897" s="221"/>
      <c r="H7897" s="221"/>
      <c r="I7897" s="221"/>
      <c r="J7897" s="221"/>
      <c r="K7897" s="221"/>
      <c r="L7897" s="221"/>
      <c r="M7897" s="221"/>
    </row>
    <row r="7898" spans="5:13">
      <c r="E7898" s="221"/>
      <c r="F7898" s="221"/>
      <c r="G7898" s="221"/>
      <c r="H7898" s="221"/>
      <c r="I7898" s="221"/>
      <c r="J7898" s="221"/>
      <c r="K7898" s="221"/>
      <c r="L7898" s="221"/>
      <c r="M7898" s="221"/>
    </row>
    <row r="7899" spans="5:13">
      <c r="E7899" s="221"/>
      <c r="F7899" s="221"/>
      <c r="G7899" s="221"/>
      <c r="H7899" s="221"/>
      <c r="I7899" s="221"/>
      <c r="J7899" s="221"/>
      <c r="K7899" s="221"/>
      <c r="L7899" s="221"/>
      <c r="M7899" s="221"/>
    </row>
    <row r="7900" spans="5:13">
      <c r="E7900" s="221"/>
      <c r="F7900" s="221"/>
      <c r="G7900" s="221"/>
      <c r="H7900" s="221"/>
      <c r="I7900" s="221"/>
      <c r="J7900" s="221"/>
      <c r="K7900" s="221"/>
      <c r="L7900" s="221"/>
      <c r="M7900" s="221"/>
    </row>
    <row r="7901" spans="5:13">
      <c r="E7901" s="221"/>
      <c r="F7901" s="221"/>
      <c r="G7901" s="221"/>
      <c r="H7901" s="221"/>
      <c r="I7901" s="221"/>
      <c r="J7901" s="221"/>
      <c r="K7901" s="221"/>
      <c r="L7901" s="221"/>
      <c r="M7901" s="221"/>
    </row>
    <row r="7902" spans="5:13">
      <c r="E7902" s="221"/>
      <c r="F7902" s="221"/>
      <c r="G7902" s="221"/>
      <c r="H7902" s="221"/>
      <c r="I7902" s="221"/>
      <c r="J7902" s="221"/>
      <c r="K7902" s="221"/>
      <c r="L7902" s="221"/>
      <c r="M7902" s="221"/>
    </row>
    <row r="7903" spans="5:13">
      <c r="E7903" s="221"/>
      <c r="F7903" s="221"/>
      <c r="G7903" s="221"/>
      <c r="H7903" s="221"/>
      <c r="I7903" s="221"/>
      <c r="J7903" s="221"/>
      <c r="K7903" s="221"/>
      <c r="L7903" s="221"/>
      <c r="M7903" s="221"/>
    </row>
    <row r="7904" spans="5:13">
      <c r="E7904" s="221"/>
      <c r="F7904" s="221"/>
      <c r="G7904" s="221"/>
      <c r="H7904" s="221"/>
      <c r="I7904" s="221"/>
      <c r="J7904" s="221"/>
      <c r="K7904" s="221"/>
      <c r="L7904" s="221"/>
      <c r="M7904" s="221"/>
    </row>
    <row r="7905" spans="8:8" s="87" customFormat="1">
      <c r="H7905" s="142"/>
    </row>
    <row r="7906" spans="8:8" s="87" customFormat="1">
      <c r="H7906" s="142"/>
    </row>
    <row r="7907" spans="8:8" s="87" customFormat="1">
      <c r="H7907" s="142"/>
    </row>
    <row r="7908" spans="8:8" s="87" customFormat="1">
      <c r="H7908" s="142"/>
    </row>
    <row r="7909" spans="8:8" s="87" customFormat="1">
      <c r="H7909" s="142"/>
    </row>
    <row r="7910" spans="8:8" s="87" customFormat="1">
      <c r="H7910" s="142"/>
    </row>
    <row r="7911" spans="8:8" s="87" customFormat="1">
      <c r="H7911" s="142"/>
    </row>
    <row r="7912" spans="8:8" s="87" customFormat="1">
      <c r="H7912" s="142"/>
    </row>
    <row r="7913" spans="8:8" s="87" customFormat="1">
      <c r="H7913" s="142"/>
    </row>
    <row r="7914" spans="8:8" s="87" customFormat="1">
      <c r="H7914" s="142"/>
    </row>
    <row r="7915" spans="8:8" s="87" customFormat="1">
      <c r="H7915" s="142"/>
    </row>
    <row r="7916" spans="8:8" s="87" customFormat="1">
      <c r="H7916" s="142"/>
    </row>
    <row r="7917" spans="8:8" s="87" customFormat="1">
      <c r="H7917" s="142"/>
    </row>
    <row r="7918" spans="8:8" s="87" customFormat="1">
      <c r="H7918" s="142"/>
    </row>
    <row r="7919" spans="8:8" s="87" customFormat="1">
      <c r="H7919" s="142"/>
    </row>
    <row r="7920" spans="8:8" s="87" customFormat="1">
      <c r="H7920" s="142"/>
    </row>
    <row r="7921" spans="8:8" s="87" customFormat="1">
      <c r="H7921" s="142"/>
    </row>
    <row r="7922" spans="8:8" s="87" customFormat="1">
      <c r="H7922" s="142"/>
    </row>
    <row r="7923" spans="8:8" s="87" customFormat="1">
      <c r="H7923" s="142"/>
    </row>
    <row r="7924" spans="8:8" s="87" customFormat="1">
      <c r="H7924" s="142"/>
    </row>
    <row r="7925" spans="8:8" s="87" customFormat="1">
      <c r="H7925" s="142"/>
    </row>
    <row r="7926" spans="8:8" s="87" customFormat="1">
      <c r="H7926" s="142"/>
    </row>
    <row r="7927" spans="8:8" s="87" customFormat="1">
      <c r="H7927" s="142"/>
    </row>
    <row r="7928" spans="8:8" s="87" customFormat="1">
      <c r="H7928" s="142"/>
    </row>
    <row r="7929" spans="8:8" s="87" customFormat="1">
      <c r="H7929" s="142"/>
    </row>
    <row r="7930" spans="8:8" s="87" customFormat="1">
      <c r="H7930" s="142"/>
    </row>
    <row r="7931" spans="8:8" s="87" customFormat="1">
      <c r="H7931" s="142"/>
    </row>
    <row r="7932" spans="8:8" s="87" customFormat="1">
      <c r="H7932" s="142"/>
    </row>
    <row r="7933" spans="8:8" s="87" customFormat="1">
      <c r="H7933" s="142"/>
    </row>
    <row r="7934" spans="8:8" s="87" customFormat="1">
      <c r="H7934" s="142"/>
    </row>
    <row r="7935" spans="8:8" s="87" customFormat="1">
      <c r="H7935" s="142"/>
    </row>
    <row r="7936" spans="8:8" s="87" customFormat="1">
      <c r="H7936" s="142"/>
    </row>
    <row r="7937" spans="8:8" s="87" customFormat="1">
      <c r="H7937" s="142"/>
    </row>
    <row r="7938" spans="8:8" s="87" customFormat="1">
      <c r="H7938" s="142"/>
    </row>
    <row r="7939" spans="8:8" s="87" customFormat="1">
      <c r="H7939" s="142"/>
    </row>
    <row r="7940" spans="8:8" s="87" customFormat="1">
      <c r="H7940" s="142"/>
    </row>
    <row r="7941" spans="8:8" s="87" customFormat="1">
      <c r="H7941" s="142"/>
    </row>
    <row r="7942" spans="8:8" s="87" customFormat="1">
      <c r="H7942" s="142"/>
    </row>
    <row r="7943" spans="8:8" s="87" customFormat="1">
      <c r="H7943" s="142"/>
    </row>
    <row r="7944" spans="8:8" s="87" customFormat="1">
      <c r="H7944" s="142"/>
    </row>
    <row r="7945" spans="8:8" s="87" customFormat="1">
      <c r="H7945" s="142"/>
    </row>
    <row r="7946" spans="8:8" s="87" customFormat="1">
      <c r="H7946" s="142"/>
    </row>
    <row r="7947" spans="8:8" s="87" customFormat="1">
      <c r="H7947" s="142"/>
    </row>
    <row r="7948" spans="8:8" s="87" customFormat="1">
      <c r="H7948" s="142"/>
    </row>
    <row r="7949" spans="8:8" s="87" customFormat="1">
      <c r="H7949" s="142"/>
    </row>
    <row r="7950" spans="8:8" s="87" customFormat="1">
      <c r="H7950" s="142"/>
    </row>
    <row r="7951" spans="8:8" s="87" customFormat="1">
      <c r="H7951" s="142"/>
    </row>
    <row r="7952" spans="8:8" s="87" customFormat="1">
      <c r="H7952" s="142"/>
    </row>
    <row r="7953" spans="8:8" s="87" customFormat="1">
      <c r="H7953" s="142"/>
    </row>
    <row r="7954" spans="8:8" s="87" customFormat="1">
      <c r="H7954" s="142"/>
    </row>
    <row r="7955" spans="8:8" s="87" customFormat="1">
      <c r="H7955" s="142"/>
    </row>
    <row r="7956" spans="8:8" s="87" customFormat="1">
      <c r="H7956" s="142"/>
    </row>
    <row r="7957" spans="8:8" s="87" customFormat="1">
      <c r="H7957" s="142"/>
    </row>
    <row r="7958" spans="8:8" s="87" customFormat="1">
      <c r="H7958" s="142"/>
    </row>
    <row r="7959" spans="8:8" s="87" customFormat="1">
      <c r="H7959" s="142"/>
    </row>
    <row r="7960" spans="8:8" s="87" customFormat="1">
      <c r="H7960" s="142"/>
    </row>
    <row r="7961" spans="8:8" s="87" customFormat="1">
      <c r="H7961" s="142"/>
    </row>
    <row r="7962" spans="8:8" s="87" customFormat="1">
      <c r="H7962" s="142"/>
    </row>
    <row r="7963" spans="8:8" s="87" customFormat="1">
      <c r="H7963" s="142"/>
    </row>
    <row r="7964" spans="8:8" s="87" customFormat="1">
      <c r="H7964" s="142"/>
    </row>
    <row r="7965" spans="8:8" s="87" customFormat="1">
      <c r="H7965" s="142"/>
    </row>
    <row r="7966" spans="8:8" s="87" customFormat="1">
      <c r="H7966" s="142"/>
    </row>
    <row r="7967" spans="8:8" s="87" customFormat="1">
      <c r="H7967" s="142"/>
    </row>
    <row r="7968" spans="8:8" s="87" customFormat="1">
      <c r="H7968" s="142"/>
    </row>
    <row r="7969" spans="8:8" s="87" customFormat="1">
      <c r="H7969" s="142"/>
    </row>
    <row r="7970" spans="8:8" s="87" customFormat="1">
      <c r="H7970" s="142"/>
    </row>
    <row r="7971" spans="8:8" s="87" customFormat="1">
      <c r="H7971" s="142"/>
    </row>
    <row r="7972" spans="8:8" s="87" customFormat="1">
      <c r="H7972" s="142"/>
    </row>
    <row r="7973" spans="8:8" s="87" customFormat="1">
      <c r="H7973" s="142"/>
    </row>
    <row r="7974" spans="8:8" s="87" customFormat="1">
      <c r="H7974" s="142"/>
    </row>
    <row r="7975" spans="8:8" s="87" customFormat="1">
      <c r="H7975" s="142"/>
    </row>
    <row r="7976" spans="8:8" s="87" customFormat="1">
      <c r="H7976" s="142"/>
    </row>
    <row r="7977" spans="8:8" s="87" customFormat="1">
      <c r="H7977" s="142"/>
    </row>
    <row r="7978" spans="8:8" s="87" customFormat="1">
      <c r="H7978" s="142"/>
    </row>
    <row r="7979" spans="8:8" s="87" customFormat="1">
      <c r="H7979" s="142"/>
    </row>
    <row r="7980" spans="8:8" s="87" customFormat="1">
      <c r="H7980" s="142"/>
    </row>
    <row r="7981" spans="8:8" s="87" customFormat="1">
      <c r="H7981" s="142"/>
    </row>
    <row r="7982" spans="8:8" s="87" customFormat="1">
      <c r="H7982" s="142"/>
    </row>
    <row r="7983" spans="8:8" s="87" customFormat="1">
      <c r="H7983" s="142"/>
    </row>
    <row r="7984" spans="8:8" s="87" customFormat="1">
      <c r="H7984" s="142"/>
    </row>
    <row r="7985" spans="8:8" s="87" customFormat="1">
      <c r="H7985" s="142"/>
    </row>
    <row r="7986" spans="8:8" s="87" customFormat="1">
      <c r="H7986" s="142"/>
    </row>
    <row r="7987" spans="8:8" s="87" customFormat="1">
      <c r="H7987" s="142"/>
    </row>
    <row r="7988" spans="8:8" s="87" customFormat="1">
      <c r="H7988" s="142"/>
    </row>
    <row r="7989" spans="8:8" s="87" customFormat="1">
      <c r="H7989" s="142"/>
    </row>
    <row r="7990" spans="8:8" s="87" customFormat="1">
      <c r="H7990" s="142"/>
    </row>
    <row r="7991" spans="8:8" s="87" customFormat="1">
      <c r="H7991" s="142"/>
    </row>
    <row r="7992" spans="8:8" s="87" customFormat="1">
      <c r="H7992" s="142"/>
    </row>
    <row r="7993" spans="8:8" s="87" customFormat="1">
      <c r="H7993" s="142"/>
    </row>
    <row r="7994" spans="8:8" s="87" customFormat="1">
      <c r="H7994" s="142"/>
    </row>
    <row r="7995" spans="8:8" s="87" customFormat="1">
      <c r="H7995" s="142"/>
    </row>
    <row r="7996" spans="8:8" s="87" customFormat="1">
      <c r="H7996" s="142"/>
    </row>
    <row r="7997" spans="8:8" s="87" customFormat="1">
      <c r="H7997" s="142"/>
    </row>
    <row r="7998" spans="8:8" s="87" customFormat="1">
      <c r="H7998" s="142"/>
    </row>
    <row r="7999" spans="8:8" s="87" customFormat="1">
      <c r="H7999" s="142"/>
    </row>
    <row r="8000" spans="8:8" s="87" customFormat="1">
      <c r="H8000" s="142"/>
    </row>
    <row r="8001" spans="8:8" s="87" customFormat="1">
      <c r="H8001" s="142"/>
    </row>
    <row r="8002" spans="8:8" s="87" customFormat="1">
      <c r="H8002" s="142"/>
    </row>
    <row r="8003" spans="8:8" s="87" customFormat="1">
      <c r="H8003" s="142"/>
    </row>
    <row r="8004" spans="8:8" s="87" customFormat="1">
      <c r="H8004" s="142"/>
    </row>
    <row r="8005" spans="8:8" s="87" customFormat="1">
      <c r="H8005" s="142"/>
    </row>
    <row r="8006" spans="8:8" s="87" customFormat="1">
      <c r="H8006" s="142"/>
    </row>
    <row r="8007" spans="8:8" s="87" customFormat="1">
      <c r="H8007" s="142"/>
    </row>
    <row r="8008" spans="8:8" s="87" customFormat="1">
      <c r="H8008" s="142"/>
    </row>
    <row r="8009" spans="8:8" s="87" customFormat="1">
      <c r="H8009" s="142"/>
    </row>
    <row r="8010" spans="8:8" s="87" customFormat="1">
      <c r="H8010" s="142"/>
    </row>
    <row r="8011" spans="8:8" s="87" customFormat="1">
      <c r="H8011" s="142"/>
    </row>
    <row r="8012" spans="8:8" s="87" customFormat="1">
      <c r="H8012" s="142"/>
    </row>
    <row r="8013" spans="8:8" s="87" customFormat="1">
      <c r="H8013" s="142"/>
    </row>
    <row r="8014" spans="8:8" s="87" customFormat="1">
      <c r="H8014" s="142"/>
    </row>
    <row r="8015" spans="8:8" s="87" customFormat="1">
      <c r="H8015" s="142"/>
    </row>
    <row r="8016" spans="8:8" s="87" customFormat="1">
      <c r="H8016" s="142"/>
    </row>
    <row r="8017" spans="8:8" s="87" customFormat="1">
      <c r="H8017" s="142"/>
    </row>
    <row r="8018" spans="8:8" s="87" customFormat="1">
      <c r="H8018" s="142"/>
    </row>
    <row r="8019" spans="8:8" s="87" customFormat="1">
      <c r="H8019" s="142"/>
    </row>
    <row r="8020" spans="8:8" s="87" customFormat="1">
      <c r="H8020" s="142"/>
    </row>
    <row r="8021" spans="8:8" s="87" customFormat="1">
      <c r="H8021" s="142"/>
    </row>
    <row r="8022" spans="8:8" s="87" customFormat="1">
      <c r="H8022" s="142"/>
    </row>
    <row r="8023" spans="8:8" s="87" customFormat="1">
      <c r="H8023" s="142"/>
    </row>
    <row r="8024" spans="8:8" s="87" customFormat="1">
      <c r="H8024" s="142"/>
    </row>
    <row r="8025" spans="8:8" s="87" customFormat="1">
      <c r="H8025" s="142"/>
    </row>
    <row r="8026" spans="8:8" s="87" customFormat="1">
      <c r="H8026" s="142"/>
    </row>
    <row r="8027" spans="8:8" s="87" customFormat="1">
      <c r="H8027" s="142"/>
    </row>
    <row r="8028" spans="8:8" s="87" customFormat="1">
      <c r="H8028" s="142"/>
    </row>
    <row r="8029" spans="8:8" s="87" customFormat="1">
      <c r="H8029" s="142"/>
    </row>
    <row r="8030" spans="8:8" s="87" customFormat="1">
      <c r="H8030" s="142"/>
    </row>
    <row r="8031" spans="8:8" s="87" customFormat="1">
      <c r="H8031" s="142"/>
    </row>
    <row r="8032" spans="8:8" s="87" customFormat="1">
      <c r="H8032" s="142"/>
    </row>
    <row r="8033" spans="8:8" s="87" customFormat="1">
      <c r="H8033" s="142"/>
    </row>
    <row r="8034" spans="8:8" s="87" customFormat="1">
      <c r="H8034" s="142"/>
    </row>
    <row r="8035" spans="8:8" s="87" customFormat="1">
      <c r="H8035" s="142"/>
    </row>
    <row r="8036" spans="8:8" s="87" customFormat="1">
      <c r="H8036" s="142"/>
    </row>
    <row r="8037" spans="8:8" s="87" customFormat="1">
      <c r="H8037" s="142"/>
    </row>
    <row r="8038" spans="8:8" s="87" customFormat="1">
      <c r="H8038" s="142"/>
    </row>
    <row r="8039" spans="8:8" s="87" customFormat="1">
      <c r="H8039" s="142"/>
    </row>
    <row r="8040" spans="8:8" s="87" customFormat="1">
      <c r="H8040" s="142"/>
    </row>
    <row r="8041" spans="8:8" s="87" customFormat="1">
      <c r="H8041" s="142"/>
    </row>
    <row r="8042" spans="8:8" s="87" customFormat="1">
      <c r="H8042" s="142"/>
    </row>
    <row r="8043" spans="8:8" s="87" customFormat="1">
      <c r="H8043" s="142"/>
    </row>
    <row r="8044" spans="8:8" s="87" customFormat="1">
      <c r="H8044" s="142"/>
    </row>
    <row r="8045" spans="8:8" s="87" customFormat="1">
      <c r="H8045" s="142"/>
    </row>
    <row r="8046" spans="8:8" s="87" customFormat="1">
      <c r="H8046" s="142"/>
    </row>
    <row r="8047" spans="8:8" s="87" customFormat="1">
      <c r="H8047" s="142"/>
    </row>
    <row r="8048" spans="8:8" s="87" customFormat="1">
      <c r="H8048" s="142"/>
    </row>
    <row r="8049" spans="8:8" s="87" customFormat="1">
      <c r="H8049" s="142"/>
    </row>
    <row r="8050" spans="8:8" s="87" customFormat="1">
      <c r="H8050" s="142"/>
    </row>
    <row r="8051" spans="8:8" s="87" customFormat="1">
      <c r="H8051" s="142"/>
    </row>
    <row r="8052" spans="8:8" s="87" customFormat="1">
      <c r="H8052" s="142"/>
    </row>
    <row r="8053" spans="8:8" s="87" customFormat="1">
      <c r="H8053" s="142"/>
    </row>
    <row r="8054" spans="8:8" s="87" customFormat="1">
      <c r="H8054" s="142"/>
    </row>
    <row r="8055" spans="8:8" s="87" customFormat="1">
      <c r="H8055" s="142"/>
    </row>
    <row r="8056" spans="8:8" s="87" customFormat="1">
      <c r="H8056" s="142"/>
    </row>
    <row r="8057" spans="8:8" s="87" customFormat="1">
      <c r="H8057" s="142"/>
    </row>
    <row r="8058" spans="8:8" s="87" customFormat="1">
      <c r="H8058" s="142"/>
    </row>
    <row r="8059" spans="8:8" s="87" customFormat="1">
      <c r="H8059" s="142"/>
    </row>
    <row r="8060" spans="8:8" s="87" customFormat="1">
      <c r="H8060" s="142"/>
    </row>
    <row r="8061" spans="8:8" s="87" customFormat="1">
      <c r="H8061" s="142"/>
    </row>
    <row r="8062" spans="8:8" s="87" customFormat="1">
      <c r="H8062" s="142"/>
    </row>
    <row r="8063" spans="8:8" s="87" customFormat="1">
      <c r="H8063" s="142"/>
    </row>
    <row r="8064" spans="8:8" s="87" customFormat="1">
      <c r="H8064" s="142"/>
    </row>
    <row r="8065" spans="8:8" s="87" customFormat="1">
      <c r="H8065" s="142"/>
    </row>
    <row r="8066" spans="8:8" s="87" customFormat="1">
      <c r="H8066" s="142"/>
    </row>
    <row r="8067" spans="8:8" s="87" customFormat="1">
      <c r="H8067" s="142"/>
    </row>
    <row r="8068" spans="8:8" s="87" customFormat="1">
      <c r="H8068" s="142"/>
    </row>
    <row r="8069" spans="8:8" s="87" customFormat="1">
      <c r="H8069" s="142"/>
    </row>
    <row r="8070" spans="8:8" s="87" customFormat="1">
      <c r="H8070" s="142"/>
    </row>
    <row r="8071" spans="8:8" s="87" customFormat="1">
      <c r="H8071" s="142"/>
    </row>
    <row r="8072" spans="8:8" s="87" customFormat="1">
      <c r="H8072" s="142"/>
    </row>
    <row r="8073" spans="8:8" s="87" customFormat="1">
      <c r="H8073" s="142"/>
    </row>
    <row r="8074" spans="8:8" s="87" customFormat="1">
      <c r="H8074" s="142"/>
    </row>
    <row r="8075" spans="8:8" s="87" customFormat="1">
      <c r="H8075" s="142"/>
    </row>
    <row r="8076" spans="8:8" s="87" customFormat="1">
      <c r="H8076" s="142"/>
    </row>
    <row r="8077" spans="8:8" s="87" customFormat="1">
      <c r="H8077" s="142"/>
    </row>
    <row r="8078" spans="8:8" s="87" customFormat="1">
      <c r="H8078" s="142"/>
    </row>
    <row r="8079" spans="8:8" s="87" customFormat="1">
      <c r="H8079" s="142"/>
    </row>
    <row r="8080" spans="8:8" s="87" customFormat="1">
      <c r="H8080" s="142"/>
    </row>
    <row r="8081" spans="8:8" s="87" customFormat="1">
      <c r="H8081" s="142"/>
    </row>
    <row r="8082" spans="8:8" s="87" customFormat="1">
      <c r="H8082" s="142"/>
    </row>
    <row r="8083" spans="8:8" s="87" customFormat="1">
      <c r="H8083" s="142"/>
    </row>
    <row r="8084" spans="8:8" s="87" customFormat="1">
      <c r="H8084" s="142"/>
    </row>
    <row r="8085" spans="8:8" s="87" customFormat="1">
      <c r="H8085" s="142"/>
    </row>
    <row r="8086" spans="8:8" s="87" customFormat="1">
      <c r="H8086" s="142"/>
    </row>
    <row r="8087" spans="8:8" s="87" customFormat="1">
      <c r="H8087" s="142"/>
    </row>
    <row r="8088" spans="8:8" s="87" customFormat="1">
      <c r="H8088" s="142"/>
    </row>
    <row r="8089" spans="8:8" s="87" customFormat="1">
      <c r="H8089" s="142"/>
    </row>
    <row r="8090" spans="8:8" s="87" customFormat="1">
      <c r="H8090" s="142"/>
    </row>
    <row r="8091" spans="8:8" s="87" customFormat="1">
      <c r="H8091" s="142"/>
    </row>
    <row r="8092" spans="8:8" s="87" customFormat="1">
      <c r="H8092" s="142"/>
    </row>
    <row r="8093" spans="8:8" s="87" customFormat="1">
      <c r="H8093" s="142"/>
    </row>
    <row r="8094" spans="8:8" s="87" customFormat="1">
      <c r="H8094" s="142"/>
    </row>
    <row r="8095" spans="8:8" s="87" customFormat="1">
      <c r="H8095" s="142"/>
    </row>
    <row r="8096" spans="8:8" s="87" customFormat="1">
      <c r="H8096" s="142"/>
    </row>
    <row r="8097" spans="8:8" s="87" customFormat="1">
      <c r="H8097" s="142"/>
    </row>
    <row r="8098" spans="8:8" s="87" customFormat="1">
      <c r="H8098" s="142"/>
    </row>
    <row r="8099" spans="8:8" s="87" customFormat="1">
      <c r="H8099" s="142"/>
    </row>
    <row r="8100" spans="8:8" s="87" customFormat="1">
      <c r="H8100" s="142"/>
    </row>
    <row r="8101" spans="8:8" s="87" customFormat="1">
      <c r="H8101" s="142"/>
    </row>
    <row r="8102" spans="8:8" s="87" customFormat="1">
      <c r="H8102" s="142"/>
    </row>
    <row r="8103" spans="8:8" s="87" customFormat="1">
      <c r="H8103" s="142"/>
    </row>
    <row r="8104" spans="8:8" s="87" customFormat="1">
      <c r="H8104" s="142"/>
    </row>
    <row r="8105" spans="8:8" s="87" customFormat="1">
      <c r="H8105" s="142"/>
    </row>
    <row r="8106" spans="8:8" s="87" customFormat="1">
      <c r="H8106" s="142"/>
    </row>
    <row r="8107" spans="8:8" s="87" customFormat="1">
      <c r="H8107" s="142"/>
    </row>
    <row r="8108" spans="8:8" s="87" customFormat="1">
      <c r="H8108" s="142"/>
    </row>
    <row r="8109" spans="8:8" s="87" customFormat="1">
      <c r="H8109" s="142"/>
    </row>
    <row r="8110" spans="8:8" s="87" customFormat="1">
      <c r="H8110" s="142"/>
    </row>
    <row r="8111" spans="8:8" s="87" customFormat="1">
      <c r="H8111" s="142"/>
    </row>
    <row r="8112" spans="8:8" s="87" customFormat="1">
      <c r="H8112" s="142"/>
    </row>
    <row r="8113" spans="8:8" s="87" customFormat="1">
      <c r="H8113" s="142"/>
    </row>
    <row r="8114" spans="8:8" s="87" customFormat="1">
      <c r="H8114" s="142"/>
    </row>
    <row r="8115" spans="8:8" s="87" customFormat="1">
      <c r="H8115" s="142"/>
    </row>
    <row r="8116" spans="8:8" s="87" customFormat="1">
      <c r="H8116" s="142"/>
    </row>
    <row r="8117" spans="8:8" s="87" customFormat="1">
      <c r="H8117" s="142"/>
    </row>
    <row r="8118" spans="8:8" s="87" customFormat="1">
      <c r="H8118" s="142"/>
    </row>
    <row r="8119" spans="8:8" s="87" customFormat="1">
      <c r="H8119" s="142"/>
    </row>
    <row r="8120" spans="8:8" s="87" customFormat="1">
      <c r="H8120" s="142"/>
    </row>
    <row r="8121" spans="8:8" s="87" customFormat="1">
      <c r="H8121" s="142"/>
    </row>
    <row r="8122" spans="8:8" s="87" customFormat="1">
      <c r="H8122" s="142"/>
    </row>
    <row r="8123" spans="8:8" s="87" customFormat="1">
      <c r="H8123" s="142"/>
    </row>
    <row r="8124" spans="8:8" s="87" customFormat="1">
      <c r="H8124" s="142"/>
    </row>
    <row r="8125" spans="8:8" s="87" customFormat="1">
      <c r="H8125" s="142"/>
    </row>
    <row r="8126" spans="8:8" s="87" customFormat="1">
      <c r="H8126" s="142"/>
    </row>
    <row r="8127" spans="8:8" s="87" customFormat="1">
      <c r="H8127" s="142"/>
    </row>
    <row r="8128" spans="8:8" s="87" customFormat="1">
      <c r="H8128" s="142"/>
    </row>
    <row r="8129" spans="8:8" s="87" customFormat="1">
      <c r="H8129" s="142"/>
    </row>
    <row r="8130" spans="8:8" s="87" customFormat="1">
      <c r="H8130" s="142"/>
    </row>
    <row r="8131" spans="8:8" s="87" customFormat="1">
      <c r="H8131" s="142"/>
    </row>
    <row r="8132" spans="8:8" s="87" customFormat="1">
      <c r="H8132" s="142"/>
    </row>
    <row r="8133" spans="8:8" s="87" customFormat="1">
      <c r="H8133" s="142"/>
    </row>
    <row r="8134" spans="8:8" s="87" customFormat="1">
      <c r="H8134" s="142"/>
    </row>
    <row r="8135" spans="8:8" s="87" customFormat="1">
      <c r="H8135" s="142"/>
    </row>
    <row r="8136" spans="8:8" s="87" customFormat="1">
      <c r="H8136" s="142"/>
    </row>
    <row r="8137" spans="8:8" s="87" customFormat="1">
      <c r="H8137" s="142"/>
    </row>
    <row r="8138" spans="8:8" s="87" customFormat="1">
      <c r="H8138" s="142"/>
    </row>
    <row r="8139" spans="8:8" s="87" customFormat="1">
      <c r="H8139" s="142"/>
    </row>
    <row r="8140" spans="8:8" s="87" customFormat="1">
      <c r="H8140" s="142"/>
    </row>
    <row r="8141" spans="8:8" s="87" customFormat="1">
      <c r="H8141" s="142"/>
    </row>
    <row r="8142" spans="8:8" s="87" customFormat="1">
      <c r="H8142" s="142"/>
    </row>
    <row r="8143" spans="8:8" s="87" customFormat="1">
      <c r="H8143" s="142"/>
    </row>
    <row r="8144" spans="8:8" s="87" customFormat="1">
      <c r="H8144" s="142"/>
    </row>
    <row r="8145" spans="8:8" s="87" customFormat="1">
      <c r="H8145" s="142"/>
    </row>
    <row r="8146" spans="8:8" s="87" customFormat="1">
      <c r="H8146" s="142"/>
    </row>
    <row r="8147" spans="8:8" s="87" customFormat="1">
      <c r="H8147" s="142"/>
    </row>
    <row r="8148" spans="8:8" s="87" customFormat="1">
      <c r="H8148" s="142"/>
    </row>
    <row r="8149" spans="8:8" s="87" customFormat="1">
      <c r="H8149" s="142"/>
    </row>
    <row r="8150" spans="8:8" s="87" customFormat="1">
      <c r="H8150" s="142"/>
    </row>
    <row r="8151" spans="8:8" s="87" customFormat="1">
      <c r="H8151" s="142"/>
    </row>
    <row r="8152" spans="8:8" s="87" customFormat="1">
      <c r="H8152" s="142"/>
    </row>
    <row r="8153" spans="8:8" s="87" customFormat="1">
      <c r="H8153" s="142"/>
    </row>
    <row r="8154" spans="8:8" s="87" customFormat="1">
      <c r="H8154" s="142"/>
    </row>
    <row r="8155" spans="8:8" s="87" customFormat="1">
      <c r="H8155" s="142"/>
    </row>
    <row r="8156" spans="8:8" s="87" customFormat="1">
      <c r="H8156" s="142"/>
    </row>
    <row r="8157" spans="8:8" s="87" customFormat="1">
      <c r="H8157" s="142"/>
    </row>
    <row r="8158" spans="8:8" s="87" customFormat="1">
      <c r="H8158" s="142"/>
    </row>
    <row r="8159" spans="8:8" s="87" customFormat="1">
      <c r="H8159" s="142"/>
    </row>
    <row r="8160" spans="8:8" s="87" customFormat="1">
      <c r="H8160" s="142"/>
    </row>
    <row r="8161" spans="8:8" s="87" customFormat="1">
      <c r="H8161" s="142"/>
    </row>
    <row r="8162" spans="8:8" s="87" customFormat="1">
      <c r="H8162" s="142"/>
    </row>
    <row r="8163" spans="8:8" s="87" customFormat="1">
      <c r="H8163" s="142"/>
    </row>
    <row r="8164" spans="8:8" s="87" customFormat="1">
      <c r="H8164" s="142"/>
    </row>
    <row r="8165" spans="8:8" s="87" customFormat="1">
      <c r="H8165" s="142"/>
    </row>
    <row r="8166" spans="8:8" s="87" customFormat="1">
      <c r="H8166" s="142"/>
    </row>
    <row r="8167" spans="8:8" s="87" customFormat="1">
      <c r="H8167" s="142"/>
    </row>
    <row r="8168" spans="8:8" s="87" customFormat="1">
      <c r="H8168" s="142"/>
    </row>
    <row r="8169" spans="8:8" s="87" customFormat="1">
      <c r="H8169" s="142"/>
    </row>
    <row r="8170" spans="8:8" s="87" customFormat="1">
      <c r="H8170" s="142"/>
    </row>
    <row r="8171" spans="8:8" s="87" customFormat="1">
      <c r="H8171" s="142"/>
    </row>
    <row r="8172" spans="8:8" s="87" customFormat="1">
      <c r="H8172" s="142"/>
    </row>
    <row r="8173" spans="8:8" s="87" customFormat="1">
      <c r="H8173" s="142"/>
    </row>
    <row r="8174" spans="8:8" s="87" customFormat="1">
      <c r="H8174" s="142"/>
    </row>
    <row r="8175" spans="8:8" s="87" customFormat="1">
      <c r="H8175" s="142"/>
    </row>
    <row r="8176" spans="8:8" s="87" customFormat="1">
      <c r="H8176" s="142"/>
    </row>
    <row r="8177" spans="8:8" s="87" customFormat="1">
      <c r="H8177" s="142"/>
    </row>
    <row r="8178" spans="8:8" s="87" customFormat="1">
      <c r="H8178" s="142"/>
    </row>
    <row r="8179" spans="8:8" s="87" customFormat="1">
      <c r="H8179" s="142"/>
    </row>
    <row r="8180" spans="8:8" s="87" customFormat="1">
      <c r="H8180" s="142"/>
    </row>
    <row r="8181" spans="8:8" s="87" customFormat="1">
      <c r="H8181" s="142"/>
    </row>
    <row r="8182" spans="8:8" s="87" customFormat="1">
      <c r="H8182" s="142"/>
    </row>
    <row r="8183" spans="8:8" s="87" customFormat="1">
      <c r="H8183" s="142"/>
    </row>
    <row r="8184" spans="8:8" s="87" customFormat="1">
      <c r="H8184" s="142"/>
    </row>
    <row r="8185" spans="8:8" s="87" customFormat="1">
      <c r="H8185" s="142"/>
    </row>
    <row r="8186" spans="8:8" s="87" customFormat="1">
      <c r="H8186" s="142"/>
    </row>
    <row r="8187" spans="8:8" s="87" customFormat="1">
      <c r="H8187" s="142"/>
    </row>
    <row r="8188" spans="8:8" s="87" customFormat="1">
      <c r="H8188" s="142"/>
    </row>
    <row r="8189" spans="8:8" s="87" customFormat="1">
      <c r="H8189" s="142"/>
    </row>
    <row r="8190" spans="8:8" s="87" customFormat="1">
      <c r="H8190" s="142"/>
    </row>
    <row r="8191" spans="8:8" s="87" customFormat="1">
      <c r="H8191" s="142"/>
    </row>
    <row r="8192" spans="8:8" s="87" customFormat="1">
      <c r="H8192" s="142"/>
    </row>
    <row r="8193" spans="8:8" s="87" customFormat="1">
      <c r="H8193" s="142"/>
    </row>
    <row r="8194" spans="8:8" s="87" customFormat="1">
      <c r="H8194" s="142"/>
    </row>
    <row r="8195" spans="8:8" s="87" customFormat="1">
      <c r="H8195" s="142"/>
    </row>
    <row r="8196" spans="8:8" s="87" customFormat="1">
      <c r="H8196" s="142"/>
    </row>
    <row r="8197" spans="8:8" s="87" customFormat="1">
      <c r="H8197" s="142"/>
    </row>
    <row r="8198" spans="8:8" s="87" customFormat="1">
      <c r="H8198" s="142"/>
    </row>
    <row r="8199" spans="8:8" s="87" customFormat="1">
      <c r="H8199" s="142"/>
    </row>
    <row r="8200" spans="8:8" s="87" customFormat="1">
      <c r="H8200" s="142"/>
    </row>
    <row r="8201" spans="8:8" s="87" customFormat="1">
      <c r="H8201" s="142"/>
    </row>
    <row r="8202" spans="8:8" s="87" customFormat="1">
      <c r="H8202" s="142"/>
    </row>
    <row r="8203" spans="8:8" s="87" customFormat="1">
      <c r="H8203" s="142"/>
    </row>
    <row r="8204" spans="8:8" s="87" customFormat="1">
      <c r="H8204" s="142"/>
    </row>
    <row r="8205" spans="8:8" s="87" customFormat="1">
      <c r="H8205" s="142"/>
    </row>
    <row r="8206" spans="8:8" s="87" customFormat="1">
      <c r="H8206" s="142"/>
    </row>
    <row r="8207" spans="8:8" s="87" customFormat="1">
      <c r="H8207" s="142"/>
    </row>
    <row r="8208" spans="8:8" s="87" customFormat="1">
      <c r="H8208" s="142"/>
    </row>
    <row r="8209" spans="8:8" s="87" customFormat="1">
      <c r="H8209" s="142"/>
    </row>
    <row r="8210" spans="8:8" s="87" customFormat="1">
      <c r="H8210" s="142"/>
    </row>
    <row r="8211" spans="8:8" s="87" customFormat="1">
      <c r="H8211" s="142"/>
    </row>
    <row r="8212" spans="8:8" s="87" customFormat="1">
      <c r="H8212" s="142"/>
    </row>
    <row r="8213" spans="8:8" s="87" customFormat="1">
      <c r="H8213" s="142"/>
    </row>
    <row r="8214" spans="8:8" s="87" customFormat="1">
      <c r="H8214" s="142"/>
    </row>
    <row r="8215" spans="8:8" s="87" customFormat="1">
      <c r="H8215" s="142"/>
    </row>
    <row r="8216" spans="8:8" s="87" customFormat="1">
      <c r="H8216" s="142"/>
    </row>
    <row r="8217" spans="8:8" s="87" customFormat="1">
      <c r="H8217" s="142"/>
    </row>
    <row r="8218" spans="8:8" s="87" customFormat="1">
      <c r="H8218" s="142"/>
    </row>
    <row r="8219" spans="8:8" s="87" customFormat="1">
      <c r="H8219" s="142"/>
    </row>
    <row r="8220" spans="8:8" s="87" customFormat="1">
      <c r="H8220" s="142"/>
    </row>
    <row r="8221" spans="8:8" s="87" customFormat="1">
      <c r="H8221" s="142"/>
    </row>
    <row r="8222" spans="8:8" s="87" customFormat="1">
      <c r="H8222" s="142"/>
    </row>
    <row r="8223" spans="8:8" s="87" customFormat="1">
      <c r="H8223" s="142"/>
    </row>
    <row r="8224" spans="8:8" s="87" customFormat="1">
      <c r="H8224" s="142"/>
    </row>
    <row r="8225" spans="8:8" s="87" customFormat="1">
      <c r="H8225" s="142"/>
    </row>
    <row r="8226" spans="8:8" s="87" customFormat="1">
      <c r="H8226" s="142"/>
    </row>
    <row r="8227" spans="8:8" s="87" customFormat="1">
      <c r="H8227" s="142"/>
    </row>
    <row r="8228" spans="8:8" s="87" customFormat="1">
      <c r="H8228" s="142"/>
    </row>
    <row r="8229" spans="8:8" s="87" customFormat="1">
      <c r="H8229" s="142"/>
    </row>
    <row r="8230" spans="8:8" s="87" customFormat="1">
      <c r="H8230" s="142"/>
    </row>
    <row r="8231" spans="8:8" s="87" customFormat="1">
      <c r="H8231" s="142"/>
    </row>
    <row r="8232" spans="8:8" s="87" customFormat="1">
      <c r="H8232" s="142"/>
    </row>
    <row r="8233" spans="8:8" s="87" customFormat="1">
      <c r="H8233" s="142"/>
    </row>
    <row r="8234" spans="8:8" s="87" customFormat="1">
      <c r="H8234" s="142"/>
    </row>
    <row r="8235" spans="8:8" s="87" customFormat="1">
      <c r="H8235" s="142"/>
    </row>
    <row r="8236" spans="8:8" s="87" customFormat="1">
      <c r="H8236" s="142"/>
    </row>
    <row r="8237" spans="8:8" s="87" customFormat="1">
      <c r="H8237" s="142"/>
    </row>
    <row r="8238" spans="8:8" s="87" customFormat="1">
      <c r="H8238" s="142"/>
    </row>
    <row r="8239" spans="8:8" s="87" customFormat="1">
      <c r="H8239" s="142"/>
    </row>
    <row r="8240" spans="8:8" s="87" customFormat="1">
      <c r="H8240" s="142"/>
    </row>
    <row r="8241" spans="8:8" s="87" customFormat="1">
      <c r="H8241" s="142"/>
    </row>
    <row r="8242" spans="8:8" s="87" customFormat="1">
      <c r="H8242" s="142"/>
    </row>
    <row r="8243" spans="8:8" s="87" customFormat="1">
      <c r="H8243" s="142"/>
    </row>
    <row r="8244" spans="8:8" s="87" customFormat="1">
      <c r="H8244" s="142"/>
    </row>
    <row r="8245" spans="8:8" s="87" customFormat="1">
      <c r="H8245" s="142"/>
    </row>
    <row r="8246" spans="8:8" s="87" customFormat="1">
      <c r="H8246" s="142"/>
    </row>
    <row r="8247" spans="8:8" s="87" customFormat="1">
      <c r="H8247" s="142"/>
    </row>
    <row r="8248" spans="8:8" s="87" customFormat="1">
      <c r="H8248" s="142"/>
    </row>
    <row r="8249" spans="8:8" s="87" customFormat="1">
      <c r="H8249" s="142"/>
    </row>
    <row r="8250" spans="8:8" s="87" customFormat="1">
      <c r="H8250" s="142"/>
    </row>
    <row r="8251" spans="8:8" s="87" customFormat="1">
      <c r="H8251" s="142"/>
    </row>
    <row r="8252" spans="8:8" s="87" customFormat="1">
      <c r="H8252" s="142"/>
    </row>
    <row r="8253" spans="8:8" s="87" customFormat="1">
      <c r="H8253" s="142"/>
    </row>
    <row r="8254" spans="8:8" s="87" customFormat="1">
      <c r="H8254" s="142"/>
    </row>
    <row r="8255" spans="8:8" s="87" customFormat="1">
      <c r="H8255" s="142"/>
    </row>
    <row r="8256" spans="8:8" s="87" customFormat="1">
      <c r="H8256" s="142"/>
    </row>
    <row r="8257" spans="8:8" s="87" customFormat="1">
      <c r="H8257" s="142"/>
    </row>
    <row r="8258" spans="8:8" s="87" customFormat="1">
      <c r="H8258" s="142"/>
    </row>
    <row r="8259" spans="8:8" s="87" customFormat="1">
      <c r="H8259" s="142"/>
    </row>
    <row r="8260" spans="8:8" s="87" customFormat="1">
      <c r="H8260" s="142"/>
    </row>
    <row r="8261" spans="8:8" s="87" customFormat="1">
      <c r="H8261" s="142"/>
    </row>
    <row r="8262" spans="8:8" s="87" customFormat="1">
      <c r="H8262" s="142"/>
    </row>
    <row r="8263" spans="8:8" s="87" customFormat="1">
      <c r="H8263" s="142"/>
    </row>
    <row r="8264" spans="8:8" s="87" customFormat="1">
      <c r="H8264" s="142"/>
    </row>
    <row r="8265" spans="8:8" s="87" customFormat="1">
      <c r="H8265" s="142"/>
    </row>
    <row r="8266" spans="8:8" s="87" customFormat="1">
      <c r="H8266" s="142"/>
    </row>
    <row r="8267" spans="8:8" s="87" customFormat="1">
      <c r="H8267" s="142"/>
    </row>
    <row r="8268" spans="8:8" s="87" customFormat="1">
      <c r="H8268" s="142"/>
    </row>
    <row r="8269" spans="8:8" s="87" customFormat="1">
      <c r="H8269" s="142"/>
    </row>
    <row r="8270" spans="8:8" s="87" customFormat="1">
      <c r="H8270" s="142"/>
    </row>
    <row r="8271" spans="8:8" s="87" customFormat="1">
      <c r="H8271" s="142"/>
    </row>
    <row r="8272" spans="8:8" s="87" customFormat="1">
      <c r="H8272" s="142"/>
    </row>
    <row r="8273" spans="8:8" s="87" customFormat="1">
      <c r="H8273" s="142"/>
    </row>
    <row r="8274" spans="8:8" s="87" customFormat="1">
      <c r="H8274" s="142"/>
    </row>
    <row r="8275" spans="8:8" s="87" customFormat="1">
      <c r="H8275" s="142"/>
    </row>
    <row r="8276" spans="8:8" s="87" customFormat="1">
      <c r="H8276" s="142"/>
    </row>
    <row r="8277" spans="8:8" s="87" customFormat="1">
      <c r="H8277" s="142"/>
    </row>
    <row r="8278" spans="8:8" s="87" customFormat="1">
      <c r="H8278" s="142"/>
    </row>
    <row r="8279" spans="8:8" s="87" customFormat="1">
      <c r="H8279" s="142"/>
    </row>
    <row r="8280" spans="8:8" s="87" customFormat="1">
      <c r="H8280" s="142"/>
    </row>
    <row r="8281" spans="8:8" s="87" customFormat="1">
      <c r="H8281" s="142"/>
    </row>
    <row r="8282" spans="8:8" s="87" customFormat="1">
      <c r="H8282" s="142"/>
    </row>
    <row r="8283" spans="8:8" s="87" customFormat="1">
      <c r="H8283" s="142"/>
    </row>
    <row r="8284" spans="8:8" s="87" customFormat="1">
      <c r="H8284" s="142"/>
    </row>
    <row r="8285" spans="8:8" s="87" customFormat="1">
      <c r="H8285" s="142"/>
    </row>
    <row r="8286" spans="8:8" s="87" customFormat="1">
      <c r="H8286" s="142"/>
    </row>
    <row r="8287" spans="8:8" s="87" customFormat="1">
      <c r="H8287" s="142"/>
    </row>
    <row r="8288" spans="8:8" s="87" customFormat="1">
      <c r="H8288" s="142"/>
    </row>
    <row r="8289" spans="8:8" s="87" customFormat="1">
      <c r="H8289" s="142"/>
    </row>
    <row r="8290" spans="8:8" s="87" customFormat="1">
      <c r="H8290" s="142"/>
    </row>
    <row r="8291" spans="8:8" s="87" customFormat="1">
      <c r="H8291" s="142"/>
    </row>
    <row r="8292" spans="8:8" s="87" customFormat="1">
      <c r="H8292" s="142"/>
    </row>
    <row r="8293" spans="8:8" s="87" customFormat="1">
      <c r="H8293" s="142"/>
    </row>
    <row r="8294" spans="8:8" s="87" customFormat="1">
      <c r="H8294" s="142"/>
    </row>
    <row r="8295" spans="8:8" s="87" customFormat="1">
      <c r="H8295" s="142"/>
    </row>
    <row r="8296" spans="8:8" s="87" customFormat="1">
      <c r="H8296" s="142"/>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6.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2" activePane="bottomLeft" state="frozen"/>
      <selection pane="bottomLeft" activeCell="P14" sqref="P14"/>
    </sheetView>
  </sheetViews>
  <sheetFormatPr defaultColWidth="7.109375" defaultRowHeight="12.75"/>
  <cols>
    <col min="1" max="3" width="7.109375" style="30"/>
    <col min="4" max="4" width="11.21875" style="30" customWidth="1"/>
    <col min="5" max="5" width="7.109375" style="30"/>
    <col min="6" max="6" width="4.88671875" style="30" customWidth="1"/>
    <col min="7" max="7" width="8" style="30" customWidth="1"/>
    <col min="8" max="8" width="6.44140625" style="30" customWidth="1"/>
    <col min="9" max="9" width="4.21875" style="30" customWidth="1"/>
    <col min="10" max="10" width="8.21875" style="30" customWidth="1"/>
    <col min="11" max="11" width="5.88671875" style="30" customWidth="1"/>
    <col min="12" max="12" width="6.109375" style="30" customWidth="1"/>
    <col min="13" max="16384" width="7.109375" style="30"/>
  </cols>
  <sheetData>
    <row r="1" spans="1:22" s="31" customFormat="1" ht="178.5">
      <c r="B1" s="56" t="s">
        <v>1564</v>
      </c>
      <c r="C1" s="56"/>
      <c r="D1" s="56" t="s">
        <v>2335</v>
      </c>
      <c r="E1" s="56"/>
      <c r="F1" s="56"/>
      <c r="G1" s="56" t="s">
        <v>1287</v>
      </c>
      <c r="H1" s="56"/>
      <c r="I1" s="56"/>
      <c r="J1" s="56" t="s">
        <v>298</v>
      </c>
      <c r="K1" s="56"/>
      <c r="L1" s="56"/>
      <c r="M1" s="56" t="s">
        <v>2336</v>
      </c>
      <c r="N1" s="56"/>
      <c r="O1" s="56"/>
      <c r="P1" s="56" t="s">
        <v>2537</v>
      </c>
      <c r="Q1" s="56"/>
    </row>
    <row r="2" spans="1:22">
      <c r="B2" s="54" t="s">
        <v>1565</v>
      </c>
      <c r="C2" s="54"/>
      <c r="D2" s="53" t="s">
        <v>0</v>
      </c>
      <c r="G2" s="52" t="s">
        <v>226</v>
      </c>
    </row>
    <row r="3" spans="1:22">
      <c r="A3" s="271" t="s">
        <v>893</v>
      </c>
      <c r="B3" s="99">
        <v>6.96</v>
      </c>
      <c r="C3" s="271">
        <f>10*B3</f>
        <v>69.599999999999994</v>
      </c>
      <c r="D3" s="99">
        <v>11.13</v>
      </c>
      <c r="E3" s="271">
        <f>10*D3</f>
        <v>111.3</v>
      </c>
      <c r="F3" s="271"/>
      <c r="G3" s="99">
        <v>9.39</v>
      </c>
      <c r="H3" s="271">
        <f>10*G3</f>
        <v>93.9</v>
      </c>
      <c r="I3" s="271"/>
      <c r="J3" s="99">
        <v>12.52</v>
      </c>
      <c r="K3" s="271">
        <f>10*J3</f>
        <v>125.2</v>
      </c>
      <c r="L3" s="271"/>
      <c r="M3" s="99">
        <v>15.64</v>
      </c>
      <c r="N3" s="271">
        <f>10*M3</f>
        <v>156.4</v>
      </c>
      <c r="O3" s="271"/>
      <c r="P3" s="99">
        <v>7.64</v>
      </c>
      <c r="Q3" s="381">
        <f>10*P3</f>
        <v>76.400000000000006</v>
      </c>
      <c r="R3" s="271"/>
    </row>
    <row r="4" spans="1:22">
      <c r="A4" s="684" t="s">
        <v>422</v>
      </c>
      <c r="B4" s="99">
        <v>5.96</v>
      </c>
      <c r="C4" s="271">
        <f>+C3+10*B4</f>
        <v>129.19999999999999</v>
      </c>
      <c r="D4" s="99">
        <v>9.52</v>
      </c>
      <c r="E4" s="271">
        <f>+E3+10*D4</f>
        <v>206.5</v>
      </c>
      <c r="F4" s="271"/>
      <c r="G4" s="259">
        <v>8.0399999999999991</v>
      </c>
      <c r="H4" s="271">
        <f>+H3+10*G4</f>
        <v>174.3</v>
      </c>
      <c r="I4" s="271"/>
      <c r="J4" s="99">
        <v>10.72</v>
      </c>
      <c r="K4" s="271">
        <f>+K3+10*J4</f>
        <v>232.4</v>
      </c>
      <c r="L4" s="271"/>
      <c r="M4" s="98">
        <v>13.4</v>
      </c>
      <c r="N4" s="271">
        <f>+N3+10*M4</f>
        <v>290.39999999999998</v>
      </c>
      <c r="O4" s="271"/>
      <c r="P4" s="99">
        <v>6.55</v>
      </c>
      <c r="Q4" s="271">
        <f>+Q3+10*P4</f>
        <v>141.9</v>
      </c>
      <c r="R4" s="271"/>
    </row>
    <row r="5" spans="1:22">
      <c r="A5" s="271" t="s">
        <v>970</v>
      </c>
      <c r="B5" s="99">
        <v>5.13</v>
      </c>
      <c r="C5" s="271">
        <f>+C4+20*B5</f>
        <v>231.8</v>
      </c>
      <c r="D5" s="99">
        <v>8.1999999999999993</v>
      </c>
      <c r="E5" s="271">
        <f>+E4+20*D5</f>
        <v>370.5</v>
      </c>
      <c r="F5" s="271"/>
      <c r="G5" s="99">
        <v>6.9</v>
      </c>
      <c r="H5" s="271">
        <f>+H4+20*G5</f>
        <v>312.3</v>
      </c>
      <c r="I5" s="271"/>
      <c r="J5" s="99">
        <v>9.2200000000000006</v>
      </c>
      <c r="K5" s="271">
        <f>+K4+20*J5</f>
        <v>416.8</v>
      </c>
      <c r="L5" s="271"/>
      <c r="M5" s="99">
        <v>11.52</v>
      </c>
      <c r="N5" s="271">
        <f>+N4+20*M5</f>
        <v>520.79999999999995</v>
      </c>
      <c r="O5" s="271"/>
      <c r="P5" s="99">
        <v>5.64</v>
      </c>
      <c r="Q5" s="271">
        <f>+Q4+20*P5</f>
        <v>254.7</v>
      </c>
      <c r="R5" s="271"/>
    </row>
    <row r="6" spans="1:22">
      <c r="A6" s="271" t="s">
        <v>971</v>
      </c>
      <c r="B6" s="99">
        <v>4.42</v>
      </c>
      <c r="C6" s="271">
        <f>+C5+40*B6</f>
        <v>408.6</v>
      </c>
      <c r="D6" s="99">
        <v>7.69</v>
      </c>
      <c r="E6" s="271">
        <f>+E5+40*D6</f>
        <v>678.1</v>
      </c>
      <c r="F6" s="271"/>
      <c r="G6" s="99">
        <v>5.96</v>
      </c>
      <c r="H6" s="271">
        <f>+H5+40*G6</f>
        <v>550.70000000000005</v>
      </c>
      <c r="I6" s="271"/>
      <c r="J6" s="99">
        <v>7.94</v>
      </c>
      <c r="K6" s="271">
        <f>+K5+40*J6</f>
        <v>734.4</v>
      </c>
      <c r="L6" s="271"/>
      <c r="M6" s="99">
        <v>9.9499999999999993</v>
      </c>
      <c r="N6" s="271">
        <f>+N5+40*M6</f>
        <v>918.8</v>
      </c>
      <c r="O6" s="271"/>
      <c r="P6" s="99">
        <v>4.87</v>
      </c>
      <c r="Q6" s="271">
        <f>+Q5+40*P6</f>
        <v>449.5</v>
      </c>
      <c r="R6" s="271"/>
    </row>
    <row r="7" spans="1:22">
      <c r="A7" s="271" t="s">
        <v>972</v>
      </c>
      <c r="B7" s="99">
        <v>4.03</v>
      </c>
      <c r="C7" s="271"/>
      <c r="D7" s="99">
        <v>6.45</v>
      </c>
      <c r="E7" s="271"/>
      <c r="F7" s="271"/>
      <c r="G7" s="99">
        <v>5.45</v>
      </c>
      <c r="H7" s="271"/>
      <c r="I7" s="271"/>
      <c r="J7" s="99">
        <v>7.25</v>
      </c>
      <c r="K7" s="271"/>
      <c r="L7" s="271"/>
      <c r="M7" s="99">
        <v>9.07</v>
      </c>
      <c r="N7" s="271"/>
      <c r="O7" s="271"/>
      <c r="P7" s="99">
        <v>4.4400000000000004</v>
      </c>
      <c r="Q7" s="271"/>
      <c r="R7" s="271"/>
    </row>
    <row r="8" spans="1:22" ht="5.25" customHeight="1">
      <c r="A8" s="271"/>
      <c r="B8" s="271"/>
      <c r="C8" s="271"/>
      <c r="D8" s="271"/>
      <c r="E8" s="271"/>
      <c r="F8" s="271"/>
      <c r="G8" s="271"/>
      <c r="H8" s="271"/>
      <c r="I8" s="271"/>
      <c r="J8" s="271"/>
      <c r="K8" s="271"/>
      <c r="L8" s="271"/>
      <c r="M8" s="271"/>
      <c r="N8" s="271"/>
      <c r="O8" s="271"/>
      <c r="P8" s="271"/>
      <c r="Q8" s="271"/>
      <c r="R8" s="271"/>
    </row>
    <row r="9" spans="1:22" ht="6.75" customHeight="1">
      <c r="A9" s="271"/>
      <c r="B9" s="685"/>
      <c r="C9" s="685"/>
      <c r="D9" s="271"/>
      <c r="E9" s="271"/>
      <c r="F9" s="271"/>
      <c r="G9" s="271"/>
      <c r="H9" s="271"/>
      <c r="I9" s="271"/>
      <c r="J9" s="271"/>
      <c r="K9" s="271"/>
      <c r="L9" s="271"/>
      <c r="M9" s="271"/>
      <c r="N9" s="271"/>
      <c r="O9" s="271"/>
      <c r="P9" s="271"/>
      <c r="Q9" s="271"/>
      <c r="R9" s="271"/>
    </row>
    <row r="10" spans="1:22" ht="28.5" customHeight="1">
      <c r="A10" s="271"/>
      <c r="B10" s="271" t="s">
        <v>860</v>
      </c>
      <c r="C10" s="271"/>
      <c r="D10" s="271">
        <v>25</v>
      </c>
      <c r="E10" s="381">
        <f>IF(D10&lt;11,D10*$D$3,IF(D10&lt;21,($E$3+(D10-10)*$D$4),IF(D10&lt;41,$E$4+(D10-20)*$D$5,IF(D10&lt;81,($E$5+(D10-40)*$D$6),$E$6+(D10-80)*$D$7))))</f>
        <v>247.5</v>
      </c>
      <c r="F10" s="271"/>
      <c r="G10" s="271">
        <v>28</v>
      </c>
      <c r="H10" s="271">
        <f>IF(G10&lt;11,G10*$G$3,IF(G10&lt;21,($H$3+(G10-10)*$G$4),IF(G10&lt;41,$H$4+(G10-20)*$G$5,IF(G10&lt;81,($H$5+(G10-40)*$G$6),$H$6+(G10-80)*$G$7))))</f>
        <v>229.5</v>
      </c>
      <c r="I10" s="271"/>
      <c r="J10" s="271"/>
      <c r="K10" s="271"/>
      <c r="L10" s="33" t="s">
        <v>1188</v>
      </c>
      <c r="M10" s="271">
        <v>10</v>
      </c>
      <c r="N10" s="271">
        <f>IF(M10&lt;11,M10*$M$3,IF(M10&lt;21,($N$3+(M10-10)*$M$4),IF(M10&lt;41,$N$4+(M10-20)*$M$5,IF(M10&lt;81,($N$5+(M10-40)*$M$6),$N$6+(M10-80)*$M$7))))</f>
        <v>156.4</v>
      </c>
      <c r="O10" s="271"/>
      <c r="P10" s="271">
        <v>28</v>
      </c>
      <c r="Q10" s="271">
        <f>IF(P10&lt;11,P10*$P$3,IF(P10&lt;21,($Q$3+(P10-10)*$P$4),IF(P10&lt;41,$Q$4+(P10-20)*$P$5,IF(P10&lt;81,($Q$5+(P10-40)*$P$6),$Q$6+(P10-80)*$P$7))))</f>
        <v>187.02</v>
      </c>
      <c r="R10" s="271" t="s">
        <v>1177</v>
      </c>
    </row>
    <row r="11" spans="1:22">
      <c r="A11" s="271"/>
      <c r="B11" s="271" t="s">
        <v>1083</v>
      </c>
      <c r="C11" s="271"/>
      <c r="D11" s="271">
        <v>23</v>
      </c>
      <c r="E11" s="381">
        <f>IF(D11&lt;11,D11*$D$3,(IF(D11&lt;21,($E$3+(D11-10)*$D$4),(IF(D11&lt;41,$E$4+(D11-20)*$D$5,IF(D11&lt;81,($E$5+(D11-40)*$D$6),$E$6+(D11-80)*$D$7))))))</f>
        <v>231.1</v>
      </c>
      <c r="F11" s="271"/>
      <c r="G11" s="271"/>
      <c r="H11" s="271">
        <f>IF(G11&lt;11,G11*$G$3,IF(G11&lt;21,($H$3+(G11-10)*$G$4),IF(G11&lt;41,$H$4+(G11-20)*$G$5,IF(G11&lt;81,($H$5+(G11-40)*$G$6),$H$6+(G11-80)*$G$7))))</f>
        <v>0</v>
      </c>
      <c r="I11" s="271"/>
      <c r="J11" s="271">
        <v>0</v>
      </c>
      <c r="K11" s="271">
        <f>IF(J11&lt;11,J11*$J$3,IF(J11&lt;21,($K$3+(J11-10)*$J$4),IF(J11&lt;41,$K$4+(J11-20)*$J$5,IF(J11&lt;81,($K$5+(J11-40)*$J$6),$K$6+(J11-80)*$J$7))))/2</f>
        <v>0</v>
      </c>
      <c r="L11" s="34" t="s">
        <v>299</v>
      </c>
      <c r="M11" s="271"/>
      <c r="N11" s="271"/>
      <c r="O11" s="271"/>
      <c r="P11" s="271">
        <v>0</v>
      </c>
      <c r="Q11" s="271">
        <f>IF(P11&lt;11,P11*$P$3,IF(P11&lt;21,($Q$3+(P11-10)*$P$4),IF(P11&lt;41,$Q$4+(P11-20)*$P$5,IF(P11&lt;81,($Q$5+(P11-40)*$P$6),$Q$6+(P11-80)*$P$7))))</f>
        <v>0</v>
      </c>
      <c r="R11" s="271" t="s">
        <v>1178</v>
      </c>
      <c r="T11" s="271" t="s">
        <v>3590</v>
      </c>
    </row>
    <row r="12" spans="1:22" ht="21" customHeight="1">
      <c r="A12" s="271"/>
      <c r="B12" s="33" t="s">
        <v>787</v>
      </c>
      <c r="C12" s="33"/>
      <c r="D12" s="271">
        <v>25</v>
      </c>
      <c r="E12" s="271">
        <f>IF(D12&lt;11,D12*$D$3,(IF(D12&lt;21,($E$3+(D12-10)*$D$4),(IF(D12&lt;41,$E$4+(D12-20)*$D$5,IF(D12&lt;81,($E$5+(D12-40)*$D$6),$E$6+(D12-80)*$D$7))))))</f>
        <v>247.5</v>
      </c>
      <c r="F12" s="271"/>
      <c r="G12" s="271"/>
      <c r="H12" s="271"/>
      <c r="I12" s="271"/>
      <c r="J12" s="271">
        <v>0</v>
      </c>
      <c r="K12" s="271">
        <f>IF(J12&lt;11,J12*$J$3,IF(J12&lt;21,($K$3+(J12-10)*$J$4),IF(J12&lt;41,$K$4+(J12-20)*$J$5,IF(J12&lt;81,($K$5+(J12-40)*$J$6),$K$6+(J12-80)*$J$7))))/2</f>
        <v>0</v>
      </c>
      <c r="L12" s="271"/>
      <c r="M12" s="271"/>
      <c r="N12" s="271">
        <f>90+77.5+6.85*20+5.7*23</f>
        <v>435.6</v>
      </c>
      <c r="O12" s="271"/>
      <c r="P12" s="271">
        <v>0</v>
      </c>
      <c r="Q12" s="271">
        <f>IF(P12&lt;11,P12*$P$3,IF(P12&lt;21,($Q$3+(P12-10)*$P$4),IF(P12&lt;41,$Q$4+(P12-20)*$P$5,IF(P12&lt;81,($Q$5+(P12-40)*$P$6),$Q$6+(P12-80)*$P$7))))</f>
        <v>0</v>
      </c>
      <c r="R12" s="271" t="s">
        <v>3820</v>
      </c>
      <c r="T12" s="30">
        <f>8.69*6</f>
        <v>52.14</v>
      </c>
      <c r="U12" s="52" t="s">
        <v>3589</v>
      </c>
    </row>
    <row r="13" spans="1:22">
      <c r="A13" s="271"/>
      <c r="B13" s="271" t="s">
        <v>211</v>
      </c>
      <c r="C13" s="271"/>
      <c r="D13" s="271">
        <v>15</v>
      </c>
      <c r="E13" s="381">
        <f>IF(D13&lt;11,D13*$D$3,(IF(D13&lt;21,($E$3+(D13-10)*$D$4),(IF(D13&lt;41,$E$4+(D13-20)*$D$5,IF(D13&lt;81,($E$5+(D13-40)*$D$6),$E$6+(D13-80)*$D$7))))))</f>
        <v>158.9</v>
      </c>
      <c r="F13" s="271"/>
      <c r="G13" s="271"/>
      <c r="H13" s="271"/>
      <c r="I13" s="271"/>
      <c r="J13" s="271"/>
      <c r="K13" s="271"/>
      <c r="L13" s="271"/>
      <c r="M13" s="271"/>
      <c r="N13" s="271"/>
      <c r="O13" s="271"/>
      <c r="P13" s="271">
        <v>25</v>
      </c>
      <c r="Q13" s="271">
        <f>IF(P13&lt;11,P13*$P$3,IF(P13&lt;21,($Q$3+(P13-10)*$P$4),IF(P13&lt;41,$Q$4+(P13-20)*$P$5,IF(P13&lt;81,($Q$5+(P13-40)*$P$6),$Q$6+(P13-80)*$P$7))))</f>
        <v>170.1</v>
      </c>
      <c r="R13" s="271" t="s">
        <v>3591</v>
      </c>
    </row>
    <row r="14" spans="1:22">
      <c r="A14" s="271"/>
      <c r="B14" s="271" t="s">
        <v>390</v>
      </c>
      <c r="C14" s="271"/>
      <c r="D14" s="271">
        <v>0</v>
      </c>
      <c r="E14" s="271">
        <f>IF(D14&lt;11,D14*$B$3,(IF(D14&lt;21,($C$3+(D14-10)*$B$4),(IF(D14&lt;41,$C$4+(D14-20)*$B$5,IF(D14&lt;81,($C$5+(D14-40)*$B$6),$C$6+(D14-80)*$B$7))))))</f>
        <v>0</v>
      </c>
      <c r="F14" s="271"/>
      <c r="G14" s="271"/>
      <c r="H14" s="271"/>
      <c r="I14" s="271"/>
      <c r="J14" s="271"/>
      <c r="K14" s="271"/>
      <c r="L14" s="271"/>
      <c r="M14" s="271"/>
      <c r="N14" s="271"/>
      <c r="O14" s="271"/>
      <c r="P14" s="271"/>
      <c r="Q14" s="271"/>
      <c r="R14" s="271"/>
      <c r="T14" s="271" t="s">
        <v>987</v>
      </c>
      <c r="U14" s="30">
        <f>8.69+7.44+6.4+6</f>
        <v>28.53</v>
      </c>
      <c r="V14" s="30">
        <f>U14*44</f>
        <v>1255.32</v>
      </c>
    </row>
    <row r="15" spans="1:22">
      <c r="A15" s="271"/>
      <c r="B15" s="271" t="s">
        <v>515</v>
      </c>
      <c r="C15" s="271"/>
      <c r="D15" s="271">
        <v>0</v>
      </c>
      <c r="E15" s="271">
        <f>IF(D15&lt;11,D15*$B$3,(IF(D15&lt;21,($C$3+(D15-10)*$B$4),(IF(D15&lt;41,$C$4+(D15-20)*$B$5,IF(D15&lt;81,($C$5+(D15-40)*$B$6),$C$6+(D15-80)*$B$7))))))</f>
        <v>0</v>
      </c>
      <c r="F15" s="271"/>
      <c r="G15" s="271"/>
      <c r="H15" s="271"/>
      <c r="I15" s="271"/>
      <c r="J15" s="271"/>
      <c r="K15" s="271"/>
      <c r="L15" s="271"/>
      <c r="M15" s="271"/>
      <c r="N15" s="271"/>
      <c r="O15" s="271"/>
      <c r="P15" s="271"/>
      <c r="Q15" s="271"/>
      <c r="R15" s="271"/>
    </row>
    <row r="16" spans="1:22">
      <c r="A16" s="271"/>
      <c r="B16" s="271" t="s">
        <v>3262</v>
      </c>
      <c r="C16" s="271"/>
      <c r="D16" s="271">
        <v>15</v>
      </c>
      <c r="E16" s="381">
        <f t="shared" ref="E16:E21" si="0">IF(D16&lt;11,D16*$D$3,(IF(D16&lt;21,($E$3+(D16-10)*$D$4),(IF(D16&lt;41,$E$4+(D16-20)*$D$5,IF(D16&lt;81,($E$5+(D16-40)*$D$6),$E$6+(D16-80)*$D$7))))))</f>
        <v>158.9</v>
      </c>
      <c r="F16" s="271"/>
      <c r="G16" s="271"/>
      <c r="H16" s="271"/>
      <c r="I16" s="271"/>
      <c r="J16" s="271"/>
      <c r="K16" s="271"/>
      <c r="L16" s="271"/>
      <c r="M16" s="271"/>
      <c r="N16" s="271"/>
      <c r="O16" s="271"/>
      <c r="P16" s="271"/>
      <c r="Q16" s="271"/>
      <c r="R16" s="271"/>
      <c r="U16" s="30">
        <f>8.69*10</f>
        <v>86.9</v>
      </c>
    </row>
    <row r="17" spans="1:21">
      <c r="A17" s="271"/>
      <c r="B17" s="271"/>
      <c r="C17" s="271"/>
      <c r="D17" s="271">
        <v>0</v>
      </c>
      <c r="E17" s="271">
        <f t="shared" si="0"/>
        <v>0</v>
      </c>
      <c r="F17" s="271"/>
      <c r="G17" s="271"/>
      <c r="H17" s="271"/>
      <c r="I17" s="271"/>
      <c r="J17" s="271"/>
      <c r="K17" s="271"/>
      <c r="L17" s="271"/>
      <c r="M17" s="271"/>
      <c r="N17" s="271"/>
      <c r="O17" s="271"/>
      <c r="P17" s="271"/>
      <c r="Q17" s="271"/>
      <c r="R17" s="271"/>
      <c r="U17" s="30">
        <f>7.44*10</f>
        <v>74.400000000000006</v>
      </c>
    </row>
    <row r="18" spans="1:21">
      <c r="A18" s="271"/>
      <c r="B18" s="271"/>
      <c r="C18" s="271"/>
      <c r="D18" s="271">
        <v>0</v>
      </c>
      <c r="E18" s="271">
        <f t="shared" si="0"/>
        <v>0</v>
      </c>
      <c r="F18" s="271"/>
      <c r="G18" s="381"/>
      <c r="H18" s="381">
        <f>(G18+G19)/2</f>
        <v>0</v>
      </c>
      <c r="I18" s="271"/>
      <c r="J18" s="271"/>
      <c r="K18" s="271"/>
      <c r="L18" s="271"/>
      <c r="M18" s="271"/>
      <c r="N18" s="271"/>
      <c r="O18" s="271"/>
      <c r="P18" s="271"/>
      <c r="Q18" s="271"/>
      <c r="R18" s="271"/>
      <c r="U18" s="30">
        <f>6.4*20</f>
        <v>128</v>
      </c>
    </row>
    <row r="19" spans="1:21">
      <c r="A19" s="271"/>
      <c r="B19" s="271"/>
      <c r="C19" s="271"/>
      <c r="D19" s="271">
        <v>0</v>
      </c>
      <c r="E19" s="271">
        <f t="shared" si="0"/>
        <v>0</v>
      </c>
      <c r="F19" s="271"/>
      <c r="G19" s="381"/>
      <c r="H19" s="271">
        <f>15+20+25+0.2</f>
        <v>60.2</v>
      </c>
      <c r="I19" s="271"/>
      <c r="J19" s="271"/>
      <c r="K19" s="271"/>
      <c r="L19" s="271"/>
      <c r="M19" s="271"/>
      <c r="N19" s="271"/>
      <c r="O19" s="271"/>
      <c r="P19" s="271"/>
      <c r="Q19" s="271"/>
      <c r="R19" s="271"/>
      <c r="U19" s="30">
        <f>6*4</f>
        <v>24</v>
      </c>
    </row>
    <row r="20" spans="1:21">
      <c r="A20" s="271"/>
      <c r="B20" s="271"/>
      <c r="C20" s="271"/>
      <c r="D20" s="271">
        <v>0</v>
      </c>
      <c r="E20" s="271">
        <f t="shared" si="0"/>
        <v>0</v>
      </c>
      <c r="F20" s="271"/>
      <c r="G20" s="381"/>
      <c r="H20" s="271"/>
      <c r="I20" s="271"/>
      <c r="J20" s="271"/>
      <c r="K20" s="271"/>
      <c r="L20" s="271"/>
      <c r="M20" s="271"/>
      <c r="N20" s="271"/>
      <c r="O20" s="271"/>
      <c r="P20" s="271"/>
      <c r="Q20" s="271"/>
      <c r="R20" s="271"/>
      <c r="U20" s="52">
        <f>SUM(U16:U19)</f>
        <v>313.3</v>
      </c>
    </row>
    <row r="21" spans="1:21">
      <c r="D21" s="271">
        <v>0</v>
      </c>
      <c r="E21" s="30">
        <f t="shared" si="0"/>
        <v>0</v>
      </c>
      <c r="G21" s="32"/>
    </row>
    <row r="22" spans="1:21">
      <c r="G22" s="32"/>
    </row>
    <row r="23" spans="1:21">
      <c r="G23" s="32"/>
    </row>
    <row r="24" spans="1:21">
      <c r="G24" s="32"/>
    </row>
    <row r="25" spans="1:21">
      <c r="G25" s="32"/>
      <c r="H25" s="30">
        <f>SUM(G20:G25)/6</f>
        <v>0</v>
      </c>
    </row>
    <row r="26" spans="1:21">
      <c r="G26" s="32"/>
    </row>
    <row r="27" spans="1:21">
      <c r="G27" s="32"/>
    </row>
    <row r="28" spans="1:21">
      <c r="G28" s="32"/>
    </row>
    <row r="29" spans="1:21">
      <c r="G29" s="32"/>
    </row>
    <row r="30" spans="1:21">
      <c r="G30" s="32"/>
    </row>
    <row r="31" spans="1:21">
      <c r="G31" s="32"/>
    </row>
    <row r="32" spans="1:21">
      <c r="G32" s="32"/>
    </row>
    <row r="33" spans="7:7">
      <c r="G33" s="32"/>
    </row>
  </sheetData>
  <phoneticPr fontId="4" type="noConversion"/>
  <pageMargins left="0.46" right="0.19" top="1" bottom="1" header="0.5" footer="0.5"/>
  <pageSetup paperSize="9" scale="88" orientation="landscape" r:id="rId1"/>
  <headerFooter alignWithMargins="0"/>
</worksheet>
</file>

<file path=xl/worksheets/sheet7.xml><?xml version="1.0" encoding="utf-8"?>
<worksheet xmlns="http://schemas.openxmlformats.org/spreadsheetml/2006/main" xmlns:r="http://schemas.openxmlformats.org/officeDocument/2006/relationships">
  <sheetPr syncVertical="1" syncRef="F3263" transitionEvaluation="1"/>
  <dimension ref="A1:AK8305"/>
  <sheetViews>
    <sheetView view="pageBreakPreview" topLeftCell="F3263" zoomScale="80" zoomScaleNormal="60" zoomScaleSheetLayoutView="80" workbookViewId="0">
      <selection activeCell="H3361" sqref="H3361"/>
    </sheetView>
  </sheetViews>
  <sheetFormatPr defaultColWidth="7.44140625" defaultRowHeight="15.75"/>
  <cols>
    <col min="1" max="1" width="7.77734375" style="87" hidden="1" customWidth="1"/>
    <col min="2" max="2" width="45.77734375" style="87" hidden="1" customWidth="1"/>
    <col min="3" max="3" width="11.77734375" style="87" hidden="1" customWidth="1"/>
    <col min="4" max="4" width="9.77734375" style="87" hidden="1" customWidth="1"/>
    <col min="5" max="5" width="9.21875" style="87" hidden="1" customWidth="1"/>
    <col min="6" max="6" width="8.88671875" style="87" customWidth="1"/>
    <col min="7" max="7" width="6.5546875" style="85" customWidth="1"/>
    <col min="8" max="8" width="55.77734375" style="87" customWidth="1"/>
    <col min="9" max="9" width="10" style="87" customWidth="1"/>
    <col min="10" max="10" width="9.44140625" style="80" customWidth="1"/>
    <col min="11" max="11" width="13.5546875" style="87" customWidth="1"/>
    <col min="12" max="13" width="9.77734375" style="87" customWidth="1"/>
    <col min="14" max="14" width="10.88671875" style="87" customWidth="1"/>
    <col min="15" max="15" width="50.5546875" style="87" customWidth="1"/>
    <col min="16" max="16" width="9.77734375" style="87" customWidth="1"/>
    <col min="17" max="17" width="9.21875" style="87" customWidth="1"/>
    <col min="18" max="18" width="10.33203125" style="87" customWidth="1"/>
    <col min="19" max="19" width="9.5546875" style="87" customWidth="1"/>
    <col min="20" max="20" width="7.77734375" style="87" customWidth="1"/>
    <col min="21" max="21" width="49.77734375" style="87" customWidth="1"/>
    <col min="22" max="22" width="7.77734375" style="87" hidden="1" customWidth="1"/>
    <col min="23" max="23" width="16.77734375" style="87" hidden="1" customWidth="1"/>
    <col min="24" max="24" width="9.109375" style="87" customWidth="1"/>
    <col min="25" max="25" width="11.21875" style="87" bestFit="1" customWidth="1"/>
    <col min="26" max="26" width="9.6640625" style="87" customWidth="1"/>
    <col min="27" max="27" width="8.6640625" style="87" customWidth="1"/>
    <col min="28" max="28" width="9.6640625" style="87" customWidth="1"/>
    <col min="29" max="29" width="10.6640625" style="87" customWidth="1"/>
    <col min="30" max="30" width="23.21875" style="87" customWidth="1"/>
    <col min="31" max="31" width="8.77734375" style="87" customWidth="1"/>
    <col min="32" max="32" width="8.109375" style="87" bestFit="1" customWidth="1"/>
    <col min="33" max="33" width="9" style="87" customWidth="1"/>
    <col min="34" max="34" width="8.77734375" style="87" customWidth="1"/>
    <col min="35" max="16384" width="7.44140625" style="87"/>
  </cols>
  <sheetData>
    <row r="1" spans="1:37" ht="19.5" hidden="1">
      <c r="A1" s="86" t="s">
        <v>987</v>
      </c>
      <c r="B1" s="102" t="s">
        <v>2079</v>
      </c>
      <c r="E1" s="86" t="s">
        <v>987</v>
      </c>
      <c r="H1" s="86" t="s">
        <v>247</v>
      </c>
      <c r="O1" s="86" t="s">
        <v>247</v>
      </c>
      <c r="U1" s="103" t="s">
        <v>2079</v>
      </c>
      <c r="V1" s="86" t="s">
        <v>248</v>
      </c>
      <c r="W1" s="86" t="s">
        <v>987</v>
      </c>
    </row>
    <row r="2" spans="1:37" hidden="1">
      <c r="B2" s="89" t="s">
        <v>2080</v>
      </c>
      <c r="E2" s="86" t="s">
        <v>987</v>
      </c>
      <c r="H2" s="102" t="s">
        <v>658</v>
      </c>
      <c r="O2" s="102" t="s">
        <v>658</v>
      </c>
      <c r="U2" s="89" t="s">
        <v>2080</v>
      </c>
    </row>
    <row r="3" spans="1:37" hidden="1">
      <c r="A3" s="86" t="s">
        <v>1608</v>
      </c>
      <c r="B3" s="104" t="s">
        <v>2508</v>
      </c>
      <c r="C3" s="86" t="s">
        <v>2509</v>
      </c>
      <c r="E3" s="86" t="s">
        <v>987</v>
      </c>
      <c r="F3" s="92" t="s">
        <v>1608</v>
      </c>
      <c r="G3" s="90" t="s">
        <v>987</v>
      </c>
      <c r="H3" s="91" t="str">
        <f>B3</f>
        <v>Madurai TSp VIth Bn under 4000 quarters Scheme.</v>
      </c>
      <c r="J3" s="102" t="str">
        <f>C3</f>
        <v>2006-2007</v>
      </c>
      <c r="M3" s="86" t="s">
        <v>1608</v>
      </c>
      <c r="N3" s="86" t="s">
        <v>987</v>
      </c>
      <c r="O3" s="91" t="str">
        <f>B3</f>
        <v>Madurai TSp VIth Bn under 4000 quarters Scheme.</v>
      </c>
      <c r="Q3" s="91" t="str">
        <f>C3</f>
        <v>2006-2007</v>
      </c>
      <c r="T3" s="86" t="s">
        <v>1608</v>
      </c>
      <c r="U3" s="91" t="str">
        <f>B3</f>
        <v>Madurai TSp VIth Bn under 4000 quarters Scheme.</v>
      </c>
      <c r="W3" s="105" t="str">
        <f>C3</f>
        <v>2006-2007</v>
      </c>
      <c r="AA3" s="86" t="s">
        <v>987</v>
      </c>
    </row>
    <row r="4" spans="1:37" hidden="1">
      <c r="F4" s="89" t="s">
        <v>1609</v>
      </c>
      <c r="G4" s="89" t="s">
        <v>1609</v>
      </c>
      <c r="H4" s="89" t="s">
        <v>1609</v>
      </c>
      <c r="I4" s="89" t="s">
        <v>1609</v>
      </c>
      <c r="J4" s="89" t="s">
        <v>1609</v>
      </c>
      <c r="K4" s="89" t="s">
        <v>1609</v>
      </c>
      <c r="M4" s="89" t="s">
        <v>1609</v>
      </c>
      <c r="N4" s="89" t="s">
        <v>1609</v>
      </c>
      <c r="O4" s="89" t="s">
        <v>1609</v>
      </c>
      <c r="P4" s="89" t="s">
        <v>1609</v>
      </c>
      <c r="Q4" s="89" t="s">
        <v>1609</v>
      </c>
      <c r="R4" s="89" t="s">
        <v>1609</v>
      </c>
      <c r="U4" s="86" t="s">
        <v>987</v>
      </c>
      <c r="W4" s="86" t="s">
        <v>987</v>
      </c>
      <c r="X4" s="86" t="s">
        <v>248</v>
      </c>
      <c r="Y4" s="86" t="s">
        <v>987</v>
      </c>
      <c r="AC4" s="86" t="s">
        <v>987</v>
      </c>
      <c r="AG4" s="86" t="s">
        <v>1610</v>
      </c>
    </row>
    <row r="5" spans="1:37" hidden="1">
      <c r="A5" s="89" t="s">
        <v>1609</v>
      </c>
      <c r="B5" s="89" t="s">
        <v>1609</v>
      </c>
      <c r="C5" s="89" t="s">
        <v>1609</v>
      </c>
      <c r="D5" s="89" t="s">
        <v>1609</v>
      </c>
      <c r="E5" s="86" t="s">
        <v>987</v>
      </c>
      <c r="F5" s="92" t="s">
        <v>1611</v>
      </c>
      <c r="G5" s="90" t="s">
        <v>987</v>
      </c>
      <c r="H5" s="102" t="s">
        <v>1612</v>
      </c>
      <c r="I5" s="102" t="s">
        <v>1613</v>
      </c>
      <c r="J5" s="102" t="s">
        <v>1614</v>
      </c>
      <c r="K5" s="102" t="s">
        <v>1615</v>
      </c>
      <c r="M5" s="102" t="s">
        <v>1611</v>
      </c>
      <c r="N5" s="86" t="s">
        <v>987</v>
      </c>
      <c r="O5" s="102" t="s">
        <v>1612</v>
      </c>
      <c r="P5" s="102" t="s">
        <v>1613</v>
      </c>
      <c r="Q5" s="102" t="s">
        <v>1614</v>
      </c>
      <c r="R5" s="102" t="s">
        <v>1615</v>
      </c>
      <c r="T5" s="89" t="s">
        <v>1609</v>
      </c>
      <c r="U5" s="89" t="s">
        <v>1609</v>
      </c>
      <c r="V5" s="89" t="s">
        <v>1609</v>
      </c>
      <c r="W5" s="89" t="s">
        <v>1609</v>
      </c>
      <c r="X5" s="89" t="s">
        <v>1609</v>
      </c>
      <c r="Y5" s="89" t="s">
        <v>1609</v>
      </c>
      <c r="Z5" s="89" t="s">
        <v>1609</v>
      </c>
      <c r="AA5" s="89" t="s">
        <v>1609</v>
      </c>
      <c r="AB5" s="89" t="s">
        <v>1609</v>
      </c>
      <c r="AC5" s="89" t="s">
        <v>1609</v>
      </c>
      <c r="AD5" s="89" t="s">
        <v>1609</v>
      </c>
      <c r="AE5" s="89" t="s">
        <v>1609</v>
      </c>
    </row>
    <row r="6" spans="1:37" hidden="1">
      <c r="A6" s="86" t="s">
        <v>700</v>
      </c>
      <c r="B6" s="86" t="s">
        <v>1612</v>
      </c>
      <c r="C6" s="86" t="s">
        <v>1613</v>
      </c>
      <c r="D6" s="86" t="s">
        <v>1614</v>
      </c>
      <c r="F6" s="89" t="s">
        <v>1609</v>
      </c>
      <c r="G6" s="89" t="s">
        <v>1609</v>
      </c>
      <c r="H6" s="89" t="s">
        <v>1609</v>
      </c>
      <c r="I6" s="89" t="s">
        <v>1609</v>
      </c>
      <c r="J6" s="89" t="s">
        <v>1609</v>
      </c>
      <c r="K6" s="89" t="s">
        <v>1609</v>
      </c>
      <c r="M6" s="89" t="s">
        <v>1609</v>
      </c>
      <c r="N6" s="89" t="s">
        <v>1609</v>
      </c>
      <c r="O6" s="89" t="s">
        <v>1609</v>
      </c>
      <c r="P6" s="89" t="s">
        <v>1609</v>
      </c>
      <c r="Q6" s="89" t="s">
        <v>1609</v>
      </c>
      <c r="R6" s="89" t="s">
        <v>1609</v>
      </c>
      <c r="T6" s="102" t="s">
        <v>700</v>
      </c>
      <c r="U6" s="102" t="s">
        <v>57</v>
      </c>
      <c r="V6" s="102" t="s">
        <v>2268</v>
      </c>
      <c r="W6" s="102" t="s">
        <v>2269</v>
      </c>
      <c r="X6" s="102" t="s">
        <v>2270</v>
      </c>
      <c r="Y6" s="102" t="s">
        <v>2271</v>
      </c>
      <c r="Z6" s="102" t="s">
        <v>2272</v>
      </c>
      <c r="AA6" s="86" t="s">
        <v>2510</v>
      </c>
      <c r="AB6" s="86" t="s">
        <v>2273</v>
      </c>
      <c r="AC6" s="86" t="s">
        <v>2274</v>
      </c>
      <c r="AD6" s="102" t="s">
        <v>2275</v>
      </c>
      <c r="AG6" s="87">
        <f>135*1.1</f>
        <v>148.5</v>
      </c>
    </row>
    <row r="7" spans="1:37" hidden="1">
      <c r="A7" s="89" t="s">
        <v>1609</v>
      </c>
      <c r="B7" s="89" t="s">
        <v>1609</v>
      </c>
      <c r="C7" s="89" t="s">
        <v>1609</v>
      </c>
      <c r="D7" s="89" t="s">
        <v>1609</v>
      </c>
      <c r="G7" s="90" t="s">
        <v>2276</v>
      </c>
      <c r="H7" s="86" t="s">
        <v>2277</v>
      </c>
      <c r="O7" s="86" t="s">
        <v>2278</v>
      </c>
      <c r="X7" s="102" t="s">
        <v>2279</v>
      </c>
      <c r="Y7" s="102" t="s">
        <v>2274</v>
      </c>
      <c r="Z7" s="102" t="s">
        <v>2280</v>
      </c>
      <c r="AA7" s="86" t="s">
        <v>2511</v>
      </c>
      <c r="AB7" s="86" t="s">
        <v>2281</v>
      </c>
      <c r="AC7" s="86" t="s">
        <v>2282</v>
      </c>
    </row>
    <row r="8" spans="1:37" hidden="1">
      <c r="B8" s="86" t="s">
        <v>2283</v>
      </c>
      <c r="C8"/>
      <c r="D8"/>
      <c r="E8"/>
      <c r="H8" s="89" t="s">
        <v>1609</v>
      </c>
      <c r="O8" s="89" t="s">
        <v>1609</v>
      </c>
      <c r="T8" s="89" t="s">
        <v>1609</v>
      </c>
      <c r="U8" s="89" t="s">
        <v>1609</v>
      </c>
      <c r="V8" s="89" t="s">
        <v>1609</v>
      </c>
      <c r="W8" s="89" t="s">
        <v>1609</v>
      </c>
      <c r="X8" s="89" t="s">
        <v>1609</v>
      </c>
      <c r="Y8" s="89" t="s">
        <v>1609</v>
      </c>
      <c r="Z8" s="89" t="s">
        <v>1609</v>
      </c>
      <c r="AA8" s="89" t="s">
        <v>1609</v>
      </c>
      <c r="AB8" s="89" t="s">
        <v>1609</v>
      </c>
      <c r="AC8" s="89" t="s">
        <v>1609</v>
      </c>
      <c r="AD8" s="89" t="s">
        <v>1609</v>
      </c>
      <c r="AE8" s="89" t="s">
        <v>1609</v>
      </c>
      <c r="AG8" s="86" t="s">
        <v>2284</v>
      </c>
      <c r="AI8">
        <v>148.5</v>
      </c>
      <c r="AJ8" s="87">
        <v>1.1000000000000001</v>
      </c>
      <c r="AK8" s="87">
        <f>AI8*AJ8</f>
        <v>163.35</v>
      </c>
    </row>
    <row r="9" spans="1:37" hidden="1">
      <c r="B9" s="86" t="s">
        <v>869</v>
      </c>
      <c r="C9"/>
      <c r="D9"/>
      <c r="E9"/>
      <c r="F9" s="91">
        <v>0.96</v>
      </c>
      <c r="G9" s="90" t="s">
        <v>870</v>
      </c>
      <c r="H9" s="86" t="s">
        <v>871</v>
      </c>
      <c r="I9" s="8">
        <f>(C67)</f>
        <v>3800</v>
      </c>
      <c r="J9" s="2" t="s">
        <v>870</v>
      </c>
      <c r="K9" s="8">
        <f>(F9*I9)</f>
        <v>3648</v>
      </c>
      <c r="M9" s="91">
        <v>0.5</v>
      </c>
      <c r="N9" s="86" t="s">
        <v>870</v>
      </c>
      <c r="O9" s="86" t="s">
        <v>872</v>
      </c>
      <c r="P9" s="91" t="e">
        <f>(C85)</f>
        <v>#REF!</v>
      </c>
      <c r="Q9" s="86" t="s">
        <v>870</v>
      </c>
      <c r="R9" s="91" t="e">
        <f>(M9*P9)</f>
        <v>#REF!</v>
      </c>
      <c r="T9" s="102" t="s">
        <v>873</v>
      </c>
      <c r="U9" s="86" t="s">
        <v>874</v>
      </c>
      <c r="V9" s="86" t="s">
        <v>875</v>
      </c>
      <c r="W9" s="86" t="s">
        <v>2512</v>
      </c>
      <c r="X9" s="91" t="e">
        <f>#REF!</f>
        <v>#REF!</v>
      </c>
      <c r="Y9" s="8">
        <v>200</v>
      </c>
      <c r="Z9" s="91" t="e">
        <f>#REF!</f>
        <v>#REF!</v>
      </c>
      <c r="AA9" s="102">
        <v>0</v>
      </c>
      <c r="AB9" s="86">
        <v>0</v>
      </c>
      <c r="AC9" s="86" t="e">
        <f t="shared" ref="AC9:AC38" si="0">SUM(Y9+Z9+AA9+AB9)</f>
        <v>#REF!</v>
      </c>
      <c r="AD9" s="86" t="s">
        <v>2539</v>
      </c>
      <c r="AE9" s="8">
        <v>150</v>
      </c>
      <c r="AF9" s="91"/>
      <c r="AG9" s="91"/>
      <c r="AI9">
        <v>126.5</v>
      </c>
      <c r="AJ9" s="87">
        <v>1.1000000000000001</v>
      </c>
      <c r="AK9" s="87">
        <f t="shared" ref="AK9:AK36" si="1">AI9*AJ9</f>
        <v>139.15</v>
      </c>
    </row>
    <row r="10" spans="1:37" ht="15" hidden="1" customHeight="1">
      <c r="A10" s="106">
        <v>1</v>
      </c>
      <c r="B10" s="86" t="s">
        <v>876</v>
      </c>
      <c r="C10" s="8">
        <f>AE9</f>
        <v>150</v>
      </c>
      <c r="D10" s="1" t="s">
        <v>877</v>
      </c>
      <c r="E10"/>
      <c r="F10" s="91">
        <v>1</v>
      </c>
      <c r="G10" s="90" t="s">
        <v>878</v>
      </c>
      <c r="H10" s="86" t="s">
        <v>879</v>
      </c>
      <c r="I10" s="8" t="e">
        <f>(C78)</f>
        <v>#REF!</v>
      </c>
      <c r="J10" s="2" t="s">
        <v>878</v>
      </c>
      <c r="K10" s="8" t="e">
        <f>(F10*I10)</f>
        <v>#REF!</v>
      </c>
      <c r="M10" s="91">
        <v>1</v>
      </c>
      <c r="N10" s="86" t="s">
        <v>878</v>
      </c>
      <c r="O10" s="86" t="s">
        <v>879</v>
      </c>
      <c r="P10" s="91" t="e">
        <f>(C78)</f>
        <v>#REF!</v>
      </c>
      <c r="Q10" s="86" t="s">
        <v>878</v>
      </c>
      <c r="R10" s="91" t="e">
        <f>(M10*P10)</f>
        <v>#REF!</v>
      </c>
      <c r="T10" s="102" t="s">
        <v>880</v>
      </c>
      <c r="U10" s="86" t="s">
        <v>881</v>
      </c>
      <c r="V10" s="86" t="s">
        <v>875</v>
      </c>
      <c r="W10" s="91" t="str">
        <f>W9</f>
        <v>Nallambakkam</v>
      </c>
      <c r="X10" s="91" t="e">
        <f>+X9</f>
        <v>#REF!</v>
      </c>
      <c r="Y10" s="8">
        <v>300</v>
      </c>
      <c r="Z10" s="91" t="e">
        <f t="shared" ref="Z10:Z15" si="2">+Z9</f>
        <v>#REF!</v>
      </c>
      <c r="AA10" s="80">
        <v>0</v>
      </c>
      <c r="AB10" s="88">
        <v>0</v>
      </c>
      <c r="AC10" s="86" t="e">
        <f t="shared" si="0"/>
        <v>#REF!</v>
      </c>
      <c r="AD10" s="86" t="s">
        <v>2540</v>
      </c>
      <c r="AE10" s="8">
        <v>135</v>
      </c>
      <c r="AF10" s="91"/>
      <c r="AG10" s="91"/>
      <c r="AI10">
        <v>85.5</v>
      </c>
      <c r="AJ10" s="87">
        <v>1.1000000000000001</v>
      </c>
      <c r="AK10" s="87">
        <f t="shared" si="1"/>
        <v>94.05</v>
      </c>
    </row>
    <row r="11" spans="1:37" hidden="1">
      <c r="A11" s="106">
        <f t="shared" ref="A11:A35" si="3">(A10+1)</f>
        <v>2</v>
      </c>
      <c r="B11" s="86" t="s">
        <v>882</v>
      </c>
      <c r="C11" s="8">
        <f>AE10</f>
        <v>135</v>
      </c>
      <c r="D11" s="1" t="s">
        <v>877</v>
      </c>
      <c r="E11"/>
      <c r="F11" s="91">
        <v>1</v>
      </c>
      <c r="G11" s="90" t="s">
        <v>878</v>
      </c>
      <c r="H11" s="86" t="s">
        <v>883</v>
      </c>
      <c r="I11" s="8">
        <f>(C18)</f>
        <v>26</v>
      </c>
      <c r="J11" s="2" t="s">
        <v>878</v>
      </c>
      <c r="K11" s="8">
        <f>(F11*I11)</f>
        <v>26</v>
      </c>
      <c r="M11" s="91">
        <v>1</v>
      </c>
      <c r="N11" s="86" t="s">
        <v>878</v>
      </c>
      <c r="O11" s="86" t="s">
        <v>884</v>
      </c>
      <c r="P11" s="91">
        <f>(C64)</f>
        <v>62.5</v>
      </c>
      <c r="Q11" s="86" t="s">
        <v>878</v>
      </c>
      <c r="R11" s="91">
        <f>(M11*P11)</f>
        <v>62.5</v>
      </c>
      <c r="T11" s="102" t="s">
        <v>885</v>
      </c>
      <c r="U11" s="86" t="s">
        <v>886</v>
      </c>
      <c r="V11" s="86" t="s">
        <v>875</v>
      </c>
      <c r="W11" s="86" t="s">
        <v>2541</v>
      </c>
      <c r="X11" s="91" t="e">
        <f>#REF!</f>
        <v>#REF!</v>
      </c>
      <c r="Y11" s="8">
        <v>333.33</v>
      </c>
      <c r="Z11" s="91" t="e">
        <f t="shared" si="2"/>
        <v>#REF!</v>
      </c>
      <c r="AA11" s="102">
        <v>0</v>
      </c>
      <c r="AB11" s="88">
        <v>0</v>
      </c>
      <c r="AC11" s="86" t="e">
        <f t="shared" si="0"/>
        <v>#REF!</v>
      </c>
      <c r="AD11" s="86" t="s">
        <v>887</v>
      </c>
      <c r="AE11" s="8">
        <v>95</v>
      </c>
      <c r="AF11" s="91"/>
      <c r="AG11" s="91"/>
      <c r="AI11">
        <v>80.5</v>
      </c>
      <c r="AJ11" s="87">
        <v>1.1000000000000001</v>
      </c>
      <c r="AK11" s="87">
        <f t="shared" si="1"/>
        <v>88.55</v>
      </c>
    </row>
    <row r="12" spans="1:37" hidden="1">
      <c r="A12" s="106">
        <f t="shared" si="3"/>
        <v>3</v>
      </c>
      <c r="B12" s="86" t="s">
        <v>449</v>
      </c>
      <c r="C12" s="8">
        <f>AE11</f>
        <v>95</v>
      </c>
      <c r="D12" s="1" t="s">
        <v>877</v>
      </c>
      <c r="E12"/>
      <c r="G12" s="90" t="s">
        <v>450</v>
      </c>
      <c r="H12" s="86" t="s">
        <v>451</v>
      </c>
      <c r="I12" s="1" t="s">
        <v>987</v>
      </c>
      <c r="J12" s="2" t="s">
        <v>450</v>
      </c>
      <c r="K12" s="8">
        <v>0</v>
      </c>
      <c r="N12" s="86" t="s">
        <v>450</v>
      </c>
      <c r="O12" s="86" t="s">
        <v>451</v>
      </c>
      <c r="P12" s="86" t="s">
        <v>987</v>
      </c>
      <c r="Q12" s="86" t="s">
        <v>450</v>
      </c>
      <c r="R12" s="91">
        <v>0</v>
      </c>
      <c r="T12" s="102" t="s">
        <v>452</v>
      </c>
      <c r="U12" s="86" t="s">
        <v>1531</v>
      </c>
      <c r="V12" s="86" t="s">
        <v>875</v>
      </c>
      <c r="W12" s="91" t="str">
        <f>W11</f>
        <v>Pallavaram</v>
      </c>
      <c r="X12" s="91" t="e">
        <f>+X11</f>
        <v>#REF!</v>
      </c>
      <c r="Y12" s="8">
        <v>425</v>
      </c>
      <c r="Z12" s="91" t="e">
        <f t="shared" si="2"/>
        <v>#REF!</v>
      </c>
      <c r="AA12" s="102">
        <v>0</v>
      </c>
      <c r="AB12" s="88">
        <v>0</v>
      </c>
      <c r="AC12" s="86" t="e">
        <f t="shared" si="0"/>
        <v>#REF!</v>
      </c>
      <c r="AD12" s="86" t="s">
        <v>1532</v>
      </c>
      <c r="AE12" s="8">
        <v>85</v>
      </c>
      <c r="AF12" s="91"/>
      <c r="AG12" s="91"/>
      <c r="AI12">
        <v>114.5</v>
      </c>
      <c r="AJ12" s="87">
        <v>1.1000000000000001</v>
      </c>
      <c r="AK12" s="87">
        <f t="shared" si="1"/>
        <v>125.95</v>
      </c>
    </row>
    <row r="13" spans="1:37" hidden="1">
      <c r="A13" s="106">
        <f t="shared" si="3"/>
        <v>4</v>
      </c>
      <c r="B13" s="86" t="s">
        <v>1533</v>
      </c>
      <c r="C13" s="8">
        <f>AE12</f>
        <v>85</v>
      </c>
      <c r="D13" s="1" t="s">
        <v>877</v>
      </c>
      <c r="E13"/>
      <c r="I13"/>
      <c r="J13" s="4"/>
      <c r="K13" s="5" t="s">
        <v>1609</v>
      </c>
      <c r="R13" s="89" t="s">
        <v>1609</v>
      </c>
      <c r="T13" s="102" t="s">
        <v>1534</v>
      </c>
      <c r="U13" s="86" t="s">
        <v>1535</v>
      </c>
      <c r="V13" s="86" t="s">
        <v>875</v>
      </c>
      <c r="W13" s="91" t="str">
        <f>W11</f>
        <v>Pallavaram</v>
      </c>
      <c r="X13" s="91" t="e">
        <f>+X12</f>
        <v>#REF!</v>
      </c>
      <c r="Y13" s="8">
        <v>630</v>
      </c>
      <c r="Z13" s="91" t="e">
        <f t="shared" si="2"/>
        <v>#REF!</v>
      </c>
      <c r="AA13" s="102">
        <v>0</v>
      </c>
      <c r="AB13" s="88">
        <v>0</v>
      </c>
      <c r="AC13" s="86" t="e">
        <f t="shared" si="0"/>
        <v>#REF!</v>
      </c>
      <c r="AD13" s="86" t="s">
        <v>1536</v>
      </c>
      <c r="AE13" s="8">
        <v>120</v>
      </c>
      <c r="AF13" s="91"/>
      <c r="AG13" s="91"/>
      <c r="AI13">
        <v>106.5</v>
      </c>
      <c r="AJ13" s="87">
        <v>1.1000000000000001</v>
      </c>
      <c r="AK13" s="87">
        <f t="shared" si="1"/>
        <v>117.15</v>
      </c>
    </row>
    <row r="14" spans="1:37" hidden="1">
      <c r="A14" s="106">
        <f t="shared" si="3"/>
        <v>5</v>
      </c>
      <c r="B14" s="86" t="s">
        <v>1537</v>
      </c>
      <c r="C14" s="8">
        <f>AE13</f>
        <v>120</v>
      </c>
      <c r="D14" s="8">
        <f>AE14</f>
        <v>110</v>
      </c>
      <c r="E14"/>
      <c r="H14" s="86" t="s">
        <v>1538</v>
      </c>
      <c r="I14"/>
      <c r="J14" s="4"/>
      <c r="K14" s="8" t="e">
        <f>SUM(K9:K12)</f>
        <v>#REF!</v>
      </c>
      <c r="N14" s="91" t="e">
        <f>SUM(K9:K12)</f>
        <v>#REF!</v>
      </c>
      <c r="O14" s="86" t="s">
        <v>1538</v>
      </c>
      <c r="R14" s="91" t="e">
        <f>SUM(R9:R12)</f>
        <v>#REF!</v>
      </c>
      <c r="T14" s="102" t="s">
        <v>2033</v>
      </c>
      <c r="U14" s="86" t="s">
        <v>114</v>
      </c>
      <c r="V14" s="86" t="s">
        <v>875</v>
      </c>
      <c r="W14" s="91" t="str">
        <f>W11</f>
        <v>Pallavaram</v>
      </c>
      <c r="X14" s="91" t="e">
        <f>+X13</f>
        <v>#REF!</v>
      </c>
      <c r="Y14" s="8">
        <v>685</v>
      </c>
      <c r="Z14" s="91" t="e">
        <f t="shared" si="2"/>
        <v>#REF!</v>
      </c>
      <c r="AA14" s="102">
        <v>0</v>
      </c>
      <c r="AB14" s="88">
        <v>0</v>
      </c>
      <c r="AC14" s="86" t="e">
        <f t="shared" si="0"/>
        <v>#REF!</v>
      </c>
      <c r="AD14" s="86" t="s">
        <v>115</v>
      </c>
      <c r="AE14" s="8">
        <v>110</v>
      </c>
      <c r="AF14" s="91"/>
      <c r="AG14" s="91"/>
      <c r="AI14">
        <v>116.5</v>
      </c>
      <c r="AJ14" s="87">
        <v>1.1000000000000001</v>
      </c>
      <c r="AK14" s="87">
        <f t="shared" si="1"/>
        <v>128.15</v>
      </c>
    </row>
    <row r="15" spans="1:37" hidden="1">
      <c r="A15" s="106">
        <f t="shared" si="3"/>
        <v>6</v>
      </c>
      <c r="B15" s="86" t="s">
        <v>116</v>
      </c>
      <c r="C15" s="8">
        <f>AE15</f>
        <v>130</v>
      </c>
      <c r="D15" s="1" t="s">
        <v>877</v>
      </c>
      <c r="E15"/>
      <c r="I15"/>
      <c r="J15" s="4"/>
      <c r="K15" s="5" t="s">
        <v>1609</v>
      </c>
      <c r="R15" s="89" t="s">
        <v>1609</v>
      </c>
      <c r="T15" s="102" t="s">
        <v>117</v>
      </c>
      <c r="U15" s="86" t="s">
        <v>118</v>
      </c>
      <c r="V15" s="86" t="s">
        <v>875</v>
      </c>
      <c r="W15" s="91" t="str">
        <f>W11</f>
        <v>Pallavaram</v>
      </c>
      <c r="X15" s="91" t="e">
        <f>+X14</f>
        <v>#REF!</v>
      </c>
      <c r="Y15" s="8">
        <v>490</v>
      </c>
      <c r="Z15" s="91" t="e">
        <f t="shared" si="2"/>
        <v>#REF!</v>
      </c>
      <c r="AA15" s="102">
        <v>0</v>
      </c>
      <c r="AB15" s="88">
        <v>0</v>
      </c>
      <c r="AC15" s="86" t="e">
        <f t="shared" si="0"/>
        <v>#REF!</v>
      </c>
      <c r="AD15" s="86" t="s">
        <v>119</v>
      </c>
      <c r="AE15" s="8">
        <v>130</v>
      </c>
      <c r="AF15" s="91"/>
      <c r="AG15" s="91"/>
      <c r="AI15">
        <v>106.5</v>
      </c>
      <c r="AJ15" s="87">
        <v>1.1000000000000001</v>
      </c>
      <c r="AK15" s="87">
        <f t="shared" si="1"/>
        <v>117.15</v>
      </c>
    </row>
    <row r="16" spans="1:37" hidden="1">
      <c r="A16" s="106">
        <f t="shared" si="3"/>
        <v>7</v>
      </c>
      <c r="B16" s="86" t="s">
        <v>120</v>
      </c>
      <c r="C16" s="8">
        <f>AE19</f>
        <v>150</v>
      </c>
      <c r="D16" s="8">
        <f>AE20</f>
        <v>135</v>
      </c>
      <c r="E16"/>
      <c r="G16" s="90" t="s">
        <v>2276</v>
      </c>
      <c r="H16" s="86" t="s">
        <v>121</v>
      </c>
      <c r="I16"/>
      <c r="J16" s="4"/>
      <c r="K16"/>
      <c r="N16" s="86" t="s">
        <v>2276</v>
      </c>
      <c r="O16" s="86" t="s">
        <v>122</v>
      </c>
      <c r="T16" s="102" t="s">
        <v>123</v>
      </c>
      <c r="U16" s="86" t="s">
        <v>124</v>
      </c>
      <c r="V16" s="86" t="s">
        <v>875</v>
      </c>
      <c r="W16" s="86" t="s">
        <v>2542</v>
      </c>
      <c r="X16" s="91" t="e">
        <f>#REF!</f>
        <v>#REF!</v>
      </c>
      <c r="Y16" s="8">
        <v>110</v>
      </c>
      <c r="Z16" s="91" t="e">
        <f>#REF!</f>
        <v>#REF!</v>
      </c>
      <c r="AA16" s="102">
        <v>0</v>
      </c>
      <c r="AB16" s="88">
        <v>0</v>
      </c>
      <c r="AC16" s="86" t="e">
        <f t="shared" si="0"/>
        <v>#REF!</v>
      </c>
      <c r="AD16" s="86" t="s">
        <v>2266</v>
      </c>
      <c r="AE16" s="8">
        <v>120</v>
      </c>
      <c r="AF16" s="91"/>
      <c r="AG16" s="91"/>
      <c r="AI16">
        <v>106.5</v>
      </c>
      <c r="AJ16" s="87">
        <v>1.1000000000000001</v>
      </c>
      <c r="AK16" s="87">
        <f t="shared" si="1"/>
        <v>117.15</v>
      </c>
    </row>
    <row r="17" spans="1:37" hidden="1">
      <c r="A17" s="106">
        <f t="shared" si="3"/>
        <v>8</v>
      </c>
      <c r="B17" s="86" t="s">
        <v>2267</v>
      </c>
      <c r="C17" s="8">
        <f>AE17</f>
        <v>130</v>
      </c>
      <c r="D17" s="8">
        <f>AE18</f>
        <v>120</v>
      </c>
      <c r="E17"/>
      <c r="H17" s="89" t="s">
        <v>1609</v>
      </c>
      <c r="I17"/>
      <c r="J17" s="4"/>
      <c r="K17"/>
      <c r="O17" s="86" t="s">
        <v>1048</v>
      </c>
      <c r="T17" s="102" t="s">
        <v>1049</v>
      </c>
      <c r="U17" s="86" t="s">
        <v>1050</v>
      </c>
      <c r="V17" s="86" t="s">
        <v>875</v>
      </c>
      <c r="W17" s="86" t="s">
        <v>2543</v>
      </c>
      <c r="X17" s="91" t="e">
        <f>X16</f>
        <v>#REF!</v>
      </c>
      <c r="Y17" s="8">
        <v>110</v>
      </c>
      <c r="Z17" s="91" t="e">
        <f>Z16</f>
        <v>#REF!</v>
      </c>
      <c r="AA17" s="102">
        <v>0</v>
      </c>
      <c r="AB17" s="88">
        <v>0</v>
      </c>
      <c r="AC17" s="86" t="e">
        <f t="shared" si="0"/>
        <v>#REF!</v>
      </c>
      <c r="AD17" s="86" t="s">
        <v>1051</v>
      </c>
      <c r="AE17" s="8">
        <v>130</v>
      </c>
      <c r="AF17" s="91"/>
      <c r="AG17" s="91"/>
      <c r="AI17">
        <v>98.5</v>
      </c>
      <c r="AJ17" s="87">
        <v>1.1000000000000001</v>
      </c>
      <c r="AK17" s="87">
        <f t="shared" si="1"/>
        <v>108.35</v>
      </c>
    </row>
    <row r="18" spans="1:37" hidden="1">
      <c r="A18" s="106">
        <f t="shared" si="3"/>
        <v>9</v>
      </c>
      <c r="B18" s="86" t="s">
        <v>1052</v>
      </c>
      <c r="C18" s="8">
        <f>AE24</f>
        <v>26</v>
      </c>
      <c r="D18" s="1" t="s">
        <v>1053</v>
      </c>
      <c r="E18"/>
      <c r="F18" s="91">
        <v>0.72</v>
      </c>
      <c r="G18" s="90" t="s">
        <v>870</v>
      </c>
      <c r="H18" s="86" t="s">
        <v>871</v>
      </c>
      <c r="I18" s="8">
        <f>(C67)</f>
        <v>3800</v>
      </c>
      <c r="J18" s="2" t="s">
        <v>870</v>
      </c>
      <c r="K18" s="8">
        <f>(F18*I18)</f>
        <v>2736</v>
      </c>
      <c r="O18" s="86" t="s">
        <v>1465</v>
      </c>
      <c r="T18" s="102" t="s">
        <v>1466</v>
      </c>
      <c r="U18" s="86" t="s">
        <v>2544</v>
      </c>
      <c r="V18" s="86" t="s">
        <v>1467</v>
      </c>
      <c r="W18" s="86" t="s">
        <v>2545</v>
      </c>
      <c r="X18" s="91" t="e">
        <f>#REF!</f>
        <v>#REF!</v>
      </c>
      <c r="Y18" s="8">
        <v>1950</v>
      </c>
      <c r="Z18" s="91" t="e">
        <f>#REF!</f>
        <v>#REF!</v>
      </c>
      <c r="AA18" s="102">
        <v>0</v>
      </c>
      <c r="AB18" s="88">
        <v>0</v>
      </c>
      <c r="AC18" s="86" t="e">
        <f t="shared" si="0"/>
        <v>#REF!</v>
      </c>
      <c r="AD18" s="86" t="s">
        <v>1468</v>
      </c>
      <c r="AE18" s="8">
        <v>120</v>
      </c>
      <c r="AF18" s="91"/>
      <c r="AG18" s="91"/>
      <c r="AI18">
        <v>148.5</v>
      </c>
      <c r="AJ18" s="87">
        <v>1.1000000000000001</v>
      </c>
      <c r="AK18" s="87">
        <f t="shared" si="1"/>
        <v>163.35</v>
      </c>
    </row>
    <row r="19" spans="1:37" hidden="1">
      <c r="A19" s="106">
        <f t="shared" si="3"/>
        <v>10</v>
      </c>
      <c r="B19" s="86" t="s">
        <v>1469</v>
      </c>
      <c r="C19" s="8">
        <v>17.600000000000001</v>
      </c>
      <c r="D19" s="1" t="s">
        <v>878</v>
      </c>
      <c r="E19"/>
      <c r="F19" s="91">
        <v>1</v>
      </c>
      <c r="G19" s="90" t="s">
        <v>878</v>
      </c>
      <c r="H19" s="86" t="s">
        <v>879</v>
      </c>
      <c r="I19" s="8" t="e">
        <f>(C78)</f>
        <v>#REF!</v>
      </c>
      <c r="J19" s="2" t="s">
        <v>878</v>
      </c>
      <c r="K19" s="8" t="e">
        <f>(F19*I19)</f>
        <v>#REF!</v>
      </c>
      <c r="O19" s="86" t="s">
        <v>73</v>
      </c>
      <c r="T19" s="102" t="s">
        <v>74</v>
      </c>
      <c r="U19" s="86" t="s">
        <v>75</v>
      </c>
      <c r="V19" s="86" t="s">
        <v>878</v>
      </c>
      <c r="W19" s="91" t="str">
        <f>W18</f>
        <v>Nerkundram</v>
      </c>
      <c r="X19" s="91" t="e">
        <f>#REF!</f>
        <v>#REF!</v>
      </c>
      <c r="Y19" s="8">
        <v>260</v>
      </c>
      <c r="Z19" s="91" t="e">
        <f>#REF!</f>
        <v>#REF!</v>
      </c>
      <c r="AA19" s="102">
        <v>0</v>
      </c>
      <c r="AB19" s="88">
        <v>0</v>
      </c>
      <c r="AC19" s="86" t="e">
        <f t="shared" si="0"/>
        <v>#REF!</v>
      </c>
      <c r="AD19" s="86" t="s">
        <v>76</v>
      </c>
      <c r="AE19" s="8">
        <v>150</v>
      </c>
      <c r="AF19" s="91"/>
      <c r="AG19" s="91"/>
      <c r="AI19">
        <v>126.5</v>
      </c>
      <c r="AJ19" s="87">
        <v>1.1000000000000001</v>
      </c>
      <c r="AK19" s="87">
        <f t="shared" si="1"/>
        <v>139.15</v>
      </c>
    </row>
    <row r="20" spans="1:37" hidden="1">
      <c r="A20" s="106">
        <f t="shared" si="3"/>
        <v>11</v>
      </c>
      <c r="B20" s="86" t="s">
        <v>374</v>
      </c>
      <c r="C20" s="8">
        <v>35.200000000000003</v>
      </c>
      <c r="D20" s="1" t="s">
        <v>878</v>
      </c>
      <c r="E20"/>
      <c r="F20" s="91">
        <v>1</v>
      </c>
      <c r="G20" s="90" t="s">
        <v>878</v>
      </c>
      <c r="H20" s="86" t="s">
        <v>883</v>
      </c>
      <c r="I20" s="8">
        <f>(C18)</f>
        <v>26</v>
      </c>
      <c r="J20" s="2" t="s">
        <v>878</v>
      </c>
      <c r="K20" s="8">
        <f>(F20*I20)</f>
        <v>26</v>
      </c>
      <c r="O20" s="86" t="s">
        <v>1062</v>
      </c>
      <c r="T20" s="102" t="s">
        <v>1996</v>
      </c>
      <c r="U20" s="86" t="s">
        <v>1997</v>
      </c>
      <c r="V20" s="86" t="s">
        <v>878</v>
      </c>
      <c r="W20" s="91" t="str">
        <f>W18</f>
        <v>Nerkundram</v>
      </c>
      <c r="X20" s="91" t="e">
        <f>X19</f>
        <v>#REF!</v>
      </c>
      <c r="Y20" s="8">
        <v>280</v>
      </c>
      <c r="Z20" s="91" t="e">
        <f>+Z19</f>
        <v>#REF!</v>
      </c>
      <c r="AA20" s="102">
        <v>0</v>
      </c>
      <c r="AB20" s="88">
        <v>0</v>
      </c>
      <c r="AC20" s="86" t="e">
        <f t="shared" si="0"/>
        <v>#REF!</v>
      </c>
      <c r="AD20" s="86" t="s">
        <v>1998</v>
      </c>
      <c r="AE20" s="8">
        <v>135</v>
      </c>
      <c r="AF20" s="91"/>
      <c r="AG20" s="91"/>
      <c r="AI20">
        <v>116.5</v>
      </c>
      <c r="AJ20" s="87">
        <v>1.1000000000000001</v>
      </c>
      <c r="AK20" s="87">
        <f t="shared" si="1"/>
        <v>128.15</v>
      </c>
    </row>
    <row r="21" spans="1:37" hidden="1">
      <c r="A21" s="106">
        <f t="shared" si="3"/>
        <v>12</v>
      </c>
      <c r="B21" s="86" t="s">
        <v>2287</v>
      </c>
      <c r="C21" s="8">
        <v>35.200000000000003</v>
      </c>
      <c r="D21" s="1" t="s">
        <v>878</v>
      </c>
      <c r="E21"/>
      <c r="G21" s="90" t="s">
        <v>450</v>
      </c>
      <c r="H21" s="86" t="s">
        <v>451</v>
      </c>
      <c r="I21" s="1" t="s">
        <v>987</v>
      </c>
      <c r="J21" s="2" t="s">
        <v>450</v>
      </c>
      <c r="K21" s="8">
        <v>0</v>
      </c>
      <c r="O21" s="89" t="s">
        <v>1609</v>
      </c>
      <c r="T21" s="102" t="s">
        <v>2288</v>
      </c>
      <c r="U21" s="86" t="s">
        <v>2289</v>
      </c>
      <c r="V21" s="86" t="s">
        <v>1467</v>
      </c>
      <c r="W21" s="86" t="s">
        <v>2290</v>
      </c>
      <c r="X21" s="91" t="e">
        <f>#REF!</f>
        <v>#REF!</v>
      </c>
      <c r="Y21" s="8">
        <v>4500</v>
      </c>
      <c r="Z21" s="91">
        <v>0</v>
      </c>
      <c r="AA21" s="102">
        <v>0</v>
      </c>
      <c r="AB21" s="88">
        <v>0</v>
      </c>
      <c r="AC21" s="86">
        <f t="shared" si="0"/>
        <v>4500</v>
      </c>
      <c r="AD21" s="86" t="s">
        <v>2291</v>
      </c>
      <c r="AE21" s="8">
        <v>120</v>
      </c>
      <c r="AF21" s="91"/>
      <c r="AG21" s="91"/>
      <c r="AI21">
        <v>106.5</v>
      </c>
      <c r="AJ21" s="87">
        <v>1.1000000000000001</v>
      </c>
      <c r="AK21" s="87">
        <f t="shared" si="1"/>
        <v>117.15</v>
      </c>
    </row>
    <row r="22" spans="1:37" hidden="1">
      <c r="A22" s="106">
        <f t="shared" si="3"/>
        <v>13</v>
      </c>
      <c r="B22" s="86" t="s">
        <v>1707</v>
      </c>
      <c r="C22" s="8">
        <v>26.45</v>
      </c>
      <c r="D22" s="1" t="s">
        <v>878</v>
      </c>
      <c r="E22"/>
      <c r="I22"/>
      <c r="J22" s="4"/>
      <c r="K22" s="5" t="s">
        <v>1609</v>
      </c>
      <c r="M22" s="91">
        <v>1</v>
      </c>
      <c r="N22" s="86" t="s">
        <v>878</v>
      </c>
      <c r="O22" s="86" t="s">
        <v>2027</v>
      </c>
      <c r="P22" s="91" t="e">
        <f>C78</f>
        <v>#REF!</v>
      </c>
      <c r="Q22" s="86" t="s">
        <v>878</v>
      </c>
      <c r="R22" s="91" t="e">
        <f>(M22*P22)</f>
        <v>#REF!</v>
      </c>
      <c r="T22" s="102" t="s">
        <v>2028</v>
      </c>
      <c r="U22" s="86" t="s">
        <v>2029</v>
      </c>
      <c r="V22" s="86" t="s">
        <v>875</v>
      </c>
      <c r="W22" s="107" t="s">
        <v>2546</v>
      </c>
      <c r="X22" s="91">
        <v>0</v>
      </c>
      <c r="Y22" s="8">
        <v>773</v>
      </c>
      <c r="Z22" s="91">
        <v>0</v>
      </c>
      <c r="AA22" s="102">
        <v>0</v>
      </c>
      <c r="AB22" s="88">
        <v>0</v>
      </c>
      <c r="AC22" s="86">
        <f t="shared" si="0"/>
        <v>773</v>
      </c>
      <c r="AD22" s="86" t="s">
        <v>2030</v>
      </c>
      <c r="AE22" s="8">
        <v>110</v>
      </c>
      <c r="AF22" s="91"/>
      <c r="AG22" s="91"/>
      <c r="AI22">
        <v>106.5</v>
      </c>
      <c r="AJ22" s="87">
        <v>1.1000000000000001</v>
      </c>
      <c r="AK22" s="87">
        <f t="shared" si="1"/>
        <v>117.15</v>
      </c>
    </row>
    <row r="23" spans="1:37" hidden="1">
      <c r="A23" s="106">
        <f t="shared" si="3"/>
        <v>14</v>
      </c>
      <c r="B23" s="86" t="s">
        <v>285</v>
      </c>
      <c r="C23" s="8">
        <v>52.85</v>
      </c>
      <c r="D23" s="1" t="s">
        <v>878</v>
      </c>
      <c r="E23"/>
      <c r="H23" s="86" t="s">
        <v>1538</v>
      </c>
      <c r="I23"/>
      <c r="J23" s="4"/>
      <c r="K23" s="8" t="e">
        <f>SUM(K18:K21)</f>
        <v>#REF!</v>
      </c>
      <c r="M23" s="91">
        <v>1</v>
      </c>
      <c r="N23" s="86" t="s">
        <v>878</v>
      </c>
      <c r="O23" s="86" t="s">
        <v>286</v>
      </c>
      <c r="P23" s="91" t="e">
        <f>C85</f>
        <v>#REF!</v>
      </c>
      <c r="Q23" s="86" t="s">
        <v>878</v>
      </c>
      <c r="R23" s="91" t="e">
        <f>(M23*P23)</f>
        <v>#REF!</v>
      </c>
      <c r="T23" s="102" t="s">
        <v>837</v>
      </c>
      <c r="U23" s="86" t="s">
        <v>838</v>
      </c>
      <c r="V23" s="86" t="s">
        <v>875</v>
      </c>
      <c r="W23" s="107" t="s">
        <v>2546</v>
      </c>
      <c r="X23" s="91" t="e">
        <f>#REF!</f>
        <v>#REF!</v>
      </c>
      <c r="Y23" s="8">
        <v>565</v>
      </c>
      <c r="Z23" s="91" t="e">
        <f>#REF!</f>
        <v>#REF!</v>
      </c>
      <c r="AA23" s="102">
        <v>0</v>
      </c>
      <c r="AB23" s="88">
        <v>0</v>
      </c>
      <c r="AC23" s="86" t="e">
        <f t="shared" si="0"/>
        <v>#REF!</v>
      </c>
      <c r="AD23" s="86" t="s">
        <v>839</v>
      </c>
      <c r="AE23" s="8">
        <v>120</v>
      </c>
      <c r="AF23" s="91"/>
      <c r="AG23" s="91"/>
      <c r="AI23">
        <v>26</v>
      </c>
      <c r="AJ23" s="87">
        <v>1.1000000000000001</v>
      </c>
      <c r="AK23" s="87">
        <f t="shared" si="1"/>
        <v>28.6</v>
      </c>
    </row>
    <row r="24" spans="1:37" hidden="1">
      <c r="A24" s="106">
        <f t="shared" si="3"/>
        <v>15</v>
      </c>
      <c r="B24" s="86" t="s">
        <v>840</v>
      </c>
      <c r="C24" s="8">
        <v>52.85</v>
      </c>
      <c r="D24" s="1" t="s">
        <v>878</v>
      </c>
      <c r="E24"/>
      <c r="I24"/>
      <c r="J24" s="4"/>
      <c r="K24" s="5" t="s">
        <v>1609</v>
      </c>
      <c r="M24" s="91">
        <v>1.5</v>
      </c>
      <c r="N24" s="86" t="s">
        <v>878</v>
      </c>
      <c r="O24" s="86" t="s">
        <v>1817</v>
      </c>
      <c r="P24" s="91">
        <f>C18</f>
        <v>26</v>
      </c>
      <c r="Q24" s="86" t="s">
        <v>878</v>
      </c>
      <c r="R24" s="91">
        <f>(M24*P24)</f>
        <v>39</v>
      </c>
      <c r="T24" s="102" t="s">
        <v>1818</v>
      </c>
      <c r="U24" s="86" t="s">
        <v>3</v>
      </c>
      <c r="V24" s="86" t="s">
        <v>875</v>
      </c>
      <c r="W24" s="86" t="s">
        <v>1819</v>
      </c>
      <c r="X24" s="87">
        <v>0</v>
      </c>
      <c r="Y24" s="8">
        <v>20605</v>
      </c>
      <c r="Z24" s="87">
        <v>0</v>
      </c>
      <c r="AA24" s="80">
        <v>0</v>
      </c>
      <c r="AB24" s="88">
        <v>0</v>
      </c>
      <c r="AC24" s="86">
        <f t="shared" si="0"/>
        <v>20605</v>
      </c>
      <c r="AD24" s="86" t="s">
        <v>1820</v>
      </c>
      <c r="AE24" s="8">
        <v>26</v>
      </c>
      <c r="AF24" s="91"/>
      <c r="AG24" s="91"/>
      <c r="AI24">
        <v>20.7</v>
      </c>
      <c r="AJ24" s="87">
        <v>1.1000000000000001</v>
      </c>
      <c r="AK24" s="87">
        <f t="shared" si="1"/>
        <v>22.77</v>
      </c>
    </row>
    <row r="25" spans="1:37" hidden="1">
      <c r="A25" s="106">
        <f t="shared" si="3"/>
        <v>16</v>
      </c>
      <c r="B25" s="86" t="s">
        <v>1821</v>
      </c>
      <c r="C25" s="8">
        <f>AE25</f>
        <v>20.7</v>
      </c>
      <c r="D25" s="1" t="s">
        <v>878</v>
      </c>
      <c r="E25"/>
      <c r="G25" s="90" t="s">
        <v>2276</v>
      </c>
      <c r="H25" s="86" t="s">
        <v>1373</v>
      </c>
      <c r="I25"/>
      <c r="J25" s="4"/>
      <c r="K25"/>
      <c r="M25" s="91">
        <v>1.5</v>
      </c>
      <c r="N25" s="86" t="s">
        <v>878</v>
      </c>
      <c r="O25" s="86" t="s">
        <v>1374</v>
      </c>
      <c r="P25" s="91">
        <f>C27</f>
        <v>7.8</v>
      </c>
      <c r="Q25" s="86" t="s">
        <v>878</v>
      </c>
      <c r="R25" s="91">
        <f>(M25*P25)</f>
        <v>11.7</v>
      </c>
      <c r="T25" s="102" t="s">
        <v>1375</v>
      </c>
      <c r="U25" s="86" t="s">
        <v>1376</v>
      </c>
      <c r="V25" s="86" t="s">
        <v>875</v>
      </c>
      <c r="W25" s="107" t="s">
        <v>1819</v>
      </c>
      <c r="X25" s="87">
        <v>0</v>
      </c>
      <c r="Y25" s="8">
        <v>23685</v>
      </c>
      <c r="Z25" s="87">
        <v>0</v>
      </c>
      <c r="AA25" s="80">
        <v>0</v>
      </c>
      <c r="AB25" s="88">
        <v>0</v>
      </c>
      <c r="AC25" s="86">
        <f t="shared" si="0"/>
        <v>23685</v>
      </c>
      <c r="AD25" s="86" t="s">
        <v>293</v>
      </c>
      <c r="AE25" s="8">
        <v>20.7</v>
      </c>
      <c r="AF25" s="91"/>
      <c r="AG25" s="91"/>
      <c r="AI25">
        <v>15.6</v>
      </c>
      <c r="AJ25" s="87">
        <v>1.1000000000000001</v>
      </c>
      <c r="AK25" s="87">
        <f t="shared" si="1"/>
        <v>17.16</v>
      </c>
    </row>
    <row r="26" spans="1:37" hidden="1">
      <c r="A26" s="106">
        <f t="shared" si="3"/>
        <v>17</v>
      </c>
      <c r="B26" s="86" t="s">
        <v>1087</v>
      </c>
      <c r="C26" s="8">
        <f>+AE28</f>
        <v>8.8000000000000007</v>
      </c>
      <c r="D26" s="1" t="s">
        <v>2068</v>
      </c>
      <c r="E26"/>
      <c r="H26" s="89" t="s">
        <v>1609</v>
      </c>
      <c r="I26"/>
      <c r="J26" s="4"/>
      <c r="K26"/>
      <c r="N26" s="86" t="s">
        <v>450</v>
      </c>
      <c r="O26" s="86" t="s">
        <v>451</v>
      </c>
      <c r="P26" s="86" t="s">
        <v>987</v>
      </c>
      <c r="Q26" s="86" t="s">
        <v>450</v>
      </c>
      <c r="R26" s="91">
        <v>0</v>
      </c>
      <c r="T26" s="102" t="s">
        <v>2069</v>
      </c>
      <c r="U26" s="86" t="s">
        <v>2547</v>
      </c>
      <c r="V26" s="86" t="s">
        <v>875</v>
      </c>
      <c r="W26" s="107" t="s">
        <v>1819</v>
      </c>
      <c r="X26" s="87">
        <v>0</v>
      </c>
      <c r="Y26" s="8">
        <v>65420</v>
      </c>
      <c r="Z26" s="87">
        <v>0</v>
      </c>
      <c r="AA26" s="80">
        <v>0</v>
      </c>
      <c r="AB26" s="88">
        <v>0</v>
      </c>
      <c r="AC26" s="86">
        <f t="shared" si="0"/>
        <v>65420</v>
      </c>
      <c r="AD26" s="86" t="s">
        <v>1510</v>
      </c>
      <c r="AE26" s="8">
        <v>15.6</v>
      </c>
      <c r="AF26" s="91"/>
      <c r="AG26" s="91"/>
      <c r="AI26">
        <v>7.8</v>
      </c>
      <c r="AJ26" s="87">
        <v>1.1000000000000001</v>
      </c>
      <c r="AK26" s="87">
        <f t="shared" si="1"/>
        <v>8.58</v>
      </c>
    </row>
    <row r="27" spans="1:37" hidden="1">
      <c r="A27" s="106">
        <f t="shared" si="3"/>
        <v>18</v>
      </c>
      <c r="B27" s="86" t="s">
        <v>1511</v>
      </c>
      <c r="C27" s="8">
        <f>+AE27</f>
        <v>7.8</v>
      </c>
      <c r="D27" s="1" t="s">
        <v>2068</v>
      </c>
      <c r="E27"/>
      <c r="F27" s="91">
        <v>0.48</v>
      </c>
      <c r="G27" s="90" t="s">
        <v>870</v>
      </c>
      <c r="H27" s="86" t="s">
        <v>871</v>
      </c>
      <c r="I27" s="8">
        <f>(C67)</f>
        <v>3800</v>
      </c>
      <c r="J27" s="2" t="s">
        <v>870</v>
      </c>
      <c r="K27" s="8">
        <f>(F27*I27)</f>
        <v>1824</v>
      </c>
      <c r="R27" s="89" t="s">
        <v>1609</v>
      </c>
      <c r="T27" s="102" t="s">
        <v>1512</v>
      </c>
      <c r="U27" s="86" t="s">
        <v>2548</v>
      </c>
      <c r="V27" s="86" t="s">
        <v>875</v>
      </c>
      <c r="W27" s="107" t="s">
        <v>1819</v>
      </c>
      <c r="X27" s="87">
        <v>0</v>
      </c>
      <c r="Y27" s="8">
        <v>57165</v>
      </c>
      <c r="Z27" s="87">
        <v>0</v>
      </c>
      <c r="AA27" s="80">
        <v>0</v>
      </c>
      <c r="AB27" s="88">
        <v>0</v>
      </c>
      <c r="AC27" s="86">
        <f t="shared" si="0"/>
        <v>57165</v>
      </c>
      <c r="AD27" s="86" t="s">
        <v>1513</v>
      </c>
      <c r="AE27" s="8">
        <v>7.8</v>
      </c>
      <c r="AF27" s="91"/>
      <c r="AG27" s="91"/>
      <c r="AI27">
        <v>8.8000000000000007</v>
      </c>
      <c r="AJ27" s="87">
        <v>1.1000000000000001</v>
      </c>
      <c r="AK27" s="87">
        <f t="shared" si="1"/>
        <v>9.68</v>
      </c>
    </row>
    <row r="28" spans="1:37" hidden="1">
      <c r="A28" s="106">
        <f t="shared" si="3"/>
        <v>19</v>
      </c>
      <c r="B28" s="86" t="s">
        <v>2549</v>
      </c>
      <c r="C28" s="8">
        <v>58.33</v>
      </c>
      <c r="D28" s="1" t="s">
        <v>450</v>
      </c>
      <c r="E28"/>
      <c r="F28" s="91">
        <v>1</v>
      </c>
      <c r="G28" s="90" t="s">
        <v>878</v>
      </c>
      <c r="H28" s="86" t="s">
        <v>879</v>
      </c>
      <c r="I28" s="8" t="e">
        <f>(C78)</f>
        <v>#REF!</v>
      </c>
      <c r="J28" s="2" t="s">
        <v>878</v>
      </c>
      <c r="K28" s="8" t="e">
        <f>(F28*I28)</f>
        <v>#REF!</v>
      </c>
      <c r="O28" s="86" t="s">
        <v>170</v>
      </c>
      <c r="R28" s="91" t="e">
        <f>SUM(R22:R26)</f>
        <v>#REF!</v>
      </c>
      <c r="T28" s="102" t="s">
        <v>894</v>
      </c>
      <c r="U28" s="86" t="s">
        <v>2550</v>
      </c>
      <c r="V28" s="86" t="s">
        <v>875</v>
      </c>
      <c r="W28" s="107" t="s">
        <v>1819</v>
      </c>
      <c r="X28" s="87">
        <v>0</v>
      </c>
      <c r="Y28" s="8">
        <v>63870</v>
      </c>
      <c r="Z28" s="87">
        <v>0</v>
      </c>
      <c r="AA28" s="80">
        <v>0</v>
      </c>
      <c r="AB28" s="88">
        <v>0</v>
      </c>
      <c r="AC28" s="86">
        <f t="shared" si="0"/>
        <v>63870</v>
      </c>
      <c r="AD28" s="86" t="s">
        <v>2295</v>
      </c>
      <c r="AE28" s="8">
        <v>8.8000000000000007</v>
      </c>
      <c r="AF28" s="91"/>
      <c r="AG28" s="91"/>
      <c r="AI28">
        <v>25</v>
      </c>
      <c r="AJ28" s="87">
        <v>1.1000000000000001</v>
      </c>
      <c r="AK28" s="87">
        <f t="shared" si="1"/>
        <v>27.5</v>
      </c>
    </row>
    <row r="29" spans="1:37" hidden="1">
      <c r="A29" s="106">
        <f t="shared" si="3"/>
        <v>20</v>
      </c>
      <c r="B29" s="86" t="s">
        <v>777</v>
      </c>
      <c r="C29" s="8">
        <f>AE23</f>
        <v>120</v>
      </c>
      <c r="D29" s="1" t="s">
        <v>778</v>
      </c>
      <c r="E29"/>
      <c r="F29" s="91">
        <v>1</v>
      </c>
      <c r="G29" s="90" t="s">
        <v>878</v>
      </c>
      <c r="H29" s="86" t="s">
        <v>883</v>
      </c>
      <c r="I29" s="8">
        <f>(C18)</f>
        <v>26</v>
      </c>
      <c r="J29" s="2" t="s">
        <v>878</v>
      </c>
      <c r="K29" s="8">
        <f>(F29*I29)</f>
        <v>26</v>
      </c>
      <c r="R29" s="89" t="s">
        <v>1609</v>
      </c>
      <c r="T29" s="102" t="s">
        <v>779</v>
      </c>
      <c r="U29" s="86" t="s">
        <v>780</v>
      </c>
      <c r="V29" s="86" t="s">
        <v>1467</v>
      </c>
      <c r="W29" s="91" t="str">
        <f>W18</f>
        <v>Nerkundram</v>
      </c>
      <c r="X29" s="91" t="e">
        <f>X18</f>
        <v>#REF!</v>
      </c>
      <c r="Y29" s="8">
        <v>1470</v>
      </c>
      <c r="Z29" s="91" t="e">
        <f>Z18</f>
        <v>#REF!</v>
      </c>
      <c r="AA29" s="80">
        <v>0</v>
      </c>
      <c r="AB29" s="88">
        <v>0</v>
      </c>
      <c r="AC29" s="86" t="e">
        <f t="shared" si="0"/>
        <v>#REF!</v>
      </c>
      <c r="AD29" s="86" t="s">
        <v>2551</v>
      </c>
      <c r="AE29" s="8">
        <v>25</v>
      </c>
      <c r="AF29" s="91"/>
      <c r="AG29" s="91"/>
      <c r="AI29">
        <v>342</v>
      </c>
      <c r="AJ29" s="87">
        <v>1.1000000000000001</v>
      </c>
      <c r="AK29" s="87">
        <f t="shared" si="1"/>
        <v>376.2</v>
      </c>
    </row>
    <row r="30" spans="1:37" hidden="1">
      <c r="A30" s="106">
        <f t="shared" si="3"/>
        <v>21</v>
      </c>
      <c r="B30" s="86" t="s">
        <v>781</v>
      </c>
      <c r="C30" s="8">
        <f>AE33</f>
        <v>3035</v>
      </c>
      <c r="D30" s="8">
        <f>AE31</f>
        <v>287</v>
      </c>
      <c r="E30"/>
      <c r="G30" s="90" t="s">
        <v>450</v>
      </c>
      <c r="H30" s="86" t="s">
        <v>451</v>
      </c>
      <c r="I30" s="1" t="s">
        <v>987</v>
      </c>
      <c r="J30" s="2" t="s">
        <v>450</v>
      </c>
      <c r="K30" s="8">
        <v>0</v>
      </c>
      <c r="O30" s="86" t="s">
        <v>782</v>
      </c>
      <c r="R30" s="91" t="e">
        <f>(R28/1.5)</f>
        <v>#REF!</v>
      </c>
      <c r="T30" s="102" t="s">
        <v>2193</v>
      </c>
      <c r="U30" s="86" t="s">
        <v>18</v>
      </c>
      <c r="V30" s="86" t="s">
        <v>1467</v>
      </c>
      <c r="W30" s="107" t="s">
        <v>1819</v>
      </c>
      <c r="X30" s="91">
        <v>0</v>
      </c>
      <c r="Y30" s="8">
        <v>8240</v>
      </c>
      <c r="Z30" s="91">
        <v>0</v>
      </c>
      <c r="AA30" s="102">
        <v>0</v>
      </c>
      <c r="AB30" s="88">
        <v>0</v>
      </c>
      <c r="AC30" s="86">
        <f t="shared" si="0"/>
        <v>8240</v>
      </c>
      <c r="AD30" s="86" t="s">
        <v>2552</v>
      </c>
      <c r="AE30" s="8">
        <v>342</v>
      </c>
      <c r="AF30" s="91"/>
      <c r="AG30" s="91"/>
      <c r="AI30">
        <v>287</v>
      </c>
      <c r="AJ30" s="87">
        <v>1.1000000000000001</v>
      </c>
      <c r="AK30" s="87">
        <f t="shared" si="1"/>
        <v>315.7</v>
      </c>
    </row>
    <row r="31" spans="1:37" hidden="1">
      <c r="A31" s="106">
        <f t="shared" si="3"/>
        <v>22</v>
      </c>
      <c r="B31" s="86" t="s">
        <v>19</v>
      </c>
      <c r="C31" s="8">
        <f>AE30</f>
        <v>342</v>
      </c>
      <c r="D31" s="8">
        <f>AE32</f>
        <v>320</v>
      </c>
      <c r="E31"/>
      <c r="I31"/>
      <c r="J31" s="4"/>
      <c r="K31" s="5" t="s">
        <v>1609</v>
      </c>
      <c r="O31" s="86" t="s">
        <v>248</v>
      </c>
      <c r="R31" s="89" t="s">
        <v>2080</v>
      </c>
      <c r="T31" s="102" t="s">
        <v>20</v>
      </c>
      <c r="U31" s="86" t="s">
        <v>21</v>
      </c>
      <c r="V31" s="86" t="s">
        <v>870</v>
      </c>
      <c r="W31" s="86" t="s">
        <v>1819</v>
      </c>
      <c r="X31" s="91">
        <v>0</v>
      </c>
      <c r="Y31" s="8">
        <v>3800</v>
      </c>
      <c r="Z31" s="91">
        <v>0</v>
      </c>
      <c r="AA31" s="102">
        <v>0</v>
      </c>
      <c r="AB31" s="88">
        <v>0</v>
      </c>
      <c r="AC31" s="86">
        <v>3800</v>
      </c>
      <c r="AD31" s="86" t="s">
        <v>2553</v>
      </c>
      <c r="AE31" s="8">
        <v>287</v>
      </c>
      <c r="AF31" s="91"/>
      <c r="AG31" s="91"/>
      <c r="AI31">
        <v>320</v>
      </c>
      <c r="AJ31" s="87">
        <v>1.1000000000000001</v>
      </c>
      <c r="AK31" s="87">
        <f t="shared" si="1"/>
        <v>352</v>
      </c>
    </row>
    <row r="32" spans="1:37" hidden="1">
      <c r="A32" s="106">
        <f t="shared" si="3"/>
        <v>23</v>
      </c>
      <c r="B32" s="86" t="s">
        <v>1822</v>
      </c>
      <c r="C32" s="8">
        <v>2.5</v>
      </c>
      <c r="D32" s="8">
        <f>AE34</f>
        <v>267</v>
      </c>
      <c r="E32"/>
      <c r="H32" s="86" t="s">
        <v>1538</v>
      </c>
      <c r="I32"/>
      <c r="J32" s="4"/>
      <c r="K32" s="8" t="e">
        <f>SUM(K27:K30)</f>
        <v>#REF!</v>
      </c>
      <c r="T32" s="102" t="s">
        <v>1823</v>
      </c>
      <c r="U32" s="86" t="s">
        <v>1824</v>
      </c>
      <c r="V32" s="86" t="s">
        <v>870</v>
      </c>
      <c r="W32" s="86" t="s">
        <v>2290</v>
      </c>
      <c r="X32" s="91">
        <v>0</v>
      </c>
      <c r="Y32" s="8">
        <v>28000</v>
      </c>
      <c r="Z32" s="91">
        <v>0</v>
      </c>
      <c r="AA32" s="102">
        <v>0</v>
      </c>
      <c r="AB32" s="88">
        <v>0</v>
      </c>
      <c r="AC32" s="86">
        <f t="shared" si="0"/>
        <v>28000</v>
      </c>
      <c r="AD32" s="86" t="s">
        <v>2554</v>
      </c>
      <c r="AE32" s="8">
        <v>320</v>
      </c>
      <c r="AF32" s="91"/>
      <c r="AG32" s="91"/>
      <c r="AI32">
        <v>3035</v>
      </c>
      <c r="AJ32" s="87">
        <v>1.1000000000000001</v>
      </c>
      <c r="AK32" s="87">
        <f t="shared" si="1"/>
        <v>3338.5</v>
      </c>
    </row>
    <row r="33" spans="1:37" hidden="1">
      <c r="A33" s="106">
        <f t="shared" si="3"/>
        <v>24</v>
      </c>
      <c r="B33" s="86" t="s">
        <v>445</v>
      </c>
      <c r="C33" s="8">
        <v>3.64</v>
      </c>
      <c r="D33" s="8">
        <f>AE35</f>
        <v>240</v>
      </c>
      <c r="E33"/>
      <c r="I33"/>
      <c r="J33" s="4"/>
      <c r="K33" s="5" t="s">
        <v>1609</v>
      </c>
      <c r="T33" s="108" t="s">
        <v>446</v>
      </c>
      <c r="U33" s="86" t="s">
        <v>1438</v>
      </c>
      <c r="V33" s="86" t="s">
        <v>870</v>
      </c>
      <c r="W33" s="86" t="s">
        <v>2290</v>
      </c>
      <c r="X33" s="91">
        <v>0</v>
      </c>
      <c r="Y33" s="8">
        <v>26500</v>
      </c>
      <c r="Z33" s="91">
        <v>0</v>
      </c>
      <c r="AA33" s="102">
        <v>0</v>
      </c>
      <c r="AB33" s="88">
        <v>0</v>
      </c>
      <c r="AC33" s="86">
        <f t="shared" si="0"/>
        <v>26500</v>
      </c>
      <c r="AD33" s="86" t="s">
        <v>2555</v>
      </c>
      <c r="AE33" s="8">
        <v>3035</v>
      </c>
      <c r="AF33" s="91"/>
      <c r="AG33" s="91"/>
      <c r="AI33">
        <v>267</v>
      </c>
      <c r="AJ33" s="87">
        <v>1.1000000000000001</v>
      </c>
      <c r="AK33" s="87">
        <f t="shared" si="1"/>
        <v>293.7</v>
      </c>
    </row>
    <row r="34" spans="1:37" hidden="1">
      <c r="A34" s="106">
        <f t="shared" si="3"/>
        <v>25</v>
      </c>
      <c r="B34" s="86" t="s">
        <v>1439</v>
      </c>
      <c r="C34" s="8">
        <v>30000</v>
      </c>
      <c r="D34" s="8">
        <v>30000</v>
      </c>
      <c r="E34"/>
      <c r="G34" s="90" t="s">
        <v>2276</v>
      </c>
      <c r="H34" s="86" t="s">
        <v>1327</v>
      </c>
      <c r="I34"/>
      <c r="J34" s="4"/>
      <c r="K34"/>
      <c r="T34" s="108" t="s">
        <v>1440</v>
      </c>
      <c r="U34" s="86" t="s">
        <v>1441</v>
      </c>
      <c r="V34" s="86" t="s">
        <v>1467</v>
      </c>
      <c r="W34" s="91" t="str">
        <f>W18</f>
        <v>Nerkundram</v>
      </c>
      <c r="X34" s="91" t="e">
        <f>X18</f>
        <v>#REF!</v>
      </c>
      <c r="Y34" s="8">
        <f>Y29</f>
        <v>1470</v>
      </c>
      <c r="Z34" s="91" t="e">
        <f>Z29</f>
        <v>#REF!</v>
      </c>
      <c r="AA34" s="102">
        <v>0</v>
      </c>
      <c r="AB34" s="88">
        <v>0</v>
      </c>
      <c r="AC34" s="86" t="e">
        <f t="shared" si="0"/>
        <v>#REF!</v>
      </c>
      <c r="AD34" s="86" t="s">
        <v>2556</v>
      </c>
      <c r="AE34" s="8">
        <v>267</v>
      </c>
      <c r="AF34" s="91"/>
      <c r="AG34" s="91"/>
      <c r="AI34">
        <v>240</v>
      </c>
      <c r="AJ34" s="87">
        <v>1.1000000000000001</v>
      </c>
      <c r="AK34" s="87">
        <f t="shared" si="1"/>
        <v>264</v>
      </c>
    </row>
    <row r="35" spans="1:37" hidden="1">
      <c r="A35" s="106">
        <f t="shared" si="3"/>
        <v>26</v>
      </c>
      <c r="B35" s="86" t="s">
        <v>2557</v>
      </c>
      <c r="C35" s="8">
        <f>AC38</f>
        <v>169</v>
      </c>
      <c r="D35"/>
      <c r="E35"/>
      <c r="F35" s="91">
        <v>0.36</v>
      </c>
      <c r="G35" s="90" t="s">
        <v>870</v>
      </c>
      <c r="H35" s="86" t="s">
        <v>871</v>
      </c>
      <c r="I35" s="8">
        <f>C67</f>
        <v>3800</v>
      </c>
      <c r="J35" s="2" t="s">
        <v>870</v>
      </c>
      <c r="K35" s="8">
        <f>(F35*I35)</f>
        <v>1368</v>
      </c>
      <c r="T35" s="102" t="s">
        <v>1442</v>
      </c>
      <c r="U35" s="86" t="s">
        <v>399</v>
      </c>
      <c r="V35" s="86" t="s">
        <v>875</v>
      </c>
      <c r="W35" s="86" t="str">
        <f>W11</f>
        <v>Pallavaram</v>
      </c>
      <c r="X35" s="91">
        <v>18</v>
      </c>
      <c r="Y35" s="109">
        <v>278</v>
      </c>
      <c r="Z35" s="91" t="e">
        <f>Z11</f>
        <v>#REF!</v>
      </c>
      <c r="AA35" s="102">
        <v>0</v>
      </c>
      <c r="AB35" s="88">
        <v>0</v>
      </c>
      <c r="AC35" s="86" t="e">
        <f t="shared" si="0"/>
        <v>#REF!</v>
      </c>
      <c r="AD35" s="86" t="s">
        <v>2558</v>
      </c>
      <c r="AE35" s="8">
        <v>240</v>
      </c>
      <c r="AF35" s="91"/>
      <c r="AG35" s="91"/>
      <c r="AI35">
        <v>37.299999999999997</v>
      </c>
      <c r="AJ35" s="87">
        <v>1.1000000000000001</v>
      </c>
      <c r="AK35" s="87">
        <f t="shared" si="1"/>
        <v>41.03</v>
      </c>
    </row>
    <row r="36" spans="1:37" hidden="1">
      <c r="B36" s="86" t="s">
        <v>756</v>
      </c>
      <c r="C36" s="8">
        <v>2.6</v>
      </c>
      <c r="D36"/>
      <c r="E36"/>
      <c r="F36" s="91">
        <v>1</v>
      </c>
      <c r="G36" s="90" t="s">
        <v>878</v>
      </c>
      <c r="H36" s="86" t="s">
        <v>879</v>
      </c>
      <c r="I36" s="8" t="e">
        <f>C78</f>
        <v>#REF!</v>
      </c>
      <c r="J36" s="2" t="s">
        <v>878</v>
      </c>
      <c r="K36" s="8" t="e">
        <f>(F36*I36)</f>
        <v>#REF!</v>
      </c>
      <c r="T36" s="102" t="s">
        <v>228</v>
      </c>
      <c r="U36" s="86" t="s">
        <v>398</v>
      </c>
      <c r="V36" s="86" t="s">
        <v>875</v>
      </c>
      <c r="W36" s="86" t="str">
        <f>W12</f>
        <v>Pallavaram</v>
      </c>
      <c r="X36" s="91">
        <v>18</v>
      </c>
      <c r="Y36" s="109">
        <v>334.5</v>
      </c>
      <c r="Z36" s="91" t="e">
        <f>Z12</f>
        <v>#REF!</v>
      </c>
      <c r="AA36" s="102">
        <v>0</v>
      </c>
      <c r="AB36" s="88">
        <v>0</v>
      </c>
      <c r="AC36" s="86" t="e">
        <f t="shared" si="0"/>
        <v>#REF!</v>
      </c>
      <c r="AD36" s="86" t="s">
        <v>2559</v>
      </c>
      <c r="AE36" s="6">
        <v>37.299999999999997</v>
      </c>
      <c r="AF36" s="92"/>
      <c r="AG36" s="92"/>
      <c r="AI36">
        <v>95.5</v>
      </c>
      <c r="AJ36" s="87">
        <v>1.1000000000000001</v>
      </c>
      <c r="AK36" s="87">
        <f t="shared" si="1"/>
        <v>105.05</v>
      </c>
    </row>
    <row r="37" spans="1:37" hidden="1">
      <c r="C37"/>
      <c r="D37"/>
      <c r="E37"/>
      <c r="F37" s="91">
        <v>1</v>
      </c>
      <c r="G37" s="90" t="s">
        <v>878</v>
      </c>
      <c r="H37" s="86" t="s">
        <v>883</v>
      </c>
      <c r="I37" s="8">
        <f>C18</f>
        <v>26</v>
      </c>
      <c r="J37" s="2" t="s">
        <v>878</v>
      </c>
      <c r="K37" s="8">
        <f>(F37*I37)</f>
        <v>26</v>
      </c>
      <c r="T37" s="102" t="s">
        <v>1698</v>
      </c>
      <c r="U37" s="86" t="s">
        <v>416</v>
      </c>
      <c r="V37" s="86" t="s">
        <v>875</v>
      </c>
      <c r="W37" s="86" t="str">
        <f>W13</f>
        <v>Pallavaram</v>
      </c>
      <c r="X37" s="91">
        <v>18</v>
      </c>
      <c r="Y37" s="109">
        <v>278.5</v>
      </c>
      <c r="Z37" s="91" t="e">
        <f>Z13</f>
        <v>#REF!</v>
      </c>
      <c r="AA37" s="102">
        <v>0</v>
      </c>
      <c r="AB37" s="88">
        <v>0</v>
      </c>
      <c r="AC37" s="86" t="e">
        <f t="shared" si="0"/>
        <v>#REF!</v>
      </c>
      <c r="AD37" s="86" t="s">
        <v>2560</v>
      </c>
      <c r="AE37" s="8">
        <v>120</v>
      </c>
      <c r="AF37" s="91"/>
      <c r="AG37" s="91"/>
    </row>
    <row r="38" spans="1:37" hidden="1">
      <c r="A38" s="106">
        <f>(A35+1)</f>
        <v>27</v>
      </c>
      <c r="B38" s="86" t="s">
        <v>1699</v>
      </c>
      <c r="C38" s="8">
        <v>40</v>
      </c>
      <c r="D38" s="1" t="s">
        <v>877</v>
      </c>
      <c r="E38"/>
      <c r="G38" s="90" t="s">
        <v>450</v>
      </c>
      <c r="H38" s="86" t="s">
        <v>451</v>
      </c>
      <c r="I38" s="1" t="s">
        <v>987</v>
      </c>
      <c r="J38" s="2" t="s">
        <v>450</v>
      </c>
      <c r="K38" s="8">
        <v>0</v>
      </c>
      <c r="T38" s="102" t="s">
        <v>210</v>
      </c>
      <c r="U38" s="86" t="s">
        <v>211</v>
      </c>
      <c r="V38" s="86" t="s">
        <v>875</v>
      </c>
      <c r="W38" s="86" t="s">
        <v>2561</v>
      </c>
      <c r="X38" s="91">
        <v>20</v>
      </c>
      <c r="Y38" s="6">
        <v>83</v>
      </c>
      <c r="Z38" s="91">
        <v>86</v>
      </c>
      <c r="AA38" s="102">
        <v>0</v>
      </c>
      <c r="AB38" s="88">
        <v>0</v>
      </c>
      <c r="AC38" s="86">
        <f t="shared" si="0"/>
        <v>169</v>
      </c>
      <c r="AD38" s="86" t="s">
        <v>987</v>
      </c>
      <c r="AE38" s="6"/>
      <c r="AG38" s="86" t="s">
        <v>2284</v>
      </c>
    </row>
    <row r="39" spans="1:37" hidden="1">
      <c r="A39" s="106">
        <f t="shared" ref="A39:A58" si="4">(A38+1)</f>
        <v>28</v>
      </c>
      <c r="B39" s="86" t="s">
        <v>212</v>
      </c>
      <c r="C39" s="8">
        <v>41</v>
      </c>
      <c r="D39" s="8">
        <v>500</v>
      </c>
      <c r="E39"/>
      <c r="I39"/>
      <c r="J39" s="4"/>
      <c r="K39" s="5" t="s">
        <v>1609</v>
      </c>
      <c r="T39" s="80"/>
      <c r="AA39" s="80"/>
      <c r="AG39" s="86" t="s">
        <v>2284</v>
      </c>
    </row>
    <row r="40" spans="1:37" hidden="1">
      <c r="A40" s="106">
        <f t="shared" si="4"/>
        <v>29</v>
      </c>
      <c r="B40" s="86" t="s">
        <v>1027</v>
      </c>
      <c r="C40" s="8">
        <v>28</v>
      </c>
      <c r="D40" s="8">
        <f>95+95*0.11</f>
        <v>105.45</v>
      </c>
      <c r="E40"/>
      <c r="H40" s="86" t="s">
        <v>1538</v>
      </c>
      <c r="I40"/>
      <c r="J40" s="4"/>
      <c r="K40" s="8" t="e">
        <f>SUM(K35:K38)</f>
        <v>#REF!</v>
      </c>
      <c r="T40" s="89" t="s">
        <v>1609</v>
      </c>
      <c r="U40" s="89" t="s">
        <v>1609</v>
      </c>
      <c r="V40" s="89" t="s">
        <v>1609</v>
      </c>
      <c r="W40" s="89" t="s">
        <v>1609</v>
      </c>
      <c r="X40" s="89" t="s">
        <v>1609</v>
      </c>
      <c r="Y40" s="89" t="s">
        <v>1609</v>
      </c>
      <c r="Z40" s="89" t="s">
        <v>1609</v>
      </c>
      <c r="AA40" s="89" t="s">
        <v>1609</v>
      </c>
      <c r="AB40" s="89" t="s">
        <v>1609</v>
      </c>
      <c r="AC40" s="89" t="s">
        <v>1609</v>
      </c>
      <c r="AD40" s="89" t="s">
        <v>1609</v>
      </c>
      <c r="AE40" s="89" t="s">
        <v>1609</v>
      </c>
      <c r="AF40" s="89"/>
      <c r="AG40" s="86" t="s">
        <v>2284</v>
      </c>
    </row>
    <row r="41" spans="1:37" ht="47.25" hidden="1" customHeight="1">
      <c r="A41" s="106">
        <f t="shared" si="4"/>
        <v>30</v>
      </c>
      <c r="B41" s="86" t="s">
        <v>1794</v>
      </c>
      <c r="C41" s="8">
        <f>AE22</f>
        <v>110</v>
      </c>
      <c r="D41" s="1" t="s">
        <v>778</v>
      </c>
      <c r="E41"/>
      <c r="I41"/>
      <c r="J41" s="4"/>
      <c r="K41" s="5" t="s">
        <v>1609</v>
      </c>
      <c r="U41" s="110"/>
      <c r="Y41" s="86" t="s">
        <v>987</v>
      </c>
      <c r="AG41" s="86" t="s">
        <v>2284</v>
      </c>
    </row>
    <row r="42" spans="1:37" hidden="1">
      <c r="A42" s="106">
        <f t="shared" si="4"/>
        <v>31</v>
      </c>
      <c r="B42" s="86" t="s">
        <v>1795</v>
      </c>
      <c r="C42" s="8">
        <v>1.75</v>
      </c>
      <c r="D42" s="1" t="s">
        <v>1796</v>
      </c>
      <c r="E42"/>
      <c r="G42" s="90" t="s">
        <v>2276</v>
      </c>
      <c r="H42" s="86" t="s">
        <v>1650</v>
      </c>
      <c r="I42"/>
      <c r="J42" s="4"/>
      <c r="K42"/>
      <c r="U42" s="87" t="s">
        <v>1530</v>
      </c>
      <c r="AG42" s="86" t="s">
        <v>2284</v>
      </c>
    </row>
    <row r="43" spans="1:37" hidden="1">
      <c r="A43" s="106">
        <f t="shared" si="4"/>
        <v>32</v>
      </c>
      <c r="B43" s="86" t="s">
        <v>1651</v>
      </c>
      <c r="C43" s="8">
        <v>2.2000000000000002</v>
      </c>
      <c r="D43" s="1" t="s">
        <v>778</v>
      </c>
      <c r="E43"/>
      <c r="H43" s="89" t="s">
        <v>1609</v>
      </c>
      <c r="I43"/>
      <c r="J43" s="4"/>
      <c r="K43"/>
      <c r="AG43" s="86" t="s">
        <v>2284</v>
      </c>
    </row>
    <row r="44" spans="1:37" hidden="1">
      <c r="A44" s="106">
        <f t="shared" si="4"/>
        <v>33</v>
      </c>
      <c r="B44" s="86" t="s">
        <v>260</v>
      </c>
      <c r="C44" s="8">
        <v>2.2000000000000002</v>
      </c>
      <c r="D44" s="1" t="s">
        <v>778</v>
      </c>
      <c r="E44"/>
      <c r="F44" s="111">
        <v>0.28799999999999998</v>
      </c>
      <c r="G44" s="90" t="s">
        <v>870</v>
      </c>
      <c r="H44" s="86" t="s">
        <v>871</v>
      </c>
      <c r="I44" s="8">
        <f>(C67)</f>
        <v>3800</v>
      </c>
      <c r="J44" s="2" t="s">
        <v>870</v>
      </c>
      <c r="K44" s="8">
        <f>(F44*I44)</f>
        <v>1094.4000000000001</v>
      </c>
      <c r="AG44" s="86" t="s">
        <v>2284</v>
      </c>
    </row>
    <row r="45" spans="1:37" hidden="1">
      <c r="A45" s="106">
        <f t="shared" si="4"/>
        <v>34</v>
      </c>
      <c r="B45" s="86" t="s">
        <v>1937</v>
      </c>
      <c r="C45" s="8">
        <v>2.7</v>
      </c>
      <c r="D45" s="1" t="s">
        <v>778</v>
      </c>
      <c r="E45"/>
      <c r="F45" s="91">
        <v>1</v>
      </c>
      <c r="G45" s="90" t="s">
        <v>878</v>
      </c>
      <c r="H45" s="86" t="s">
        <v>879</v>
      </c>
      <c r="I45" s="8" t="e">
        <f>(C78)</f>
        <v>#REF!</v>
      </c>
      <c r="J45" s="2" t="s">
        <v>878</v>
      </c>
      <c r="K45" s="8" t="e">
        <f>(F45*I45)</f>
        <v>#REF!</v>
      </c>
      <c r="AG45" s="86" t="s">
        <v>2284</v>
      </c>
    </row>
    <row r="46" spans="1:37" hidden="1">
      <c r="A46" s="106">
        <f t="shared" si="4"/>
        <v>35</v>
      </c>
      <c r="B46" s="86" t="s">
        <v>78</v>
      </c>
      <c r="C46" s="8">
        <v>3.2</v>
      </c>
      <c r="D46" s="1" t="s">
        <v>778</v>
      </c>
      <c r="E46"/>
      <c r="F46" s="91">
        <v>1</v>
      </c>
      <c r="G46" s="90" t="s">
        <v>878</v>
      </c>
      <c r="H46" s="86" t="s">
        <v>883</v>
      </c>
      <c r="I46" s="8">
        <f>(C18)</f>
        <v>26</v>
      </c>
      <c r="J46" s="2" t="s">
        <v>878</v>
      </c>
      <c r="K46" s="8">
        <f>(F46*I46)</f>
        <v>26</v>
      </c>
      <c r="W46" s="86" t="s">
        <v>1687</v>
      </c>
      <c r="AA46" s="86" t="s">
        <v>79</v>
      </c>
      <c r="AE46" s="87" t="s">
        <v>2337</v>
      </c>
      <c r="AG46" s="86" t="s">
        <v>2284</v>
      </c>
    </row>
    <row r="47" spans="1:37" hidden="1">
      <c r="A47" s="106">
        <f t="shared" si="4"/>
        <v>36</v>
      </c>
      <c r="B47" s="86" t="s">
        <v>80</v>
      </c>
      <c r="C47" s="8">
        <v>4.2</v>
      </c>
      <c r="D47" s="1" t="s">
        <v>778</v>
      </c>
      <c r="E47"/>
      <c r="G47" s="90" t="s">
        <v>450</v>
      </c>
      <c r="H47" s="86" t="s">
        <v>451</v>
      </c>
      <c r="I47" s="1" t="s">
        <v>987</v>
      </c>
      <c r="J47" s="2" t="s">
        <v>450</v>
      </c>
      <c r="K47" s="8">
        <v>0</v>
      </c>
      <c r="N47" s="86" t="s">
        <v>2276</v>
      </c>
      <c r="O47" s="86" t="s">
        <v>1273</v>
      </c>
      <c r="AG47" s="86" t="s">
        <v>2284</v>
      </c>
    </row>
    <row r="48" spans="1:37" hidden="1">
      <c r="A48" s="106">
        <f t="shared" si="4"/>
        <v>37</v>
      </c>
      <c r="B48" s="86" t="s">
        <v>1274</v>
      </c>
      <c r="C48" s="8">
        <v>5.35</v>
      </c>
      <c r="D48" s="8">
        <v>10.65</v>
      </c>
      <c r="E48"/>
      <c r="I48"/>
      <c r="J48" s="4"/>
      <c r="K48" s="5" t="s">
        <v>1609</v>
      </c>
      <c r="O48" s="86" t="s">
        <v>649</v>
      </c>
      <c r="AG48" s="86" t="s">
        <v>2284</v>
      </c>
    </row>
    <row r="49" spans="1:33" hidden="1">
      <c r="A49" s="106">
        <f t="shared" si="4"/>
        <v>38</v>
      </c>
      <c r="B49" s="86" t="s">
        <v>1731</v>
      </c>
      <c r="C49" s="8">
        <v>5.85</v>
      </c>
      <c r="D49" s="8">
        <v>7.45</v>
      </c>
      <c r="E49"/>
      <c r="H49" s="86" t="s">
        <v>1538</v>
      </c>
      <c r="I49"/>
      <c r="J49" s="4"/>
      <c r="K49" s="8" t="e">
        <f>SUM(K44:K47)</f>
        <v>#REF!</v>
      </c>
      <c r="O49" s="89" t="s">
        <v>1609</v>
      </c>
      <c r="AG49" s="86" t="s">
        <v>2284</v>
      </c>
    </row>
    <row r="50" spans="1:33" hidden="1">
      <c r="A50" s="106">
        <f t="shared" si="4"/>
        <v>39</v>
      </c>
      <c r="B50" s="86" t="s">
        <v>1654</v>
      </c>
      <c r="C50" s="8">
        <v>3.2</v>
      </c>
      <c r="D50" s="1" t="s">
        <v>778</v>
      </c>
      <c r="E50"/>
      <c r="I50"/>
      <c r="J50" s="4"/>
      <c r="K50" s="5" t="s">
        <v>1609</v>
      </c>
      <c r="M50" s="91">
        <v>9</v>
      </c>
      <c r="N50" s="86" t="s">
        <v>878</v>
      </c>
      <c r="O50" s="86" t="s">
        <v>649</v>
      </c>
      <c r="P50" s="91" t="e">
        <f>(C81)</f>
        <v>#REF!</v>
      </c>
      <c r="Q50" s="86" t="s">
        <v>878</v>
      </c>
      <c r="R50" s="91" t="e">
        <f>(M50*P50)</f>
        <v>#REF!</v>
      </c>
      <c r="AG50" s="86" t="s">
        <v>2284</v>
      </c>
    </row>
    <row r="51" spans="1:33" hidden="1">
      <c r="A51" s="106">
        <f t="shared" si="4"/>
        <v>40</v>
      </c>
      <c r="B51" s="86" t="s">
        <v>1655</v>
      </c>
      <c r="C51" s="8">
        <v>3.2</v>
      </c>
      <c r="D51" s="1" t="s">
        <v>778</v>
      </c>
      <c r="E51"/>
      <c r="G51" s="90" t="s">
        <v>2276</v>
      </c>
      <c r="H51" s="86" t="s">
        <v>1656</v>
      </c>
      <c r="I51"/>
      <c r="J51" s="4"/>
      <c r="K51"/>
      <c r="M51" s="91">
        <v>4.5</v>
      </c>
      <c r="N51" s="86" t="s">
        <v>878</v>
      </c>
      <c r="O51" s="86" t="s">
        <v>1657</v>
      </c>
      <c r="P51" s="91" t="e">
        <f>(K77)</f>
        <v>#REF!</v>
      </c>
      <c r="Q51" s="86" t="s">
        <v>878</v>
      </c>
      <c r="R51" s="91" t="e">
        <f>(M51*P51)</f>
        <v>#REF!</v>
      </c>
      <c r="AG51" s="86" t="s">
        <v>2284</v>
      </c>
    </row>
    <row r="52" spans="1:33" hidden="1">
      <c r="A52" s="106">
        <f t="shared" si="4"/>
        <v>41</v>
      </c>
      <c r="B52" s="86" t="s">
        <v>1736</v>
      </c>
      <c r="C52" s="8">
        <v>6.4</v>
      </c>
      <c r="D52" s="1" t="s">
        <v>778</v>
      </c>
      <c r="E52"/>
      <c r="H52" s="89" t="s">
        <v>1609</v>
      </c>
      <c r="I52"/>
      <c r="J52" s="4"/>
      <c r="K52"/>
      <c r="M52" s="91">
        <v>1.8</v>
      </c>
      <c r="N52" s="86" t="s">
        <v>877</v>
      </c>
      <c r="O52" s="86" t="s">
        <v>1737</v>
      </c>
      <c r="P52" s="91">
        <f>(C11)</f>
        <v>135</v>
      </c>
      <c r="Q52" s="86" t="s">
        <v>877</v>
      </c>
      <c r="R52" s="91">
        <f>(M52*P52)</f>
        <v>243</v>
      </c>
      <c r="AG52" s="86" t="s">
        <v>2284</v>
      </c>
    </row>
    <row r="53" spans="1:33" hidden="1">
      <c r="A53" s="106">
        <f t="shared" si="4"/>
        <v>42</v>
      </c>
      <c r="B53" s="86" t="s">
        <v>1926</v>
      </c>
      <c r="C53" s="8">
        <v>8.5500000000000007</v>
      </c>
      <c r="D53" s="8">
        <v>21.3</v>
      </c>
      <c r="E53"/>
      <c r="F53" s="91">
        <v>0.24</v>
      </c>
      <c r="G53" s="90" t="s">
        <v>870</v>
      </c>
      <c r="H53" s="86" t="s">
        <v>871</v>
      </c>
      <c r="I53" s="8">
        <f>(C67)</f>
        <v>3800</v>
      </c>
      <c r="J53" s="2" t="s">
        <v>870</v>
      </c>
      <c r="K53" s="8">
        <f>(F53*I53)</f>
        <v>912</v>
      </c>
      <c r="M53" s="91">
        <v>17.7</v>
      </c>
      <c r="N53" s="86" t="s">
        <v>877</v>
      </c>
      <c r="O53" s="86" t="s">
        <v>1927</v>
      </c>
      <c r="P53" s="91">
        <f>(C12)</f>
        <v>95</v>
      </c>
      <c r="Q53" s="86" t="s">
        <v>877</v>
      </c>
      <c r="R53" s="91">
        <f>(M53*P53)</f>
        <v>1681.5</v>
      </c>
      <c r="AG53" s="86" t="s">
        <v>2284</v>
      </c>
    </row>
    <row r="54" spans="1:33" hidden="1">
      <c r="A54" s="106">
        <f t="shared" si="4"/>
        <v>43</v>
      </c>
      <c r="B54" s="86" t="s">
        <v>320</v>
      </c>
      <c r="C54" s="8">
        <v>9.5500000000000007</v>
      </c>
      <c r="D54" s="8">
        <v>16</v>
      </c>
      <c r="E54"/>
      <c r="F54" s="91">
        <v>1</v>
      </c>
      <c r="G54" s="90" t="s">
        <v>878</v>
      </c>
      <c r="H54" s="86" t="s">
        <v>879</v>
      </c>
      <c r="I54" s="8" t="e">
        <f>(C78)</f>
        <v>#REF!</v>
      </c>
      <c r="J54" s="2" t="s">
        <v>878</v>
      </c>
      <c r="K54" s="8" t="e">
        <f>(F54*I54)</f>
        <v>#REF!</v>
      </c>
      <c r="M54" s="91">
        <v>14.1</v>
      </c>
      <c r="N54" s="86" t="s">
        <v>877</v>
      </c>
      <c r="O54" s="86" t="s">
        <v>321</v>
      </c>
      <c r="P54" s="91">
        <f>(C13)</f>
        <v>85</v>
      </c>
      <c r="Q54" s="86" t="s">
        <v>877</v>
      </c>
      <c r="R54" s="91">
        <f>(M54*P54)</f>
        <v>1198.5</v>
      </c>
      <c r="AG54" s="86" t="s">
        <v>322</v>
      </c>
    </row>
    <row r="55" spans="1:33" hidden="1">
      <c r="A55" s="106">
        <f t="shared" si="4"/>
        <v>44</v>
      </c>
      <c r="B55" s="86" t="s">
        <v>323</v>
      </c>
      <c r="C55" s="8">
        <v>10.65</v>
      </c>
      <c r="D55" s="8">
        <v>12.75</v>
      </c>
      <c r="E55"/>
      <c r="F55" s="91">
        <v>1</v>
      </c>
      <c r="G55" s="90" t="s">
        <v>878</v>
      </c>
      <c r="H55" s="86" t="s">
        <v>883</v>
      </c>
      <c r="I55" s="8">
        <f>(C18)</f>
        <v>26</v>
      </c>
      <c r="J55" s="2" t="s">
        <v>878</v>
      </c>
      <c r="K55" s="8">
        <f>(F55*I55)</f>
        <v>26</v>
      </c>
      <c r="N55" s="86" t="s">
        <v>450</v>
      </c>
      <c r="O55" s="86" t="s">
        <v>451</v>
      </c>
      <c r="Q55" s="86" t="s">
        <v>450</v>
      </c>
      <c r="R55" s="91">
        <v>0</v>
      </c>
    </row>
    <row r="56" spans="1:33" hidden="1">
      <c r="A56" s="106">
        <f t="shared" si="4"/>
        <v>45</v>
      </c>
      <c r="B56" s="86" t="s">
        <v>324</v>
      </c>
      <c r="C56" s="8">
        <v>12.1</v>
      </c>
      <c r="D56" s="1" t="s">
        <v>450</v>
      </c>
      <c r="E56"/>
      <c r="G56" s="90" t="s">
        <v>450</v>
      </c>
      <c r="H56" s="86" t="s">
        <v>451</v>
      </c>
      <c r="I56" s="1" t="s">
        <v>987</v>
      </c>
      <c r="J56" s="2" t="s">
        <v>450</v>
      </c>
      <c r="K56" s="8">
        <v>0</v>
      </c>
      <c r="R56" s="89" t="s">
        <v>1609</v>
      </c>
    </row>
    <row r="57" spans="1:33" hidden="1">
      <c r="A57" s="106">
        <f t="shared" si="4"/>
        <v>46</v>
      </c>
      <c r="B57" s="86" t="s">
        <v>619</v>
      </c>
      <c r="C57" s="8">
        <v>35</v>
      </c>
      <c r="D57" s="1" t="s">
        <v>450</v>
      </c>
      <c r="E57"/>
      <c r="I57"/>
      <c r="J57" s="4"/>
      <c r="K57" s="5" t="s">
        <v>1609</v>
      </c>
      <c r="O57" s="86" t="s">
        <v>620</v>
      </c>
      <c r="R57" s="91" t="e">
        <f>SUM(R50:R55)</f>
        <v>#REF!</v>
      </c>
      <c r="AG57" s="86" t="s">
        <v>2284</v>
      </c>
    </row>
    <row r="58" spans="1:33" hidden="1">
      <c r="A58" s="106">
        <f t="shared" si="4"/>
        <v>47</v>
      </c>
      <c r="B58" s="86" t="s">
        <v>621</v>
      </c>
      <c r="C58" s="8">
        <v>15</v>
      </c>
      <c r="D58" s="1" t="s">
        <v>450</v>
      </c>
      <c r="E58"/>
      <c r="H58" s="86" t="s">
        <v>1538</v>
      </c>
      <c r="I58"/>
      <c r="J58" s="4"/>
      <c r="K58" s="8" t="e">
        <f>SUM(K53:K56)</f>
        <v>#REF!</v>
      </c>
      <c r="R58" s="89" t="s">
        <v>1609</v>
      </c>
      <c r="AG58" s="86" t="s">
        <v>2284</v>
      </c>
    </row>
    <row r="59" spans="1:33" hidden="1">
      <c r="C59"/>
      <c r="D59"/>
      <c r="E59"/>
      <c r="F59" s="86" t="s">
        <v>987</v>
      </c>
      <c r="I59"/>
      <c r="J59" s="4"/>
      <c r="K59"/>
    </row>
    <row r="60" spans="1:33" hidden="1">
      <c r="A60" s="106">
        <f>(A58+1)</f>
        <v>48</v>
      </c>
      <c r="B60" s="86" t="s">
        <v>622</v>
      </c>
      <c r="C60" s="8">
        <v>6.55</v>
      </c>
      <c r="D60" s="1" t="s">
        <v>2103</v>
      </c>
      <c r="E60"/>
      <c r="I60"/>
      <c r="J60" s="4"/>
      <c r="K60" s="5" t="s">
        <v>1609</v>
      </c>
      <c r="O60" s="86" t="s">
        <v>782</v>
      </c>
      <c r="R60" s="91" t="e">
        <f>(R57/10)</f>
        <v>#REF!</v>
      </c>
      <c r="AG60" s="86" t="s">
        <v>2284</v>
      </c>
    </row>
    <row r="61" spans="1:33" hidden="1">
      <c r="A61" s="106">
        <f t="shared" ref="A61:A91" si="5">(A60+1)</f>
        <v>49</v>
      </c>
      <c r="B61" s="86" t="s">
        <v>2104</v>
      </c>
      <c r="C61" s="8">
        <f>AE29</f>
        <v>25</v>
      </c>
      <c r="D61" s="8">
        <f>AE36</f>
        <v>37.299999999999997</v>
      </c>
      <c r="E61"/>
      <c r="G61" s="90" t="s">
        <v>2276</v>
      </c>
      <c r="H61" s="86" t="s">
        <v>2105</v>
      </c>
      <c r="I61"/>
      <c r="J61" s="4"/>
      <c r="K61"/>
      <c r="R61" s="89" t="s">
        <v>2080</v>
      </c>
      <c r="AG61" s="86" t="s">
        <v>2284</v>
      </c>
    </row>
    <row r="62" spans="1:33" hidden="1">
      <c r="A62" s="106">
        <f t="shared" si="5"/>
        <v>50</v>
      </c>
      <c r="B62" s="86" t="s">
        <v>2106</v>
      </c>
      <c r="C62" s="8">
        <v>85.5</v>
      </c>
      <c r="D62" s="1" t="s">
        <v>877</v>
      </c>
      <c r="E62"/>
      <c r="H62" s="89" t="s">
        <v>1609</v>
      </c>
      <c r="I62"/>
      <c r="J62" s="4"/>
      <c r="K62"/>
      <c r="N62" s="86" t="s">
        <v>2276</v>
      </c>
      <c r="O62" s="86" t="s">
        <v>1377</v>
      </c>
      <c r="AG62" s="86" t="s">
        <v>2284</v>
      </c>
    </row>
    <row r="63" spans="1:33" hidden="1">
      <c r="A63" s="106">
        <f t="shared" si="5"/>
        <v>51</v>
      </c>
      <c r="B63" s="86" t="s">
        <v>2070</v>
      </c>
      <c r="C63" s="8">
        <v>42</v>
      </c>
      <c r="D63" s="1" t="s">
        <v>450</v>
      </c>
      <c r="E63"/>
      <c r="F63" s="111">
        <v>0.20599999999999999</v>
      </c>
      <c r="G63" s="90" t="s">
        <v>870</v>
      </c>
      <c r="H63" s="86" t="s">
        <v>871</v>
      </c>
      <c r="I63" s="8">
        <f>(C67)</f>
        <v>3800</v>
      </c>
      <c r="J63" s="2" t="s">
        <v>870</v>
      </c>
      <c r="K63" s="8">
        <f>(F63*I63)</f>
        <v>782.8</v>
      </c>
      <c r="O63" s="86" t="s">
        <v>1509</v>
      </c>
      <c r="AG63" s="86" t="s">
        <v>2284</v>
      </c>
    </row>
    <row r="64" spans="1:33" hidden="1">
      <c r="A64" s="106">
        <f t="shared" si="5"/>
        <v>52</v>
      </c>
      <c r="B64" s="86" t="s">
        <v>1569</v>
      </c>
      <c r="C64" s="8">
        <v>62.5</v>
      </c>
      <c r="D64" s="1" t="s">
        <v>878</v>
      </c>
      <c r="E64"/>
      <c r="F64" s="91">
        <v>1</v>
      </c>
      <c r="G64" s="90" t="s">
        <v>878</v>
      </c>
      <c r="H64" s="86" t="s">
        <v>879</v>
      </c>
      <c r="I64" s="8" t="e">
        <f>(C78)</f>
        <v>#REF!</v>
      </c>
      <c r="J64" s="2" t="s">
        <v>878</v>
      </c>
      <c r="K64" s="8" t="e">
        <f>(F64*I64)</f>
        <v>#REF!</v>
      </c>
      <c r="O64" s="89" t="s">
        <v>1609</v>
      </c>
      <c r="AG64" s="86" t="s">
        <v>2284</v>
      </c>
    </row>
    <row r="65" spans="1:33" hidden="1">
      <c r="A65" s="106">
        <f t="shared" si="5"/>
        <v>53</v>
      </c>
      <c r="B65" s="86" t="s">
        <v>1378</v>
      </c>
      <c r="C65" s="8">
        <v>303</v>
      </c>
      <c r="D65" s="1" t="s">
        <v>1379</v>
      </c>
      <c r="E65"/>
      <c r="F65" s="91">
        <v>1</v>
      </c>
      <c r="G65" s="90" t="s">
        <v>878</v>
      </c>
      <c r="H65" s="86" t="s">
        <v>883</v>
      </c>
      <c r="I65" s="8">
        <f>(C18)</f>
        <v>26</v>
      </c>
      <c r="J65" s="2" t="s">
        <v>878</v>
      </c>
      <c r="K65" s="8">
        <f>(F65*I65)</f>
        <v>26</v>
      </c>
      <c r="M65" s="91">
        <v>9</v>
      </c>
      <c r="N65" s="86" t="s">
        <v>878</v>
      </c>
      <c r="O65" s="86" t="s">
        <v>1509</v>
      </c>
      <c r="P65" s="91" t="e">
        <f>(C73)</f>
        <v>#REF!</v>
      </c>
      <c r="Q65" s="86" t="s">
        <v>878</v>
      </c>
      <c r="R65" s="91" t="e">
        <f>(M65*P65)</f>
        <v>#REF!</v>
      </c>
      <c r="AG65" s="86" t="s">
        <v>2284</v>
      </c>
    </row>
    <row r="66" spans="1:33" hidden="1">
      <c r="A66" s="106">
        <f t="shared" si="5"/>
        <v>54</v>
      </c>
      <c r="B66" s="86" t="s">
        <v>1516</v>
      </c>
      <c r="C66" s="8">
        <f>AE18</f>
        <v>120</v>
      </c>
      <c r="D66" s="1" t="s">
        <v>877</v>
      </c>
      <c r="E66"/>
      <c r="G66" s="90" t="s">
        <v>450</v>
      </c>
      <c r="H66" s="86" t="s">
        <v>451</v>
      </c>
      <c r="I66" s="1" t="s">
        <v>987</v>
      </c>
      <c r="J66" s="2" t="s">
        <v>450</v>
      </c>
      <c r="K66" s="8">
        <v>0</v>
      </c>
      <c r="M66" s="91">
        <v>4.5</v>
      </c>
      <c r="N66" s="86" t="s">
        <v>878</v>
      </c>
      <c r="O66" s="86" t="s">
        <v>121</v>
      </c>
      <c r="P66" s="91" t="e">
        <f>(K23)</f>
        <v>#REF!</v>
      </c>
      <c r="Q66" s="86" t="s">
        <v>878</v>
      </c>
      <c r="R66" s="91" t="e">
        <f>(M66*P66)</f>
        <v>#REF!</v>
      </c>
      <c r="AG66" s="86" t="s">
        <v>2284</v>
      </c>
    </row>
    <row r="67" spans="1:33" hidden="1">
      <c r="A67" s="106">
        <f t="shared" si="5"/>
        <v>55</v>
      </c>
      <c r="B67" s="86" t="s">
        <v>871</v>
      </c>
      <c r="C67" s="8">
        <f>AC31</f>
        <v>3800</v>
      </c>
      <c r="D67" s="1" t="s">
        <v>870</v>
      </c>
      <c r="E67"/>
      <c r="I67"/>
      <c r="J67" s="4"/>
      <c r="K67" s="5" t="s">
        <v>1609</v>
      </c>
      <c r="M67" s="91">
        <v>1.8</v>
      </c>
      <c r="N67" s="86" t="s">
        <v>877</v>
      </c>
      <c r="O67" s="86" t="s">
        <v>1737</v>
      </c>
      <c r="P67" s="91">
        <f>(C11)</f>
        <v>135</v>
      </c>
      <c r="Q67" s="86" t="s">
        <v>877</v>
      </c>
      <c r="R67" s="91">
        <f>(M67*P67)</f>
        <v>243</v>
      </c>
      <c r="AG67" s="86" t="s">
        <v>2284</v>
      </c>
    </row>
    <row r="68" spans="1:33" hidden="1">
      <c r="A68" s="106">
        <f t="shared" si="5"/>
        <v>56</v>
      </c>
      <c r="B68" s="86" t="s">
        <v>1517</v>
      </c>
      <c r="C68" s="8" t="e">
        <f t="shared" ref="C68:C74" si="6">AC9</f>
        <v>#REF!</v>
      </c>
      <c r="D68" s="1" t="s">
        <v>878</v>
      </c>
      <c r="E68"/>
      <c r="H68" s="86" t="s">
        <v>1538</v>
      </c>
      <c r="I68"/>
      <c r="J68" s="4"/>
      <c r="K68" s="8" t="e">
        <f>SUM(K63:K66)</f>
        <v>#REF!</v>
      </c>
      <c r="M68" s="91">
        <v>17.7</v>
      </c>
      <c r="N68" s="86" t="s">
        <v>877</v>
      </c>
      <c r="O68" s="86" t="s">
        <v>1927</v>
      </c>
      <c r="P68" s="91">
        <f>(C12)</f>
        <v>95</v>
      </c>
      <c r="Q68" s="86" t="s">
        <v>877</v>
      </c>
      <c r="R68" s="91">
        <f>(M68*P68)</f>
        <v>1681.5</v>
      </c>
      <c r="AG68" s="86" t="s">
        <v>2284</v>
      </c>
    </row>
    <row r="69" spans="1:33" hidden="1">
      <c r="A69" s="106">
        <f t="shared" si="5"/>
        <v>57</v>
      </c>
      <c r="B69" s="86" t="s">
        <v>881</v>
      </c>
      <c r="C69" s="8" t="e">
        <f t="shared" si="6"/>
        <v>#REF!</v>
      </c>
      <c r="D69" s="1" t="s">
        <v>878</v>
      </c>
      <c r="E69"/>
      <c r="I69"/>
      <c r="J69" s="4"/>
      <c r="K69" s="5" t="s">
        <v>1609</v>
      </c>
      <c r="M69" s="91">
        <v>14.1</v>
      </c>
      <c r="N69" s="86" t="s">
        <v>877</v>
      </c>
      <c r="O69" s="86" t="s">
        <v>321</v>
      </c>
      <c r="P69" s="91">
        <f>(C13)</f>
        <v>85</v>
      </c>
      <c r="Q69" s="86" t="s">
        <v>877</v>
      </c>
      <c r="R69" s="91">
        <f>(M69*P69)</f>
        <v>1198.5</v>
      </c>
      <c r="AG69" s="86" t="s">
        <v>2284</v>
      </c>
    </row>
    <row r="70" spans="1:33" hidden="1">
      <c r="A70" s="106">
        <f t="shared" si="5"/>
        <v>58</v>
      </c>
      <c r="B70" s="86" t="s">
        <v>1518</v>
      </c>
      <c r="C70" s="8" t="e">
        <f t="shared" si="6"/>
        <v>#REF!</v>
      </c>
      <c r="D70" s="1" t="s">
        <v>878</v>
      </c>
      <c r="E70"/>
      <c r="G70" s="90" t="s">
        <v>2276</v>
      </c>
      <c r="H70" s="86" t="s">
        <v>1657</v>
      </c>
      <c r="I70"/>
      <c r="J70" s="4"/>
      <c r="K70"/>
      <c r="N70" s="86" t="s">
        <v>450</v>
      </c>
      <c r="O70" s="86" t="s">
        <v>451</v>
      </c>
      <c r="Q70" s="86" t="s">
        <v>450</v>
      </c>
      <c r="R70" s="91">
        <v>0</v>
      </c>
      <c r="AG70" s="86" t="s">
        <v>2284</v>
      </c>
    </row>
    <row r="71" spans="1:33" hidden="1">
      <c r="A71" s="106">
        <f t="shared" si="5"/>
        <v>59</v>
      </c>
      <c r="B71" s="86" t="s">
        <v>1519</v>
      </c>
      <c r="C71" s="8" t="e">
        <f t="shared" si="6"/>
        <v>#REF!</v>
      </c>
      <c r="D71" s="1" t="s">
        <v>878</v>
      </c>
      <c r="E71"/>
      <c r="H71" s="89" t="s">
        <v>1609</v>
      </c>
      <c r="I71"/>
      <c r="J71" s="4"/>
      <c r="K71"/>
      <c r="R71" s="89" t="s">
        <v>1609</v>
      </c>
      <c r="AG71" s="86" t="s">
        <v>2284</v>
      </c>
    </row>
    <row r="72" spans="1:33" hidden="1">
      <c r="A72" s="106">
        <f t="shared" si="5"/>
        <v>60</v>
      </c>
      <c r="B72" s="86" t="s">
        <v>1520</v>
      </c>
      <c r="C72" s="8" t="e">
        <f t="shared" si="6"/>
        <v>#REF!</v>
      </c>
      <c r="D72" s="1" t="s">
        <v>878</v>
      </c>
      <c r="E72"/>
      <c r="F72" s="91">
        <v>0.18</v>
      </c>
      <c r="G72" s="90" t="s">
        <v>870</v>
      </c>
      <c r="H72" s="86" t="s">
        <v>871</v>
      </c>
      <c r="I72" s="8">
        <f>(C67)</f>
        <v>3800</v>
      </c>
      <c r="J72" s="2" t="s">
        <v>870</v>
      </c>
      <c r="K72" s="8">
        <f>(F72*I72)</f>
        <v>684</v>
      </c>
      <c r="O72" s="86" t="s">
        <v>620</v>
      </c>
      <c r="R72" s="91" t="e">
        <f>SUM(R65:R70)</f>
        <v>#REF!</v>
      </c>
      <c r="AG72" s="86" t="s">
        <v>2284</v>
      </c>
    </row>
    <row r="73" spans="1:33" hidden="1">
      <c r="A73" s="106">
        <f t="shared" si="5"/>
        <v>61</v>
      </c>
      <c r="B73" s="86" t="s">
        <v>661</v>
      </c>
      <c r="C73" s="8" t="e">
        <f t="shared" si="6"/>
        <v>#REF!</v>
      </c>
      <c r="D73" s="1" t="s">
        <v>878</v>
      </c>
      <c r="E73"/>
      <c r="F73" s="91">
        <v>1</v>
      </c>
      <c r="G73" s="90" t="s">
        <v>878</v>
      </c>
      <c r="H73" s="86" t="s">
        <v>879</v>
      </c>
      <c r="I73" s="8" t="e">
        <f>(C78)</f>
        <v>#REF!</v>
      </c>
      <c r="J73" s="2" t="s">
        <v>878</v>
      </c>
      <c r="K73" s="8" t="e">
        <f>(F73*I73)</f>
        <v>#REF!</v>
      </c>
      <c r="R73" s="89" t="s">
        <v>1609</v>
      </c>
      <c r="AG73" s="86" t="s">
        <v>2284</v>
      </c>
    </row>
    <row r="74" spans="1:33" hidden="1">
      <c r="A74" s="106">
        <f t="shared" si="5"/>
        <v>62</v>
      </c>
      <c r="B74" s="86" t="s">
        <v>966</v>
      </c>
      <c r="C74" s="8" t="e">
        <f t="shared" si="6"/>
        <v>#REF!</v>
      </c>
      <c r="D74" s="1" t="s">
        <v>878</v>
      </c>
      <c r="E74"/>
      <c r="F74" s="91">
        <v>1</v>
      </c>
      <c r="G74" s="90" t="s">
        <v>878</v>
      </c>
      <c r="H74" s="86" t="s">
        <v>883</v>
      </c>
      <c r="I74" s="8">
        <f>(C18)</f>
        <v>26</v>
      </c>
      <c r="J74" s="2" t="s">
        <v>878</v>
      </c>
      <c r="K74" s="8">
        <f>(F74*I74)</f>
        <v>26</v>
      </c>
      <c r="O74" s="86" t="s">
        <v>782</v>
      </c>
      <c r="R74" s="91" t="e">
        <f>(R72/10)</f>
        <v>#REF!</v>
      </c>
      <c r="AG74" s="86" t="s">
        <v>2284</v>
      </c>
    </row>
    <row r="75" spans="1:33" hidden="1">
      <c r="A75" s="106">
        <f t="shared" si="5"/>
        <v>63</v>
      </c>
      <c r="B75" s="86" t="s">
        <v>967</v>
      </c>
      <c r="C75" s="8">
        <v>20</v>
      </c>
      <c r="D75" s="1" t="s">
        <v>2276</v>
      </c>
      <c r="E75"/>
      <c r="G75" s="90" t="s">
        <v>450</v>
      </c>
      <c r="H75" s="86" t="s">
        <v>451</v>
      </c>
      <c r="I75" s="1" t="s">
        <v>987</v>
      </c>
      <c r="J75" s="2" t="s">
        <v>450</v>
      </c>
      <c r="K75" s="8">
        <v>0</v>
      </c>
      <c r="R75" s="89" t="s">
        <v>2080</v>
      </c>
      <c r="AG75" s="86" t="s">
        <v>2284</v>
      </c>
    </row>
    <row r="76" spans="1:33" hidden="1">
      <c r="A76" s="106">
        <f t="shared" si="5"/>
        <v>64</v>
      </c>
      <c r="B76" s="86" t="s">
        <v>968</v>
      </c>
      <c r="C76" s="8">
        <v>514.62</v>
      </c>
      <c r="D76" s="8">
        <v>240</v>
      </c>
      <c r="E76"/>
      <c r="I76"/>
      <c r="J76" s="4"/>
      <c r="K76" s="5" t="s">
        <v>1609</v>
      </c>
      <c r="N76" s="86" t="s">
        <v>2276</v>
      </c>
      <c r="O76" s="86" t="s">
        <v>969</v>
      </c>
      <c r="AG76" s="86" t="s">
        <v>2284</v>
      </c>
    </row>
    <row r="77" spans="1:33" hidden="1">
      <c r="A77" s="106">
        <f t="shared" si="5"/>
        <v>65</v>
      </c>
      <c r="B77" s="86" t="s">
        <v>2338</v>
      </c>
      <c r="C77" s="8" t="e">
        <f>AC34</f>
        <v>#REF!</v>
      </c>
      <c r="D77" s="1" t="s">
        <v>878</v>
      </c>
      <c r="E77"/>
      <c r="H77" s="86" t="s">
        <v>1538</v>
      </c>
      <c r="I77"/>
      <c r="J77" s="4"/>
      <c r="K77" s="8" t="e">
        <f>SUM(K72:K75)</f>
        <v>#REF!</v>
      </c>
      <c r="O77" s="86" t="s">
        <v>1130</v>
      </c>
      <c r="AG77" s="86" t="s">
        <v>2284</v>
      </c>
    </row>
    <row r="78" spans="1:33" hidden="1">
      <c r="A78" s="106">
        <f t="shared" si="5"/>
        <v>66</v>
      </c>
      <c r="B78" s="86" t="s">
        <v>1443</v>
      </c>
      <c r="C78" s="8" t="e">
        <f t="shared" ref="C78:C91" si="7">AC16</f>
        <v>#REF!</v>
      </c>
      <c r="D78" s="1" t="s">
        <v>878</v>
      </c>
      <c r="E78"/>
      <c r="I78"/>
      <c r="J78" s="4"/>
      <c r="K78" s="5" t="s">
        <v>1609</v>
      </c>
      <c r="O78" s="89" t="s">
        <v>1609</v>
      </c>
      <c r="AG78" s="86" t="s">
        <v>2284</v>
      </c>
    </row>
    <row r="79" spans="1:33" hidden="1">
      <c r="A79" s="106">
        <f t="shared" si="5"/>
        <v>67</v>
      </c>
      <c r="B79" s="86" t="s">
        <v>1050</v>
      </c>
      <c r="C79" s="8" t="e">
        <f t="shared" si="7"/>
        <v>#REF!</v>
      </c>
      <c r="D79" s="1" t="s">
        <v>878</v>
      </c>
      <c r="E79"/>
      <c r="F79" s="112">
        <v>1.1000000000000001</v>
      </c>
      <c r="G79" s="90" t="s">
        <v>987</v>
      </c>
      <c r="H79" s="86" t="s">
        <v>1444</v>
      </c>
      <c r="I79"/>
      <c r="J79" s="4"/>
      <c r="K79"/>
      <c r="M79" s="91">
        <v>4600</v>
      </c>
      <c r="N79" s="86" t="s">
        <v>1445</v>
      </c>
      <c r="O79" s="86" t="s">
        <v>1130</v>
      </c>
      <c r="P79" s="91" t="e">
        <f>(C91)</f>
        <v>#REF!</v>
      </c>
      <c r="Q79" s="86" t="s">
        <v>1617</v>
      </c>
      <c r="R79" s="91" t="e">
        <f>(M79*P79)/1000</f>
        <v>#REF!</v>
      </c>
      <c r="AG79" s="86" t="s">
        <v>2284</v>
      </c>
    </row>
    <row r="80" spans="1:33" hidden="1">
      <c r="A80" s="106">
        <f t="shared" si="5"/>
        <v>68</v>
      </c>
      <c r="B80" s="86" t="s">
        <v>1502</v>
      </c>
      <c r="C80" s="8" t="e">
        <f t="shared" si="7"/>
        <v>#REF!</v>
      </c>
      <c r="D80" s="1" t="s">
        <v>1503</v>
      </c>
      <c r="E80"/>
      <c r="F80" s="113" t="s">
        <v>987</v>
      </c>
      <c r="H80" s="86" t="s">
        <v>1504</v>
      </c>
      <c r="I80"/>
      <c r="J80" s="4"/>
      <c r="K80"/>
      <c r="M80" s="91">
        <v>2.5</v>
      </c>
      <c r="N80" s="86" t="s">
        <v>878</v>
      </c>
      <c r="O80" s="86" t="s">
        <v>1650</v>
      </c>
      <c r="P80" s="91" t="e">
        <f>(K49)</f>
        <v>#REF!</v>
      </c>
      <c r="Q80" s="86" t="s">
        <v>878</v>
      </c>
      <c r="R80" s="91" t="e">
        <f>(M80*P80)</f>
        <v>#REF!</v>
      </c>
      <c r="AG80" s="86" t="s">
        <v>2284</v>
      </c>
    </row>
    <row r="81" spans="1:33" hidden="1">
      <c r="A81" s="106">
        <f t="shared" si="5"/>
        <v>69</v>
      </c>
      <c r="B81" s="86" t="s">
        <v>67</v>
      </c>
      <c r="C81" s="8" t="e">
        <f t="shared" si="7"/>
        <v>#REF!</v>
      </c>
      <c r="D81" s="1" t="s">
        <v>878</v>
      </c>
      <c r="E81"/>
      <c r="F81" s="91">
        <v>10</v>
      </c>
      <c r="G81" s="90" t="s">
        <v>878</v>
      </c>
      <c r="H81" s="86" t="s">
        <v>1195</v>
      </c>
      <c r="I81" s="8">
        <f>(C61)</f>
        <v>25</v>
      </c>
      <c r="J81" s="2" t="s">
        <v>878</v>
      </c>
      <c r="K81" s="8">
        <f>(F81*I81)</f>
        <v>250</v>
      </c>
      <c r="M81" s="91">
        <v>3.5</v>
      </c>
      <c r="N81" s="86" t="s">
        <v>877</v>
      </c>
      <c r="O81" s="86" t="s">
        <v>2034</v>
      </c>
      <c r="P81" s="91">
        <f>(C10)</f>
        <v>150</v>
      </c>
      <c r="Q81" s="86" t="s">
        <v>877</v>
      </c>
      <c r="R81" s="91">
        <f>(M81*P81)</f>
        <v>525</v>
      </c>
      <c r="AG81" s="86" t="s">
        <v>2284</v>
      </c>
    </row>
    <row r="82" spans="1:33" hidden="1">
      <c r="A82" s="106">
        <f t="shared" si="5"/>
        <v>70</v>
      </c>
      <c r="B82" s="86" t="s">
        <v>2035</v>
      </c>
      <c r="C82" s="8" t="e">
        <f t="shared" si="7"/>
        <v>#REF!</v>
      </c>
      <c r="D82" s="1" t="s">
        <v>878</v>
      </c>
      <c r="E82"/>
      <c r="F82" s="91">
        <v>10</v>
      </c>
      <c r="G82" s="90" t="s">
        <v>878</v>
      </c>
      <c r="H82" s="86" t="s">
        <v>2036</v>
      </c>
      <c r="I82" s="8">
        <f>(C61)</f>
        <v>25</v>
      </c>
      <c r="J82" s="2" t="s">
        <v>878</v>
      </c>
      <c r="K82" s="8">
        <f>(F82*I82)</f>
        <v>250</v>
      </c>
      <c r="M82" s="91">
        <v>10.6</v>
      </c>
      <c r="N82" s="86" t="s">
        <v>877</v>
      </c>
      <c r="O82" s="86" t="s">
        <v>1737</v>
      </c>
      <c r="P82" s="91">
        <f>(C11)</f>
        <v>135</v>
      </c>
      <c r="Q82" s="86" t="s">
        <v>877</v>
      </c>
      <c r="R82" s="91">
        <f>(M82*P82)</f>
        <v>1431</v>
      </c>
      <c r="AG82" s="86" t="s">
        <v>2284</v>
      </c>
    </row>
    <row r="83" spans="1:33" hidden="1">
      <c r="A83" s="106">
        <f t="shared" si="5"/>
        <v>71</v>
      </c>
      <c r="B83" s="86" t="s">
        <v>2037</v>
      </c>
      <c r="C83" s="8">
        <f t="shared" si="7"/>
        <v>4500</v>
      </c>
      <c r="D83" s="1" t="s">
        <v>1503</v>
      </c>
      <c r="E83">
        <v>3550</v>
      </c>
      <c r="F83" s="91">
        <v>10</v>
      </c>
      <c r="G83" s="90" t="s">
        <v>878</v>
      </c>
      <c r="H83" s="86" t="s">
        <v>2038</v>
      </c>
      <c r="I83" s="8">
        <f>(C26)/3</f>
        <v>2.93</v>
      </c>
      <c r="J83" s="2" t="s">
        <v>878</v>
      </c>
      <c r="K83" s="8">
        <f>(F83*I83)</f>
        <v>29.3</v>
      </c>
      <c r="M83" s="91">
        <v>7.1</v>
      </c>
      <c r="N83" s="86" t="s">
        <v>877</v>
      </c>
      <c r="O83" s="86" t="s">
        <v>1927</v>
      </c>
      <c r="P83" s="91">
        <f>(C12)</f>
        <v>95</v>
      </c>
      <c r="Q83" s="86" t="s">
        <v>877</v>
      </c>
      <c r="R83" s="91">
        <f>(M83*P83)</f>
        <v>674.5</v>
      </c>
      <c r="AG83" s="86" t="s">
        <v>2284</v>
      </c>
    </row>
    <row r="84" spans="1:33" hidden="1">
      <c r="A84" s="106">
        <f t="shared" si="5"/>
        <v>72</v>
      </c>
      <c r="B84" s="86" t="s">
        <v>2039</v>
      </c>
      <c r="C84" s="8">
        <f t="shared" si="7"/>
        <v>773</v>
      </c>
      <c r="D84" s="1" t="s">
        <v>878</v>
      </c>
      <c r="E84"/>
      <c r="G84" s="90" t="s">
        <v>450</v>
      </c>
      <c r="H84" s="86" t="s">
        <v>451</v>
      </c>
      <c r="I84"/>
      <c r="J84" s="2" t="s">
        <v>450</v>
      </c>
      <c r="K84" s="8">
        <v>0</v>
      </c>
      <c r="M84" s="91">
        <v>21.2</v>
      </c>
      <c r="N84" s="86" t="s">
        <v>877</v>
      </c>
      <c r="O84" s="86" t="s">
        <v>321</v>
      </c>
      <c r="P84" s="91">
        <f>(C13)</f>
        <v>85</v>
      </c>
      <c r="Q84" s="86" t="s">
        <v>877</v>
      </c>
      <c r="R84" s="91">
        <f>(M84*P84)</f>
        <v>1802</v>
      </c>
      <c r="AG84" s="86" t="s">
        <v>2284</v>
      </c>
    </row>
    <row r="85" spans="1:33" hidden="1">
      <c r="A85" s="106">
        <f t="shared" si="5"/>
        <v>73</v>
      </c>
      <c r="B85" s="86" t="s">
        <v>2029</v>
      </c>
      <c r="C85" s="8" t="e">
        <f t="shared" si="7"/>
        <v>#REF!</v>
      </c>
      <c r="D85" s="1" t="s">
        <v>878</v>
      </c>
      <c r="E85"/>
      <c r="I85"/>
      <c r="J85" s="4"/>
      <c r="K85" s="5" t="s">
        <v>1609</v>
      </c>
      <c r="N85" s="86" t="s">
        <v>450</v>
      </c>
      <c r="O85" s="86" t="s">
        <v>451</v>
      </c>
      <c r="Q85" s="86" t="s">
        <v>450</v>
      </c>
      <c r="R85" s="91">
        <v>0</v>
      </c>
      <c r="AG85" s="86" t="s">
        <v>2284</v>
      </c>
    </row>
    <row r="86" spans="1:33" hidden="1">
      <c r="A86" s="106">
        <f t="shared" si="5"/>
        <v>74</v>
      </c>
      <c r="B86" s="86" t="s">
        <v>2040</v>
      </c>
      <c r="C86" s="8">
        <f t="shared" si="7"/>
        <v>20605</v>
      </c>
      <c r="D86" s="1" t="s">
        <v>878</v>
      </c>
      <c r="E86"/>
      <c r="H86" s="86" t="s">
        <v>620</v>
      </c>
      <c r="I86"/>
      <c r="J86" s="4"/>
      <c r="K86" s="8">
        <f>SUM(K81:K84)</f>
        <v>529.29999999999995</v>
      </c>
      <c r="R86" s="89" t="s">
        <v>1609</v>
      </c>
      <c r="AG86" s="86" t="s">
        <v>2284</v>
      </c>
    </row>
    <row r="87" spans="1:33" hidden="1">
      <c r="A87" s="106">
        <f t="shared" si="5"/>
        <v>75</v>
      </c>
      <c r="B87" s="86" t="s">
        <v>2041</v>
      </c>
      <c r="C87" s="8">
        <f t="shared" si="7"/>
        <v>23685</v>
      </c>
      <c r="D87" s="1" t="s">
        <v>878</v>
      </c>
      <c r="E87"/>
      <c r="I87"/>
      <c r="J87" s="4"/>
      <c r="K87" s="5" t="s">
        <v>1609</v>
      </c>
      <c r="O87" s="86" t="s">
        <v>620</v>
      </c>
      <c r="R87" s="91" t="e">
        <f>SUM(R79:R85)</f>
        <v>#REF!</v>
      </c>
      <c r="AG87" s="86" t="s">
        <v>2284</v>
      </c>
    </row>
    <row r="88" spans="1:33" hidden="1">
      <c r="A88" s="106">
        <f t="shared" si="5"/>
        <v>76</v>
      </c>
      <c r="B88" s="86" t="s">
        <v>2042</v>
      </c>
      <c r="C88" s="8">
        <f t="shared" si="7"/>
        <v>65420</v>
      </c>
      <c r="D88" s="1" t="s">
        <v>878</v>
      </c>
      <c r="E88"/>
      <c r="H88" s="114" t="s">
        <v>2074</v>
      </c>
      <c r="I88" s="25" t="s">
        <v>1419</v>
      </c>
      <c r="J88" s="27"/>
      <c r="K88" s="26">
        <f>(K86/10)</f>
        <v>52.93</v>
      </c>
      <c r="R88" s="89" t="s">
        <v>1609</v>
      </c>
      <c r="AG88" s="86" t="s">
        <v>2284</v>
      </c>
    </row>
    <row r="89" spans="1:33" hidden="1">
      <c r="A89" s="106">
        <f t="shared" si="5"/>
        <v>77</v>
      </c>
      <c r="B89" s="86" t="s">
        <v>296</v>
      </c>
      <c r="C89" s="8">
        <f t="shared" si="7"/>
        <v>57165</v>
      </c>
      <c r="D89" s="1" t="s">
        <v>878</v>
      </c>
      <c r="E89"/>
      <c r="I89" s="25" t="s">
        <v>1382</v>
      </c>
      <c r="J89" s="27"/>
      <c r="K89" s="29">
        <f>ROUND(K88+C36,2)</f>
        <v>55.53</v>
      </c>
      <c r="O89" s="86" t="s">
        <v>782</v>
      </c>
      <c r="R89" s="91" t="e">
        <f>(R87/10)</f>
        <v>#REF!</v>
      </c>
      <c r="AG89" s="86" t="s">
        <v>2284</v>
      </c>
    </row>
    <row r="90" spans="1:33" ht="31.5" hidden="1">
      <c r="A90" s="106">
        <f t="shared" si="5"/>
        <v>78</v>
      </c>
      <c r="B90" s="86" t="s">
        <v>2339</v>
      </c>
      <c r="C90" s="8">
        <f t="shared" si="7"/>
        <v>63870</v>
      </c>
      <c r="D90" s="1" t="s">
        <v>878</v>
      </c>
      <c r="E90"/>
      <c r="F90" s="108" t="s">
        <v>1548</v>
      </c>
      <c r="H90" s="115" t="s">
        <v>1966</v>
      </c>
      <c r="I90" s="25" t="s">
        <v>1419</v>
      </c>
      <c r="J90" s="27"/>
      <c r="K90" s="26">
        <f>K88-K83/10</f>
        <v>50</v>
      </c>
      <c r="R90" s="89" t="s">
        <v>2080</v>
      </c>
      <c r="AG90" s="86" t="s">
        <v>2284</v>
      </c>
    </row>
    <row r="91" spans="1:33" hidden="1">
      <c r="A91" s="106">
        <f t="shared" si="5"/>
        <v>79</v>
      </c>
      <c r="B91" s="86" t="s">
        <v>2340</v>
      </c>
      <c r="C91" s="8" t="e">
        <f t="shared" si="7"/>
        <v>#REF!</v>
      </c>
      <c r="D91" s="1" t="s">
        <v>1503</v>
      </c>
      <c r="E91"/>
      <c r="I91" s="25" t="s">
        <v>1382</v>
      </c>
      <c r="J91" s="27"/>
      <c r="K91" s="29">
        <f>ROUND(K90+C36,2)</f>
        <v>52.6</v>
      </c>
      <c r="AG91" s="86" t="s">
        <v>2284</v>
      </c>
    </row>
    <row r="92" spans="1:33" hidden="1">
      <c r="C92"/>
      <c r="D92"/>
      <c r="E92"/>
      <c r="F92" s="108" t="s">
        <v>2122</v>
      </c>
      <c r="G92" s="90" t="s">
        <v>987</v>
      </c>
      <c r="H92" s="86" t="s">
        <v>511</v>
      </c>
      <c r="I92"/>
      <c r="J92" s="4"/>
      <c r="K92"/>
    </row>
    <row r="93" spans="1:33" hidden="1">
      <c r="C93"/>
      <c r="D93"/>
      <c r="E93"/>
      <c r="F93" s="113" t="s">
        <v>987</v>
      </c>
      <c r="H93" s="89" t="s">
        <v>1609</v>
      </c>
      <c r="I93"/>
      <c r="J93" s="4"/>
      <c r="K93"/>
    </row>
    <row r="94" spans="1:33" hidden="1">
      <c r="C94"/>
      <c r="D94"/>
      <c r="E94"/>
      <c r="F94" s="91">
        <v>10</v>
      </c>
      <c r="G94" s="90" t="s">
        <v>878</v>
      </c>
      <c r="H94" s="86" t="s">
        <v>381</v>
      </c>
      <c r="I94" s="8">
        <f>D61</f>
        <v>37.299999999999997</v>
      </c>
      <c r="J94" s="2" t="s">
        <v>878</v>
      </c>
      <c r="K94" s="8">
        <f>(F94*I94)</f>
        <v>373</v>
      </c>
    </row>
    <row r="95" spans="1:33" hidden="1">
      <c r="C95"/>
      <c r="D95"/>
      <c r="E95"/>
      <c r="F95" s="91">
        <v>10</v>
      </c>
      <c r="G95" s="90" t="s">
        <v>878</v>
      </c>
      <c r="H95" s="86" t="s">
        <v>2036</v>
      </c>
      <c r="I95" s="8">
        <f>D61</f>
        <v>37.299999999999997</v>
      </c>
      <c r="J95" s="2" t="s">
        <v>878</v>
      </c>
      <c r="K95" s="8">
        <f>(F95*I95)</f>
        <v>373</v>
      </c>
    </row>
    <row r="96" spans="1:33" hidden="1">
      <c r="C96"/>
      <c r="D96"/>
      <c r="E96"/>
      <c r="F96" s="91">
        <v>10</v>
      </c>
      <c r="G96" s="90" t="s">
        <v>878</v>
      </c>
      <c r="H96" s="86" t="s">
        <v>2038</v>
      </c>
      <c r="I96" s="8">
        <f>I83</f>
        <v>2.93</v>
      </c>
      <c r="J96" s="2" t="s">
        <v>878</v>
      </c>
      <c r="K96" s="8">
        <f>(F96*I96)</f>
        <v>29.3</v>
      </c>
    </row>
    <row r="97" spans="3:11" hidden="1">
      <c r="C97"/>
      <c r="D97"/>
      <c r="E97"/>
      <c r="G97" s="90" t="s">
        <v>450</v>
      </c>
      <c r="H97" s="86" t="s">
        <v>451</v>
      </c>
      <c r="I97"/>
      <c r="J97" s="2" t="s">
        <v>450</v>
      </c>
      <c r="K97" s="8">
        <v>0</v>
      </c>
    </row>
    <row r="98" spans="3:11" hidden="1">
      <c r="C98"/>
      <c r="D98"/>
      <c r="E98"/>
      <c r="I98"/>
      <c r="J98" s="4"/>
      <c r="K98" s="5" t="s">
        <v>1609</v>
      </c>
    </row>
    <row r="99" spans="3:11" hidden="1">
      <c r="C99"/>
      <c r="D99"/>
      <c r="E99"/>
      <c r="H99" s="86" t="s">
        <v>620</v>
      </c>
      <c r="I99"/>
      <c r="J99" s="4"/>
      <c r="K99" s="8">
        <f>SUM(K94:K97)</f>
        <v>775.3</v>
      </c>
    </row>
    <row r="100" spans="3:11" hidden="1">
      <c r="C100"/>
      <c r="D100"/>
      <c r="E100"/>
      <c r="I100"/>
      <c r="J100" s="4"/>
      <c r="K100" s="5" t="s">
        <v>1609</v>
      </c>
    </row>
    <row r="101" spans="3:11" hidden="1">
      <c r="C101"/>
      <c r="D101"/>
      <c r="E101"/>
      <c r="H101" s="114" t="s">
        <v>2074</v>
      </c>
      <c r="I101" s="25" t="s">
        <v>1419</v>
      </c>
      <c r="J101" s="27"/>
      <c r="K101" s="26">
        <f>(K99/10)</f>
        <v>77.53</v>
      </c>
    </row>
    <row r="102" spans="3:11" hidden="1">
      <c r="C102"/>
      <c r="D102"/>
      <c r="E102"/>
      <c r="I102" s="25" t="s">
        <v>1382</v>
      </c>
      <c r="J102" s="27"/>
      <c r="K102" s="29">
        <f>ROUND(K101+C36,2)</f>
        <v>80.13</v>
      </c>
    </row>
    <row r="103" spans="3:11" hidden="1">
      <c r="C103"/>
      <c r="D103"/>
      <c r="E103"/>
      <c r="I103" s="25"/>
      <c r="J103" s="27"/>
      <c r="K103" s="28"/>
    </row>
    <row r="104" spans="3:11" hidden="1">
      <c r="C104"/>
      <c r="D104"/>
      <c r="E104"/>
      <c r="F104" s="112">
        <v>1.7</v>
      </c>
      <c r="H104" s="115" t="s">
        <v>662</v>
      </c>
      <c r="I104" s="25" t="s">
        <v>1419</v>
      </c>
      <c r="J104" s="27"/>
      <c r="K104" s="29">
        <f>ROUND(K101-K96/10,2)</f>
        <v>74.599999999999994</v>
      </c>
    </row>
    <row r="105" spans="3:11" hidden="1">
      <c r="C105"/>
      <c r="D105"/>
      <c r="E105"/>
      <c r="I105" s="25" t="s">
        <v>1382</v>
      </c>
      <c r="J105" s="27"/>
      <c r="K105" s="29">
        <f>ROUND(K104+C36,2)</f>
        <v>77.2</v>
      </c>
    </row>
    <row r="106" spans="3:11" hidden="1">
      <c r="C106"/>
      <c r="D106"/>
      <c r="E106"/>
      <c r="I106"/>
      <c r="J106" s="4"/>
      <c r="K106" s="5"/>
    </row>
    <row r="107" spans="3:11" hidden="1">
      <c r="C107"/>
      <c r="D107"/>
      <c r="E107"/>
      <c r="I107"/>
      <c r="J107" s="4"/>
      <c r="K107" s="5"/>
    </row>
    <row r="108" spans="3:11" ht="31.5" hidden="1">
      <c r="C108"/>
      <c r="D108"/>
      <c r="E108"/>
      <c r="F108" s="112">
        <v>1.5</v>
      </c>
      <c r="G108" s="90" t="s">
        <v>987</v>
      </c>
      <c r="H108" s="116" t="s">
        <v>438</v>
      </c>
      <c r="I108"/>
      <c r="J108" s="4"/>
      <c r="K108"/>
    </row>
    <row r="109" spans="3:11" hidden="1">
      <c r="C109"/>
      <c r="D109"/>
      <c r="E109"/>
      <c r="I109"/>
      <c r="J109" s="4"/>
      <c r="K109"/>
    </row>
    <row r="110" spans="3:11" hidden="1">
      <c r="C110"/>
      <c r="D110"/>
      <c r="E110"/>
      <c r="F110" s="91">
        <v>10</v>
      </c>
      <c r="G110" s="90" t="s">
        <v>878</v>
      </c>
      <c r="H110" s="86" t="s">
        <v>1195</v>
      </c>
      <c r="I110" s="8">
        <f>C61</f>
        <v>25</v>
      </c>
      <c r="J110" s="2" t="s">
        <v>878</v>
      </c>
      <c r="K110" s="8">
        <f>(F110*I110)</f>
        <v>250</v>
      </c>
    </row>
    <row r="111" spans="3:11" hidden="1">
      <c r="C111"/>
      <c r="D111"/>
      <c r="E111"/>
      <c r="F111" s="91">
        <v>10</v>
      </c>
      <c r="G111" s="90" t="s">
        <v>878</v>
      </c>
      <c r="H111" s="86" t="s">
        <v>2038</v>
      </c>
      <c r="I111" s="8">
        <f>I83</f>
        <v>2.93</v>
      </c>
      <c r="J111" s="2" t="s">
        <v>878</v>
      </c>
      <c r="K111" s="8">
        <f>(F111*I111)</f>
        <v>29.3</v>
      </c>
    </row>
    <row r="112" spans="3:11" hidden="1">
      <c r="C112"/>
      <c r="D112"/>
      <c r="E112"/>
      <c r="G112" s="90" t="s">
        <v>450</v>
      </c>
      <c r="H112" s="86" t="s">
        <v>451</v>
      </c>
      <c r="I112"/>
      <c r="J112" s="2" t="s">
        <v>450</v>
      </c>
      <c r="K112" s="8">
        <v>0</v>
      </c>
    </row>
    <row r="113" spans="3:11" hidden="1">
      <c r="C113"/>
      <c r="D113"/>
      <c r="E113"/>
      <c r="I113"/>
      <c r="J113" s="4"/>
      <c r="K113" s="5" t="s">
        <v>1609</v>
      </c>
    </row>
    <row r="114" spans="3:11" hidden="1">
      <c r="C114"/>
      <c r="D114"/>
      <c r="E114"/>
      <c r="H114" s="86" t="s">
        <v>620</v>
      </c>
      <c r="I114"/>
      <c r="J114" s="4"/>
      <c r="K114" s="8">
        <f>SUM(K110:K112)</f>
        <v>279.3</v>
      </c>
    </row>
    <row r="115" spans="3:11" hidden="1">
      <c r="C115"/>
      <c r="D115"/>
      <c r="E115"/>
      <c r="I115"/>
      <c r="J115" s="4"/>
      <c r="K115" s="5" t="s">
        <v>1609</v>
      </c>
    </row>
    <row r="116" spans="3:11" hidden="1">
      <c r="C116"/>
      <c r="D116"/>
      <c r="E116"/>
      <c r="H116" s="86"/>
      <c r="I116"/>
      <c r="J116" s="4"/>
      <c r="K116" s="8">
        <f>(K114/10)</f>
        <v>27.93</v>
      </c>
    </row>
    <row r="117" spans="3:11" hidden="1">
      <c r="C117"/>
      <c r="D117"/>
      <c r="E117"/>
      <c r="I117"/>
      <c r="J117" s="4"/>
      <c r="K117" s="5" t="s">
        <v>2080</v>
      </c>
    </row>
    <row r="118" spans="3:11" hidden="1">
      <c r="C118"/>
      <c r="D118"/>
      <c r="E118"/>
      <c r="F118" s="108"/>
      <c r="H118" s="86" t="s">
        <v>2060</v>
      </c>
      <c r="I118" s="25" t="s">
        <v>1419</v>
      </c>
      <c r="J118" s="4"/>
      <c r="K118" s="26">
        <f>K116-K111/10</f>
        <v>25</v>
      </c>
    </row>
    <row r="119" spans="3:11" hidden="1">
      <c r="C119"/>
      <c r="D119"/>
      <c r="E119"/>
      <c r="I119" s="25" t="s">
        <v>1382</v>
      </c>
      <c r="J119" s="4"/>
      <c r="K119" s="29">
        <f>ROUND(K118+C36,2)</f>
        <v>27.6</v>
      </c>
    </row>
    <row r="120" spans="3:11" hidden="1">
      <c r="C120"/>
      <c r="D120"/>
      <c r="E120"/>
      <c r="I120"/>
      <c r="J120" s="4"/>
      <c r="K120" s="5"/>
    </row>
    <row r="121" spans="3:11" ht="31.5" hidden="1">
      <c r="C121"/>
      <c r="D121"/>
      <c r="E121"/>
      <c r="F121" s="117">
        <v>1.8</v>
      </c>
      <c r="H121" s="116" t="s">
        <v>2094</v>
      </c>
      <c r="I121"/>
      <c r="J121" s="4"/>
      <c r="K121" s="5"/>
    </row>
    <row r="122" spans="3:11" hidden="1">
      <c r="C122"/>
      <c r="D122"/>
      <c r="E122"/>
      <c r="I122"/>
      <c r="J122" s="4"/>
      <c r="K122" s="5"/>
    </row>
    <row r="123" spans="3:11" hidden="1">
      <c r="C123"/>
      <c r="D123"/>
      <c r="E123"/>
      <c r="F123" s="91">
        <v>10</v>
      </c>
      <c r="G123" s="90" t="s">
        <v>878</v>
      </c>
      <c r="H123" s="86" t="s">
        <v>381</v>
      </c>
      <c r="I123">
        <f>D61</f>
        <v>37.299999999999997</v>
      </c>
      <c r="J123" s="2" t="s">
        <v>878</v>
      </c>
      <c r="K123" s="8">
        <f>(F123*I123)</f>
        <v>373</v>
      </c>
    </row>
    <row r="124" spans="3:11" hidden="1">
      <c r="C124"/>
      <c r="D124"/>
      <c r="E124"/>
      <c r="G124" s="85" t="s">
        <v>663</v>
      </c>
      <c r="I124"/>
      <c r="J124" s="4" t="s">
        <v>663</v>
      </c>
      <c r="K124" s="8">
        <v>0</v>
      </c>
    </row>
    <row r="125" spans="3:11" hidden="1">
      <c r="C125"/>
      <c r="D125"/>
      <c r="E125"/>
      <c r="I125"/>
      <c r="J125" s="4"/>
      <c r="K125" s="5" t="s">
        <v>1609</v>
      </c>
    </row>
    <row r="126" spans="3:11" hidden="1">
      <c r="C126"/>
      <c r="D126"/>
      <c r="E126"/>
      <c r="H126" s="86" t="s">
        <v>620</v>
      </c>
      <c r="I126"/>
      <c r="J126" s="4"/>
      <c r="K126" s="8">
        <f>SUM(K123:K124)</f>
        <v>373</v>
      </c>
    </row>
    <row r="127" spans="3:11" hidden="1">
      <c r="C127"/>
      <c r="D127"/>
      <c r="E127"/>
      <c r="I127"/>
      <c r="J127" s="4"/>
      <c r="K127" s="5" t="s">
        <v>1609</v>
      </c>
    </row>
    <row r="128" spans="3:11" ht="31.5" hidden="1">
      <c r="C128"/>
      <c r="D128"/>
      <c r="E128"/>
      <c r="F128" s="118"/>
      <c r="H128" s="119" t="s">
        <v>2172</v>
      </c>
      <c r="I128" s="25" t="s">
        <v>1419</v>
      </c>
      <c r="J128" s="4"/>
      <c r="K128" s="29">
        <f>ROUND(K126/10,2)</f>
        <v>37.299999999999997</v>
      </c>
    </row>
    <row r="129" spans="1:33" hidden="1">
      <c r="C129"/>
      <c r="D129"/>
      <c r="E129"/>
      <c r="I129" s="25" t="s">
        <v>1382</v>
      </c>
      <c r="J129" s="4"/>
      <c r="K129" s="29">
        <f>ROUND(K128+C36,2)</f>
        <v>39.9</v>
      </c>
    </row>
    <row r="130" spans="1:33" hidden="1">
      <c r="C130"/>
      <c r="D130"/>
      <c r="E130"/>
      <c r="I130" s="25"/>
      <c r="J130" s="4"/>
      <c r="K130" s="5"/>
    </row>
    <row r="131" spans="1:33" hidden="1">
      <c r="C131"/>
      <c r="D131"/>
      <c r="E131"/>
      <c r="F131" s="112">
        <v>1.6</v>
      </c>
      <c r="H131" s="86" t="s">
        <v>805</v>
      </c>
      <c r="I131" s="25"/>
      <c r="J131" s="4"/>
      <c r="K131"/>
    </row>
    <row r="132" spans="1:33" hidden="1">
      <c r="C132"/>
      <c r="D132"/>
      <c r="E132"/>
      <c r="H132" s="86" t="s">
        <v>382</v>
      </c>
      <c r="I132" s="25" t="s">
        <v>1419</v>
      </c>
      <c r="J132" s="4"/>
      <c r="K132" s="26">
        <f>C61*1.5</f>
        <v>37.5</v>
      </c>
    </row>
    <row r="133" spans="1:33" hidden="1">
      <c r="C133"/>
      <c r="D133"/>
      <c r="E133"/>
      <c r="F133" s="86" t="s">
        <v>987</v>
      </c>
      <c r="H133" s="86" t="s">
        <v>383</v>
      </c>
      <c r="I133" s="25" t="s">
        <v>1382</v>
      </c>
      <c r="J133" s="4"/>
      <c r="K133" s="29">
        <f>ROUND(K132+C36,2)</f>
        <v>40.1</v>
      </c>
    </row>
    <row r="134" spans="1:33" hidden="1">
      <c r="C134"/>
      <c r="D134"/>
      <c r="E134"/>
      <c r="I134"/>
      <c r="J134" s="4"/>
      <c r="K134" s="5" t="s">
        <v>2080</v>
      </c>
    </row>
    <row r="135" spans="1:33" hidden="1">
      <c r="C135"/>
      <c r="D135"/>
      <c r="E135"/>
      <c r="I135"/>
      <c r="J135" s="4"/>
      <c r="K135"/>
    </row>
    <row r="136" spans="1:33" hidden="1">
      <c r="A136" s="106">
        <f>(A91+1)</f>
        <v>80</v>
      </c>
      <c r="B136" s="86" t="s">
        <v>1570</v>
      </c>
      <c r="C136" s="8">
        <f>AC30</f>
        <v>8240</v>
      </c>
      <c r="D136" s="8">
        <v>13.87</v>
      </c>
      <c r="E136" s="1" t="s">
        <v>987</v>
      </c>
      <c r="F136" s="102" t="s">
        <v>384</v>
      </c>
      <c r="G136" s="90" t="s">
        <v>2276</v>
      </c>
      <c r="H136" s="86" t="s">
        <v>385</v>
      </c>
      <c r="I136"/>
      <c r="J136" s="4"/>
      <c r="K136"/>
      <c r="N136" s="86" t="s">
        <v>2341</v>
      </c>
      <c r="O136" s="86" t="s">
        <v>386</v>
      </c>
      <c r="R136" s="91" t="e">
        <f>(R89+C19)</f>
        <v>#REF!</v>
      </c>
      <c r="AG136" s="86" t="s">
        <v>2284</v>
      </c>
    </row>
    <row r="137" spans="1:33" hidden="1">
      <c r="A137" s="106">
        <f t="shared" ref="A137:A142" si="8">(A136+1)</f>
        <v>81</v>
      </c>
      <c r="B137" s="86" t="s">
        <v>387</v>
      </c>
      <c r="C137" s="8">
        <f>AC33</f>
        <v>26500</v>
      </c>
      <c r="D137" s="1" t="s">
        <v>870</v>
      </c>
      <c r="E137"/>
      <c r="H137" s="86" t="s">
        <v>1041</v>
      </c>
      <c r="I137"/>
      <c r="J137" s="4"/>
      <c r="K137"/>
      <c r="N137" s="86" t="s">
        <v>2342</v>
      </c>
      <c r="O137" s="86" t="s">
        <v>388</v>
      </c>
      <c r="R137" s="91" t="e">
        <f>(R136+C20)</f>
        <v>#REF!</v>
      </c>
      <c r="AG137" s="86" t="s">
        <v>2284</v>
      </c>
    </row>
    <row r="138" spans="1:33" hidden="1">
      <c r="A138" s="106">
        <f t="shared" si="8"/>
        <v>82</v>
      </c>
      <c r="B138" s="86" t="s">
        <v>1827</v>
      </c>
      <c r="C138" s="8">
        <f>AC32</f>
        <v>28000</v>
      </c>
      <c r="D138" s="1" t="s">
        <v>870</v>
      </c>
      <c r="E138"/>
      <c r="H138" s="89" t="s">
        <v>1609</v>
      </c>
      <c r="I138"/>
      <c r="J138" s="4"/>
      <c r="K138"/>
      <c r="N138" s="86" t="s">
        <v>2343</v>
      </c>
      <c r="O138" s="86" t="s">
        <v>2257</v>
      </c>
      <c r="R138" s="91" t="e">
        <f>(R137+C21)</f>
        <v>#REF!</v>
      </c>
      <c r="AG138" s="86" t="s">
        <v>2284</v>
      </c>
    </row>
    <row r="139" spans="1:33" hidden="1">
      <c r="A139" s="106">
        <f t="shared" si="8"/>
        <v>83</v>
      </c>
      <c r="B139" s="86" t="s">
        <v>378</v>
      </c>
      <c r="C139" s="8">
        <f>AC33</f>
        <v>26500</v>
      </c>
      <c r="D139" s="1" t="s">
        <v>870</v>
      </c>
      <c r="E139"/>
      <c r="F139" s="91">
        <v>1</v>
      </c>
      <c r="G139" s="90" t="s">
        <v>878</v>
      </c>
      <c r="H139" s="86" t="s">
        <v>379</v>
      </c>
      <c r="I139" s="8" t="e">
        <f>C79</f>
        <v>#REF!</v>
      </c>
      <c r="J139" s="2" t="s">
        <v>878</v>
      </c>
      <c r="K139" s="8" t="e">
        <f>(F139*I139)</f>
        <v>#REF!</v>
      </c>
      <c r="N139" s="86" t="s">
        <v>2344</v>
      </c>
      <c r="O139" s="86" t="s">
        <v>380</v>
      </c>
      <c r="R139" s="91" t="e">
        <f>(R138+C21)</f>
        <v>#REF!</v>
      </c>
      <c r="AG139" s="86" t="s">
        <v>2284</v>
      </c>
    </row>
    <row r="140" spans="1:33" hidden="1">
      <c r="A140" s="106">
        <f t="shared" si="8"/>
        <v>84</v>
      </c>
      <c r="B140" s="86" t="s">
        <v>1568</v>
      </c>
      <c r="C140" s="8">
        <f>AC38</f>
        <v>169</v>
      </c>
      <c r="D140" s="1" t="s">
        <v>878</v>
      </c>
      <c r="E140"/>
      <c r="F140" s="91">
        <v>1</v>
      </c>
      <c r="G140" s="90" t="s">
        <v>878</v>
      </c>
      <c r="H140" s="86" t="s">
        <v>1374</v>
      </c>
      <c r="I140" s="8">
        <f>C27</f>
        <v>7.8</v>
      </c>
      <c r="J140" s="2" t="s">
        <v>878</v>
      </c>
      <c r="K140" s="8">
        <f>(F140*I140)</f>
        <v>7.8</v>
      </c>
      <c r="O140" s="86" t="s">
        <v>2345</v>
      </c>
      <c r="R140" s="91" t="e">
        <f>(R139+C21)</f>
        <v>#REF!</v>
      </c>
      <c r="AG140" s="86" t="s">
        <v>2284</v>
      </c>
    </row>
    <row r="141" spans="1:33" hidden="1">
      <c r="A141" s="106">
        <f t="shared" si="8"/>
        <v>85</v>
      </c>
      <c r="B141" s="86" t="s">
        <v>193</v>
      </c>
      <c r="C141" s="8">
        <f>I255</f>
        <v>12224.58</v>
      </c>
      <c r="D141" s="1" t="s">
        <v>870</v>
      </c>
      <c r="E141"/>
      <c r="G141" s="90" t="s">
        <v>450</v>
      </c>
      <c r="H141" s="86" t="s">
        <v>451</v>
      </c>
      <c r="I141" s="1" t="s">
        <v>987</v>
      </c>
      <c r="J141" s="2" t="s">
        <v>450</v>
      </c>
      <c r="K141" s="8">
        <v>0</v>
      </c>
      <c r="N141" s="86" t="s">
        <v>2276</v>
      </c>
      <c r="O141" s="86" t="s">
        <v>2346</v>
      </c>
      <c r="AG141" s="86" t="s">
        <v>2284</v>
      </c>
    </row>
    <row r="142" spans="1:33" hidden="1">
      <c r="A142" s="106">
        <f t="shared" si="8"/>
        <v>86</v>
      </c>
      <c r="B142" s="86" t="s">
        <v>194</v>
      </c>
      <c r="C142" s="8">
        <v>30000</v>
      </c>
      <c r="D142" s="1" t="s">
        <v>870</v>
      </c>
      <c r="E142"/>
      <c r="I142"/>
      <c r="J142" s="4"/>
      <c r="K142" s="5" t="s">
        <v>1609</v>
      </c>
      <c r="O142" s="86" t="s">
        <v>1130</v>
      </c>
      <c r="AG142" s="86" t="s">
        <v>2284</v>
      </c>
    </row>
    <row r="143" spans="1:33" hidden="1">
      <c r="B143" s="86" t="s">
        <v>987</v>
      </c>
      <c r="C143"/>
      <c r="D143"/>
      <c r="E143"/>
      <c r="H143" s="86" t="s">
        <v>195</v>
      </c>
      <c r="I143"/>
      <c r="J143" s="4"/>
      <c r="K143" s="8" t="e">
        <f>SUM(K137:K141)</f>
        <v>#REF!</v>
      </c>
      <c r="O143" s="89" t="s">
        <v>1609</v>
      </c>
      <c r="AG143" s="86" t="s">
        <v>2284</v>
      </c>
    </row>
    <row r="144" spans="1:33" hidden="1">
      <c r="A144" s="106">
        <f>(A142+1)</f>
        <v>87</v>
      </c>
      <c r="B144" s="86" t="s">
        <v>196</v>
      </c>
      <c r="C144" s="8">
        <v>7.5</v>
      </c>
      <c r="D144" s="1" t="s">
        <v>450</v>
      </c>
      <c r="E144"/>
      <c r="I144"/>
      <c r="J144" s="4"/>
      <c r="K144" s="5" t="s">
        <v>1609</v>
      </c>
      <c r="M144" s="91">
        <v>4600</v>
      </c>
      <c r="N144" s="86" t="s">
        <v>1445</v>
      </c>
      <c r="O144" s="86" t="s">
        <v>1130</v>
      </c>
      <c r="P144" s="91" t="e">
        <f>(C91)</f>
        <v>#REF!</v>
      </c>
      <c r="Q144" s="86" t="s">
        <v>1617</v>
      </c>
      <c r="R144" s="91" t="e">
        <f>(M144*P144)/1000</f>
        <v>#REF!</v>
      </c>
      <c r="AG144" s="86" t="s">
        <v>2284</v>
      </c>
    </row>
    <row r="145" spans="3:11" hidden="1">
      <c r="C145"/>
      <c r="D145"/>
      <c r="E145"/>
      <c r="F145" s="102" t="s">
        <v>197</v>
      </c>
      <c r="G145" s="90" t="s">
        <v>2276</v>
      </c>
      <c r="H145" s="86" t="s">
        <v>1042</v>
      </c>
      <c r="I145"/>
      <c r="J145" s="4"/>
      <c r="K145"/>
    </row>
    <row r="146" spans="3:11" hidden="1">
      <c r="C146"/>
      <c r="D146"/>
      <c r="E146"/>
      <c r="H146" s="86" t="s">
        <v>1043</v>
      </c>
      <c r="I146"/>
      <c r="J146" s="4"/>
      <c r="K146"/>
    </row>
    <row r="147" spans="3:11" hidden="1">
      <c r="C147"/>
      <c r="D147"/>
      <c r="E147"/>
      <c r="H147" s="86" t="s">
        <v>488</v>
      </c>
      <c r="I147"/>
      <c r="J147" s="4"/>
      <c r="K147"/>
    </row>
    <row r="148" spans="3:11" hidden="1">
      <c r="C148"/>
      <c r="D148"/>
      <c r="E148"/>
      <c r="H148" s="86" t="s">
        <v>525</v>
      </c>
      <c r="I148"/>
      <c r="J148" s="4"/>
      <c r="K148"/>
    </row>
    <row r="149" spans="3:11" hidden="1">
      <c r="C149"/>
      <c r="D149"/>
      <c r="E149"/>
      <c r="H149" s="86" t="s">
        <v>526</v>
      </c>
      <c r="I149"/>
      <c r="J149" s="4"/>
      <c r="K149"/>
    </row>
    <row r="150" spans="3:11" hidden="1">
      <c r="C150"/>
      <c r="D150"/>
      <c r="E150"/>
      <c r="H150" s="89" t="s">
        <v>1609</v>
      </c>
      <c r="I150"/>
      <c r="J150" s="4"/>
      <c r="K150"/>
    </row>
    <row r="151" spans="3:11" hidden="1">
      <c r="C151"/>
      <c r="D151"/>
      <c r="E151"/>
      <c r="F151" s="91">
        <v>0.7</v>
      </c>
      <c r="G151" s="90" t="s">
        <v>878</v>
      </c>
      <c r="H151" s="86" t="s">
        <v>2027</v>
      </c>
      <c r="I151" s="8" t="e">
        <f>C79</f>
        <v>#REF!</v>
      </c>
      <c r="J151" s="2" t="s">
        <v>878</v>
      </c>
      <c r="K151" s="8" t="e">
        <f t="shared" ref="K151:K156" si="9">(F151*I151)</f>
        <v>#REF!</v>
      </c>
    </row>
    <row r="152" spans="3:11" hidden="1">
      <c r="C152"/>
      <c r="D152"/>
      <c r="E152"/>
      <c r="F152" s="91">
        <v>0.7</v>
      </c>
      <c r="G152" s="90" t="s">
        <v>878</v>
      </c>
      <c r="H152" s="86" t="s">
        <v>527</v>
      </c>
      <c r="I152" s="8">
        <f>C783</f>
        <v>3.05</v>
      </c>
      <c r="J152" s="2" t="s">
        <v>878</v>
      </c>
      <c r="K152" s="8">
        <f t="shared" si="9"/>
        <v>2.14</v>
      </c>
    </row>
    <row r="153" spans="3:11" hidden="1">
      <c r="C153"/>
      <c r="D153"/>
      <c r="E153"/>
      <c r="F153" s="91">
        <v>0.72</v>
      </c>
      <c r="G153" s="90" t="s">
        <v>878</v>
      </c>
      <c r="H153" s="86" t="s">
        <v>1666</v>
      </c>
      <c r="I153" s="8">
        <f>C35</f>
        <v>169</v>
      </c>
      <c r="J153" s="2" t="s">
        <v>878</v>
      </c>
      <c r="K153" s="8">
        <f t="shared" si="9"/>
        <v>121.68</v>
      </c>
    </row>
    <row r="154" spans="3:11" hidden="1">
      <c r="C154"/>
      <c r="D154"/>
      <c r="E154"/>
      <c r="F154" s="91">
        <v>0.72</v>
      </c>
      <c r="G154" s="90" t="s">
        <v>878</v>
      </c>
      <c r="H154" s="86" t="s">
        <v>527</v>
      </c>
      <c r="I154" s="8">
        <f>C783</f>
        <v>3.05</v>
      </c>
      <c r="J154" s="2" t="s">
        <v>878</v>
      </c>
      <c r="K154" s="8">
        <f t="shared" si="9"/>
        <v>2.2000000000000002</v>
      </c>
    </row>
    <row r="155" spans="3:11" hidden="1">
      <c r="C155"/>
      <c r="D155"/>
      <c r="E155"/>
      <c r="F155" s="91">
        <v>1</v>
      </c>
      <c r="G155" s="90" t="s">
        <v>878</v>
      </c>
      <c r="H155" s="86" t="s">
        <v>1817</v>
      </c>
      <c r="I155" s="8">
        <f>C18</f>
        <v>26</v>
      </c>
      <c r="J155" s="2" t="s">
        <v>878</v>
      </c>
      <c r="K155" s="8">
        <f t="shared" si="9"/>
        <v>26</v>
      </c>
    </row>
    <row r="156" spans="3:11" hidden="1">
      <c r="C156"/>
      <c r="D156"/>
      <c r="E156"/>
      <c r="F156" s="91">
        <v>1</v>
      </c>
      <c r="G156" s="90" t="s">
        <v>878</v>
      </c>
      <c r="H156" s="86" t="s">
        <v>1667</v>
      </c>
      <c r="I156" s="8">
        <v>6.05</v>
      </c>
      <c r="J156" s="2" t="s">
        <v>878</v>
      </c>
      <c r="K156" s="8">
        <f t="shared" si="9"/>
        <v>6.05</v>
      </c>
    </row>
    <row r="157" spans="3:11" hidden="1">
      <c r="C157"/>
      <c r="D157"/>
      <c r="E157"/>
      <c r="H157" s="86" t="s">
        <v>1668</v>
      </c>
      <c r="I157"/>
      <c r="J157" s="4"/>
      <c r="K157"/>
    </row>
    <row r="158" spans="3:11" hidden="1">
      <c r="C158"/>
      <c r="D158"/>
      <c r="E158"/>
      <c r="G158" s="90" t="s">
        <v>450</v>
      </c>
      <c r="H158" s="86" t="s">
        <v>451</v>
      </c>
      <c r="I158" s="1" t="s">
        <v>987</v>
      </c>
      <c r="J158" s="2" t="s">
        <v>450</v>
      </c>
      <c r="K158" s="8">
        <v>0</v>
      </c>
    </row>
    <row r="159" spans="3:11" hidden="1">
      <c r="C159"/>
      <c r="D159"/>
      <c r="E159"/>
      <c r="I159"/>
      <c r="J159" s="4"/>
      <c r="K159" s="5" t="s">
        <v>1609</v>
      </c>
    </row>
    <row r="160" spans="3:11" hidden="1">
      <c r="C160"/>
      <c r="D160"/>
      <c r="E160"/>
      <c r="H160" s="86" t="s">
        <v>195</v>
      </c>
      <c r="I160"/>
      <c r="J160" s="4"/>
      <c r="K160" s="8" t="e">
        <f>SUM(K151:K158)</f>
        <v>#REF!</v>
      </c>
    </row>
    <row r="161" spans="1:11" hidden="1">
      <c r="C161"/>
      <c r="D161"/>
      <c r="E161"/>
      <c r="I161"/>
      <c r="J161" s="4"/>
      <c r="K161" s="5" t="s">
        <v>1609</v>
      </c>
    </row>
    <row r="162" spans="1:11" hidden="1">
      <c r="C162"/>
      <c r="D162"/>
      <c r="E162"/>
      <c r="H162" s="86" t="s">
        <v>987</v>
      </c>
      <c r="I162"/>
      <c r="J162" s="4"/>
      <c r="K162" s="1" t="s">
        <v>987</v>
      </c>
    </row>
    <row r="163" spans="1:11" hidden="1">
      <c r="C163"/>
      <c r="D163"/>
      <c r="E163"/>
      <c r="I163"/>
      <c r="J163" s="4"/>
      <c r="K163" s="1" t="s">
        <v>987</v>
      </c>
    </row>
    <row r="164" spans="1:11" hidden="1">
      <c r="A164" s="120">
        <v>2.2999999999999998</v>
      </c>
      <c r="B164" s="86" t="s">
        <v>245</v>
      </c>
      <c r="C164" t="e">
        <f>AC19+I167</f>
        <v>#REF!</v>
      </c>
      <c r="D164"/>
      <c r="E164"/>
      <c r="F164" s="112">
        <v>2.6</v>
      </c>
      <c r="G164" s="90" t="s">
        <v>2276</v>
      </c>
      <c r="H164" s="86" t="s">
        <v>1189</v>
      </c>
      <c r="I164"/>
      <c r="J164" s="4"/>
      <c r="K164"/>
    </row>
    <row r="165" spans="1:11" hidden="1">
      <c r="A165" s="120">
        <v>2.4</v>
      </c>
      <c r="B165" s="86" t="s">
        <v>789</v>
      </c>
      <c r="C165" t="e">
        <f>AC20+I167</f>
        <v>#REF!</v>
      </c>
      <c r="D165"/>
      <c r="E165"/>
      <c r="H165" s="89" t="s">
        <v>1609</v>
      </c>
      <c r="I165"/>
      <c r="J165" s="4"/>
      <c r="K165"/>
    </row>
    <row r="166" spans="1:11" hidden="1">
      <c r="C166"/>
      <c r="D166"/>
      <c r="E166"/>
      <c r="F166" s="91">
        <v>1</v>
      </c>
      <c r="G166" s="90" t="s">
        <v>878</v>
      </c>
      <c r="H166" s="86" t="s">
        <v>1108</v>
      </c>
      <c r="I166" s="8" t="e">
        <f>AC15</f>
        <v>#REF!</v>
      </c>
      <c r="J166" s="2" t="s">
        <v>878</v>
      </c>
      <c r="K166" s="8" t="e">
        <f>(F166*I166)</f>
        <v>#REF!</v>
      </c>
    </row>
    <row r="167" spans="1:11" hidden="1">
      <c r="C167"/>
      <c r="D167"/>
      <c r="E167"/>
      <c r="F167" s="91">
        <v>1</v>
      </c>
      <c r="G167" s="90" t="s">
        <v>878</v>
      </c>
      <c r="H167" s="86" t="s">
        <v>1374</v>
      </c>
      <c r="I167" s="8">
        <f>C26</f>
        <v>8.8000000000000007</v>
      </c>
      <c r="J167" s="2" t="s">
        <v>878</v>
      </c>
      <c r="K167" s="8">
        <f>(F167*I167)</f>
        <v>8.8000000000000007</v>
      </c>
    </row>
    <row r="168" spans="1:11" hidden="1">
      <c r="C168"/>
      <c r="D168"/>
      <c r="E168"/>
      <c r="G168" s="90" t="s">
        <v>450</v>
      </c>
      <c r="H168" s="86" t="s">
        <v>451</v>
      </c>
      <c r="I168" s="1" t="s">
        <v>987</v>
      </c>
      <c r="J168" s="2" t="s">
        <v>450</v>
      </c>
      <c r="K168" s="8">
        <v>0</v>
      </c>
    </row>
    <row r="169" spans="1:11" hidden="1">
      <c r="C169"/>
      <c r="D169"/>
      <c r="E169"/>
      <c r="I169"/>
      <c r="J169" s="4"/>
      <c r="K169" s="5" t="s">
        <v>1609</v>
      </c>
    </row>
    <row r="170" spans="1:11" hidden="1">
      <c r="C170"/>
      <c r="D170"/>
      <c r="E170"/>
      <c r="H170" s="86" t="s">
        <v>195</v>
      </c>
      <c r="I170"/>
      <c r="J170" s="4"/>
      <c r="K170" s="8" t="e">
        <f>SUM(K165:K168)</f>
        <v>#REF!</v>
      </c>
    </row>
    <row r="171" spans="1:11" hidden="1">
      <c r="C171"/>
      <c r="D171"/>
      <c r="E171"/>
      <c r="I171"/>
      <c r="J171" s="4"/>
      <c r="K171" s="5" t="s">
        <v>1609</v>
      </c>
    </row>
    <row r="172" spans="1:11" hidden="1">
      <c r="C172"/>
      <c r="D172"/>
      <c r="E172"/>
      <c r="F172" s="112">
        <v>2.7</v>
      </c>
      <c r="G172" s="90" t="s">
        <v>2276</v>
      </c>
      <c r="H172" s="86" t="s">
        <v>2016</v>
      </c>
      <c r="I172"/>
      <c r="J172" s="4"/>
      <c r="K172"/>
    </row>
    <row r="173" spans="1:11" hidden="1">
      <c r="C173"/>
      <c r="D173"/>
      <c r="E173"/>
      <c r="H173" s="89" t="s">
        <v>1609</v>
      </c>
      <c r="I173"/>
      <c r="J173" s="4"/>
      <c r="K173"/>
    </row>
    <row r="174" spans="1:11" hidden="1">
      <c r="C174"/>
      <c r="D174"/>
      <c r="E174"/>
      <c r="F174" s="91">
        <v>1</v>
      </c>
      <c r="G174" s="90" t="s">
        <v>878</v>
      </c>
      <c r="H174" s="86" t="s">
        <v>841</v>
      </c>
      <c r="I174" s="8" t="e">
        <f>AC14</f>
        <v>#REF!</v>
      </c>
      <c r="J174" s="2" t="s">
        <v>878</v>
      </c>
      <c r="K174" s="8" t="e">
        <f>(F174*I174)</f>
        <v>#REF!</v>
      </c>
    </row>
    <row r="175" spans="1:11" hidden="1">
      <c r="C175"/>
      <c r="D175"/>
      <c r="E175"/>
      <c r="F175" s="91">
        <v>1</v>
      </c>
      <c r="G175" s="90" t="s">
        <v>878</v>
      </c>
      <c r="H175" s="86" t="s">
        <v>1374</v>
      </c>
      <c r="I175" s="8">
        <f>C26</f>
        <v>8.8000000000000007</v>
      </c>
      <c r="J175" s="2" t="s">
        <v>878</v>
      </c>
      <c r="K175" s="8">
        <f>(F175*I175)</f>
        <v>8.8000000000000007</v>
      </c>
    </row>
    <row r="176" spans="1:11" hidden="1">
      <c r="C176"/>
      <c r="D176"/>
      <c r="E176"/>
      <c r="G176" s="90" t="s">
        <v>450</v>
      </c>
      <c r="H176" s="86" t="s">
        <v>451</v>
      </c>
      <c r="I176" s="1" t="s">
        <v>987</v>
      </c>
      <c r="J176" s="2" t="s">
        <v>450</v>
      </c>
      <c r="K176" s="8">
        <v>0</v>
      </c>
    </row>
    <row r="177" spans="1:33" hidden="1">
      <c r="C177"/>
      <c r="D177"/>
      <c r="E177"/>
      <c r="I177"/>
      <c r="J177" s="4"/>
      <c r="K177" s="5" t="s">
        <v>1609</v>
      </c>
    </row>
    <row r="178" spans="1:33" hidden="1">
      <c r="C178"/>
      <c r="D178"/>
      <c r="E178"/>
      <c r="H178" s="86" t="s">
        <v>195</v>
      </c>
      <c r="I178"/>
      <c r="J178" s="4"/>
      <c r="K178" s="8" t="e">
        <f>SUM(K173:K176)</f>
        <v>#REF!</v>
      </c>
    </row>
    <row r="179" spans="1:33" hidden="1">
      <c r="A179" s="106">
        <f>(A144+1)</f>
        <v>88</v>
      </c>
      <c r="B179" s="86" t="s">
        <v>1669</v>
      </c>
      <c r="C179" s="8">
        <v>15.25</v>
      </c>
      <c r="D179" s="1" t="s">
        <v>1670</v>
      </c>
      <c r="E179"/>
      <c r="I179"/>
      <c r="J179" s="4"/>
      <c r="K179" s="5" t="s">
        <v>1609</v>
      </c>
      <c r="M179" s="91">
        <v>2.5</v>
      </c>
      <c r="N179" s="86" t="s">
        <v>878</v>
      </c>
      <c r="O179" s="86" t="s">
        <v>1656</v>
      </c>
      <c r="P179" s="91" t="e">
        <f>(K58)</f>
        <v>#REF!</v>
      </c>
      <c r="Q179" s="86" t="s">
        <v>878</v>
      </c>
      <c r="R179" s="91" t="e">
        <f>(M179*P179)</f>
        <v>#REF!</v>
      </c>
      <c r="AG179" s="86" t="s">
        <v>2284</v>
      </c>
    </row>
    <row r="180" spans="1:33" hidden="1">
      <c r="A180" s="106">
        <f>(A179+1)</f>
        <v>89</v>
      </c>
      <c r="B180" s="86" t="s">
        <v>1671</v>
      </c>
      <c r="C180" s="8">
        <v>110</v>
      </c>
      <c r="D180" s="1" t="s">
        <v>1670</v>
      </c>
      <c r="E180"/>
      <c r="H180" s="86" t="s">
        <v>987</v>
      </c>
      <c r="I180"/>
      <c r="J180" s="4"/>
      <c r="K180"/>
      <c r="M180" s="91">
        <v>3.5</v>
      </c>
      <c r="N180" s="86" t="s">
        <v>877</v>
      </c>
      <c r="O180" s="86" t="s">
        <v>2034</v>
      </c>
      <c r="P180" s="91">
        <f>(C10)</f>
        <v>150</v>
      </c>
      <c r="Q180" s="86" t="s">
        <v>877</v>
      </c>
      <c r="R180" s="91">
        <f>(M180*P180)</f>
        <v>525</v>
      </c>
      <c r="AG180" s="86" t="s">
        <v>2284</v>
      </c>
    </row>
    <row r="181" spans="1:33" hidden="1">
      <c r="C181"/>
      <c r="D181"/>
      <c r="E181"/>
      <c r="F181" s="102" t="s">
        <v>1672</v>
      </c>
      <c r="H181" s="86" t="s">
        <v>957</v>
      </c>
      <c r="I181"/>
      <c r="J181" s="4"/>
      <c r="K181"/>
    </row>
    <row r="182" spans="1:33" hidden="1">
      <c r="C182"/>
      <c r="D182"/>
      <c r="E182"/>
      <c r="I182"/>
      <c r="J182" s="4"/>
      <c r="K182"/>
    </row>
    <row r="183" spans="1:33" hidden="1">
      <c r="C183"/>
      <c r="D183"/>
      <c r="E183"/>
      <c r="F183" s="91">
        <v>1</v>
      </c>
      <c r="G183" s="90" t="s">
        <v>878</v>
      </c>
      <c r="H183" s="86" t="s">
        <v>66</v>
      </c>
      <c r="I183" s="8">
        <f>C35</f>
        <v>169</v>
      </c>
      <c r="J183" s="2" t="s">
        <v>878</v>
      </c>
      <c r="K183" s="8">
        <f>(F183*I183)</f>
        <v>169</v>
      </c>
    </row>
    <row r="184" spans="1:33" hidden="1">
      <c r="C184"/>
      <c r="D184"/>
      <c r="E184"/>
      <c r="F184" s="91">
        <v>1</v>
      </c>
      <c r="G184" s="90" t="s">
        <v>878</v>
      </c>
      <c r="H184" s="86" t="s">
        <v>527</v>
      </c>
      <c r="I184" s="8">
        <f>C783</f>
        <v>3.05</v>
      </c>
      <c r="J184" s="2" t="s">
        <v>878</v>
      </c>
      <c r="K184" s="8">
        <f>(F184*I184)</f>
        <v>3.05</v>
      </c>
    </row>
    <row r="185" spans="1:33" hidden="1">
      <c r="C185"/>
      <c r="D185"/>
      <c r="E185"/>
      <c r="F185" s="91">
        <v>1</v>
      </c>
      <c r="G185" s="90" t="s">
        <v>878</v>
      </c>
      <c r="H185" s="86" t="s">
        <v>1667</v>
      </c>
      <c r="I185" s="8">
        <v>6.05</v>
      </c>
      <c r="J185" s="2" t="s">
        <v>878</v>
      </c>
      <c r="K185" s="8">
        <f>(F185*I185)</f>
        <v>6.05</v>
      </c>
    </row>
    <row r="186" spans="1:33" hidden="1">
      <c r="C186"/>
      <c r="D186"/>
      <c r="E186"/>
      <c r="H186" s="86" t="s">
        <v>1668</v>
      </c>
      <c r="I186"/>
      <c r="J186" s="4"/>
      <c r="K186"/>
    </row>
    <row r="187" spans="1:33" hidden="1">
      <c r="C187"/>
      <c r="D187"/>
      <c r="E187"/>
      <c r="I187"/>
      <c r="J187" s="4"/>
      <c r="K187" s="5" t="s">
        <v>1609</v>
      </c>
    </row>
    <row r="188" spans="1:33" hidden="1">
      <c r="C188"/>
      <c r="D188"/>
      <c r="E188"/>
      <c r="H188" s="86" t="s">
        <v>195</v>
      </c>
      <c r="I188"/>
      <c r="J188" s="4"/>
      <c r="K188" s="8">
        <f>SUM(K181:K186)</f>
        <v>178.1</v>
      </c>
    </row>
    <row r="189" spans="1:33" hidden="1">
      <c r="C189"/>
      <c r="D189"/>
      <c r="E189"/>
      <c r="F189" s="86" t="s">
        <v>987</v>
      </c>
      <c r="I189"/>
      <c r="J189" s="4"/>
      <c r="K189" s="5" t="s">
        <v>1609</v>
      </c>
    </row>
    <row r="190" spans="1:33" hidden="1">
      <c r="C190"/>
      <c r="D190"/>
      <c r="E190"/>
      <c r="I190"/>
      <c r="J190" s="4"/>
      <c r="K190" s="1" t="s">
        <v>987</v>
      </c>
    </row>
    <row r="191" spans="1:33" hidden="1">
      <c r="A191" s="106">
        <f>(A180+1)</f>
        <v>90</v>
      </c>
      <c r="B191" s="86" t="s">
        <v>670</v>
      </c>
      <c r="C191" s="8">
        <v>65</v>
      </c>
      <c r="D191" s="1" t="s">
        <v>671</v>
      </c>
      <c r="E191"/>
      <c r="F191" s="102" t="s">
        <v>672</v>
      </c>
      <c r="G191" s="90" t="s">
        <v>2276</v>
      </c>
      <c r="H191" s="86" t="s">
        <v>673</v>
      </c>
      <c r="I191"/>
      <c r="J191" s="4"/>
      <c r="K191"/>
      <c r="M191" s="91">
        <v>10.6</v>
      </c>
      <c r="N191" s="86" t="s">
        <v>877</v>
      </c>
      <c r="O191" s="86" t="s">
        <v>1737</v>
      </c>
      <c r="P191" s="91">
        <f>(C11)</f>
        <v>135</v>
      </c>
      <c r="Q191" s="86" t="s">
        <v>877</v>
      </c>
      <c r="R191" s="91">
        <f>(M191*P191)</f>
        <v>1431</v>
      </c>
      <c r="AG191" s="86" t="s">
        <v>2284</v>
      </c>
    </row>
    <row r="192" spans="1:33" hidden="1">
      <c r="A192" s="106">
        <f t="shared" ref="A192:A207" si="10">(A191+1)</f>
        <v>91</v>
      </c>
      <c r="B192" s="86" t="s">
        <v>674</v>
      </c>
      <c r="C192" s="8">
        <v>25</v>
      </c>
      <c r="D192" s="1" t="s">
        <v>671</v>
      </c>
      <c r="E192"/>
      <c r="H192" s="86" t="s">
        <v>675</v>
      </c>
      <c r="I192"/>
      <c r="J192" s="4"/>
      <c r="K192"/>
      <c r="M192" s="91">
        <v>7.1</v>
      </c>
      <c r="N192" s="86" t="s">
        <v>877</v>
      </c>
      <c r="O192" s="86" t="s">
        <v>1927</v>
      </c>
      <c r="P192" s="91">
        <f>(C12)</f>
        <v>95</v>
      </c>
      <c r="Q192" s="86" t="s">
        <v>877</v>
      </c>
      <c r="R192" s="91">
        <f>(M192*P192)</f>
        <v>674.5</v>
      </c>
      <c r="AG192" s="86" t="s">
        <v>2284</v>
      </c>
    </row>
    <row r="193" spans="1:33" hidden="1">
      <c r="A193" s="106">
        <f t="shared" si="10"/>
        <v>92</v>
      </c>
      <c r="B193" s="86" t="s">
        <v>2347</v>
      </c>
      <c r="C193" s="8">
        <v>210</v>
      </c>
      <c r="D193" s="1" t="s">
        <v>671</v>
      </c>
      <c r="E193"/>
      <c r="H193" s="89" t="s">
        <v>1609</v>
      </c>
      <c r="I193"/>
      <c r="J193" s="4"/>
      <c r="K193"/>
      <c r="M193" s="91">
        <v>21.2</v>
      </c>
      <c r="N193" s="86" t="s">
        <v>877</v>
      </c>
      <c r="O193" s="86" t="s">
        <v>321</v>
      </c>
      <c r="P193" s="91">
        <f>(C13)</f>
        <v>85</v>
      </c>
      <c r="Q193" s="86" t="s">
        <v>877</v>
      </c>
      <c r="R193" s="91">
        <f>(M193*P193)</f>
        <v>1802</v>
      </c>
      <c r="AG193" s="86" t="s">
        <v>2284</v>
      </c>
    </row>
    <row r="194" spans="1:33" hidden="1">
      <c r="A194" s="106">
        <f t="shared" si="10"/>
        <v>93</v>
      </c>
      <c r="B194" s="86" t="s">
        <v>1662</v>
      </c>
      <c r="C194" s="8">
        <v>160</v>
      </c>
      <c r="D194" s="8">
        <v>96.11</v>
      </c>
      <c r="E194"/>
      <c r="F194" s="91">
        <v>9</v>
      </c>
      <c r="G194" s="90" t="s">
        <v>878</v>
      </c>
      <c r="H194" s="86" t="s">
        <v>1663</v>
      </c>
      <c r="I194" s="8" t="e">
        <f>(C74)</f>
        <v>#REF!</v>
      </c>
      <c r="J194" s="2" t="s">
        <v>878</v>
      </c>
      <c r="K194" s="8" t="e">
        <f>(F194*I194)</f>
        <v>#REF!</v>
      </c>
      <c r="N194" s="86" t="s">
        <v>450</v>
      </c>
      <c r="O194" s="86" t="s">
        <v>451</v>
      </c>
      <c r="Q194" s="86" t="s">
        <v>450</v>
      </c>
      <c r="R194" s="91">
        <v>0</v>
      </c>
      <c r="AG194" s="86" t="s">
        <v>2284</v>
      </c>
    </row>
    <row r="195" spans="1:33" hidden="1">
      <c r="A195" s="106">
        <f t="shared" si="10"/>
        <v>94</v>
      </c>
      <c r="B195" s="86" t="s">
        <v>845</v>
      </c>
      <c r="C195" s="8">
        <v>100</v>
      </c>
      <c r="D195" s="1" t="s">
        <v>671</v>
      </c>
      <c r="E195"/>
      <c r="F195" s="91">
        <v>4.5</v>
      </c>
      <c r="G195" s="90" t="s">
        <v>878</v>
      </c>
      <c r="H195" s="86" t="s">
        <v>1650</v>
      </c>
      <c r="I195" s="8" t="e">
        <f>(K49)</f>
        <v>#REF!</v>
      </c>
      <c r="J195" s="2" t="s">
        <v>878</v>
      </c>
      <c r="K195" s="8" t="e">
        <f>(F195*I195)</f>
        <v>#REF!</v>
      </c>
      <c r="R195" s="89" t="s">
        <v>1609</v>
      </c>
      <c r="AG195" s="86" t="s">
        <v>2284</v>
      </c>
    </row>
    <row r="196" spans="1:33" hidden="1">
      <c r="A196" s="106">
        <f t="shared" si="10"/>
        <v>95</v>
      </c>
      <c r="B196" s="86" t="s">
        <v>846</v>
      </c>
      <c r="C196" s="8">
        <v>0.25</v>
      </c>
      <c r="D196" s="1" t="s">
        <v>877</v>
      </c>
      <c r="E196"/>
      <c r="F196" s="91">
        <v>1.8</v>
      </c>
      <c r="G196" s="90" t="s">
        <v>877</v>
      </c>
      <c r="H196" s="86" t="s">
        <v>1737</v>
      </c>
      <c r="I196" s="8">
        <f>(C11)</f>
        <v>135</v>
      </c>
      <c r="J196" s="2" t="s">
        <v>877</v>
      </c>
      <c r="K196" s="8">
        <f>(F196*I196)</f>
        <v>243</v>
      </c>
      <c r="O196" s="86" t="s">
        <v>620</v>
      </c>
      <c r="R196" s="91" t="e">
        <f>SUM(R144:R194)</f>
        <v>#REF!</v>
      </c>
      <c r="AG196" s="86" t="s">
        <v>2284</v>
      </c>
    </row>
    <row r="197" spans="1:33" hidden="1">
      <c r="A197" s="106">
        <f t="shared" si="10"/>
        <v>96</v>
      </c>
      <c r="B197" s="86" t="s">
        <v>614</v>
      </c>
      <c r="C197" s="8">
        <v>22.6</v>
      </c>
      <c r="D197" s="1" t="s">
        <v>615</v>
      </c>
      <c r="E197"/>
      <c r="F197" s="91">
        <v>17.7</v>
      </c>
      <c r="G197" s="90" t="s">
        <v>877</v>
      </c>
      <c r="H197" s="86" t="s">
        <v>1927</v>
      </c>
      <c r="I197" s="8">
        <f>(C12)</f>
        <v>95</v>
      </c>
      <c r="J197" s="2" t="s">
        <v>877</v>
      </c>
      <c r="K197" s="8">
        <f>(F197*I197)</f>
        <v>1681.5</v>
      </c>
      <c r="R197" s="89" t="s">
        <v>1609</v>
      </c>
      <c r="AG197" s="86" t="s">
        <v>2284</v>
      </c>
    </row>
    <row r="198" spans="1:33" hidden="1">
      <c r="A198" s="106">
        <f t="shared" si="10"/>
        <v>97</v>
      </c>
      <c r="B198" s="86" t="s">
        <v>2538</v>
      </c>
      <c r="C198" s="8">
        <v>212</v>
      </c>
      <c r="D198" s="1" t="s">
        <v>615</v>
      </c>
      <c r="E198"/>
      <c r="F198" s="91">
        <v>14.1</v>
      </c>
      <c r="G198" s="90" t="s">
        <v>877</v>
      </c>
      <c r="H198" s="86" t="s">
        <v>321</v>
      </c>
      <c r="I198" s="8">
        <f>(C13)</f>
        <v>85</v>
      </c>
      <c r="J198" s="2" t="s">
        <v>877</v>
      </c>
      <c r="K198" s="8">
        <f>(F198*I198)</f>
        <v>1198.5</v>
      </c>
      <c r="O198" s="86" t="s">
        <v>782</v>
      </c>
      <c r="R198" s="91" t="e">
        <f>(R196/10)</f>
        <v>#REF!</v>
      </c>
      <c r="AG198" s="86" t="s">
        <v>2284</v>
      </c>
    </row>
    <row r="199" spans="1:33" hidden="1">
      <c r="A199" s="106">
        <f t="shared" si="10"/>
        <v>98</v>
      </c>
      <c r="B199" s="86" t="s">
        <v>2124</v>
      </c>
      <c r="C199" s="8">
        <v>85</v>
      </c>
      <c r="D199" s="1" t="s">
        <v>778</v>
      </c>
      <c r="E199"/>
      <c r="G199" s="90" t="s">
        <v>450</v>
      </c>
      <c r="H199" s="86" t="s">
        <v>451</v>
      </c>
      <c r="I199"/>
      <c r="J199" s="2" t="s">
        <v>450</v>
      </c>
      <c r="K199" s="8">
        <v>0</v>
      </c>
      <c r="R199" s="89" t="s">
        <v>2080</v>
      </c>
      <c r="AG199" s="86" t="s">
        <v>2284</v>
      </c>
    </row>
    <row r="200" spans="1:33" hidden="1">
      <c r="A200" s="106">
        <f t="shared" si="10"/>
        <v>99</v>
      </c>
      <c r="B200" s="86" t="s">
        <v>1166</v>
      </c>
      <c r="C200" s="8">
        <v>750</v>
      </c>
      <c r="D200" s="1" t="s">
        <v>778</v>
      </c>
      <c r="E200"/>
      <c r="I200"/>
      <c r="J200" s="4"/>
      <c r="K200" s="5" t="s">
        <v>1609</v>
      </c>
      <c r="AG200" s="86" t="s">
        <v>2284</v>
      </c>
    </row>
    <row r="201" spans="1:33" hidden="1">
      <c r="A201" s="106">
        <f t="shared" si="10"/>
        <v>100</v>
      </c>
      <c r="B201" s="86" t="s">
        <v>1167</v>
      </c>
      <c r="C201" s="8">
        <v>47.2</v>
      </c>
      <c r="D201" s="1" t="s">
        <v>778</v>
      </c>
      <c r="E201"/>
      <c r="I201"/>
      <c r="J201" s="4"/>
      <c r="K201" s="8" t="e">
        <f>SUM(K194:K199)</f>
        <v>#REF!</v>
      </c>
      <c r="N201" s="86" t="s">
        <v>3201</v>
      </c>
      <c r="O201" s="86" t="s">
        <v>386</v>
      </c>
      <c r="R201" s="91" t="e">
        <f>(R198+C19)</f>
        <v>#REF!</v>
      </c>
      <c r="AG201" s="86" t="s">
        <v>2284</v>
      </c>
    </row>
    <row r="202" spans="1:33" hidden="1">
      <c r="A202" s="106">
        <f t="shared" si="10"/>
        <v>101</v>
      </c>
      <c r="B202" s="86" t="s">
        <v>2362</v>
      </c>
      <c r="C202" s="8">
        <v>75</v>
      </c>
      <c r="D202" s="1" t="s">
        <v>778</v>
      </c>
      <c r="E202"/>
      <c r="H202" s="86" t="s">
        <v>620</v>
      </c>
      <c r="I202"/>
      <c r="J202" s="4"/>
      <c r="K202" s="5" t="s">
        <v>1609</v>
      </c>
      <c r="N202" s="86" t="s">
        <v>2363</v>
      </c>
      <c r="O202" s="86" t="s">
        <v>388</v>
      </c>
      <c r="R202" s="91" t="e">
        <f>(R201+C20)</f>
        <v>#REF!</v>
      </c>
      <c r="AG202" s="86" t="s">
        <v>322</v>
      </c>
    </row>
    <row r="203" spans="1:33" hidden="1">
      <c r="A203" s="106">
        <f t="shared" si="10"/>
        <v>102</v>
      </c>
      <c r="B203" s="86" t="s">
        <v>690</v>
      </c>
      <c r="C203" s="8">
        <v>40</v>
      </c>
      <c r="D203" s="1" t="s">
        <v>778</v>
      </c>
      <c r="E203"/>
      <c r="I203"/>
      <c r="J203" s="4"/>
      <c r="K203" s="8" t="e">
        <f>(K201/10)</f>
        <v>#REF!</v>
      </c>
      <c r="N203" s="86" t="s">
        <v>2364</v>
      </c>
      <c r="O203" s="86" t="s">
        <v>2257</v>
      </c>
      <c r="R203" s="91" t="e">
        <f>(R202+C21)</f>
        <v>#REF!</v>
      </c>
    </row>
    <row r="204" spans="1:33" hidden="1">
      <c r="A204" s="106">
        <f t="shared" si="10"/>
        <v>103</v>
      </c>
      <c r="B204" s="86" t="s">
        <v>627</v>
      </c>
      <c r="C204" s="8">
        <v>65</v>
      </c>
      <c r="D204" s="1" t="s">
        <v>778</v>
      </c>
      <c r="E204"/>
      <c r="H204" s="86" t="s">
        <v>782</v>
      </c>
      <c r="I204"/>
      <c r="J204" s="4"/>
      <c r="K204" s="5" t="s">
        <v>2080</v>
      </c>
      <c r="N204" s="86" t="s">
        <v>2365</v>
      </c>
      <c r="O204" s="86" t="s">
        <v>380</v>
      </c>
      <c r="R204" s="91" t="e">
        <f>(R203+C21)</f>
        <v>#REF!</v>
      </c>
    </row>
    <row r="205" spans="1:33" hidden="1">
      <c r="A205" s="106">
        <f t="shared" si="10"/>
        <v>104</v>
      </c>
      <c r="B205" s="86" t="s">
        <v>2366</v>
      </c>
      <c r="C205" s="8">
        <v>65</v>
      </c>
      <c r="D205" s="1" t="s">
        <v>778</v>
      </c>
      <c r="E205"/>
      <c r="I205"/>
      <c r="J205" s="4"/>
      <c r="K205"/>
      <c r="AG205" s="86" t="s">
        <v>2284</v>
      </c>
    </row>
    <row r="206" spans="1:33" hidden="1">
      <c r="A206" s="106">
        <f t="shared" si="10"/>
        <v>105</v>
      </c>
      <c r="B206" s="86" t="s">
        <v>691</v>
      </c>
      <c r="C206" s="8">
        <v>150</v>
      </c>
      <c r="D206" s="1" t="s">
        <v>692</v>
      </c>
      <c r="E206"/>
      <c r="F206" s="102" t="s">
        <v>693</v>
      </c>
      <c r="G206" s="90" t="s">
        <v>2276</v>
      </c>
      <c r="H206" s="86" t="s">
        <v>1001</v>
      </c>
      <c r="I206"/>
      <c r="J206" s="4"/>
      <c r="K206"/>
    </row>
    <row r="207" spans="1:33" hidden="1">
      <c r="A207" s="106">
        <f t="shared" si="10"/>
        <v>106</v>
      </c>
      <c r="B207" s="86" t="s">
        <v>694</v>
      </c>
      <c r="C207" s="8">
        <v>100</v>
      </c>
      <c r="D207" s="1" t="s">
        <v>778</v>
      </c>
      <c r="E207"/>
      <c r="H207" s="86" t="s">
        <v>1509</v>
      </c>
      <c r="I207"/>
      <c r="J207" s="4"/>
      <c r="K207"/>
      <c r="N207" s="86" t="s">
        <v>695</v>
      </c>
      <c r="O207" s="86" t="s">
        <v>696</v>
      </c>
    </row>
    <row r="208" spans="1:33" hidden="1">
      <c r="C208"/>
      <c r="D208"/>
      <c r="E208"/>
      <c r="H208" s="89" t="s">
        <v>1609</v>
      </c>
      <c r="I208"/>
      <c r="J208" s="4"/>
      <c r="K208"/>
      <c r="O208" s="89" t="s">
        <v>1609</v>
      </c>
    </row>
    <row r="209" spans="3:18" hidden="1">
      <c r="C209"/>
      <c r="D209"/>
      <c r="E209"/>
      <c r="F209" s="91">
        <v>9</v>
      </c>
      <c r="G209" s="90" t="s">
        <v>878</v>
      </c>
      <c r="H209" s="86" t="s">
        <v>697</v>
      </c>
      <c r="I209" s="8" t="e">
        <f>C73</f>
        <v>#REF!</v>
      </c>
      <c r="J209" s="2" t="s">
        <v>878</v>
      </c>
      <c r="K209" s="8" t="e">
        <f>(F209*I209)</f>
        <v>#REF!</v>
      </c>
      <c r="M209" s="121">
        <v>1.153E-2</v>
      </c>
      <c r="N209" s="86" t="s">
        <v>878</v>
      </c>
      <c r="O209" s="86" t="s">
        <v>698</v>
      </c>
      <c r="P209" s="91">
        <f>C88</f>
        <v>65420</v>
      </c>
      <c r="Q209" s="86" t="s">
        <v>878</v>
      </c>
      <c r="R209" s="91">
        <f t="shared" ref="R209:R218" si="11">(M209*P209)</f>
        <v>754.29</v>
      </c>
    </row>
    <row r="210" spans="3:18" hidden="1">
      <c r="C210"/>
      <c r="D210"/>
      <c r="E210"/>
      <c r="F210" s="91">
        <v>4.5</v>
      </c>
      <c r="G210" s="90" t="s">
        <v>878</v>
      </c>
      <c r="H210" s="86" t="s">
        <v>121</v>
      </c>
      <c r="I210" s="8" t="e">
        <f>K23</f>
        <v>#REF!</v>
      </c>
      <c r="J210" s="2" t="s">
        <v>878</v>
      </c>
      <c r="K210" s="8" t="e">
        <f>(F210*I210)</f>
        <v>#REF!</v>
      </c>
      <c r="M210" s="121">
        <v>1.013E-2</v>
      </c>
      <c r="N210" s="86" t="s">
        <v>878</v>
      </c>
      <c r="O210" s="86" t="s">
        <v>699</v>
      </c>
      <c r="P210" s="91">
        <f>C89</f>
        <v>57165</v>
      </c>
      <c r="Q210" s="86" t="s">
        <v>878</v>
      </c>
      <c r="R210" s="91">
        <f t="shared" si="11"/>
        <v>579.08000000000004</v>
      </c>
    </row>
    <row r="211" spans="3:18" hidden="1">
      <c r="C211"/>
      <c r="D211"/>
      <c r="E211"/>
      <c r="F211" s="91">
        <v>1.8</v>
      </c>
      <c r="G211" s="90" t="s">
        <v>877</v>
      </c>
      <c r="H211" s="86" t="s">
        <v>1737</v>
      </c>
      <c r="I211" s="8">
        <f>C11</f>
        <v>135</v>
      </c>
      <c r="J211" s="2" t="s">
        <v>877</v>
      </c>
      <c r="K211" s="8">
        <f>(F211*I211)</f>
        <v>243</v>
      </c>
      <c r="M211" s="121">
        <v>0.77780000000000005</v>
      </c>
      <c r="N211" s="86" t="s">
        <v>615</v>
      </c>
      <c r="O211" s="86" t="s">
        <v>2117</v>
      </c>
      <c r="P211" s="91">
        <f>C753</f>
        <v>381.37</v>
      </c>
      <c r="Q211" s="86" t="s">
        <v>615</v>
      </c>
      <c r="R211" s="91">
        <f t="shared" si="11"/>
        <v>296.63</v>
      </c>
    </row>
    <row r="212" spans="3:18" hidden="1">
      <c r="C212"/>
      <c r="D212"/>
      <c r="E212"/>
      <c r="F212" s="91">
        <v>17.7</v>
      </c>
      <c r="G212" s="90" t="s">
        <v>877</v>
      </c>
      <c r="H212" s="86" t="s">
        <v>1927</v>
      </c>
      <c r="I212" s="8">
        <f>C12</f>
        <v>95</v>
      </c>
      <c r="J212" s="2" t="s">
        <v>877</v>
      </c>
      <c r="K212" s="8">
        <f>(F212*I212)</f>
        <v>1681.5</v>
      </c>
      <c r="M212" s="121">
        <v>1.23</v>
      </c>
      <c r="N212" s="86" t="s">
        <v>615</v>
      </c>
      <c r="O212" s="86" t="s">
        <v>2118</v>
      </c>
      <c r="P212" s="91">
        <f>D30</f>
        <v>287</v>
      </c>
      <c r="Q212" s="86" t="s">
        <v>615</v>
      </c>
      <c r="R212" s="91">
        <f t="shared" si="11"/>
        <v>353.01</v>
      </c>
    </row>
    <row r="213" spans="3:18" hidden="1">
      <c r="C213"/>
      <c r="D213"/>
      <c r="E213"/>
      <c r="F213" s="91">
        <v>14.1</v>
      </c>
      <c r="G213" s="90" t="s">
        <v>877</v>
      </c>
      <c r="H213" s="86" t="s">
        <v>321</v>
      </c>
      <c r="I213" s="8">
        <f>C13</f>
        <v>85</v>
      </c>
      <c r="J213" s="2" t="s">
        <v>877</v>
      </c>
      <c r="K213" s="8">
        <f>(F213*I213)</f>
        <v>1198.5</v>
      </c>
      <c r="M213" s="91">
        <v>2</v>
      </c>
      <c r="N213" s="86" t="s">
        <v>877</v>
      </c>
      <c r="O213" s="86" t="s">
        <v>2119</v>
      </c>
      <c r="P213" s="91">
        <f>C283</f>
        <v>30</v>
      </c>
      <c r="Q213" s="86" t="s">
        <v>877</v>
      </c>
      <c r="R213" s="91">
        <f t="shared" si="11"/>
        <v>60</v>
      </c>
    </row>
    <row r="214" spans="3:18" hidden="1">
      <c r="C214"/>
      <c r="D214"/>
      <c r="E214"/>
      <c r="G214" s="90" t="s">
        <v>450</v>
      </c>
      <c r="H214" s="86" t="s">
        <v>451</v>
      </c>
      <c r="I214"/>
      <c r="J214" s="2" t="s">
        <v>450</v>
      </c>
      <c r="K214" s="8">
        <v>0</v>
      </c>
      <c r="M214" s="91">
        <v>3</v>
      </c>
      <c r="N214" s="86" t="s">
        <v>877</v>
      </c>
      <c r="O214" s="86" t="s">
        <v>2120</v>
      </c>
      <c r="P214" s="91">
        <f>C278</f>
        <v>45</v>
      </c>
      <c r="Q214" s="86" t="s">
        <v>877</v>
      </c>
      <c r="R214" s="91">
        <f t="shared" si="11"/>
        <v>135</v>
      </c>
    </row>
    <row r="215" spans="3:18" hidden="1">
      <c r="C215"/>
      <c r="D215"/>
      <c r="E215"/>
      <c r="I215"/>
      <c r="J215" s="4"/>
      <c r="K215" s="5" t="s">
        <v>1609</v>
      </c>
      <c r="M215" s="91">
        <v>1</v>
      </c>
      <c r="N215" s="86" t="s">
        <v>877</v>
      </c>
      <c r="O215" s="86" t="s">
        <v>2004</v>
      </c>
      <c r="P215" s="91">
        <f>C285</f>
        <v>95</v>
      </c>
      <c r="Q215" s="86" t="s">
        <v>877</v>
      </c>
      <c r="R215" s="91">
        <f t="shared" si="11"/>
        <v>95</v>
      </c>
    </row>
    <row r="216" spans="3:18" hidden="1">
      <c r="C216"/>
      <c r="D216"/>
      <c r="E216"/>
      <c r="I216"/>
      <c r="J216" s="4"/>
      <c r="K216" s="8" t="e">
        <f>SUM(K209:K214)</f>
        <v>#REF!</v>
      </c>
      <c r="M216" s="91">
        <v>1</v>
      </c>
      <c r="N216" s="86" t="s">
        <v>877</v>
      </c>
      <c r="O216" s="86" t="s">
        <v>2005</v>
      </c>
      <c r="P216" s="91">
        <f>C287</f>
        <v>8</v>
      </c>
      <c r="Q216" s="86" t="s">
        <v>877</v>
      </c>
      <c r="R216" s="91">
        <f t="shared" si="11"/>
        <v>8</v>
      </c>
    </row>
    <row r="217" spans="3:18" hidden="1">
      <c r="C217"/>
      <c r="D217"/>
      <c r="E217"/>
      <c r="H217" s="86" t="s">
        <v>620</v>
      </c>
      <c r="I217"/>
      <c r="J217" s="4"/>
      <c r="K217" s="5" t="s">
        <v>1609</v>
      </c>
      <c r="M217" s="91">
        <v>1</v>
      </c>
      <c r="N217" s="86" t="s">
        <v>877</v>
      </c>
      <c r="O217" s="86" t="s">
        <v>2006</v>
      </c>
      <c r="P217" s="91">
        <f>C576</f>
        <v>30</v>
      </c>
      <c r="Q217" s="86" t="s">
        <v>877</v>
      </c>
      <c r="R217" s="91">
        <f t="shared" si="11"/>
        <v>30</v>
      </c>
    </row>
    <row r="218" spans="3:18" hidden="1">
      <c r="C218"/>
      <c r="D218"/>
      <c r="E218"/>
      <c r="I218"/>
      <c r="J218" s="4"/>
      <c r="K218" s="8" t="e">
        <f>(K216/10)</f>
        <v>#REF!</v>
      </c>
      <c r="M218" s="91">
        <v>1</v>
      </c>
      <c r="N218" s="86" t="s">
        <v>877</v>
      </c>
      <c r="O218" s="86" t="s">
        <v>2007</v>
      </c>
      <c r="P218" s="91">
        <f>D576</f>
        <v>25</v>
      </c>
      <c r="Q218" s="86" t="s">
        <v>877</v>
      </c>
      <c r="R218" s="91">
        <f t="shared" si="11"/>
        <v>25</v>
      </c>
    </row>
    <row r="219" spans="3:18" hidden="1">
      <c r="C219"/>
      <c r="D219"/>
      <c r="E219"/>
      <c r="H219" s="86" t="s">
        <v>782</v>
      </c>
      <c r="I219"/>
      <c r="J219" s="4"/>
      <c r="K219" s="5" t="s">
        <v>2080</v>
      </c>
      <c r="R219" s="89" t="s">
        <v>1609</v>
      </c>
    </row>
    <row r="220" spans="3:18" hidden="1">
      <c r="C220"/>
      <c r="D220"/>
      <c r="E220"/>
      <c r="I220"/>
      <c r="J220" s="4"/>
      <c r="K220"/>
      <c r="O220" s="102" t="s">
        <v>2008</v>
      </c>
      <c r="R220" s="91">
        <f>SUM(R209:R218)</f>
        <v>2336.0100000000002</v>
      </c>
    </row>
    <row r="221" spans="3:18" hidden="1">
      <c r="C221"/>
      <c r="D221"/>
      <c r="E221"/>
      <c r="F221" s="102" t="s">
        <v>2097</v>
      </c>
      <c r="G221" s="90" t="s">
        <v>2276</v>
      </c>
      <c r="H221" s="86" t="s">
        <v>1002</v>
      </c>
      <c r="I221"/>
      <c r="J221" s="4"/>
      <c r="K221"/>
      <c r="N221" s="86" t="s">
        <v>987</v>
      </c>
      <c r="R221" s="89" t="s">
        <v>1609</v>
      </c>
    </row>
    <row r="222" spans="3:18" hidden="1">
      <c r="C222"/>
      <c r="D222"/>
      <c r="E222"/>
      <c r="H222" s="86" t="s">
        <v>2098</v>
      </c>
      <c r="I222"/>
      <c r="J222" s="4"/>
      <c r="K222"/>
      <c r="M222" s="86" t="s">
        <v>987</v>
      </c>
    </row>
    <row r="223" spans="3:18" hidden="1">
      <c r="C223"/>
      <c r="D223"/>
      <c r="E223"/>
      <c r="H223" s="89" t="s">
        <v>1609</v>
      </c>
      <c r="I223"/>
      <c r="J223" s="4"/>
      <c r="K223"/>
      <c r="O223" s="102" t="s">
        <v>556</v>
      </c>
      <c r="R223" s="91">
        <f>R220/M212</f>
        <v>1899.2</v>
      </c>
    </row>
    <row r="224" spans="3:18" hidden="1">
      <c r="C224"/>
      <c r="D224"/>
      <c r="E224"/>
      <c r="F224" s="91">
        <v>9</v>
      </c>
      <c r="G224" s="90" t="s">
        <v>878</v>
      </c>
      <c r="H224" s="86" t="s">
        <v>1835</v>
      </c>
      <c r="I224" s="8" t="e">
        <f>AC20</f>
        <v>#REF!</v>
      </c>
      <c r="J224" s="2" t="s">
        <v>878</v>
      </c>
      <c r="K224" s="8" t="e">
        <f>(F224*I224)</f>
        <v>#REF!</v>
      </c>
      <c r="M224" s="86" t="s">
        <v>322</v>
      </c>
    </row>
    <row r="225" spans="3:11" hidden="1">
      <c r="C225"/>
      <c r="D225"/>
      <c r="E225"/>
      <c r="F225" s="91">
        <v>4.5</v>
      </c>
      <c r="G225" s="90" t="s">
        <v>878</v>
      </c>
      <c r="H225" s="86" t="s">
        <v>1657</v>
      </c>
      <c r="I225" s="8" t="e">
        <f>K77</f>
        <v>#REF!</v>
      </c>
      <c r="J225" s="2" t="s">
        <v>878</v>
      </c>
      <c r="K225" s="8" t="e">
        <f>(F225*I225)</f>
        <v>#REF!</v>
      </c>
    </row>
    <row r="226" spans="3:11" hidden="1">
      <c r="C226"/>
      <c r="D226"/>
      <c r="E226"/>
      <c r="F226" s="91">
        <v>1.8</v>
      </c>
      <c r="G226" s="90" t="s">
        <v>877</v>
      </c>
      <c r="H226" s="86" t="s">
        <v>1737</v>
      </c>
      <c r="I226" s="8">
        <f>C11</f>
        <v>135</v>
      </c>
      <c r="J226" s="2" t="s">
        <v>877</v>
      </c>
      <c r="K226" s="8">
        <f>(F226*I226)</f>
        <v>243</v>
      </c>
    </row>
    <row r="227" spans="3:11" hidden="1">
      <c r="C227"/>
      <c r="D227"/>
      <c r="E227"/>
      <c r="F227" s="91">
        <v>17.7</v>
      </c>
      <c r="G227" s="90" t="s">
        <v>877</v>
      </c>
      <c r="H227" s="86" t="s">
        <v>1927</v>
      </c>
      <c r="I227" s="8">
        <f>C12</f>
        <v>95</v>
      </c>
      <c r="J227" s="2" t="s">
        <v>877</v>
      </c>
      <c r="K227" s="8">
        <f>(F227*I227)</f>
        <v>1681.5</v>
      </c>
    </row>
    <row r="228" spans="3:11" hidden="1">
      <c r="C228"/>
      <c r="D228"/>
      <c r="E228"/>
      <c r="F228" s="91">
        <v>14.1</v>
      </c>
      <c r="G228" s="90" t="s">
        <v>877</v>
      </c>
      <c r="H228" s="86" t="s">
        <v>321</v>
      </c>
      <c r="I228" s="8">
        <f>C13</f>
        <v>85</v>
      </c>
      <c r="J228" s="2" t="s">
        <v>877</v>
      </c>
      <c r="K228" s="8">
        <f>(F228*I228)</f>
        <v>1198.5</v>
      </c>
    </row>
    <row r="229" spans="3:11" hidden="1">
      <c r="C229"/>
      <c r="D229"/>
      <c r="E229"/>
      <c r="G229" s="90" t="s">
        <v>450</v>
      </c>
      <c r="H229" s="86" t="s">
        <v>451</v>
      </c>
      <c r="I229"/>
      <c r="J229" s="2" t="s">
        <v>450</v>
      </c>
      <c r="K229" s="8">
        <v>0</v>
      </c>
    </row>
    <row r="230" spans="3:11" hidden="1">
      <c r="C230"/>
      <c r="D230"/>
      <c r="E230"/>
      <c r="I230"/>
      <c r="J230" s="4"/>
      <c r="K230" s="5" t="s">
        <v>1609</v>
      </c>
    </row>
    <row r="231" spans="3:11" hidden="1">
      <c r="C231"/>
      <c r="D231"/>
      <c r="E231"/>
      <c r="I231"/>
      <c r="J231" s="4"/>
      <c r="K231" s="8" t="e">
        <f>SUM(K224:K229)</f>
        <v>#REF!</v>
      </c>
    </row>
    <row r="232" spans="3:11" hidden="1">
      <c r="C232"/>
      <c r="D232"/>
      <c r="E232"/>
      <c r="H232" s="86" t="s">
        <v>620</v>
      </c>
      <c r="I232"/>
      <c r="J232" s="4"/>
      <c r="K232" s="5" t="s">
        <v>1609</v>
      </c>
    </row>
    <row r="233" spans="3:11" hidden="1">
      <c r="C233"/>
      <c r="D233"/>
      <c r="E233"/>
      <c r="I233"/>
      <c r="J233" s="4"/>
      <c r="K233" s="8" t="e">
        <f>(K231/10)</f>
        <v>#REF!</v>
      </c>
    </row>
    <row r="234" spans="3:11" hidden="1">
      <c r="C234"/>
      <c r="D234"/>
      <c r="E234"/>
      <c r="H234" s="86" t="s">
        <v>782</v>
      </c>
      <c r="I234"/>
      <c r="J234" s="4"/>
      <c r="K234" s="5" t="s">
        <v>2080</v>
      </c>
    </row>
    <row r="235" spans="3:11" hidden="1">
      <c r="C235"/>
      <c r="D235"/>
      <c r="E235"/>
      <c r="I235"/>
      <c r="J235" s="4"/>
      <c r="K235"/>
    </row>
    <row r="236" spans="3:11" hidden="1">
      <c r="C236"/>
      <c r="D236"/>
      <c r="E236"/>
      <c r="I236"/>
      <c r="J236" s="4"/>
      <c r="K236"/>
    </row>
    <row r="237" spans="3:11" hidden="1">
      <c r="C237"/>
      <c r="D237"/>
      <c r="E237"/>
      <c r="F237" s="112">
        <v>3.6</v>
      </c>
      <c r="H237" s="86" t="s">
        <v>4</v>
      </c>
      <c r="I237"/>
      <c r="J237" s="4"/>
      <c r="K237"/>
    </row>
    <row r="238" spans="3:11" hidden="1">
      <c r="C238"/>
      <c r="D238"/>
      <c r="E238"/>
      <c r="H238" s="86" t="s">
        <v>647</v>
      </c>
      <c r="I238"/>
      <c r="J238" s="4"/>
      <c r="K238"/>
    </row>
    <row r="239" spans="3:11" hidden="1">
      <c r="C239"/>
      <c r="D239"/>
      <c r="E239"/>
      <c r="H239" s="89" t="s">
        <v>2080</v>
      </c>
      <c r="I239"/>
      <c r="J239" s="4"/>
      <c r="K239"/>
    </row>
    <row r="240" spans="3:11" hidden="1">
      <c r="C240"/>
      <c r="D240"/>
      <c r="E240"/>
      <c r="F240" s="91">
        <v>1.25</v>
      </c>
      <c r="G240" s="90" t="s">
        <v>1361</v>
      </c>
      <c r="H240" s="86" t="s">
        <v>1526</v>
      </c>
      <c r="I240" s="8">
        <f>C783</f>
        <v>3.05</v>
      </c>
      <c r="J240" s="2" t="s">
        <v>1361</v>
      </c>
      <c r="K240" s="8">
        <f>(F240*I240)</f>
        <v>3.81</v>
      </c>
    </row>
    <row r="241" spans="3:11" hidden="1">
      <c r="C241"/>
      <c r="D241"/>
      <c r="E241"/>
      <c r="F241" s="91">
        <v>0.75</v>
      </c>
      <c r="G241" s="90" t="s">
        <v>1361</v>
      </c>
      <c r="H241" s="86" t="s">
        <v>2367</v>
      </c>
      <c r="I241" s="8" t="e">
        <f>AC37</f>
        <v>#REF!</v>
      </c>
      <c r="J241" s="2" t="s">
        <v>1361</v>
      </c>
      <c r="K241" s="8" t="e">
        <f>(F241*I241)</f>
        <v>#REF!</v>
      </c>
    </row>
    <row r="242" spans="3:11" hidden="1">
      <c r="C242"/>
      <c r="D242"/>
      <c r="E242"/>
      <c r="F242" s="91">
        <v>0.5</v>
      </c>
      <c r="G242" s="90" t="s">
        <v>1361</v>
      </c>
      <c r="H242" s="86" t="s">
        <v>2125</v>
      </c>
      <c r="I242" s="8" t="e">
        <f>AC36</f>
        <v>#REF!</v>
      </c>
      <c r="J242" s="2" t="s">
        <v>1361</v>
      </c>
      <c r="K242" s="8" t="e">
        <f>(F242*I242)</f>
        <v>#REF!</v>
      </c>
    </row>
    <row r="243" spans="3:11" hidden="1">
      <c r="C243"/>
      <c r="D243"/>
      <c r="E243"/>
      <c r="F243" s="91">
        <v>0.45</v>
      </c>
      <c r="G243" s="90" t="s">
        <v>1361</v>
      </c>
      <c r="H243" s="86" t="s">
        <v>935</v>
      </c>
      <c r="I243" s="8">
        <f>AC38</f>
        <v>169</v>
      </c>
      <c r="J243" s="2" t="s">
        <v>1361</v>
      </c>
      <c r="K243" s="8">
        <f>(F243*I243)</f>
        <v>76.05</v>
      </c>
    </row>
    <row r="244" spans="3:11" hidden="1">
      <c r="C244"/>
      <c r="D244"/>
      <c r="E244"/>
      <c r="F244" s="91">
        <v>10</v>
      </c>
      <c r="G244" s="90" t="s">
        <v>236</v>
      </c>
      <c r="H244" s="86" t="s">
        <v>1940</v>
      </c>
      <c r="I244" s="8">
        <v>17.82</v>
      </c>
      <c r="J244" s="2" t="s">
        <v>236</v>
      </c>
      <c r="K244" s="8">
        <f>(F244*I244)</f>
        <v>178.2</v>
      </c>
    </row>
    <row r="245" spans="3:11" hidden="1">
      <c r="C245"/>
      <c r="D245"/>
      <c r="E245"/>
      <c r="H245" s="86" t="s">
        <v>1941</v>
      </c>
      <c r="I245"/>
      <c r="J245" s="4"/>
      <c r="K245" s="5" t="s">
        <v>1609</v>
      </c>
    </row>
    <row r="246" spans="3:11" hidden="1">
      <c r="C246"/>
      <c r="D246"/>
      <c r="E246"/>
      <c r="H246" s="86" t="s">
        <v>1942</v>
      </c>
      <c r="I246"/>
      <c r="J246" s="4"/>
      <c r="K246" s="8" t="e">
        <f>SUM(K240:K244)</f>
        <v>#REF!</v>
      </c>
    </row>
    <row r="247" spans="3:11" hidden="1">
      <c r="C247"/>
      <c r="D247"/>
      <c r="E247"/>
      <c r="I247"/>
      <c r="J247" s="4"/>
      <c r="K247" s="5" t="s">
        <v>1609</v>
      </c>
    </row>
    <row r="248" spans="3:11" hidden="1">
      <c r="C248"/>
      <c r="D248"/>
      <c r="E248"/>
      <c r="H248" s="86" t="s">
        <v>1943</v>
      </c>
      <c r="I248"/>
      <c r="J248" s="4"/>
      <c r="K248" s="8" t="e">
        <f>K246/10</f>
        <v>#REF!</v>
      </c>
    </row>
    <row r="249" spans="3:11" hidden="1">
      <c r="C249"/>
      <c r="D249"/>
      <c r="E249"/>
      <c r="I249"/>
      <c r="J249" s="4"/>
      <c r="K249" s="5" t="s">
        <v>2080</v>
      </c>
    </row>
    <row r="250" spans="3:11" hidden="1">
      <c r="C250"/>
      <c r="D250"/>
      <c r="E250"/>
      <c r="I250"/>
      <c r="J250" s="4"/>
      <c r="K250"/>
    </row>
    <row r="251" spans="3:11" hidden="1">
      <c r="C251"/>
      <c r="D251"/>
      <c r="E251"/>
      <c r="F251" s="112">
        <v>3.7</v>
      </c>
      <c r="H251" s="86" t="s">
        <v>5</v>
      </c>
      <c r="I251"/>
      <c r="J251" s="4"/>
      <c r="K251"/>
    </row>
    <row r="252" spans="3:11" hidden="1">
      <c r="C252"/>
      <c r="D252"/>
      <c r="E252"/>
      <c r="H252" s="89" t="s">
        <v>1609</v>
      </c>
      <c r="I252"/>
      <c r="J252" s="4"/>
      <c r="K252"/>
    </row>
    <row r="253" spans="3:11" hidden="1">
      <c r="C253"/>
      <c r="D253"/>
      <c r="E253"/>
      <c r="F253" s="91">
        <v>2.7</v>
      </c>
      <c r="G253" s="90" t="s">
        <v>1361</v>
      </c>
      <c r="H253" s="86" t="s">
        <v>154</v>
      </c>
      <c r="I253" s="8" t="e">
        <f>AC35</f>
        <v>#REF!</v>
      </c>
      <c r="J253" s="2" t="s">
        <v>1361</v>
      </c>
      <c r="K253" s="8" t="e">
        <f>(F253*I253)</f>
        <v>#REF!</v>
      </c>
    </row>
    <row r="254" spans="3:11" hidden="1">
      <c r="C254"/>
      <c r="D254"/>
      <c r="E254"/>
      <c r="F254" s="122">
        <v>0.14499999999999999</v>
      </c>
      <c r="G254" s="90" t="s">
        <v>1361</v>
      </c>
      <c r="H254" s="86" t="s">
        <v>921</v>
      </c>
      <c r="I254" s="8" t="e">
        <f>AC17</f>
        <v>#REF!</v>
      </c>
      <c r="J254" s="2" t="s">
        <v>1361</v>
      </c>
      <c r="K254" s="8" t="e">
        <f>(F254*I254)</f>
        <v>#REF!</v>
      </c>
    </row>
    <row r="255" spans="3:11" hidden="1">
      <c r="C255"/>
      <c r="D255"/>
      <c r="E255"/>
      <c r="F255" s="91">
        <v>218.8</v>
      </c>
      <c r="G255" s="90" t="s">
        <v>922</v>
      </c>
      <c r="H255" s="86" t="s">
        <v>923</v>
      </c>
      <c r="I255" s="8">
        <v>12224.58</v>
      </c>
      <c r="J255" s="2" t="s">
        <v>922</v>
      </c>
      <c r="K255" s="8">
        <f>(F255*I255)/1000</f>
        <v>2674.74</v>
      </c>
    </row>
    <row r="256" spans="3:11" hidden="1">
      <c r="C256"/>
      <c r="D256"/>
      <c r="E256"/>
      <c r="F256" s="91">
        <v>100</v>
      </c>
      <c r="G256" s="90" t="s">
        <v>236</v>
      </c>
      <c r="H256" s="86" t="s">
        <v>924</v>
      </c>
      <c r="I256" s="8">
        <v>14.3</v>
      </c>
      <c r="J256" s="2" t="s">
        <v>236</v>
      </c>
      <c r="K256" s="8">
        <f>(F256*I256)</f>
        <v>1430</v>
      </c>
    </row>
    <row r="257" spans="1:33" hidden="1">
      <c r="C257"/>
      <c r="D257"/>
      <c r="E257"/>
      <c r="I257"/>
      <c r="J257" s="4"/>
      <c r="K257" s="5" t="s">
        <v>1609</v>
      </c>
    </row>
    <row r="258" spans="1:33" hidden="1">
      <c r="C258"/>
      <c r="D258"/>
      <c r="E258"/>
      <c r="H258" s="86" t="s">
        <v>925</v>
      </c>
      <c r="I258"/>
      <c r="J258" s="4"/>
      <c r="K258" s="8" t="e">
        <f>SUM(K253:K256)</f>
        <v>#REF!</v>
      </c>
    </row>
    <row r="259" spans="1:33" hidden="1">
      <c r="C259"/>
      <c r="D259"/>
      <c r="E259"/>
      <c r="I259"/>
      <c r="J259" s="4"/>
      <c r="K259" s="5" t="s">
        <v>1609</v>
      </c>
    </row>
    <row r="260" spans="1:33" hidden="1">
      <c r="C260"/>
      <c r="D260"/>
      <c r="E260"/>
      <c r="H260" s="86" t="s">
        <v>1943</v>
      </c>
      <c r="I260"/>
      <c r="J260" s="4"/>
      <c r="K260" s="8" t="e">
        <f>K258/100</f>
        <v>#REF!</v>
      </c>
    </row>
    <row r="261" spans="1:33" hidden="1">
      <c r="C261"/>
      <c r="D261"/>
      <c r="E261"/>
      <c r="F261" s="86" t="s">
        <v>987</v>
      </c>
      <c r="G261" s="90" t="s">
        <v>987</v>
      </c>
      <c r="I261"/>
      <c r="J261" s="4"/>
      <c r="K261" s="5" t="s">
        <v>2080</v>
      </c>
    </row>
    <row r="262" spans="1:33" hidden="1">
      <c r="C262"/>
      <c r="D262"/>
      <c r="E262"/>
      <c r="I262"/>
      <c r="J262" s="4"/>
      <c r="K262"/>
    </row>
    <row r="263" spans="1:33" hidden="1">
      <c r="C263"/>
      <c r="D263"/>
      <c r="E263"/>
      <c r="I263"/>
      <c r="J263" s="4"/>
      <c r="K263"/>
    </row>
    <row r="264" spans="1:33" hidden="1">
      <c r="A264" s="106">
        <f>(A205+1)</f>
        <v>105</v>
      </c>
      <c r="B264" s="86" t="s">
        <v>1836</v>
      </c>
      <c r="C264" s="8">
        <v>50.5</v>
      </c>
      <c r="D264" s="1" t="s">
        <v>778</v>
      </c>
      <c r="E264"/>
      <c r="F264" s="102" t="s">
        <v>680</v>
      </c>
      <c r="H264" s="86" t="s">
        <v>1629</v>
      </c>
      <c r="I264"/>
      <c r="J264" s="4"/>
      <c r="K264"/>
      <c r="N264" s="86" t="s">
        <v>681</v>
      </c>
      <c r="O264" s="86" t="s">
        <v>843</v>
      </c>
      <c r="AG264" s="86" t="s">
        <v>2284</v>
      </c>
    </row>
    <row r="265" spans="1:33" hidden="1">
      <c r="A265" s="106">
        <f t="shared" ref="A265:A279" si="12">(A264+1)</f>
        <v>106</v>
      </c>
      <c r="B265" s="86" t="s">
        <v>844</v>
      </c>
      <c r="C265" s="8">
        <v>115</v>
      </c>
      <c r="D265" s="1" t="s">
        <v>778</v>
      </c>
      <c r="E265"/>
      <c r="H265" s="89" t="s">
        <v>2080</v>
      </c>
      <c r="I265"/>
      <c r="J265" s="4"/>
      <c r="K265"/>
      <c r="O265" s="89" t="s">
        <v>1609</v>
      </c>
      <c r="AG265" s="86" t="s">
        <v>2284</v>
      </c>
    </row>
    <row r="266" spans="1:33" hidden="1">
      <c r="A266" s="106">
        <f t="shared" si="12"/>
        <v>107</v>
      </c>
      <c r="B266" s="86" t="s">
        <v>2368</v>
      </c>
      <c r="C266" s="8">
        <v>63</v>
      </c>
      <c r="D266" s="8">
        <v>90</v>
      </c>
      <c r="E266"/>
      <c r="G266" s="90" t="s">
        <v>2276</v>
      </c>
      <c r="H266" s="86" t="s">
        <v>401</v>
      </c>
      <c r="I266"/>
      <c r="J266" s="4"/>
      <c r="K266"/>
      <c r="M266" s="91">
        <v>1.1399999999999999</v>
      </c>
      <c r="N266" s="86" t="s">
        <v>878</v>
      </c>
      <c r="O266" s="86" t="s">
        <v>2304</v>
      </c>
      <c r="P266" s="91" t="e">
        <f>(K419)</f>
        <v>#REF!</v>
      </c>
      <c r="Q266" s="86" t="s">
        <v>877</v>
      </c>
      <c r="R266" s="91" t="e">
        <f>(M266*P266)</f>
        <v>#REF!</v>
      </c>
      <c r="AG266" s="86" t="s">
        <v>2284</v>
      </c>
    </row>
    <row r="267" spans="1:33" hidden="1">
      <c r="A267" s="106">
        <f t="shared" si="12"/>
        <v>108</v>
      </c>
      <c r="B267" s="86" t="s">
        <v>2369</v>
      </c>
      <c r="C267" s="8">
        <v>10705</v>
      </c>
      <c r="D267" s="1" t="s">
        <v>878</v>
      </c>
      <c r="E267"/>
      <c r="H267" s="86" t="s">
        <v>2294</v>
      </c>
      <c r="I267"/>
      <c r="J267" s="4"/>
      <c r="K267"/>
      <c r="M267" s="91">
        <v>1</v>
      </c>
      <c r="N267" s="86" t="s">
        <v>778</v>
      </c>
      <c r="O267" s="86" t="s">
        <v>2034</v>
      </c>
      <c r="P267" s="91">
        <f>(C10)</f>
        <v>150</v>
      </c>
      <c r="Q267" s="86" t="s">
        <v>877</v>
      </c>
      <c r="R267" s="91">
        <f>(M267*P267)</f>
        <v>150</v>
      </c>
      <c r="AG267" s="86" t="s">
        <v>2284</v>
      </c>
    </row>
    <row r="268" spans="1:33" hidden="1">
      <c r="A268" s="106">
        <f t="shared" si="12"/>
        <v>109</v>
      </c>
      <c r="B268" s="86" t="s">
        <v>3202</v>
      </c>
      <c r="C268" s="8">
        <v>9395</v>
      </c>
      <c r="D268" s="1" t="s">
        <v>878</v>
      </c>
      <c r="E268"/>
      <c r="H268" s="89" t="s">
        <v>1609</v>
      </c>
      <c r="I268"/>
      <c r="J268" s="4"/>
      <c r="K268"/>
      <c r="N268" s="86" t="s">
        <v>450</v>
      </c>
      <c r="O268" s="86" t="s">
        <v>451</v>
      </c>
      <c r="P268" s="86" t="s">
        <v>987</v>
      </c>
      <c r="Q268" s="86" t="s">
        <v>450</v>
      </c>
      <c r="R268" s="91">
        <v>0.05</v>
      </c>
      <c r="AG268" s="86" t="s">
        <v>2284</v>
      </c>
    </row>
    <row r="269" spans="1:33" hidden="1">
      <c r="A269" s="106">
        <f t="shared" si="12"/>
        <v>110</v>
      </c>
      <c r="B269" s="86" t="s">
        <v>3203</v>
      </c>
      <c r="C269" s="8">
        <v>15</v>
      </c>
      <c r="D269" s="1" t="s">
        <v>778</v>
      </c>
      <c r="E269"/>
      <c r="F269" s="91">
        <v>9</v>
      </c>
      <c r="G269" s="90" t="s">
        <v>878</v>
      </c>
      <c r="H269" s="86" t="s">
        <v>440</v>
      </c>
      <c r="I269" s="8" t="e">
        <f>(C73)</f>
        <v>#REF!</v>
      </c>
      <c r="J269" s="2" t="s">
        <v>878</v>
      </c>
      <c r="K269" s="8" t="e">
        <f t="shared" ref="K269:K274" si="13">(F269*I269)</f>
        <v>#REF!</v>
      </c>
      <c r="R269" s="89" t="s">
        <v>1609</v>
      </c>
      <c r="AG269" s="86" t="s">
        <v>2284</v>
      </c>
    </row>
    <row r="270" spans="1:33" hidden="1">
      <c r="A270" s="106">
        <f t="shared" si="12"/>
        <v>111</v>
      </c>
      <c r="B270" s="86" t="s">
        <v>441</v>
      </c>
      <c r="C270" s="8">
        <v>35</v>
      </c>
      <c r="D270" s="1" t="s">
        <v>1670</v>
      </c>
      <c r="E270" s="55">
        <v>120</v>
      </c>
      <c r="F270" s="111">
        <v>3.2309999999999999</v>
      </c>
      <c r="G270" s="90" t="s">
        <v>870</v>
      </c>
      <c r="H270" s="86" t="s">
        <v>871</v>
      </c>
      <c r="I270" s="8">
        <f>(C67)</f>
        <v>3800</v>
      </c>
      <c r="J270" s="2" t="s">
        <v>870</v>
      </c>
      <c r="K270" s="8">
        <f t="shared" si="13"/>
        <v>12277.8</v>
      </c>
      <c r="O270" s="86" t="s">
        <v>442</v>
      </c>
      <c r="R270" s="91" t="e">
        <f>SUM(R266:R268)</f>
        <v>#REF!</v>
      </c>
      <c r="AG270" s="86" t="s">
        <v>2284</v>
      </c>
    </row>
    <row r="271" spans="1:33" hidden="1">
      <c r="A271" s="106">
        <f t="shared" si="12"/>
        <v>112</v>
      </c>
      <c r="B271" s="86" t="s">
        <v>3022</v>
      </c>
      <c r="C271" s="8">
        <v>160</v>
      </c>
      <c r="D271" s="8">
        <v>452.09</v>
      </c>
      <c r="E271"/>
      <c r="F271" s="91">
        <v>4.5</v>
      </c>
      <c r="G271" s="90" t="s">
        <v>878</v>
      </c>
      <c r="H271" s="86" t="s">
        <v>879</v>
      </c>
      <c r="I271" s="8" t="e">
        <f>(C78)</f>
        <v>#REF!</v>
      </c>
      <c r="J271" s="2" t="s">
        <v>878</v>
      </c>
      <c r="K271" s="8" t="e">
        <f t="shared" si="13"/>
        <v>#REF!</v>
      </c>
      <c r="R271" s="89" t="s">
        <v>1609</v>
      </c>
      <c r="AG271" s="86" t="s">
        <v>2284</v>
      </c>
    </row>
    <row r="272" spans="1:33" hidden="1">
      <c r="A272" s="106">
        <f t="shared" si="12"/>
        <v>113</v>
      </c>
      <c r="B272" s="86" t="s">
        <v>1397</v>
      </c>
      <c r="C272" s="8">
        <v>13.5</v>
      </c>
      <c r="D272" s="1" t="s">
        <v>1796</v>
      </c>
      <c r="E272"/>
      <c r="F272" s="91">
        <v>3.5</v>
      </c>
      <c r="G272" s="90" t="s">
        <v>877</v>
      </c>
      <c r="H272" s="86" t="s">
        <v>1737</v>
      </c>
      <c r="I272" s="8">
        <f>(C11)</f>
        <v>135</v>
      </c>
      <c r="J272" s="2" t="s">
        <v>877</v>
      </c>
      <c r="K272" s="8">
        <f t="shared" si="13"/>
        <v>472.5</v>
      </c>
      <c r="O272" s="86" t="s">
        <v>556</v>
      </c>
      <c r="R272" s="91" t="e">
        <f>(R270/10)</f>
        <v>#REF!</v>
      </c>
      <c r="AG272" s="86" t="s">
        <v>2284</v>
      </c>
    </row>
    <row r="273" spans="1:33" hidden="1">
      <c r="A273" s="106">
        <f t="shared" si="12"/>
        <v>114</v>
      </c>
      <c r="B273" s="86" t="s">
        <v>1398</v>
      </c>
      <c r="C273" s="8">
        <v>18.809999999999999</v>
      </c>
      <c r="D273" s="1" t="s">
        <v>778</v>
      </c>
      <c r="E273"/>
      <c r="F273" s="91">
        <v>21.2</v>
      </c>
      <c r="G273" s="90" t="s">
        <v>877</v>
      </c>
      <c r="H273" s="86" t="s">
        <v>1927</v>
      </c>
      <c r="I273" s="8">
        <f>(C12)</f>
        <v>95</v>
      </c>
      <c r="J273" s="2" t="s">
        <v>877</v>
      </c>
      <c r="K273" s="8">
        <f t="shared" si="13"/>
        <v>2014</v>
      </c>
      <c r="R273" s="89" t="s">
        <v>2080</v>
      </c>
      <c r="AG273" s="86" t="s">
        <v>2284</v>
      </c>
    </row>
    <row r="274" spans="1:33" hidden="1">
      <c r="A274" s="106">
        <f t="shared" si="12"/>
        <v>115</v>
      </c>
      <c r="B274" s="86" t="s">
        <v>1399</v>
      </c>
      <c r="C274" s="8">
        <v>14.15</v>
      </c>
      <c r="D274" s="1" t="s">
        <v>778</v>
      </c>
      <c r="E274"/>
      <c r="F274" s="91">
        <v>35.299999999999997</v>
      </c>
      <c r="G274" s="90" t="s">
        <v>877</v>
      </c>
      <c r="H274" s="86" t="s">
        <v>321</v>
      </c>
      <c r="I274" s="8">
        <f>(C13)</f>
        <v>85</v>
      </c>
      <c r="J274" s="2" t="s">
        <v>877</v>
      </c>
      <c r="K274" s="8">
        <f t="shared" si="13"/>
        <v>3000.5</v>
      </c>
      <c r="N274" s="86" t="s">
        <v>1152</v>
      </c>
      <c r="O274" s="86" t="s">
        <v>386</v>
      </c>
      <c r="R274" s="91" t="e">
        <f>(R272+C19/10*M266)</f>
        <v>#REF!</v>
      </c>
      <c r="AG274" s="86" t="s">
        <v>2284</v>
      </c>
    </row>
    <row r="275" spans="1:33" hidden="1">
      <c r="A275" s="106">
        <f t="shared" si="12"/>
        <v>116</v>
      </c>
      <c r="B275" s="86" t="s">
        <v>665</v>
      </c>
      <c r="C275" s="8">
        <v>16.440000000000001</v>
      </c>
      <c r="D275" s="1" t="s">
        <v>778</v>
      </c>
      <c r="E275"/>
      <c r="G275" s="90" t="s">
        <v>450</v>
      </c>
      <c r="H275" s="86" t="s">
        <v>451</v>
      </c>
      <c r="I275" s="1" t="s">
        <v>987</v>
      </c>
      <c r="J275" s="2" t="s">
        <v>450</v>
      </c>
      <c r="K275" s="8">
        <v>0</v>
      </c>
      <c r="N275" s="86" t="s">
        <v>666</v>
      </c>
      <c r="O275" s="86" t="s">
        <v>388</v>
      </c>
      <c r="R275" s="91" t="e">
        <f>(R274+C20/10*M266)</f>
        <v>#REF!</v>
      </c>
      <c r="AG275" s="86" t="s">
        <v>2284</v>
      </c>
    </row>
    <row r="276" spans="1:33" hidden="1">
      <c r="A276" s="106">
        <f t="shared" si="12"/>
        <v>117</v>
      </c>
      <c r="B276" s="86" t="s">
        <v>667</v>
      </c>
      <c r="C276" s="8">
        <v>8</v>
      </c>
      <c r="D276" s="8">
        <v>6.25</v>
      </c>
      <c r="E276"/>
      <c r="I276"/>
      <c r="J276" s="4"/>
      <c r="K276" s="5" t="s">
        <v>1609</v>
      </c>
      <c r="N276" s="86" t="s">
        <v>678</v>
      </c>
      <c r="O276" s="86" t="s">
        <v>2257</v>
      </c>
      <c r="R276" s="91" t="e">
        <f>(R275+C21/10*M266)</f>
        <v>#REF!</v>
      </c>
      <c r="AG276" s="86" t="s">
        <v>2284</v>
      </c>
    </row>
    <row r="277" spans="1:33" hidden="1">
      <c r="A277" s="106">
        <f t="shared" si="12"/>
        <v>118</v>
      </c>
      <c r="B277" s="86" t="s">
        <v>679</v>
      </c>
      <c r="C277" s="8">
        <v>170.39</v>
      </c>
      <c r="D277" s="1" t="s">
        <v>615</v>
      </c>
      <c r="E277"/>
      <c r="H277" s="86" t="s">
        <v>2196</v>
      </c>
      <c r="I277"/>
      <c r="J277" s="4"/>
      <c r="K277" s="8" t="e">
        <f>SUM(K269:K275)</f>
        <v>#REF!</v>
      </c>
      <c r="N277" s="86" t="s">
        <v>2197</v>
      </c>
      <c r="O277" s="86" t="s">
        <v>380</v>
      </c>
      <c r="R277" s="91" t="e">
        <f>(R276+C21/10*M266)</f>
        <v>#REF!</v>
      </c>
      <c r="AG277" s="86" t="s">
        <v>2284</v>
      </c>
    </row>
    <row r="278" spans="1:33" hidden="1">
      <c r="A278" s="106">
        <f t="shared" si="12"/>
        <v>119</v>
      </c>
      <c r="B278" s="86" t="s">
        <v>3023</v>
      </c>
      <c r="C278" s="8">
        <v>45</v>
      </c>
      <c r="D278" s="1" t="s">
        <v>778</v>
      </c>
      <c r="E278"/>
      <c r="I278"/>
      <c r="J278" s="4"/>
      <c r="K278" s="5" t="s">
        <v>1609</v>
      </c>
      <c r="AG278" s="86" t="s">
        <v>2284</v>
      </c>
    </row>
    <row r="279" spans="1:33" hidden="1">
      <c r="A279" s="106">
        <f t="shared" si="12"/>
        <v>120</v>
      </c>
      <c r="B279" s="86" t="s">
        <v>3024</v>
      </c>
      <c r="C279" s="8">
        <v>31.24</v>
      </c>
      <c r="D279" s="1" t="s">
        <v>778</v>
      </c>
      <c r="E279"/>
      <c r="H279" s="86" t="s">
        <v>782</v>
      </c>
      <c r="I279"/>
      <c r="J279" s="4"/>
      <c r="K279" s="8" t="e">
        <f>(K277/10)</f>
        <v>#REF!</v>
      </c>
      <c r="N279" s="86" t="s">
        <v>681</v>
      </c>
      <c r="O279" s="86" t="s">
        <v>2198</v>
      </c>
      <c r="R279" s="86" t="s">
        <v>987</v>
      </c>
      <c r="AG279" s="86" t="s">
        <v>2284</v>
      </c>
    </row>
    <row r="280" spans="1:33" hidden="1">
      <c r="C280"/>
      <c r="D280"/>
      <c r="E280"/>
      <c r="F280" s="86" t="s">
        <v>987</v>
      </c>
      <c r="I280"/>
      <c r="J280" s="4"/>
      <c r="K280"/>
    </row>
    <row r="281" spans="1:33" hidden="1">
      <c r="A281" s="106">
        <f>(A279+1)</f>
        <v>121</v>
      </c>
      <c r="B281" s="86" t="s">
        <v>3025</v>
      </c>
      <c r="C281" s="8">
        <v>25</v>
      </c>
      <c r="D281" s="1" t="s">
        <v>778</v>
      </c>
      <c r="E281"/>
      <c r="I281"/>
      <c r="J281" s="4"/>
      <c r="K281"/>
      <c r="O281" s="86" t="s">
        <v>1606</v>
      </c>
      <c r="AG281" s="86" t="s">
        <v>2284</v>
      </c>
    </row>
    <row r="282" spans="1:33" hidden="1">
      <c r="A282" s="106">
        <f t="shared" ref="A282:A313" si="14">(A281+1)</f>
        <v>122</v>
      </c>
      <c r="B282" s="86" t="s">
        <v>3026</v>
      </c>
      <c r="C282" s="8">
        <v>13</v>
      </c>
      <c r="D282" s="1" t="s">
        <v>778</v>
      </c>
      <c r="E282"/>
      <c r="F282" s="91">
        <v>1</v>
      </c>
      <c r="G282" s="90" t="s">
        <v>878</v>
      </c>
      <c r="H282" s="86" t="s">
        <v>46</v>
      </c>
      <c r="I282"/>
      <c r="J282" s="4"/>
      <c r="K282" s="8">
        <f>(C25)</f>
        <v>20.7</v>
      </c>
      <c r="O282" s="89" t="s">
        <v>1609</v>
      </c>
      <c r="AG282" s="86" t="s">
        <v>2284</v>
      </c>
    </row>
    <row r="283" spans="1:33" hidden="1">
      <c r="A283" s="106">
        <f t="shared" si="14"/>
        <v>123</v>
      </c>
      <c r="B283" s="86" t="s">
        <v>3191</v>
      </c>
      <c r="C283" s="8">
        <v>30</v>
      </c>
      <c r="D283" s="1" t="s">
        <v>778</v>
      </c>
      <c r="E283"/>
      <c r="I283"/>
      <c r="J283" s="4"/>
      <c r="K283" s="5" t="s">
        <v>1609</v>
      </c>
      <c r="M283" s="91">
        <v>10</v>
      </c>
      <c r="N283" s="86" t="s">
        <v>615</v>
      </c>
      <c r="O283" s="86" t="s">
        <v>47</v>
      </c>
      <c r="P283" s="91" t="e">
        <f>(K1191)</f>
        <v>#REF!</v>
      </c>
      <c r="Q283" s="86" t="s">
        <v>615</v>
      </c>
      <c r="R283" s="91" t="e">
        <f>(M283*P283)</f>
        <v>#REF!</v>
      </c>
      <c r="AG283" s="86" t="s">
        <v>2284</v>
      </c>
    </row>
    <row r="284" spans="1:33" hidden="1">
      <c r="A284" s="106">
        <f t="shared" si="14"/>
        <v>124</v>
      </c>
      <c r="B284" s="86" t="s">
        <v>3192</v>
      </c>
      <c r="C284" s="8">
        <v>20</v>
      </c>
      <c r="D284" s="1" t="s">
        <v>778</v>
      </c>
      <c r="E284" s="55">
        <v>25</v>
      </c>
      <c r="H284" s="86" t="s">
        <v>608</v>
      </c>
      <c r="I284"/>
      <c r="J284" s="4"/>
      <c r="K284" s="8" t="e">
        <f>SUM(K279:K282)</f>
        <v>#REF!</v>
      </c>
      <c r="M284" s="91">
        <v>1.1000000000000001</v>
      </c>
      <c r="N284" s="86" t="s">
        <v>877</v>
      </c>
      <c r="O284" s="86" t="s">
        <v>1737</v>
      </c>
      <c r="P284" s="91">
        <f>(C11)</f>
        <v>135</v>
      </c>
      <c r="Q284" s="86" t="s">
        <v>877</v>
      </c>
      <c r="R284" s="91">
        <f>(M284*P284)</f>
        <v>148.5</v>
      </c>
      <c r="AG284" s="86" t="s">
        <v>2284</v>
      </c>
    </row>
    <row r="285" spans="1:33" hidden="1">
      <c r="A285" s="106">
        <f t="shared" si="14"/>
        <v>125</v>
      </c>
      <c r="B285" s="86" t="s">
        <v>609</v>
      </c>
      <c r="C285" s="8">
        <v>95</v>
      </c>
      <c r="D285" s="1" t="s">
        <v>778</v>
      </c>
      <c r="E285"/>
      <c r="I285"/>
      <c r="J285" s="4"/>
      <c r="K285" s="5" t="s">
        <v>1609</v>
      </c>
      <c r="M285" s="91">
        <v>1.1000000000000001</v>
      </c>
      <c r="N285" s="86" t="s">
        <v>877</v>
      </c>
      <c r="O285" s="86" t="s">
        <v>1927</v>
      </c>
      <c r="P285" s="91">
        <f>(C12)</f>
        <v>95</v>
      </c>
      <c r="Q285" s="86" t="s">
        <v>877</v>
      </c>
      <c r="R285" s="91">
        <f>(M285*P285)</f>
        <v>104.5</v>
      </c>
      <c r="AG285" s="86" t="s">
        <v>2284</v>
      </c>
    </row>
    <row r="286" spans="1:33" hidden="1">
      <c r="A286" s="106">
        <f t="shared" si="14"/>
        <v>126</v>
      </c>
      <c r="B286" s="86" t="s">
        <v>444</v>
      </c>
      <c r="C286" s="8">
        <v>80</v>
      </c>
      <c r="D286" s="1" t="s">
        <v>778</v>
      </c>
      <c r="E286"/>
      <c r="H286" s="86" t="s">
        <v>386</v>
      </c>
      <c r="I286"/>
      <c r="J286" s="4"/>
      <c r="K286" s="8" t="e">
        <f>(K284+C22)</f>
        <v>#REF!</v>
      </c>
      <c r="M286" s="91">
        <v>1.1000000000000001</v>
      </c>
      <c r="N286" s="86" t="s">
        <v>877</v>
      </c>
      <c r="O286" s="86" t="s">
        <v>321</v>
      </c>
      <c r="P286" s="91">
        <f>(C13)</f>
        <v>85</v>
      </c>
      <c r="Q286" s="86" t="s">
        <v>877</v>
      </c>
      <c r="R286" s="91">
        <f>(M286*P286)</f>
        <v>93.5</v>
      </c>
      <c r="AG286" s="86" t="s">
        <v>2284</v>
      </c>
    </row>
    <row r="287" spans="1:33" hidden="1">
      <c r="A287" s="106">
        <f t="shared" si="14"/>
        <v>127</v>
      </c>
      <c r="B287" s="86" t="s">
        <v>1830</v>
      </c>
      <c r="C287" s="8">
        <v>8</v>
      </c>
      <c r="D287" s="1" t="s">
        <v>778</v>
      </c>
      <c r="E287"/>
      <c r="H287" s="86" t="s">
        <v>388</v>
      </c>
      <c r="I287"/>
      <c r="J287" s="4"/>
      <c r="K287" s="8" t="e">
        <f>(K286+C23)</f>
        <v>#REF!</v>
      </c>
      <c r="R287" s="89" t="s">
        <v>1609</v>
      </c>
      <c r="AG287" s="86" t="s">
        <v>2284</v>
      </c>
    </row>
    <row r="288" spans="1:33" hidden="1">
      <c r="A288" s="106">
        <f t="shared" si="14"/>
        <v>128</v>
      </c>
      <c r="B288" s="86" t="s">
        <v>1168</v>
      </c>
      <c r="C288" s="8">
        <v>8</v>
      </c>
      <c r="D288" s="1" t="s">
        <v>778</v>
      </c>
      <c r="E288"/>
      <c r="H288" s="86" t="s">
        <v>2257</v>
      </c>
      <c r="I288"/>
      <c r="J288" s="4"/>
      <c r="K288" s="8" t="e">
        <f>(K287+C24)</f>
        <v>#REF!</v>
      </c>
      <c r="O288" s="86" t="s">
        <v>442</v>
      </c>
      <c r="R288" s="91" t="e">
        <f>SUM(R283:R286)</f>
        <v>#REF!</v>
      </c>
      <c r="AG288" s="86" t="s">
        <v>2284</v>
      </c>
    </row>
    <row r="289" spans="1:33" hidden="1">
      <c r="A289" s="106">
        <f t="shared" si="14"/>
        <v>129</v>
      </c>
      <c r="B289" s="86" t="s">
        <v>1169</v>
      </c>
      <c r="C289" s="8">
        <v>2.9</v>
      </c>
      <c r="D289" s="1" t="s">
        <v>1170</v>
      </c>
      <c r="E289"/>
      <c r="H289" s="86" t="s">
        <v>380</v>
      </c>
      <c r="I289"/>
      <c r="J289" s="4"/>
      <c r="K289" s="8" t="e">
        <f>(K288+C24)</f>
        <v>#REF!</v>
      </c>
      <c r="R289" s="89" t="s">
        <v>1609</v>
      </c>
      <c r="AG289" s="86" t="s">
        <v>2284</v>
      </c>
    </row>
    <row r="290" spans="1:33" hidden="1">
      <c r="A290" s="106">
        <f t="shared" si="14"/>
        <v>130</v>
      </c>
      <c r="B290" s="86" t="s">
        <v>1171</v>
      </c>
      <c r="C290" s="8">
        <v>20.6</v>
      </c>
      <c r="D290" s="1" t="s">
        <v>1170</v>
      </c>
      <c r="E290"/>
      <c r="H290" s="86" t="s">
        <v>489</v>
      </c>
      <c r="I290"/>
      <c r="J290" s="4"/>
      <c r="K290" s="8" t="e">
        <f>(K289+C24)</f>
        <v>#REF!</v>
      </c>
      <c r="O290" s="86" t="s">
        <v>556</v>
      </c>
      <c r="R290" s="91" t="e">
        <f>(R288/10)</f>
        <v>#REF!</v>
      </c>
      <c r="AG290" s="86" t="s">
        <v>2284</v>
      </c>
    </row>
    <row r="291" spans="1:33" hidden="1">
      <c r="A291" s="106">
        <f t="shared" si="14"/>
        <v>131</v>
      </c>
      <c r="B291" s="86" t="s">
        <v>490</v>
      </c>
      <c r="C291" s="8">
        <v>15.6</v>
      </c>
      <c r="D291" s="1" t="s">
        <v>778</v>
      </c>
      <c r="E291"/>
      <c r="I291"/>
      <c r="J291" s="4"/>
      <c r="K291"/>
      <c r="R291" s="89" t="s">
        <v>2080</v>
      </c>
      <c r="AG291" s="86" t="s">
        <v>2284</v>
      </c>
    </row>
    <row r="292" spans="1:33" hidden="1">
      <c r="A292" s="106">
        <f t="shared" si="14"/>
        <v>132</v>
      </c>
      <c r="B292" s="86" t="s">
        <v>491</v>
      </c>
      <c r="C292" s="8">
        <v>12.6</v>
      </c>
      <c r="D292" s="1" t="s">
        <v>778</v>
      </c>
      <c r="E292"/>
      <c r="F292" s="102" t="s">
        <v>1534</v>
      </c>
      <c r="G292" s="90" t="s">
        <v>2276</v>
      </c>
      <c r="H292" s="86" t="s">
        <v>492</v>
      </c>
      <c r="I292"/>
      <c r="J292" s="4"/>
      <c r="K292"/>
      <c r="AG292" s="86" t="s">
        <v>2284</v>
      </c>
    </row>
    <row r="293" spans="1:33" hidden="1">
      <c r="A293" s="106">
        <f t="shared" si="14"/>
        <v>133</v>
      </c>
      <c r="B293" s="86" t="s">
        <v>493</v>
      </c>
      <c r="C293" s="8">
        <v>5.75</v>
      </c>
      <c r="D293" s="1" t="s">
        <v>778</v>
      </c>
      <c r="E293"/>
      <c r="H293" s="89" t="s">
        <v>2080</v>
      </c>
      <c r="I293"/>
      <c r="J293" s="4"/>
      <c r="K293"/>
      <c r="N293" s="86" t="s">
        <v>2276</v>
      </c>
      <c r="O293" s="86" t="s">
        <v>1143</v>
      </c>
      <c r="AG293" s="86" t="s">
        <v>2284</v>
      </c>
    </row>
    <row r="294" spans="1:33" hidden="1">
      <c r="A294" s="106">
        <f t="shared" si="14"/>
        <v>134</v>
      </c>
      <c r="B294" s="86" t="s">
        <v>1144</v>
      </c>
      <c r="C294" s="8">
        <v>8.5</v>
      </c>
      <c r="D294" s="1" t="s">
        <v>778</v>
      </c>
      <c r="E294"/>
      <c r="F294" s="91">
        <v>10</v>
      </c>
      <c r="G294" s="90" t="s">
        <v>878</v>
      </c>
      <c r="H294" s="86" t="s">
        <v>874</v>
      </c>
      <c r="I294" s="8" t="e">
        <f>(C68)</f>
        <v>#REF!</v>
      </c>
      <c r="J294" s="2" t="s">
        <v>878</v>
      </c>
      <c r="K294" s="8" t="e">
        <f t="shared" ref="K294:K300" si="15">(F294*I294)</f>
        <v>#REF!</v>
      </c>
      <c r="O294" s="89" t="s">
        <v>1609</v>
      </c>
      <c r="AG294" s="86" t="s">
        <v>2284</v>
      </c>
    </row>
    <row r="295" spans="1:33" hidden="1">
      <c r="A295" s="106">
        <f t="shared" si="14"/>
        <v>135</v>
      </c>
      <c r="B295" s="86" t="s">
        <v>1278</v>
      </c>
      <c r="C295" s="8">
        <v>10</v>
      </c>
      <c r="D295" s="1" t="s">
        <v>778</v>
      </c>
      <c r="E295"/>
      <c r="F295" s="91">
        <v>1</v>
      </c>
      <c r="G295" s="90" t="s">
        <v>878</v>
      </c>
      <c r="H295" s="86" t="s">
        <v>881</v>
      </c>
      <c r="I295" s="8" t="e">
        <f>(C69)</f>
        <v>#REF!</v>
      </c>
      <c r="J295" s="2" t="s">
        <v>878</v>
      </c>
      <c r="K295" s="8" t="e">
        <f t="shared" si="15"/>
        <v>#REF!</v>
      </c>
      <c r="M295" s="91">
        <v>0.14000000000000001</v>
      </c>
      <c r="N295" s="86" t="s">
        <v>878</v>
      </c>
      <c r="O295" s="86" t="s">
        <v>1373</v>
      </c>
      <c r="P295" s="91" t="e">
        <f>(K32)</f>
        <v>#REF!</v>
      </c>
      <c r="Q295" s="86" t="s">
        <v>878</v>
      </c>
      <c r="R295" s="91" t="e">
        <f>(M295*P295)</f>
        <v>#REF!</v>
      </c>
      <c r="AG295" s="86" t="s">
        <v>2284</v>
      </c>
    </row>
    <row r="296" spans="1:33" hidden="1">
      <c r="A296" s="106">
        <f t="shared" si="14"/>
        <v>136</v>
      </c>
      <c r="B296" s="86" t="s">
        <v>1279</v>
      </c>
      <c r="C296" s="8">
        <v>3.25</v>
      </c>
      <c r="D296" s="1" t="s">
        <v>778</v>
      </c>
      <c r="E296"/>
      <c r="F296" s="91">
        <v>3.4</v>
      </c>
      <c r="G296" s="90" t="s">
        <v>878</v>
      </c>
      <c r="H296" s="86" t="s">
        <v>1650</v>
      </c>
      <c r="I296" s="8" t="e">
        <f>(K49)</f>
        <v>#REF!</v>
      </c>
      <c r="J296" s="2" t="s">
        <v>878</v>
      </c>
      <c r="K296" s="8" t="e">
        <f t="shared" si="15"/>
        <v>#REF!</v>
      </c>
      <c r="M296" s="91">
        <v>1.1000000000000001</v>
      </c>
      <c r="N296" s="86" t="s">
        <v>877</v>
      </c>
      <c r="O296" s="86" t="s">
        <v>2034</v>
      </c>
      <c r="P296" s="91">
        <f>(C10)</f>
        <v>150</v>
      </c>
      <c r="Q296" s="86" t="s">
        <v>877</v>
      </c>
      <c r="R296" s="91">
        <f>(M296*P296)</f>
        <v>165</v>
      </c>
      <c r="AG296" s="86" t="s">
        <v>2284</v>
      </c>
    </row>
    <row r="297" spans="1:33" hidden="1">
      <c r="A297" s="106">
        <f t="shared" si="14"/>
        <v>137</v>
      </c>
      <c r="B297" s="86" t="s">
        <v>1280</v>
      </c>
      <c r="C297" s="8">
        <v>2.2000000000000002</v>
      </c>
      <c r="D297" s="1" t="s">
        <v>778</v>
      </c>
      <c r="E297"/>
      <c r="F297" s="91">
        <v>7.1</v>
      </c>
      <c r="G297" s="90" t="s">
        <v>877</v>
      </c>
      <c r="H297" s="86" t="s">
        <v>2034</v>
      </c>
      <c r="I297" s="8">
        <f>(C10)</f>
        <v>150</v>
      </c>
      <c r="J297" s="2" t="s">
        <v>877</v>
      </c>
      <c r="K297" s="8">
        <f t="shared" si="15"/>
        <v>1065</v>
      </c>
      <c r="M297" s="91">
        <v>0.5</v>
      </c>
      <c r="N297" s="86" t="s">
        <v>877</v>
      </c>
      <c r="O297" s="86" t="s">
        <v>1927</v>
      </c>
      <c r="P297" s="91">
        <f>(C12)</f>
        <v>95</v>
      </c>
      <c r="Q297" s="86" t="s">
        <v>877</v>
      </c>
      <c r="R297" s="91">
        <f>(M297*P297)</f>
        <v>47.5</v>
      </c>
      <c r="AG297" s="86" t="s">
        <v>2284</v>
      </c>
    </row>
    <row r="298" spans="1:33" hidden="1">
      <c r="A298" s="106">
        <f t="shared" si="14"/>
        <v>138</v>
      </c>
      <c r="B298" s="86" t="s">
        <v>1471</v>
      </c>
      <c r="C298" s="8">
        <v>10.5</v>
      </c>
      <c r="D298" s="1" t="s">
        <v>778</v>
      </c>
      <c r="E298"/>
      <c r="F298" s="91">
        <v>10.6</v>
      </c>
      <c r="G298" s="90" t="s">
        <v>877</v>
      </c>
      <c r="H298" s="86" t="s">
        <v>1737</v>
      </c>
      <c r="I298" s="8">
        <f>(C11)</f>
        <v>135</v>
      </c>
      <c r="J298" s="2" t="s">
        <v>877</v>
      </c>
      <c r="K298" s="8">
        <f t="shared" si="15"/>
        <v>1431</v>
      </c>
      <c r="M298" s="91">
        <v>1.1000000000000001</v>
      </c>
      <c r="N298" s="86" t="s">
        <v>877</v>
      </c>
      <c r="O298" s="86" t="s">
        <v>321</v>
      </c>
      <c r="P298" s="91">
        <f>(C13)</f>
        <v>85</v>
      </c>
      <c r="Q298" s="86" t="s">
        <v>877</v>
      </c>
      <c r="R298" s="91">
        <f>(M298*P298)</f>
        <v>93.5</v>
      </c>
      <c r="AG298" s="86" t="s">
        <v>2284</v>
      </c>
    </row>
    <row r="299" spans="1:33" hidden="1">
      <c r="A299" s="106">
        <f t="shared" si="14"/>
        <v>139</v>
      </c>
      <c r="B299" s="86" t="s">
        <v>1472</v>
      </c>
      <c r="C299" s="8">
        <v>5.5</v>
      </c>
      <c r="D299" s="1" t="s">
        <v>778</v>
      </c>
      <c r="E299"/>
      <c r="F299" s="91">
        <v>14.1</v>
      </c>
      <c r="G299" s="90" t="s">
        <v>877</v>
      </c>
      <c r="H299" s="86" t="s">
        <v>1927</v>
      </c>
      <c r="I299" s="8">
        <f>(C12)</f>
        <v>95</v>
      </c>
      <c r="J299" s="2" t="s">
        <v>877</v>
      </c>
      <c r="K299" s="8">
        <f t="shared" si="15"/>
        <v>1339.5</v>
      </c>
      <c r="N299" s="86" t="s">
        <v>450</v>
      </c>
      <c r="O299" s="86" t="s">
        <v>451</v>
      </c>
      <c r="P299" s="86" t="s">
        <v>987</v>
      </c>
      <c r="Q299" s="86" t="s">
        <v>450</v>
      </c>
      <c r="R299" s="91">
        <v>0</v>
      </c>
      <c r="AG299" s="86" t="s">
        <v>2284</v>
      </c>
    </row>
    <row r="300" spans="1:33" hidden="1">
      <c r="A300" s="106">
        <f t="shared" si="14"/>
        <v>140</v>
      </c>
      <c r="B300" s="86" t="s">
        <v>495</v>
      </c>
      <c r="C300" s="8">
        <v>21</v>
      </c>
      <c r="D300" s="1" t="s">
        <v>778</v>
      </c>
      <c r="E300"/>
      <c r="F300" s="91">
        <v>14.1</v>
      </c>
      <c r="G300" s="90" t="s">
        <v>877</v>
      </c>
      <c r="H300" s="86" t="s">
        <v>321</v>
      </c>
      <c r="I300" s="8">
        <f>(C13)</f>
        <v>85</v>
      </c>
      <c r="J300" s="2" t="s">
        <v>877</v>
      </c>
      <c r="K300" s="8">
        <f t="shared" si="15"/>
        <v>1198.5</v>
      </c>
      <c r="R300" s="89" t="s">
        <v>1609</v>
      </c>
      <c r="AG300" s="86" t="s">
        <v>2284</v>
      </c>
    </row>
    <row r="301" spans="1:33" hidden="1">
      <c r="A301" s="106">
        <f t="shared" si="14"/>
        <v>141</v>
      </c>
      <c r="B301" s="86" t="s">
        <v>496</v>
      </c>
      <c r="C301" s="8">
        <v>10</v>
      </c>
      <c r="D301" s="1" t="s">
        <v>778</v>
      </c>
      <c r="E301"/>
      <c r="G301" s="90" t="s">
        <v>450</v>
      </c>
      <c r="H301" s="86" t="s">
        <v>451</v>
      </c>
      <c r="I301"/>
      <c r="J301" s="2" t="s">
        <v>450</v>
      </c>
      <c r="K301" s="8">
        <v>0</v>
      </c>
      <c r="O301" s="86" t="s">
        <v>442</v>
      </c>
      <c r="R301" s="91" t="e">
        <f>SUM(R295:R299)</f>
        <v>#REF!</v>
      </c>
      <c r="AG301" s="86" t="s">
        <v>2284</v>
      </c>
    </row>
    <row r="302" spans="1:33" hidden="1">
      <c r="A302" s="106">
        <f t="shared" si="14"/>
        <v>142</v>
      </c>
      <c r="B302" s="86" t="s">
        <v>1830</v>
      </c>
      <c r="C302" s="8">
        <v>4</v>
      </c>
      <c r="D302" s="1" t="s">
        <v>778</v>
      </c>
      <c r="E302"/>
      <c r="I302"/>
      <c r="J302" s="4"/>
      <c r="K302" s="5" t="s">
        <v>1609</v>
      </c>
      <c r="R302" s="89" t="s">
        <v>1609</v>
      </c>
      <c r="AG302" s="86" t="s">
        <v>2284</v>
      </c>
    </row>
    <row r="303" spans="1:33" hidden="1">
      <c r="A303" s="106">
        <f t="shared" si="14"/>
        <v>143</v>
      </c>
      <c r="B303" s="86" t="s">
        <v>1168</v>
      </c>
      <c r="C303" s="8">
        <v>8</v>
      </c>
      <c r="D303" s="1" t="s">
        <v>877</v>
      </c>
      <c r="E303"/>
      <c r="H303" s="86" t="s">
        <v>620</v>
      </c>
      <c r="I303"/>
      <c r="J303" s="4"/>
      <c r="K303" s="8" t="e">
        <f>SUM(K294:K301)</f>
        <v>#REF!</v>
      </c>
      <c r="O303" s="86" t="s">
        <v>556</v>
      </c>
      <c r="R303" s="91" t="e">
        <f>(R301/10)</f>
        <v>#REF!</v>
      </c>
      <c r="AG303" s="86" t="s">
        <v>2284</v>
      </c>
    </row>
    <row r="304" spans="1:33" hidden="1">
      <c r="A304" s="106">
        <f t="shared" si="14"/>
        <v>144</v>
      </c>
      <c r="B304" s="86" t="s">
        <v>1169</v>
      </c>
      <c r="C304" s="8">
        <v>8.5</v>
      </c>
      <c r="D304" s="1" t="s">
        <v>778</v>
      </c>
      <c r="E304"/>
      <c r="I304"/>
      <c r="J304" s="4"/>
      <c r="K304" s="5" t="s">
        <v>1609</v>
      </c>
      <c r="N304" s="86" t="s">
        <v>2276</v>
      </c>
      <c r="O304" s="86" t="s">
        <v>497</v>
      </c>
      <c r="R304" s="89" t="s">
        <v>2080</v>
      </c>
      <c r="AG304" s="86" t="s">
        <v>2284</v>
      </c>
    </row>
    <row r="305" spans="1:33" hidden="1">
      <c r="A305" s="106">
        <f t="shared" si="14"/>
        <v>145</v>
      </c>
      <c r="B305" s="86" t="s">
        <v>610</v>
      </c>
      <c r="C305" s="8">
        <v>20.6</v>
      </c>
      <c r="D305" s="1" t="s">
        <v>778</v>
      </c>
      <c r="E305"/>
      <c r="H305" s="86" t="s">
        <v>782</v>
      </c>
      <c r="I305"/>
      <c r="J305" s="4"/>
      <c r="K305" s="8" t="e">
        <f>(K303/10)</f>
        <v>#REF!</v>
      </c>
      <c r="O305" s="89" t="s">
        <v>1609</v>
      </c>
      <c r="AG305" s="86" t="s">
        <v>2284</v>
      </c>
    </row>
    <row r="306" spans="1:33" hidden="1">
      <c r="A306" s="106">
        <f t="shared" si="14"/>
        <v>146</v>
      </c>
      <c r="B306" s="86" t="s">
        <v>2009</v>
      </c>
      <c r="C306" s="8">
        <v>15.6</v>
      </c>
      <c r="D306" s="1" t="s">
        <v>778</v>
      </c>
      <c r="E306"/>
      <c r="I306"/>
      <c r="J306" s="4"/>
      <c r="K306" s="5" t="s">
        <v>2080</v>
      </c>
      <c r="M306" s="91">
        <v>0.14000000000000001</v>
      </c>
      <c r="N306" s="86" t="s">
        <v>878</v>
      </c>
      <c r="O306" s="86" t="s">
        <v>121</v>
      </c>
      <c r="P306" s="91" t="e">
        <f>(K23)</f>
        <v>#REF!</v>
      </c>
      <c r="Q306" s="86" t="s">
        <v>878</v>
      </c>
      <c r="R306" s="91" t="e">
        <f>(M306*P306)</f>
        <v>#REF!</v>
      </c>
      <c r="AG306" s="86" t="s">
        <v>2284</v>
      </c>
    </row>
    <row r="307" spans="1:33" hidden="1">
      <c r="A307" s="106">
        <f t="shared" si="14"/>
        <v>147</v>
      </c>
      <c r="B307" s="86" t="s">
        <v>2010</v>
      </c>
      <c r="C307" s="8">
        <v>0.9</v>
      </c>
      <c r="D307" s="1" t="s">
        <v>778</v>
      </c>
      <c r="E307"/>
      <c r="F307" s="108">
        <v>6</v>
      </c>
      <c r="G307" s="90" t="s">
        <v>2276</v>
      </c>
      <c r="H307" s="86" t="s">
        <v>3193</v>
      </c>
      <c r="I307"/>
      <c r="J307" s="4"/>
      <c r="K307"/>
      <c r="M307" s="91">
        <v>1.1000000000000001</v>
      </c>
      <c r="N307" s="86" t="s">
        <v>877</v>
      </c>
      <c r="O307" s="86" t="s">
        <v>2034</v>
      </c>
      <c r="P307" s="91">
        <f>(C10)</f>
        <v>150</v>
      </c>
      <c r="Q307" s="86" t="s">
        <v>877</v>
      </c>
      <c r="R307" s="91">
        <f>(M307*P307)</f>
        <v>165</v>
      </c>
      <c r="AG307" s="86" t="s">
        <v>2284</v>
      </c>
    </row>
    <row r="308" spans="1:33" hidden="1">
      <c r="A308" s="106">
        <f t="shared" si="14"/>
        <v>148</v>
      </c>
      <c r="B308" s="86" t="s">
        <v>2011</v>
      </c>
      <c r="C308" s="1" t="s">
        <v>987</v>
      </c>
      <c r="D308"/>
      <c r="E308"/>
      <c r="H308" s="86" t="s">
        <v>2961</v>
      </c>
      <c r="I308"/>
      <c r="J308" s="4"/>
      <c r="K308"/>
      <c r="M308" s="91">
        <v>0.5</v>
      </c>
      <c r="N308" s="86" t="s">
        <v>877</v>
      </c>
      <c r="O308" s="86" t="s">
        <v>1927</v>
      </c>
      <c r="P308" s="91">
        <f>(C12)</f>
        <v>95</v>
      </c>
      <c r="Q308" s="86" t="s">
        <v>877</v>
      </c>
      <c r="R308" s="91">
        <f>(M308*P308)</f>
        <v>47.5</v>
      </c>
      <c r="AG308" s="86" t="s">
        <v>2284</v>
      </c>
    </row>
    <row r="309" spans="1:33" hidden="1">
      <c r="A309" s="106">
        <f t="shared" si="14"/>
        <v>149</v>
      </c>
      <c r="B309" s="86" t="s">
        <v>239</v>
      </c>
      <c r="C309" s="8">
        <v>66.44</v>
      </c>
      <c r="D309" s="1" t="s">
        <v>1796</v>
      </c>
      <c r="E309"/>
      <c r="H309" s="89" t="s">
        <v>1609</v>
      </c>
      <c r="I309"/>
      <c r="J309" s="4"/>
      <c r="K309"/>
      <c r="M309" s="91">
        <v>1.1000000000000001</v>
      </c>
      <c r="N309" s="86" t="s">
        <v>877</v>
      </c>
      <c r="O309" s="86" t="s">
        <v>321</v>
      </c>
      <c r="P309" s="91">
        <f>(C13)</f>
        <v>85</v>
      </c>
      <c r="Q309" s="86" t="s">
        <v>877</v>
      </c>
      <c r="R309" s="91">
        <f>(M309*P309)</f>
        <v>93.5</v>
      </c>
      <c r="AG309" s="86" t="s">
        <v>2284</v>
      </c>
    </row>
    <row r="310" spans="1:33" hidden="1">
      <c r="A310" s="106">
        <f t="shared" si="14"/>
        <v>150</v>
      </c>
      <c r="B310" s="86" t="s">
        <v>240</v>
      </c>
      <c r="C310" s="8">
        <v>83.5</v>
      </c>
      <c r="D310" s="1" t="s">
        <v>1796</v>
      </c>
      <c r="E310"/>
      <c r="F310" s="91">
        <v>4800</v>
      </c>
      <c r="G310" s="90" t="s">
        <v>1445</v>
      </c>
      <c r="H310" s="91" t="str">
        <f>H308</f>
        <v>Bricks of size 22x11x7 cm</v>
      </c>
      <c r="I310" s="8" t="e">
        <f>C80</f>
        <v>#REF!</v>
      </c>
      <c r="J310" s="2" t="s">
        <v>1617</v>
      </c>
      <c r="K310" s="8" t="e">
        <f>(F310*I310)/1000</f>
        <v>#REF!</v>
      </c>
      <c r="N310" s="86" t="s">
        <v>450</v>
      </c>
      <c r="O310" s="86" t="s">
        <v>451</v>
      </c>
      <c r="P310" s="86" t="s">
        <v>987</v>
      </c>
      <c r="Q310" s="86" t="s">
        <v>450</v>
      </c>
      <c r="R310" s="91">
        <v>0</v>
      </c>
      <c r="AG310" s="86" t="s">
        <v>2284</v>
      </c>
    </row>
    <row r="311" spans="1:33" hidden="1">
      <c r="A311" s="106">
        <f t="shared" si="14"/>
        <v>151</v>
      </c>
      <c r="B311" s="86" t="s">
        <v>241</v>
      </c>
      <c r="C311" s="8">
        <v>102.12</v>
      </c>
      <c r="D311" s="1" t="s">
        <v>1796</v>
      </c>
      <c r="E311"/>
      <c r="F311" s="91">
        <v>2.5</v>
      </c>
      <c r="G311" s="90" t="s">
        <v>878</v>
      </c>
      <c r="H311" s="86" t="s">
        <v>1650</v>
      </c>
      <c r="I311" s="8" t="e">
        <f>K49</f>
        <v>#REF!</v>
      </c>
      <c r="J311" s="2" t="s">
        <v>878</v>
      </c>
      <c r="K311" s="8" t="e">
        <f>(F311*I311)</f>
        <v>#REF!</v>
      </c>
      <c r="R311" s="89" t="s">
        <v>1609</v>
      </c>
      <c r="AG311" s="86" t="s">
        <v>2284</v>
      </c>
    </row>
    <row r="312" spans="1:33" hidden="1">
      <c r="A312" s="106">
        <f t="shared" si="14"/>
        <v>152</v>
      </c>
      <c r="B312" s="86" t="s">
        <v>2247</v>
      </c>
      <c r="C312" s="8">
        <v>182.52</v>
      </c>
      <c r="D312" s="1" t="s">
        <v>1796</v>
      </c>
      <c r="E312"/>
      <c r="F312" s="91">
        <v>3.5</v>
      </c>
      <c r="G312" s="90" t="s">
        <v>877</v>
      </c>
      <c r="H312" s="86" t="s">
        <v>2034</v>
      </c>
      <c r="I312" s="8">
        <f>C10</f>
        <v>150</v>
      </c>
      <c r="J312" s="2" t="s">
        <v>877</v>
      </c>
      <c r="K312" s="8">
        <f>(F312*I312)</f>
        <v>525</v>
      </c>
      <c r="O312" s="86" t="s">
        <v>442</v>
      </c>
      <c r="R312" s="91" t="e">
        <f>SUM(R306:R310)</f>
        <v>#REF!</v>
      </c>
      <c r="AG312" s="86" t="s">
        <v>2284</v>
      </c>
    </row>
    <row r="313" spans="1:33" hidden="1">
      <c r="A313" s="106">
        <f t="shared" si="14"/>
        <v>153</v>
      </c>
      <c r="B313" s="86" t="s">
        <v>2248</v>
      </c>
      <c r="C313"/>
      <c r="D313"/>
      <c r="E313"/>
      <c r="F313" s="91">
        <v>10.6</v>
      </c>
      <c r="G313" s="90" t="s">
        <v>877</v>
      </c>
      <c r="H313" s="86" t="s">
        <v>1737</v>
      </c>
      <c r="I313" s="8">
        <f>C11</f>
        <v>135</v>
      </c>
      <c r="J313" s="2" t="s">
        <v>877</v>
      </c>
      <c r="K313" s="8">
        <f>(F313*I313)</f>
        <v>1431</v>
      </c>
      <c r="R313" s="89" t="s">
        <v>1609</v>
      </c>
      <c r="AG313" s="86" t="s">
        <v>2284</v>
      </c>
    </row>
    <row r="314" spans="1:33" hidden="1">
      <c r="A314" s="106">
        <f t="shared" ref="A314:A349" si="16">(A313+1)</f>
        <v>154</v>
      </c>
      <c r="B314" s="86" t="s">
        <v>239</v>
      </c>
      <c r="C314" s="8">
        <v>26.62</v>
      </c>
      <c r="D314" s="1" t="s">
        <v>778</v>
      </c>
      <c r="E314"/>
      <c r="F314" s="91">
        <v>7.1</v>
      </c>
      <c r="G314" s="90" t="s">
        <v>877</v>
      </c>
      <c r="H314" s="86" t="s">
        <v>1927</v>
      </c>
      <c r="I314" s="8">
        <f>C12</f>
        <v>95</v>
      </c>
      <c r="J314" s="2" t="s">
        <v>877</v>
      </c>
      <c r="K314" s="8">
        <f>(F314*I314)</f>
        <v>674.5</v>
      </c>
      <c r="O314" s="86" t="s">
        <v>556</v>
      </c>
      <c r="R314" s="91" t="e">
        <f>(R312/10)</f>
        <v>#REF!</v>
      </c>
      <c r="AG314" s="86" t="s">
        <v>2284</v>
      </c>
    </row>
    <row r="315" spans="1:33" hidden="1">
      <c r="A315" s="106">
        <f t="shared" si="16"/>
        <v>155</v>
      </c>
      <c r="B315" s="86" t="s">
        <v>240</v>
      </c>
      <c r="C315" s="8">
        <v>34.869999999999997</v>
      </c>
      <c r="D315" s="1" t="s">
        <v>778</v>
      </c>
      <c r="E315"/>
      <c r="F315" s="91">
        <v>21.2</v>
      </c>
      <c r="G315" s="90" t="s">
        <v>877</v>
      </c>
      <c r="H315" s="86" t="s">
        <v>321</v>
      </c>
      <c r="I315" s="8">
        <f>C13</f>
        <v>85</v>
      </c>
      <c r="J315" s="2" t="s">
        <v>877</v>
      </c>
      <c r="K315" s="8">
        <f>(F315*I315)</f>
        <v>1802</v>
      </c>
      <c r="R315" s="89" t="s">
        <v>2080</v>
      </c>
      <c r="AG315" s="86" t="s">
        <v>2284</v>
      </c>
    </row>
    <row r="316" spans="1:33" hidden="1">
      <c r="A316" s="106">
        <f t="shared" si="16"/>
        <v>156</v>
      </c>
      <c r="B316" s="86" t="s">
        <v>241</v>
      </c>
      <c r="C316" s="8">
        <v>45</v>
      </c>
      <c r="D316" s="1" t="s">
        <v>778</v>
      </c>
      <c r="E316"/>
      <c r="G316" s="90" t="s">
        <v>450</v>
      </c>
      <c r="H316" s="86" t="s">
        <v>451</v>
      </c>
      <c r="I316"/>
      <c r="J316" s="2" t="s">
        <v>450</v>
      </c>
      <c r="K316" s="8">
        <v>0</v>
      </c>
      <c r="N316" s="86" t="s">
        <v>2276</v>
      </c>
      <c r="O316" s="86" t="s">
        <v>2249</v>
      </c>
      <c r="AG316" s="86" t="s">
        <v>2284</v>
      </c>
    </row>
    <row r="317" spans="1:33" hidden="1">
      <c r="A317" s="106">
        <f t="shared" si="16"/>
        <v>157</v>
      </c>
      <c r="B317" s="86" t="s">
        <v>2247</v>
      </c>
      <c r="C317" s="8">
        <v>99.75</v>
      </c>
      <c r="D317" s="1" t="s">
        <v>778</v>
      </c>
      <c r="E317"/>
      <c r="I317"/>
      <c r="J317" s="4"/>
      <c r="K317" s="5" t="s">
        <v>1609</v>
      </c>
      <c r="O317" s="89" t="s">
        <v>1609</v>
      </c>
      <c r="AG317" s="86" t="s">
        <v>2284</v>
      </c>
    </row>
    <row r="318" spans="1:33" hidden="1">
      <c r="A318" s="106">
        <f t="shared" si="16"/>
        <v>158</v>
      </c>
      <c r="B318" s="86" t="s">
        <v>2211</v>
      </c>
      <c r="C318"/>
      <c r="D318"/>
      <c r="E318"/>
      <c r="H318" s="86" t="s">
        <v>620</v>
      </c>
      <c r="I318"/>
      <c r="J318" s="4"/>
      <c r="K318" s="8" t="e">
        <f>SUM(K310:K316)</f>
        <v>#REF!</v>
      </c>
      <c r="M318" s="91">
        <v>0.1</v>
      </c>
      <c r="N318" s="86" t="s">
        <v>878</v>
      </c>
      <c r="O318" s="86" t="s">
        <v>121</v>
      </c>
      <c r="P318" s="91" t="e">
        <f>(K23)</f>
        <v>#REF!</v>
      </c>
      <c r="Q318" s="86" t="s">
        <v>878</v>
      </c>
      <c r="R318" s="91" t="e">
        <f>(M318*P318)</f>
        <v>#REF!</v>
      </c>
      <c r="AG318" s="86" t="s">
        <v>2284</v>
      </c>
    </row>
    <row r="319" spans="1:33" hidden="1">
      <c r="A319" s="106">
        <f t="shared" si="16"/>
        <v>159</v>
      </c>
      <c r="B319" s="86" t="s">
        <v>239</v>
      </c>
      <c r="C319" s="8">
        <v>43.47</v>
      </c>
      <c r="D319" s="1" t="s">
        <v>778</v>
      </c>
      <c r="E319"/>
      <c r="I319"/>
      <c r="J319" s="4"/>
      <c r="K319" s="5" t="s">
        <v>1609</v>
      </c>
      <c r="M319" s="91">
        <v>1.1000000000000001</v>
      </c>
      <c r="N319" s="86" t="s">
        <v>877</v>
      </c>
      <c r="O319" s="86" t="s">
        <v>2034</v>
      </c>
      <c r="P319" s="91">
        <f>(C10)</f>
        <v>150</v>
      </c>
      <c r="Q319" s="86" t="s">
        <v>877</v>
      </c>
      <c r="R319" s="91">
        <f>(M319*P319)</f>
        <v>165</v>
      </c>
      <c r="AG319" s="86" t="s">
        <v>2284</v>
      </c>
    </row>
    <row r="320" spans="1:33" hidden="1">
      <c r="A320" s="106">
        <f t="shared" si="16"/>
        <v>160</v>
      </c>
      <c r="B320" s="86" t="s">
        <v>240</v>
      </c>
      <c r="C320" s="8">
        <v>50.34</v>
      </c>
      <c r="D320" s="1" t="s">
        <v>778</v>
      </c>
      <c r="E320"/>
      <c r="H320" s="86" t="s">
        <v>782</v>
      </c>
      <c r="I320"/>
      <c r="J320" s="4"/>
      <c r="K320" s="8" t="e">
        <f>(K318/10)</f>
        <v>#REF!</v>
      </c>
      <c r="M320" s="91">
        <v>1.1000000000000001</v>
      </c>
      <c r="N320" s="86" t="s">
        <v>877</v>
      </c>
      <c r="O320" s="86" t="s">
        <v>1927</v>
      </c>
      <c r="P320" s="91">
        <f>(C12)</f>
        <v>95</v>
      </c>
      <c r="Q320" s="86" t="s">
        <v>877</v>
      </c>
      <c r="R320" s="91">
        <f>(M320*P320)</f>
        <v>104.5</v>
      </c>
      <c r="AG320" s="86" t="s">
        <v>322</v>
      </c>
    </row>
    <row r="321" spans="1:33" hidden="1">
      <c r="A321" s="106">
        <f t="shared" si="16"/>
        <v>161</v>
      </c>
      <c r="B321" s="86" t="s">
        <v>241</v>
      </c>
      <c r="C321" s="8">
        <v>65.209999999999994</v>
      </c>
      <c r="D321" s="1" t="s">
        <v>778</v>
      </c>
      <c r="E321"/>
      <c r="I321"/>
      <c r="J321" s="4"/>
      <c r="K321" s="5" t="s">
        <v>2080</v>
      </c>
      <c r="M321" s="91">
        <v>1.1000000000000001</v>
      </c>
      <c r="N321" s="86" t="s">
        <v>877</v>
      </c>
      <c r="O321" s="86" t="s">
        <v>321</v>
      </c>
      <c r="P321" s="91">
        <f>(C13)</f>
        <v>85</v>
      </c>
      <c r="Q321" s="86" t="s">
        <v>877</v>
      </c>
      <c r="R321" s="91">
        <f>(M321*P321)</f>
        <v>93.5</v>
      </c>
    </row>
    <row r="322" spans="1:33" hidden="1">
      <c r="A322" s="106">
        <f t="shared" si="16"/>
        <v>162</v>
      </c>
      <c r="B322" s="86" t="s">
        <v>2247</v>
      </c>
      <c r="C322" s="8">
        <v>145.29</v>
      </c>
      <c r="D322" s="1" t="s">
        <v>778</v>
      </c>
      <c r="E322"/>
      <c r="H322" s="86" t="s">
        <v>386</v>
      </c>
      <c r="I322"/>
      <c r="J322" s="4"/>
      <c r="K322" s="8" t="e">
        <f>(K320+C19)</f>
        <v>#REF!</v>
      </c>
      <c r="N322" s="86" t="s">
        <v>450</v>
      </c>
      <c r="O322" s="86" t="s">
        <v>451</v>
      </c>
      <c r="P322" s="86" t="s">
        <v>987</v>
      </c>
      <c r="Q322" s="86" t="s">
        <v>450</v>
      </c>
      <c r="R322" s="91">
        <v>0</v>
      </c>
    </row>
    <row r="323" spans="1:33" hidden="1">
      <c r="A323" s="106">
        <f t="shared" si="16"/>
        <v>163</v>
      </c>
      <c r="B323" s="86" t="s">
        <v>2212</v>
      </c>
      <c r="C323"/>
      <c r="D323"/>
      <c r="E323"/>
      <c r="H323" s="86" t="s">
        <v>388</v>
      </c>
      <c r="I323"/>
      <c r="J323" s="4"/>
      <c r="K323" s="8" t="e">
        <f>(K322+C20)</f>
        <v>#REF!</v>
      </c>
      <c r="R323" s="89" t="s">
        <v>1609</v>
      </c>
      <c r="AG323" s="86" t="s">
        <v>2284</v>
      </c>
    </row>
    <row r="324" spans="1:33" hidden="1">
      <c r="A324" s="106">
        <f t="shared" si="16"/>
        <v>164</v>
      </c>
      <c r="B324" s="86" t="s">
        <v>239</v>
      </c>
      <c r="C324" s="8">
        <v>14.91</v>
      </c>
      <c r="D324" s="1" t="s">
        <v>1796</v>
      </c>
      <c r="E324"/>
      <c r="H324" s="86" t="s">
        <v>2257</v>
      </c>
      <c r="I324"/>
      <c r="J324" s="4"/>
      <c r="K324" s="8" t="e">
        <f>(K323+C21)</f>
        <v>#REF!</v>
      </c>
      <c r="O324" s="86" t="s">
        <v>442</v>
      </c>
      <c r="R324" s="91" t="e">
        <f>SUM(R318:R322)</f>
        <v>#REF!</v>
      </c>
      <c r="AG324" s="86" t="s">
        <v>2284</v>
      </c>
    </row>
    <row r="325" spans="1:33" hidden="1">
      <c r="A325" s="106">
        <f t="shared" si="16"/>
        <v>165</v>
      </c>
      <c r="B325" s="86" t="s">
        <v>240</v>
      </c>
      <c r="C325" s="8">
        <v>19.41</v>
      </c>
      <c r="D325" s="1" t="s">
        <v>1796</v>
      </c>
      <c r="E325"/>
      <c r="H325" s="86" t="s">
        <v>380</v>
      </c>
      <c r="I325"/>
      <c r="J325" s="4"/>
      <c r="K325" s="8" t="e">
        <f>(K324+C21)</f>
        <v>#REF!</v>
      </c>
      <c r="R325" s="89" t="s">
        <v>1609</v>
      </c>
      <c r="AG325" s="86" t="s">
        <v>2284</v>
      </c>
    </row>
    <row r="326" spans="1:33" hidden="1">
      <c r="A326" s="106">
        <f t="shared" si="16"/>
        <v>166</v>
      </c>
      <c r="B326" s="86" t="s">
        <v>241</v>
      </c>
      <c r="C326" s="8">
        <v>22.22</v>
      </c>
      <c r="D326" s="1" t="s">
        <v>1796</v>
      </c>
      <c r="E326"/>
      <c r="H326" s="86" t="s">
        <v>489</v>
      </c>
      <c r="I326"/>
      <c r="J326" s="4"/>
      <c r="K326" s="8" t="e">
        <f>(K325+C21)</f>
        <v>#REF!</v>
      </c>
      <c r="O326" s="86" t="s">
        <v>556</v>
      </c>
      <c r="R326" s="91" t="e">
        <f>(R324/10)</f>
        <v>#REF!</v>
      </c>
      <c r="AG326" s="86" t="s">
        <v>2284</v>
      </c>
    </row>
    <row r="327" spans="1:33" hidden="1">
      <c r="A327" s="106"/>
      <c r="B327" s="86"/>
      <c r="C327" s="8"/>
      <c r="D327" s="1"/>
      <c r="E327"/>
      <c r="H327" s="86"/>
      <c r="I327"/>
      <c r="J327" s="4"/>
      <c r="K327" s="8"/>
      <c r="O327" s="86"/>
      <c r="R327" s="91"/>
      <c r="AG327" s="86"/>
    </row>
    <row r="328" spans="1:33" hidden="1">
      <c r="A328" s="106"/>
      <c r="B328" s="86"/>
      <c r="C328" s="8"/>
      <c r="D328" s="1"/>
      <c r="E328"/>
      <c r="F328" s="102" t="s">
        <v>645</v>
      </c>
      <c r="H328" s="86" t="s">
        <v>1630</v>
      </c>
      <c r="I328"/>
      <c r="J328" s="4"/>
      <c r="K328" s="1" t="s">
        <v>2962</v>
      </c>
      <c r="O328" s="86"/>
      <c r="R328" s="91"/>
      <c r="AG328" s="86"/>
    </row>
    <row r="329" spans="1:33" hidden="1">
      <c r="A329" s="106"/>
      <c r="B329" s="86"/>
      <c r="C329" s="8"/>
      <c r="D329" s="1"/>
      <c r="E329"/>
      <c r="H329" s="86" t="s">
        <v>646</v>
      </c>
      <c r="I329"/>
      <c r="J329" s="4"/>
      <c r="K329" s="5" t="s">
        <v>2080</v>
      </c>
      <c r="O329" s="86"/>
      <c r="R329" s="91"/>
      <c r="AG329" s="86"/>
    </row>
    <row r="330" spans="1:33" hidden="1">
      <c r="A330" s="106"/>
      <c r="B330" s="86"/>
      <c r="C330" s="8"/>
      <c r="D330" s="1"/>
      <c r="E330"/>
      <c r="H330" s="86"/>
      <c r="I330"/>
      <c r="J330" s="4"/>
      <c r="K330" s="8"/>
      <c r="O330" s="86"/>
      <c r="R330" s="91"/>
      <c r="AG330" s="86"/>
    </row>
    <row r="331" spans="1:33" hidden="1">
      <c r="A331" s="106">
        <f>(A326+1)</f>
        <v>167</v>
      </c>
      <c r="B331" s="86" t="s">
        <v>2247</v>
      </c>
      <c r="C331" s="8">
        <v>46.42</v>
      </c>
      <c r="D331" s="1" t="s">
        <v>1796</v>
      </c>
      <c r="E331"/>
      <c r="F331" s="108">
        <v>9</v>
      </c>
      <c r="G331" s="90" t="s">
        <v>2276</v>
      </c>
      <c r="H331" s="86" t="s">
        <v>3152</v>
      </c>
      <c r="I331"/>
      <c r="J331" s="4"/>
      <c r="K331"/>
      <c r="R331" s="89" t="s">
        <v>2080</v>
      </c>
      <c r="AG331" s="86" t="s">
        <v>2284</v>
      </c>
    </row>
    <row r="332" spans="1:33" hidden="1">
      <c r="A332" s="106">
        <f t="shared" si="16"/>
        <v>168</v>
      </c>
      <c r="B332" s="86" t="s">
        <v>2213</v>
      </c>
      <c r="C332"/>
      <c r="D332"/>
      <c r="E332"/>
      <c r="H332" s="91" t="str">
        <f>H308</f>
        <v>Bricks of size 22x11x7 cm</v>
      </c>
      <c r="I332"/>
      <c r="J332" s="4"/>
      <c r="K332"/>
      <c r="AG332" s="86" t="s">
        <v>2284</v>
      </c>
    </row>
    <row r="333" spans="1:33" hidden="1">
      <c r="A333" s="106">
        <f t="shared" si="16"/>
        <v>169</v>
      </c>
      <c r="B333" s="86" t="s">
        <v>239</v>
      </c>
      <c r="C333" s="8">
        <v>8.58</v>
      </c>
      <c r="D333" s="1" t="s">
        <v>778</v>
      </c>
      <c r="E333"/>
      <c r="H333" s="89" t="s">
        <v>1609</v>
      </c>
      <c r="I333"/>
      <c r="J333" s="4"/>
      <c r="K333"/>
      <c r="N333" s="86" t="s">
        <v>2276</v>
      </c>
      <c r="O333" s="86" t="s">
        <v>2214</v>
      </c>
      <c r="AG333" s="86" t="s">
        <v>2284</v>
      </c>
    </row>
    <row r="334" spans="1:33" hidden="1">
      <c r="A334" s="106">
        <f t="shared" si="16"/>
        <v>170</v>
      </c>
      <c r="B334" s="86" t="s">
        <v>240</v>
      </c>
      <c r="C334" s="8">
        <v>12.26</v>
      </c>
      <c r="D334" s="1" t="s">
        <v>778</v>
      </c>
      <c r="E334"/>
      <c r="F334" s="91">
        <f>F310</f>
        <v>4800</v>
      </c>
      <c r="G334" s="90" t="s">
        <v>1445</v>
      </c>
      <c r="H334" s="91" t="str">
        <f>H308</f>
        <v>Bricks of size 22x11x7 cm</v>
      </c>
      <c r="I334" s="8" t="e">
        <f>C80</f>
        <v>#REF!</v>
      </c>
      <c r="J334" s="2" t="s">
        <v>1617</v>
      </c>
      <c r="K334" s="8" t="e">
        <f>(F334*I334)/1000</f>
        <v>#REF!</v>
      </c>
      <c r="O334" s="89" t="s">
        <v>1609</v>
      </c>
      <c r="AG334" s="86" t="s">
        <v>2284</v>
      </c>
    </row>
    <row r="335" spans="1:33" hidden="1">
      <c r="A335" s="106">
        <f t="shared" si="16"/>
        <v>171</v>
      </c>
      <c r="B335" s="86" t="s">
        <v>241</v>
      </c>
      <c r="C335" s="8">
        <v>13.89</v>
      </c>
      <c r="D335" s="1" t="s">
        <v>778</v>
      </c>
      <c r="E335"/>
      <c r="F335" s="91">
        <f>F311</f>
        <v>2.5</v>
      </c>
      <c r="G335" s="90" t="s">
        <v>878</v>
      </c>
      <c r="H335" s="86" t="s">
        <v>1656</v>
      </c>
      <c r="I335" s="8" t="e">
        <f>K58</f>
        <v>#REF!</v>
      </c>
      <c r="J335" s="2" t="s">
        <v>878</v>
      </c>
      <c r="K335" s="8" t="e">
        <f>(F335*I335)</f>
        <v>#REF!</v>
      </c>
      <c r="M335" s="91">
        <v>0.22</v>
      </c>
      <c r="N335" s="86" t="s">
        <v>878</v>
      </c>
      <c r="O335" s="86" t="s">
        <v>1650</v>
      </c>
      <c r="P335" s="91" t="e">
        <f>(K49)</f>
        <v>#REF!</v>
      </c>
      <c r="Q335" s="86" t="s">
        <v>878</v>
      </c>
      <c r="R335" s="91" t="e">
        <f>(M335*P335)</f>
        <v>#REF!</v>
      </c>
      <c r="AG335" s="86" t="s">
        <v>2284</v>
      </c>
    </row>
    <row r="336" spans="1:33" hidden="1">
      <c r="A336" s="106">
        <f t="shared" si="16"/>
        <v>172</v>
      </c>
      <c r="B336" s="86" t="s">
        <v>2247</v>
      </c>
      <c r="C336" s="8">
        <v>36.25</v>
      </c>
      <c r="D336" s="1" t="s">
        <v>778</v>
      </c>
      <c r="E336"/>
      <c r="F336" s="91">
        <v>3.5</v>
      </c>
      <c r="G336" s="90" t="s">
        <v>877</v>
      </c>
      <c r="H336" s="86" t="s">
        <v>2034</v>
      </c>
      <c r="I336" s="8">
        <f>C10</f>
        <v>150</v>
      </c>
      <c r="J336" s="2" t="s">
        <v>877</v>
      </c>
      <c r="K336" s="8">
        <f>(F336*I336)</f>
        <v>525</v>
      </c>
      <c r="M336" s="91">
        <v>2.2000000000000002</v>
      </c>
      <c r="N336" s="86" t="s">
        <v>877</v>
      </c>
      <c r="O336" s="86" t="s">
        <v>2034</v>
      </c>
      <c r="P336" s="91">
        <f>(C10)</f>
        <v>150</v>
      </c>
      <c r="Q336" s="86" t="s">
        <v>877</v>
      </c>
      <c r="R336" s="91">
        <f>(M336*P336)</f>
        <v>330</v>
      </c>
      <c r="AG336" s="86" t="s">
        <v>2284</v>
      </c>
    </row>
    <row r="337" spans="1:33" hidden="1">
      <c r="A337" s="106">
        <f t="shared" si="16"/>
        <v>173</v>
      </c>
      <c r="B337" s="86" t="s">
        <v>2215</v>
      </c>
      <c r="C337"/>
      <c r="D337"/>
      <c r="E337"/>
      <c r="F337" s="91">
        <v>10.6</v>
      </c>
      <c r="G337" s="90" t="s">
        <v>877</v>
      </c>
      <c r="H337" s="86" t="s">
        <v>1737</v>
      </c>
      <c r="I337" s="8">
        <f>C11</f>
        <v>135</v>
      </c>
      <c r="J337" s="2" t="s">
        <v>877</v>
      </c>
      <c r="K337" s="8">
        <f>(F337*I337)</f>
        <v>1431</v>
      </c>
      <c r="M337" s="91">
        <v>0.5</v>
      </c>
      <c r="N337" s="86" t="s">
        <v>877</v>
      </c>
      <c r="O337" s="86" t="s">
        <v>1927</v>
      </c>
      <c r="P337" s="91">
        <f>(C12)</f>
        <v>95</v>
      </c>
      <c r="Q337" s="86" t="s">
        <v>877</v>
      </c>
      <c r="R337" s="91">
        <f>(M337*P337)</f>
        <v>47.5</v>
      </c>
      <c r="AG337" s="86" t="s">
        <v>2284</v>
      </c>
    </row>
    <row r="338" spans="1:33" hidden="1">
      <c r="A338" s="106">
        <f t="shared" si="16"/>
        <v>174</v>
      </c>
      <c r="B338" s="86" t="s">
        <v>239</v>
      </c>
      <c r="C338" s="8">
        <v>15.7</v>
      </c>
      <c r="D338" s="1" t="s">
        <v>778</v>
      </c>
      <c r="E338"/>
      <c r="F338" s="91">
        <v>7.1</v>
      </c>
      <c r="G338" s="90" t="s">
        <v>877</v>
      </c>
      <c r="H338" s="86" t="s">
        <v>1927</v>
      </c>
      <c r="I338" s="8">
        <f>C12</f>
        <v>95</v>
      </c>
      <c r="J338" s="2" t="s">
        <v>877</v>
      </c>
      <c r="K338" s="8">
        <f>(F338*I338)</f>
        <v>674.5</v>
      </c>
      <c r="M338" s="91">
        <v>3.2</v>
      </c>
      <c r="N338" s="86" t="s">
        <v>877</v>
      </c>
      <c r="O338" s="86" t="s">
        <v>321</v>
      </c>
      <c r="P338" s="91">
        <f>(C13)</f>
        <v>85</v>
      </c>
      <c r="Q338" s="86" t="s">
        <v>877</v>
      </c>
      <c r="R338" s="91">
        <f>(M338*P338)</f>
        <v>272</v>
      </c>
      <c r="AG338" s="86" t="s">
        <v>2284</v>
      </c>
    </row>
    <row r="339" spans="1:33" hidden="1">
      <c r="A339" s="106">
        <f t="shared" si="16"/>
        <v>175</v>
      </c>
      <c r="B339" s="86" t="s">
        <v>240</v>
      </c>
      <c r="C339" s="8">
        <v>22.31</v>
      </c>
      <c r="D339" s="1" t="s">
        <v>778</v>
      </c>
      <c r="E339"/>
      <c r="F339" s="91">
        <v>21.2</v>
      </c>
      <c r="G339" s="90" t="s">
        <v>877</v>
      </c>
      <c r="H339" s="86" t="s">
        <v>321</v>
      </c>
      <c r="I339" s="8">
        <f>C13</f>
        <v>85</v>
      </c>
      <c r="J339" s="2" t="s">
        <v>877</v>
      </c>
      <c r="K339" s="8">
        <f>(F339*I339)</f>
        <v>1802</v>
      </c>
      <c r="N339" s="86" t="s">
        <v>450</v>
      </c>
      <c r="O339" s="86" t="s">
        <v>451</v>
      </c>
      <c r="P339" s="86" t="s">
        <v>987</v>
      </c>
      <c r="Q339" s="86" t="s">
        <v>450</v>
      </c>
      <c r="R339" s="91">
        <v>0</v>
      </c>
      <c r="AG339" s="86" t="s">
        <v>2284</v>
      </c>
    </row>
    <row r="340" spans="1:33" hidden="1">
      <c r="A340" s="106">
        <f t="shared" si="16"/>
        <v>176</v>
      </c>
      <c r="B340" s="86" t="s">
        <v>241</v>
      </c>
      <c r="C340" s="8">
        <v>25.24</v>
      </c>
      <c r="D340" s="1" t="s">
        <v>778</v>
      </c>
      <c r="E340"/>
      <c r="G340" s="90" t="s">
        <v>450</v>
      </c>
      <c r="H340" s="86" t="s">
        <v>451</v>
      </c>
      <c r="I340"/>
      <c r="J340" s="2" t="s">
        <v>450</v>
      </c>
      <c r="K340" s="8">
        <v>0</v>
      </c>
      <c r="R340" s="89" t="s">
        <v>1609</v>
      </c>
      <c r="AG340" s="86" t="s">
        <v>2284</v>
      </c>
    </row>
    <row r="341" spans="1:33" hidden="1">
      <c r="A341" s="106">
        <f t="shared" si="16"/>
        <v>177</v>
      </c>
      <c r="B341" s="86" t="s">
        <v>2247</v>
      </c>
      <c r="C341" s="8">
        <v>52.34</v>
      </c>
      <c r="D341" s="1" t="s">
        <v>778</v>
      </c>
      <c r="E341"/>
      <c r="I341"/>
      <c r="J341" s="4"/>
      <c r="K341" s="5" t="s">
        <v>1609</v>
      </c>
      <c r="O341" s="86" t="s">
        <v>442</v>
      </c>
      <c r="R341" s="91" t="e">
        <f>SUM(R335:R339)</f>
        <v>#REF!</v>
      </c>
      <c r="AG341" s="86" t="s">
        <v>2284</v>
      </c>
    </row>
    <row r="342" spans="1:33" hidden="1">
      <c r="A342" s="106">
        <f t="shared" si="16"/>
        <v>178</v>
      </c>
      <c r="B342" s="86" t="s">
        <v>1057</v>
      </c>
      <c r="C342"/>
      <c r="D342"/>
      <c r="E342"/>
      <c r="H342" s="86" t="s">
        <v>620</v>
      </c>
      <c r="I342"/>
      <c r="J342" s="4"/>
      <c r="K342" s="8" t="e">
        <f>SUM(K334:K340)</f>
        <v>#REF!</v>
      </c>
      <c r="R342" s="89" t="s">
        <v>1609</v>
      </c>
      <c r="AG342" s="86" t="s">
        <v>2284</v>
      </c>
    </row>
    <row r="343" spans="1:33" hidden="1">
      <c r="A343" s="106">
        <f t="shared" si="16"/>
        <v>179</v>
      </c>
      <c r="B343" s="86" t="s">
        <v>239</v>
      </c>
      <c r="C343" s="8">
        <v>13.73</v>
      </c>
      <c r="D343" s="1" t="s">
        <v>778</v>
      </c>
      <c r="E343"/>
      <c r="I343"/>
      <c r="J343" s="4"/>
      <c r="K343" s="5" t="s">
        <v>1609</v>
      </c>
      <c r="O343" s="86" t="s">
        <v>556</v>
      </c>
      <c r="R343" s="91" t="e">
        <f>(R341/10)</f>
        <v>#REF!</v>
      </c>
      <c r="AG343" s="86" t="s">
        <v>2284</v>
      </c>
    </row>
    <row r="344" spans="1:33" hidden="1">
      <c r="A344" s="106">
        <f t="shared" si="16"/>
        <v>180</v>
      </c>
      <c r="B344" s="86" t="s">
        <v>240</v>
      </c>
      <c r="C344" s="8">
        <v>20.16</v>
      </c>
      <c r="D344" s="1" t="s">
        <v>778</v>
      </c>
      <c r="E344"/>
      <c r="H344" s="86" t="s">
        <v>782</v>
      </c>
      <c r="I344"/>
      <c r="J344" s="4"/>
      <c r="K344" s="8" t="e">
        <f>(K342/10)</f>
        <v>#REF!</v>
      </c>
      <c r="R344" s="89" t="s">
        <v>2080</v>
      </c>
      <c r="AG344" s="86" t="s">
        <v>2284</v>
      </c>
    </row>
    <row r="345" spans="1:33" hidden="1">
      <c r="A345" s="106">
        <f t="shared" si="16"/>
        <v>181</v>
      </c>
      <c r="B345" s="86" t="s">
        <v>241</v>
      </c>
      <c r="C345" s="8">
        <v>22.73</v>
      </c>
      <c r="D345" s="1" t="s">
        <v>778</v>
      </c>
      <c r="E345"/>
      <c r="I345"/>
      <c r="J345" s="4"/>
      <c r="K345" s="5" t="s">
        <v>2080</v>
      </c>
      <c r="N345" s="86" t="s">
        <v>2276</v>
      </c>
      <c r="O345" s="86" t="s">
        <v>1058</v>
      </c>
      <c r="AG345" s="86" t="s">
        <v>2284</v>
      </c>
    </row>
    <row r="346" spans="1:33" hidden="1">
      <c r="A346" s="106">
        <f t="shared" si="16"/>
        <v>182</v>
      </c>
      <c r="B346" s="86" t="s">
        <v>2247</v>
      </c>
      <c r="C346" s="8">
        <v>46.98</v>
      </c>
      <c r="D346" s="1" t="s">
        <v>987</v>
      </c>
      <c r="E346"/>
      <c r="H346" s="86" t="s">
        <v>386</v>
      </c>
      <c r="I346"/>
      <c r="J346" s="4"/>
      <c r="K346" s="8" t="e">
        <f>(K344+C19)</f>
        <v>#REF!</v>
      </c>
      <c r="O346" s="89" t="s">
        <v>1609</v>
      </c>
      <c r="AG346" s="86" t="s">
        <v>2284</v>
      </c>
    </row>
    <row r="347" spans="1:33" hidden="1">
      <c r="A347" s="106">
        <f t="shared" si="16"/>
        <v>183</v>
      </c>
      <c r="B347" s="86" t="s">
        <v>1059</v>
      </c>
      <c r="C347"/>
      <c r="D347"/>
      <c r="E347"/>
      <c r="H347" s="86" t="s">
        <v>388</v>
      </c>
      <c r="I347"/>
      <c r="J347" s="4"/>
      <c r="K347" s="8" t="e">
        <f>(K346+C20)</f>
        <v>#REF!</v>
      </c>
      <c r="M347" s="91">
        <v>0.22</v>
      </c>
      <c r="N347" s="86" t="s">
        <v>878</v>
      </c>
      <c r="O347" s="86" t="s">
        <v>1373</v>
      </c>
      <c r="P347" s="91" t="e">
        <f>(K32)</f>
        <v>#REF!</v>
      </c>
      <c r="Q347" s="86" t="s">
        <v>878</v>
      </c>
      <c r="R347" s="91" t="e">
        <f>(M347*P347)</f>
        <v>#REF!</v>
      </c>
      <c r="AG347" s="86" t="s">
        <v>2284</v>
      </c>
    </row>
    <row r="348" spans="1:33" hidden="1">
      <c r="A348" s="106">
        <f t="shared" si="16"/>
        <v>184</v>
      </c>
      <c r="B348" s="86" t="s">
        <v>239</v>
      </c>
      <c r="C348" s="8">
        <v>19.3</v>
      </c>
      <c r="D348" s="1" t="s">
        <v>778</v>
      </c>
      <c r="E348"/>
      <c r="H348" s="86" t="s">
        <v>2257</v>
      </c>
      <c r="I348"/>
      <c r="J348" s="4"/>
      <c r="K348" s="8" t="e">
        <f>(K347+C21)</f>
        <v>#REF!</v>
      </c>
      <c r="M348" s="91">
        <v>2.2000000000000002</v>
      </c>
      <c r="N348" s="86" t="s">
        <v>877</v>
      </c>
      <c r="O348" s="86" t="s">
        <v>2034</v>
      </c>
      <c r="P348" s="91">
        <f>(C10)</f>
        <v>150</v>
      </c>
      <c r="Q348" s="86" t="s">
        <v>877</v>
      </c>
      <c r="R348" s="91">
        <f>(M348*P348)</f>
        <v>330</v>
      </c>
      <c r="AG348" s="86" t="s">
        <v>2284</v>
      </c>
    </row>
    <row r="349" spans="1:33" hidden="1">
      <c r="A349" s="106">
        <f t="shared" si="16"/>
        <v>185</v>
      </c>
      <c r="B349" s="86" t="s">
        <v>241</v>
      </c>
      <c r="C349" s="8">
        <v>33.46</v>
      </c>
      <c r="D349" s="1" t="s">
        <v>778</v>
      </c>
      <c r="E349"/>
      <c r="H349" s="86" t="s">
        <v>380</v>
      </c>
      <c r="I349"/>
      <c r="J349" s="4"/>
      <c r="K349" s="8" t="e">
        <f>(K348+C21)</f>
        <v>#REF!</v>
      </c>
      <c r="M349" s="91">
        <v>0.5</v>
      </c>
      <c r="N349" s="86" t="s">
        <v>877</v>
      </c>
      <c r="O349" s="86" t="s">
        <v>1927</v>
      </c>
      <c r="P349" s="91">
        <f>(C12)</f>
        <v>95</v>
      </c>
      <c r="Q349" s="86" t="s">
        <v>877</v>
      </c>
      <c r="R349" s="91">
        <f>(M349*P349)</f>
        <v>47.5</v>
      </c>
      <c r="AG349" s="86" t="s">
        <v>2284</v>
      </c>
    </row>
    <row r="350" spans="1:33" hidden="1">
      <c r="A350" s="106">
        <f>(A349+1)</f>
        <v>186</v>
      </c>
      <c r="B350" s="86" t="s">
        <v>2247</v>
      </c>
      <c r="C350" s="8">
        <v>53.62</v>
      </c>
      <c r="D350" s="1" t="s">
        <v>778</v>
      </c>
      <c r="E350"/>
      <c r="F350" s="86" t="s">
        <v>987</v>
      </c>
      <c r="H350" s="86" t="s">
        <v>489</v>
      </c>
      <c r="I350"/>
      <c r="J350" s="4"/>
      <c r="K350" s="8" t="e">
        <f>(K349+C21)</f>
        <v>#REF!</v>
      </c>
      <c r="M350" s="91">
        <v>3.2</v>
      </c>
      <c r="N350" s="86" t="s">
        <v>877</v>
      </c>
      <c r="O350" s="86" t="s">
        <v>321</v>
      </c>
      <c r="P350" s="91">
        <f>(C13)</f>
        <v>85</v>
      </c>
      <c r="Q350" s="86" t="s">
        <v>877</v>
      </c>
      <c r="R350" s="91">
        <f>(M350*P350)</f>
        <v>272</v>
      </c>
      <c r="AG350" s="86" t="s">
        <v>2284</v>
      </c>
    </row>
    <row r="351" spans="1:33" hidden="1">
      <c r="A351" s="106">
        <f>(A350+1)</f>
        <v>187</v>
      </c>
      <c r="B351" s="86" t="s">
        <v>129</v>
      </c>
      <c r="C351"/>
      <c r="D351"/>
      <c r="E351"/>
      <c r="F351" s="108">
        <v>27</v>
      </c>
      <c r="G351" s="90" t="s">
        <v>2276</v>
      </c>
      <c r="H351" s="86" t="s">
        <v>3153</v>
      </c>
      <c r="I351"/>
      <c r="J351" s="4"/>
      <c r="K351"/>
      <c r="N351" s="86" t="s">
        <v>450</v>
      </c>
      <c r="O351" s="86" t="s">
        <v>451</v>
      </c>
      <c r="P351" s="86" t="s">
        <v>987</v>
      </c>
      <c r="Q351" s="86" t="s">
        <v>450</v>
      </c>
      <c r="R351" s="91">
        <v>0</v>
      </c>
      <c r="AG351" s="86" t="s">
        <v>2284</v>
      </c>
    </row>
    <row r="352" spans="1:33" hidden="1">
      <c r="A352" s="106">
        <f t="shared" ref="A352:A383" si="17">(A351+1)</f>
        <v>188</v>
      </c>
      <c r="B352" s="86" t="s">
        <v>239</v>
      </c>
      <c r="C352" s="8">
        <v>13.73</v>
      </c>
      <c r="D352" s="1" t="s">
        <v>778</v>
      </c>
      <c r="E352"/>
      <c r="H352" s="91" t="str">
        <f>H308</f>
        <v>Bricks of size 22x11x7 cm</v>
      </c>
      <c r="I352"/>
      <c r="J352" s="4"/>
      <c r="K352"/>
      <c r="R352" s="89" t="s">
        <v>1609</v>
      </c>
      <c r="AG352" s="86" t="s">
        <v>2284</v>
      </c>
    </row>
    <row r="353" spans="1:33" hidden="1">
      <c r="A353" s="106">
        <f t="shared" si="17"/>
        <v>189</v>
      </c>
      <c r="B353" s="86" t="s">
        <v>240</v>
      </c>
      <c r="C353" s="8">
        <v>20.16</v>
      </c>
      <c r="D353" s="1" t="s">
        <v>778</v>
      </c>
      <c r="E353"/>
      <c r="H353" s="89" t="s">
        <v>1609</v>
      </c>
      <c r="I353"/>
      <c r="J353" s="4"/>
      <c r="K353"/>
      <c r="O353" s="86" t="s">
        <v>442</v>
      </c>
      <c r="R353" s="91" t="e">
        <f>SUM(R347:R351)</f>
        <v>#REF!</v>
      </c>
      <c r="AG353" s="86" t="s">
        <v>2284</v>
      </c>
    </row>
    <row r="354" spans="1:33" hidden="1">
      <c r="A354" s="106">
        <f t="shared" si="17"/>
        <v>190</v>
      </c>
      <c r="B354" s="86" t="s">
        <v>241</v>
      </c>
      <c r="C354" s="8">
        <v>22.73</v>
      </c>
      <c r="D354" s="1" t="s">
        <v>778</v>
      </c>
      <c r="E354"/>
      <c r="F354" s="91">
        <f>F310</f>
        <v>4800</v>
      </c>
      <c r="G354" s="90" t="s">
        <v>1445</v>
      </c>
      <c r="H354" s="91" t="str">
        <f>H308</f>
        <v>Bricks of size 22x11x7 cm</v>
      </c>
      <c r="I354" s="8" t="e">
        <f>C80</f>
        <v>#REF!</v>
      </c>
      <c r="J354" s="2" t="s">
        <v>1617</v>
      </c>
      <c r="K354" s="8" t="e">
        <f>(F354*I354)/1000</f>
        <v>#REF!</v>
      </c>
      <c r="R354" s="89" t="s">
        <v>1609</v>
      </c>
      <c r="AG354" s="86" t="s">
        <v>2284</v>
      </c>
    </row>
    <row r="355" spans="1:33" hidden="1">
      <c r="A355" s="106">
        <f t="shared" si="17"/>
        <v>191</v>
      </c>
      <c r="B355" s="86" t="s">
        <v>2247</v>
      </c>
      <c r="C355" s="8">
        <v>46.98</v>
      </c>
      <c r="D355" s="1" t="s">
        <v>778</v>
      </c>
      <c r="E355"/>
      <c r="F355" s="91">
        <f>F311</f>
        <v>2.5</v>
      </c>
      <c r="G355" s="90" t="s">
        <v>878</v>
      </c>
      <c r="H355" s="86" t="s">
        <v>1327</v>
      </c>
      <c r="I355" s="8" t="e">
        <f>K40</f>
        <v>#REF!</v>
      </c>
      <c r="J355" s="2" t="s">
        <v>878</v>
      </c>
      <c r="K355" s="8" t="e">
        <f>(F355*I355)</f>
        <v>#REF!</v>
      </c>
      <c r="O355" s="86" t="s">
        <v>556</v>
      </c>
      <c r="R355" s="91" t="e">
        <f>(R353/10)</f>
        <v>#REF!</v>
      </c>
      <c r="AG355" s="86" t="s">
        <v>2284</v>
      </c>
    </row>
    <row r="356" spans="1:33" hidden="1">
      <c r="A356" s="106">
        <f t="shared" si="17"/>
        <v>192</v>
      </c>
      <c r="B356" s="86" t="s">
        <v>819</v>
      </c>
      <c r="C356"/>
      <c r="D356"/>
      <c r="E356"/>
      <c r="F356" s="91">
        <v>3.5</v>
      </c>
      <c r="G356" s="90" t="s">
        <v>877</v>
      </c>
      <c r="H356" s="86" t="s">
        <v>2034</v>
      </c>
      <c r="I356" s="8">
        <f>(C10)</f>
        <v>150</v>
      </c>
      <c r="J356" s="2" t="s">
        <v>877</v>
      </c>
      <c r="K356" s="8">
        <f>(F356*I356)</f>
        <v>525</v>
      </c>
      <c r="R356" s="89" t="s">
        <v>2080</v>
      </c>
      <c r="AG356" s="86" t="s">
        <v>2284</v>
      </c>
    </row>
    <row r="357" spans="1:33" hidden="1">
      <c r="A357" s="106">
        <f t="shared" si="17"/>
        <v>193</v>
      </c>
      <c r="B357" s="86" t="s">
        <v>239</v>
      </c>
      <c r="C357" s="8">
        <v>19.3</v>
      </c>
      <c r="D357" s="1" t="s">
        <v>778</v>
      </c>
      <c r="E357"/>
      <c r="F357" s="91">
        <v>10.6</v>
      </c>
      <c r="G357" s="90" t="s">
        <v>877</v>
      </c>
      <c r="H357" s="86" t="s">
        <v>1737</v>
      </c>
      <c r="I357" s="8">
        <f>(C11)</f>
        <v>135</v>
      </c>
      <c r="J357" s="2" t="s">
        <v>877</v>
      </c>
      <c r="K357" s="8">
        <f>(F357*I357)</f>
        <v>1431</v>
      </c>
      <c r="N357" s="86" t="s">
        <v>2276</v>
      </c>
      <c r="O357" s="86" t="s">
        <v>820</v>
      </c>
      <c r="AG357" s="86" t="s">
        <v>2284</v>
      </c>
    </row>
    <row r="358" spans="1:33" hidden="1">
      <c r="A358" s="106">
        <f t="shared" si="17"/>
        <v>194</v>
      </c>
      <c r="B358" s="86" t="s">
        <v>240</v>
      </c>
      <c r="C358" s="8">
        <v>25.74</v>
      </c>
      <c r="D358" s="1" t="s">
        <v>778</v>
      </c>
      <c r="E358"/>
      <c r="F358" s="91">
        <v>7.1</v>
      </c>
      <c r="G358" s="90" t="s">
        <v>877</v>
      </c>
      <c r="H358" s="86" t="s">
        <v>1927</v>
      </c>
      <c r="I358" s="8">
        <f>(C12)</f>
        <v>95</v>
      </c>
      <c r="J358" s="2" t="s">
        <v>877</v>
      </c>
      <c r="K358" s="8">
        <f>(F358*I358)</f>
        <v>674.5</v>
      </c>
      <c r="O358" s="86" t="s">
        <v>821</v>
      </c>
      <c r="AG358" s="86" t="s">
        <v>2284</v>
      </c>
    </row>
    <row r="359" spans="1:33" hidden="1">
      <c r="A359" s="106">
        <f t="shared" si="17"/>
        <v>195</v>
      </c>
      <c r="B359" s="86" t="s">
        <v>241</v>
      </c>
      <c r="C359" s="8">
        <v>33.46</v>
      </c>
      <c r="D359" s="1" t="s">
        <v>778</v>
      </c>
      <c r="E359"/>
      <c r="F359" s="91">
        <v>21.2</v>
      </c>
      <c r="G359" s="90" t="s">
        <v>877</v>
      </c>
      <c r="H359" s="86" t="s">
        <v>321</v>
      </c>
      <c r="I359" s="8">
        <f>(C13)</f>
        <v>85</v>
      </c>
      <c r="J359" s="2" t="s">
        <v>877</v>
      </c>
      <c r="K359" s="8">
        <f>(F359*I359)</f>
        <v>1802</v>
      </c>
      <c r="O359" s="86" t="s">
        <v>822</v>
      </c>
      <c r="AG359" s="86" t="s">
        <v>2284</v>
      </c>
    </row>
    <row r="360" spans="1:33" hidden="1">
      <c r="A360" s="106">
        <f t="shared" si="17"/>
        <v>196</v>
      </c>
      <c r="B360" s="86" t="s">
        <v>2247</v>
      </c>
      <c r="C360" s="8">
        <v>53.62</v>
      </c>
      <c r="D360" s="1" t="s">
        <v>987</v>
      </c>
      <c r="E360"/>
      <c r="G360" s="90" t="s">
        <v>450</v>
      </c>
      <c r="H360" s="86" t="s">
        <v>451</v>
      </c>
      <c r="I360"/>
      <c r="J360" s="2" t="s">
        <v>450</v>
      </c>
      <c r="K360" s="8">
        <v>0</v>
      </c>
      <c r="O360" s="89" t="s">
        <v>1609</v>
      </c>
      <c r="AG360" s="86" t="s">
        <v>2284</v>
      </c>
    </row>
    <row r="361" spans="1:33" hidden="1">
      <c r="A361" s="106">
        <f t="shared" si="17"/>
        <v>197</v>
      </c>
      <c r="B361" s="86" t="s">
        <v>981</v>
      </c>
      <c r="C361"/>
      <c r="D361"/>
      <c r="E361"/>
      <c r="I361"/>
      <c r="J361" s="4"/>
      <c r="K361" s="5" t="s">
        <v>1609</v>
      </c>
      <c r="M361" s="91">
        <v>0.22</v>
      </c>
      <c r="N361" s="86" t="s">
        <v>878</v>
      </c>
      <c r="O361" s="86" t="s">
        <v>1327</v>
      </c>
      <c r="P361" s="91" t="e">
        <f>(K40)</f>
        <v>#REF!</v>
      </c>
      <c r="Q361" s="86" t="s">
        <v>878</v>
      </c>
      <c r="R361" s="91" t="e">
        <f t="shared" ref="R361:R366" si="18">(M361*P361)</f>
        <v>#REF!</v>
      </c>
      <c r="AG361" s="86" t="s">
        <v>2284</v>
      </c>
    </row>
    <row r="362" spans="1:33" hidden="1">
      <c r="A362" s="106">
        <f t="shared" si="17"/>
        <v>198</v>
      </c>
      <c r="B362" s="86" t="s">
        <v>239</v>
      </c>
      <c r="C362" s="8">
        <v>26.16</v>
      </c>
      <c r="D362" s="1" t="s">
        <v>778</v>
      </c>
      <c r="E362"/>
      <c r="H362" s="86" t="s">
        <v>620</v>
      </c>
      <c r="I362"/>
      <c r="J362" s="4"/>
      <c r="K362" s="8" t="e">
        <f>SUM(K354:K360)</f>
        <v>#REF!</v>
      </c>
      <c r="M362" s="91">
        <v>2.2000000000000002</v>
      </c>
      <c r="N362" s="86" t="s">
        <v>877</v>
      </c>
      <c r="O362" s="86" t="s">
        <v>2034</v>
      </c>
      <c r="P362" s="91">
        <f>(C10)</f>
        <v>150</v>
      </c>
      <c r="Q362" s="86" t="s">
        <v>877</v>
      </c>
      <c r="R362" s="91">
        <f t="shared" si="18"/>
        <v>330</v>
      </c>
      <c r="AG362" s="86" t="s">
        <v>2284</v>
      </c>
    </row>
    <row r="363" spans="1:33" hidden="1">
      <c r="A363" s="106">
        <f t="shared" si="17"/>
        <v>199</v>
      </c>
      <c r="B363" s="86" t="s">
        <v>240</v>
      </c>
      <c r="C363" s="8">
        <v>34.32</v>
      </c>
      <c r="D363" s="1" t="s">
        <v>778</v>
      </c>
      <c r="E363"/>
      <c r="I363"/>
      <c r="J363" s="4"/>
      <c r="K363" s="5" t="s">
        <v>1609</v>
      </c>
      <c r="M363" s="91">
        <v>0.5</v>
      </c>
      <c r="N363" s="86" t="s">
        <v>877</v>
      </c>
      <c r="O363" s="86" t="s">
        <v>1927</v>
      </c>
      <c r="P363" s="91">
        <f>(C12)</f>
        <v>95</v>
      </c>
      <c r="Q363" s="86" t="s">
        <v>877</v>
      </c>
      <c r="R363" s="91">
        <f t="shared" si="18"/>
        <v>47.5</v>
      </c>
      <c r="AG363" s="86" t="s">
        <v>2284</v>
      </c>
    </row>
    <row r="364" spans="1:33" hidden="1">
      <c r="A364" s="106">
        <f t="shared" si="17"/>
        <v>200</v>
      </c>
      <c r="B364" s="86" t="s">
        <v>241</v>
      </c>
      <c r="C364" s="8">
        <v>40.33</v>
      </c>
      <c r="D364" s="1" t="s">
        <v>778</v>
      </c>
      <c r="E364"/>
      <c r="H364" s="86" t="s">
        <v>782</v>
      </c>
      <c r="I364"/>
      <c r="J364" s="4"/>
      <c r="K364" s="8" t="e">
        <f>(K362/10)</f>
        <v>#REF!</v>
      </c>
      <c r="M364" s="91">
        <v>1.1000000000000001</v>
      </c>
      <c r="N364" s="86" t="s">
        <v>982</v>
      </c>
      <c r="O364" s="86" t="s">
        <v>983</v>
      </c>
      <c r="P364" s="91">
        <f>(C10)</f>
        <v>150</v>
      </c>
      <c r="Q364" s="86" t="s">
        <v>877</v>
      </c>
      <c r="R364" s="91">
        <f t="shared" si="18"/>
        <v>165</v>
      </c>
      <c r="AG364" s="86" t="s">
        <v>2284</v>
      </c>
    </row>
    <row r="365" spans="1:33" hidden="1">
      <c r="A365" s="106">
        <f t="shared" si="17"/>
        <v>201</v>
      </c>
      <c r="B365" s="86" t="s">
        <v>984</v>
      </c>
      <c r="C365"/>
      <c r="D365" s="1" t="s">
        <v>987</v>
      </c>
      <c r="E365"/>
      <c r="I365"/>
      <c r="J365" s="4"/>
      <c r="K365" s="5" t="s">
        <v>2080</v>
      </c>
      <c r="M365" s="91">
        <v>3.2</v>
      </c>
      <c r="N365" s="86" t="s">
        <v>877</v>
      </c>
      <c r="O365" s="86" t="s">
        <v>321</v>
      </c>
      <c r="P365" s="91">
        <f>(C13)</f>
        <v>85</v>
      </c>
      <c r="Q365" s="86" t="s">
        <v>877</v>
      </c>
      <c r="R365" s="91">
        <f t="shared" si="18"/>
        <v>272</v>
      </c>
      <c r="AG365" s="86" t="s">
        <v>2284</v>
      </c>
    </row>
    <row r="366" spans="1:33" hidden="1">
      <c r="A366" s="106">
        <f t="shared" si="17"/>
        <v>202</v>
      </c>
      <c r="B366" s="86" t="s">
        <v>239</v>
      </c>
      <c r="C366" s="8">
        <v>20.329999999999998</v>
      </c>
      <c r="D366" s="1" t="s">
        <v>778</v>
      </c>
      <c r="E366"/>
      <c r="H366" s="86" t="s">
        <v>386</v>
      </c>
      <c r="I366"/>
      <c r="J366" s="4"/>
      <c r="K366" s="8" t="e">
        <f>(K364+C19)</f>
        <v>#REF!</v>
      </c>
      <c r="M366" s="91">
        <v>9.8000000000000007</v>
      </c>
      <c r="N366" s="86" t="s">
        <v>1670</v>
      </c>
      <c r="O366" s="86" t="s">
        <v>1671</v>
      </c>
      <c r="P366" s="91">
        <f>(C180)</f>
        <v>110</v>
      </c>
      <c r="Q366" s="86" t="s">
        <v>1670</v>
      </c>
      <c r="R366" s="91">
        <f t="shared" si="18"/>
        <v>1078</v>
      </c>
      <c r="AG366" s="86" t="s">
        <v>2284</v>
      </c>
    </row>
    <row r="367" spans="1:33" hidden="1">
      <c r="A367" s="106">
        <f t="shared" si="17"/>
        <v>203</v>
      </c>
      <c r="B367" s="86" t="s">
        <v>240</v>
      </c>
      <c r="C367" s="8">
        <v>26.6</v>
      </c>
      <c r="D367" s="1" t="s">
        <v>778</v>
      </c>
      <c r="E367"/>
      <c r="H367" s="86" t="s">
        <v>388</v>
      </c>
      <c r="I367"/>
      <c r="J367" s="4"/>
      <c r="K367" s="8" t="e">
        <f>(K366+C20)</f>
        <v>#REF!</v>
      </c>
      <c r="N367" s="86" t="s">
        <v>450</v>
      </c>
      <c r="O367" s="86" t="s">
        <v>451</v>
      </c>
      <c r="P367" s="86" t="s">
        <v>987</v>
      </c>
      <c r="Q367" s="86" t="s">
        <v>450</v>
      </c>
      <c r="R367" s="91">
        <v>0</v>
      </c>
      <c r="AG367" s="86" t="s">
        <v>2284</v>
      </c>
    </row>
    <row r="368" spans="1:33" hidden="1">
      <c r="A368" s="106">
        <f t="shared" si="17"/>
        <v>204</v>
      </c>
      <c r="B368" s="86" t="s">
        <v>241</v>
      </c>
      <c r="C368" s="8">
        <v>33.89</v>
      </c>
      <c r="D368" s="1" t="s">
        <v>778</v>
      </c>
      <c r="E368"/>
      <c r="H368" s="86" t="s">
        <v>2257</v>
      </c>
      <c r="I368"/>
      <c r="J368" s="4"/>
      <c r="K368" s="8" t="e">
        <f>(K367+C21)</f>
        <v>#REF!</v>
      </c>
      <c r="R368" s="89" t="s">
        <v>1609</v>
      </c>
      <c r="AG368" s="86" t="s">
        <v>2284</v>
      </c>
    </row>
    <row r="369" spans="1:33" hidden="1">
      <c r="A369" s="106">
        <f t="shared" si="17"/>
        <v>205</v>
      </c>
      <c r="B369" s="86" t="s">
        <v>985</v>
      </c>
      <c r="C369"/>
      <c r="D369"/>
      <c r="E369"/>
      <c r="H369" s="86" t="s">
        <v>380</v>
      </c>
      <c r="I369"/>
      <c r="J369" s="4"/>
      <c r="K369" s="8" t="e">
        <f>(K368+C21)</f>
        <v>#REF!</v>
      </c>
      <c r="O369" s="86" t="s">
        <v>442</v>
      </c>
      <c r="R369" s="91" t="e">
        <f>SUM(R361:R367)</f>
        <v>#REF!</v>
      </c>
      <c r="AG369" s="86" t="s">
        <v>2284</v>
      </c>
    </row>
    <row r="370" spans="1:33" hidden="1">
      <c r="A370" s="106">
        <f t="shared" si="17"/>
        <v>206</v>
      </c>
      <c r="B370" s="86" t="s">
        <v>239</v>
      </c>
      <c r="C370" s="8">
        <v>13.29</v>
      </c>
      <c r="D370" s="1" t="s">
        <v>778</v>
      </c>
      <c r="E370"/>
      <c r="H370" s="86" t="s">
        <v>489</v>
      </c>
      <c r="I370"/>
      <c r="J370" s="4"/>
      <c r="K370" s="8" t="e">
        <f>(K369+C21)</f>
        <v>#REF!</v>
      </c>
      <c r="R370" s="89" t="s">
        <v>1609</v>
      </c>
      <c r="AG370" s="86" t="s">
        <v>2284</v>
      </c>
    </row>
    <row r="371" spans="1:33" hidden="1">
      <c r="A371" s="106">
        <f t="shared" si="17"/>
        <v>207</v>
      </c>
      <c r="B371" s="86" t="s">
        <v>240</v>
      </c>
      <c r="C371" s="8">
        <v>18.02</v>
      </c>
      <c r="D371" s="1" t="s">
        <v>778</v>
      </c>
      <c r="E371"/>
      <c r="H371" s="86" t="s">
        <v>1856</v>
      </c>
      <c r="I371"/>
      <c r="J371" s="4"/>
      <c r="K371" s="8" t="e">
        <f>(K366+K367+K368)/3</f>
        <v>#REF!</v>
      </c>
      <c r="O371" s="86" t="s">
        <v>556</v>
      </c>
      <c r="R371" s="91" t="e">
        <f>(R369/10)</f>
        <v>#REF!</v>
      </c>
      <c r="AG371" s="86" t="s">
        <v>2284</v>
      </c>
    </row>
    <row r="372" spans="1:33" hidden="1">
      <c r="A372" s="106">
        <f t="shared" si="17"/>
        <v>208</v>
      </c>
      <c r="B372" s="86" t="s">
        <v>241</v>
      </c>
      <c r="C372" s="8">
        <v>23.17</v>
      </c>
      <c r="D372" s="1" t="s">
        <v>778</v>
      </c>
      <c r="E372"/>
      <c r="I372"/>
      <c r="J372" s="4"/>
      <c r="K372"/>
      <c r="R372" s="89" t="s">
        <v>2080</v>
      </c>
      <c r="AG372" s="86" t="s">
        <v>2284</v>
      </c>
    </row>
    <row r="373" spans="1:33" hidden="1">
      <c r="A373" s="106">
        <f t="shared" si="17"/>
        <v>209</v>
      </c>
      <c r="B373" s="86" t="s">
        <v>1857</v>
      </c>
      <c r="C373"/>
      <c r="D373" s="1" t="s">
        <v>987</v>
      </c>
      <c r="E373"/>
      <c r="H373" s="102" t="s">
        <v>1858</v>
      </c>
      <c r="I373"/>
      <c r="J373" s="4"/>
      <c r="K373"/>
      <c r="N373" s="86" t="s">
        <v>2276</v>
      </c>
      <c r="O373" s="86" t="s">
        <v>1859</v>
      </c>
      <c r="AG373" s="86" t="s">
        <v>2284</v>
      </c>
    </row>
    <row r="374" spans="1:33" hidden="1">
      <c r="A374" s="106">
        <f t="shared" si="17"/>
        <v>210</v>
      </c>
      <c r="B374" s="86" t="s">
        <v>239</v>
      </c>
      <c r="C374" s="8">
        <v>9</v>
      </c>
      <c r="D374" s="1" t="s">
        <v>778</v>
      </c>
      <c r="E374"/>
      <c r="H374" s="89" t="s">
        <v>1609</v>
      </c>
      <c r="I374"/>
      <c r="J374" s="4"/>
      <c r="K374"/>
      <c r="O374" s="89" t="s">
        <v>1609</v>
      </c>
      <c r="AG374" s="86" t="s">
        <v>2284</v>
      </c>
    </row>
    <row r="375" spans="1:33" hidden="1">
      <c r="A375" s="106">
        <f t="shared" si="17"/>
        <v>211</v>
      </c>
      <c r="B375" s="86" t="s">
        <v>240</v>
      </c>
      <c r="C375" s="8">
        <v>11.58</v>
      </c>
      <c r="D375" s="1" t="s">
        <v>778</v>
      </c>
      <c r="E375"/>
      <c r="F375" s="108">
        <v>10</v>
      </c>
      <c r="G375" s="90" t="s">
        <v>2276</v>
      </c>
      <c r="H375" s="86" t="s">
        <v>3153</v>
      </c>
      <c r="I375"/>
      <c r="J375" s="4"/>
      <c r="K375"/>
      <c r="M375" s="91">
        <v>0.05</v>
      </c>
      <c r="N375" s="86" t="s">
        <v>878</v>
      </c>
      <c r="O375" s="86" t="s">
        <v>2029</v>
      </c>
      <c r="P375" s="91">
        <f>(C84)</f>
        <v>773</v>
      </c>
      <c r="Q375" s="86" t="s">
        <v>878</v>
      </c>
      <c r="R375" s="91">
        <f>(M375*P375)</f>
        <v>38.65</v>
      </c>
      <c r="AG375" s="86" t="s">
        <v>2284</v>
      </c>
    </row>
    <row r="376" spans="1:33" hidden="1">
      <c r="A376" s="106">
        <f t="shared" si="17"/>
        <v>212</v>
      </c>
      <c r="B376" s="86" t="s">
        <v>241</v>
      </c>
      <c r="C376" s="8">
        <v>14.15</v>
      </c>
      <c r="D376" s="1" t="s">
        <v>778</v>
      </c>
      <c r="E376"/>
      <c r="H376" s="91" t="str">
        <f>H308</f>
        <v>Bricks of size 22x11x7 cm</v>
      </c>
      <c r="I376"/>
      <c r="J376" s="4"/>
      <c r="K376"/>
      <c r="M376" s="91">
        <v>1.1000000000000001</v>
      </c>
      <c r="N376" s="86" t="s">
        <v>877</v>
      </c>
      <c r="O376" s="86" t="s">
        <v>1737</v>
      </c>
      <c r="P376" s="91">
        <f>(C11)</f>
        <v>135</v>
      </c>
      <c r="Q376" s="86" t="s">
        <v>877</v>
      </c>
      <c r="R376" s="91">
        <f>(M376*P376)</f>
        <v>148.5</v>
      </c>
      <c r="AG376" s="86" t="s">
        <v>2284</v>
      </c>
    </row>
    <row r="377" spans="1:33" hidden="1">
      <c r="A377" s="106">
        <f t="shared" si="17"/>
        <v>213</v>
      </c>
      <c r="B377" s="86" t="s">
        <v>1860</v>
      </c>
      <c r="C377"/>
      <c r="D377"/>
      <c r="E377"/>
      <c r="H377" s="89" t="s">
        <v>1609</v>
      </c>
      <c r="I377"/>
      <c r="J377" s="4"/>
      <c r="K377"/>
      <c r="M377" s="91">
        <v>0.3</v>
      </c>
      <c r="N377" s="86" t="s">
        <v>877</v>
      </c>
      <c r="O377" s="86" t="s">
        <v>1927</v>
      </c>
      <c r="P377" s="91">
        <f>(C12)</f>
        <v>95</v>
      </c>
      <c r="Q377" s="86" t="s">
        <v>877</v>
      </c>
      <c r="R377" s="91">
        <f>(M377*P377)</f>
        <v>28.5</v>
      </c>
      <c r="AG377" s="86" t="s">
        <v>2284</v>
      </c>
    </row>
    <row r="378" spans="1:33" hidden="1">
      <c r="A378" s="106">
        <f t="shared" si="17"/>
        <v>214</v>
      </c>
      <c r="B378" s="86" t="s">
        <v>239</v>
      </c>
      <c r="C378" s="8">
        <v>4.29</v>
      </c>
      <c r="D378" s="1" t="s">
        <v>778</v>
      </c>
      <c r="E378"/>
      <c r="F378" s="91">
        <f>F310</f>
        <v>4800</v>
      </c>
      <c r="G378" s="90" t="s">
        <v>1445</v>
      </c>
      <c r="H378" s="91" t="str">
        <f>H308</f>
        <v>Bricks of size 22x11x7 cm</v>
      </c>
      <c r="I378" s="8" t="e">
        <f>(C80)</f>
        <v>#REF!</v>
      </c>
      <c r="J378" s="2" t="s">
        <v>1617</v>
      </c>
      <c r="K378" s="8" t="e">
        <f>(F378*I378)/1000</f>
        <v>#REF!</v>
      </c>
      <c r="M378" s="91">
        <v>1.9</v>
      </c>
      <c r="N378" s="86" t="s">
        <v>877</v>
      </c>
      <c r="O378" s="86" t="s">
        <v>321</v>
      </c>
      <c r="P378" s="91">
        <f>(C13)</f>
        <v>85</v>
      </c>
      <c r="Q378" s="86" t="s">
        <v>877</v>
      </c>
      <c r="R378" s="91">
        <f>(M378*P378)</f>
        <v>161.5</v>
      </c>
      <c r="AG378" s="86" t="s">
        <v>2284</v>
      </c>
    </row>
    <row r="379" spans="1:33" hidden="1">
      <c r="A379" s="106">
        <f t="shared" si="17"/>
        <v>215</v>
      </c>
      <c r="B379" s="86" t="s">
        <v>240</v>
      </c>
      <c r="C379" s="8">
        <v>6.01</v>
      </c>
      <c r="D379" s="1" t="s">
        <v>778</v>
      </c>
      <c r="E379"/>
      <c r="F379" s="91">
        <v>1.59</v>
      </c>
      <c r="G379" s="90" t="s">
        <v>878</v>
      </c>
      <c r="H379" s="86" t="s">
        <v>1327</v>
      </c>
      <c r="I379" s="8" t="e">
        <f>(K40)</f>
        <v>#REF!</v>
      </c>
      <c r="J379" s="2" t="s">
        <v>878</v>
      </c>
      <c r="K379" s="8" t="e">
        <f>(F379*I379)</f>
        <v>#REF!</v>
      </c>
      <c r="N379" s="86" t="s">
        <v>450</v>
      </c>
      <c r="O379" s="86" t="s">
        <v>1861</v>
      </c>
      <c r="P379" s="86" t="s">
        <v>987</v>
      </c>
      <c r="Q379" s="86" t="s">
        <v>450</v>
      </c>
      <c r="R379" s="91">
        <v>1.46</v>
      </c>
      <c r="AG379" s="86" t="s">
        <v>2284</v>
      </c>
    </row>
    <row r="380" spans="1:33" hidden="1">
      <c r="A380" s="106">
        <f t="shared" si="17"/>
        <v>216</v>
      </c>
      <c r="B380" s="86" t="s">
        <v>241</v>
      </c>
      <c r="C380" s="8">
        <v>6.86</v>
      </c>
      <c r="D380" s="1" t="s">
        <v>778</v>
      </c>
      <c r="E380"/>
      <c r="F380" s="91">
        <v>7</v>
      </c>
      <c r="G380" s="90" t="s">
        <v>877</v>
      </c>
      <c r="H380" s="86" t="s">
        <v>2034</v>
      </c>
      <c r="I380" s="8">
        <f>(C10)</f>
        <v>150</v>
      </c>
      <c r="J380" s="2" t="s">
        <v>877</v>
      </c>
      <c r="K380" s="8">
        <f>(F380*I380)</f>
        <v>1050</v>
      </c>
      <c r="R380" s="89" t="s">
        <v>1609</v>
      </c>
      <c r="AG380" s="86" t="s">
        <v>2284</v>
      </c>
    </row>
    <row r="381" spans="1:33" hidden="1">
      <c r="A381" s="106">
        <f t="shared" si="17"/>
        <v>217</v>
      </c>
      <c r="B381" s="86" t="s">
        <v>1862</v>
      </c>
      <c r="C381"/>
      <c r="D381" s="1" t="s">
        <v>987</v>
      </c>
      <c r="E381"/>
      <c r="F381" s="91">
        <v>7.1</v>
      </c>
      <c r="G381" s="90" t="s">
        <v>877</v>
      </c>
      <c r="H381" s="86" t="s">
        <v>1737</v>
      </c>
      <c r="I381" s="8">
        <f>(C11)</f>
        <v>135</v>
      </c>
      <c r="J381" s="2" t="s">
        <v>877</v>
      </c>
      <c r="K381" s="8">
        <f>(F381*I381)</f>
        <v>958.5</v>
      </c>
      <c r="O381" s="86" t="s">
        <v>1863</v>
      </c>
      <c r="R381" s="91">
        <f>SUM(R374:R379)</f>
        <v>378.61</v>
      </c>
      <c r="AG381" s="86" t="s">
        <v>2284</v>
      </c>
    </row>
    <row r="382" spans="1:33" hidden="1">
      <c r="A382" s="106">
        <f t="shared" si="17"/>
        <v>218</v>
      </c>
      <c r="B382" s="86" t="s">
        <v>239</v>
      </c>
      <c r="C382" s="8">
        <v>14.91</v>
      </c>
      <c r="D382" s="1" t="s">
        <v>778</v>
      </c>
      <c r="E382"/>
      <c r="F382" s="91">
        <v>7.1</v>
      </c>
      <c r="G382" s="90" t="s">
        <v>877</v>
      </c>
      <c r="H382" s="86" t="s">
        <v>1927</v>
      </c>
      <c r="I382" s="8">
        <f>(C12)</f>
        <v>95</v>
      </c>
      <c r="J382" s="2" t="s">
        <v>877</v>
      </c>
      <c r="K382" s="8">
        <f>(F382*I382)</f>
        <v>674.5</v>
      </c>
      <c r="R382" s="89" t="s">
        <v>1609</v>
      </c>
      <c r="AG382" s="86" t="s">
        <v>2284</v>
      </c>
    </row>
    <row r="383" spans="1:33" hidden="1">
      <c r="A383" s="106">
        <f t="shared" si="17"/>
        <v>219</v>
      </c>
      <c r="B383" s="86" t="s">
        <v>240</v>
      </c>
      <c r="C383" s="8">
        <v>17.579999999999998</v>
      </c>
      <c r="D383" s="1" t="s">
        <v>778</v>
      </c>
      <c r="E383"/>
      <c r="F383" s="91">
        <v>21.2</v>
      </c>
      <c r="G383" s="90" t="s">
        <v>877</v>
      </c>
      <c r="H383" s="86" t="s">
        <v>321</v>
      </c>
      <c r="I383" s="8">
        <f>(C13)</f>
        <v>85</v>
      </c>
      <c r="J383" s="2" t="s">
        <v>877</v>
      </c>
      <c r="K383" s="8">
        <f>(F383*I383)</f>
        <v>1802</v>
      </c>
      <c r="O383" s="86" t="s">
        <v>556</v>
      </c>
      <c r="R383" s="91">
        <f>(R381/100)</f>
        <v>3.79</v>
      </c>
      <c r="AG383" s="86" t="s">
        <v>2284</v>
      </c>
    </row>
    <row r="384" spans="1:33" hidden="1">
      <c r="A384" s="106">
        <f t="shared" ref="A384:A420" si="19">(A383+1)</f>
        <v>220</v>
      </c>
      <c r="B384" s="86" t="s">
        <v>241</v>
      </c>
      <c r="C384" s="8">
        <v>19.3</v>
      </c>
      <c r="D384" s="1" t="s">
        <v>778</v>
      </c>
      <c r="E384"/>
      <c r="G384" s="90" t="s">
        <v>450</v>
      </c>
      <c r="H384" s="86" t="s">
        <v>451</v>
      </c>
      <c r="I384" s="1" t="s">
        <v>987</v>
      </c>
      <c r="J384" s="2" t="s">
        <v>450</v>
      </c>
      <c r="K384" s="8">
        <v>0</v>
      </c>
      <c r="R384" s="89" t="s">
        <v>2080</v>
      </c>
      <c r="AG384" s="86" t="s">
        <v>2284</v>
      </c>
    </row>
    <row r="385" spans="1:33" hidden="1">
      <c r="A385" s="106">
        <f t="shared" si="19"/>
        <v>221</v>
      </c>
      <c r="B385" s="86" t="s">
        <v>1131</v>
      </c>
      <c r="C385"/>
      <c r="D385"/>
      <c r="E385"/>
      <c r="I385"/>
      <c r="J385" s="4"/>
      <c r="K385" s="5" t="s">
        <v>1609</v>
      </c>
      <c r="AG385" s="86" t="s">
        <v>322</v>
      </c>
    </row>
    <row r="386" spans="1:33" hidden="1">
      <c r="A386" s="106">
        <f t="shared" si="19"/>
        <v>222</v>
      </c>
      <c r="B386" s="86" t="s">
        <v>239</v>
      </c>
      <c r="C386" s="8">
        <v>15.87</v>
      </c>
      <c r="D386" s="1" t="s">
        <v>778</v>
      </c>
      <c r="E386"/>
      <c r="H386" s="86" t="s">
        <v>620</v>
      </c>
      <c r="I386"/>
      <c r="J386" s="4"/>
      <c r="K386" s="8" t="e">
        <f>SUM(K378:K384)</f>
        <v>#REF!</v>
      </c>
    </row>
    <row r="387" spans="1:33" hidden="1">
      <c r="A387" s="106">
        <f t="shared" si="19"/>
        <v>223</v>
      </c>
      <c r="B387" s="86" t="s">
        <v>240</v>
      </c>
      <c r="C387" s="8">
        <v>20.16</v>
      </c>
      <c r="D387" s="1" t="s">
        <v>778</v>
      </c>
      <c r="E387"/>
      <c r="I387"/>
      <c r="J387" s="4"/>
      <c r="K387" s="5" t="s">
        <v>1609</v>
      </c>
      <c r="N387" s="86" t="s">
        <v>681</v>
      </c>
      <c r="O387" s="86" t="s">
        <v>1132</v>
      </c>
    </row>
    <row r="388" spans="1:33" hidden="1">
      <c r="A388" s="106">
        <f t="shared" si="19"/>
        <v>224</v>
      </c>
      <c r="B388" s="86" t="s">
        <v>241</v>
      </c>
      <c r="C388" s="8">
        <v>22.31</v>
      </c>
      <c r="D388" s="1" t="s">
        <v>778</v>
      </c>
      <c r="E388"/>
      <c r="H388" s="86" t="s">
        <v>782</v>
      </c>
      <c r="I388"/>
      <c r="J388" s="4"/>
      <c r="K388" s="8" t="e">
        <f>(K386/10)</f>
        <v>#REF!</v>
      </c>
      <c r="O388" s="89" t="s">
        <v>1609</v>
      </c>
      <c r="AG388" s="86" t="s">
        <v>2284</v>
      </c>
    </row>
    <row r="389" spans="1:33" hidden="1">
      <c r="A389" s="106">
        <f t="shared" si="19"/>
        <v>225</v>
      </c>
      <c r="B389" s="86" t="s">
        <v>3154</v>
      </c>
      <c r="C389"/>
      <c r="D389" s="1" t="s">
        <v>987</v>
      </c>
      <c r="E389"/>
      <c r="I389"/>
      <c r="J389" s="4"/>
      <c r="K389" s="5" t="s">
        <v>2080</v>
      </c>
      <c r="M389" s="91">
        <v>7.0000000000000007E-2</v>
      </c>
      <c r="N389" s="86" t="s">
        <v>878</v>
      </c>
      <c r="O389" s="86" t="s">
        <v>2029</v>
      </c>
      <c r="P389" s="91">
        <f>(C84)</f>
        <v>773</v>
      </c>
      <c r="Q389" s="86" t="s">
        <v>878</v>
      </c>
      <c r="R389" s="91">
        <f>(M389*P389)</f>
        <v>54.11</v>
      </c>
      <c r="AG389" s="86" t="s">
        <v>2284</v>
      </c>
    </row>
    <row r="390" spans="1:33" hidden="1">
      <c r="A390" s="106">
        <f t="shared" si="19"/>
        <v>226</v>
      </c>
      <c r="B390" s="86" t="s">
        <v>1133</v>
      </c>
      <c r="C390" s="8">
        <v>26.4</v>
      </c>
      <c r="D390" s="1" t="s">
        <v>1796</v>
      </c>
      <c r="E390"/>
      <c r="I390"/>
      <c r="J390" s="4"/>
      <c r="K390"/>
      <c r="M390" s="91">
        <v>1.6</v>
      </c>
      <c r="N390" s="86" t="s">
        <v>877</v>
      </c>
      <c r="O390" s="86" t="s">
        <v>1737</v>
      </c>
      <c r="P390" s="91">
        <f>(C11)</f>
        <v>135</v>
      </c>
      <c r="Q390" s="86" t="s">
        <v>877</v>
      </c>
      <c r="R390" s="91">
        <f>(M390*P390)</f>
        <v>216</v>
      </c>
      <c r="AG390" s="86" t="s">
        <v>2284</v>
      </c>
    </row>
    <row r="391" spans="1:33" hidden="1">
      <c r="A391" s="106">
        <f t="shared" si="19"/>
        <v>227</v>
      </c>
      <c r="B391" s="86" t="s">
        <v>1134</v>
      </c>
      <c r="C391" s="8">
        <v>35.26</v>
      </c>
      <c r="D391" s="1" t="s">
        <v>1796</v>
      </c>
      <c r="E391"/>
      <c r="G391" s="90" t="s">
        <v>681</v>
      </c>
      <c r="H391" s="86" t="s">
        <v>2964</v>
      </c>
      <c r="I391"/>
      <c r="J391" s="4"/>
      <c r="K391"/>
      <c r="M391" s="91">
        <v>0.5</v>
      </c>
      <c r="N391" s="86" t="s">
        <v>877</v>
      </c>
      <c r="O391" s="86" t="s">
        <v>1927</v>
      </c>
      <c r="P391" s="91">
        <f>(C12)</f>
        <v>95</v>
      </c>
      <c r="Q391" s="86" t="s">
        <v>877</v>
      </c>
      <c r="R391" s="91">
        <f>(M391*P391)</f>
        <v>47.5</v>
      </c>
      <c r="AG391" s="86" t="s">
        <v>2284</v>
      </c>
    </row>
    <row r="392" spans="1:33" hidden="1">
      <c r="A392" s="106">
        <f t="shared" si="19"/>
        <v>228</v>
      </c>
      <c r="B392" s="86" t="s">
        <v>1135</v>
      </c>
      <c r="C392" s="8">
        <v>48.71</v>
      </c>
      <c r="D392" s="1" t="s">
        <v>1796</v>
      </c>
      <c r="E392"/>
      <c r="H392" s="89" t="s">
        <v>1609</v>
      </c>
      <c r="I392"/>
      <c r="J392" s="4"/>
      <c r="K392"/>
      <c r="M392" s="91">
        <v>2.7</v>
      </c>
      <c r="N392" s="86" t="s">
        <v>877</v>
      </c>
      <c r="O392" s="86" t="s">
        <v>321</v>
      </c>
      <c r="P392" s="91">
        <f>(C13)</f>
        <v>85</v>
      </c>
      <c r="Q392" s="86" t="s">
        <v>877</v>
      </c>
      <c r="R392" s="91">
        <f>(M392*P392)</f>
        <v>229.5</v>
      </c>
      <c r="AG392" s="86" t="s">
        <v>2284</v>
      </c>
    </row>
    <row r="393" spans="1:33" hidden="1">
      <c r="A393" s="106">
        <f t="shared" si="19"/>
        <v>229</v>
      </c>
      <c r="B393" s="86" t="s">
        <v>1136</v>
      </c>
      <c r="C393" s="8">
        <v>58.75</v>
      </c>
      <c r="D393" s="1" t="s">
        <v>1796</v>
      </c>
      <c r="E393"/>
      <c r="F393" s="91">
        <v>1.1000000000000001</v>
      </c>
      <c r="G393" s="90" t="s">
        <v>878</v>
      </c>
      <c r="H393" s="86" t="s">
        <v>1137</v>
      </c>
      <c r="I393" s="8" t="e">
        <f>(K388)</f>
        <v>#REF!</v>
      </c>
      <c r="J393" s="2" t="s">
        <v>877</v>
      </c>
      <c r="K393" s="8" t="e">
        <f>(F393*I393)</f>
        <v>#REF!</v>
      </c>
      <c r="N393" s="86" t="s">
        <v>450</v>
      </c>
      <c r="O393" s="86" t="s">
        <v>1861</v>
      </c>
      <c r="P393" s="86" t="s">
        <v>987</v>
      </c>
      <c r="Q393" s="86" t="s">
        <v>450</v>
      </c>
      <c r="R393" s="91">
        <v>2.09</v>
      </c>
      <c r="AG393" s="86" t="s">
        <v>2284</v>
      </c>
    </row>
    <row r="394" spans="1:33" hidden="1">
      <c r="A394" s="106">
        <f t="shared" si="19"/>
        <v>230</v>
      </c>
      <c r="B394" s="86" t="s">
        <v>1138</v>
      </c>
      <c r="C394" s="8">
        <v>70.2</v>
      </c>
      <c r="D394" s="1" t="s">
        <v>1796</v>
      </c>
      <c r="E394"/>
      <c r="F394" s="91">
        <v>1</v>
      </c>
      <c r="G394" s="90" t="s">
        <v>778</v>
      </c>
      <c r="H394" s="86" t="s">
        <v>2034</v>
      </c>
      <c r="I394" s="8">
        <f>(C10)</f>
        <v>150</v>
      </c>
      <c r="J394" s="2" t="s">
        <v>877</v>
      </c>
      <c r="K394" s="8">
        <f>(F394*I394)</f>
        <v>150</v>
      </c>
      <c r="R394" s="89" t="s">
        <v>1609</v>
      </c>
      <c r="AG394" s="86" t="s">
        <v>2284</v>
      </c>
    </row>
    <row r="395" spans="1:33" hidden="1">
      <c r="A395" s="106">
        <f t="shared" si="19"/>
        <v>231</v>
      </c>
      <c r="B395" s="86" t="s">
        <v>239</v>
      </c>
      <c r="C395" s="8">
        <v>91.85</v>
      </c>
      <c r="D395" s="1" t="s">
        <v>1796</v>
      </c>
      <c r="E395"/>
      <c r="G395" s="90" t="s">
        <v>450</v>
      </c>
      <c r="H395" s="86" t="s">
        <v>451</v>
      </c>
      <c r="I395" s="1" t="s">
        <v>987</v>
      </c>
      <c r="J395" s="2" t="s">
        <v>450</v>
      </c>
      <c r="K395" s="8">
        <v>0</v>
      </c>
      <c r="O395" s="86" t="s">
        <v>1863</v>
      </c>
      <c r="R395" s="91">
        <f>SUM(R388:R393)</f>
        <v>549.20000000000005</v>
      </c>
      <c r="AG395" s="86" t="s">
        <v>2284</v>
      </c>
    </row>
    <row r="396" spans="1:33" hidden="1">
      <c r="A396" s="106">
        <f t="shared" si="19"/>
        <v>232</v>
      </c>
      <c r="B396" s="86" t="s">
        <v>1139</v>
      </c>
      <c r="C396" s="8">
        <v>128</v>
      </c>
      <c r="D396" s="1" t="s">
        <v>1796</v>
      </c>
      <c r="E396"/>
      <c r="I396"/>
      <c r="J396" s="4"/>
      <c r="K396" s="5" t="s">
        <v>1609</v>
      </c>
      <c r="R396" s="89" t="s">
        <v>1609</v>
      </c>
      <c r="AG396" s="86" t="s">
        <v>2284</v>
      </c>
    </row>
    <row r="397" spans="1:33" hidden="1">
      <c r="A397" s="106">
        <f t="shared" si="19"/>
        <v>233</v>
      </c>
      <c r="B397" s="86" t="s">
        <v>2095</v>
      </c>
      <c r="C397"/>
      <c r="D397"/>
      <c r="E397"/>
      <c r="H397" s="86" t="s">
        <v>442</v>
      </c>
      <c r="I397"/>
      <c r="J397" s="4"/>
      <c r="K397" s="8" t="e">
        <f>SUM(K393:K395)</f>
        <v>#REF!</v>
      </c>
      <c r="O397" s="86" t="s">
        <v>556</v>
      </c>
      <c r="R397" s="91">
        <f>(R395/100)</f>
        <v>5.49</v>
      </c>
      <c r="AG397" s="86" t="s">
        <v>2284</v>
      </c>
    </row>
    <row r="398" spans="1:33" hidden="1">
      <c r="A398" s="106">
        <f t="shared" si="19"/>
        <v>234</v>
      </c>
      <c r="B398" s="86" t="s">
        <v>1133</v>
      </c>
      <c r="C398" s="8">
        <v>9</v>
      </c>
      <c r="D398" s="1" t="s">
        <v>877</v>
      </c>
      <c r="E398"/>
      <c r="I398"/>
      <c r="J398" s="4"/>
      <c r="K398" s="5" t="s">
        <v>1609</v>
      </c>
      <c r="R398" s="89" t="s">
        <v>2080</v>
      </c>
      <c r="AG398" s="86" t="s">
        <v>2284</v>
      </c>
    </row>
    <row r="399" spans="1:33" hidden="1">
      <c r="A399" s="106">
        <f t="shared" si="19"/>
        <v>235</v>
      </c>
      <c r="B399" s="86" t="s">
        <v>1134</v>
      </c>
      <c r="C399" s="8">
        <v>11</v>
      </c>
      <c r="D399" s="1" t="s">
        <v>877</v>
      </c>
      <c r="E399"/>
      <c r="H399" s="86" t="s">
        <v>556</v>
      </c>
      <c r="I399"/>
      <c r="J399" s="4"/>
      <c r="K399" s="8" t="e">
        <f>(K397/10)</f>
        <v>#REF!</v>
      </c>
      <c r="N399" s="86" t="s">
        <v>681</v>
      </c>
      <c r="O399" s="86" t="s">
        <v>349</v>
      </c>
      <c r="AG399" s="86" t="s">
        <v>2284</v>
      </c>
    </row>
    <row r="400" spans="1:33" hidden="1">
      <c r="A400" s="106">
        <f t="shared" si="19"/>
        <v>236</v>
      </c>
      <c r="B400" s="86" t="s">
        <v>1135</v>
      </c>
      <c r="C400" s="8">
        <v>18</v>
      </c>
      <c r="D400" s="1" t="s">
        <v>877</v>
      </c>
      <c r="E400"/>
      <c r="I400"/>
      <c r="J400" s="4"/>
      <c r="K400" s="5" t="s">
        <v>2080</v>
      </c>
      <c r="O400" s="89" t="s">
        <v>1609</v>
      </c>
      <c r="AG400" s="86" t="s">
        <v>2284</v>
      </c>
    </row>
    <row r="401" spans="1:33" hidden="1">
      <c r="A401" s="106">
        <f t="shared" si="19"/>
        <v>237</v>
      </c>
      <c r="B401" s="86" t="s">
        <v>1136</v>
      </c>
      <c r="C401" s="8">
        <v>24.6</v>
      </c>
      <c r="D401" s="1" t="s">
        <v>877</v>
      </c>
      <c r="E401"/>
      <c r="H401" s="86" t="s">
        <v>386</v>
      </c>
      <c r="I401"/>
      <c r="J401" s="4"/>
      <c r="K401" s="8" t="e">
        <f>(K399+C19/10*F393)</f>
        <v>#REF!</v>
      </c>
      <c r="M401" s="91">
        <v>10</v>
      </c>
      <c r="N401" s="86" t="s">
        <v>615</v>
      </c>
      <c r="O401" s="86" t="s">
        <v>1132</v>
      </c>
      <c r="P401" s="91">
        <f>(R397)</f>
        <v>5.49</v>
      </c>
      <c r="Q401" s="86" t="s">
        <v>615</v>
      </c>
      <c r="R401" s="91">
        <f>(M401*P401)</f>
        <v>54.9</v>
      </c>
      <c r="AG401" s="86" t="s">
        <v>2284</v>
      </c>
    </row>
    <row r="402" spans="1:33" hidden="1">
      <c r="A402" s="106">
        <f t="shared" si="19"/>
        <v>238</v>
      </c>
      <c r="B402" s="86" t="s">
        <v>1138</v>
      </c>
      <c r="C402" s="8">
        <v>31.46</v>
      </c>
      <c r="D402" s="1" t="s">
        <v>877</v>
      </c>
      <c r="E402"/>
      <c r="H402" s="86" t="s">
        <v>388</v>
      </c>
      <c r="I402"/>
      <c r="J402" s="4"/>
      <c r="K402" s="8" t="e">
        <f>(K401+C20/10*F393)</f>
        <v>#REF!</v>
      </c>
      <c r="M402" s="91">
        <v>10</v>
      </c>
      <c r="N402" s="86" t="s">
        <v>615</v>
      </c>
      <c r="O402" s="86" t="s">
        <v>1551</v>
      </c>
      <c r="P402" s="91">
        <f>(R397/2)</f>
        <v>2.75</v>
      </c>
      <c r="Q402" s="86" t="s">
        <v>615</v>
      </c>
      <c r="R402" s="91">
        <f>(M402*P402)</f>
        <v>27.5</v>
      </c>
      <c r="AG402" s="86" t="s">
        <v>2284</v>
      </c>
    </row>
    <row r="403" spans="1:33" hidden="1">
      <c r="A403" s="106">
        <f t="shared" si="19"/>
        <v>239</v>
      </c>
      <c r="B403" s="86" t="s">
        <v>239</v>
      </c>
      <c r="C403" s="8">
        <v>53.2</v>
      </c>
      <c r="D403" s="1" t="s">
        <v>877</v>
      </c>
      <c r="E403"/>
      <c r="H403" s="86" t="s">
        <v>2257</v>
      </c>
      <c r="I403"/>
      <c r="J403" s="4"/>
      <c r="K403" s="8" t="e">
        <f>(K402+C21/10*F393)</f>
        <v>#REF!</v>
      </c>
      <c r="O403" s="86" t="s">
        <v>1552</v>
      </c>
      <c r="R403" s="89" t="s">
        <v>1609</v>
      </c>
      <c r="AG403" s="86" t="s">
        <v>2284</v>
      </c>
    </row>
    <row r="404" spans="1:33" hidden="1">
      <c r="A404" s="106">
        <f t="shared" si="19"/>
        <v>240</v>
      </c>
      <c r="B404" s="86" t="s">
        <v>1139</v>
      </c>
      <c r="C404" s="8">
        <v>76.36</v>
      </c>
      <c r="D404" s="1" t="s">
        <v>877</v>
      </c>
      <c r="E404"/>
      <c r="H404" s="86" t="s">
        <v>380</v>
      </c>
      <c r="I404"/>
      <c r="J404" s="4"/>
      <c r="K404" s="8" t="e">
        <f>(K403+C21/10*F393)</f>
        <v>#REF!</v>
      </c>
      <c r="R404" s="91">
        <f>SUM(R401:R402)</f>
        <v>82.4</v>
      </c>
      <c r="AG404" s="86" t="s">
        <v>2284</v>
      </c>
    </row>
    <row r="405" spans="1:33" hidden="1">
      <c r="A405" s="106">
        <f t="shared" si="19"/>
        <v>241</v>
      </c>
      <c r="B405" s="86" t="s">
        <v>1553</v>
      </c>
      <c r="C405"/>
      <c r="D405" s="1" t="s">
        <v>987</v>
      </c>
      <c r="E405"/>
      <c r="H405" s="86" t="s">
        <v>1554</v>
      </c>
      <c r="I405"/>
      <c r="J405" s="4"/>
      <c r="K405" s="8" t="e">
        <f>(K404+C21/10*F393)</f>
        <v>#REF!</v>
      </c>
      <c r="O405" s="86" t="s">
        <v>442</v>
      </c>
      <c r="R405" s="89" t="s">
        <v>1609</v>
      </c>
      <c r="AG405" s="86" t="s">
        <v>2284</v>
      </c>
    </row>
    <row r="406" spans="1:33" hidden="1">
      <c r="A406" s="106">
        <f t="shared" si="19"/>
        <v>242</v>
      </c>
      <c r="B406" s="86" t="s">
        <v>1133</v>
      </c>
      <c r="C406" s="8">
        <v>5.5</v>
      </c>
      <c r="D406" s="1" t="s">
        <v>877</v>
      </c>
      <c r="E406"/>
      <c r="F406" s="108">
        <v>11</v>
      </c>
      <c r="G406" s="90" t="s">
        <v>2276</v>
      </c>
      <c r="H406" s="86" t="s">
        <v>3153</v>
      </c>
      <c r="I406"/>
      <c r="J406" s="4"/>
      <c r="K406"/>
      <c r="R406" s="91">
        <f>(R404/10)</f>
        <v>8.24</v>
      </c>
      <c r="AG406" s="86" t="s">
        <v>2284</v>
      </c>
    </row>
    <row r="407" spans="1:33" hidden="1">
      <c r="A407" s="106">
        <f t="shared" si="19"/>
        <v>243</v>
      </c>
      <c r="B407" s="86" t="s">
        <v>1134</v>
      </c>
      <c r="C407" s="8">
        <v>8</v>
      </c>
      <c r="D407" s="1" t="s">
        <v>877</v>
      </c>
      <c r="E407"/>
      <c r="H407" s="91" t="str">
        <f>H308</f>
        <v>Bricks of size 22x11x7 cm</v>
      </c>
      <c r="I407"/>
      <c r="J407" s="4"/>
      <c r="K407"/>
      <c r="O407" s="86" t="s">
        <v>556</v>
      </c>
      <c r="R407" s="89" t="s">
        <v>2080</v>
      </c>
      <c r="AG407" s="86" t="s">
        <v>2284</v>
      </c>
    </row>
    <row r="408" spans="1:33" hidden="1">
      <c r="A408" s="106">
        <f t="shared" si="19"/>
        <v>244</v>
      </c>
      <c r="B408" s="86" t="s">
        <v>1135</v>
      </c>
      <c r="C408" s="8">
        <v>10.4</v>
      </c>
      <c r="D408" s="1" t="s">
        <v>877</v>
      </c>
      <c r="E408"/>
      <c r="H408" s="89" t="s">
        <v>1609</v>
      </c>
      <c r="I408"/>
      <c r="J408" s="4"/>
      <c r="K408"/>
      <c r="AG408" s="86" t="s">
        <v>2284</v>
      </c>
    </row>
    <row r="409" spans="1:33" hidden="1">
      <c r="A409" s="106">
        <f t="shared" si="19"/>
        <v>245</v>
      </c>
      <c r="B409" s="86" t="s">
        <v>1136</v>
      </c>
      <c r="C409" s="8">
        <v>22.06</v>
      </c>
      <c r="D409" s="1" t="s">
        <v>877</v>
      </c>
      <c r="E409"/>
      <c r="F409" s="91">
        <f>F310</f>
        <v>4800</v>
      </c>
      <c r="G409" s="90" t="s">
        <v>1445</v>
      </c>
      <c r="H409" s="91" t="str">
        <f>H308</f>
        <v>Bricks of size 22x11x7 cm</v>
      </c>
      <c r="I409" s="8" t="e">
        <f>(C80)</f>
        <v>#REF!</v>
      </c>
      <c r="J409" s="2" t="s">
        <v>1555</v>
      </c>
      <c r="K409" s="8" t="e">
        <f>(F409*I409)/1000</f>
        <v>#REF!</v>
      </c>
      <c r="N409" s="86" t="s">
        <v>2276</v>
      </c>
      <c r="O409" s="86" t="s">
        <v>1556</v>
      </c>
      <c r="AG409" s="86" t="s">
        <v>2284</v>
      </c>
    </row>
    <row r="410" spans="1:33" hidden="1">
      <c r="A410" s="106">
        <f t="shared" si="19"/>
        <v>246</v>
      </c>
      <c r="B410" s="86" t="s">
        <v>1138</v>
      </c>
      <c r="C410" s="8">
        <v>27.91</v>
      </c>
      <c r="D410" s="1" t="s">
        <v>877</v>
      </c>
      <c r="E410"/>
      <c r="F410" s="91">
        <v>1.59</v>
      </c>
      <c r="G410" s="90" t="s">
        <v>878</v>
      </c>
      <c r="H410" s="86" t="s">
        <v>1327</v>
      </c>
      <c r="I410" s="8" t="e">
        <f>(K40)</f>
        <v>#REF!</v>
      </c>
      <c r="J410" s="2" t="s">
        <v>878</v>
      </c>
      <c r="K410" s="8" t="e">
        <f>(F410*I410)</f>
        <v>#REF!</v>
      </c>
      <c r="O410" s="86" t="s">
        <v>1557</v>
      </c>
      <c r="AG410" s="86" t="s">
        <v>2284</v>
      </c>
    </row>
    <row r="411" spans="1:33" hidden="1">
      <c r="A411" s="106">
        <f t="shared" si="19"/>
        <v>247</v>
      </c>
      <c r="B411" s="86" t="s">
        <v>239</v>
      </c>
      <c r="C411" s="8">
        <v>49.42</v>
      </c>
      <c r="D411" s="1" t="s">
        <v>877</v>
      </c>
      <c r="E411"/>
      <c r="F411" s="91">
        <v>7</v>
      </c>
      <c r="G411" s="90" t="s">
        <v>877</v>
      </c>
      <c r="H411" s="86" t="s">
        <v>2034</v>
      </c>
      <c r="I411" s="8">
        <f>(C10)</f>
        <v>150</v>
      </c>
      <c r="J411" s="2" t="s">
        <v>877</v>
      </c>
      <c r="K411" s="8">
        <f>(F411*I411)</f>
        <v>1050</v>
      </c>
      <c r="O411" s="89" t="s">
        <v>1609</v>
      </c>
      <c r="AG411" s="86" t="s">
        <v>2284</v>
      </c>
    </row>
    <row r="412" spans="1:33" hidden="1">
      <c r="A412" s="106">
        <f t="shared" si="19"/>
        <v>248</v>
      </c>
      <c r="B412" s="86" t="s">
        <v>1139</v>
      </c>
      <c r="C412" s="8">
        <v>86.94</v>
      </c>
      <c r="D412" s="1" t="s">
        <v>877</v>
      </c>
      <c r="E412"/>
      <c r="F412" s="91">
        <v>7.1</v>
      </c>
      <c r="G412" s="90" t="s">
        <v>877</v>
      </c>
      <c r="H412" s="86" t="s">
        <v>1737</v>
      </c>
      <c r="I412" s="8">
        <f>(C11)</f>
        <v>135</v>
      </c>
      <c r="J412" s="2" t="s">
        <v>877</v>
      </c>
      <c r="K412" s="8">
        <f>(F412*I412)</f>
        <v>958.5</v>
      </c>
      <c r="M412" s="91">
        <v>10</v>
      </c>
      <c r="N412" s="86" t="s">
        <v>615</v>
      </c>
      <c r="O412" s="86" t="s">
        <v>1859</v>
      </c>
      <c r="P412" s="91">
        <f>(R383)</f>
        <v>3.79</v>
      </c>
      <c r="Q412" s="86" t="s">
        <v>615</v>
      </c>
      <c r="R412" s="91">
        <f>(M412*P412)</f>
        <v>37.9</v>
      </c>
      <c r="AG412" s="86" t="s">
        <v>2284</v>
      </c>
    </row>
    <row r="413" spans="1:33" hidden="1">
      <c r="A413" s="106">
        <f t="shared" si="19"/>
        <v>249</v>
      </c>
      <c r="B413" s="86" t="s">
        <v>1558</v>
      </c>
      <c r="C413"/>
      <c r="D413" s="1" t="s">
        <v>987</v>
      </c>
      <c r="E413"/>
      <c r="F413" s="91">
        <v>7.1</v>
      </c>
      <c r="G413" s="90" t="s">
        <v>877</v>
      </c>
      <c r="H413" s="86" t="s">
        <v>1927</v>
      </c>
      <c r="I413" s="8">
        <f>(C12)</f>
        <v>95</v>
      </c>
      <c r="J413" s="2" t="s">
        <v>877</v>
      </c>
      <c r="K413" s="8">
        <f>(F413*I413)</f>
        <v>674.5</v>
      </c>
      <c r="M413" s="91">
        <v>10</v>
      </c>
      <c r="N413" s="86" t="s">
        <v>615</v>
      </c>
      <c r="O413" s="86" t="s">
        <v>349</v>
      </c>
      <c r="P413" s="91">
        <f>(R406)</f>
        <v>8.24</v>
      </c>
      <c r="Q413" s="86" t="s">
        <v>615</v>
      </c>
      <c r="R413" s="91">
        <f>(M413*P413)</f>
        <v>82.4</v>
      </c>
      <c r="AG413" s="86" t="s">
        <v>2284</v>
      </c>
    </row>
    <row r="414" spans="1:33" hidden="1">
      <c r="A414" s="106">
        <f t="shared" si="19"/>
        <v>250</v>
      </c>
      <c r="B414" s="86" t="s">
        <v>1133</v>
      </c>
      <c r="C414" s="8">
        <v>5.75</v>
      </c>
      <c r="D414" s="1" t="s">
        <v>877</v>
      </c>
      <c r="E414"/>
      <c r="F414" s="91">
        <v>21.2</v>
      </c>
      <c r="G414" s="90" t="s">
        <v>877</v>
      </c>
      <c r="H414" s="86" t="s">
        <v>321</v>
      </c>
      <c r="I414" s="8">
        <f>(C13)</f>
        <v>85</v>
      </c>
      <c r="J414" s="2" t="s">
        <v>877</v>
      </c>
      <c r="K414" s="8">
        <f>(F414*I414)</f>
        <v>1802</v>
      </c>
      <c r="O414" s="86" t="s">
        <v>987</v>
      </c>
      <c r="R414" s="89" t="s">
        <v>1609</v>
      </c>
      <c r="AG414" s="86" t="s">
        <v>2284</v>
      </c>
    </row>
    <row r="415" spans="1:33" hidden="1">
      <c r="A415" s="106">
        <f t="shared" si="19"/>
        <v>251</v>
      </c>
      <c r="B415" s="86" t="s">
        <v>1134</v>
      </c>
      <c r="C415" s="8">
        <v>8.5</v>
      </c>
      <c r="D415" s="1" t="s">
        <v>877</v>
      </c>
      <c r="E415"/>
      <c r="G415" s="90" t="s">
        <v>450</v>
      </c>
      <c r="H415" s="86" t="s">
        <v>451</v>
      </c>
      <c r="I415" s="1" t="s">
        <v>987</v>
      </c>
      <c r="J415" s="2" t="s">
        <v>450</v>
      </c>
      <c r="K415" s="8">
        <v>0</v>
      </c>
      <c r="R415" s="91">
        <f>SUM(R412:R413)</f>
        <v>120.3</v>
      </c>
      <c r="AG415" s="86" t="s">
        <v>2284</v>
      </c>
    </row>
    <row r="416" spans="1:33" hidden="1">
      <c r="A416" s="106">
        <f t="shared" si="19"/>
        <v>252</v>
      </c>
      <c r="B416" s="86" t="s">
        <v>1135</v>
      </c>
      <c r="C416" s="8">
        <v>14</v>
      </c>
      <c r="D416" s="1" t="s">
        <v>877</v>
      </c>
      <c r="E416"/>
      <c r="I416"/>
      <c r="J416" s="4"/>
      <c r="K416" s="5" t="s">
        <v>1609</v>
      </c>
      <c r="O416" s="86" t="s">
        <v>442</v>
      </c>
      <c r="R416" s="89" t="s">
        <v>1609</v>
      </c>
      <c r="AG416" s="86" t="s">
        <v>2284</v>
      </c>
    </row>
    <row r="417" spans="1:33" hidden="1">
      <c r="A417" s="106">
        <f t="shared" si="19"/>
        <v>253</v>
      </c>
      <c r="B417" s="86" t="s">
        <v>1136</v>
      </c>
      <c r="C417" s="8">
        <v>30.11</v>
      </c>
      <c r="D417" s="1" t="s">
        <v>877</v>
      </c>
      <c r="E417"/>
      <c r="H417" s="86" t="s">
        <v>620</v>
      </c>
      <c r="I417"/>
      <c r="J417" s="4"/>
      <c r="K417" s="8" t="e">
        <f>SUM(K409:K415)</f>
        <v>#REF!</v>
      </c>
      <c r="R417" s="91">
        <f>(R415/10)</f>
        <v>12.03</v>
      </c>
      <c r="AG417" s="86" t="s">
        <v>2284</v>
      </c>
    </row>
    <row r="418" spans="1:33" hidden="1">
      <c r="A418" s="106">
        <f t="shared" si="19"/>
        <v>254</v>
      </c>
      <c r="B418" s="86" t="s">
        <v>1138</v>
      </c>
      <c r="C418" s="8">
        <v>47.25</v>
      </c>
      <c r="D418" s="1" t="s">
        <v>877</v>
      </c>
      <c r="E418"/>
      <c r="I418"/>
      <c r="J418" s="4"/>
      <c r="K418" s="5" t="s">
        <v>1609</v>
      </c>
      <c r="O418" s="86" t="s">
        <v>556</v>
      </c>
      <c r="R418" s="89" t="s">
        <v>2080</v>
      </c>
      <c r="AG418" s="86" t="s">
        <v>2284</v>
      </c>
    </row>
    <row r="419" spans="1:33" hidden="1">
      <c r="A419" s="106">
        <f t="shared" si="19"/>
        <v>255</v>
      </c>
      <c r="B419" s="86" t="s">
        <v>239</v>
      </c>
      <c r="C419" s="8">
        <v>71.16</v>
      </c>
      <c r="D419" s="1" t="s">
        <v>877</v>
      </c>
      <c r="E419"/>
      <c r="H419" s="86" t="s">
        <v>782</v>
      </c>
      <c r="I419"/>
      <c r="J419" s="4"/>
      <c r="K419" s="8" t="e">
        <f>(K417/10)</f>
        <v>#REF!</v>
      </c>
      <c r="AG419" s="86" t="s">
        <v>2284</v>
      </c>
    </row>
    <row r="420" spans="1:33" hidden="1">
      <c r="A420" s="106">
        <f t="shared" si="19"/>
        <v>256</v>
      </c>
      <c r="B420" s="86" t="s">
        <v>1139</v>
      </c>
      <c r="C420" s="8">
        <v>125.84</v>
      </c>
      <c r="D420" s="1" t="s">
        <v>877</v>
      </c>
      <c r="E420"/>
      <c r="I420"/>
      <c r="J420" s="4"/>
      <c r="K420" s="5" t="s">
        <v>2080</v>
      </c>
      <c r="AG420" s="86" t="s">
        <v>2284</v>
      </c>
    </row>
    <row r="421" spans="1:33" hidden="1">
      <c r="C421"/>
      <c r="D421"/>
      <c r="E421"/>
      <c r="F421" s="86" t="s">
        <v>248</v>
      </c>
      <c r="I421"/>
      <c r="J421" s="4"/>
      <c r="K421"/>
    </row>
    <row r="422" spans="1:33" hidden="1">
      <c r="A422" s="106">
        <f>(A420+1)</f>
        <v>257</v>
      </c>
      <c r="B422" s="86" t="s">
        <v>1559</v>
      </c>
      <c r="C422"/>
      <c r="D422" s="1" t="s">
        <v>987</v>
      </c>
      <c r="E422"/>
      <c r="I422"/>
      <c r="J422" s="4"/>
      <c r="K422"/>
      <c r="O422" s="102" t="s">
        <v>1560</v>
      </c>
      <c r="AG422" s="86" t="s">
        <v>2284</v>
      </c>
    </row>
    <row r="423" spans="1:33" hidden="1">
      <c r="A423" s="106">
        <f t="shared" ref="A423:A455" si="20">(A422+1)</f>
        <v>258</v>
      </c>
      <c r="B423" s="86" t="s">
        <v>1133</v>
      </c>
      <c r="C423" s="8">
        <v>17</v>
      </c>
      <c r="D423" s="1" t="s">
        <v>877</v>
      </c>
      <c r="E423"/>
      <c r="G423" s="90" t="s">
        <v>1561</v>
      </c>
      <c r="H423" s="86" t="s">
        <v>431</v>
      </c>
      <c r="I423"/>
      <c r="J423" s="4"/>
      <c r="K423"/>
      <c r="O423" s="89" t="s">
        <v>1609</v>
      </c>
      <c r="AG423" s="86" t="s">
        <v>2284</v>
      </c>
    </row>
    <row r="424" spans="1:33" hidden="1">
      <c r="A424" s="106">
        <f t="shared" si="20"/>
        <v>259</v>
      </c>
      <c r="B424" s="86" t="s">
        <v>1134</v>
      </c>
      <c r="C424" s="8">
        <v>23.4</v>
      </c>
      <c r="D424" s="1" t="s">
        <v>877</v>
      </c>
      <c r="E424"/>
      <c r="H424" s="89" t="s">
        <v>1609</v>
      </c>
      <c r="I424"/>
      <c r="J424" s="4"/>
      <c r="K424"/>
      <c r="N424" s="86" t="s">
        <v>2276</v>
      </c>
      <c r="O424" s="86" t="s">
        <v>2072</v>
      </c>
      <c r="AG424" s="86" t="s">
        <v>2284</v>
      </c>
    </row>
    <row r="425" spans="1:33" hidden="1">
      <c r="A425" s="106">
        <f t="shared" si="20"/>
        <v>260</v>
      </c>
      <c r="B425" s="86" t="s">
        <v>1135</v>
      </c>
      <c r="C425" s="8">
        <v>33</v>
      </c>
      <c r="D425" s="1" t="s">
        <v>877</v>
      </c>
      <c r="E425"/>
      <c r="F425" s="91">
        <v>0.7</v>
      </c>
      <c r="G425" s="90" t="s">
        <v>878</v>
      </c>
      <c r="H425" s="86" t="s">
        <v>2304</v>
      </c>
      <c r="I425" s="8" t="e">
        <f>(K419)</f>
        <v>#REF!</v>
      </c>
      <c r="J425" s="2" t="s">
        <v>877</v>
      </c>
      <c r="K425" s="8" t="e">
        <f>(F425*I425)</f>
        <v>#REF!</v>
      </c>
      <c r="O425" s="86" t="s">
        <v>2073</v>
      </c>
      <c r="AG425" s="86" t="s">
        <v>2284</v>
      </c>
    </row>
    <row r="426" spans="1:33" hidden="1">
      <c r="A426" s="106">
        <f t="shared" si="20"/>
        <v>261</v>
      </c>
      <c r="B426" s="86" t="s">
        <v>1136</v>
      </c>
      <c r="C426" s="8">
        <v>34.22</v>
      </c>
      <c r="D426" s="1" t="s">
        <v>877</v>
      </c>
      <c r="E426"/>
      <c r="F426" s="91">
        <v>1</v>
      </c>
      <c r="G426" s="90" t="s">
        <v>778</v>
      </c>
      <c r="H426" s="86" t="s">
        <v>2034</v>
      </c>
      <c r="I426" s="8">
        <f>(C10)</f>
        <v>150</v>
      </c>
      <c r="J426" s="2" t="s">
        <v>877</v>
      </c>
      <c r="K426" s="8">
        <f>(F426*I426)</f>
        <v>150</v>
      </c>
      <c r="O426" s="86" t="s">
        <v>155</v>
      </c>
      <c r="AG426" s="86" t="s">
        <v>2284</v>
      </c>
    </row>
    <row r="427" spans="1:33" hidden="1">
      <c r="A427" s="106">
        <f t="shared" si="20"/>
        <v>262</v>
      </c>
      <c r="B427" s="86" t="s">
        <v>1138</v>
      </c>
      <c r="C427" s="8">
        <v>75.28</v>
      </c>
      <c r="D427" s="1" t="s">
        <v>877</v>
      </c>
      <c r="E427"/>
      <c r="G427" s="90" t="s">
        <v>450</v>
      </c>
      <c r="H427" s="86" t="s">
        <v>451</v>
      </c>
      <c r="I427" s="1" t="s">
        <v>987</v>
      </c>
      <c r="J427" s="2" t="s">
        <v>450</v>
      </c>
      <c r="K427" s="8">
        <v>0</v>
      </c>
      <c r="O427" s="89" t="s">
        <v>1609</v>
      </c>
      <c r="AG427" s="86" t="s">
        <v>2284</v>
      </c>
    </row>
    <row r="428" spans="1:33" hidden="1">
      <c r="A428" s="106">
        <f t="shared" si="20"/>
        <v>263</v>
      </c>
      <c r="B428" s="86" t="s">
        <v>239</v>
      </c>
      <c r="C428" s="8">
        <v>92.66</v>
      </c>
      <c r="D428" s="1" t="s">
        <v>877</v>
      </c>
      <c r="E428"/>
      <c r="I428"/>
      <c r="J428" s="4"/>
      <c r="K428" s="5" t="s">
        <v>1609</v>
      </c>
      <c r="N428" s="86" t="s">
        <v>156</v>
      </c>
      <c r="O428" s="102" t="s">
        <v>157</v>
      </c>
      <c r="AG428" s="86" t="s">
        <v>2284</v>
      </c>
    </row>
    <row r="429" spans="1:33" hidden="1">
      <c r="A429" s="106">
        <f t="shared" si="20"/>
        <v>264</v>
      </c>
      <c r="B429" s="86" t="s">
        <v>1139</v>
      </c>
      <c r="C429" s="8">
        <v>141.86000000000001</v>
      </c>
      <c r="D429" s="1" t="s">
        <v>877</v>
      </c>
      <c r="E429"/>
      <c r="H429" s="86" t="s">
        <v>442</v>
      </c>
      <c r="I429"/>
      <c r="J429" s="4"/>
      <c r="K429" s="8" t="e">
        <f>SUM(K425:K427)</f>
        <v>#REF!</v>
      </c>
      <c r="O429" s="89" t="s">
        <v>1609</v>
      </c>
      <c r="AG429" s="86" t="s">
        <v>2284</v>
      </c>
    </row>
    <row r="430" spans="1:33" hidden="1">
      <c r="A430" s="106">
        <f t="shared" si="20"/>
        <v>265</v>
      </c>
      <c r="B430" s="86" t="s">
        <v>158</v>
      </c>
      <c r="C430"/>
      <c r="D430" s="1" t="s">
        <v>987</v>
      </c>
      <c r="E430"/>
      <c r="I430"/>
      <c r="J430" s="4"/>
      <c r="K430" s="5" t="s">
        <v>1609</v>
      </c>
      <c r="M430" s="91">
        <v>8.1</v>
      </c>
      <c r="N430" s="86" t="s">
        <v>878</v>
      </c>
      <c r="O430" s="86" t="s">
        <v>623</v>
      </c>
      <c r="P430" s="91">
        <f>(C61)*2</f>
        <v>50</v>
      </c>
      <c r="Q430" s="86" t="s">
        <v>878</v>
      </c>
      <c r="R430" s="91">
        <f>(M430*P430)</f>
        <v>405</v>
      </c>
      <c r="AG430" s="86" t="s">
        <v>2284</v>
      </c>
    </row>
    <row r="431" spans="1:33" hidden="1">
      <c r="A431" s="106">
        <f t="shared" si="20"/>
        <v>266</v>
      </c>
      <c r="B431" s="86" t="s">
        <v>1133</v>
      </c>
      <c r="C431" s="8">
        <v>1.8</v>
      </c>
      <c r="D431" s="1" t="s">
        <v>877</v>
      </c>
      <c r="E431"/>
      <c r="H431" s="86" t="s">
        <v>556</v>
      </c>
      <c r="I431"/>
      <c r="J431" s="4"/>
      <c r="K431" s="8" t="e">
        <f>(K429/10)</f>
        <v>#REF!</v>
      </c>
      <c r="M431" s="91">
        <v>8.1</v>
      </c>
      <c r="N431" s="86" t="s">
        <v>878</v>
      </c>
      <c r="O431" s="86" t="s">
        <v>2182</v>
      </c>
      <c r="P431" s="91">
        <f>(C26)</f>
        <v>8.8000000000000007</v>
      </c>
      <c r="Q431" s="86" t="s">
        <v>878</v>
      </c>
      <c r="R431" s="91">
        <f>(M431*P431)</f>
        <v>71.28</v>
      </c>
      <c r="AG431" s="86" t="s">
        <v>2284</v>
      </c>
    </row>
    <row r="432" spans="1:33" hidden="1">
      <c r="A432" s="106">
        <f t="shared" si="20"/>
        <v>267</v>
      </c>
      <c r="B432" s="86" t="s">
        <v>1134</v>
      </c>
      <c r="C432" s="8">
        <v>2.9</v>
      </c>
      <c r="D432" s="1" t="s">
        <v>877</v>
      </c>
      <c r="E432"/>
      <c r="I432"/>
      <c r="J432" s="4"/>
      <c r="K432" s="5" t="s">
        <v>2080</v>
      </c>
      <c r="M432" s="91">
        <v>30</v>
      </c>
      <c r="N432" s="86" t="s">
        <v>1796</v>
      </c>
      <c r="O432" s="86" t="s">
        <v>2183</v>
      </c>
      <c r="P432" s="91">
        <f>(C42)</f>
        <v>1.75</v>
      </c>
      <c r="Q432" s="86" t="s">
        <v>1796</v>
      </c>
      <c r="R432" s="91">
        <f>(M432*P432)</f>
        <v>52.5</v>
      </c>
      <c r="AG432" s="86" t="s">
        <v>2284</v>
      </c>
    </row>
    <row r="433" spans="1:33" hidden="1">
      <c r="A433" s="106">
        <f t="shared" si="20"/>
        <v>268</v>
      </c>
      <c r="B433" s="86" t="s">
        <v>1135</v>
      </c>
      <c r="C433" s="8">
        <v>4</v>
      </c>
      <c r="D433" s="1" t="s">
        <v>877</v>
      </c>
      <c r="E433"/>
      <c r="H433" s="86" t="s">
        <v>386</v>
      </c>
      <c r="I433"/>
      <c r="J433" s="4"/>
      <c r="K433" s="8" t="e">
        <f>(K431+C19/10*F425)</f>
        <v>#REF!</v>
      </c>
      <c r="O433" s="86" t="s">
        <v>2184</v>
      </c>
      <c r="AG433" s="86" t="s">
        <v>2284</v>
      </c>
    </row>
    <row r="434" spans="1:33" hidden="1">
      <c r="A434" s="106">
        <f t="shared" si="20"/>
        <v>269</v>
      </c>
      <c r="B434" s="86" t="s">
        <v>1136</v>
      </c>
      <c r="C434" s="8">
        <v>6.86</v>
      </c>
      <c r="D434" s="1" t="s">
        <v>877</v>
      </c>
      <c r="E434"/>
      <c r="H434" s="86" t="s">
        <v>388</v>
      </c>
      <c r="I434"/>
      <c r="J434" s="4"/>
      <c r="K434" s="8" t="e">
        <f>(K433+C20/10*F425)</f>
        <v>#REF!</v>
      </c>
      <c r="O434" s="86" t="s">
        <v>2185</v>
      </c>
      <c r="AG434" s="86" t="s">
        <v>2284</v>
      </c>
    </row>
    <row r="435" spans="1:33" hidden="1">
      <c r="A435" s="106">
        <f t="shared" si="20"/>
        <v>270</v>
      </c>
      <c r="B435" s="86" t="s">
        <v>1138</v>
      </c>
      <c r="C435" s="8">
        <v>9.15</v>
      </c>
      <c r="D435" s="1" t="s">
        <v>877</v>
      </c>
      <c r="E435"/>
      <c r="H435" s="86" t="s">
        <v>2257</v>
      </c>
      <c r="I435"/>
      <c r="J435" s="4"/>
      <c r="K435" s="8" t="e">
        <f>(K434+C21/10*F425)</f>
        <v>#REF!</v>
      </c>
      <c r="O435" s="86" t="s">
        <v>2186</v>
      </c>
      <c r="AG435" s="86" t="s">
        <v>2284</v>
      </c>
    </row>
    <row r="436" spans="1:33" hidden="1">
      <c r="A436" s="106">
        <f t="shared" si="20"/>
        <v>271</v>
      </c>
      <c r="B436" s="86" t="s">
        <v>239</v>
      </c>
      <c r="C436" s="8">
        <v>14.59</v>
      </c>
      <c r="D436" s="1" t="s">
        <v>877</v>
      </c>
      <c r="E436"/>
      <c r="H436" s="86" t="s">
        <v>380</v>
      </c>
      <c r="I436"/>
      <c r="J436" s="4"/>
      <c r="K436" s="8" t="e">
        <f>(K435+C21/10*F425)</f>
        <v>#REF!</v>
      </c>
      <c r="O436" s="86" t="s">
        <v>2189</v>
      </c>
      <c r="AG436" s="86" t="s">
        <v>2284</v>
      </c>
    </row>
    <row r="437" spans="1:33" hidden="1">
      <c r="A437" s="106"/>
      <c r="B437" s="86"/>
      <c r="C437" s="8"/>
      <c r="D437" s="1"/>
      <c r="E437"/>
      <c r="H437" s="86" t="s">
        <v>842</v>
      </c>
      <c r="I437"/>
      <c r="J437" s="4"/>
      <c r="K437" s="8" t="e">
        <f>(K436+C22/10*F426)</f>
        <v>#REF!</v>
      </c>
      <c r="O437" s="86"/>
      <c r="AG437" s="86"/>
    </row>
    <row r="438" spans="1:33" hidden="1">
      <c r="A438" s="106">
        <f>(A436+1)</f>
        <v>272</v>
      </c>
      <c r="B438" s="86" t="s">
        <v>1139</v>
      </c>
      <c r="C438" s="8">
        <v>21.74</v>
      </c>
      <c r="D438" s="1" t="s">
        <v>877</v>
      </c>
      <c r="E438"/>
      <c r="H438" s="102" t="s">
        <v>2167</v>
      </c>
      <c r="I438"/>
      <c r="J438" s="4"/>
      <c r="K438"/>
      <c r="M438" s="91">
        <v>8</v>
      </c>
      <c r="N438" s="86" t="s">
        <v>778</v>
      </c>
      <c r="O438" s="86" t="s">
        <v>2168</v>
      </c>
      <c r="P438" s="91">
        <f>(C43)</f>
        <v>2.2000000000000002</v>
      </c>
      <c r="Q438" s="86" t="s">
        <v>778</v>
      </c>
      <c r="R438" s="91">
        <f>(M438*P438)</f>
        <v>17.600000000000001</v>
      </c>
      <c r="AG438" s="86" t="s">
        <v>2284</v>
      </c>
    </row>
    <row r="439" spans="1:33" hidden="1">
      <c r="A439" s="106">
        <f t="shared" si="20"/>
        <v>273</v>
      </c>
      <c r="B439" s="86" t="s">
        <v>2169</v>
      </c>
      <c r="C439"/>
      <c r="D439" s="1" t="s">
        <v>987</v>
      </c>
      <c r="E439"/>
      <c r="H439" s="102" t="s">
        <v>2146</v>
      </c>
      <c r="I439"/>
      <c r="J439" s="4"/>
      <c r="K439"/>
      <c r="M439" s="91">
        <v>8</v>
      </c>
      <c r="N439" s="86" t="s">
        <v>778</v>
      </c>
      <c r="O439" s="86" t="s">
        <v>468</v>
      </c>
      <c r="P439" s="91">
        <f>(C50)</f>
        <v>3.2</v>
      </c>
      <c r="Q439" s="86" t="s">
        <v>778</v>
      </c>
      <c r="R439" s="91">
        <f>(M439*P439)</f>
        <v>25.6</v>
      </c>
      <c r="AG439" s="86" t="s">
        <v>2284</v>
      </c>
    </row>
    <row r="440" spans="1:33" hidden="1">
      <c r="A440" s="106">
        <f t="shared" si="20"/>
        <v>274</v>
      </c>
      <c r="B440" s="86" t="s">
        <v>1133</v>
      </c>
      <c r="C440" s="8">
        <v>8.85</v>
      </c>
      <c r="D440" s="1" t="s">
        <v>877</v>
      </c>
      <c r="E440"/>
      <c r="F440" s="108">
        <v>12</v>
      </c>
      <c r="G440" s="90" t="s">
        <v>2276</v>
      </c>
      <c r="H440" s="86" t="s">
        <v>469</v>
      </c>
      <c r="I440"/>
      <c r="J440" s="4"/>
      <c r="K440"/>
      <c r="M440" s="91">
        <v>1</v>
      </c>
      <c r="N440" s="86" t="s">
        <v>450</v>
      </c>
      <c r="O440" s="86" t="s">
        <v>1709</v>
      </c>
      <c r="P440" s="91">
        <f>(C56)</f>
        <v>12.1</v>
      </c>
      <c r="Q440" s="86" t="s">
        <v>450</v>
      </c>
      <c r="R440" s="91">
        <f>(M440*P440)</f>
        <v>12.1</v>
      </c>
      <c r="AG440" s="86" t="s">
        <v>2284</v>
      </c>
    </row>
    <row r="441" spans="1:33" hidden="1">
      <c r="A441" s="106">
        <f t="shared" si="20"/>
        <v>275</v>
      </c>
      <c r="B441" s="86" t="s">
        <v>1134</v>
      </c>
      <c r="C441" s="8">
        <v>14</v>
      </c>
      <c r="D441" s="1" t="s">
        <v>877</v>
      </c>
      <c r="E441"/>
      <c r="H441" s="86" t="s">
        <v>1130</v>
      </c>
      <c r="I441"/>
      <c r="J441" s="4"/>
      <c r="K441"/>
      <c r="M441" s="91">
        <v>1</v>
      </c>
      <c r="N441" s="86" t="s">
        <v>450</v>
      </c>
      <c r="O441" s="86" t="s">
        <v>451</v>
      </c>
      <c r="Q441" s="86" t="s">
        <v>450</v>
      </c>
      <c r="R441" s="91">
        <v>0</v>
      </c>
      <c r="AG441" s="86" t="s">
        <v>2284</v>
      </c>
    </row>
    <row r="442" spans="1:33" hidden="1">
      <c r="A442" s="106">
        <f t="shared" si="20"/>
        <v>276</v>
      </c>
      <c r="B442" s="86" t="s">
        <v>1135</v>
      </c>
      <c r="C442" s="8">
        <v>20.7</v>
      </c>
      <c r="D442" s="1" t="s">
        <v>877</v>
      </c>
      <c r="E442"/>
      <c r="H442" s="89" t="s">
        <v>1609</v>
      </c>
      <c r="I442"/>
      <c r="J442" s="4"/>
      <c r="K442"/>
      <c r="R442" s="89" t="s">
        <v>1609</v>
      </c>
      <c r="AG442" s="86" t="s">
        <v>2284</v>
      </c>
    </row>
    <row r="443" spans="1:33" hidden="1">
      <c r="A443" s="106">
        <f t="shared" si="20"/>
        <v>277</v>
      </c>
      <c r="B443" s="86" t="s">
        <v>1136</v>
      </c>
      <c r="C443" s="8">
        <v>41.82</v>
      </c>
      <c r="D443" s="1" t="s">
        <v>877</v>
      </c>
      <c r="E443"/>
      <c r="F443" s="91">
        <v>6570</v>
      </c>
      <c r="G443" s="90" t="s">
        <v>1445</v>
      </c>
      <c r="H443" s="86" t="s">
        <v>1589</v>
      </c>
      <c r="I443" s="8" t="e">
        <f>(C77)</f>
        <v>#REF!</v>
      </c>
      <c r="J443" s="2" t="s">
        <v>1617</v>
      </c>
      <c r="K443" s="8" t="e">
        <f>(F443*I443)/1000</f>
        <v>#REF!</v>
      </c>
      <c r="O443" s="86" t="s">
        <v>1566</v>
      </c>
      <c r="R443" s="91">
        <f>SUM(R430:R441)</f>
        <v>584.08000000000004</v>
      </c>
      <c r="AG443" s="86" t="s">
        <v>322</v>
      </c>
    </row>
    <row r="444" spans="1:33" hidden="1">
      <c r="A444" s="106">
        <f t="shared" si="20"/>
        <v>278</v>
      </c>
      <c r="B444" s="86" t="s">
        <v>1138</v>
      </c>
      <c r="C444" s="8">
        <v>61.78</v>
      </c>
      <c r="D444" s="1" t="s">
        <v>877</v>
      </c>
      <c r="E444"/>
      <c r="F444" s="91">
        <v>1.91</v>
      </c>
      <c r="G444" s="90" t="s">
        <v>878</v>
      </c>
      <c r="H444" s="86" t="s">
        <v>1327</v>
      </c>
      <c r="I444" s="8" t="e">
        <f>(K40)</f>
        <v>#REF!</v>
      </c>
      <c r="J444" s="2" t="s">
        <v>878</v>
      </c>
      <c r="K444" s="8" t="e">
        <f>(F444*I444)</f>
        <v>#REF!</v>
      </c>
      <c r="R444" s="89" t="s">
        <v>1609</v>
      </c>
    </row>
    <row r="445" spans="1:33" hidden="1">
      <c r="A445" s="106">
        <f t="shared" si="20"/>
        <v>279</v>
      </c>
      <c r="B445" s="86" t="s">
        <v>239</v>
      </c>
      <c r="C445" s="8">
        <v>97.93</v>
      </c>
      <c r="D445" s="1" t="s">
        <v>877</v>
      </c>
      <c r="E445"/>
      <c r="F445" s="91">
        <v>7</v>
      </c>
      <c r="G445" s="90" t="s">
        <v>877</v>
      </c>
      <c r="H445" s="86" t="s">
        <v>2034</v>
      </c>
      <c r="I445" s="8">
        <f>(C10)</f>
        <v>150</v>
      </c>
      <c r="J445" s="2" t="s">
        <v>877</v>
      </c>
      <c r="K445" s="8">
        <f>(F445*I445)</f>
        <v>1050</v>
      </c>
      <c r="O445" s="86" t="s">
        <v>1567</v>
      </c>
      <c r="R445" s="91">
        <f>(R443/30)</f>
        <v>19.47</v>
      </c>
    </row>
    <row r="446" spans="1:33" hidden="1">
      <c r="A446" s="106">
        <f t="shared" si="20"/>
        <v>280</v>
      </c>
      <c r="B446" s="86" t="s">
        <v>1139</v>
      </c>
      <c r="C446" s="8">
        <v>156.5</v>
      </c>
      <c r="D446" s="1" t="s">
        <v>877</v>
      </c>
      <c r="E446"/>
      <c r="F446" s="91">
        <v>3.6</v>
      </c>
      <c r="G446" s="90" t="s">
        <v>877</v>
      </c>
      <c r="H446" s="86" t="s">
        <v>1737</v>
      </c>
      <c r="I446" s="8">
        <f>(C11)</f>
        <v>135</v>
      </c>
      <c r="J446" s="2" t="s">
        <v>877</v>
      </c>
      <c r="K446" s="8">
        <f>(F446*I446)</f>
        <v>486</v>
      </c>
      <c r="R446" s="89" t="s">
        <v>1609</v>
      </c>
      <c r="AG446" s="86" t="s">
        <v>2284</v>
      </c>
    </row>
    <row r="447" spans="1:33" hidden="1">
      <c r="A447" s="106">
        <f t="shared" si="20"/>
        <v>281</v>
      </c>
      <c r="B447" s="86" t="s">
        <v>1576</v>
      </c>
      <c r="C447"/>
      <c r="D447" s="1" t="s">
        <v>987</v>
      </c>
      <c r="E447"/>
      <c r="F447" s="91">
        <v>7.1</v>
      </c>
      <c r="G447" s="90" t="s">
        <v>877</v>
      </c>
      <c r="H447" s="86" t="s">
        <v>1927</v>
      </c>
      <c r="I447" s="8">
        <f>(C12)</f>
        <v>95</v>
      </c>
      <c r="J447" s="2" t="s">
        <v>877</v>
      </c>
      <c r="K447" s="8">
        <f>(F447*I447)</f>
        <v>674.5</v>
      </c>
      <c r="N447" s="86" t="s">
        <v>1577</v>
      </c>
      <c r="O447" s="102" t="s">
        <v>1028</v>
      </c>
      <c r="AG447" s="86" t="s">
        <v>2284</v>
      </c>
    </row>
    <row r="448" spans="1:33" hidden="1">
      <c r="A448" s="106">
        <f t="shared" si="20"/>
        <v>282</v>
      </c>
      <c r="B448" s="86" t="s">
        <v>1133</v>
      </c>
      <c r="C448" s="8">
        <v>3.2</v>
      </c>
      <c r="D448" s="1" t="s">
        <v>877</v>
      </c>
      <c r="E448"/>
      <c r="F448" s="91">
        <v>14.1</v>
      </c>
      <c r="G448" s="90" t="s">
        <v>877</v>
      </c>
      <c r="H448" s="86" t="s">
        <v>321</v>
      </c>
      <c r="I448" s="8">
        <f>(C13)</f>
        <v>85</v>
      </c>
      <c r="J448" s="2" t="s">
        <v>877</v>
      </c>
      <c r="K448" s="8">
        <f>(F448*I448)</f>
        <v>1198.5</v>
      </c>
      <c r="O448" s="89" t="s">
        <v>1609</v>
      </c>
      <c r="AG448" s="86" t="s">
        <v>2284</v>
      </c>
    </row>
    <row r="449" spans="1:33" hidden="1">
      <c r="A449" s="106">
        <f t="shared" si="20"/>
        <v>283</v>
      </c>
      <c r="B449" s="86" t="s">
        <v>1134</v>
      </c>
      <c r="C449" s="8">
        <v>4.7</v>
      </c>
      <c r="D449" s="1" t="s">
        <v>877</v>
      </c>
      <c r="E449"/>
      <c r="G449" s="90" t="s">
        <v>450</v>
      </c>
      <c r="H449" s="86" t="s">
        <v>451</v>
      </c>
      <c r="I449" s="1" t="s">
        <v>987</v>
      </c>
      <c r="J449" s="2" t="s">
        <v>450</v>
      </c>
      <c r="K449" s="8">
        <v>0</v>
      </c>
      <c r="M449" s="91">
        <v>8.1</v>
      </c>
      <c r="N449" s="86" t="s">
        <v>878</v>
      </c>
      <c r="O449" s="86" t="s">
        <v>623</v>
      </c>
      <c r="P449" s="91">
        <f>(C61)*2</f>
        <v>50</v>
      </c>
      <c r="Q449" s="86" t="s">
        <v>878</v>
      </c>
      <c r="R449" s="91">
        <f>(M449*P449)</f>
        <v>405</v>
      </c>
      <c r="AG449" s="86" t="s">
        <v>2284</v>
      </c>
    </row>
    <row r="450" spans="1:33" hidden="1">
      <c r="A450" s="106">
        <f t="shared" si="20"/>
        <v>284</v>
      </c>
      <c r="B450" s="86" t="s">
        <v>1135</v>
      </c>
      <c r="C450" s="8">
        <v>7.65</v>
      </c>
      <c r="D450" s="1" t="s">
        <v>877</v>
      </c>
      <c r="E450"/>
      <c r="I450"/>
      <c r="J450" s="4"/>
      <c r="K450" s="5" t="s">
        <v>1609</v>
      </c>
      <c r="M450" s="91">
        <v>8.1</v>
      </c>
      <c r="N450" s="86" t="s">
        <v>878</v>
      </c>
      <c r="O450" s="86" t="s">
        <v>2182</v>
      </c>
      <c r="P450" s="91">
        <f>(C26)</f>
        <v>8.8000000000000007</v>
      </c>
      <c r="Q450" s="86" t="s">
        <v>878</v>
      </c>
      <c r="R450" s="91">
        <f>(M450*P450)</f>
        <v>71.28</v>
      </c>
      <c r="AG450" s="86" t="s">
        <v>2284</v>
      </c>
    </row>
    <row r="451" spans="1:33" hidden="1">
      <c r="A451" s="106">
        <f t="shared" si="20"/>
        <v>285</v>
      </c>
      <c r="B451" s="86" t="s">
        <v>1136</v>
      </c>
      <c r="C451" s="8">
        <v>30.93</v>
      </c>
      <c r="D451" s="1" t="s">
        <v>877</v>
      </c>
      <c r="E451"/>
      <c r="H451" s="86" t="s">
        <v>620</v>
      </c>
      <c r="I451"/>
      <c r="J451" s="4"/>
      <c r="K451" s="8" t="e">
        <f>SUM(K443:K449)</f>
        <v>#REF!</v>
      </c>
      <c r="M451" s="91">
        <v>30</v>
      </c>
      <c r="N451" s="86" t="s">
        <v>1796</v>
      </c>
      <c r="O451" s="86" t="s">
        <v>2183</v>
      </c>
      <c r="P451" s="91">
        <f>(C42)</f>
        <v>1.75</v>
      </c>
      <c r="Q451" s="86" t="s">
        <v>1796</v>
      </c>
      <c r="R451" s="91">
        <f>(M451*P451)</f>
        <v>52.5</v>
      </c>
      <c r="AG451" s="86" t="s">
        <v>2284</v>
      </c>
    </row>
    <row r="452" spans="1:33" hidden="1">
      <c r="A452" s="106">
        <f t="shared" si="20"/>
        <v>286</v>
      </c>
      <c r="B452" s="86" t="s">
        <v>1138</v>
      </c>
      <c r="C452" s="8">
        <v>39.630000000000003</v>
      </c>
      <c r="D452" s="1" t="s">
        <v>877</v>
      </c>
      <c r="E452"/>
      <c r="I452"/>
      <c r="J452" s="4"/>
      <c r="K452" s="5" t="s">
        <v>1609</v>
      </c>
      <c r="O452" s="86" t="s">
        <v>2184</v>
      </c>
      <c r="AG452" s="86" t="s">
        <v>2284</v>
      </c>
    </row>
    <row r="453" spans="1:33" hidden="1">
      <c r="A453" s="106">
        <f t="shared" si="20"/>
        <v>287</v>
      </c>
      <c r="B453" s="86" t="s">
        <v>239</v>
      </c>
      <c r="C453" s="8">
        <v>70.47</v>
      </c>
      <c r="D453" s="1" t="s">
        <v>877</v>
      </c>
      <c r="E453"/>
      <c r="H453" s="86" t="s">
        <v>782</v>
      </c>
      <c r="I453"/>
      <c r="J453" s="4"/>
      <c r="K453" s="8" t="e">
        <f>(K451/10)</f>
        <v>#REF!</v>
      </c>
      <c r="O453" s="86" t="s">
        <v>2185</v>
      </c>
      <c r="AG453" s="86" t="s">
        <v>2284</v>
      </c>
    </row>
    <row r="454" spans="1:33" hidden="1">
      <c r="A454" s="106">
        <f t="shared" si="20"/>
        <v>288</v>
      </c>
      <c r="B454" s="86" t="s">
        <v>1139</v>
      </c>
      <c r="C454" s="8">
        <v>70.47</v>
      </c>
      <c r="D454" s="1" t="s">
        <v>877</v>
      </c>
      <c r="E454"/>
      <c r="I454"/>
      <c r="J454" s="4"/>
      <c r="K454" s="5" t="s">
        <v>2080</v>
      </c>
      <c r="O454" s="86" t="s">
        <v>2186</v>
      </c>
      <c r="AG454" s="86" t="s">
        <v>2284</v>
      </c>
    </row>
    <row r="455" spans="1:33" hidden="1">
      <c r="A455" s="106">
        <f t="shared" si="20"/>
        <v>289</v>
      </c>
      <c r="B455" s="86" t="s">
        <v>2313</v>
      </c>
      <c r="C455"/>
      <c r="D455" s="1" t="s">
        <v>987</v>
      </c>
      <c r="E455"/>
      <c r="I455"/>
      <c r="J455" s="4"/>
      <c r="K455"/>
      <c r="O455" s="86" t="s">
        <v>2189</v>
      </c>
      <c r="AG455" s="86" t="s">
        <v>2284</v>
      </c>
    </row>
    <row r="456" spans="1:33" hidden="1">
      <c r="A456" s="106">
        <f t="shared" ref="A456:A489" si="21">(A455+1)</f>
        <v>290</v>
      </c>
      <c r="B456" s="86" t="s">
        <v>1133</v>
      </c>
      <c r="C456" s="8">
        <v>158.91999999999999</v>
      </c>
      <c r="D456" s="1" t="s">
        <v>877</v>
      </c>
      <c r="E456"/>
      <c r="G456" s="90" t="s">
        <v>2276</v>
      </c>
      <c r="H456" s="86" t="s">
        <v>153</v>
      </c>
      <c r="I456"/>
      <c r="J456" s="4"/>
      <c r="K456"/>
      <c r="M456" s="91">
        <v>8</v>
      </c>
      <c r="N456" s="86" t="s">
        <v>778</v>
      </c>
      <c r="O456" s="86" t="s">
        <v>2168</v>
      </c>
      <c r="P456" s="91">
        <f>(C44)</f>
        <v>2.2000000000000002</v>
      </c>
      <c r="Q456" s="86" t="s">
        <v>778</v>
      </c>
      <c r="R456" s="91">
        <f>(M456*P456)</f>
        <v>17.600000000000001</v>
      </c>
      <c r="AG456" s="86" t="s">
        <v>2284</v>
      </c>
    </row>
    <row r="457" spans="1:33" hidden="1">
      <c r="A457" s="106">
        <f t="shared" si="21"/>
        <v>291</v>
      </c>
      <c r="B457" s="86" t="s">
        <v>1134</v>
      </c>
      <c r="C457" s="8">
        <v>263.04000000000002</v>
      </c>
      <c r="D457" s="1" t="s">
        <v>877</v>
      </c>
      <c r="E457"/>
      <c r="H457" s="89" t="s">
        <v>1609</v>
      </c>
      <c r="I457"/>
      <c r="J457" s="4"/>
      <c r="K457"/>
      <c r="M457" s="91">
        <v>8</v>
      </c>
      <c r="N457" s="86" t="s">
        <v>778</v>
      </c>
      <c r="O457" s="86" t="s">
        <v>468</v>
      </c>
      <c r="P457" s="91">
        <f>(C51)</f>
        <v>3.2</v>
      </c>
      <c r="Q457" s="86" t="s">
        <v>778</v>
      </c>
      <c r="R457" s="91">
        <f>(M457*P457)</f>
        <v>25.6</v>
      </c>
      <c r="AG457" s="86" t="s">
        <v>2284</v>
      </c>
    </row>
    <row r="458" spans="1:33" hidden="1">
      <c r="A458" s="106">
        <f t="shared" si="21"/>
        <v>292</v>
      </c>
      <c r="B458" s="86" t="s">
        <v>1135</v>
      </c>
      <c r="C458"/>
      <c r="D458" s="1" t="s">
        <v>987</v>
      </c>
      <c r="E458"/>
      <c r="F458" s="91">
        <v>0.5</v>
      </c>
      <c r="G458" s="90" t="s">
        <v>878</v>
      </c>
      <c r="H458" s="86" t="s">
        <v>2304</v>
      </c>
      <c r="I458" s="8" t="e">
        <f>(K453)</f>
        <v>#REF!</v>
      </c>
      <c r="J458" s="2" t="s">
        <v>877</v>
      </c>
      <c r="K458" s="8" t="e">
        <f>(F458*I458)</f>
        <v>#REF!</v>
      </c>
      <c r="M458" s="91">
        <v>1</v>
      </c>
      <c r="N458" s="86" t="s">
        <v>450</v>
      </c>
      <c r="O458" s="86" t="s">
        <v>1709</v>
      </c>
      <c r="P458" s="91">
        <f>(C56)</f>
        <v>12.1</v>
      </c>
      <c r="Q458" s="86" t="s">
        <v>450</v>
      </c>
      <c r="R458" s="91">
        <f>(M458*P458)</f>
        <v>12.1</v>
      </c>
      <c r="AG458" s="86" t="s">
        <v>2284</v>
      </c>
    </row>
    <row r="459" spans="1:33" hidden="1">
      <c r="A459" s="106">
        <f t="shared" si="21"/>
        <v>293</v>
      </c>
      <c r="B459" s="86" t="s">
        <v>1191</v>
      </c>
      <c r="C459" s="8">
        <v>1.2</v>
      </c>
      <c r="D459" s="1" t="s">
        <v>877</v>
      </c>
      <c r="E459"/>
      <c r="F459" s="91">
        <v>1</v>
      </c>
      <c r="G459" s="90" t="s">
        <v>778</v>
      </c>
      <c r="H459" s="86" t="s">
        <v>2034</v>
      </c>
      <c r="I459" s="8">
        <f>(C10)</f>
        <v>150</v>
      </c>
      <c r="J459" s="2" t="s">
        <v>877</v>
      </c>
      <c r="K459" s="8">
        <f>(F459*I459)</f>
        <v>150</v>
      </c>
      <c r="M459" s="91">
        <v>1</v>
      </c>
      <c r="N459" s="86" t="s">
        <v>450</v>
      </c>
      <c r="O459" s="86" t="s">
        <v>451</v>
      </c>
      <c r="Q459" s="86" t="s">
        <v>450</v>
      </c>
      <c r="R459" s="91">
        <v>0</v>
      </c>
      <c r="AG459" s="86" t="s">
        <v>2284</v>
      </c>
    </row>
    <row r="460" spans="1:33" hidden="1">
      <c r="A460" s="106">
        <f t="shared" si="21"/>
        <v>294</v>
      </c>
      <c r="B460" s="86" t="s">
        <v>1098</v>
      </c>
      <c r="C460" s="8">
        <v>0.85</v>
      </c>
      <c r="D460" s="1" t="s">
        <v>877</v>
      </c>
      <c r="E460"/>
      <c r="G460" s="90" t="s">
        <v>450</v>
      </c>
      <c r="H460" s="86" t="s">
        <v>451</v>
      </c>
      <c r="I460" s="1" t="s">
        <v>987</v>
      </c>
      <c r="J460" s="2" t="s">
        <v>450</v>
      </c>
      <c r="K460" s="8">
        <v>0</v>
      </c>
      <c r="R460" s="89" t="s">
        <v>1609</v>
      </c>
      <c r="AG460" s="86" t="s">
        <v>2284</v>
      </c>
    </row>
    <row r="461" spans="1:33" hidden="1">
      <c r="A461" s="106">
        <f t="shared" si="21"/>
        <v>295</v>
      </c>
      <c r="B461" s="86" t="s">
        <v>1099</v>
      </c>
      <c r="C461" s="8">
        <v>350</v>
      </c>
      <c r="D461" s="8">
        <v>375</v>
      </c>
      <c r="E461"/>
      <c r="I461"/>
      <c r="J461" s="4"/>
      <c r="K461" s="5" t="s">
        <v>1609</v>
      </c>
      <c r="O461" s="86" t="s">
        <v>1566</v>
      </c>
      <c r="R461" s="91">
        <f>SUM(R449:R459)</f>
        <v>584.08000000000004</v>
      </c>
      <c r="AG461" s="86" t="s">
        <v>2284</v>
      </c>
    </row>
    <row r="462" spans="1:33" hidden="1">
      <c r="A462" s="106">
        <f t="shared" si="21"/>
        <v>296</v>
      </c>
      <c r="B462" s="86" t="s">
        <v>2123</v>
      </c>
      <c r="C462" s="8">
        <v>400</v>
      </c>
      <c r="D462" s="8">
        <v>425</v>
      </c>
      <c r="E462"/>
      <c r="H462" s="86" t="s">
        <v>442</v>
      </c>
      <c r="I462"/>
      <c r="J462" s="4"/>
      <c r="K462" s="8" t="e">
        <f>SUM(K458:K460)</f>
        <v>#REF!</v>
      </c>
      <c r="R462" s="89" t="s">
        <v>1609</v>
      </c>
      <c r="AG462" s="86" t="s">
        <v>2284</v>
      </c>
    </row>
    <row r="463" spans="1:33" hidden="1">
      <c r="A463" s="106">
        <f t="shared" si="21"/>
        <v>297</v>
      </c>
      <c r="B463" s="86" t="s">
        <v>1076</v>
      </c>
      <c r="C463" s="8">
        <v>450</v>
      </c>
      <c r="D463" s="8">
        <v>500</v>
      </c>
      <c r="E463"/>
      <c r="I463"/>
      <c r="J463" s="4"/>
      <c r="K463" s="5" t="s">
        <v>1609</v>
      </c>
      <c r="O463" s="86" t="s">
        <v>1567</v>
      </c>
      <c r="R463" s="91">
        <f>(R461/30)</f>
        <v>19.47</v>
      </c>
      <c r="AG463" s="86" t="s">
        <v>2284</v>
      </c>
    </row>
    <row r="464" spans="1:33" hidden="1">
      <c r="A464" s="106">
        <f t="shared" si="21"/>
        <v>298</v>
      </c>
      <c r="B464" s="86" t="s">
        <v>1978</v>
      </c>
      <c r="C464" s="8">
        <v>77.819999999999993</v>
      </c>
      <c r="D464" s="1" t="s">
        <v>877</v>
      </c>
      <c r="E464"/>
      <c r="H464" s="86" t="s">
        <v>556</v>
      </c>
      <c r="I464"/>
      <c r="J464" s="4"/>
      <c r="K464" s="8" t="e">
        <f>(K462/10)</f>
        <v>#REF!</v>
      </c>
      <c r="R464" s="89" t="s">
        <v>1609</v>
      </c>
      <c r="AG464" s="86" t="s">
        <v>2284</v>
      </c>
    </row>
    <row r="465" spans="1:33" hidden="1">
      <c r="A465" s="106">
        <f t="shared" si="21"/>
        <v>299</v>
      </c>
      <c r="B465" s="86" t="s">
        <v>1979</v>
      </c>
      <c r="C465" s="8">
        <v>99.74</v>
      </c>
      <c r="D465" s="1" t="s">
        <v>877</v>
      </c>
      <c r="E465"/>
      <c r="I465"/>
      <c r="J465" s="4"/>
      <c r="K465" s="5" t="s">
        <v>2080</v>
      </c>
      <c r="N465" s="86" t="s">
        <v>1980</v>
      </c>
      <c r="O465" s="102" t="s">
        <v>1981</v>
      </c>
      <c r="AG465" s="86" t="s">
        <v>2284</v>
      </c>
    </row>
    <row r="466" spans="1:33" hidden="1">
      <c r="A466" s="106">
        <f t="shared" si="21"/>
        <v>300</v>
      </c>
      <c r="B466" s="86" t="s">
        <v>1135</v>
      </c>
      <c r="C466" s="8">
        <v>165</v>
      </c>
      <c r="D466" s="1" t="s">
        <v>877</v>
      </c>
      <c r="E466"/>
      <c r="H466" s="86" t="s">
        <v>386</v>
      </c>
      <c r="I466"/>
      <c r="J466" s="4"/>
      <c r="K466" s="8" t="e">
        <f>(K464+C19/10*F458)</f>
        <v>#REF!</v>
      </c>
      <c r="O466" s="89" t="s">
        <v>1609</v>
      </c>
      <c r="AG466" s="86" t="s">
        <v>2284</v>
      </c>
    </row>
    <row r="467" spans="1:33" hidden="1">
      <c r="A467" s="106">
        <f t="shared" si="21"/>
        <v>301</v>
      </c>
      <c r="B467" s="86" t="s">
        <v>1136</v>
      </c>
      <c r="C467" s="8">
        <v>258</v>
      </c>
      <c r="D467" s="1" t="s">
        <v>877</v>
      </c>
      <c r="E467"/>
      <c r="H467" s="86" t="s">
        <v>388</v>
      </c>
      <c r="I467"/>
      <c r="J467" s="4"/>
      <c r="K467" s="8" t="e">
        <f>(K466+C20/10*F458)</f>
        <v>#REF!</v>
      </c>
      <c r="M467" s="91">
        <v>8.1</v>
      </c>
      <c r="N467" s="86" t="s">
        <v>878</v>
      </c>
      <c r="O467" s="86" t="s">
        <v>623</v>
      </c>
      <c r="P467" s="91">
        <f>(C61)*2</f>
        <v>50</v>
      </c>
      <c r="Q467" s="86" t="s">
        <v>878</v>
      </c>
      <c r="R467" s="91">
        <f>(M467*P467)</f>
        <v>405</v>
      </c>
      <c r="AG467" s="86" t="s">
        <v>2284</v>
      </c>
    </row>
    <row r="468" spans="1:33" hidden="1">
      <c r="A468" s="106">
        <f t="shared" si="21"/>
        <v>302</v>
      </c>
      <c r="B468" s="86" t="s">
        <v>1138</v>
      </c>
      <c r="C468" s="8">
        <v>298</v>
      </c>
      <c r="D468" s="1" t="s">
        <v>877</v>
      </c>
      <c r="E468"/>
      <c r="H468" s="86" t="s">
        <v>2257</v>
      </c>
      <c r="I468"/>
      <c r="J468" s="4"/>
      <c r="K468" s="8" t="e">
        <f>(K467+C21/10*F458)</f>
        <v>#REF!</v>
      </c>
      <c r="M468" s="91">
        <v>8.1</v>
      </c>
      <c r="N468" s="86" t="s">
        <v>878</v>
      </c>
      <c r="O468" s="86" t="s">
        <v>2182</v>
      </c>
      <c r="P468" s="91">
        <f>(C26)</f>
        <v>8.8000000000000007</v>
      </c>
      <c r="Q468" s="86" t="s">
        <v>878</v>
      </c>
      <c r="R468" s="91">
        <f>(M468*P468)</f>
        <v>71.28</v>
      </c>
      <c r="AG468" s="86" t="s">
        <v>2284</v>
      </c>
    </row>
    <row r="469" spans="1:33" hidden="1">
      <c r="A469" s="106">
        <f t="shared" si="21"/>
        <v>303</v>
      </c>
      <c r="B469" s="86" t="s">
        <v>239</v>
      </c>
      <c r="C469" s="8">
        <v>398</v>
      </c>
      <c r="D469" s="1" t="s">
        <v>877</v>
      </c>
      <c r="E469"/>
      <c r="H469" s="86" t="s">
        <v>380</v>
      </c>
      <c r="I469"/>
      <c r="J469" s="4"/>
      <c r="K469" s="8" t="e">
        <f>(K468+C21/10*F458)</f>
        <v>#REF!</v>
      </c>
      <c r="M469" s="91">
        <v>30</v>
      </c>
      <c r="N469" s="86" t="s">
        <v>1796</v>
      </c>
      <c r="O469" s="86" t="s">
        <v>2183</v>
      </c>
      <c r="P469" s="91">
        <f>(C42)</f>
        <v>1.75</v>
      </c>
      <c r="Q469" s="86" t="s">
        <v>1796</v>
      </c>
      <c r="R469" s="91">
        <f>(M469*P469)</f>
        <v>52.5</v>
      </c>
      <c r="AG469" s="86" t="s">
        <v>2284</v>
      </c>
    </row>
    <row r="470" spans="1:33" hidden="1">
      <c r="A470" s="106">
        <f t="shared" si="21"/>
        <v>304</v>
      </c>
      <c r="B470" s="86" t="s">
        <v>1139</v>
      </c>
      <c r="C470"/>
      <c r="D470" s="1" t="s">
        <v>877</v>
      </c>
      <c r="E470"/>
      <c r="H470" s="86" t="s">
        <v>1554</v>
      </c>
      <c r="I470"/>
      <c r="J470" s="4"/>
      <c r="K470" s="8" t="e">
        <f>(K469+C22/10*F459)</f>
        <v>#REF!</v>
      </c>
      <c r="O470" s="86" t="s">
        <v>2184</v>
      </c>
      <c r="AG470" s="86" t="s">
        <v>2284</v>
      </c>
    </row>
    <row r="471" spans="1:33" hidden="1">
      <c r="A471" s="106">
        <f t="shared" si="21"/>
        <v>305</v>
      </c>
      <c r="B471" s="86" t="s">
        <v>2965</v>
      </c>
      <c r="C471"/>
      <c r="D471" s="1" t="s">
        <v>877</v>
      </c>
      <c r="E471"/>
      <c r="F471" s="102" t="s">
        <v>1982</v>
      </c>
      <c r="G471" s="90" t="s">
        <v>2276</v>
      </c>
      <c r="H471" s="86" t="s">
        <v>1983</v>
      </c>
      <c r="I471"/>
      <c r="J471" s="4"/>
      <c r="K471"/>
      <c r="O471" s="86" t="s">
        <v>2185</v>
      </c>
      <c r="AG471" s="86" t="s">
        <v>2284</v>
      </c>
    </row>
    <row r="472" spans="1:33" hidden="1">
      <c r="A472" s="106">
        <f t="shared" si="21"/>
        <v>306</v>
      </c>
      <c r="B472" s="86" t="s">
        <v>1133</v>
      </c>
      <c r="C472" s="8">
        <v>130</v>
      </c>
      <c r="D472" s="1" t="s">
        <v>877</v>
      </c>
      <c r="E472"/>
      <c r="H472" s="86" t="s">
        <v>2263</v>
      </c>
      <c r="I472"/>
      <c r="J472" s="4"/>
      <c r="K472"/>
      <c r="O472" s="86" t="s">
        <v>2186</v>
      </c>
      <c r="AG472" s="86" t="s">
        <v>2284</v>
      </c>
    </row>
    <row r="473" spans="1:33" hidden="1">
      <c r="A473" s="106">
        <f t="shared" si="21"/>
        <v>307</v>
      </c>
      <c r="B473" s="86" t="s">
        <v>1134</v>
      </c>
      <c r="C473" s="8">
        <v>178</v>
      </c>
      <c r="D473" s="1" t="s">
        <v>877</v>
      </c>
      <c r="E473"/>
      <c r="H473" s="89" t="s">
        <v>1609</v>
      </c>
      <c r="I473"/>
      <c r="J473" s="4"/>
      <c r="K473"/>
      <c r="O473" s="86" t="s">
        <v>2189</v>
      </c>
      <c r="AG473" s="86" t="s">
        <v>2284</v>
      </c>
    </row>
    <row r="474" spans="1:33" hidden="1">
      <c r="A474" s="106">
        <f t="shared" si="21"/>
        <v>308</v>
      </c>
      <c r="B474" s="86" t="s">
        <v>1135</v>
      </c>
      <c r="C474" s="8">
        <v>279</v>
      </c>
      <c r="D474" s="1" t="s">
        <v>877</v>
      </c>
      <c r="E474"/>
      <c r="F474" s="91">
        <v>1</v>
      </c>
      <c r="G474" s="90" t="s">
        <v>878</v>
      </c>
      <c r="H474" s="86" t="s">
        <v>2264</v>
      </c>
      <c r="I474" s="8">
        <f>(C26)</f>
        <v>8.8000000000000007</v>
      </c>
      <c r="J474" s="2" t="s">
        <v>878</v>
      </c>
      <c r="K474" s="8">
        <f>(F474*I474)</f>
        <v>8.8000000000000007</v>
      </c>
      <c r="M474" s="91">
        <v>8</v>
      </c>
      <c r="N474" s="86" t="s">
        <v>778</v>
      </c>
      <c r="O474" s="86" t="s">
        <v>2168</v>
      </c>
      <c r="P474" s="91">
        <f>(C45)</f>
        <v>2.7</v>
      </c>
      <c r="Q474" s="86" t="s">
        <v>778</v>
      </c>
      <c r="R474" s="91">
        <f>(M474*P474)</f>
        <v>21.6</v>
      </c>
      <c r="AG474" s="86" t="s">
        <v>2284</v>
      </c>
    </row>
    <row r="475" spans="1:33" hidden="1">
      <c r="A475" s="106">
        <f t="shared" si="21"/>
        <v>309</v>
      </c>
      <c r="B475" s="86" t="s">
        <v>1136</v>
      </c>
      <c r="C475" s="8">
        <v>394</v>
      </c>
      <c r="D475" s="1" t="s">
        <v>877</v>
      </c>
      <c r="E475"/>
      <c r="I475"/>
      <c r="J475" s="4"/>
      <c r="K475" s="5" t="s">
        <v>2080</v>
      </c>
      <c r="M475" s="91">
        <v>8</v>
      </c>
      <c r="N475" s="86" t="s">
        <v>778</v>
      </c>
      <c r="O475" s="86" t="s">
        <v>468</v>
      </c>
      <c r="P475" s="91">
        <f>(C52)</f>
        <v>6.4</v>
      </c>
      <c r="Q475" s="86" t="s">
        <v>778</v>
      </c>
      <c r="R475" s="91">
        <f>(M475*P475)</f>
        <v>51.2</v>
      </c>
      <c r="AG475" s="86" t="s">
        <v>2284</v>
      </c>
    </row>
    <row r="476" spans="1:33" hidden="1">
      <c r="A476" s="106">
        <f t="shared" si="21"/>
        <v>310</v>
      </c>
      <c r="B476" s="86" t="s">
        <v>1138</v>
      </c>
      <c r="C476" s="8">
        <v>508</v>
      </c>
      <c r="D476" s="1" t="s">
        <v>877</v>
      </c>
      <c r="E476"/>
      <c r="F476" s="112">
        <v>7.3</v>
      </c>
      <c r="G476" s="90" t="s">
        <v>2276</v>
      </c>
      <c r="H476" s="86" t="s">
        <v>2265</v>
      </c>
      <c r="I476"/>
      <c r="J476" s="4"/>
      <c r="K476"/>
      <c r="M476" s="91">
        <v>1</v>
      </c>
      <c r="N476" s="86" t="s">
        <v>450</v>
      </c>
      <c r="O476" s="86" t="s">
        <v>1709</v>
      </c>
      <c r="P476" s="91">
        <f>(C56)</f>
        <v>12.1</v>
      </c>
      <c r="Q476" s="86" t="s">
        <v>450</v>
      </c>
      <c r="R476" s="91">
        <f>(M476*P476)</f>
        <v>12.1</v>
      </c>
      <c r="AG476" s="86" t="s">
        <v>2284</v>
      </c>
    </row>
    <row r="477" spans="1:33" hidden="1">
      <c r="A477" s="106">
        <f t="shared" si="21"/>
        <v>311</v>
      </c>
      <c r="B477" s="86" t="s">
        <v>239</v>
      </c>
      <c r="C477" s="8">
        <v>709</v>
      </c>
      <c r="D477" s="1" t="s">
        <v>877</v>
      </c>
      <c r="E477"/>
      <c r="F477" s="86" t="s">
        <v>987</v>
      </c>
      <c r="H477" s="86" t="s">
        <v>975</v>
      </c>
      <c r="I477"/>
      <c r="J477" s="4"/>
      <c r="K477"/>
      <c r="M477" s="91">
        <v>1</v>
      </c>
      <c r="N477" s="86" t="s">
        <v>450</v>
      </c>
      <c r="O477" s="86" t="s">
        <v>451</v>
      </c>
      <c r="Q477" s="86" t="s">
        <v>450</v>
      </c>
      <c r="R477" s="91">
        <v>0</v>
      </c>
      <c r="AG477" s="86" t="s">
        <v>2284</v>
      </c>
    </row>
    <row r="478" spans="1:33" hidden="1">
      <c r="A478" s="106">
        <f t="shared" si="21"/>
        <v>312</v>
      </c>
      <c r="B478" s="86" t="s">
        <v>1139</v>
      </c>
      <c r="C478"/>
      <c r="D478" s="1" t="s">
        <v>877</v>
      </c>
      <c r="E478"/>
      <c r="F478" s="86" t="s">
        <v>987</v>
      </c>
      <c r="H478" s="89" t="s">
        <v>1609</v>
      </c>
      <c r="I478"/>
      <c r="J478" s="4"/>
      <c r="K478"/>
      <c r="R478" s="89" t="s">
        <v>1609</v>
      </c>
      <c r="AG478" s="86" t="s">
        <v>2284</v>
      </c>
    </row>
    <row r="479" spans="1:33" hidden="1">
      <c r="A479" s="106">
        <f t="shared" si="21"/>
        <v>313</v>
      </c>
      <c r="B479" s="86" t="s">
        <v>2966</v>
      </c>
      <c r="C479"/>
      <c r="D479" s="1" t="s">
        <v>877</v>
      </c>
      <c r="E479"/>
      <c r="F479" s="91">
        <v>0.13</v>
      </c>
      <c r="G479" s="90" t="s">
        <v>878</v>
      </c>
      <c r="H479" s="86" t="s">
        <v>1327</v>
      </c>
      <c r="I479" s="8" t="e">
        <f>(K40)</f>
        <v>#REF!</v>
      </c>
      <c r="J479" s="2" t="s">
        <v>878</v>
      </c>
      <c r="K479" s="8" t="e">
        <f t="shared" ref="K479:K484" si="22">(F479*I479)</f>
        <v>#REF!</v>
      </c>
      <c r="O479" s="86" t="s">
        <v>1566</v>
      </c>
      <c r="R479" s="91">
        <f>SUM(R467:R477)</f>
        <v>613.67999999999995</v>
      </c>
      <c r="AG479" s="86" t="s">
        <v>2284</v>
      </c>
    </row>
    <row r="480" spans="1:33" hidden="1">
      <c r="A480" s="106">
        <f t="shared" si="21"/>
        <v>314</v>
      </c>
      <c r="B480" s="86" t="s">
        <v>1133</v>
      </c>
      <c r="C480" s="8">
        <v>77</v>
      </c>
      <c r="D480" s="1" t="s">
        <v>877</v>
      </c>
      <c r="E480"/>
      <c r="F480" s="91">
        <v>0.7</v>
      </c>
      <c r="G480" s="90" t="s">
        <v>778</v>
      </c>
      <c r="H480" s="86" t="s">
        <v>2034</v>
      </c>
      <c r="I480" s="8">
        <f>(C10)</f>
        <v>150</v>
      </c>
      <c r="J480" s="2" t="s">
        <v>778</v>
      </c>
      <c r="K480" s="8">
        <f t="shared" si="22"/>
        <v>105</v>
      </c>
      <c r="R480" s="89" t="s">
        <v>1609</v>
      </c>
      <c r="AG480" s="86" t="s">
        <v>2284</v>
      </c>
    </row>
    <row r="481" spans="1:33" hidden="1">
      <c r="A481" s="106">
        <f t="shared" si="21"/>
        <v>315</v>
      </c>
      <c r="B481" s="86" t="s">
        <v>1134</v>
      </c>
      <c r="C481" s="8">
        <v>119</v>
      </c>
      <c r="D481" s="1" t="s">
        <v>877</v>
      </c>
      <c r="E481"/>
      <c r="F481" s="91">
        <v>0.7</v>
      </c>
      <c r="G481" s="90" t="s">
        <v>778</v>
      </c>
      <c r="H481" s="86" t="s">
        <v>1737</v>
      </c>
      <c r="I481" s="8">
        <f>(C11)</f>
        <v>135</v>
      </c>
      <c r="J481" s="2" t="s">
        <v>778</v>
      </c>
      <c r="K481" s="8">
        <f t="shared" si="22"/>
        <v>94.5</v>
      </c>
      <c r="O481" s="86" t="s">
        <v>1567</v>
      </c>
      <c r="R481" s="91">
        <f>(R479/30)</f>
        <v>20.46</v>
      </c>
      <c r="AG481" s="86" t="s">
        <v>2284</v>
      </c>
    </row>
    <row r="482" spans="1:33" hidden="1">
      <c r="A482" s="106">
        <f t="shared" si="21"/>
        <v>316</v>
      </c>
      <c r="B482" s="86" t="s">
        <v>1135</v>
      </c>
      <c r="C482" s="8">
        <v>175</v>
      </c>
      <c r="D482" s="1" t="s">
        <v>877</v>
      </c>
      <c r="E482"/>
      <c r="F482" s="91">
        <v>1.5</v>
      </c>
      <c r="G482" s="90" t="s">
        <v>778</v>
      </c>
      <c r="H482" s="86" t="s">
        <v>1927</v>
      </c>
      <c r="I482" s="8">
        <f>(C12)</f>
        <v>95</v>
      </c>
      <c r="J482" s="2" t="s">
        <v>778</v>
      </c>
      <c r="K482" s="8">
        <f t="shared" si="22"/>
        <v>142.5</v>
      </c>
      <c r="R482" s="89" t="s">
        <v>1609</v>
      </c>
      <c r="AG482" s="86" t="s">
        <v>2284</v>
      </c>
    </row>
    <row r="483" spans="1:33" hidden="1">
      <c r="A483" s="106">
        <f t="shared" si="21"/>
        <v>317</v>
      </c>
      <c r="B483" s="86" t="s">
        <v>1136</v>
      </c>
      <c r="C483" s="8">
        <v>277</v>
      </c>
      <c r="D483" s="1" t="s">
        <v>877</v>
      </c>
      <c r="E483"/>
      <c r="F483" s="91">
        <v>0.5</v>
      </c>
      <c r="G483" s="90" t="s">
        <v>778</v>
      </c>
      <c r="H483" s="86" t="s">
        <v>321</v>
      </c>
      <c r="I483" s="8">
        <f>(C13)</f>
        <v>85</v>
      </c>
      <c r="J483" s="2" t="s">
        <v>778</v>
      </c>
      <c r="K483" s="8">
        <f t="shared" si="22"/>
        <v>42.5</v>
      </c>
      <c r="M483" s="86" t="s">
        <v>987</v>
      </c>
      <c r="AG483" s="86" t="s">
        <v>2284</v>
      </c>
    </row>
    <row r="484" spans="1:33" hidden="1">
      <c r="A484" s="106">
        <f t="shared" si="21"/>
        <v>318</v>
      </c>
      <c r="B484" s="86" t="s">
        <v>1138</v>
      </c>
      <c r="C484" s="8">
        <v>353</v>
      </c>
      <c r="D484" s="1" t="s">
        <v>877</v>
      </c>
      <c r="E484"/>
      <c r="F484" s="91">
        <v>0.94</v>
      </c>
      <c r="G484" s="90" t="s">
        <v>1670</v>
      </c>
      <c r="H484" s="86" t="s">
        <v>920</v>
      </c>
      <c r="I484" s="8">
        <f>C631</f>
        <v>30</v>
      </c>
      <c r="J484" s="2" t="s">
        <v>1670</v>
      </c>
      <c r="K484" s="8">
        <f t="shared" si="22"/>
        <v>28.2</v>
      </c>
      <c r="N484" s="86" t="s">
        <v>2276</v>
      </c>
      <c r="O484" s="86" t="s">
        <v>2072</v>
      </c>
      <c r="AG484" s="86" t="s">
        <v>2284</v>
      </c>
    </row>
    <row r="485" spans="1:33" hidden="1">
      <c r="A485" s="106">
        <f t="shared" si="21"/>
        <v>319</v>
      </c>
      <c r="B485" s="86" t="s">
        <v>239</v>
      </c>
      <c r="C485" s="8">
        <v>584</v>
      </c>
      <c r="D485" s="1" t="s">
        <v>877</v>
      </c>
      <c r="E485"/>
      <c r="H485" s="86" t="s">
        <v>451</v>
      </c>
      <c r="I485" s="1" t="s">
        <v>987</v>
      </c>
      <c r="J485" s="2" t="s">
        <v>450</v>
      </c>
      <c r="K485" s="8">
        <v>0</v>
      </c>
      <c r="O485" s="86" t="s">
        <v>2073</v>
      </c>
      <c r="AG485" s="86" t="s">
        <v>2284</v>
      </c>
    </row>
    <row r="486" spans="1:33" hidden="1">
      <c r="A486" s="106">
        <f t="shared" si="21"/>
        <v>320</v>
      </c>
      <c r="B486" s="86" t="s">
        <v>1139</v>
      </c>
      <c r="C486"/>
      <c r="D486" s="1" t="s">
        <v>877</v>
      </c>
      <c r="E486"/>
      <c r="I486"/>
      <c r="J486" s="4"/>
      <c r="K486" s="5" t="s">
        <v>1609</v>
      </c>
      <c r="O486" s="86" t="s">
        <v>960</v>
      </c>
      <c r="AG486" s="86" t="s">
        <v>2284</v>
      </c>
    </row>
    <row r="487" spans="1:33" hidden="1">
      <c r="A487" s="106">
        <f t="shared" si="21"/>
        <v>321</v>
      </c>
      <c r="B487" s="86" t="s">
        <v>961</v>
      </c>
      <c r="C487"/>
      <c r="D487" s="1" t="s">
        <v>877</v>
      </c>
      <c r="E487"/>
      <c r="H487" s="86" t="s">
        <v>620</v>
      </c>
      <c r="I487"/>
      <c r="J487" s="4"/>
      <c r="K487" s="8" t="e">
        <f>SUM(K478:K485)</f>
        <v>#REF!</v>
      </c>
      <c r="O487" s="89" t="s">
        <v>1609</v>
      </c>
      <c r="AG487" s="86" t="s">
        <v>2284</v>
      </c>
    </row>
    <row r="488" spans="1:33" hidden="1">
      <c r="A488" s="106">
        <f t="shared" si="21"/>
        <v>322</v>
      </c>
      <c r="B488" s="86" t="s">
        <v>964</v>
      </c>
      <c r="C488" s="8">
        <v>8.75</v>
      </c>
      <c r="D488" s="1" t="s">
        <v>877</v>
      </c>
      <c r="E488"/>
      <c r="I488"/>
      <c r="J488" s="4"/>
      <c r="K488" s="5" t="s">
        <v>1609</v>
      </c>
      <c r="N488" s="86" t="s">
        <v>156</v>
      </c>
      <c r="O488" s="102" t="s">
        <v>965</v>
      </c>
      <c r="AG488" s="86" t="s">
        <v>2284</v>
      </c>
    </row>
    <row r="489" spans="1:33" hidden="1">
      <c r="A489" s="106">
        <f t="shared" si="21"/>
        <v>323</v>
      </c>
      <c r="B489" s="86" t="s">
        <v>752</v>
      </c>
      <c r="C489" s="8">
        <v>11.5</v>
      </c>
      <c r="D489" s="1" t="s">
        <v>877</v>
      </c>
      <c r="E489"/>
      <c r="H489" s="86" t="s">
        <v>782</v>
      </c>
      <c r="I489"/>
      <c r="J489" s="4"/>
      <c r="K489" s="8" t="e">
        <f>(K487/10)</f>
        <v>#REF!</v>
      </c>
      <c r="O489" s="89" t="s">
        <v>1609</v>
      </c>
      <c r="AG489" s="86" t="s">
        <v>2284</v>
      </c>
    </row>
    <row r="490" spans="1:33" hidden="1">
      <c r="C490"/>
      <c r="D490"/>
      <c r="E490"/>
      <c r="F490" s="86" t="s">
        <v>987</v>
      </c>
      <c r="I490"/>
      <c r="J490" s="4"/>
      <c r="K490"/>
    </row>
    <row r="491" spans="1:33" hidden="1">
      <c r="A491" s="106">
        <f>(A489+1)</f>
        <v>324</v>
      </c>
      <c r="B491" s="86" t="s">
        <v>1688</v>
      </c>
      <c r="C491" s="8">
        <v>11.5</v>
      </c>
      <c r="D491" s="1" t="s">
        <v>877</v>
      </c>
      <c r="E491"/>
      <c r="I491"/>
      <c r="J491" s="4"/>
      <c r="K491" s="5" t="s">
        <v>2080</v>
      </c>
      <c r="M491" s="91">
        <v>30</v>
      </c>
      <c r="N491" s="86" t="s">
        <v>1796</v>
      </c>
      <c r="O491" s="86" t="s">
        <v>1689</v>
      </c>
      <c r="P491" s="91">
        <f>(C42)</f>
        <v>1.75</v>
      </c>
      <c r="Q491" s="86" t="s">
        <v>1796</v>
      </c>
      <c r="R491" s="91">
        <f>(M491*P491)</f>
        <v>52.5</v>
      </c>
      <c r="AG491" s="86" t="s">
        <v>2284</v>
      </c>
    </row>
    <row r="492" spans="1:33" hidden="1">
      <c r="A492" s="106">
        <f t="shared" ref="A492:A523" si="23">(A491+1)</f>
        <v>325</v>
      </c>
      <c r="B492" s="86" t="s">
        <v>1690</v>
      </c>
      <c r="C492" s="8">
        <v>56.74</v>
      </c>
      <c r="D492" s="1" t="s">
        <v>877</v>
      </c>
      <c r="E492"/>
      <c r="F492" s="102"/>
      <c r="G492" s="90" t="s">
        <v>2276</v>
      </c>
      <c r="H492" s="86" t="s">
        <v>1691</v>
      </c>
      <c r="I492"/>
      <c r="J492" s="4"/>
      <c r="K492"/>
      <c r="M492" s="86" t="s">
        <v>987</v>
      </c>
      <c r="O492" s="86" t="s">
        <v>1692</v>
      </c>
      <c r="P492" s="86" t="s">
        <v>987</v>
      </c>
      <c r="R492" s="86" t="s">
        <v>987</v>
      </c>
      <c r="AG492" s="86" t="s">
        <v>2284</v>
      </c>
    </row>
    <row r="493" spans="1:33" hidden="1">
      <c r="A493" s="106">
        <f t="shared" si="23"/>
        <v>326</v>
      </c>
      <c r="B493" s="86" t="s">
        <v>1693</v>
      </c>
      <c r="C493" s="8">
        <v>56.74</v>
      </c>
      <c r="D493" s="1" t="s">
        <v>877</v>
      </c>
      <c r="E493"/>
      <c r="H493" s="86" t="s">
        <v>2294</v>
      </c>
      <c r="I493"/>
      <c r="J493" s="4"/>
      <c r="K493"/>
      <c r="M493" s="91">
        <v>8</v>
      </c>
      <c r="N493" s="86" t="s">
        <v>877</v>
      </c>
      <c r="O493" s="86" t="s">
        <v>2168</v>
      </c>
      <c r="P493" s="91">
        <f>(C43)</f>
        <v>2.2000000000000002</v>
      </c>
      <c r="Q493" s="86" t="s">
        <v>877</v>
      </c>
      <c r="R493" s="91">
        <f t="shared" ref="R493:R498" si="24">(M493*P493)</f>
        <v>17.600000000000001</v>
      </c>
      <c r="AG493" s="86" t="s">
        <v>2284</v>
      </c>
    </row>
    <row r="494" spans="1:33" hidden="1">
      <c r="A494" s="106">
        <f t="shared" si="23"/>
        <v>327</v>
      </c>
      <c r="B494" s="86" t="s">
        <v>1694</v>
      </c>
      <c r="C494"/>
      <c r="D494" s="1" t="s">
        <v>987</v>
      </c>
      <c r="E494"/>
      <c r="H494" s="89" t="s">
        <v>1609</v>
      </c>
      <c r="I494"/>
      <c r="J494" s="4"/>
      <c r="K494"/>
      <c r="M494" s="91">
        <v>8</v>
      </c>
      <c r="N494" s="86" t="s">
        <v>877</v>
      </c>
      <c r="O494" s="86" t="s">
        <v>468</v>
      </c>
      <c r="P494" s="91">
        <f>(C50)</f>
        <v>3.2</v>
      </c>
      <c r="Q494" s="86" t="s">
        <v>877</v>
      </c>
      <c r="R494" s="91">
        <f t="shared" si="24"/>
        <v>25.6</v>
      </c>
      <c r="AG494" s="86" t="s">
        <v>2284</v>
      </c>
    </row>
    <row r="495" spans="1:33" hidden="1">
      <c r="A495" s="106">
        <f t="shared" si="23"/>
        <v>328</v>
      </c>
      <c r="B495" s="86" t="s">
        <v>964</v>
      </c>
      <c r="C495" s="8">
        <v>15.6</v>
      </c>
      <c r="D495" s="1" t="s">
        <v>877</v>
      </c>
      <c r="E495"/>
      <c r="F495" s="91">
        <v>9</v>
      </c>
      <c r="G495" s="90" t="s">
        <v>878</v>
      </c>
      <c r="H495" s="86" t="s">
        <v>1695</v>
      </c>
      <c r="I495" s="8" t="e">
        <f>(C70)</f>
        <v>#REF!</v>
      </c>
      <c r="J495" s="2" t="s">
        <v>878</v>
      </c>
      <c r="K495" s="8" t="e">
        <f t="shared" ref="K495:K500" si="25">(F495*I495)</f>
        <v>#REF!</v>
      </c>
      <c r="M495" s="91">
        <v>3</v>
      </c>
      <c r="N495" s="86" t="s">
        <v>877</v>
      </c>
      <c r="O495" s="86" t="s">
        <v>1870</v>
      </c>
      <c r="P495" s="91">
        <f>(C41)</f>
        <v>110</v>
      </c>
      <c r="Q495" s="86" t="s">
        <v>877</v>
      </c>
      <c r="R495" s="91">
        <f t="shared" si="24"/>
        <v>330</v>
      </c>
      <c r="AG495" s="86" t="s">
        <v>2284</v>
      </c>
    </row>
    <row r="496" spans="1:33" hidden="1">
      <c r="A496" s="106">
        <f t="shared" si="23"/>
        <v>329</v>
      </c>
      <c r="B496" s="86" t="s">
        <v>752</v>
      </c>
      <c r="C496" s="8">
        <v>15.6</v>
      </c>
      <c r="D496" s="1" t="s">
        <v>877</v>
      </c>
      <c r="E496"/>
      <c r="F496" s="111">
        <v>3.2309999999999999</v>
      </c>
      <c r="G496" s="90" t="s">
        <v>870</v>
      </c>
      <c r="H496" s="86" t="s">
        <v>871</v>
      </c>
      <c r="I496" s="8">
        <f>(C67)</f>
        <v>3800</v>
      </c>
      <c r="J496" s="2" t="s">
        <v>870</v>
      </c>
      <c r="K496" s="8">
        <f t="shared" si="25"/>
        <v>12277.8</v>
      </c>
      <c r="M496" s="91">
        <v>1</v>
      </c>
      <c r="N496" s="86" t="s">
        <v>877</v>
      </c>
      <c r="O496" s="86" t="s">
        <v>1871</v>
      </c>
      <c r="P496" s="91">
        <f>(C10)</f>
        <v>150</v>
      </c>
      <c r="Q496" s="86" t="s">
        <v>877</v>
      </c>
      <c r="R496" s="91">
        <f t="shared" si="24"/>
        <v>150</v>
      </c>
      <c r="AG496" s="86" t="s">
        <v>2284</v>
      </c>
    </row>
    <row r="497" spans="1:33" hidden="1">
      <c r="A497" s="106">
        <f t="shared" si="23"/>
        <v>330</v>
      </c>
      <c r="B497" s="86" t="s">
        <v>1688</v>
      </c>
      <c r="C497" s="8">
        <v>15.6</v>
      </c>
      <c r="D497" s="1" t="s">
        <v>877</v>
      </c>
      <c r="E497"/>
      <c r="F497" s="91">
        <v>4.5</v>
      </c>
      <c r="G497" s="90" t="s">
        <v>878</v>
      </c>
      <c r="H497" s="86" t="s">
        <v>879</v>
      </c>
      <c r="I497" s="8" t="e">
        <f>(C78)</f>
        <v>#REF!</v>
      </c>
      <c r="J497" s="2" t="s">
        <v>878</v>
      </c>
      <c r="K497" s="8" t="e">
        <f t="shared" si="25"/>
        <v>#REF!</v>
      </c>
      <c r="M497" s="91">
        <v>2</v>
      </c>
      <c r="N497" s="86" t="s">
        <v>877</v>
      </c>
      <c r="O497" s="86" t="s">
        <v>1927</v>
      </c>
      <c r="P497" s="91">
        <f>(C12)</f>
        <v>95</v>
      </c>
      <c r="Q497" s="86" t="s">
        <v>877</v>
      </c>
      <c r="R497" s="91">
        <f t="shared" si="24"/>
        <v>190</v>
      </c>
      <c r="AG497" s="86" t="s">
        <v>2284</v>
      </c>
    </row>
    <row r="498" spans="1:33" hidden="1">
      <c r="A498" s="106">
        <f t="shared" si="23"/>
        <v>331</v>
      </c>
      <c r="B498" s="86" t="s">
        <v>1690</v>
      </c>
      <c r="C498" s="8">
        <v>100.3</v>
      </c>
      <c r="D498" s="1" t="s">
        <v>877</v>
      </c>
      <c r="E498"/>
      <c r="F498" s="91">
        <v>3.5</v>
      </c>
      <c r="G498" s="90" t="s">
        <v>877</v>
      </c>
      <c r="H498" s="86" t="s">
        <v>1737</v>
      </c>
      <c r="I498" s="8">
        <f>(C11)</f>
        <v>135</v>
      </c>
      <c r="J498" s="2" t="s">
        <v>877</v>
      </c>
      <c r="K498" s="8">
        <f t="shared" si="25"/>
        <v>472.5</v>
      </c>
      <c r="M498" s="91">
        <v>1</v>
      </c>
      <c r="N498" s="86" t="s">
        <v>877</v>
      </c>
      <c r="O498" s="86" t="s">
        <v>321</v>
      </c>
      <c r="P498" s="91">
        <f>(C13)</f>
        <v>85</v>
      </c>
      <c r="Q498" s="86" t="s">
        <v>877</v>
      </c>
      <c r="R498" s="91">
        <f t="shared" si="24"/>
        <v>85</v>
      </c>
      <c r="AG498" s="86" t="s">
        <v>322</v>
      </c>
    </row>
    <row r="499" spans="1:33" hidden="1">
      <c r="A499" s="106">
        <f t="shared" si="23"/>
        <v>332</v>
      </c>
      <c r="B499" s="86" t="s">
        <v>1693</v>
      </c>
      <c r="C499" s="8">
        <v>100.3</v>
      </c>
      <c r="D499" s="1" t="s">
        <v>877</v>
      </c>
      <c r="E499"/>
      <c r="F499" s="91">
        <v>21.2</v>
      </c>
      <c r="G499" s="90" t="s">
        <v>877</v>
      </c>
      <c r="H499" s="86" t="s">
        <v>1927</v>
      </c>
      <c r="I499" s="8">
        <f>(C12)</f>
        <v>95</v>
      </c>
      <c r="J499" s="2" t="s">
        <v>877</v>
      </c>
      <c r="K499" s="8">
        <f t="shared" si="25"/>
        <v>2014</v>
      </c>
      <c r="N499" s="86" t="s">
        <v>450</v>
      </c>
      <c r="O499" s="86" t="s">
        <v>1872</v>
      </c>
      <c r="P499" s="86" t="s">
        <v>987</v>
      </c>
      <c r="Q499" s="86" t="s">
        <v>450</v>
      </c>
      <c r="R499" s="91">
        <f>(C56)</f>
        <v>12.1</v>
      </c>
    </row>
    <row r="500" spans="1:33" hidden="1">
      <c r="A500" s="106">
        <f t="shared" si="23"/>
        <v>333</v>
      </c>
      <c r="B500" s="86" t="s">
        <v>1873</v>
      </c>
      <c r="C500"/>
      <c r="D500" s="1" t="s">
        <v>987</v>
      </c>
      <c r="E500"/>
      <c r="F500" s="91">
        <v>35.299999999999997</v>
      </c>
      <c r="G500" s="90" t="s">
        <v>877</v>
      </c>
      <c r="H500" s="86" t="s">
        <v>321</v>
      </c>
      <c r="I500" s="8">
        <f>(C13)</f>
        <v>85</v>
      </c>
      <c r="J500" s="2" t="s">
        <v>877</v>
      </c>
      <c r="K500" s="8">
        <f t="shared" si="25"/>
        <v>3000.5</v>
      </c>
      <c r="O500" s="86" t="s">
        <v>1874</v>
      </c>
      <c r="P500" s="86" t="s">
        <v>987</v>
      </c>
      <c r="R500" s="86" t="s">
        <v>987</v>
      </c>
    </row>
    <row r="501" spans="1:33" hidden="1">
      <c r="A501" s="106">
        <f t="shared" si="23"/>
        <v>334</v>
      </c>
      <c r="B501" s="86" t="s">
        <v>964</v>
      </c>
      <c r="C501" s="8">
        <v>9.4499999999999993</v>
      </c>
      <c r="D501" s="1" t="s">
        <v>877</v>
      </c>
      <c r="E501"/>
      <c r="G501" s="90" t="s">
        <v>450</v>
      </c>
      <c r="H501" s="86" t="s">
        <v>451</v>
      </c>
      <c r="I501" s="1" t="s">
        <v>987</v>
      </c>
      <c r="J501" s="2" t="s">
        <v>450</v>
      </c>
      <c r="K501" s="8">
        <v>0</v>
      </c>
      <c r="N501" s="86" t="s">
        <v>450</v>
      </c>
      <c r="O501" s="86" t="s">
        <v>451</v>
      </c>
      <c r="Q501" s="86" t="s">
        <v>450</v>
      </c>
      <c r="R501" s="91">
        <v>0</v>
      </c>
      <c r="AG501" s="86" t="s">
        <v>2284</v>
      </c>
    </row>
    <row r="502" spans="1:33" hidden="1">
      <c r="A502" s="106">
        <f t="shared" si="23"/>
        <v>335</v>
      </c>
      <c r="B502" s="86" t="s">
        <v>752</v>
      </c>
      <c r="C502" s="8">
        <v>15.6</v>
      </c>
      <c r="D502" s="1" t="s">
        <v>877</v>
      </c>
      <c r="E502"/>
      <c r="I502"/>
      <c r="J502" s="4"/>
      <c r="K502" s="5" t="s">
        <v>1609</v>
      </c>
      <c r="R502" s="89" t="s">
        <v>1609</v>
      </c>
      <c r="AG502" s="86" t="s">
        <v>2284</v>
      </c>
    </row>
    <row r="503" spans="1:33" hidden="1">
      <c r="A503" s="106">
        <f t="shared" si="23"/>
        <v>336</v>
      </c>
      <c r="B503" s="86" t="s">
        <v>1688</v>
      </c>
      <c r="C503" s="8">
        <v>15.6</v>
      </c>
      <c r="D503" s="1" t="s">
        <v>877</v>
      </c>
      <c r="E503"/>
      <c r="H503" s="86" t="s">
        <v>2196</v>
      </c>
      <c r="I503"/>
      <c r="J503" s="4"/>
      <c r="K503" s="8" t="e">
        <f>SUM(K495:K501)</f>
        <v>#REF!</v>
      </c>
      <c r="O503" s="86" t="s">
        <v>1875</v>
      </c>
      <c r="R503" s="91">
        <f>SUM(R491:R501)</f>
        <v>862.8</v>
      </c>
      <c r="AG503" s="86" t="s">
        <v>2284</v>
      </c>
    </row>
    <row r="504" spans="1:33" hidden="1">
      <c r="A504" s="106">
        <f t="shared" si="23"/>
        <v>337</v>
      </c>
      <c r="B504" s="86" t="s">
        <v>1876</v>
      </c>
      <c r="C504" s="8">
        <v>36.61</v>
      </c>
      <c r="D504" s="1" t="s">
        <v>877</v>
      </c>
      <c r="E504"/>
      <c r="I504"/>
      <c r="J504" s="4"/>
      <c r="K504" s="5" t="s">
        <v>1609</v>
      </c>
      <c r="R504" s="89" t="s">
        <v>1609</v>
      </c>
      <c r="AG504" s="86" t="s">
        <v>2284</v>
      </c>
    </row>
    <row r="505" spans="1:33" hidden="1">
      <c r="A505" s="106">
        <f t="shared" si="23"/>
        <v>338</v>
      </c>
      <c r="B505" s="86" t="s">
        <v>1690</v>
      </c>
      <c r="C505" s="8">
        <v>78.709999999999994</v>
      </c>
      <c r="D505" s="1" t="s">
        <v>877</v>
      </c>
      <c r="E505"/>
      <c r="H505" s="86" t="s">
        <v>782</v>
      </c>
      <c r="I505"/>
      <c r="J505" s="4"/>
      <c r="K505" s="8" t="e">
        <f>(K503/10)</f>
        <v>#REF!</v>
      </c>
      <c r="O505" s="86" t="s">
        <v>1567</v>
      </c>
      <c r="R505" s="91">
        <f>(R503/30)</f>
        <v>28.76</v>
      </c>
      <c r="AG505" s="86" t="s">
        <v>2284</v>
      </c>
    </row>
    <row r="506" spans="1:33" hidden="1">
      <c r="A506" s="106">
        <f t="shared" si="23"/>
        <v>339</v>
      </c>
      <c r="B506" s="86" t="s">
        <v>1693</v>
      </c>
      <c r="C506" s="8">
        <v>78.709999999999994</v>
      </c>
      <c r="D506" s="1" t="s">
        <v>877</v>
      </c>
      <c r="E506"/>
      <c r="I506"/>
      <c r="J506" s="4"/>
      <c r="K506"/>
      <c r="R506" s="89" t="s">
        <v>1609</v>
      </c>
      <c r="AG506" s="86" t="s">
        <v>2284</v>
      </c>
    </row>
    <row r="507" spans="1:33" hidden="1">
      <c r="A507" s="106">
        <f t="shared" si="23"/>
        <v>340</v>
      </c>
      <c r="B507" s="86" t="s">
        <v>1877</v>
      </c>
      <c r="C507"/>
      <c r="D507" s="1" t="s">
        <v>219</v>
      </c>
      <c r="E507"/>
      <c r="F507" s="91">
        <v>1</v>
      </c>
      <c r="G507" s="90" t="s">
        <v>878</v>
      </c>
      <c r="H507" s="86" t="s">
        <v>46</v>
      </c>
      <c r="I507"/>
      <c r="J507" s="4"/>
      <c r="K507" s="8">
        <f>(C25)</f>
        <v>20.7</v>
      </c>
      <c r="N507" s="86" t="s">
        <v>1577</v>
      </c>
      <c r="O507" s="102" t="s">
        <v>220</v>
      </c>
      <c r="AG507" s="86" t="s">
        <v>2284</v>
      </c>
    </row>
    <row r="508" spans="1:33" hidden="1">
      <c r="A508" s="106">
        <f t="shared" si="23"/>
        <v>341</v>
      </c>
      <c r="B508" s="86" t="s">
        <v>1086</v>
      </c>
      <c r="C508" s="8">
        <v>20.55</v>
      </c>
      <c r="D508" s="1" t="s">
        <v>1796</v>
      </c>
      <c r="E508"/>
      <c r="I508"/>
      <c r="J508" s="4"/>
      <c r="K508" s="5" t="s">
        <v>1609</v>
      </c>
      <c r="O508" s="89" t="s">
        <v>1609</v>
      </c>
      <c r="AG508" s="86" t="s">
        <v>2284</v>
      </c>
    </row>
    <row r="509" spans="1:33" hidden="1">
      <c r="A509" s="106">
        <f t="shared" si="23"/>
        <v>342</v>
      </c>
      <c r="B509" s="86" t="s">
        <v>1257</v>
      </c>
      <c r="C509" s="8">
        <v>32.9</v>
      </c>
      <c r="D509" s="1" t="s">
        <v>1796</v>
      </c>
      <c r="E509">
        <v>70</v>
      </c>
      <c r="H509" s="86" t="s">
        <v>1258</v>
      </c>
      <c r="I509"/>
      <c r="J509" s="4"/>
      <c r="K509" s="8" t="e">
        <f>SUM(K505:K507)</f>
        <v>#REF!</v>
      </c>
      <c r="M509" s="91">
        <v>30</v>
      </c>
      <c r="N509" s="86" t="s">
        <v>1796</v>
      </c>
      <c r="O509" s="86" t="s">
        <v>1689</v>
      </c>
      <c r="P509" s="91">
        <f>(C42)</f>
        <v>1.75</v>
      </c>
      <c r="Q509" s="86" t="s">
        <v>1796</v>
      </c>
      <c r="R509" s="91">
        <f>(M509*P509)</f>
        <v>52.5</v>
      </c>
      <c r="AG509" s="86" t="s">
        <v>2284</v>
      </c>
    </row>
    <row r="510" spans="1:33" hidden="1">
      <c r="A510" s="106">
        <f t="shared" si="23"/>
        <v>343</v>
      </c>
      <c r="B510" s="86" t="s">
        <v>1259</v>
      </c>
      <c r="C510" s="8">
        <v>48.8</v>
      </c>
      <c r="D510" s="1" t="s">
        <v>1796</v>
      </c>
      <c r="E510"/>
      <c r="I510"/>
      <c r="J510" s="4"/>
      <c r="K510" s="5" t="s">
        <v>1609</v>
      </c>
      <c r="M510" s="86" t="s">
        <v>987</v>
      </c>
      <c r="O510" s="86" t="s">
        <v>1692</v>
      </c>
      <c r="P510" s="86" t="s">
        <v>987</v>
      </c>
      <c r="R510" s="86" t="s">
        <v>987</v>
      </c>
      <c r="AG510" s="86" t="s">
        <v>2284</v>
      </c>
    </row>
    <row r="511" spans="1:33" hidden="1">
      <c r="A511" s="106">
        <f t="shared" si="23"/>
        <v>344</v>
      </c>
      <c r="B511" s="86" t="s">
        <v>1260</v>
      </c>
      <c r="C511" s="8">
        <v>65.7</v>
      </c>
      <c r="D511" s="1" t="s">
        <v>1796</v>
      </c>
      <c r="E511"/>
      <c r="G511" s="90" t="s">
        <v>1261</v>
      </c>
      <c r="H511" s="86" t="s">
        <v>386</v>
      </c>
      <c r="I511"/>
      <c r="J511" s="4"/>
      <c r="K511" s="8" t="e">
        <f>(K509+C22)</f>
        <v>#REF!</v>
      </c>
      <c r="M511" s="91">
        <v>8</v>
      </c>
      <c r="N511" s="86" t="s">
        <v>877</v>
      </c>
      <c r="O511" s="86" t="s">
        <v>2168</v>
      </c>
      <c r="P511" s="91">
        <f>(C44)</f>
        <v>2.2000000000000002</v>
      </c>
      <c r="Q511" s="86" t="s">
        <v>877</v>
      </c>
      <c r="R511" s="91">
        <f t="shared" ref="R511:R516" si="26">(M511*P511)</f>
        <v>17.600000000000001</v>
      </c>
      <c r="AG511" s="86" t="s">
        <v>2284</v>
      </c>
    </row>
    <row r="512" spans="1:33" hidden="1">
      <c r="A512" s="106">
        <f t="shared" si="23"/>
        <v>345</v>
      </c>
      <c r="B512" s="86" t="s">
        <v>1262</v>
      </c>
      <c r="C512" s="8">
        <v>69.099999999999994</v>
      </c>
      <c r="D512" s="8">
        <v>21</v>
      </c>
      <c r="E512"/>
      <c r="G512" s="90" t="s">
        <v>1263</v>
      </c>
      <c r="H512" s="86" t="s">
        <v>388</v>
      </c>
      <c r="I512"/>
      <c r="J512" s="4"/>
      <c r="K512" s="8" t="e">
        <f>(K511+C23)</f>
        <v>#REF!</v>
      </c>
      <c r="M512" s="91">
        <v>8</v>
      </c>
      <c r="N512" s="86" t="s">
        <v>877</v>
      </c>
      <c r="O512" s="86" t="s">
        <v>468</v>
      </c>
      <c r="P512" s="91">
        <f>(C51)</f>
        <v>3.2</v>
      </c>
      <c r="Q512" s="86" t="s">
        <v>877</v>
      </c>
      <c r="R512" s="91">
        <f t="shared" si="26"/>
        <v>25.6</v>
      </c>
      <c r="AG512" s="86" t="s">
        <v>2284</v>
      </c>
    </row>
    <row r="513" spans="1:33" hidden="1">
      <c r="A513" s="106">
        <f t="shared" si="23"/>
        <v>346</v>
      </c>
      <c r="B513" s="86" t="s">
        <v>376</v>
      </c>
      <c r="C513" s="8">
        <v>94.12</v>
      </c>
      <c r="D513" s="8">
        <v>37.15</v>
      </c>
      <c r="E513"/>
      <c r="G513" s="90" t="s">
        <v>426</v>
      </c>
      <c r="H513" s="86" t="s">
        <v>2257</v>
      </c>
      <c r="I513"/>
      <c r="J513" s="4"/>
      <c r="K513" s="8" t="e">
        <f>(K512+C24)</f>
        <v>#REF!</v>
      </c>
      <c r="M513" s="91">
        <v>3</v>
      </c>
      <c r="N513" s="86" t="s">
        <v>877</v>
      </c>
      <c r="O513" s="86" t="s">
        <v>1870</v>
      </c>
      <c r="P513" s="91">
        <f>(C41)</f>
        <v>110</v>
      </c>
      <c r="Q513" s="86" t="s">
        <v>877</v>
      </c>
      <c r="R513" s="91">
        <f t="shared" si="26"/>
        <v>330</v>
      </c>
      <c r="AG513" s="86" t="s">
        <v>2284</v>
      </c>
    </row>
    <row r="514" spans="1:33" hidden="1">
      <c r="A514" s="106">
        <f t="shared" si="23"/>
        <v>347</v>
      </c>
      <c r="B514" s="86" t="s">
        <v>1007</v>
      </c>
      <c r="C514"/>
      <c r="D514" s="1" t="s">
        <v>987</v>
      </c>
      <c r="E514"/>
      <c r="G514" s="90" t="s">
        <v>1008</v>
      </c>
      <c r="H514" s="86" t="s">
        <v>380</v>
      </c>
      <c r="I514"/>
      <c r="J514" s="4"/>
      <c r="K514" s="8" t="e">
        <f>(K513+C24)</f>
        <v>#REF!</v>
      </c>
      <c r="M514" s="91">
        <v>1</v>
      </c>
      <c r="N514" s="86" t="s">
        <v>877</v>
      </c>
      <c r="O514" s="86" t="s">
        <v>1871</v>
      </c>
      <c r="P514" s="91">
        <f>(C10)</f>
        <v>150</v>
      </c>
      <c r="Q514" s="86" t="s">
        <v>877</v>
      </c>
      <c r="R514" s="91">
        <f t="shared" si="26"/>
        <v>150</v>
      </c>
      <c r="AG514" s="86" t="s">
        <v>2284</v>
      </c>
    </row>
    <row r="515" spans="1:33" hidden="1">
      <c r="A515" s="106">
        <f t="shared" si="23"/>
        <v>348</v>
      </c>
      <c r="B515" s="86" t="s">
        <v>1133</v>
      </c>
      <c r="C515" s="8">
        <v>4.1900000000000004</v>
      </c>
      <c r="D515" s="1" t="s">
        <v>877</v>
      </c>
      <c r="E515"/>
      <c r="I515"/>
      <c r="J515" s="4"/>
      <c r="K515"/>
      <c r="M515" s="91">
        <v>2</v>
      </c>
      <c r="N515" s="86" t="s">
        <v>877</v>
      </c>
      <c r="O515" s="86" t="s">
        <v>1927</v>
      </c>
      <c r="P515" s="91">
        <f>(C12)</f>
        <v>95</v>
      </c>
      <c r="Q515" s="86" t="s">
        <v>877</v>
      </c>
      <c r="R515" s="91">
        <f t="shared" si="26"/>
        <v>190</v>
      </c>
      <c r="AG515" s="86" t="s">
        <v>2284</v>
      </c>
    </row>
    <row r="516" spans="1:33" hidden="1">
      <c r="A516" s="106">
        <f t="shared" si="23"/>
        <v>349</v>
      </c>
      <c r="B516" s="86" t="s">
        <v>1134</v>
      </c>
      <c r="C516" s="8">
        <v>5</v>
      </c>
      <c r="D516" s="1" t="s">
        <v>877</v>
      </c>
      <c r="E516"/>
      <c r="F516" s="102" t="s">
        <v>1009</v>
      </c>
      <c r="G516" s="90" t="s">
        <v>2276</v>
      </c>
      <c r="H516" s="86" t="s">
        <v>1010</v>
      </c>
      <c r="I516"/>
      <c r="J516" s="4"/>
      <c r="K516"/>
      <c r="M516" s="91">
        <v>1</v>
      </c>
      <c r="N516" s="86" t="s">
        <v>877</v>
      </c>
      <c r="O516" s="86" t="s">
        <v>321</v>
      </c>
      <c r="P516" s="91">
        <f>(C13)</f>
        <v>85</v>
      </c>
      <c r="Q516" s="86" t="s">
        <v>877</v>
      </c>
      <c r="R516" s="91">
        <f t="shared" si="26"/>
        <v>85</v>
      </c>
      <c r="AG516" s="86" t="s">
        <v>2284</v>
      </c>
    </row>
    <row r="517" spans="1:33" hidden="1">
      <c r="A517" s="106">
        <f t="shared" si="23"/>
        <v>350</v>
      </c>
      <c r="B517" s="86" t="s">
        <v>1135</v>
      </c>
      <c r="C517" s="8">
        <v>8.06</v>
      </c>
      <c r="D517" s="1" t="s">
        <v>877</v>
      </c>
      <c r="E517"/>
      <c r="H517" s="89" t="s">
        <v>1609</v>
      </c>
      <c r="I517"/>
      <c r="J517" s="4"/>
      <c r="K517"/>
      <c r="N517" s="86" t="s">
        <v>450</v>
      </c>
      <c r="O517" s="86" t="s">
        <v>1872</v>
      </c>
      <c r="P517" s="86" t="s">
        <v>987</v>
      </c>
      <c r="Q517" s="86" t="s">
        <v>450</v>
      </c>
      <c r="R517" s="91">
        <f>(C56)</f>
        <v>12.1</v>
      </c>
      <c r="AG517" s="86" t="s">
        <v>2284</v>
      </c>
    </row>
    <row r="518" spans="1:33" hidden="1">
      <c r="A518" s="106">
        <f t="shared" si="23"/>
        <v>351</v>
      </c>
      <c r="B518" s="86" t="s">
        <v>1136</v>
      </c>
      <c r="C518" s="8">
        <v>11.86</v>
      </c>
      <c r="D518" s="1" t="s">
        <v>877</v>
      </c>
      <c r="E518"/>
      <c r="F518" s="111">
        <v>1.4999999999999999E-2</v>
      </c>
      <c r="G518" s="90" t="s">
        <v>878</v>
      </c>
      <c r="H518" s="86" t="s">
        <v>1011</v>
      </c>
      <c r="I518" s="8" t="e">
        <f>(K505)</f>
        <v>#REF!</v>
      </c>
      <c r="J518" s="2" t="s">
        <v>878</v>
      </c>
      <c r="K518" s="8" t="e">
        <f>(F518*I518)</f>
        <v>#REF!</v>
      </c>
      <c r="O518" s="86" t="s">
        <v>1874</v>
      </c>
      <c r="P518" s="86" t="s">
        <v>987</v>
      </c>
      <c r="R518" s="86" t="s">
        <v>987</v>
      </c>
      <c r="AG518" s="86" t="s">
        <v>2284</v>
      </c>
    </row>
    <row r="519" spans="1:33" hidden="1">
      <c r="A519" s="106">
        <f t="shared" si="23"/>
        <v>352</v>
      </c>
      <c r="B519" s="86" t="s">
        <v>1138</v>
      </c>
      <c r="C519" s="8">
        <v>18.88</v>
      </c>
      <c r="D519" s="1" t="s">
        <v>877</v>
      </c>
      <c r="E519"/>
      <c r="F519" s="91">
        <v>0.5</v>
      </c>
      <c r="G519" s="90" t="s">
        <v>778</v>
      </c>
      <c r="H519" s="86" t="s">
        <v>2034</v>
      </c>
      <c r="I519" s="8">
        <f>(C10)</f>
        <v>150</v>
      </c>
      <c r="J519" s="2" t="s">
        <v>778</v>
      </c>
      <c r="K519" s="8">
        <f>(F519*I519)</f>
        <v>75</v>
      </c>
      <c r="N519" s="86" t="s">
        <v>450</v>
      </c>
      <c r="O519" s="86" t="s">
        <v>451</v>
      </c>
      <c r="Q519" s="86" t="s">
        <v>450</v>
      </c>
      <c r="R519" s="91">
        <v>0</v>
      </c>
      <c r="AG519" s="86" t="s">
        <v>2284</v>
      </c>
    </row>
    <row r="520" spans="1:33" hidden="1">
      <c r="A520" s="106">
        <f t="shared" si="23"/>
        <v>353</v>
      </c>
      <c r="B520" s="86" t="s">
        <v>239</v>
      </c>
      <c r="C520" s="8">
        <v>26</v>
      </c>
      <c r="D520" s="1" t="s">
        <v>877</v>
      </c>
      <c r="E520"/>
      <c r="F520" s="91">
        <v>0.75</v>
      </c>
      <c r="G520" s="90" t="s">
        <v>778</v>
      </c>
      <c r="H520" s="86" t="s">
        <v>1927</v>
      </c>
      <c r="I520" s="8">
        <f>(C12)</f>
        <v>95</v>
      </c>
      <c r="J520" s="2" t="s">
        <v>778</v>
      </c>
      <c r="K520" s="8">
        <f>(F520*I520)</f>
        <v>71.25</v>
      </c>
      <c r="R520" s="89" t="s">
        <v>1609</v>
      </c>
      <c r="AG520" s="86" t="s">
        <v>2284</v>
      </c>
    </row>
    <row r="521" spans="1:33" hidden="1">
      <c r="A521" s="106">
        <f t="shared" si="23"/>
        <v>354</v>
      </c>
      <c r="B521" s="86" t="s">
        <v>688</v>
      </c>
      <c r="C521"/>
      <c r="D521" s="1" t="s">
        <v>987</v>
      </c>
      <c r="E521"/>
      <c r="G521" s="90" t="s">
        <v>450</v>
      </c>
      <c r="H521" s="86" t="s">
        <v>451</v>
      </c>
      <c r="I521"/>
      <c r="J521" s="2" t="s">
        <v>450</v>
      </c>
      <c r="K521" s="8">
        <v>0</v>
      </c>
      <c r="O521" s="86" t="s">
        <v>1875</v>
      </c>
      <c r="R521" s="91">
        <f>SUM(R509:R519)</f>
        <v>862.8</v>
      </c>
      <c r="AG521" s="86" t="s">
        <v>2284</v>
      </c>
    </row>
    <row r="522" spans="1:33" hidden="1">
      <c r="A522" s="106">
        <f t="shared" si="23"/>
        <v>355</v>
      </c>
      <c r="B522" s="86" t="s">
        <v>1133</v>
      </c>
      <c r="C522" s="8">
        <v>4.62</v>
      </c>
      <c r="D522" s="1" t="s">
        <v>877</v>
      </c>
      <c r="E522"/>
      <c r="I522"/>
      <c r="J522" s="4"/>
      <c r="K522" s="5" t="s">
        <v>1609</v>
      </c>
      <c r="R522" s="89" t="s">
        <v>1609</v>
      </c>
      <c r="AG522" s="86" t="s">
        <v>2284</v>
      </c>
    </row>
    <row r="523" spans="1:33" hidden="1">
      <c r="A523" s="106">
        <f t="shared" si="23"/>
        <v>356</v>
      </c>
      <c r="B523" s="86" t="s">
        <v>1134</v>
      </c>
      <c r="C523" s="8">
        <v>7.83</v>
      </c>
      <c r="D523" s="1" t="s">
        <v>877</v>
      </c>
      <c r="E523"/>
      <c r="H523" s="86" t="s">
        <v>1773</v>
      </c>
      <c r="I523"/>
      <c r="J523" s="4"/>
      <c r="K523" s="8" t="e">
        <f>SUM(K518:K521)</f>
        <v>#REF!</v>
      </c>
      <c r="O523" s="86" t="s">
        <v>1567</v>
      </c>
      <c r="R523" s="91">
        <f>(R521/30)</f>
        <v>28.76</v>
      </c>
      <c r="AG523" s="86" t="s">
        <v>2284</v>
      </c>
    </row>
    <row r="524" spans="1:33" hidden="1">
      <c r="A524" s="106">
        <f t="shared" ref="A524:A546" si="27">(A523+1)</f>
        <v>357</v>
      </c>
      <c r="B524" s="86" t="s">
        <v>1135</v>
      </c>
      <c r="C524" s="8">
        <v>11.38</v>
      </c>
      <c r="D524" s="1" t="s">
        <v>877</v>
      </c>
      <c r="E524"/>
      <c r="I524"/>
      <c r="J524" s="4"/>
      <c r="K524" s="5" t="s">
        <v>1609</v>
      </c>
      <c r="R524" s="89" t="s">
        <v>1609</v>
      </c>
      <c r="AG524" s="86" t="s">
        <v>2284</v>
      </c>
    </row>
    <row r="525" spans="1:33" hidden="1">
      <c r="A525" s="106">
        <f t="shared" si="27"/>
        <v>358</v>
      </c>
      <c r="B525" s="86" t="s">
        <v>1136</v>
      </c>
      <c r="C525" s="8">
        <v>18.75</v>
      </c>
      <c r="D525" s="1" t="s">
        <v>877</v>
      </c>
      <c r="E525"/>
      <c r="H525" s="86" t="s">
        <v>556</v>
      </c>
      <c r="I525"/>
      <c r="J525" s="4"/>
      <c r="K525" s="8" t="e">
        <f>(K523/0.743)</f>
        <v>#REF!</v>
      </c>
      <c r="AG525" s="86" t="s">
        <v>2284</v>
      </c>
    </row>
    <row r="526" spans="1:33" hidden="1">
      <c r="A526" s="106">
        <f t="shared" si="27"/>
        <v>359</v>
      </c>
      <c r="B526" s="86" t="s">
        <v>1138</v>
      </c>
      <c r="C526" s="8">
        <v>35.1</v>
      </c>
      <c r="D526" s="1" t="s">
        <v>877</v>
      </c>
      <c r="E526"/>
      <c r="I526"/>
      <c r="J526" s="4"/>
      <c r="K526" s="5" t="s">
        <v>2080</v>
      </c>
      <c r="AG526" s="86" t="s">
        <v>2284</v>
      </c>
    </row>
    <row r="527" spans="1:33" hidden="1">
      <c r="A527" s="106">
        <f t="shared" si="27"/>
        <v>360</v>
      </c>
      <c r="B527" s="86" t="s">
        <v>239</v>
      </c>
      <c r="C527" s="8">
        <v>45.57</v>
      </c>
      <c r="D527" s="1" t="s">
        <v>877</v>
      </c>
      <c r="E527"/>
      <c r="H527" s="86" t="s">
        <v>386</v>
      </c>
      <c r="I527" s="8" t="e">
        <f>K525</f>
        <v>#REF!</v>
      </c>
      <c r="J527" s="2">
        <f>C22*0.02</f>
        <v>0.53</v>
      </c>
      <c r="K527" s="8" t="e">
        <f>I527+J527</f>
        <v>#REF!</v>
      </c>
      <c r="N527" s="86" t="s">
        <v>1980</v>
      </c>
      <c r="O527" s="102" t="s">
        <v>1290</v>
      </c>
      <c r="AG527" s="86" t="s">
        <v>2284</v>
      </c>
    </row>
    <row r="528" spans="1:33" hidden="1">
      <c r="A528" s="106">
        <f t="shared" si="27"/>
        <v>361</v>
      </c>
      <c r="B528" s="86" t="s">
        <v>1145</v>
      </c>
      <c r="C528"/>
      <c r="D528" s="1" t="s">
        <v>987</v>
      </c>
      <c r="E528"/>
      <c r="H528" s="86" t="s">
        <v>388</v>
      </c>
      <c r="I528" s="8" t="e">
        <f>K527</f>
        <v>#REF!</v>
      </c>
      <c r="J528" s="2">
        <f>C23*0.02</f>
        <v>1.06</v>
      </c>
      <c r="K528" s="8" t="e">
        <f>I528+J528</f>
        <v>#REF!</v>
      </c>
      <c r="O528" s="89" t="s">
        <v>1609</v>
      </c>
      <c r="AG528" s="86" t="s">
        <v>2284</v>
      </c>
    </row>
    <row r="529" spans="1:33" hidden="1">
      <c r="A529" s="106">
        <f t="shared" si="27"/>
        <v>362</v>
      </c>
      <c r="B529" s="86" t="s">
        <v>1133</v>
      </c>
      <c r="C529" s="8">
        <v>7.8</v>
      </c>
      <c r="D529" s="1" t="s">
        <v>877</v>
      </c>
      <c r="E529"/>
      <c r="H529" s="86" t="s">
        <v>2257</v>
      </c>
      <c r="I529" s="8" t="e">
        <f>K528</f>
        <v>#REF!</v>
      </c>
      <c r="J529" s="2">
        <f>C23*0.02</f>
        <v>1.06</v>
      </c>
      <c r="K529" s="8" t="e">
        <f>I529+J529</f>
        <v>#REF!</v>
      </c>
      <c r="M529" s="91">
        <v>30</v>
      </c>
      <c r="N529" s="86" t="s">
        <v>1796</v>
      </c>
      <c r="O529" s="86" t="s">
        <v>1689</v>
      </c>
      <c r="P529" s="91">
        <f>(C42)</f>
        <v>1.75</v>
      </c>
      <c r="Q529" s="86" t="s">
        <v>1796</v>
      </c>
      <c r="R529" s="91">
        <f>(M529*P529)</f>
        <v>52.5</v>
      </c>
      <c r="AG529" s="86" t="s">
        <v>2284</v>
      </c>
    </row>
    <row r="530" spans="1:33" hidden="1">
      <c r="A530" s="106">
        <f t="shared" si="27"/>
        <v>363</v>
      </c>
      <c r="B530" s="86" t="s">
        <v>1134</v>
      </c>
      <c r="C530" s="8">
        <v>9.49</v>
      </c>
      <c r="D530" s="1" t="s">
        <v>877</v>
      </c>
      <c r="E530"/>
      <c r="H530" s="86" t="s">
        <v>380</v>
      </c>
      <c r="I530" s="8" t="e">
        <f>K529</f>
        <v>#REF!</v>
      </c>
      <c r="J530" s="2">
        <f>C23*0.02</f>
        <v>1.06</v>
      </c>
      <c r="K530" s="8" t="e">
        <f>I530+J530</f>
        <v>#REF!</v>
      </c>
      <c r="M530" s="86" t="s">
        <v>987</v>
      </c>
      <c r="O530" s="86" t="s">
        <v>1692</v>
      </c>
      <c r="P530" s="86" t="s">
        <v>987</v>
      </c>
      <c r="R530" s="86" t="s">
        <v>987</v>
      </c>
      <c r="AG530" s="86" t="s">
        <v>2284</v>
      </c>
    </row>
    <row r="531" spans="1:33" hidden="1">
      <c r="A531" s="106">
        <f t="shared" si="27"/>
        <v>364</v>
      </c>
      <c r="B531" s="86" t="s">
        <v>1135</v>
      </c>
      <c r="C531" s="8">
        <v>13.91</v>
      </c>
      <c r="D531" s="1" t="s">
        <v>877</v>
      </c>
      <c r="E531"/>
      <c r="H531" s="86" t="s">
        <v>388</v>
      </c>
      <c r="I531" s="8" t="e">
        <f>K530</f>
        <v>#REF!</v>
      </c>
      <c r="J531" s="2">
        <f>C24*0.02</f>
        <v>1.06</v>
      </c>
      <c r="K531" s="8" t="e">
        <f>I531+J531</f>
        <v>#REF!</v>
      </c>
      <c r="M531" s="91">
        <v>8</v>
      </c>
      <c r="N531" s="86" t="s">
        <v>877</v>
      </c>
      <c r="O531" s="86" t="s">
        <v>2168</v>
      </c>
      <c r="P531" s="91">
        <f>(C45)</f>
        <v>2.7</v>
      </c>
      <c r="Q531" s="86" t="s">
        <v>877</v>
      </c>
      <c r="R531" s="91">
        <f t="shared" ref="R531:R536" si="28">(M531*P531)</f>
        <v>21.6</v>
      </c>
      <c r="AG531" s="86" t="s">
        <v>2284</v>
      </c>
    </row>
    <row r="532" spans="1:33" hidden="1">
      <c r="A532" s="106">
        <f t="shared" si="27"/>
        <v>365</v>
      </c>
      <c r="B532" s="86" t="s">
        <v>1136</v>
      </c>
      <c r="C532" s="8">
        <v>26.59</v>
      </c>
      <c r="D532" s="1" t="s">
        <v>877</v>
      </c>
      <c r="E532"/>
      <c r="F532" s="102" t="s">
        <v>1146</v>
      </c>
      <c r="G532" s="90" t="s">
        <v>2276</v>
      </c>
      <c r="H532" s="86" t="s">
        <v>256</v>
      </c>
      <c r="I532"/>
      <c r="J532" s="4"/>
      <c r="K532"/>
      <c r="M532" s="91">
        <v>8</v>
      </c>
      <c r="N532" s="86" t="s">
        <v>877</v>
      </c>
      <c r="O532" s="86" t="s">
        <v>468</v>
      </c>
      <c r="P532" s="91">
        <f>(C52)</f>
        <v>6.4</v>
      </c>
      <c r="Q532" s="86" t="s">
        <v>877</v>
      </c>
      <c r="R532" s="91">
        <f t="shared" si="28"/>
        <v>51.2</v>
      </c>
      <c r="AG532" s="86" t="s">
        <v>2284</v>
      </c>
    </row>
    <row r="533" spans="1:33" hidden="1">
      <c r="A533" s="106">
        <f t="shared" si="27"/>
        <v>366</v>
      </c>
      <c r="B533" s="86" t="s">
        <v>1138</v>
      </c>
      <c r="C533" s="8">
        <v>39.909999999999997</v>
      </c>
      <c r="D533" s="1" t="s">
        <v>877</v>
      </c>
      <c r="E533"/>
      <c r="H533" s="89" t="s">
        <v>1609</v>
      </c>
      <c r="I533"/>
      <c r="J533" s="4"/>
      <c r="K533"/>
      <c r="M533" s="91">
        <v>3</v>
      </c>
      <c r="N533" s="86" t="s">
        <v>877</v>
      </c>
      <c r="O533" s="86" t="s">
        <v>1870</v>
      </c>
      <c r="P533" s="91">
        <f>(C41)</f>
        <v>110</v>
      </c>
      <c r="Q533" s="86" t="s">
        <v>877</v>
      </c>
      <c r="R533" s="91">
        <f t="shared" si="28"/>
        <v>330</v>
      </c>
      <c r="AG533" s="86" t="s">
        <v>2284</v>
      </c>
    </row>
    <row r="534" spans="1:33" hidden="1">
      <c r="A534" s="106">
        <f t="shared" si="27"/>
        <v>367</v>
      </c>
      <c r="B534" s="86" t="s">
        <v>239</v>
      </c>
      <c r="C534" s="8">
        <v>66</v>
      </c>
      <c r="D534" s="1" t="s">
        <v>877</v>
      </c>
      <c r="E534"/>
      <c r="F534" s="91">
        <v>0.03</v>
      </c>
      <c r="G534" s="90" t="s">
        <v>878</v>
      </c>
      <c r="H534" s="86" t="s">
        <v>1011</v>
      </c>
      <c r="I534" s="8" t="e">
        <f>(K505)</f>
        <v>#REF!</v>
      </c>
      <c r="J534" s="2" t="s">
        <v>878</v>
      </c>
      <c r="K534" s="8" t="e">
        <f>(F534*I534)</f>
        <v>#REF!</v>
      </c>
      <c r="M534" s="91">
        <v>1</v>
      </c>
      <c r="N534" s="86" t="s">
        <v>877</v>
      </c>
      <c r="O534" s="86" t="s">
        <v>1871</v>
      </c>
      <c r="P534" s="91">
        <f>(C10)</f>
        <v>150</v>
      </c>
      <c r="Q534" s="86" t="s">
        <v>877</v>
      </c>
      <c r="R534" s="91">
        <f t="shared" si="28"/>
        <v>150</v>
      </c>
      <c r="AG534" s="86" t="s">
        <v>2284</v>
      </c>
    </row>
    <row r="535" spans="1:33" hidden="1">
      <c r="A535" s="106">
        <f t="shared" si="27"/>
        <v>368</v>
      </c>
      <c r="B535" s="86" t="s">
        <v>1147</v>
      </c>
      <c r="C535"/>
      <c r="D535" s="1" t="s">
        <v>987</v>
      </c>
      <c r="E535"/>
      <c r="F535" s="91">
        <v>0.5</v>
      </c>
      <c r="G535" s="90" t="s">
        <v>778</v>
      </c>
      <c r="H535" s="86" t="s">
        <v>2034</v>
      </c>
      <c r="I535" s="8">
        <f>(C10)</f>
        <v>150</v>
      </c>
      <c r="J535" s="2" t="s">
        <v>778</v>
      </c>
      <c r="K535" s="8">
        <f>(F535*I535)</f>
        <v>75</v>
      </c>
      <c r="M535" s="91">
        <v>2</v>
      </c>
      <c r="N535" s="86" t="s">
        <v>877</v>
      </c>
      <c r="O535" s="86" t="s">
        <v>1927</v>
      </c>
      <c r="P535" s="91">
        <f>(C12)</f>
        <v>95</v>
      </c>
      <c r="Q535" s="86" t="s">
        <v>877</v>
      </c>
      <c r="R535" s="91">
        <f t="shared" si="28"/>
        <v>190</v>
      </c>
      <c r="AG535" s="86" t="s">
        <v>2284</v>
      </c>
    </row>
    <row r="536" spans="1:33" hidden="1">
      <c r="A536" s="106">
        <f t="shared" si="27"/>
        <v>369</v>
      </c>
      <c r="B536" s="86" t="s">
        <v>964</v>
      </c>
      <c r="C536" s="8">
        <v>4.75</v>
      </c>
      <c r="D536" s="1" t="s">
        <v>877</v>
      </c>
      <c r="E536"/>
      <c r="F536" s="91">
        <v>0.75</v>
      </c>
      <c r="G536" s="90" t="s">
        <v>778</v>
      </c>
      <c r="H536" s="86" t="s">
        <v>1927</v>
      </c>
      <c r="I536" s="8">
        <f>(C12)</f>
        <v>95</v>
      </c>
      <c r="J536" s="2" t="s">
        <v>778</v>
      </c>
      <c r="K536" s="8">
        <f>(F536*I536)</f>
        <v>71.25</v>
      </c>
      <c r="M536" s="91">
        <v>1</v>
      </c>
      <c r="N536" s="86" t="s">
        <v>877</v>
      </c>
      <c r="O536" s="86" t="s">
        <v>321</v>
      </c>
      <c r="P536" s="91">
        <f>(C13)</f>
        <v>85</v>
      </c>
      <c r="Q536" s="86" t="s">
        <v>877</v>
      </c>
      <c r="R536" s="91">
        <f t="shared" si="28"/>
        <v>85</v>
      </c>
      <c r="AG536" s="86" t="s">
        <v>2284</v>
      </c>
    </row>
    <row r="537" spans="1:33" hidden="1">
      <c r="A537" s="106">
        <f t="shared" si="27"/>
        <v>370</v>
      </c>
      <c r="B537" s="86" t="s">
        <v>752</v>
      </c>
      <c r="C537" s="8">
        <v>6.89</v>
      </c>
      <c r="D537" s="1" t="s">
        <v>877</v>
      </c>
      <c r="E537"/>
      <c r="G537" s="90" t="s">
        <v>450</v>
      </c>
      <c r="H537" s="86" t="s">
        <v>451</v>
      </c>
      <c r="I537"/>
      <c r="J537" s="2" t="s">
        <v>450</v>
      </c>
      <c r="K537" s="8">
        <v>0</v>
      </c>
      <c r="N537" s="86" t="s">
        <v>450</v>
      </c>
      <c r="O537" s="86" t="s">
        <v>1872</v>
      </c>
      <c r="P537" s="86" t="s">
        <v>987</v>
      </c>
      <c r="Q537" s="86" t="s">
        <v>450</v>
      </c>
      <c r="R537" s="91">
        <f>(C56)</f>
        <v>12.1</v>
      </c>
      <c r="AG537" s="86" t="s">
        <v>2284</v>
      </c>
    </row>
    <row r="538" spans="1:33" hidden="1">
      <c r="A538" s="106">
        <f t="shared" si="27"/>
        <v>371</v>
      </c>
      <c r="B538" s="86" t="s">
        <v>1688</v>
      </c>
      <c r="C538" s="8">
        <v>6.18</v>
      </c>
      <c r="D538" s="1" t="s">
        <v>877</v>
      </c>
      <c r="E538"/>
      <c r="I538"/>
      <c r="J538" s="4"/>
      <c r="K538" s="5" t="s">
        <v>1609</v>
      </c>
      <c r="O538" s="86" t="s">
        <v>1874</v>
      </c>
      <c r="P538" s="86" t="s">
        <v>987</v>
      </c>
      <c r="R538" s="86" t="s">
        <v>987</v>
      </c>
      <c r="AG538" s="86" t="s">
        <v>2284</v>
      </c>
    </row>
    <row r="539" spans="1:33" hidden="1">
      <c r="A539" s="106">
        <f t="shared" si="27"/>
        <v>372</v>
      </c>
      <c r="B539" s="86" t="s">
        <v>1148</v>
      </c>
      <c r="C539" s="8">
        <v>13.29</v>
      </c>
      <c r="D539" s="1" t="s">
        <v>877</v>
      </c>
      <c r="E539"/>
      <c r="H539" s="86" t="s">
        <v>1773</v>
      </c>
      <c r="I539"/>
      <c r="J539" s="4"/>
      <c r="K539" s="8" t="e">
        <f>SUM(K534:K537)</f>
        <v>#REF!</v>
      </c>
      <c r="N539" s="86" t="s">
        <v>450</v>
      </c>
      <c r="O539" s="86" t="s">
        <v>451</v>
      </c>
      <c r="Q539" s="86" t="s">
        <v>450</v>
      </c>
      <c r="R539" s="91">
        <v>0</v>
      </c>
      <c r="AG539" s="86" t="s">
        <v>2284</v>
      </c>
    </row>
    <row r="540" spans="1:33" hidden="1">
      <c r="A540" s="106">
        <f t="shared" si="27"/>
        <v>373</v>
      </c>
      <c r="B540" s="86" t="s">
        <v>1149</v>
      </c>
      <c r="C540" s="8">
        <v>14.11</v>
      </c>
      <c r="D540" s="1" t="s">
        <v>877</v>
      </c>
      <c r="E540"/>
      <c r="I540"/>
      <c r="J540" s="4"/>
      <c r="K540" s="5" t="s">
        <v>1609</v>
      </c>
      <c r="R540" s="89" t="s">
        <v>1609</v>
      </c>
      <c r="AG540" s="86" t="s">
        <v>2284</v>
      </c>
    </row>
    <row r="541" spans="1:33" hidden="1">
      <c r="A541" s="106">
        <f t="shared" si="27"/>
        <v>374</v>
      </c>
      <c r="B541" s="86" t="s">
        <v>1150</v>
      </c>
      <c r="C541" s="8">
        <v>14.69</v>
      </c>
      <c r="D541" s="1" t="s">
        <v>877</v>
      </c>
      <c r="E541"/>
      <c r="H541" s="86" t="s">
        <v>556</v>
      </c>
      <c r="I541"/>
      <c r="J541" s="4"/>
      <c r="K541" s="8" t="e">
        <f>(K539/0.743)</f>
        <v>#REF!</v>
      </c>
      <c r="O541" s="86" t="s">
        <v>1875</v>
      </c>
      <c r="R541" s="91">
        <f>SUM(R529:R539)</f>
        <v>892.4</v>
      </c>
      <c r="AG541" s="86" t="s">
        <v>2284</v>
      </c>
    </row>
    <row r="542" spans="1:33" hidden="1">
      <c r="A542" s="106">
        <f t="shared" si="27"/>
        <v>375</v>
      </c>
      <c r="B542" s="86" t="s">
        <v>1889</v>
      </c>
      <c r="C542"/>
      <c r="D542" s="1" t="s">
        <v>987</v>
      </c>
      <c r="E542"/>
      <c r="I542"/>
      <c r="J542" s="4"/>
      <c r="K542" s="5" t="s">
        <v>2080</v>
      </c>
      <c r="R542" s="89" t="s">
        <v>1609</v>
      </c>
      <c r="AG542" s="86" t="s">
        <v>2284</v>
      </c>
    </row>
    <row r="543" spans="1:33" hidden="1">
      <c r="A543" s="106">
        <f t="shared" si="27"/>
        <v>376</v>
      </c>
      <c r="B543" s="86" t="s">
        <v>964</v>
      </c>
      <c r="C543" s="8">
        <v>10.3</v>
      </c>
      <c r="D543" s="1" t="s">
        <v>877</v>
      </c>
      <c r="E543"/>
      <c r="H543" s="86" t="s">
        <v>386</v>
      </c>
      <c r="I543" s="8" t="e">
        <f>K541</f>
        <v>#REF!</v>
      </c>
      <c r="J543" s="2">
        <f>C22*0.04</f>
        <v>1.06</v>
      </c>
      <c r="K543" s="8" t="e">
        <f>I543+J543</f>
        <v>#REF!</v>
      </c>
      <c r="O543" s="86" t="s">
        <v>1567</v>
      </c>
      <c r="R543" s="91">
        <f>(R541/30)</f>
        <v>29.75</v>
      </c>
      <c r="AG543" s="86" t="s">
        <v>2284</v>
      </c>
    </row>
    <row r="544" spans="1:33" hidden="1">
      <c r="A544" s="106">
        <f t="shared" si="27"/>
        <v>377</v>
      </c>
      <c r="B544" s="86" t="s">
        <v>752</v>
      </c>
      <c r="C544" s="8">
        <v>19.05</v>
      </c>
      <c r="D544" s="1" t="s">
        <v>877</v>
      </c>
      <c r="E544"/>
      <c r="H544" s="86" t="s">
        <v>388</v>
      </c>
      <c r="I544" s="8" t="e">
        <f>K543</f>
        <v>#REF!</v>
      </c>
      <c r="J544" s="2">
        <f>C23*0.04</f>
        <v>2.11</v>
      </c>
      <c r="K544" s="8" t="e">
        <f>I544+J544</f>
        <v>#REF!</v>
      </c>
      <c r="R544" s="89" t="s">
        <v>1609</v>
      </c>
      <c r="AG544" s="86" t="s">
        <v>2284</v>
      </c>
    </row>
    <row r="545" spans="1:33" hidden="1">
      <c r="A545" s="106">
        <f t="shared" si="27"/>
        <v>378</v>
      </c>
      <c r="B545" s="86" t="s">
        <v>1688</v>
      </c>
      <c r="C545" s="8">
        <v>15.34</v>
      </c>
      <c r="D545" s="1" t="s">
        <v>877</v>
      </c>
      <c r="E545"/>
      <c r="H545" s="86" t="s">
        <v>2257</v>
      </c>
      <c r="I545" s="8" t="e">
        <f>K544</f>
        <v>#REF!</v>
      </c>
      <c r="J545" s="2">
        <f>C23*0.04</f>
        <v>2.11</v>
      </c>
      <c r="K545" s="8" t="e">
        <f>I545+J545</f>
        <v>#REF!</v>
      </c>
      <c r="N545" s="86" t="s">
        <v>2276</v>
      </c>
      <c r="O545" s="86" t="s">
        <v>2072</v>
      </c>
      <c r="AG545" s="86" t="s">
        <v>2284</v>
      </c>
    </row>
    <row r="546" spans="1:33" hidden="1">
      <c r="A546" s="106">
        <f t="shared" si="27"/>
        <v>379</v>
      </c>
      <c r="B546" s="86" t="s">
        <v>1890</v>
      </c>
      <c r="C546" s="8">
        <v>29.41</v>
      </c>
      <c r="D546" s="1" t="s">
        <v>877</v>
      </c>
      <c r="E546"/>
      <c r="H546" s="86" t="s">
        <v>380</v>
      </c>
      <c r="I546" s="8" t="e">
        <f>K545</f>
        <v>#REF!</v>
      </c>
      <c r="J546" s="2">
        <f>C23*0.04</f>
        <v>2.11</v>
      </c>
      <c r="K546" s="8" t="e">
        <f>I546+J546</f>
        <v>#REF!</v>
      </c>
      <c r="O546" s="86" t="s">
        <v>1891</v>
      </c>
      <c r="AG546" s="86" t="s">
        <v>2284</v>
      </c>
    </row>
    <row r="547" spans="1:33" hidden="1">
      <c r="C547"/>
      <c r="D547"/>
      <c r="E547"/>
      <c r="F547" s="86" t="s">
        <v>987</v>
      </c>
      <c r="H547" s="86" t="s">
        <v>388</v>
      </c>
      <c r="I547" s="8" t="e">
        <f>K546</f>
        <v>#REF!</v>
      </c>
      <c r="J547" s="2">
        <f>C24*0.04</f>
        <v>2.11</v>
      </c>
      <c r="K547" s="8" t="e">
        <f>I547+J547</f>
        <v>#REF!</v>
      </c>
    </row>
    <row r="548" spans="1:33" hidden="1">
      <c r="A548" s="106">
        <f>(A546+1)</f>
        <v>380</v>
      </c>
      <c r="B548" s="86" t="s">
        <v>1149</v>
      </c>
      <c r="C548" s="8">
        <v>38.35</v>
      </c>
      <c r="D548" s="1" t="s">
        <v>877</v>
      </c>
      <c r="E548"/>
      <c r="I548"/>
      <c r="J548" s="4"/>
      <c r="K548"/>
      <c r="O548" s="86" t="s">
        <v>155</v>
      </c>
      <c r="AG548" s="86" t="s">
        <v>2284</v>
      </c>
    </row>
    <row r="549" spans="1:33" hidden="1">
      <c r="A549" s="106">
        <f t="shared" ref="A549:A564" si="29">(A548+1)</f>
        <v>381</v>
      </c>
      <c r="B549" s="86" t="s">
        <v>1150</v>
      </c>
      <c r="C549" s="8">
        <v>37.96</v>
      </c>
      <c r="D549" s="1" t="s">
        <v>877</v>
      </c>
      <c r="E549"/>
      <c r="F549" s="112"/>
      <c r="G549" s="90" t="s">
        <v>987</v>
      </c>
      <c r="H549" s="86" t="s">
        <v>135</v>
      </c>
      <c r="I549"/>
      <c r="J549" s="4"/>
      <c r="K549"/>
      <c r="O549" s="89" t="s">
        <v>1609</v>
      </c>
      <c r="AG549" s="86" t="s">
        <v>2284</v>
      </c>
    </row>
    <row r="550" spans="1:33" hidden="1">
      <c r="A550" s="106">
        <f t="shared" si="29"/>
        <v>382</v>
      </c>
      <c r="B550" s="86" t="s">
        <v>136</v>
      </c>
      <c r="C550"/>
      <c r="D550" s="1" t="s">
        <v>987</v>
      </c>
      <c r="E550"/>
      <c r="H550" s="86" t="s">
        <v>1283</v>
      </c>
      <c r="I550"/>
      <c r="J550" s="4"/>
      <c r="K550"/>
      <c r="AG550" s="86" t="s">
        <v>2284</v>
      </c>
    </row>
    <row r="551" spans="1:33" hidden="1">
      <c r="A551" s="106">
        <f t="shared" si="29"/>
        <v>383</v>
      </c>
      <c r="B551" s="86" t="s">
        <v>964</v>
      </c>
      <c r="C551" s="8">
        <v>6.68</v>
      </c>
      <c r="D551" s="1" t="s">
        <v>877</v>
      </c>
      <c r="E551"/>
      <c r="H551" s="86" t="s">
        <v>1284</v>
      </c>
      <c r="I551"/>
      <c r="J551" s="4"/>
      <c r="K551"/>
      <c r="N551" s="86" t="s">
        <v>156</v>
      </c>
      <c r="O551" s="86" t="s">
        <v>1037</v>
      </c>
      <c r="AG551" s="86" t="s">
        <v>2284</v>
      </c>
    </row>
    <row r="552" spans="1:33" hidden="1">
      <c r="A552" s="106">
        <f t="shared" si="29"/>
        <v>384</v>
      </c>
      <c r="B552" s="86" t="s">
        <v>752</v>
      </c>
      <c r="C552" s="8">
        <v>9.4499999999999993</v>
      </c>
      <c r="D552" s="1" t="s">
        <v>877</v>
      </c>
      <c r="E552"/>
      <c r="H552" s="86" t="s">
        <v>1038</v>
      </c>
      <c r="I552"/>
      <c r="J552" s="4"/>
      <c r="K552"/>
      <c r="O552" s="89" t="s">
        <v>1609</v>
      </c>
      <c r="AG552" s="86" t="s">
        <v>2284</v>
      </c>
    </row>
    <row r="553" spans="1:33" hidden="1">
      <c r="A553" s="106">
        <f t="shared" si="29"/>
        <v>385</v>
      </c>
      <c r="B553" s="86" t="s">
        <v>1688</v>
      </c>
      <c r="C553" s="8">
        <v>33.04</v>
      </c>
      <c r="D553" s="1" t="s">
        <v>877</v>
      </c>
      <c r="E553"/>
      <c r="H553" s="86" t="s">
        <v>1039</v>
      </c>
      <c r="I553"/>
      <c r="J553" s="4"/>
      <c r="K553"/>
      <c r="M553" s="91">
        <v>8.1</v>
      </c>
      <c r="N553" s="86" t="s">
        <v>878</v>
      </c>
      <c r="O553" s="86" t="s">
        <v>623</v>
      </c>
      <c r="P553" s="91">
        <f>(C61)*2</f>
        <v>50</v>
      </c>
      <c r="Q553" s="86" t="s">
        <v>878</v>
      </c>
      <c r="R553" s="91">
        <f>(M553*P553)</f>
        <v>405</v>
      </c>
      <c r="AG553" s="86" t="s">
        <v>2284</v>
      </c>
    </row>
    <row r="554" spans="1:33" hidden="1">
      <c r="A554" s="106">
        <f t="shared" si="29"/>
        <v>386</v>
      </c>
      <c r="B554" s="86" t="s">
        <v>1890</v>
      </c>
      <c r="C554" s="8">
        <v>33.04</v>
      </c>
      <c r="D554" s="1" t="s">
        <v>877</v>
      </c>
      <c r="E554"/>
      <c r="H554" s="86" t="s">
        <v>1266</v>
      </c>
      <c r="I554"/>
      <c r="J554" s="4"/>
      <c r="K554"/>
      <c r="M554" s="91">
        <v>8.1</v>
      </c>
      <c r="N554" s="86" t="s">
        <v>878</v>
      </c>
      <c r="O554" s="86" t="s">
        <v>2182</v>
      </c>
      <c r="P554" s="91">
        <f>(C26)</f>
        <v>8.8000000000000007</v>
      </c>
      <c r="Q554" s="86" t="s">
        <v>878</v>
      </c>
      <c r="R554" s="91">
        <f>(M554*P554)</f>
        <v>71.28</v>
      </c>
      <c r="AG554" s="86" t="s">
        <v>2284</v>
      </c>
    </row>
    <row r="555" spans="1:33" hidden="1">
      <c r="A555" s="106">
        <f t="shared" si="29"/>
        <v>387</v>
      </c>
      <c r="B555" s="86" t="s">
        <v>1267</v>
      </c>
      <c r="C555" s="8">
        <v>33.04</v>
      </c>
      <c r="D555" s="1" t="s">
        <v>877</v>
      </c>
      <c r="E555"/>
      <c r="H555" s="86" t="s">
        <v>2450</v>
      </c>
      <c r="I555"/>
      <c r="J555" s="4"/>
      <c r="K555"/>
      <c r="M555" s="91">
        <v>30</v>
      </c>
      <c r="N555" s="86" t="s">
        <v>1796</v>
      </c>
      <c r="O555" s="86" t="s">
        <v>2183</v>
      </c>
      <c r="P555" s="91">
        <f>(C639)</f>
        <v>3</v>
      </c>
      <c r="Q555" s="86" t="s">
        <v>1796</v>
      </c>
      <c r="R555" s="91">
        <f>(M555*P555)</f>
        <v>90</v>
      </c>
      <c r="AG555" s="86" t="s">
        <v>322</v>
      </c>
    </row>
    <row r="556" spans="1:33" hidden="1">
      <c r="A556" s="106">
        <f t="shared" si="29"/>
        <v>388</v>
      </c>
      <c r="B556" s="86" t="s">
        <v>1268</v>
      </c>
      <c r="C556" s="8">
        <v>33.04</v>
      </c>
      <c r="D556" s="1" t="s">
        <v>877</v>
      </c>
      <c r="E556"/>
      <c r="H556" s="89" t="s">
        <v>1609</v>
      </c>
      <c r="I556" s="5" t="s">
        <v>1609</v>
      </c>
      <c r="J556" s="4"/>
      <c r="K556"/>
      <c r="O556" s="86" t="s">
        <v>1269</v>
      </c>
    </row>
    <row r="557" spans="1:33" hidden="1">
      <c r="A557" s="106">
        <f t="shared" si="29"/>
        <v>389</v>
      </c>
      <c r="B557" s="86" t="s">
        <v>616</v>
      </c>
      <c r="C557" s="8">
        <v>538</v>
      </c>
      <c r="D557" s="1" t="s">
        <v>877</v>
      </c>
      <c r="E557"/>
      <c r="G557" s="90" t="s">
        <v>695</v>
      </c>
      <c r="H557" s="86" t="s">
        <v>617</v>
      </c>
      <c r="I557"/>
      <c r="J557" s="4"/>
      <c r="K557"/>
      <c r="O557" s="86" t="s">
        <v>2185</v>
      </c>
    </row>
    <row r="558" spans="1:33" hidden="1">
      <c r="A558" s="106">
        <f t="shared" si="29"/>
        <v>390</v>
      </c>
      <c r="B558" s="86" t="s">
        <v>2305</v>
      </c>
      <c r="C558" s="8">
        <v>340</v>
      </c>
      <c r="D558" s="1" t="s">
        <v>877</v>
      </c>
      <c r="E558"/>
      <c r="H558" s="86" t="s">
        <v>2306</v>
      </c>
      <c r="I558"/>
      <c r="J558" s="4"/>
      <c r="K558"/>
      <c r="O558" s="86" t="s">
        <v>2186</v>
      </c>
      <c r="AG558" s="86" t="s">
        <v>2284</v>
      </c>
    </row>
    <row r="559" spans="1:33" hidden="1">
      <c r="A559" s="106">
        <f t="shared" si="29"/>
        <v>391</v>
      </c>
      <c r="B559" s="86" t="s">
        <v>2307</v>
      </c>
      <c r="C559" s="8">
        <v>1039</v>
      </c>
      <c r="D559" s="1" t="s">
        <v>877</v>
      </c>
      <c r="E559"/>
      <c r="F559" s="91">
        <v>10</v>
      </c>
      <c r="G559" s="90" t="s">
        <v>2308</v>
      </c>
      <c r="H559" s="86" t="s">
        <v>562</v>
      </c>
      <c r="I559" s="8">
        <f>C721</f>
        <v>227</v>
      </c>
      <c r="J559" s="2" t="s">
        <v>2308</v>
      </c>
      <c r="K559" s="8">
        <f>(F559*I559)</f>
        <v>2270</v>
      </c>
      <c r="O559" s="86" t="s">
        <v>2189</v>
      </c>
      <c r="AG559" s="86" t="s">
        <v>2284</v>
      </c>
    </row>
    <row r="560" spans="1:33" hidden="1">
      <c r="A560" s="106">
        <f t="shared" si="29"/>
        <v>392</v>
      </c>
      <c r="B560" s="86" t="s">
        <v>563</v>
      </c>
      <c r="C560" s="8">
        <v>100.44</v>
      </c>
      <c r="D560" s="1" t="s">
        <v>877</v>
      </c>
      <c r="E560"/>
      <c r="F560" s="91">
        <v>1</v>
      </c>
      <c r="G560" s="90" t="s">
        <v>564</v>
      </c>
      <c r="H560" s="86" t="s">
        <v>565</v>
      </c>
      <c r="I560" s="8">
        <f>C10</f>
        <v>150</v>
      </c>
      <c r="J560" s="2" t="s">
        <v>1418</v>
      </c>
      <c r="K560" s="8">
        <f>(F560*I560)</f>
        <v>150</v>
      </c>
      <c r="M560" s="91">
        <v>8</v>
      </c>
      <c r="N560" s="86" t="s">
        <v>778</v>
      </c>
      <c r="O560" s="86" t="s">
        <v>2168</v>
      </c>
      <c r="P560" s="91">
        <f>(C641)</f>
        <v>2.2000000000000002</v>
      </c>
      <c r="Q560" s="86" t="s">
        <v>778</v>
      </c>
      <c r="R560" s="91">
        <f>(M560*P560)</f>
        <v>17.600000000000001</v>
      </c>
      <c r="AG560" s="86" t="s">
        <v>2284</v>
      </c>
    </row>
    <row r="561" spans="1:33" hidden="1">
      <c r="A561" s="106">
        <f t="shared" si="29"/>
        <v>393</v>
      </c>
      <c r="B561" s="86" t="s">
        <v>831</v>
      </c>
      <c r="C561" s="8">
        <v>31</v>
      </c>
      <c r="D561" s="1" t="s">
        <v>1170</v>
      </c>
      <c r="E561"/>
      <c r="F561" s="91">
        <v>1</v>
      </c>
      <c r="G561" s="90" t="s">
        <v>564</v>
      </c>
      <c r="H561" s="86" t="s">
        <v>832</v>
      </c>
      <c r="I561" s="8">
        <f>C12</f>
        <v>95</v>
      </c>
      <c r="J561" s="2" t="s">
        <v>1418</v>
      </c>
      <c r="K561" s="8">
        <f>(F561*I561)</f>
        <v>95</v>
      </c>
      <c r="M561" s="91">
        <v>8</v>
      </c>
      <c r="N561" s="86" t="s">
        <v>778</v>
      </c>
      <c r="O561" s="86" t="s">
        <v>468</v>
      </c>
      <c r="P561" s="91">
        <f>(C642)</f>
        <v>3.2</v>
      </c>
      <c r="Q561" s="86" t="s">
        <v>778</v>
      </c>
      <c r="R561" s="91">
        <f>(M561*P561)</f>
        <v>25.6</v>
      </c>
      <c r="AG561" s="86" t="s">
        <v>2284</v>
      </c>
    </row>
    <row r="562" spans="1:33" hidden="1">
      <c r="A562" s="106">
        <f t="shared" si="29"/>
        <v>394</v>
      </c>
      <c r="B562" s="86" t="s">
        <v>2967</v>
      </c>
      <c r="C562" s="8">
        <v>71.239999999999995</v>
      </c>
      <c r="D562" s="1" t="s">
        <v>877</v>
      </c>
      <c r="E562"/>
      <c r="G562" s="90" t="s">
        <v>450</v>
      </c>
      <c r="H562" s="86" t="s">
        <v>61</v>
      </c>
      <c r="I562"/>
      <c r="J562" s="2" t="s">
        <v>450</v>
      </c>
      <c r="K562" s="8">
        <v>120</v>
      </c>
      <c r="M562" s="91">
        <v>1</v>
      </c>
      <c r="N562" s="86" t="s">
        <v>450</v>
      </c>
      <c r="O562" s="86" t="s">
        <v>1709</v>
      </c>
      <c r="P562" s="91">
        <f>(C643)</f>
        <v>4</v>
      </c>
      <c r="Q562" s="86" t="s">
        <v>450</v>
      </c>
      <c r="R562" s="91">
        <f>(M562*P562)</f>
        <v>4</v>
      </c>
      <c r="AG562" s="86" t="s">
        <v>2284</v>
      </c>
    </row>
    <row r="563" spans="1:33" hidden="1">
      <c r="A563" s="106">
        <f t="shared" si="29"/>
        <v>395</v>
      </c>
      <c r="B563" s="86" t="s">
        <v>62</v>
      </c>
      <c r="C563" s="8">
        <v>82.2</v>
      </c>
      <c r="D563" s="1" t="s">
        <v>877</v>
      </c>
      <c r="E563"/>
      <c r="H563" s="86" t="s">
        <v>941</v>
      </c>
      <c r="I563"/>
      <c r="J563" s="4"/>
      <c r="K563" s="5" t="s">
        <v>1609</v>
      </c>
      <c r="M563" s="91">
        <v>1</v>
      </c>
      <c r="N563" s="86" t="s">
        <v>450</v>
      </c>
      <c r="O563" s="86" t="s">
        <v>451</v>
      </c>
      <c r="Q563" s="86" t="s">
        <v>450</v>
      </c>
      <c r="R563" s="91">
        <v>0</v>
      </c>
      <c r="AG563" s="86" t="s">
        <v>2284</v>
      </c>
    </row>
    <row r="564" spans="1:33" hidden="1">
      <c r="A564" s="106">
        <f t="shared" si="29"/>
        <v>396</v>
      </c>
      <c r="B564" s="86" t="s">
        <v>1077</v>
      </c>
      <c r="C564" s="8">
        <v>57.51</v>
      </c>
      <c r="D564" s="1" t="s">
        <v>877</v>
      </c>
      <c r="E564"/>
      <c r="H564" s="102" t="s">
        <v>1078</v>
      </c>
      <c r="I564"/>
      <c r="J564" s="4"/>
      <c r="K564" s="8">
        <f>SUM(K559:K562)</f>
        <v>2635</v>
      </c>
      <c r="R564" s="89" t="s">
        <v>1609</v>
      </c>
      <c r="AG564" s="86" t="s">
        <v>2284</v>
      </c>
    </row>
    <row r="565" spans="1:33" hidden="1">
      <c r="C565"/>
      <c r="D565"/>
      <c r="E565"/>
      <c r="F565" s="86" t="s">
        <v>987</v>
      </c>
      <c r="I565"/>
      <c r="J565" s="4"/>
      <c r="K565"/>
    </row>
    <row r="566" spans="1:33" hidden="1">
      <c r="A566" s="106">
        <f>(A564+1)</f>
        <v>397</v>
      </c>
      <c r="B566" s="86" t="s">
        <v>926</v>
      </c>
      <c r="C566" s="8">
        <v>28.5</v>
      </c>
      <c r="D566" s="1" t="s">
        <v>877</v>
      </c>
      <c r="E566"/>
      <c r="I566"/>
      <c r="J566" s="4"/>
      <c r="K566" s="5" t="s">
        <v>1609</v>
      </c>
      <c r="O566" s="86" t="s">
        <v>1566</v>
      </c>
      <c r="R566" s="91">
        <f>SUM(R553:R563)</f>
        <v>613.48</v>
      </c>
      <c r="AG566" s="86" t="s">
        <v>2284</v>
      </c>
    </row>
    <row r="567" spans="1:33" hidden="1">
      <c r="A567" s="106">
        <f t="shared" ref="A567:A614" si="30">(A566+1)</f>
        <v>398</v>
      </c>
      <c r="B567" s="86" t="s">
        <v>503</v>
      </c>
      <c r="C567" s="8">
        <v>57.51</v>
      </c>
      <c r="D567" s="1" t="s">
        <v>877</v>
      </c>
      <c r="E567"/>
      <c r="H567" s="102" t="s">
        <v>504</v>
      </c>
      <c r="I567"/>
      <c r="J567" s="4"/>
      <c r="K567" s="8">
        <f>K564/10</f>
        <v>263.5</v>
      </c>
      <c r="R567" s="89" t="s">
        <v>1609</v>
      </c>
      <c r="AG567" s="86" t="s">
        <v>2284</v>
      </c>
    </row>
    <row r="568" spans="1:33" hidden="1">
      <c r="A568" s="106">
        <f t="shared" si="30"/>
        <v>399</v>
      </c>
      <c r="B568" s="86" t="s">
        <v>1934</v>
      </c>
      <c r="C568" s="8">
        <v>20</v>
      </c>
      <c r="D568" s="1" t="s">
        <v>877</v>
      </c>
      <c r="E568"/>
      <c r="H568" s="86" t="s">
        <v>386</v>
      </c>
      <c r="I568" s="8">
        <f>K567</f>
        <v>263.5</v>
      </c>
      <c r="J568" s="2">
        <f>C22*0.02</f>
        <v>0.53</v>
      </c>
      <c r="K568" s="8">
        <f>I568+J568</f>
        <v>264.02999999999997</v>
      </c>
      <c r="O568" s="86" t="s">
        <v>1567</v>
      </c>
      <c r="R568" s="91">
        <f>(R566/30)</f>
        <v>20.45</v>
      </c>
      <c r="AG568" s="86" t="s">
        <v>2284</v>
      </c>
    </row>
    <row r="569" spans="1:33" hidden="1">
      <c r="A569" s="106">
        <f t="shared" si="30"/>
        <v>400</v>
      </c>
      <c r="B569" s="86" t="s">
        <v>1935</v>
      </c>
      <c r="C569" s="8">
        <v>21.92</v>
      </c>
      <c r="D569" s="1" t="s">
        <v>877</v>
      </c>
      <c r="E569"/>
      <c r="H569" s="86" t="s">
        <v>388</v>
      </c>
      <c r="I569" s="8">
        <f>K568</f>
        <v>264.02999999999997</v>
      </c>
      <c r="J569" s="2">
        <f>C23*0.02</f>
        <v>1.06</v>
      </c>
      <c r="K569" s="8">
        <f>I569+J569</f>
        <v>265.08999999999997</v>
      </c>
      <c r="N569" s="86" t="s">
        <v>2276</v>
      </c>
      <c r="O569" s="86" t="s">
        <v>1936</v>
      </c>
      <c r="AG569" s="86" t="s">
        <v>2284</v>
      </c>
    </row>
    <row r="570" spans="1:33" hidden="1">
      <c r="A570" s="106">
        <f t="shared" si="30"/>
        <v>401</v>
      </c>
      <c r="B570" s="86" t="s">
        <v>237</v>
      </c>
      <c r="C570" s="8">
        <v>28.5</v>
      </c>
      <c r="D570" s="1" t="s">
        <v>877</v>
      </c>
      <c r="E570"/>
      <c r="H570" s="86" t="s">
        <v>2257</v>
      </c>
      <c r="I570" s="8">
        <f>K569</f>
        <v>265.08999999999997</v>
      </c>
      <c r="J570" s="2">
        <f>C23*0.02</f>
        <v>1.06</v>
      </c>
      <c r="K570" s="8">
        <f>I570+J570</f>
        <v>266.14999999999998</v>
      </c>
      <c r="O570" s="86" t="s">
        <v>238</v>
      </c>
      <c r="AG570" s="86" t="s">
        <v>2284</v>
      </c>
    </row>
    <row r="571" spans="1:33" hidden="1">
      <c r="A571" s="106">
        <f t="shared" si="30"/>
        <v>402</v>
      </c>
      <c r="B571" s="86" t="s">
        <v>2093</v>
      </c>
      <c r="C571" s="8">
        <v>535</v>
      </c>
      <c r="D571" s="1" t="s">
        <v>877</v>
      </c>
      <c r="E571"/>
      <c r="H571" s="86" t="s">
        <v>380</v>
      </c>
      <c r="I571" s="8">
        <f>K570</f>
        <v>266.14999999999998</v>
      </c>
      <c r="J571" s="2">
        <f>C23*0.02</f>
        <v>1.06</v>
      </c>
      <c r="K571" s="8">
        <f>I571+J571</f>
        <v>267.20999999999998</v>
      </c>
      <c r="O571" s="89" t="s">
        <v>1609</v>
      </c>
      <c r="AG571" s="86" t="s">
        <v>2284</v>
      </c>
    </row>
    <row r="572" spans="1:33" hidden="1">
      <c r="A572" s="106"/>
      <c r="B572" s="86"/>
      <c r="C572" s="8"/>
      <c r="D572" s="1"/>
      <c r="E572"/>
      <c r="H572" s="86" t="s">
        <v>1384</v>
      </c>
      <c r="I572" s="8">
        <f>K571</f>
        <v>267.20999999999998</v>
      </c>
      <c r="J572" s="2">
        <f>C24*0.02</f>
        <v>1.06</v>
      </c>
      <c r="K572" s="8">
        <f>I572+J572</f>
        <v>268.27</v>
      </c>
      <c r="O572" s="89"/>
      <c r="AG572" s="86"/>
    </row>
    <row r="573" spans="1:33" hidden="1">
      <c r="A573" s="106">
        <f>(A571+1)</f>
        <v>403</v>
      </c>
      <c r="B573" s="86" t="s">
        <v>547</v>
      </c>
      <c r="C573" s="8">
        <v>21</v>
      </c>
      <c r="D573" s="1" t="s">
        <v>877</v>
      </c>
      <c r="E573"/>
      <c r="F573" s="112">
        <v>15.2</v>
      </c>
      <c r="G573" s="90" t="s">
        <v>695</v>
      </c>
      <c r="H573" s="86" t="s">
        <v>795</v>
      </c>
      <c r="I573"/>
      <c r="J573" s="4"/>
      <c r="K573"/>
      <c r="M573" s="91">
        <v>1.08</v>
      </c>
      <c r="N573" s="86" t="s">
        <v>878</v>
      </c>
      <c r="O573" s="86" t="s">
        <v>796</v>
      </c>
      <c r="P573" s="91">
        <f>(K88)</f>
        <v>52.93</v>
      </c>
      <c r="Q573" s="86" t="s">
        <v>878</v>
      </c>
      <c r="R573" s="91">
        <f>(M573*P573)</f>
        <v>57.16</v>
      </c>
      <c r="AG573" s="86" t="s">
        <v>2284</v>
      </c>
    </row>
    <row r="574" spans="1:33" hidden="1">
      <c r="A574" s="106">
        <f t="shared" si="30"/>
        <v>404</v>
      </c>
      <c r="B574" s="86" t="s">
        <v>797</v>
      </c>
      <c r="C574" s="8">
        <v>150</v>
      </c>
      <c r="D574" s="1" t="s">
        <v>877</v>
      </c>
      <c r="E574"/>
      <c r="H574" s="86" t="s">
        <v>2306</v>
      </c>
      <c r="I574"/>
      <c r="J574" s="4"/>
      <c r="K574"/>
      <c r="M574" s="111">
        <v>0.216</v>
      </c>
      <c r="N574" s="86" t="s">
        <v>878</v>
      </c>
      <c r="O574" s="86" t="s">
        <v>798</v>
      </c>
      <c r="P574" s="91" t="e">
        <f>(R60)</f>
        <v>#REF!</v>
      </c>
      <c r="Q574" s="86" t="s">
        <v>878</v>
      </c>
      <c r="R574" s="91" t="e">
        <f>(M574*P574)</f>
        <v>#REF!</v>
      </c>
      <c r="AG574" s="86" t="s">
        <v>2284</v>
      </c>
    </row>
    <row r="575" spans="1:33" hidden="1">
      <c r="A575" s="106">
        <f t="shared" si="30"/>
        <v>405</v>
      </c>
      <c r="B575" s="86" t="s">
        <v>2000</v>
      </c>
      <c r="C575" s="8">
        <v>16.440000000000001</v>
      </c>
      <c r="D575" s="1" t="s">
        <v>877</v>
      </c>
      <c r="E575"/>
      <c r="F575" s="91">
        <v>1</v>
      </c>
      <c r="G575" s="90" t="s">
        <v>2308</v>
      </c>
      <c r="H575" s="86" t="s">
        <v>562</v>
      </c>
      <c r="I575" s="8">
        <f>D721</f>
        <v>247</v>
      </c>
      <c r="J575" s="2" t="s">
        <v>2308</v>
      </c>
      <c r="K575" s="8">
        <f>(F575*I575)</f>
        <v>247</v>
      </c>
      <c r="M575" s="111">
        <v>0.48699999999999999</v>
      </c>
      <c r="N575" s="86" t="s">
        <v>878</v>
      </c>
      <c r="O575" s="86" t="s">
        <v>2001</v>
      </c>
      <c r="P575" s="91" t="e">
        <f>(R89)</f>
        <v>#REF!</v>
      </c>
      <c r="Q575" s="86" t="s">
        <v>878</v>
      </c>
      <c r="R575" s="91" t="e">
        <f>(M575*P575)</f>
        <v>#REF!</v>
      </c>
      <c r="AG575" s="86" t="s">
        <v>2284</v>
      </c>
    </row>
    <row r="576" spans="1:33" hidden="1">
      <c r="A576" s="106">
        <f t="shared" si="30"/>
        <v>406</v>
      </c>
      <c r="B576" s="86" t="s">
        <v>2968</v>
      </c>
      <c r="C576" s="8">
        <v>30</v>
      </c>
      <c r="D576" s="8">
        <v>25</v>
      </c>
      <c r="E576"/>
      <c r="F576" s="91">
        <v>0.75</v>
      </c>
      <c r="G576" s="90" t="s">
        <v>564</v>
      </c>
      <c r="H576" s="86" t="s">
        <v>565</v>
      </c>
      <c r="I576" s="8">
        <f>C10</f>
        <v>150</v>
      </c>
      <c r="J576" s="2" t="s">
        <v>1418</v>
      </c>
      <c r="K576" s="8">
        <f>(F576*I576)</f>
        <v>112.5</v>
      </c>
      <c r="M576" s="111">
        <v>5.36</v>
      </c>
      <c r="N576" s="86" t="s">
        <v>615</v>
      </c>
      <c r="O576" s="86" t="s">
        <v>2002</v>
      </c>
      <c r="P576" s="91" t="e">
        <f>(R303)</f>
        <v>#REF!</v>
      </c>
      <c r="Q576" s="86" t="s">
        <v>615</v>
      </c>
      <c r="R576" s="91" t="e">
        <f>(M576*P576)</f>
        <v>#REF!</v>
      </c>
      <c r="AG576" s="86" t="s">
        <v>2284</v>
      </c>
    </row>
    <row r="577" spans="1:33" hidden="1">
      <c r="A577" s="106">
        <f t="shared" si="30"/>
        <v>407</v>
      </c>
      <c r="B577" s="86" t="s">
        <v>424</v>
      </c>
      <c r="C577" s="8">
        <v>208.5</v>
      </c>
      <c r="D577" s="1" t="s">
        <v>877</v>
      </c>
      <c r="E577"/>
      <c r="F577" s="91">
        <v>0.75</v>
      </c>
      <c r="G577" s="90" t="s">
        <v>564</v>
      </c>
      <c r="H577" s="86" t="s">
        <v>832</v>
      </c>
      <c r="I577" s="8">
        <f>C12</f>
        <v>95</v>
      </c>
      <c r="J577" s="2" t="s">
        <v>1418</v>
      </c>
      <c r="K577" s="8">
        <f>(F577*I577)</f>
        <v>71.25</v>
      </c>
      <c r="M577" s="111">
        <v>3.2000000000000001E-2</v>
      </c>
      <c r="N577" s="86" t="s">
        <v>878</v>
      </c>
      <c r="O577" s="86" t="s">
        <v>788</v>
      </c>
      <c r="P577" s="91" t="e">
        <f>(K614)</f>
        <v>#REF!</v>
      </c>
      <c r="Q577" s="86" t="s">
        <v>878</v>
      </c>
      <c r="R577" s="91" t="e">
        <f>(M577*P577)</f>
        <v>#REF!</v>
      </c>
      <c r="AG577" s="86" t="s">
        <v>2284</v>
      </c>
    </row>
    <row r="578" spans="1:33" hidden="1">
      <c r="A578" s="106">
        <f t="shared" si="30"/>
        <v>408</v>
      </c>
      <c r="B578" s="86" t="s">
        <v>2066</v>
      </c>
      <c r="C578" s="8">
        <v>95</v>
      </c>
      <c r="D578" s="1" t="s">
        <v>877</v>
      </c>
      <c r="E578"/>
      <c r="F578" s="91">
        <v>0.5</v>
      </c>
      <c r="G578" s="90" t="s">
        <v>564</v>
      </c>
      <c r="H578" s="86" t="s">
        <v>2067</v>
      </c>
      <c r="I578" s="8">
        <f>C41</f>
        <v>110</v>
      </c>
      <c r="J578" s="2" t="s">
        <v>1418</v>
      </c>
      <c r="K578" s="8">
        <f>(F578*I578)</f>
        <v>55</v>
      </c>
      <c r="O578" s="86" t="s">
        <v>288</v>
      </c>
      <c r="R578" s="86" t="s">
        <v>987</v>
      </c>
      <c r="AG578" s="86" t="s">
        <v>2284</v>
      </c>
    </row>
    <row r="579" spans="1:33" hidden="1">
      <c r="A579" s="106">
        <f t="shared" si="30"/>
        <v>409</v>
      </c>
      <c r="B579" s="86" t="s">
        <v>2969</v>
      </c>
      <c r="C579" s="6">
        <v>301</v>
      </c>
      <c r="D579" s="1" t="s">
        <v>615</v>
      </c>
      <c r="E579"/>
      <c r="G579" s="90" t="s">
        <v>450</v>
      </c>
      <c r="H579" s="86" t="s">
        <v>61</v>
      </c>
      <c r="I579"/>
      <c r="J579" s="2" t="s">
        <v>450</v>
      </c>
      <c r="K579" s="8">
        <v>53.5</v>
      </c>
      <c r="N579" s="86" t="s">
        <v>450</v>
      </c>
      <c r="O579" s="86" t="s">
        <v>340</v>
      </c>
      <c r="Q579" s="86" t="s">
        <v>450</v>
      </c>
      <c r="R579" s="91">
        <v>2.92</v>
      </c>
      <c r="AG579" s="86" t="s">
        <v>2284</v>
      </c>
    </row>
    <row r="580" spans="1:33" hidden="1">
      <c r="A580" s="106">
        <f t="shared" si="30"/>
        <v>410</v>
      </c>
      <c r="B580" s="86" t="s">
        <v>2970</v>
      </c>
      <c r="C580" s="8">
        <v>325</v>
      </c>
      <c r="D580" s="1" t="s">
        <v>615</v>
      </c>
      <c r="E580" s="1" t="s">
        <v>987</v>
      </c>
      <c r="H580" s="86" t="s">
        <v>941</v>
      </c>
      <c r="I580"/>
      <c r="J580" s="4"/>
      <c r="K580" s="5" t="s">
        <v>1609</v>
      </c>
      <c r="R580" s="89" t="s">
        <v>1609</v>
      </c>
      <c r="AG580" s="86" t="s">
        <v>2284</v>
      </c>
    </row>
    <row r="581" spans="1:33" hidden="1">
      <c r="A581" s="106">
        <f t="shared" si="30"/>
        <v>411</v>
      </c>
      <c r="B581" s="86" t="s">
        <v>341</v>
      </c>
      <c r="C581" s="8">
        <v>75</v>
      </c>
      <c r="D581" s="1" t="s">
        <v>877</v>
      </c>
      <c r="E581"/>
      <c r="H581" s="102" t="s">
        <v>1775</v>
      </c>
      <c r="I581"/>
      <c r="J581" s="4"/>
      <c r="K581" s="8">
        <f>SUM(K575:K579)</f>
        <v>539.25</v>
      </c>
      <c r="O581" s="86" t="s">
        <v>1776</v>
      </c>
      <c r="R581" s="91" t="e">
        <f>SUM(R573:R579)</f>
        <v>#REF!</v>
      </c>
      <c r="AG581" s="86" t="s">
        <v>2284</v>
      </c>
    </row>
    <row r="582" spans="1:33" hidden="1">
      <c r="A582" s="106">
        <f t="shared" si="30"/>
        <v>412</v>
      </c>
      <c r="B582" s="86" t="s">
        <v>1777</v>
      </c>
      <c r="C582" s="8">
        <v>125</v>
      </c>
      <c r="D582" s="1" t="s">
        <v>877</v>
      </c>
      <c r="E582"/>
      <c r="I582"/>
      <c r="J582" s="4"/>
      <c r="K582" s="5" t="s">
        <v>1609</v>
      </c>
      <c r="R582" s="89" t="s">
        <v>1609</v>
      </c>
      <c r="AG582" s="86" t="s">
        <v>2284</v>
      </c>
    </row>
    <row r="583" spans="1:33" hidden="1">
      <c r="A583" s="106">
        <f t="shared" si="30"/>
        <v>413</v>
      </c>
      <c r="B583" s="86" t="s">
        <v>1778</v>
      </c>
      <c r="C583" s="8">
        <v>190</v>
      </c>
      <c r="D583" s="1" t="s">
        <v>877</v>
      </c>
      <c r="E583"/>
      <c r="H583" s="86" t="s">
        <v>386</v>
      </c>
      <c r="I583" s="8">
        <f>K581</f>
        <v>539.25</v>
      </c>
      <c r="J583" s="2">
        <f>C22*0.04</f>
        <v>1.06</v>
      </c>
      <c r="K583" s="8">
        <f>(K581+C22*0.04)</f>
        <v>540.30999999999995</v>
      </c>
      <c r="N583" s="86" t="s">
        <v>2276</v>
      </c>
      <c r="O583" s="86" t="s">
        <v>1936</v>
      </c>
      <c r="AG583" s="86" t="s">
        <v>2284</v>
      </c>
    </row>
    <row r="584" spans="1:33" hidden="1">
      <c r="A584" s="106">
        <f t="shared" si="30"/>
        <v>414</v>
      </c>
      <c r="B584" s="86" t="s">
        <v>1779</v>
      </c>
      <c r="C584" s="8">
        <v>16</v>
      </c>
      <c r="D584" s="1" t="s">
        <v>877</v>
      </c>
      <c r="E584"/>
      <c r="H584" s="86" t="s">
        <v>388</v>
      </c>
      <c r="I584" s="8">
        <f>K583</f>
        <v>540.30999999999995</v>
      </c>
      <c r="J584" s="2">
        <f>C23*0.04</f>
        <v>2.11</v>
      </c>
      <c r="K584" s="8">
        <f>(K583+C23*0.04)</f>
        <v>542.41999999999996</v>
      </c>
      <c r="O584" s="86" t="s">
        <v>1780</v>
      </c>
      <c r="AG584" s="86" t="s">
        <v>2284</v>
      </c>
    </row>
    <row r="585" spans="1:33" hidden="1">
      <c r="A585" s="106">
        <f t="shared" si="30"/>
        <v>415</v>
      </c>
      <c r="B585" s="86" t="s">
        <v>1781</v>
      </c>
      <c r="C585" s="8">
        <v>7</v>
      </c>
      <c r="D585" s="1" t="s">
        <v>1670</v>
      </c>
      <c r="E585"/>
      <c r="H585" s="86" t="s">
        <v>2257</v>
      </c>
      <c r="I585" s="8">
        <f>K584</f>
        <v>542.41999999999996</v>
      </c>
      <c r="J585" s="2">
        <f>C23*0.04</f>
        <v>2.11</v>
      </c>
      <c r="K585" s="8">
        <f>(K584+C24*0.04)</f>
        <v>544.53</v>
      </c>
      <c r="O585" s="89" t="s">
        <v>1609</v>
      </c>
      <c r="AG585" s="86" t="s">
        <v>2284</v>
      </c>
    </row>
    <row r="586" spans="1:33" hidden="1">
      <c r="A586" s="106">
        <f t="shared" si="30"/>
        <v>416</v>
      </c>
      <c r="B586" s="86" t="s">
        <v>2971</v>
      </c>
      <c r="C586" s="8">
        <v>19</v>
      </c>
      <c r="D586" s="1" t="s">
        <v>1670</v>
      </c>
      <c r="E586"/>
      <c r="H586" s="86" t="s">
        <v>380</v>
      </c>
      <c r="I586" s="8">
        <f>K585</f>
        <v>544.53</v>
      </c>
      <c r="J586" s="2">
        <f>C23*0.04</f>
        <v>2.11</v>
      </c>
      <c r="K586" s="8">
        <f>(K585+C24*0.04)</f>
        <v>546.64</v>
      </c>
      <c r="M586" s="91">
        <v>1.3</v>
      </c>
      <c r="N586" s="86" t="s">
        <v>878</v>
      </c>
      <c r="O586" s="86" t="s">
        <v>796</v>
      </c>
      <c r="P586" s="91">
        <f>(K88)</f>
        <v>52.93</v>
      </c>
      <c r="Q586" s="86" t="s">
        <v>878</v>
      </c>
      <c r="R586" s="91">
        <f>(M586*P586)</f>
        <v>68.81</v>
      </c>
      <c r="AG586" s="86" t="s">
        <v>2284</v>
      </c>
    </row>
    <row r="587" spans="1:33" hidden="1">
      <c r="A587" s="106"/>
      <c r="B587" s="86"/>
      <c r="C587" s="8"/>
      <c r="D587" s="1"/>
      <c r="E587"/>
      <c r="H587" s="86" t="s">
        <v>1384</v>
      </c>
      <c r="I587" s="8">
        <f>K586</f>
        <v>546.64</v>
      </c>
      <c r="J587" s="2">
        <f>C24*0.04</f>
        <v>2.11</v>
      </c>
      <c r="K587" s="8">
        <f>(K586+C25*0.04)</f>
        <v>547.47</v>
      </c>
      <c r="M587" s="91"/>
      <c r="N587" s="86"/>
      <c r="O587" s="86"/>
      <c r="P587" s="91"/>
      <c r="Q587" s="86"/>
      <c r="R587" s="91"/>
      <c r="AG587" s="86"/>
    </row>
    <row r="588" spans="1:33" hidden="1">
      <c r="A588" s="106">
        <f>(A586+1)</f>
        <v>417</v>
      </c>
      <c r="B588" s="86" t="s">
        <v>2972</v>
      </c>
      <c r="C588" s="8">
        <v>20</v>
      </c>
      <c r="D588" s="1" t="s">
        <v>1670</v>
      </c>
      <c r="E588"/>
      <c r="F588" s="123">
        <v>15.1</v>
      </c>
      <c r="G588" s="90" t="s">
        <v>1782</v>
      </c>
      <c r="H588" s="86" t="s">
        <v>1631</v>
      </c>
      <c r="I588"/>
      <c r="J588" s="4"/>
      <c r="K588"/>
      <c r="M588" s="111">
        <v>0.216</v>
      </c>
      <c r="N588" s="86" t="s">
        <v>878</v>
      </c>
      <c r="O588" s="86" t="s">
        <v>798</v>
      </c>
      <c r="P588" s="91" t="e">
        <f>(R60)</f>
        <v>#REF!</v>
      </c>
      <c r="Q588" s="86" t="s">
        <v>878</v>
      </c>
      <c r="R588" s="91" t="e">
        <f>(M588*P588)</f>
        <v>#REF!</v>
      </c>
      <c r="AG588" s="86" t="s">
        <v>2284</v>
      </c>
    </row>
    <row r="589" spans="1:33" hidden="1">
      <c r="A589" s="106">
        <f t="shared" si="30"/>
        <v>418</v>
      </c>
      <c r="B589" s="86" t="s">
        <v>1783</v>
      </c>
      <c r="C589" s="8">
        <v>7.5</v>
      </c>
      <c r="D589" s="1" t="s">
        <v>778</v>
      </c>
      <c r="E589"/>
      <c r="H589" s="86" t="s">
        <v>2306</v>
      </c>
      <c r="I589"/>
      <c r="J589" s="4"/>
      <c r="K589"/>
      <c r="M589" s="111">
        <v>0.60099999999999998</v>
      </c>
      <c r="N589" s="86" t="s">
        <v>878</v>
      </c>
      <c r="O589" s="86" t="s">
        <v>2001</v>
      </c>
      <c r="P589" s="91" t="e">
        <f>(R89)</f>
        <v>#REF!</v>
      </c>
      <c r="Q589" s="86" t="s">
        <v>878</v>
      </c>
      <c r="R589" s="91" t="e">
        <f>(M589*P589)</f>
        <v>#REF!</v>
      </c>
      <c r="AG589" s="86" t="s">
        <v>2284</v>
      </c>
    </row>
    <row r="590" spans="1:33" hidden="1">
      <c r="A590" s="106">
        <f t="shared" si="30"/>
        <v>419</v>
      </c>
      <c r="B590" s="86" t="s">
        <v>790</v>
      </c>
      <c r="C590" s="8">
        <v>16</v>
      </c>
      <c r="D590" s="1" t="s">
        <v>778</v>
      </c>
      <c r="E590" t="s">
        <v>1582</v>
      </c>
      <c r="F590" s="91">
        <v>10</v>
      </c>
      <c r="G590" s="90" t="s">
        <v>2308</v>
      </c>
      <c r="H590" s="86" t="s">
        <v>562</v>
      </c>
      <c r="I590" s="8">
        <f>C721</f>
        <v>227</v>
      </c>
      <c r="J590" s="2" t="s">
        <v>2308</v>
      </c>
      <c r="K590" s="8">
        <f>(F590*I590)</f>
        <v>2270</v>
      </c>
      <c r="M590" s="111">
        <v>6.35</v>
      </c>
      <c r="N590" s="86" t="s">
        <v>615</v>
      </c>
      <c r="O590" s="86" t="s">
        <v>2002</v>
      </c>
      <c r="P590" s="91" t="e">
        <f>(R303)</f>
        <v>#REF!</v>
      </c>
      <c r="Q590" s="86" t="s">
        <v>615</v>
      </c>
      <c r="R590" s="91" t="e">
        <f>(M590*P590)</f>
        <v>#REF!</v>
      </c>
      <c r="AG590" s="86" t="s">
        <v>2284</v>
      </c>
    </row>
    <row r="591" spans="1:33" hidden="1">
      <c r="A591" s="106">
        <f t="shared" si="30"/>
        <v>420</v>
      </c>
      <c r="B591" s="86" t="s">
        <v>791</v>
      </c>
      <c r="C591" s="8">
        <v>1700</v>
      </c>
      <c r="D591" s="1" t="s">
        <v>792</v>
      </c>
      <c r="E591">
        <v>2000</v>
      </c>
      <c r="F591" s="91">
        <v>0.12</v>
      </c>
      <c r="G591" s="90" t="s">
        <v>878</v>
      </c>
      <c r="H591" s="86" t="s">
        <v>793</v>
      </c>
      <c r="I591" s="8" t="e">
        <f>K32</f>
        <v>#REF!</v>
      </c>
      <c r="J591" s="2" t="s">
        <v>878</v>
      </c>
      <c r="K591" s="8" t="e">
        <f>(F591*I591)</f>
        <v>#REF!</v>
      </c>
      <c r="M591" s="111">
        <v>3.2000000000000001E-2</v>
      </c>
      <c r="N591" s="86" t="s">
        <v>878</v>
      </c>
      <c r="O591" s="86" t="s">
        <v>788</v>
      </c>
      <c r="P591" s="91" t="e">
        <f>(K614)</f>
        <v>#REF!</v>
      </c>
      <c r="Q591" s="86" t="s">
        <v>878</v>
      </c>
      <c r="R591" s="91" t="e">
        <f>(M591*P591)</f>
        <v>#REF!</v>
      </c>
      <c r="AG591" s="86" t="s">
        <v>2284</v>
      </c>
    </row>
    <row r="592" spans="1:33" hidden="1">
      <c r="A592" s="106">
        <f t="shared" si="30"/>
        <v>421</v>
      </c>
      <c r="B592" s="86" t="s">
        <v>794</v>
      </c>
      <c r="C592" s="8">
        <v>805</v>
      </c>
      <c r="D592" s="1" t="s">
        <v>792</v>
      </c>
      <c r="E592"/>
      <c r="F592" s="91">
        <v>1</v>
      </c>
      <c r="G592" s="90" t="s">
        <v>564</v>
      </c>
      <c r="H592" s="86" t="s">
        <v>565</v>
      </c>
      <c r="I592" s="8">
        <f>C10</f>
        <v>150</v>
      </c>
      <c r="J592" s="2" t="s">
        <v>1418</v>
      </c>
      <c r="K592" s="8">
        <f>(F592*I592)</f>
        <v>150</v>
      </c>
      <c r="O592" s="86" t="s">
        <v>288</v>
      </c>
      <c r="R592" s="86" t="s">
        <v>987</v>
      </c>
      <c r="AG592" s="86" t="s">
        <v>2284</v>
      </c>
    </row>
    <row r="593" spans="1:33" hidden="1">
      <c r="A593" s="106">
        <f t="shared" si="30"/>
        <v>422</v>
      </c>
      <c r="B593" s="86" t="s">
        <v>2090</v>
      </c>
      <c r="C593" s="8">
        <f>204+53</f>
        <v>257</v>
      </c>
      <c r="D593" s="1" t="s">
        <v>792</v>
      </c>
      <c r="E593"/>
      <c r="F593" s="91">
        <v>1</v>
      </c>
      <c r="G593" s="90" t="s">
        <v>564</v>
      </c>
      <c r="H593" s="86" t="s">
        <v>832</v>
      </c>
      <c r="I593" s="8">
        <f>C12</f>
        <v>95</v>
      </c>
      <c r="J593" s="2" t="s">
        <v>1418</v>
      </c>
      <c r="K593" s="8">
        <f>(F593*I593)</f>
        <v>95</v>
      </c>
      <c r="N593" s="86" t="s">
        <v>450</v>
      </c>
      <c r="O593" s="86" t="s">
        <v>340</v>
      </c>
      <c r="Q593" s="86" t="s">
        <v>450</v>
      </c>
      <c r="R593" s="91">
        <v>2.1</v>
      </c>
      <c r="AG593" s="86" t="s">
        <v>2284</v>
      </c>
    </row>
    <row r="594" spans="1:33" hidden="1">
      <c r="A594" s="106">
        <f t="shared" si="30"/>
        <v>423</v>
      </c>
      <c r="B594" s="86" t="s">
        <v>2973</v>
      </c>
      <c r="C594" s="8">
        <v>53</v>
      </c>
      <c r="D594" s="1" t="s">
        <v>778</v>
      </c>
      <c r="E594"/>
      <c r="G594" s="90" t="s">
        <v>450</v>
      </c>
      <c r="H594" s="86" t="s">
        <v>61</v>
      </c>
      <c r="I594"/>
      <c r="J594" s="2" t="s">
        <v>450</v>
      </c>
      <c r="K594" s="8">
        <v>0.33</v>
      </c>
      <c r="R594" s="89" t="s">
        <v>1609</v>
      </c>
      <c r="AG594" s="86" t="s">
        <v>2284</v>
      </c>
    </row>
    <row r="595" spans="1:33" hidden="1">
      <c r="A595" s="106">
        <f t="shared" si="30"/>
        <v>424</v>
      </c>
      <c r="B595" s="86" t="s">
        <v>307</v>
      </c>
      <c r="C595" s="8">
        <v>1050</v>
      </c>
      <c r="D595" s="1" t="s">
        <v>778</v>
      </c>
      <c r="E595"/>
      <c r="H595" s="86" t="s">
        <v>941</v>
      </c>
      <c r="I595"/>
      <c r="J595" s="4"/>
      <c r="K595" s="5" t="s">
        <v>1609</v>
      </c>
      <c r="O595" s="86" t="s">
        <v>1776</v>
      </c>
      <c r="R595" s="91" t="e">
        <f>SUM(R586:R593)</f>
        <v>#REF!</v>
      </c>
      <c r="AG595" s="86" t="s">
        <v>2284</v>
      </c>
    </row>
    <row r="596" spans="1:33" hidden="1">
      <c r="A596" s="106">
        <f t="shared" si="30"/>
        <v>425</v>
      </c>
      <c r="B596" s="86" t="s">
        <v>406</v>
      </c>
      <c r="C596" s="8">
        <v>196</v>
      </c>
      <c r="D596" s="1" t="s">
        <v>778</v>
      </c>
      <c r="E596"/>
      <c r="H596" s="102" t="s">
        <v>407</v>
      </c>
      <c r="I596"/>
      <c r="J596" s="4"/>
      <c r="K596" s="8" t="e">
        <f>SUM(K590:K594)</f>
        <v>#REF!</v>
      </c>
      <c r="R596" s="89" t="s">
        <v>1609</v>
      </c>
      <c r="AG596" s="86" t="s">
        <v>2284</v>
      </c>
    </row>
    <row r="597" spans="1:33" hidden="1">
      <c r="A597" s="106">
        <f t="shared" si="30"/>
        <v>426</v>
      </c>
      <c r="B597" s="86" t="s">
        <v>408</v>
      </c>
      <c r="C597" s="8">
        <v>206.9</v>
      </c>
      <c r="D597" s="1" t="s">
        <v>778</v>
      </c>
      <c r="E597"/>
      <c r="I597"/>
      <c r="J597" s="4"/>
      <c r="K597" s="5" t="s">
        <v>1609</v>
      </c>
      <c r="N597" s="86" t="s">
        <v>2276</v>
      </c>
      <c r="O597" s="86" t="s">
        <v>409</v>
      </c>
      <c r="AG597" s="86" t="s">
        <v>2284</v>
      </c>
    </row>
    <row r="598" spans="1:33" hidden="1">
      <c r="A598" s="106">
        <f t="shared" si="30"/>
        <v>427</v>
      </c>
      <c r="B598" s="86" t="s">
        <v>410</v>
      </c>
      <c r="C598" s="8">
        <v>120</v>
      </c>
      <c r="D598" s="1" t="s">
        <v>1796</v>
      </c>
      <c r="E598"/>
      <c r="H598" s="102" t="s">
        <v>411</v>
      </c>
      <c r="I598"/>
      <c r="J598" s="4"/>
      <c r="K598" s="8" t="e">
        <f>K596/10</f>
        <v>#REF!</v>
      </c>
      <c r="O598" s="86" t="s">
        <v>412</v>
      </c>
      <c r="AG598" s="86" t="s">
        <v>2284</v>
      </c>
    </row>
    <row r="599" spans="1:33" hidden="1">
      <c r="A599" s="106">
        <f t="shared" si="30"/>
        <v>428</v>
      </c>
      <c r="B599" s="86" t="s">
        <v>413</v>
      </c>
      <c r="C599" s="8">
        <v>80</v>
      </c>
      <c r="D599" s="1" t="s">
        <v>1796</v>
      </c>
      <c r="E599"/>
      <c r="H599" s="86" t="s">
        <v>386</v>
      </c>
      <c r="I599"/>
      <c r="J599" s="4"/>
      <c r="K599" s="8" t="e">
        <f>(K598+C22*0.02)</f>
        <v>#REF!</v>
      </c>
      <c r="O599" s="89" t="s">
        <v>1609</v>
      </c>
      <c r="AG599" s="86" t="s">
        <v>2284</v>
      </c>
    </row>
    <row r="600" spans="1:33" hidden="1">
      <c r="A600" s="106">
        <f t="shared" si="30"/>
        <v>429</v>
      </c>
      <c r="B600" s="86" t="s">
        <v>414</v>
      </c>
      <c r="C600"/>
      <c r="D600" s="1" t="s">
        <v>1796</v>
      </c>
      <c r="E600"/>
      <c r="H600" s="86" t="s">
        <v>388</v>
      </c>
      <c r="I600"/>
      <c r="J600" s="4"/>
      <c r="K600" s="8" t="e">
        <f>(K599+C24*0.02)</f>
        <v>#REF!</v>
      </c>
      <c r="M600" s="91">
        <v>10.37</v>
      </c>
      <c r="N600" s="86" t="s">
        <v>878</v>
      </c>
      <c r="O600" s="86" t="s">
        <v>415</v>
      </c>
      <c r="P600" s="91">
        <f>(C61*2)</f>
        <v>50</v>
      </c>
      <c r="Q600" s="86" t="s">
        <v>878</v>
      </c>
      <c r="R600" s="91">
        <f t="shared" ref="R600:R608" si="31">(M600*P600)</f>
        <v>518.5</v>
      </c>
      <c r="AG600" s="86" t="s">
        <v>2284</v>
      </c>
    </row>
    <row r="601" spans="1:33" hidden="1">
      <c r="A601" s="106">
        <f t="shared" si="30"/>
        <v>430</v>
      </c>
      <c r="B601" s="86" t="s">
        <v>2088</v>
      </c>
      <c r="C601" s="8">
        <v>65</v>
      </c>
      <c r="D601" s="1" t="s">
        <v>877</v>
      </c>
      <c r="E601"/>
      <c r="H601" s="86" t="s">
        <v>2257</v>
      </c>
      <c r="I601"/>
      <c r="J601" s="4"/>
      <c r="K601" s="8" t="e">
        <f>(K600+C24*0.02)</f>
        <v>#REF!</v>
      </c>
      <c r="M601" s="91">
        <v>0.65</v>
      </c>
      <c r="N601" s="86" t="s">
        <v>878</v>
      </c>
      <c r="O601" s="86" t="s">
        <v>2089</v>
      </c>
      <c r="P601" s="91" t="e">
        <f>R60</f>
        <v>#REF!</v>
      </c>
      <c r="Q601" s="86" t="s">
        <v>878</v>
      </c>
      <c r="R601" s="91" t="e">
        <f t="shared" si="31"/>
        <v>#REF!</v>
      </c>
      <c r="AG601" s="86" t="s">
        <v>2284</v>
      </c>
    </row>
    <row r="602" spans="1:33" hidden="1">
      <c r="A602" s="106">
        <f t="shared" si="30"/>
        <v>431</v>
      </c>
      <c r="B602" s="86" t="s">
        <v>1807</v>
      </c>
      <c r="C602" s="8">
        <v>40</v>
      </c>
      <c r="D602" s="1" t="s">
        <v>877</v>
      </c>
      <c r="E602"/>
      <c r="H602" s="86" t="s">
        <v>380</v>
      </c>
      <c r="I602"/>
      <c r="J602" s="4"/>
      <c r="K602" s="8" t="e">
        <f>(K601+C24*0.02)</f>
        <v>#REF!</v>
      </c>
      <c r="M602" s="91">
        <v>1.1399999999999999</v>
      </c>
      <c r="N602" s="86" t="s">
        <v>878</v>
      </c>
      <c r="O602" s="86" t="s">
        <v>327</v>
      </c>
      <c r="P602" s="91" t="e">
        <f>K320</f>
        <v>#REF!</v>
      </c>
      <c r="Q602" s="86" t="s">
        <v>878</v>
      </c>
      <c r="R602" s="91" t="e">
        <f t="shared" si="31"/>
        <v>#REF!</v>
      </c>
      <c r="AG602" s="86" t="s">
        <v>2284</v>
      </c>
    </row>
    <row r="603" spans="1:33" hidden="1">
      <c r="A603" s="106">
        <f t="shared" si="30"/>
        <v>432</v>
      </c>
      <c r="B603" s="86" t="s">
        <v>328</v>
      </c>
      <c r="C603"/>
      <c r="D603" s="1" t="s">
        <v>877</v>
      </c>
      <c r="E603"/>
      <c r="H603" s="86" t="s">
        <v>1384</v>
      </c>
      <c r="I603"/>
      <c r="J603" s="4"/>
      <c r="K603" s="8" t="e">
        <f>(K602+C25*0.02)</f>
        <v>#REF!</v>
      </c>
      <c r="M603" s="91">
        <v>0.85</v>
      </c>
      <c r="N603" s="86" t="s">
        <v>878</v>
      </c>
      <c r="O603" s="86" t="s">
        <v>1633</v>
      </c>
      <c r="P603" s="91" t="e">
        <f>K320-K311/10</f>
        <v>#REF!</v>
      </c>
      <c r="Q603" s="86" t="s">
        <v>878</v>
      </c>
      <c r="R603" s="91" t="e">
        <f t="shared" si="31"/>
        <v>#REF!</v>
      </c>
      <c r="AG603" s="86" t="s">
        <v>2284</v>
      </c>
    </row>
    <row r="604" spans="1:33" hidden="1">
      <c r="A604" s="106">
        <f t="shared" si="30"/>
        <v>433</v>
      </c>
      <c r="B604" s="86" t="s">
        <v>1634</v>
      </c>
      <c r="C604" s="8">
        <v>45</v>
      </c>
      <c r="D604" s="1" t="s">
        <v>877</v>
      </c>
      <c r="E604"/>
      <c r="F604" s="102" t="s">
        <v>1635</v>
      </c>
      <c r="G604" s="90" t="s">
        <v>2276</v>
      </c>
      <c r="H604" s="86" t="s">
        <v>891</v>
      </c>
      <c r="I604"/>
      <c r="J604" s="4"/>
      <c r="K604"/>
      <c r="M604" s="91">
        <v>0.98</v>
      </c>
      <c r="N604" s="86" t="s">
        <v>878</v>
      </c>
      <c r="O604" s="86" t="s">
        <v>2243</v>
      </c>
      <c r="P604" s="91" t="e">
        <f>(C73)</f>
        <v>#REF!</v>
      </c>
      <c r="Q604" s="86" t="s">
        <v>878</v>
      </c>
      <c r="R604" s="91" t="e">
        <f t="shared" si="31"/>
        <v>#REF!</v>
      </c>
      <c r="AG604" s="86" t="s">
        <v>2284</v>
      </c>
    </row>
    <row r="605" spans="1:33" hidden="1">
      <c r="A605" s="106">
        <f t="shared" si="30"/>
        <v>434</v>
      </c>
      <c r="B605" s="86" t="s">
        <v>1112</v>
      </c>
      <c r="C605" s="8">
        <v>36.520000000000003</v>
      </c>
      <c r="D605" s="1" t="s">
        <v>877</v>
      </c>
      <c r="E605"/>
      <c r="H605" s="86" t="s">
        <v>1113</v>
      </c>
      <c r="I605"/>
      <c r="J605" s="4"/>
      <c r="K605"/>
      <c r="M605" s="91">
        <v>2.68</v>
      </c>
      <c r="N605" s="86" t="s">
        <v>878</v>
      </c>
      <c r="O605" s="86" t="s">
        <v>1050</v>
      </c>
      <c r="P605" s="91" t="e">
        <f>(C79)</f>
        <v>#REF!</v>
      </c>
      <c r="Q605" s="86" t="s">
        <v>878</v>
      </c>
      <c r="R605" s="91" t="e">
        <f t="shared" si="31"/>
        <v>#REF!</v>
      </c>
      <c r="AG605" s="86" t="s">
        <v>2284</v>
      </c>
    </row>
    <row r="606" spans="1:33" hidden="1">
      <c r="A606" s="106">
        <f t="shared" si="30"/>
        <v>435</v>
      </c>
      <c r="B606" s="86" t="s">
        <v>1636</v>
      </c>
      <c r="C606"/>
      <c r="D606" s="1" t="s">
        <v>877</v>
      </c>
      <c r="E606"/>
      <c r="H606" s="86" t="s">
        <v>1637</v>
      </c>
      <c r="I606"/>
      <c r="J606" s="4"/>
      <c r="K606"/>
      <c r="M606" s="91">
        <v>7.24</v>
      </c>
      <c r="N606" s="86" t="s">
        <v>615</v>
      </c>
      <c r="O606" s="86" t="s">
        <v>1638</v>
      </c>
      <c r="P606" s="91" t="e">
        <f>(K1332)</f>
        <v>#REF!</v>
      </c>
      <c r="Q606" s="86" t="s">
        <v>615</v>
      </c>
      <c r="R606" s="91" t="e">
        <f t="shared" si="31"/>
        <v>#REF!</v>
      </c>
      <c r="AG606" s="86" t="s">
        <v>2284</v>
      </c>
    </row>
    <row r="607" spans="1:33" hidden="1">
      <c r="A607" s="106">
        <f t="shared" si="30"/>
        <v>436</v>
      </c>
      <c r="B607" s="86" t="s">
        <v>1497</v>
      </c>
      <c r="C607" s="8">
        <v>73.48</v>
      </c>
      <c r="D607" s="8">
        <v>93.72</v>
      </c>
      <c r="E607"/>
      <c r="H607" s="89" t="s">
        <v>1609</v>
      </c>
      <c r="I607"/>
      <c r="J607" s="4"/>
      <c r="K607"/>
      <c r="M607" s="91">
        <v>1</v>
      </c>
      <c r="N607" s="86" t="s">
        <v>877</v>
      </c>
      <c r="O607" s="86" t="s">
        <v>1498</v>
      </c>
      <c r="P607" s="91">
        <f>(C202)</f>
        <v>75</v>
      </c>
      <c r="Q607" s="86" t="s">
        <v>877</v>
      </c>
      <c r="R607" s="91">
        <f t="shared" si="31"/>
        <v>75</v>
      </c>
      <c r="AG607" s="86" t="s">
        <v>2284</v>
      </c>
    </row>
    <row r="608" spans="1:33" hidden="1">
      <c r="A608" s="106">
        <f t="shared" si="30"/>
        <v>437</v>
      </c>
      <c r="B608" s="86" t="s">
        <v>1499</v>
      </c>
      <c r="C608" s="8">
        <v>43.12</v>
      </c>
      <c r="D608" s="1" t="s">
        <v>877</v>
      </c>
      <c r="E608"/>
      <c r="F608" s="91">
        <v>0.01</v>
      </c>
      <c r="G608" s="90" t="s">
        <v>878</v>
      </c>
      <c r="H608" s="86" t="s">
        <v>1500</v>
      </c>
      <c r="I608" s="8" t="e">
        <f>(K279)</f>
        <v>#REF!</v>
      </c>
      <c r="J608" s="2" t="s">
        <v>878</v>
      </c>
      <c r="K608" s="8" t="e">
        <f>(F608*I608)</f>
        <v>#REF!</v>
      </c>
      <c r="M608" s="111">
        <v>0.13600000000000001</v>
      </c>
      <c r="N608" s="86" t="s">
        <v>878</v>
      </c>
      <c r="O608" s="86" t="s">
        <v>995</v>
      </c>
      <c r="P608" s="91" t="e">
        <f>(K614)</f>
        <v>#REF!</v>
      </c>
      <c r="Q608" s="86" t="s">
        <v>878</v>
      </c>
      <c r="R608" s="91" t="e">
        <f t="shared" si="31"/>
        <v>#REF!</v>
      </c>
      <c r="AG608" s="86" t="s">
        <v>2284</v>
      </c>
    </row>
    <row r="609" spans="1:33" hidden="1">
      <c r="A609" s="106">
        <f t="shared" si="30"/>
        <v>438</v>
      </c>
      <c r="B609" s="86" t="s">
        <v>996</v>
      </c>
      <c r="C609"/>
      <c r="D609" s="1" t="s">
        <v>877</v>
      </c>
      <c r="E609"/>
      <c r="F609" s="91">
        <v>0.01</v>
      </c>
      <c r="G609" s="90" t="s">
        <v>878</v>
      </c>
      <c r="H609" s="86" t="s">
        <v>997</v>
      </c>
      <c r="I609"/>
      <c r="J609" s="2" t="s">
        <v>450</v>
      </c>
      <c r="K609" s="8">
        <v>1.1499999999999999</v>
      </c>
      <c r="O609" s="86" t="s">
        <v>130</v>
      </c>
      <c r="AG609" s="86" t="s">
        <v>2284</v>
      </c>
    </row>
    <row r="610" spans="1:33" hidden="1">
      <c r="A610" s="106">
        <f t="shared" si="30"/>
        <v>439</v>
      </c>
      <c r="B610" s="86" t="s">
        <v>131</v>
      </c>
      <c r="C610" s="8">
        <v>121.88</v>
      </c>
      <c r="D610" s="1" t="s">
        <v>877</v>
      </c>
      <c r="E610"/>
      <c r="H610" s="86" t="s">
        <v>132</v>
      </c>
      <c r="I610"/>
      <c r="J610" s="4"/>
      <c r="K610"/>
      <c r="N610" s="86" t="s">
        <v>450</v>
      </c>
      <c r="O610" s="86" t="s">
        <v>340</v>
      </c>
      <c r="Q610" s="86" t="s">
        <v>450</v>
      </c>
      <c r="R610" s="91">
        <v>1.5</v>
      </c>
      <c r="AG610" s="86" t="s">
        <v>2284</v>
      </c>
    </row>
    <row r="611" spans="1:33" hidden="1">
      <c r="A611" s="106">
        <f t="shared" si="30"/>
        <v>440</v>
      </c>
      <c r="B611" s="86" t="s">
        <v>1506</v>
      </c>
      <c r="C611" s="8">
        <v>66</v>
      </c>
      <c r="D611" s="1" t="s">
        <v>877</v>
      </c>
      <c r="E611"/>
      <c r="I611"/>
      <c r="J611" s="4"/>
      <c r="K611" s="5" t="s">
        <v>1609</v>
      </c>
      <c r="R611" s="89" t="s">
        <v>1609</v>
      </c>
      <c r="AG611" s="86" t="s">
        <v>2284</v>
      </c>
    </row>
    <row r="612" spans="1:33" hidden="1">
      <c r="A612" s="106">
        <f t="shared" si="30"/>
        <v>441</v>
      </c>
      <c r="B612" s="86" t="s">
        <v>1507</v>
      </c>
      <c r="C612"/>
      <c r="D612" s="1" t="s">
        <v>877</v>
      </c>
      <c r="E612"/>
      <c r="H612" s="86" t="s">
        <v>1508</v>
      </c>
      <c r="I612"/>
      <c r="J612" s="4"/>
      <c r="K612" s="8" t="e">
        <f>SUM(K608:K610)</f>
        <v>#REF!</v>
      </c>
      <c r="O612" s="86" t="s">
        <v>1776</v>
      </c>
      <c r="R612" s="91" t="e">
        <f>SUM(R600:R610)</f>
        <v>#REF!</v>
      </c>
      <c r="AG612" s="86" t="s">
        <v>322</v>
      </c>
    </row>
    <row r="613" spans="1:33" hidden="1">
      <c r="A613" s="106">
        <f t="shared" si="30"/>
        <v>442</v>
      </c>
      <c r="B613" s="86" t="s">
        <v>434</v>
      </c>
      <c r="C613" s="8">
        <v>149.16</v>
      </c>
      <c r="D613" s="1" t="s">
        <v>877</v>
      </c>
      <c r="E613"/>
      <c r="I613"/>
      <c r="J613" s="4"/>
      <c r="K613" s="5" t="s">
        <v>1609</v>
      </c>
      <c r="R613" s="89" t="s">
        <v>1609</v>
      </c>
    </row>
    <row r="614" spans="1:33" hidden="1">
      <c r="A614" s="106">
        <f t="shared" si="30"/>
        <v>443</v>
      </c>
      <c r="B614" s="86" t="s">
        <v>435</v>
      </c>
      <c r="C614" s="8">
        <v>84.92</v>
      </c>
      <c r="D614" s="1" t="s">
        <v>877</v>
      </c>
      <c r="E614"/>
      <c r="H614" s="86" t="s">
        <v>782</v>
      </c>
      <c r="I614"/>
      <c r="J614" s="4"/>
      <c r="K614" s="8" t="e">
        <f>ROUND(K612*100,0)</f>
        <v>#REF!</v>
      </c>
      <c r="N614" s="86" t="s">
        <v>2276</v>
      </c>
      <c r="O614" s="86" t="s">
        <v>436</v>
      </c>
    </row>
    <row r="615" spans="1:33" hidden="1">
      <c r="C615"/>
      <c r="D615"/>
      <c r="E615"/>
      <c r="F615" s="86" t="s">
        <v>987</v>
      </c>
      <c r="I615"/>
      <c r="J615" s="4"/>
      <c r="K615"/>
    </row>
    <row r="616" spans="1:33" hidden="1">
      <c r="A616" s="106">
        <f>(A614+1)</f>
        <v>444</v>
      </c>
      <c r="B616" s="86" t="s">
        <v>1117</v>
      </c>
      <c r="C616"/>
      <c r="D616" s="1" t="s">
        <v>877</v>
      </c>
      <c r="E616"/>
      <c r="I616"/>
      <c r="J616" s="4"/>
      <c r="K616" s="5" t="s">
        <v>2080</v>
      </c>
      <c r="O616" s="86" t="s">
        <v>1118</v>
      </c>
      <c r="AG616" s="86" t="s">
        <v>2284</v>
      </c>
    </row>
    <row r="617" spans="1:33" hidden="1">
      <c r="A617" s="106">
        <f t="shared" ref="A617:A648" si="32">(A616+1)</f>
        <v>445</v>
      </c>
      <c r="B617" s="86" t="s">
        <v>1003</v>
      </c>
      <c r="C617" s="8">
        <v>195.36</v>
      </c>
      <c r="D617" s="1" t="s">
        <v>877</v>
      </c>
      <c r="E617"/>
      <c r="G617" s="90" t="s">
        <v>681</v>
      </c>
      <c r="H617" s="86" t="s">
        <v>1004</v>
      </c>
      <c r="I617"/>
      <c r="J617" s="4"/>
      <c r="K617"/>
      <c r="O617" s="89" t="s">
        <v>1609</v>
      </c>
      <c r="AG617" s="86" t="s">
        <v>2284</v>
      </c>
    </row>
    <row r="618" spans="1:33" hidden="1">
      <c r="A618" s="106">
        <f t="shared" si="32"/>
        <v>446</v>
      </c>
      <c r="B618" s="86" t="s">
        <v>1677</v>
      </c>
      <c r="C618" s="8">
        <v>137.28</v>
      </c>
      <c r="D618" s="1" t="s">
        <v>877</v>
      </c>
      <c r="E618"/>
      <c r="H618" s="86" t="s">
        <v>1678</v>
      </c>
      <c r="I618"/>
      <c r="J618" s="4"/>
      <c r="K618"/>
      <c r="M618" s="91">
        <v>3</v>
      </c>
      <c r="N618" s="86" t="s">
        <v>878</v>
      </c>
      <c r="O618" s="86" t="s">
        <v>1679</v>
      </c>
      <c r="P618" s="91">
        <f>(C61*2)</f>
        <v>50</v>
      </c>
      <c r="Q618" s="86" t="s">
        <v>878</v>
      </c>
      <c r="R618" s="91">
        <f>(M618*P618)</f>
        <v>150</v>
      </c>
      <c r="AG618" s="86" t="s">
        <v>2284</v>
      </c>
    </row>
    <row r="619" spans="1:33" hidden="1">
      <c r="A619" s="106">
        <f t="shared" si="32"/>
        <v>447</v>
      </c>
      <c r="B619" s="86" t="s">
        <v>628</v>
      </c>
      <c r="C619"/>
      <c r="D619" s="1" t="s">
        <v>877</v>
      </c>
      <c r="E619"/>
      <c r="H619" s="89" t="s">
        <v>1609</v>
      </c>
      <c r="I619"/>
      <c r="J619" s="4"/>
      <c r="K619"/>
      <c r="M619" s="91">
        <v>2.4</v>
      </c>
      <c r="N619" s="86" t="s">
        <v>878</v>
      </c>
      <c r="O619" s="86" t="s">
        <v>1658</v>
      </c>
      <c r="P619" s="91" t="e">
        <f>(C81)</f>
        <v>#REF!</v>
      </c>
      <c r="Q619" s="86" t="s">
        <v>878</v>
      </c>
      <c r="R619" s="91" t="e">
        <f>(M619*P619)</f>
        <v>#REF!</v>
      </c>
      <c r="AG619" s="86" t="s">
        <v>2284</v>
      </c>
    </row>
    <row r="620" spans="1:33" hidden="1">
      <c r="A620" s="106">
        <f t="shared" si="32"/>
        <v>448</v>
      </c>
      <c r="B620" s="86" t="s">
        <v>1458</v>
      </c>
      <c r="C620" s="8">
        <v>97.68</v>
      </c>
      <c r="D620" s="1" t="s">
        <v>877</v>
      </c>
      <c r="E620"/>
      <c r="F620" s="111">
        <v>1.4E-2</v>
      </c>
      <c r="G620" s="90" t="s">
        <v>878</v>
      </c>
      <c r="H620" s="86" t="s">
        <v>1345</v>
      </c>
      <c r="I620" s="8" t="e">
        <f>(K614)</f>
        <v>#REF!</v>
      </c>
      <c r="J620" s="2" t="s">
        <v>878</v>
      </c>
      <c r="K620" s="8" t="e">
        <f>(F620*I620)</f>
        <v>#REF!</v>
      </c>
      <c r="M620" s="91">
        <v>5</v>
      </c>
      <c r="N620" s="86" t="s">
        <v>877</v>
      </c>
      <c r="O620" s="86" t="s">
        <v>613</v>
      </c>
      <c r="P620" s="91">
        <f>(C203)</f>
        <v>40</v>
      </c>
      <c r="Q620" s="86" t="s">
        <v>877</v>
      </c>
      <c r="R620" s="91">
        <f>(M620*P620)</f>
        <v>200</v>
      </c>
      <c r="AG620" s="86" t="s">
        <v>2284</v>
      </c>
    </row>
    <row r="621" spans="1:33" hidden="1">
      <c r="A621" s="106">
        <f t="shared" si="32"/>
        <v>449</v>
      </c>
      <c r="B621" s="86" t="s">
        <v>1798</v>
      </c>
      <c r="C621" s="8">
        <v>54.12</v>
      </c>
      <c r="D621" s="1" t="s">
        <v>877</v>
      </c>
      <c r="E621"/>
      <c r="F621" s="111"/>
      <c r="H621" s="86" t="s">
        <v>1799</v>
      </c>
      <c r="I621"/>
      <c r="J621" s="4"/>
      <c r="K621" s="1" t="s">
        <v>987</v>
      </c>
      <c r="O621" s="86" t="s">
        <v>451</v>
      </c>
      <c r="Q621" s="86" t="s">
        <v>450</v>
      </c>
      <c r="R621" s="91">
        <v>0.08</v>
      </c>
      <c r="AG621" s="86" t="s">
        <v>2284</v>
      </c>
    </row>
    <row r="622" spans="1:33" hidden="1">
      <c r="A622" s="106">
        <f t="shared" si="32"/>
        <v>450</v>
      </c>
      <c r="B622" s="86" t="s">
        <v>1800</v>
      </c>
      <c r="C622"/>
      <c r="D622" s="1" t="s">
        <v>877</v>
      </c>
      <c r="E622"/>
      <c r="F622" s="91">
        <v>0.5</v>
      </c>
      <c r="G622" s="90" t="s">
        <v>778</v>
      </c>
      <c r="H622" s="86" t="s">
        <v>2034</v>
      </c>
      <c r="I622" s="8">
        <f>(C10)</f>
        <v>150</v>
      </c>
      <c r="J622" s="2" t="s">
        <v>778</v>
      </c>
      <c r="K622" s="8">
        <f>(F622*I622)</f>
        <v>75</v>
      </c>
      <c r="R622" s="89" t="s">
        <v>1609</v>
      </c>
      <c r="S622" s="86" t="s">
        <v>987</v>
      </c>
      <c r="AG622" s="86" t="s">
        <v>2284</v>
      </c>
    </row>
    <row r="623" spans="1:33" hidden="1">
      <c r="A623" s="106">
        <f t="shared" si="32"/>
        <v>451</v>
      </c>
      <c r="B623" s="86" t="s">
        <v>1659</v>
      </c>
      <c r="C623" s="8">
        <v>110</v>
      </c>
      <c r="D623" s="1" t="s">
        <v>877</v>
      </c>
      <c r="E623"/>
      <c r="F623" s="91">
        <v>0.75</v>
      </c>
      <c r="G623" s="90" t="s">
        <v>778</v>
      </c>
      <c r="H623" s="86" t="s">
        <v>1927</v>
      </c>
      <c r="I623" s="8">
        <f>(C12)</f>
        <v>95</v>
      </c>
      <c r="J623" s="2" t="s">
        <v>778</v>
      </c>
      <c r="K623" s="8">
        <f>(F623*I623)</f>
        <v>71.25</v>
      </c>
      <c r="O623" s="86" t="s">
        <v>1776</v>
      </c>
      <c r="R623" s="91" t="e">
        <f>SUM(R618:R621)</f>
        <v>#REF!</v>
      </c>
      <c r="AG623" s="86" t="s">
        <v>2284</v>
      </c>
    </row>
    <row r="624" spans="1:33" hidden="1">
      <c r="A624" s="106">
        <f t="shared" si="32"/>
        <v>452</v>
      </c>
      <c r="B624" s="86" t="s">
        <v>1660</v>
      </c>
      <c r="C624" s="8">
        <v>70</v>
      </c>
      <c r="D624" s="1" t="s">
        <v>877</v>
      </c>
      <c r="E624"/>
      <c r="G624" s="90" t="s">
        <v>450</v>
      </c>
      <c r="H624" s="86" t="s">
        <v>451</v>
      </c>
      <c r="I624"/>
      <c r="J624" s="2" t="s">
        <v>450</v>
      </c>
      <c r="K624" s="8">
        <v>0</v>
      </c>
      <c r="R624" s="89" t="s">
        <v>1609</v>
      </c>
      <c r="AG624" s="86" t="s">
        <v>2284</v>
      </c>
    </row>
    <row r="625" spans="1:33" hidden="1">
      <c r="A625" s="106">
        <f t="shared" si="32"/>
        <v>453</v>
      </c>
      <c r="B625" s="86" t="s">
        <v>1661</v>
      </c>
      <c r="C625"/>
      <c r="D625" s="1" t="s">
        <v>877</v>
      </c>
      <c r="E625"/>
      <c r="I625"/>
      <c r="J625" s="4"/>
      <c r="K625" s="5" t="s">
        <v>1609</v>
      </c>
      <c r="AG625" s="86" t="s">
        <v>2284</v>
      </c>
    </row>
    <row r="626" spans="1:33" hidden="1">
      <c r="A626" s="106">
        <f t="shared" si="32"/>
        <v>454</v>
      </c>
      <c r="B626" s="86" t="s">
        <v>103</v>
      </c>
      <c r="C626" s="8">
        <v>12</v>
      </c>
      <c r="D626" s="1" t="s">
        <v>877</v>
      </c>
      <c r="E626"/>
      <c r="H626" s="86" t="s">
        <v>104</v>
      </c>
      <c r="I626"/>
      <c r="J626" s="4"/>
      <c r="K626" s="8" t="e">
        <f>SUM(K620:K624)</f>
        <v>#REF!</v>
      </c>
      <c r="N626" s="86" t="s">
        <v>2276</v>
      </c>
      <c r="O626" s="86" t="s">
        <v>63</v>
      </c>
      <c r="AG626" s="86" t="s">
        <v>2284</v>
      </c>
    </row>
    <row r="627" spans="1:33" hidden="1">
      <c r="A627" s="106">
        <f t="shared" si="32"/>
        <v>455</v>
      </c>
      <c r="B627" s="86" t="s">
        <v>1985</v>
      </c>
      <c r="C627" s="8">
        <v>7.5</v>
      </c>
      <c r="D627" s="1" t="s">
        <v>877</v>
      </c>
      <c r="E627"/>
      <c r="I627"/>
      <c r="J627" s="4"/>
      <c r="K627" s="5" t="s">
        <v>1609</v>
      </c>
      <c r="O627" s="86" t="s">
        <v>1986</v>
      </c>
      <c r="AG627" s="86" t="s">
        <v>2284</v>
      </c>
    </row>
    <row r="628" spans="1:33" hidden="1">
      <c r="A628" s="106">
        <f t="shared" si="32"/>
        <v>456</v>
      </c>
      <c r="B628" s="86" t="s">
        <v>1987</v>
      </c>
      <c r="C628"/>
      <c r="D628" s="1" t="s">
        <v>877</v>
      </c>
      <c r="E628"/>
      <c r="H628" s="86" t="s">
        <v>556</v>
      </c>
      <c r="I628"/>
      <c r="J628" s="4"/>
      <c r="K628" s="8" t="e">
        <f>(K626/0.372)</f>
        <v>#REF!</v>
      </c>
      <c r="O628" s="86" t="s">
        <v>1988</v>
      </c>
      <c r="AG628" s="86" t="s">
        <v>2284</v>
      </c>
    </row>
    <row r="629" spans="1:33" hidden="1">
      <c r="A629" s="106">
        <f t="shared" si="32"/>
        <v>457</v>
      </c>
      <c r="B629" s="86" t="s">
        <v>1989</v>
      </c>
      <c r="C629" s="8">
        <v>155.32</v>
      </c>
      <c r="D629" s="1" t="s">
        <v>877</v>
      </c>
      <c r="E629"/>
      <c r="I629"/>
      <c r="J629" s="4"/>
      <c r="K629" s="5" t="s">
        <v>2080</v>
      </c>
      <c r="O629" s="89" t="s">
        <v>1609</v>
      </c>
      <c r="AG629" s="86" t="s">
        <v>2284</v>
      </c>
    </row>
    <row r="630" spans="1:33" hidden="1">
      <c r="A630" s="106">
        <f t="shared" si="32"/>
        <v>458</v>
      </c>
      <c r="B630" s="86" t="s">
        <v>1792</v>
      </c>
      <c r="C630" s="8">
        <v>91.08</v>
      </c>
      <c r="D630" s="1" t="s">
        <v>877</v>
      </c>
      <c r="E630"/>
      <c r="H630" s="86" t="s">
        <v>386</v>
      </c>
      <c r="I630"/>
      <c r="J630" s="4"/>
      <c r="K630" s="8" t="e">
        <f>(K628+C22*0.014/0.372)</f>
        <v>#REF!</v>
      </c>
      <c r="M630" s="91">
        <v>9.5</v>
      </c>
      <c r="N630" s="86" t="s">
        <v>878</v>
      </c>
      <c r="O630" s="86" t="s">
        <v>1679</v>
      </c>
      <c r="P630" s="91">
        <f>(C61*2)</f>
        <v>50</v>
      </c>
      <c r="Q630" s="86" t="s">
        <v>878</v>
      </c>
      <c r="R630" s="91">
        <f t="shared" ref="R630:R638" si="33">(M630*P630)</f>
        <v>475</v>
      </c>
      <c r="AG630" s="86" t="s">
        <v>2284</v>
      </c>
    </row>
    <row r="631" spans="1:33" hidden="1">
      <c r="A631" s="106">
        <f t="shared" si="32"/>
        <v>459</v>
      </c>
      <c r="B631" s="86" t="s">
        <v>2974</v>
      </c>
      <c r="C631" s="8">
        <v>30</v>
      </c>
      <c r="D631" s="1" t="s">
        <v>1670</v>
      </c>
      <c r="E631"/>
      <c r="H631" s="86" t="s">
        <v>388</v>
      </c>
      <c r="I631"/>
      <c r="J631" s="4"/>
      <c r="K631" s="8" t="e">
        <f>(K630+C23*0.014/0.372)</f>
        <v>#REF!</v>
      </c>
      <c r="M631" s="91">
        <v>0.47</v>
      </c>
      <c r="N631" s="86" t="s">
        <v>878</v>
      </c>
      <c r="O631" s="86" t="s">
        <v>342</v>
      </c>
      <c r="P631" s="91" t="e">
        <f>(R74)</f>
        <v>#REF!</v>
      </c>
      <c r="Q631" s="86" t="s">
        <v>878</v>
      </c>
      <c r="R631" s="91" t="e">
        <f t="shared" si="33"/>
        <v>#REF!</v>
      </c>
      <c r="AG631" s="86" t="s">
        <v>2284</v>
      </c>
    </row>
    <row r="632" spans="1:33" hidden="1">
      <c r="A632" s="106">
        <f t="shared" si="32"/>
        <v>460</v>
      </c>
      <c r="B632" s="86" t="s">
        <v>1868</v>
      </c>
      <c r="C632" s="8">
        <v>0.3</v>
      </c>
      <c r="D632" s="1" t="s">
        <v>877</v>
      </c>
      <c r="E632"/>
      <c r="H632" s="86" t="s">
        <v>2257</v>
      </c>
      <c r="I632"/>
      <c r="J632" s="4"/>
      <c r="K632" s="8" t="e">
        <f>(K631+C24*0.014/0.372)</f>
        <v>#REF!</v>
      </c>
      <c r="M632" s="91">
        <v>1.62</v>
      </c>
      <c r="N632" s="86" t="s">
        <v>878</v>
      </c>
      <c r="O632" s="86" t="s">
        <v>2001</v>
      </c>
      <c r="P632" s="91" t="e">
        <f>(R89)</f>
        <v>#REF!</v>
      </c>
      <c r="Q632" s="86" t="s">
        <v>878</v>
      </c>
      <c r="R632" s="91" t="e">
        <f t="shared" si="33"/>
        <v>#REF!</v>
      </c>
      <c r="AG632" s="86" t="s">
        <v>2284</v>
      </c>
    </row>
    <row r="633" spans="1:33" hidden="1">
      <c r="A633" s="106">
        <f t="shared" si="32"/>
        <v>461</v>
      </c>
      <c r="B633" s="86" t="s">
        <v>2975</v>
      </c>
      <c r="C633" s="8">
        <v>99</v>
      </c>
      <c r="D633" s="1" t="s">
        <v>615</v>
      </c>
      <c r="E633"/>
      <c r="H633" s="86" t="s">
        <v>380</v>
      </c>
      <c r="I633"/>
      <c r="J633" s="4"/>
      <c r="K633" s="8" t="e">
        <f>(K632+C24*0.014/0.372)</f>
        <v>#REF!</v>
      </c>
      <c r="M633" s="91">
        <v>15.22</v>
      </c>
      <c r="N633" s="86" t="s">
        <v>615</v>
      </c>
      <c r="O633" s="86" t="s">
        <v>2159</v>
      </c>
      <c r="P633" s="91" t="e">
        <f>(R303)</f>
        <v>#REF!</v>
      </c>
      <c r="Q633" s="86" t="s">
        <v>615</v>
      </c>
      <c r="R633" s="91" t="e">
        <f t="shared" si="33"/>
        <v>#REF!</v>
      </c>
      <c r="AG633" s="86" t="s">
        <v>2284</v>
      </c>
    </row>
    <row r="634" spans="1:33" hidden="1">
      <c r="A634" s="106">
        <f t="shared" si="32"/>
        <v>462</v>
      </c>
      <c r="B634" s="86" t="s">
        <v>2043</v>
      </c>
      <c r="C634" s="8">
        <v>97.31</v>
      </c>
      <c r="D634" s="1" t="s">
        <v>615</v>
      </c>
      <c r="E634"/>
      <c r="H634" s="86" t="s">
        <v>1384</v>
      </c>
      <c r="I634"/>
      <c r="J634" s="4"/>
      <c r="K634" s="8" t="e">
        <f>(K633+C25*0.014/0.372)</f>
        <v>#REF!</v>
      </c>
      <c r="M634" s="91">
        <v>0.18</v>
      </c>
      <c r="N634" s="86" t="s">
        <v>878</v>
      </c>
      <c r="O634" s="86" t="s">
        <v>1353</v>
      </c>
      <c r="P634" s="91" t="e">
        <f>(K279)</f>
        <v>#REF!</v>
      </c>
      <c r="Q634" s="86" t="s">
        <v>878</v>
      </c>
      <c r="R634" s="91" t="e">
        <f t="shared" si="33"/>
        <v>#REF!</v>
      </c>
      <c r="AG634" s="86" t="s">
        <v>2284</v>
      </c>
    </row>
    <row r="635" spans="1:33" hidden="1">
      <c r="A635" s="106">
        <f t="shared" si="32"/>
        <v>463</v>
      </c>
      <c r="B635" s="86" t="s">
        <v>2976</v>
      </c>
      <c r="C635" s="8">
        <v>105.28</v>
      </c>
      <c r="D635" s="1" t="s">
        <v>1170</v>
      </c>
      <c r="E635"/>
      <c r="F635" s="102" t="s">
        <v>1354</v>
      </c>
      <c r="H635" s="86" t="s">
        <v>768</v>
      </c>
      <c r="I635"/>
      <c r="J635" s="4"/>
      <c r="K635"/>
      <c r="M635" s="91">
        <v>0.36</v>
      </c>
      <c r="N635" s="86" t="s">
        <v>615</v>
      </c>
      <c r="O635" s="86" t="s">
        <v>769</v>
      </c>
      <c r="P635" s="91" t="e">
        <f>(K466)</f>
        <v>#REF!</v>
      </c>
      <c r="Q635" s="86" t="s">
        <v>615</v>
      </c>
      <c r="R635" s="91" t="e">
        <f t="shared" si="33"/>
        <v>#REF!</v>
      </c>
      <c r="AG635" s="86" t="s">
        <v>2284</v>
      </c>
    </row>
    <row r="636" spans="1:33" hidden="1">
      <c r="A636" s="106">
        <f t="shared" si="32"/>
        <v>464</v>
      </c>
      <c r="B636" s="86" t="s">
        <v>2977</v>
      </c>
      <c r="C636" s="8">
        <v>106.75</v>
      </c>
      <c r="D636" s="1" t="s">
        <v>1170</v>
      </c>
      <c r="E636"/>
      <c r="H636" s="86" t="s">
        <v>1429</v>
      </c>
      <c r="I636"/>
      <c r="J636" s="4"/>
      <c r="K636"/>
      <c r="M636" s="91">
        <v>1</v>
      </c>
      <c r="N636" s="86" t="s">
        <v>877</v>
      </c>
      <c r="O636" s="86" t="s">
        <v>1182</v>
      </c>
      <c r="P636" s="91">
        <f>(C202)</f>
        <v>75</v>
      </c>
      <c r="Q636" s="86" t="s">
        <v>877</v>
      </c>
      <c r="R636" s="91">
        <f t="shared" si="33"/>
        <v>75</v>
      </c>
      <c r="AG636" s="86" t="s">
        <v>2284</v>
      </c>
    </row>
    <row r="637" spans="1:33" hidden="1">
      <c r="A637" s="106">
        <f t="shared" si="32"/>
        <v>465</v>
      </c>
      <c r="B637" s="86" t="s">
        <v>1183</v>
      </c>
      <c r="C637" s="8">
        <v>1</v>
      </c>
      <c r="D637" s="1" t="s">
        <v>877</v>
      </c>
      <c r="E637" t="s">
        <v>150</v>
      </c>
      <c r="H637" s="86" t="s">
        <v>334</v>
      </c>
      <c r="I637"/>
      <c r="J637" s="4"/>
      <c r="K637"/>
      <c r="M637" s="91">
        <v>1.8</v>
      </c>
      <c r="N637" s="86" t="s">
        <v>335</v>
      </c>
      <c r="O637" s="86" t="s">
        <v>336</v>
      </c>
      <c r="P637" s="91">
        <f>(C324)</f>
        <v>14.91</v>
      </c>
      <c r="Q637" s="86" t="s">
        <v>335</v>
      </c>
      <c r="R637" s="91">
        <f t="shared" si="33"/>
        <v>26.84</v>
      </c>
      <c r="AG637" s="86" t="s">
        <v>2284</v>
      </c>
    </row>
    <row r="638" spans="1:33" hidden="1">
      <c r="A638" s="106">
        <f t="shared" si="32"/>
        <v>466</v>
      </c>
      <c r="B638" s="86" t="s">
        <v>2978</v>
      </c>
      <c r="C638" s="8">
        <v>37</v>
      </c>
      <c r="D638" s="1" t="s">
        <v>1670</v>
      </c>
      <c r="E638"/>
      <c r="H638" s="86" t="s">
        <v>1525</v>
      </c>
      <c r="I638"/>
      <c r="J638" s="4"/>
      <c r="K638"/>
      <c r="M638" s="91">
        <v>1</v>
      </c>
      <c r="N638" s="86" t="s">
        <v>877</v>
      </c>
      <c r="O638" s="86" t="s">
        <v>1938</v>
      </c>
      <c r="P638" s="91">
        <f>(C370)</f>
        <v>13.29</v>
      </c>
      <c r="Q638" s="86" t="s">
        <v>877</v>
      </c>
      <c r="R638" s="91">
        <f t="shared" si="33"/>
        <v>13.29</v>
      </c>
      <c r="AG638" s="86" t="s">
        <v>2284</v>
      </c>
    </row>
    <row r="639" spans="1:33" hidden="1">
      <c r="A639" s="106">
        <f t="shared" si="32"/>
        <v>467</v>
      </c>
      <c r="B639" s="124" t="s">
        <v>1939</v>
      </c>
      <c r="C639" s="8">
        <v>3</v>
      </c>
      <c r="D639" s="1" t="s">
        <v>1796</v>
      </c>
      <c r="E639">
        <v>5</v>
      </c>
      <c r="H639" s="86" t="s">
        <v>172</v>
      </c>
      <c r="I639"/>
      <c r="J639" s="4"/>
      <c r="K639"/>
      <c r="N639" s="86" t="s">
        <v>450</v>
      </c>
      <c r="O639" s="86" t="s">
        <v>340</v>
      </c>
      <c r="Q639" s="86" t="s">
        <v>450</v>
      </c>
      <c r="R639" s="91">
        <v>1.6</v>
      </c>
      <c r="AG639" s="86" t="s">
        <v>2284</v>
      </c>
    </row>
    <row r="640" spans="1:33" hidden="1">
      <c r="A640" s="106">
        <f t="shared" si="32"/>
        <v>468</v>
      </c>
      <c r="B640" s="124" t="s">
        <v>173</v>
      </c>
      <c r="C640" s="8">
        <v>2.2000000000000002</v>
      </c>
      <c r="D640" s="1" t="s">
        <v>1796</v>
      </c>
      <c r="E640"/>
      <c r="H640" s="86" t="s">
        <v>174</v>
      </c>
      <c r="I640"/>
      <c r="J640" s="4"/>
      <c r="K640"/>
      <c r="R640" s="86" t="s">
        <v>987</v>
      </c>
      <c r="AG640" s="86" t="s">
        <v>2284</v>
      </c>
    </row>
    <row r="641" spans="1:33" hidden="1">
      <c r="A641" s="106">
        <f t="shared" si="32"/>
        <v>469</v>
      </c>
      <c r="B641" s="86" t="s">
        <v>2979</v>
      </c>
      <c r="C641" s="8">
        <v>2.2000000000000002</v>
      </c>
      <c r="D641" s="1">
        <v>2.7</v>
      </c>
      <c r="E641">
        <v>2</v>
      </c>
      <c r="H641" s="86" t="s">
        <v>175</v>
      </c>
      <c r="I641"/>
      <c r="J641" s="4"/>
      <c r="K641"/>
      <c r="R641" s="89" t="s">
        <v>1609</v>
      </c>
      <c r="AG641" s="86" t="s">
        <v>2284</v>
      </c>
    </row>
    <row r="642" spans="1:33" hidden="1">
      <c r="A642" s="106">
        <f t="shared" si="32"/>
        <v>470</v>
      </c>
      <c r="B642" s="86" t="s">
        <v>176</v>
      </c>
      <c r="C642" s="8">
        <v>3.2</v>
      </c>
      <c r="D642" s="8">
        <v>3.2</v>
      </c>
      <c r="E642"/>
      <c r="H642" s="89" t="s">
        <v>1609</v>
      </c>
      <c r="I642" s="5" t="s">
        <v>1609</v>
      </c>
      <c r="J642" s="4"/>
      <c r="K642"/>
      <c r="O642" s="86" t="s">
        <v>1776</v>
      </c>
      <c r="R642" s="91" t="e">
        <f>SUM(R630:R640)</f>
        <v>#REF!</v>
      </c>
      <c r="AG642" s="86" t="s">
        <v>2284</v>
      </c>
    </row>
    <row r="643" spans="1:33" hidden="1">
      <c r="A643" s="106">
        <f t="shared" si="32"/>
        <v>471</v>
      </c>
      <c r="B643" s="86" t="s">
        <v>177</v>
      </c>
      <c r="C643" s="8">
        <v>4</v>
      </c>
      <c r="D643" s="1" t="s">
        <v>450</v>
      </c>
      <c r="E643"/>
      <c r="F643" s="91">
        <v>1</v>
      </c>
      <c r="G643" s="90" t="s">
        <v>615</v>
      </c>
      <c r="H643" s="86" t="s">
        <v>178</v>
      </c>
      <c r="I643" s="8">
        <f>D76</f>
        <v>240</v>
      </c>
      <c r="J643" s="2" t="s">
        <v>615</v>
      </c>
      <c r="K643" s="8">
        <f>(F643*I643)</f>
        <v>240</v>
      </c>
      <c r="R643" s="89" t="s">
        <v>1609</v>
      </c>
      <c r="AG643" s="86" t="s">
        <v>2284</v>
      </c>
    </row>
    <row r="644" spans="1:33" hidden="1">
      <c r="A644" s="106">
        <f t="shared" si="32"/>
        <v>472</v>
      </c>
      <c r="B644" s="86" t="s">
        <v>418</v>
      </c>
      <c r="C644" s="8">
        <v>5</v>
      </c>
      <c r="D644" s="1" t="s">
        <v>450</v>
      </c>
      <c r="E644"/>
      <c r="F644" s="91">
        <v>1</v>
      </c>
      <c r="G644" s="90" t="s">
        <v>615</v>
      </c>
      <c r="H644" s="86" t="s">
        <v>1459</v>
      </c>
      <c r="I644" s="8">
        <f>C75</f>
        <v>20</v>
      </c>
      <c r="J644" s="2" t="s">
        <v>615</v>
      </c>
      <c r="K644" s="8">
        <f>(F644*I644)</f>
        <v>20</v>
      </c>
      <c r="O644" s="86" t="s">
        <v>1460</v>
      </c>
      <c r="AG644" s="86" t="s">
        <v>2284</v>
      </c>
    </row>
    <row r="645" spans="1:33" hidden="1">
      <c r="A645" s="106">
        <f t="shared" si="32"/>
        <v>473</v>
      </c>
      <c r="B645" s="86" t="s">
        <v>1621</v>
      </c>
      <c r="C645" s="8">
        <v>96</v>
      </c>
      <c r="D645" s="1" t="s">
        <v>877</v>
      </c>
      <c r="E645"/>
      <c r="F645" s="91">
        <v>1</v>
      </c>
      <c r="G645" s="90" t="s">
        <v>450</v>
      </c>
      <c r="H645" s="86" t="s">
        <v>1622</v>
      </c>
      <c r="I645" s="8">
        <v>15</v>
      </c>
      <c r="J645" s="2" t="s">
        <v>450</v>
      </c>
      <c r="K645" s="8">
        <f>(F645*I645)</f>
        <v>15</v>
      </c>
      <c r="N645" s="86" t="s">
        <v>2276</v>
      </c>
      <c r="O645" s="86" t="s">
        <v>1623</v>
      </c>
      <c r="AG645" s="86" t="s">
        <v>2284</v>
      </c>
    </row>
    <row r="646" spans="1:33" hidden="1">
      <c r="A646" s="106">
        <f t="shared" si="32"/>
        <v>474</v>
      </c>
      <c r="B646" s="86" t="s">
        <v>1624</v>
      </c>
      <c r="C646" s="8">
        <v>75</v>
      </c>
      <c r="D646" s="1" t="s">
        <v>877</v>
      </c>
      <c r="E646"/>
      <c r="I646"/>
      <c r="J646" s="4"/>
      <c r="K646" s="5" t="s">
        <v>1609</v>
      </c>
      <c r="O646" s="86" t="s">
        <v>1625</v>
      </c>
      <c r="AG646" s="86" t="s">
        <v>2284</v>
      </c>
    </row>
    <row r="647" spans="1:33" hidden="1">
      <c r="A647" s="106">
        <f t="shared" si="32"/>
        <v>475</v>
      </c>
      <c r="B647" s="86" t="s">
        <v>1626</v>
      </c>
      <c r="C647" s="8">
        <v>6.4</v>
      </c>
      <c r="D647" s="8">
        <v>12.65</v>
      </c>
      <c r="E647">
        <v>3</v>
      </c>
      <c r="H647" s="86" t="s">
        <v>556</v>
      </c>
      <c r="I647"/>
      <c r="J647" s="4"/>
      <c r="K647" s="8">
        <f>SUM(K641:K645)</f>
        <v>275</v>
      </c>
      <c r="O647" s="89" t="s">
        <v>1609</v>
      </c>
      <c r="AG647" s="86" t="s">
        <v>2284</v>
      </c>
    </row>
    <row r="648" spans="1:33" hidden="1">
      <c r="A648" s="106">
        <f t="shared" si="32"/>
        <v>476</v>
      </c>
      <c r="B648" s="86" t="s">
        <v>1603</v>
      </c>
      <c r="C648" s="8">
        <v>80</v>
      </c>
      <c r="D648" s="1" t="s">
        <v>877</v>
      </c>
      <c r="E648"/>
      <c r="H648" s="86" t="s">
        <v>1604</v>
      </c>
      <c r="I648"/>
      <c r="J648" s="4"/>
      <c r="K648" s="5" t="s">
        <v>2080</v>
      </c>
      <c r="M648" s="91">
        <v>1</v>
      </c>
      <c r="N648" s="86" t="s">
        <v>877</v>
      </c>
      <c r="O648" s="86" t="s">
        <v>1605</v>
      </c>
      <c r="P648" s="91">
        <f>(C382)</f>
        <v>14.91</v>
      </c>
      <c r="Q648" s="86" t="s">
        <v>877</v>
      </c>
      <c r="R648" s="91">
        <f>(M648*P648)</f>
        <v>14.91</v>
      </c>
      <c r="AG648" s="86" t="s">
        <v>2284</v>
      </c>
    </row>
    <row r="649" spans="1:33" hidden="1">
      <c r="A649" s="106">
        <f t="shared" ref="A649:A673" si="34">(A648+1)</f>
        <v>477</v>
      </c>
      <c r="B649" s="86" t="s">
        <v>137</v>
      </c>
      <c r="C649" s="8">
        <v>64</v>
      </c>
      <c r="D649" s="1" t="s">
        <v>877</v>
      </c>
      <c r="E649"/>
      <c r="H649" s="86" t="s">
        <v>386</v>
      </c>
      <c r="I649"/>
      <c r="J649" s="4"/>
      <c r="K649" s="8">
        <f>(K647+C19*0.05)</f>
        <v>275.88</v>
      </c>
      <c r="N649" s="86" t="s">
        <v>450</v>
      </c>
      <c r="O649" s="86" t="s">
        <v>138</v>
      </c>
      <c r="Q649" s="86" t="s">
        <v>450</v>
      </c>
      <c r="R649" s="91">
        <v>2.09</v>
      </c>
      <c r="AG649" s="86" t="s">
        <v>2284</v>
      </c>
    </row>
    <row r="650" spans="1:33" hidden="1">
      <c r="A650" s="106">
        <f t="shared" si="34"/>
        <v>478</v>
      </c>
      <c r="B650" s="86" t="s">
        <v>139</v>
      </c>
      <c r="C650" s="8">
        <v>40.5</v>
      </c>
      <c r="D650" s="1" t="s">
        <v>877</v>
      </c>
      <c r="E650"/>
      <c r="H650" s="86" t="s">
        <v>388</v>
      </c>
      <c r="I650"/>
      <c r="J650" s="4"/>
      <c r="K650" s="8">
        <f>(K649+C20*0.05)</f>
        <v>277.64</v>
      </c>
      <c r="O650" s="86" t="s">
        <v>140</v>
      </c>
      <c r="R650" s="86" t="s">
        <v>987</v>
      </c>
      <c r="AG650" s="86" t="s">
        <v>2284</v>
      </c>
    </row>
    <row r="651" spans="1:33" hidden="1">
      <c r="A651" s="106">
        <f t="shared" si="34"/>
        <v>479</v>
      </c>
      <c r="B651" s="86" t="s">
        <v>1483</v>
      </c>
      <c r="C651" s="8">
        <v>92</v>
      </c>
      <c r="D651" s="1" t="s">
        <v>877</v>
      </c>
      <c r="E651"/>
      <c r="H651" s="86" t="s">
        <v>2257</v>
      </c>
      <c r="I651"/>
      <c r="J651" s="4"/>
      <c r="K651" s="8">
        <f>(K650+C21*0.05)</f>
        <v>279.39999999999998</v>
      </c>
      <c r="R651" s="89" t="s">
        <v>1609</v>
      </c>
      <c r="AG651" s="86" t="s">
        <v>2284</v>
      </c>
    </row>
    <row r="652" spans="1:33" hidden="1">
      <c r="A652" s="106">
        <f t="shared" si="34"/>
        <v>480</v>
      </c>
      <c r="B652" s="86" t="s">
        <v>1587</v>
      </c>
      <c r="C652" s="8">
        <v>60</v>
      </c>
      <c r="D652" s="1" t="s">
        <v>877</v>
      </c>
      <c r="E652"/>
      <c r="H652" s="86" t="s">
        <v>380</v>
      </c>
      <c r="I652"/>
      <c r="J652" s="4"/>
      <c r="K652" s="8">
        <f>(K651+C21*0.05)</f>
        <v>281.16000000000003</v>
      </c>
      <c r="O652" s="86" t="s">
        <v>1588</v>
      </c>
      <c r="R652" s="91">
        <f>SUM(R648:R650)</f>
        <v>17</v>
      </c>
      <c r="AG652" s="86" t="s">
        <v>2284</v>
      </c>
    </row>
    <row r="653" spans="1:33" hidden="1">
      <c r="A653" s="106">
        <f t="shared" si="34"/>
        <v>481</v>
      </c>
      <c r="B653" s="86" t="s">
        <v>1383</v>
      </c>
      <c r="C653" s="8">
        <v>49.87</v>
      </c>
      <c r="D653" s="1" t="s">
        <v>877</v>
      </c>
      <c r="E653"/>
      <c r="H653" s="86" t="s">
        <v>1384</v>
      </c>
      <c r="I653"/>
      <c r="J653" s="4"/>
      <c r="K653" s="8">
        <f>(K652+C21*0.05)</f>
        <v>282.92</v>
      </c>
      <c r="R653" s="89" t="s">
        <v>1609</v>
      </c>
      <c r="AG653" s="86" t="s">
        <v>2284</v>
      </c>
    </row>
    <row r="654" spans="1:33" hidden="1">
      <c r="A654" s="106">
        <f t="shared" si="34"/>
        <v>482</v>
      </c>
      <c r="B654" s="86" t="s">
        <v>1840</v>
      </c>
      <c r="C654" s="8">
        <v>80</v>
      </c>
      <c r="D654" s="1" t="s">
        <v>877</v>
      </c>
      <c r="E654"/>
      <c r="F654" s="102" t="s">
        <v>1841</v>
      </c>
      <c r="H654" s="86" t="s">
        <v>768</v>
      </c>
      <c r="I654"/>
      <c r="J654" s="4"/>
      <c r="K654"/>
      <c r="AG654" s="86" t="s">
        <v>2284</v>
      </c>
    </row>
    <row r="655" spans="1:33" hidden="1">
      <c r="A655" s="106">
        <f t="shared" si="34"/>
        <v>483</v>
      </c>
      <c r="B655" s="86" t="s">
        <v>1842</v>
      </c>
      <c r="C655" s="8">
        <v>52</v>
      </c>
      <c r="D655" s="1" t="s">
        <v>877</v>
      </c>
      <c r="E655"/>
      <c r="H655" s="86" t="s">
        <v>1843</v>
      </c>
      <c r="I655"/>
      <c r="J655" s="4"/>
      <c r="K655"/>
      <c r="N655" s="86" t="s">
        <v>2276</v>
      </c>
      <c r="O655" s="86" t="s">
        <v>903</v>
      </c>
      <c r="AG655" s="86" t="s">
        <v>2284</v>
      </c>
    </row>
    <row r="656" spans="1:33" hidden="1">
      <c r="A656" s="106">
        <f t="shared" si="34"/>
        <v>484</v>
      </c>
      <c r="B656" s="86" t="s">
        <v>1200</v>
      </c>
      <c r="C656" s="8">
        <v>39</v>
      </c>
      <c r="D656" s="1" t="s">
        <v>877</v>
      </c>
      <c r="E656"/>
      <c r="H656" s="86" t="s">
        <v>334</v>
      </c>
      <c r="I656"/>
      <c r="J656" s="4"/>
      <c r="K656"/>
      <c r="O656" s="86" t="s">
        <v>1625</v>
      </c>
      <c r="AG656" s="86" t="s">
        <v>2284</v>
      </c>
    </row>
    <row r="657" spans="1:33" hidden="1">
      <c r="A657" s="106">
        <f t="shared" si="34"/>
        <v>485</v>
      </c>
      <c r="B657" s="86" t="s">
        <v>1271</v>
      </c>
      <c r="C657" s="8">
        <v>90</v>
      </c>
      <c r="D657" s="1" t="s">
        <v>877</v>
      </c>
      <c r="E657"/>
      <c r="H657" s="86" t="s">
        <v>1525</v>
      </c>
      <c r="I657"/>
      <c r="J657" s="4"/>
      <c r="K657"/>
      <c r="O657" s="89" t="s">
        <v>1609</v>
      </c>
      <c r="AG657" s="86" t="s">
        <v>2284</v>
      </c>
    </row>
    <row r="658" spans="1:33" hidden="1">
      <c r="A658" s="106">
        <f t="shared" si="34"/>
        <v>486</v>
      </c>
      <c r="B658" s="86" t="s">
        <v>1272</v>
      </c>
      <c r="C658" s="8">
        <v>60</v>
      </c>
      <c r="D658" s="1" t="s">
        <v>877</v>
      </c>
      <c r="E658"/>
      <c r="H658" s="86" t="s">
        <v>172</v>
      </c>
      <c r="I658"/>
      <c r="J658" s="4"/>
      <c r="K658"/>
      <c r="M658" s="91">
        <v>1</v>
      </c>
      <c r="N658" s="86" t="s">
        <v>877</v>
      </c>
      <c r="O658" s="86" t="s">
        <v>1102</v>
      </c>
      <c r="P658" s="91">
        <f>(C383)</f>
        <v>17.579999999999998</v>
      </c>
      <c r="Q658" s="86" t="s">
        <v>877</v>
      </c>
      <c r="R658" s="91">
        <f>(M658*P658)</f>
        <v>17.579999999999998</v>
      </c>
      <c r="AG658" s="86" t="s">
        <v>2284</v>
      </c>
    </row>
    <row r="659" spans="1:33" hidden="1">
      <c r="A659" s="106">
        <f t="shared" si="34"/>
        <v>487</v>
      </c>
      <c r="B659" s="86" t="s">
        <v>1103</v>
      </c>
      <c r="C659" s="8">
        <v>43.5</v>
      </c>
      <c r="D659" s="1" t="s">
        <v>877</v>
      </c>
      <c r="E659"/>
      <c r="H659" s="86" t="s">
        <v>174</v>
      </c>
      <c r="I659"/>
      <c r="J659" s="4"/>
      <c r="K659"/>
      <c r="N659" s="86" t="s">
        <v>450</v>
      </c>
      <c r="O659" s="86" t="s">
        <v>138</v>
      </c>
      <c r="Q659" s="86" t="s">
        <v>450</v>
      </c>
      <c r="R659" s="91">
        <v>2.09</v>
      </c>
      <c r="AG659" s="86" t="s">
        <v>2284</v>
      </c>
    </row>
    <row r="660" spans="1:33" hidden="1">
      <c r="A660" s="106">
        <f t="shared" si="34"/>
        <v>488</v>
      </c>
      <c r="B660" s="86" t="s">
        <v>246</v>
      </c>
      <c r="C660" s="8">
        <v>75</v>
      </c>
      <c r="D660" s="1" t="s">
        <v>877</v>
      </c>
      <c r="E660"/>
      <c r="H660" s="86" t="s">
        <v>2096</v>
      </c>
      <c r="I660"/>
      <c r="J660" s="4"/>
      <c r="K660"/>
      <c r="O660" s="86" t="s">
        <v>140</v>
      </c>
      <c r="R660" s="86" t="s">
        <v>987</v>
      </c>
      <c r="AG660" s="86" t="s">
        <v>2284</v>
      </c>
    </row>
    <row r="661" spans="1:33" hidden="1">
      <c r="A661" s="106">
        <f t="shared" si="34"/>
        <v>489</v>
      </c>
      <c r="B661" s="86" t="s">
        <v>2050</v>
      </c>
      <c r="C661" s="8">
        <v>52</v>
      </c>
      <c r="D661" s="1" t="s">
        <v>877</v>
      </c>
      <c r="E661"/>
      <c r="H661" s="89" t="s">
        <v>1609</v>
      </c>
      <c r="I661" s="5" t="s">
        <v>1609</v>
      </c>
      <c r="J661" s="4"/>
      <c r="K661"/>
      <c r="R661" s="89" t="s">
        <v>1609</v>
      </c>
      <c r="AG661" s="86" t="s">
        <v>2284</v>
      </c>
    </row>
    <row r="662" spans="1:33" hidden="1">
      <c r="A662" s="106">
        <f t="shared" si="34"/>
        <v>490</v>
      </c>
      <c r="B662" s="86" t="s">
        <v>1200</v>
      </c>
      <c r="C662" s="8">
        <v>35.25</v>
      </c>
      <c r="D662" s="1" t="s">
        <v>877</v>
      </c>
      <c r="E662"/>
      <c r="F662" s="91">
        <v>1</v>
      </c>
      <c r="G662" s="90" t="s">
        <v>615</v>
      </c>
      <c r="H662" s="86" t="s">
        <v>936</v>
      </c>
      <c r="I662" s="8">
        <f>C76</f>
        <v>514.62</v>
      </c>
      <c r="J662" s="2" t="s">
        <v>615</v>
      </c>
      <c r="K662" s="8">
        <f>(F662*I662)</f>
        <v>514.62</v>
      </c>
      <c r="O662" s="86" t="s">
        <v>1588</v>
      </c>
      <c r="R662" s="91">
        <f>SUM(R658:R660)</f>
        <v>19.670000000000002</v>
      </c>
      <c r="AG662" s="86" t="s">
        <v>2284</v>
      </c>
    </row>
    <row r="663" spans="1:33" hidden="1">
      <c r="A663" s="106">
        <f t="shared" si="34"/>
        <v>491</v>
      </c>
      <c r="B663" s="86" t="s">
        <v>937</v>
      </c>
      <c r="C663" s="8">
        <v>37.5</v>
      </c>
      <c r="D663" s="1" t="s">
        <v>877</v>
      </c>
      <c r="E663"/>
      <c r="F663" s="91">
        <v>1</v>
      </c>
      <c r="G663" s="90" t="s">
        <v>615</v>
      </c>
      <c r="H663" s="86" t="s">
        <v>1459</v>
      </c>
      <c r="I663" s="8">
        <f>C75</f>
        <v>20</v>
      </c>
      <c r="J663" s="2" t="s">
        <v>615</v>
      </c>
      <c r="K663" s="8">
        <f>(F663*I663)</f>
        <v>20</v>
      </c>
      <c r="R663" s="89" t="s">
        <v>1609</v>
      </c>
      <c r="AG663" s="86" t="s">
        <v>2284</v>
      </c>
    </row>
    <row r="664" spans="1:33" hidden="1">
      <c r="A664" s="106">
        <f t="shared" si="34"/>
        <v>492</v>
      </c>
      <c r="B664" s="86" t="s">
        <v>938</v>
      </c>
      <c r="C664" s="8">
        <v>24</v>
      </c>
      <c r="D664" s="1" t="s">
        <v>877</v>
      </c>
      <c r="E664"/>
      <c r="F664" s="91">
        <v>1</v>
      </c>
      <c r="G664" s="90" t="s">
        <v>450</v>
      </c>
      <c r="H664" s="86" t="s">
        <v>1622</v>
      </c>
      <c r="I664" s="8">
        <v>15</v>
      </c>
      <c r="J664" s="2" t="s">
        <v>450</v>
      </c>
      <c r="K664" s="8">
        <f>(F664*I664)</f>
        <v>15</v>
      </c>
      <c r="AG664" s="86" t="s">
        <v>2284</v>
      </c>
    </row>
    <row r="665" spans="1:33" hidden="1">
      <c r="A665" s="106">
        <f t="shared" si="34"/>
        <v>493</v>
      </c>
      <c r="B665" s="86" t="s">
        <v>939</v>
      </c>
      <c r="C665" s="8">
        <v>16</v>
      </c>
      <c r="D665" s="1" t="s">
        <v>877</v>
      </c>
      <c r="E665"/>
      <c r="H665" s="86" t="s">
        <v>451</v>
      </c>
      <c r="I665"/>
      <c r="J665" s="2" t="s">
        <v>450</v>
      </c>
      <c r="K665" s="8">
        <v>0</v>
      </c>
      <c r="N665" s="86" t="s">
        <v>2276</v>
      </c>
      <c r="O665" s="86" t="s">
        <v>482</v>
      </c>
      <c r="AG665" s="86" t="s">
        <v>2284</v>
      </c>
    </row>
    <row r="666" spans="1:33" hidden="1">
      <c r="A666" s="106">
        <f t="shared" si="34"/>
        <v>494</v>
      </c>
      <c r="B666" s="86" t="s">
        <v>483</v>
      </c>
      <c r="C666" s="8">
        <v>18</v>
      </c>
      <c r="D666" s="1" t="s">
        <v>877</v>
      </c>
      <c r="E666"/>
      <c r="I666"/>
      <c r="J666" s="4"/>
      <c r="K666" s="5" t="s">
        <v>1609</v>
      </c>
      <c r="O666" s="86" t="s">
        <v>1625</v>
      </c>
      <c r="AG666" s="86" t="s">
        <v>2284</v>
      </c>
    </row>
    <row r="667" spans="1:33" hidden="1">
      <c r="A667" s="106">
        <f t="shared" si="34"/>
        <v>495</v>
      </c>
      <c r="B667" s="86" t="s">
        <v>484</v>
      </c>
      <c r="C667" s="8">
        <v>6</v>
      </c>
      <c r="D667" s="1" t="s">
        <v>877</v>
      </c>
      <c r="E667"/>
      <c r="H667" s="86" t="s">
        <v>556</v>
      </c>
      <c r="I667"/>
      <c r="J667" s="4"/>
      <c r="K667" s="8">
        <f>SUM(K662:K665)</f>
        <v>549.62</v>
      </c>
      <c r="O667" s="89" t="s">
        <v>1609</v>
      </c>
      <c r="AG667" s="86" t="s">
        <v>2284</v>
      </c>
    </row>
    <row r="668" spans="1:33" hidden="1">
      <c r="A668" s="106">
        <f t="shared" si="34"/>
        <v>496</v>
      </c>
      <c r="B668" s="86" t="s">
        <v>485</v>
      </c>
      <c r="C668" s="8">
        <v>152.5</v>
      </c>
      <c r="D668" s="1" t="s">
        <v>1796</v>
      </c>
      <c r="E668"/>
      <c r="H668" s="86" t="s">
        <v>1604</v>
      </c>
      <c r="I668"/>
      <c r="J668" s="4"/>
      <c r="K668" s="5" t="s">
        <v>2080</v>
      </c>
      <c r="M668" s="91">
        <v>1</v>
      </c>
      <c r="N668" s="86" t="s">
        <v>877</v>
      </c>
      <c r="O668" s="86" t="s">
        <v>486</v>
      </c>
      <c r="P668" s="91">
        <f>(C384)</f>
        <v>19.3</v>
      </c>
      <c r="Q668" s="86" t="s">
        <v>877</v>
      </c>
      <c r="R668" s="91">
        <f>(M668*P668)</f>
        <v>19.3</v>
      </c>
      <c r="AG668" s="86" t="s">
        <v>2284</v>
      </c>
    </row>
    <row r="669" spans="1:33" hidden="1">
      <c r="A669" s="106">
        <f t="shared" si="34"/>
        <v>497</v>
      </c>
      <c r="B669" s="86" t="s">
        <v>1022</v>
      </c>
      <c r="C669" s="8">
        <v>108.68</v>
      </c>
      <c r="D669" s="1" t="s">
        <v>877</v>
      </c>
      <c r="E669"/>
      <c r="H669" s="86" t="s">
        <v>386</v>
      </c>
      <c r="I669"/>
      <c r="J669" s="2" t="s">
        <v>987</v>
      </c>
      <c r="K669" s="8">
        <f>(K667+C19*0.11)</f>
        <v>551.55999999999995</v>
      </c>
      <c r="N669" s="86" t="s">
        <v>450</v>
      </c>
      <c r="O669" s="86" t="s">
        <v>138</v>
      </c>
      <c r="Q669" s="86" t="s">
        <v>450</v>
      </c>
      <c r="R669" s="91">
        <v>2.09</v>
      </c>
      <c r="AG669" s="86" t="s">
        <v>2284</v>
      </c>
    </row>
    <row r="670" spans="1:33" hidden="1">
      <c r="A670" s="106">
        <f t="shared" si="34"/>
        <v>498</v>
      </c>
      <c r="B670" s="86" t="s">
        <v>552</v>
      </c>
      <c r="C670" s="8">
        <v>119.89</v>
      </c>
      <c r="D670" s="1" t="s">
        <v>877</v>
      </c>
      <c r="E670"/>
      <c r="H670" s="86" t="s">
        <v>388</v>
      </c>
      <c r="I670"/>
      <c r="J670" s="4"/>
      <c r="K670" s="8">
        <f>(K669+C20*0.11)</f>
        <v>555.42999999999995</v>
      </c>
      <c r="O670" s="86" t="s">
        <v>140</v>
      </c>
      <c r="R670" s="86" t="s">
        <v>987</v>
      </c>
      <c r="AG670" s="86" t="s">
        <v>2284</v>
      </c>
    </row>
    <row r="671" spans="1:33" hidden="1">
      <c r="A671" s="106">
        <f t="shared" si="34"/>
        <v>499</v>
      </c>
      <c r="B671" s="86" t="s">
        <v>553</v>
      </c>
      <c r="C671" s="8">
        <v>297.44</v>
      </c>
      <c r="D671" s="1" t="s">
        <v>877</v>
      </c>
      <c r="E671"/>
      <c r="H671" s="86" t="s">
        <v>2257</v>
      </c>
      <c r="I671"/>
      <c r="J671" s="4"/>
      <c r="K671" s="8">
        <f>(K670+C21*0.11)</f>
        <v>559.29999999999995</v>
      </c>
      <c r="R671" s="89" t="s">
        <v>1609</v>
      </c>
      <c r="AG671" s="86" t="s">
        <v>322</v>
      </c>
    </row>
    <row r="672" spans="1:33" hidden="1">
      <c r="A672" s="106">
        <f t="shared" si="34"/>
        <v>500</v>
      </c>
      <c r="B672" s="86" t="s">
        <v>554</v>
      </c>
      <c r="C672" s="8">
        <v>28.6</v>
      </c>
      <c r="D672" s="1" t="s">
        <v>877</v>
      </c>
      <c r="E672"/>
      <c r="H672" s="86" t="s">
        <v>380</v>
      </c>
      <c r="I672"/>
      <c r="J672" s="4"/>
      <c r="K672" s="8">
        <f>(K671+C21*0.11)</f>
        <v>563.16999999999996</v>
      </c>
      <c r="O672" s="86" t="s">
        <v>1588</v>
      </c>
      <c r="R672" s="91">
        <f>SUM(R668:R670)</f>
        <v>21.39</v>
      </c>
    </row>
    <row r="673" spans="1:33" hidden="1">
      <c r="A673" s="106">
        <f t="shared" si="34"/>
        <v>501</v>
      </c>
      <c r="B673" s="86" t="s">
        <v>188</v>
      </c>
      <c r="C673" s="8">
        <v>228.86</v>
      </c>
      <c r="D673" s="1" t="s">
        <v>877</v>
      </c>
      <c r="E673"/>
      <c r="H673" s="86" t="s">
        <v>1384</v>
      </c>
      <c r="I673"/>
      <c r="J673" s="4"/>
      <c r="K673" s="8">
        <f>(K672+C21*0.11)</f>
        <v>567.04</v>
      </c>
      <c r="R673" s="89" t="s">
        <v>1609</v>
      </c>
    </row>
    <row r="674" spans="1:33" hidden="1">
      <c r="C674"/>
      <c r="D674"/>
      <c r="E674"/>
      <c r="F674" s="86" t="s">
        <v>987</v>
      </c>
      <c r="I674"/>
      <c r="J674" s="4"/>
      <c r="K674"/>
    </row>
    <row r="675" spans="1:33" hidden="1">
      <c r="A675" s="106">
        <f>(A673+1)</f>
        <v>502</v>
      </c>
      <c r="B675" s="86" t="s">
        <v>189</v>
      </c>
      <c r="C675" s="8">
        <v>70.47</v>
      </c>
      <c r="D675" s="1" t="s">
        <v>877</v>
      </c>
      <c r="E675"/>
      <c r="I675"/>
      <c r="J675" s="4"/>
      <c r="K675"/>
      <c r="AG675" s="86" t="s">
        <v>2284</v>
      </c>
    </row>
    <row r="676" spans="1:33" hidden="1">
      <c r="A676" s="106">
        <f t="shared" ref="A676:A707" si="35">(A675+1)</f>
        <v>503</v>
      </c>
      <c r="B676" s="86" t="s">
        <v>190</v>
      </c>
      <c r="C676" s="8">
        <v>133.62</v>
      </c>
      <c r="D676" s="1" t="s">
        <v>877</v>
      </c>
      <c r="E676"/>
      <c r="F676" s="102" t="s">
        <v>1375</v>
      </c>
      <c r="H676" s="86" t="s">
        <v>191</v>
      </c>
      <c r="I676"/>
      <c r="J676" s="4"/>
      <c r="K676"/>
      <c r="N676" s="86" t="s">
        <v>2276</v>
      </c>
      <c r="O676" s="86" t="s">
        <v>1474</v>
      </c>
      <c r="AG676" s="86" t="s">
        <v>2284</v>
      </c>
    </row>
    <row r="677" spans="1:33" hidden="1">
      <c r="A677" s="106">
        <f t="shared" si="35"/>
        <v>504</v>
      </c>
      <c r="B677" s="86" t="s">
        <v>1475</v>
      </c>
      <c r="C677" s="8">
        <v>133.62</v>
      </c>
      <c r="D677" s="1" t="s">
        <v>877</v>
      </c>
      <c r="E677"/>
      <c r="H677" s="86" t="s">
        <v>1476</v>
      </c>
      <c r="I677"/>
      <c r="J677" s="4"/>
      <c r="K677"/>
      <c r="O677" s="86" t="s">
        <v>1477</v>
      </c>
      <c r="AG677" s="86" t="s">
        <v>2284</v>
      </c>
    </row>
    <row r="678" spans="1:33" hidden="1">
      <c r="A678" s="106">
        <f t="shared" si="35"/>
        <v>505</v>
      </c>
      <c r="B678" s="86" t="s">
        <v>1478</v>
      </c>
      <c r="C678" s="8">
        <v>215</v>
      </c>
      <c r="D678" s="1" t="s">
        <v>877</v>
      </c>
      <c r="E678"/>
      <c r="H678" s="86" t="s">
        <v>1479</v>
      </c>
      <c r="I678"/>
      <c r="J678" s="4"/>
      <c r="K678"/>
      <c r="O678" s="89" t="s">
        <v>1609</v>
      </c>
      <c r="AG678" s="86" t="s">
        <v>2284</v>
      </c>
    </row>
    <row r="679" spans="1:33" hidden="1">
      <c r="A679" s="106">
        <f t="shared" si="35"/>
        <v>506</v>
      </c>
      <c r="B679" s="86" t="s">
        <v>1231</v>
      </c>
      <c r="C679" s="8">
        <v>215</v>
      </c>
      <c r="D679" s="1" t="s">
        <v>877</v>
      </c>
      <c r="E679"/>
      <c r="H679" s="89" t="s">
        <v>1609</v>
      </c>
      <c r="I679"/>
      <c r="J679" s="4"/>
      <c r="K679"/>
      <c r="M679" s="91">
        <v>1</v>
      </c>
      <c r="N679" s="86" t="s">
        <v>877</v>
      </c>
      <c r="O679" s="86" t="s">
        <v>1232</v>
      </c>
      <c r="P679" s="91">
        <f>(C392/1*0.3)</f>
        <v>14.61</v>
      </c>
      <c r="Q679" s="86" t="s">
        <v>877</v>
      </c>
      <c r="R679" s="91">
        <f>(M679*P679)</f>
        <v>14.61</v>
      </c>
      <c r="AG679" s="86" t="s">
        <v>2284</v>
      </c>
    </row>
    <row r="680" spans="1:33" hidden="1">
      <c r="A680" s="106">
        <f t="shared" si="35"/>
        <v>507</v>
      </c>
      <c r="B680" s="86" t="s">
        <v>1233</v>
      </c>
      <c r="C680" s="8">
        <v>107.64</v>
      </c>
      <c r="D680" s="1" t="s">
        <v>615</v>
      </c>
      <c r="E680"/>
      <c r="F680" s="91">
        <v>0.4</v>
      </c>
      <c r="G680" s="90" t="s">
        <v>878</v>
      </c>
      <c r="H680" s="86" t="s">
        <v>1234</v>
      </c>
      <c r="I680" s="8">
        <f>(C267)</f>
        <v>10705</v>
      </c>
      <c r="J680" s="2" t="s">
        <v>878</v>
      </c>
      <c r="K680" s="8">
        <f>(F680*I680)</f>
        <v>4282</v>
      </c>
      <c r="N680" s="86" t="s">
        <v>450</v>
      </c>
      <c r="O680" s="86" t="s">
        <v>138</v>
      </c>
      <c r="Q680" s="86" t="s">
        <v>450</v>
      </c>
      <c r="R680" s="91">
        <v>1.65</v>
      </c>
      <c r="AG680" s="86" t="s">
        <v>2284</v>
      </c>
    </row>
    <row r="681" spans="1:33" hidden="1">
      <c r="A681" s="106">
        <f t="shared" si="35"/>
        <v>508</v>
      </c>
      <c r="B681" s="86" t="s">
        <v>1235</v>
      </c>
      <c r="C681"/>
      <c r="D681"/>
      <c r="E681"/>
      <c r="F681" s="91">
        <v>0.12</v>
      </c>
      <c r="G681" s="90" t="s">
        <v>878</v>
      </c>
      <c r="H681" s="86" t="s">
        <v>1192</v>
      </c>
      <c r="I681" s="8">
        <f>(C268)</f>
        <v>9395</v>
      </c>
      <c r="J681" s="2" t="s">
        <v>878</v>
      </c>
      <c r="K681" s="8">
        <f>(F681*I681)</f>
        <v>1127.4000000000001</v>
      </c>
      <c r="O681" s="86" t="s">
        <v>140</v>
      </c>
      <c r="R681" s="86" t="s">
        <v>987</v>
      </c>
      <c r="AG681" s="86" t="s">
        <v>2284</v>
      </c>
    </row>
    <row r="682" spans="1:33" hidden="1">
      <c r="A682" s="106">
        <f t="shared" si="35"/>
        <v>509</v>
      </c>
      <c r="B682" s="86" t="s">
        <v>2144</v>
      </c>
      <c r="C682" s="8">
        <v>11.55</v>
      </c>
      <c r="D682" s="1" t="s">
        <v>877</v>
      </c>
      <c r="E682"/>
      <c r="H682" s="86" t="s">
        <v>2145</v>
      </c>
      <c r="I682" s="1" t="s">
        <v>987</v>
      </c>
      <c r="J682" s="4"/>
      <c r="K682" s="1" t="s">
        <v>987</v>
      </c>
      <c r="R682" s="89" t="s">
        <v>1609</v>
      </c>
      <c r="AG682" s="86" t="s">
        <v>2284</v>
      </c>
    </row>
    <row r="683" spans="1:33" hidden="1">
      <c r="A683" s="106">
        <f t="shared" si="35"/>
        <v>510</v>
      </c>
      <c r="B683" s="86" t="s">
        <v>1134</v>
      </c>
      <c r="C683" s="8">
        <v>16.399999999999999</v>
      </c>
      <c r="D683" s="1" t="s">
        <v>877</v>
      </c>
      <c r="E683"/>
      <c r="F683" s="91">
        <v>98.5</v>
      </c>
      <c r="G683" s="90" t="s">
        <v>1796</v>
      </c>
      <c r="H683" s="86" t="s">
        <v>1446</v>
      </c>
      <c r="I683" s="8">
        <f>(C269)</f>
        <v>15</v>
      </c>
      <c r="J683" s="2" t="s">
        <v>1796</v>
      </c>
      <c r="K683" s="8">
        <f>(F683*I683)</f>
        <v>1477.5</v>
      </c>
      <c r="O683" s="86" t="s">
        <v>1588</v>
      </c>
      <c r="R683" s="91">
        <f>SUM(R679:R681)</f>
        <v>16.260000000000002</v>
      </c>
      <c r="AG683" s="86" t="s">
        <v>2284</v>
      </c>
    </row>
    <row r="684" spans="1:33" hidden="1">
      <c r="A684" s="106">
        <f t="shared" si="35"/>
        <v>511</v>
      </c>
      <c r="B684" s="86" t="s">
        <v>1135</v>
      </c>
      <c r="C684" s="8">
        <v>27.85</v>
      </c>
      <c r="D684" s="1" t="s">
        <v>877</v>
      </c>
      <c r="E684"/>
      <c r="H684" s="86" t="s">
        <v>312</v>
      </c>
      <c r="I684" s="1" t="s">
        <v>987</v>
      </c>
      <c r="J684" s="4"/>
      <c r="K684" s="1" t="s">
        <v>248</v>
      </c>
      <c r="R684" s="89" t="s">
        <v>1609</v>
      </c>
      <c r="AG684" s="86" t="s">
        <v>2284</v>
      </c>
    </row>
    <row r="685" spans="1:33" hidden="1">
      <c r="A685" s="106">
        <f t="shared" si="35"/>
        <v>512</v>
      </c>
      <c r="B685" s="86" t="s">
        <v>1136</v>
      </c>
      <c r="C685" s="8">
        <v>49.9</v>
      </c>
      <c r="D685" s="1" t="s">
        <v>877</v>
      </c>
      <c r="E685"/>
      <c r="I685"/>
      <c r="J685" s="4"/>
      <c r="K685" s="5" t="s">
        <v>1609</v>
      </c>
      <c r="O685" s="102" t="s">
        <v>668</v>
      </c>
      <c r="R685" s="86" t="s">
        <v>987</v>
      </c>
      <c r="AG685" s="86" t="s">
        <v>2284</v>
      </c>
    </row>
    <row r="686" spans="1:33" hidden="1">
      <c r="A686" s="106">
        <f t="shared" si="35"/>
        <v>513</v>
      </c>
      <c r="B686" s="86" t="s">
        <v>1138</v>
      </c>
      <c r="C686" s="8">
        <v>69.25</v>
      </c>
      <c r="D686" s="1" t="s">
        <v>877</v>
      </c>
      <c r="E686"/>
      <c r="H686" s="86" t="s">
        <v>669</v>
      </c>
      <c r="I686"/>
      <c r="J686" s="4"/>
      <c r="K686" s="8">
        <f>SUM(K680:K684)</f>
        <v>6886.9</v>
      </c>
      <c r="M686" s="122"/>
      <c r="O686" s="102" t="s">
        <v>2110</v>
      </c>
      <c r="AG686" s="86" t="s">
        <v>2284</v>
      </c>
    </row>
    <row r="687" spans="1:33" hidden="1">
      <c r="A687" s="106">
        <f t="shared" si="35"/>
        <v>514</v>
      </c>
      <c r="B687" s="86" t="s">
        <v>1931</v>
      </c>
      <c r="C687"/>
      <c r="D687" s="1" t="s">
        <v>987</v>
      </c>
      <c r="E687"/>
      <c r="H687" s="86" t="s">
        <v>987</v>
      </c>
      <c r="I687"/>
      <c r="J687" s="4"/>
      <c r="K687" s="5" t="s">
        <v>1609</v>
      </c>
      <c r="M687" s="102" t="s">
        <v>1561</v>
      </c>
      <c r="N687" s="86" t="s">
        <v>1932</v>
      </c>
      <c r="O687" s="86" t="s">
        <v>2980</v>
      </c>
      <c r="AG687" s="86" t="s">
        <v>2284</v>
      </c>
    </row>
    <row r="688" spans="1:33" hidden="1">
      <c r="A688" s="106">
        <f t="shared" si="35"/>
        <v>515</v>
      </c>
      <c r="B688" s="86" t="s">
        <v>240</v>
      </c>
      <c r="C688" s="8">
        <v>20</v>
      </c>
      <c r="D688" s="1" t="s">
        <v>877</v>
      </c>
      <c r="E688"/>
      <c r="F688" s="91">
        <v>10</v>
      </c>
      <c r="G688" s="90" t="s">
        <v>615</v>
      </c>
      <c r="H688" s="86" t="s">
        <v>500</v>
      </c>
      <c r="I688" s="8">
        <f>(K686/50)</f>
        <v>137.74</v>
      </c>
      <c r="J688" s="2" t="s">
        <v>615</v>
      </c>
      <c r="K688" s="8">
        <f>(F688*I688)</f>
        <v>1377.4</v>
      </c>
      <c r="O688" s="89" t="s">
        <v>1609</v>
      </c>
      <c r="AG688" s="86" t="s">
        <v>2284</v>
      </c>
    </row>
    <row r="689" spans="1:33" hidden="1">
      <c r="A689" s="106">
        <f t="shared" si="35"/>
        <v>516</v>
      </c>
      <c r="B689" s="86" t="s">
        <v>501</v>
      </c>
      <c r="C689" s="8">
        <v>45</v>
      </c>
      <c r="D689" s="1" t="s">
        <v>877</v>
      </c>
      <c r="E689"/>
      <c r="F689" s="91">
        <v>3.8</v>
      </c>
      <c r="G689" s="90" t="s">
        <v>778</v>
      </c>
      <c r="H689" s="86" t="s">
        <v>502</v>
      </c>
      <c r="I689" s="8">
        <f>(C16)</f>
        <v>150</v>
      </c>
      <c r="J689" s="2" t="s">
        <v>778</v>
      </c>
      <c r="K689" s="8">
        <f>(F689*I689)</f>
        <v>570</v>
      </c>
      <c r="M689" s="122">
        <v>2.69E-2</v>
      </c>
      <c r="N689" s="86" t="s">
        <v>878</v>
      </c>
      <c r="O689" s="86" t="s">
        <v>1334</v>
      </c>
      <c r="P689" s="91">
        <f>C86+2500</f>
        <v>23105</v>
      </c>
      <c r="Q689" s="86" t="s">
        <v>878</v>
      </c>
      <c r="R689" s="91">
        <f t="shared" ref="R689:R695" si="36">M689*P689</f>
        <v>621.52</v>
      </c>
      <c r="AG689" s="86" t="s">
        <v>2284</v>
      </c>
    </row>
    <row r="690" spans="1:33" hidden="1">
      <c r="A690" s="106">
        <f t="shared" si="35"/>
        <v>517</v>
      </c>
      <c r="B690" s="86" t="s">
        <v>1335</v>
      </c>
      <c r="C690"/>
      <c r="D690" s="1" t="s">
        <v>248</v>
      </c>
      <c r="E690"/>
      <c r="F690" s="91">
        <v>5.4</v>
      </c>
      <c r="G690" s="90" t="s">
        <v>778</v>
      </c>
      <c r="H690" s="86" t="s">
        <v>1927</v>
      </c>
      <c r="I690" s="8">
        <f>(C12)</f>
        <v>95</v>
      </c>
      <c r="J690" s="2" t="s">
        <v>778</v>
      </c>
      <c r="K690" s="8">
        <f>(F690*I690)</f>
        <v>513</v>
      </c>
      <c r="M690" s="122">
        <v>1.2949999999999999</v>
      </c>
      <c r="N690" s="86" t="s">
        <v>615</v>
      </c>
      <c r="O690" s="86" t="s">
        <v>1316</v>
      </c>
      <c r="P690" s="91">
        <f>C753</f>
        <v>381.37</v>
      </c>
      <c r="Q690" s="86" t="s">
        <v>615</v>
      </c>
      <c r="R690" s="91">
        <f t="shared" si="36"/>
        <v>493.87</v>
      </c>
      <c r="AG690" s="86" t="s">
        <v>2284</v>
      </c>
    </row>
    <row r="691" spans="1:33" hidden="1">
      <c r="A691" s="106">
        <f t="shared" si="35"/>
        <v>518</v>
      </c>
      <c r="B691" s="86" t="s">
        <v>240</v>
      </c>
      <c r="C691" s="8">
        <v>19.09</v>
      </c>
      <c r="D691" s="1" t="s">
        <v>877</v>
      </c>
      <c r="E691"/>
      <c r="G691" s="90" t="s">
        <v>450</v>
      </c>
      <c r="H691" s="86" t="s">
        <v>1317</v>
      </c>
      <c r="I691"/>
      <c r="J691" s="2" t="s">
        <v>450</v>
      </c>
      <c r="K691" s="8">
        <v>5</v>
      </c>
      <c r="M691" s="122">
        <v>1.8149999999999999</v>
      </c>
      <c r="N691" s="86" t="s">
        <v>615</v>
      </c>
      <c r="O691" s="86" t="s">
        <v>2118</v>
      </c>
      <c r="P691" s="91">
        <f>C31</f>
        <v>342</v>
      </c>
      <c r="Q691" s="86" t="s">
        <v>615</v>
      </c>
      <c r="R691" s="91">
        <f t="shared" si="36"/>
        <v>620.73</v>
      </c>
      <c r="AG691" s="86" t="s">
        <v>2284</v>
      </c>
    </row>
    <row r="692" spans="1:33" hidden="1">
      <c r="A692" s="106">
        <f t="shared" si="35"/>
        <v>519</v>
      </c>
      <c r="B692" s="86" t="s">
        <v>501</v>
      </c>
      <c r="C692" s="8">
        <v>50.66</v>
      </c>
      <c r="D692" s="1" t="s">
        <v>877</v>
      </c>
      <c r="E692"/>
      <c r="I692"/>
      <c r="J692" s="4"/>
      <c r="K692" s="5" t="s">
        <v>1609</v>
      </c>
      <c r="M692" s="91">
        <v>2</v>
      </c>
      <c r="N692" s="86" t="s">
        <v>877</v>
      </c>
      <c r="O692" s="86" t="s">
        <v>1748</v>
      </c>
      <c r="P692" s="91">
        <f>C298</f>
        <v>10.5</v>
      </c>
      <c r="Q692" s="86" t="s">
        <v>877</v>
      </c>
      <c r="R692" s="91">
        <f t="shared" si="36"/>
        <v>21</v>
      </c>
      <c r="AG692" s="86" t="s">
        <v>2284</v>
      </c>
    </row>
    <row r="693" spans="1:33" hidden="1">
      <c r="A693" s="106">
        <f t="shared" si="35"/>
        <v>520</v>
      </c>
      <c r="B693" s="86" t="s">
        <v>1642</v>
      </c>
      <c r="C693" s="8">
        <v>1183.82</v>
      </c>
      <c r="D693" s="1" t="s">
        <v>615</v>
      </c>
      <c r="E693"/>
      <c r="H693" s="86" t="s">
        <v>442</v>
      </c>
      <c r="I693"/>
      <c r="J693" s="4"/>
      <c r="K693" s="8">
        <f>SUM(K688:K691)</f>
        <v>2465.4</v>
      </c>
      <c r="M693" s="91">
        <v>3</v>
      </c>
      <c r="N693" s="86" t="s">
        <v>877</v>
      </c>
      <c r="O693" s="86" t="s">
        <v>1643</v>
      </c>
      <c r="P693" s="91">
        <f>C294</f>
        <v>8.5</v>
      </c>
      <c r="Q693" s="86" t="s">
        <v>877</v>
      </c>
      <c r="R693" s="91">
        <f t="shared" si="36"/>
        <v>25.5</v>
      </c>
      <c r="AG693" s="86" t="s">
        <v>2284</v>
      </c>
    </row>
    <row r="694" spans="1:33" hidden="1">
      <c r="A694" s="106">
        <f t="shared" si="35"/>
        <v>521</v>
      </c>
      <c r="B694" s="86" t="s">
        <v>1644</v>
      </c>
      <c r="C694" s="8">
        <v>1605</v>
      </c>
      <c r="D694" s="1" t="s">
        <v>615</v>
      </c>
      <c r="E694"/>
      <c r="I694"/>
      <c r="J694" s="4"/>
      <c r="K694" s="5" t="s">
        <v>1609</v>
      </c>
      <c r="M694" s="91">
        <v>1</v>
      </c>
      <c r="N694" s="86" t="s">
        <v>877</v>
      </c>
      <c r="O694" s="86" t="s">
        <v>1732</v>
      </c>
      <c r="P694" s="91">
        <f>C300</f>
        <v>21</v>
      </c>
      <c r="Q694" s="86" t="s">
        <v>877</v>
      </c>
      <c r="R694" s="91">
        <f t="shared" si="36"/>
        <v>21</v>
      </c>
      <c r="AG694" s="86" t="s">
        <v>2284</v>
      </c>
    </row>
    <row r="695" spans="1:33" hidden="1">
      <c r="A695" s="106">
        <f t="shared" si="35"/>
        <v>522</v>
      </c>
      <c r="B695" s="86" t="s">
        <v>1740</v>
      </c>
      <c r="C695" s="1" t="s">
        <v>2981</v>
      </c>
      <c r="D695" s="1" t="s">
        <v>1741</v>
      </c>
      <c r="E695"/>
      <c r="H695" s="86" t="s">
        <v>556</v>
      </c>
      <c r="I695"/>
      <c r="J695" s="4"/>
      <c r="K695" s="8">
        <f>(K693/10)</f>
        <v>246.54</v>
      </c>
      <c r="M695" s="91">
        <v>1</v>
      </c>
      <c r="N695" s="86" t="s">
        <v>877</v>
      </c>
      <c r="O695" s="86" t="s">
        <v>2005</v>
      </c>
      <c r="P695" s="91">
        <f>C302</f>
        <v>4</v>
      </c>
      <c r="Q695" s="86" t="s">
        <v>877</v>
      </c>
      <c r="R695" s="91">
        <f t="shared" si="36"/>
        <v>4</v>
      </c>
      <c r="AG695" s="86" t="s">
        <v>2284</v>
      </c>
    </row>
    <row r="696" spans="1:33" hidden="1">
      <c r="A696" s="106">
        <f t="shared" si="35"/>
        <v>523</v>
      </c>
      <c r="B696" s="86" t="s">
        <v>1742</v>
      </c>
      <c r="C696" s="8">
        <v>147.6</v>
      </c>
      <c r="D696" s="1" t="s">
        <v>1796</v>
      </c>
      <c r="E696"/>
      <c r="I696"/>
      <c r="J696" s="4"/>
      <c r="K696" s="5" t="s">
        <v>2080</v>
      </c>
      <c r="N696" s="86" t="s">
        <v>450</v>
      </c>
      <c r="O696" s="86" t="s">
        <v>451</v>
      </c>
      <c r="Q696" s="86" t="s">
        <v>450</v>
      </c>
      <c r="R696" s="91">
        <v>0</v>
      </c>
      <c r="AG696" s="86" t="s">
        <v>2284</v>
      </c>
    </row>
    <row r="697" spans="1:33" hidden="1">
      <c r="A697" s="106">
        <f t="shared" si="35"/>
        <v>524</v>
      </c>
      <c r="B697" s="86" t="s">
        <v>1743</v>
      </c>
      <c r="C697" s="8">
        <v>147.6</v>
      </c>
      <c r="D697" s="1" t="s">
        <v>1796</v>
      </c>
      <c r="E697"/>
      <c r="I697"/>
      <c r="J697" s="4"/>
      <c r="K697"/>
      <c r="R697" s="89" t="s">
        <v>1609</v>
      </c>
      <c r="AG697" s="86" t="s">
        <v>2284</v>
      </c>
    </row>
    <row r="698" spans="1:33" hidden="1">
      <c r="A698" s="106">
        <f t="shared" si="35"/>
        <v>525</v>
      </c>
      <c r="B698" s="86" t="s">
        <v>1744</v>
      </c>
      <c r="C698" s="8">
        <v>147.6</v>
      </c>
      <c r="D698" s="1" t="s">
        <v>1796</v>
      </c>
      <c r="E698"/>
      <c r="F698" s="102" t="s">
        <v>2069</v>
      </c>
      <c r="G698" s="90" t="s">
        <v>2276</v>
      </c>
      <c r="H698" s="86" t="s">
        <v>11</v>
      </c>
      <c r="I698"/>
      <c r="J698" s="4"/>
      <c r="K698"/>
      <c r="O698" s="102" t="s">
        <v>12</v>
      </c>
      <c r="R698" s="91">
        <f>SUM(R689:R696)</f>
        <v>1807.62</v>
      </c>
      <c r="AG698" s="86" t="s">
        <v>2284</v>
      </c>
    </row>
    <row r="699" spans="1:33" hidden="1">
      <c r="A699" s="106">
        <f t="shared" si="35"/>
        <v>526</v>
      </c>
      <c r="B699" s="86" t="s">
        <v>654</v>
      </c>
      <c r="C699" s="8">
        <v>1250</v>
      </c>
      <c r="D699" s="1" t="s">
        <v>615</v>
      </c>
      <c r="E699"/>
      <c r="H699" s="86" t="s">
        <v>655</v>
      </c>
      <c r="I699"/>
      <c r="J699" s="4"/>
      <c r="K699"/>
      <c r="R699" s="89" t="s">
        <v>1609</v>
      </c>
      <c r="AG699" s="86" t="s">
        <v>2284</v>
      </c>
    </row>
    <row r="700" spans="1:33" hidden="1">
      <c r="A700" s="106">
        <f t="shared" si="35"/>
        <v>527</v>
      </c>
      <c r="B700" s="86" t="s">
        <v>656</v>
      </c>
      <c r="C700" s="8">
        <v>1250</v>
      </c>
      <c r="D700" s="1" t="s">
        <v>615</v>
      </c>
      <c r="E700"/>
      <c r="H700" s="86" t="s">
        <v>657</v>
      </c>
      <c r="I700"/>
      <c r="J700" s="4"/>
      <c r="K700"/>
      <c r="N700" s="86" t="s">
        <v>987</v>
      </c>
      <c r="O700" s="102" t="s">
        <v>556</v>
      </c>
      <c r="R700" s="91">
        <f>R698/M690</f>
        <v>1395.85</v>
      </c>
      <c r="AG700" s="86" t="s">
        <v>2284</v>
      </c>
    </row>
    <row r="701" spans="1:33" hidden="1">
      <c r="A701" s="106">
        <f t="shared" si="35"/>
        <v>528</v>
      </c>
      <c r="B701" s="86" t="s">
        <v>1253</v>
      </c>
      <c r="C701" s="8">
        <v>1250</v>
      </c>
      <c r="D701" s="1" t="s">
        <v>615</v>
      </c>
      <c r="E701"/>
      <c r="H701" s="86" t="s">
        <v>519</v>
      </c>
      <c r="I701"/>
      <c r="J701" s="4"/>
      <c r="K701"/>
      <c r="R701" s="89" t="s">
        <v>2080</v>
      </c>
      <c r="AG701" s="86" t="s">
        <v>2284</v>
      </c>
    </row>
    <row r="702" spans="1:33" hidden="1">
      <c r="A702" s="106">
        <f t="shared" si="35"/>
        <v>529</v>
      </c>
      <c r="B702" s="86" t="s">
        <v>520</v>
      </c>
      <c r="C702" s="8">
        <v>1250</v>
      </c>
      <c r="D702" s="1" t="s">
        <v>615</v>
      </c>
      <c r="E702"/>
      <c r="H702" s="86" t="s">
        <v>521</v>
      </c>
      <c r="I702"/>
      <c r="J702" s="4"/>
      <c r="K702"/>
      <c r="M702" s="102" t="s">
        <v>1561</v>
      </c>
      <c r="N702" s="86" t="s">
        <v>522</v>
      </c>
      <c r="O702" s="86" t="s">
        <v>523</v>
      </c>
      <c r="AG702" s="86" t="s">
        <v>2284</v>
      </c>
    </row>
    <row r="703" spans="1:33" hidden="1">
      <c r="A703" s="106">
        <f t="shared" si="35"/>
        <v>530</v>
      </c>
      <c r="B703" s="86" t="s">
        <v>524</v>
      </c>
      <c r="C703" s="8">
        <v>1250</v>
      </c>
      <c r="D703" s="1" t="s">
        <v>615</v>
      </c>
      <c r="E703"/>
      <c r="H703" s="86" t="s">
        <v>2</v>
      </c>
      <c r="I703"/>
      <c r="J703" s="4"/>
      <c r="K703"/>
      <c r="O703" s="89" t="s">
        <v>1609</v>
      </c>
      <c r="AG703" s="86" t="s">
        <v>2284</v>
      </c>
    </row>
    <row r="704" spans="1:33" hidden="1">
      <c r="A704" s="106">
        <f t="shared" si="35"/>
        <v>531</v>
      </c>
      <c r="B704" s="86" t="s">
        <v>770</v>
      </c>
      <c r="C704" s="8">
        <v>1250</v>
      </c>
      <c r="D704" s="1" t="s">
        <v>615</v>
      </c>
      <c r="E704"/>
      <c r="H704" s="86" t="s">
        <v>1244</v>
      </c>
      <c r="I704"/>
      <c r="J704" s="4"/>
      <c r="K704"/>
      <c r="M704" s="122">
        <v>2.5499999999999998E-2</v>
      </c>
      <c r="N704" s="86" t="s">
        <v>878</v>
      </c>
      <c r="O704" s="86" t="s">
        <v>1334</v>
      </c>
      <c r="P704" s="91">
        <f>C86+2500</f>
        <v>23105</v>
      </c>
      <c r="Q704" s="86" t="s">
        <v>878</v>
      </c>
      <c r="R704" s="91">
        <f t="shared" ref="R704:R710" si="37">M704*P704</f>
        <v>589.17999999999995</v>
      </c>
      <c r="AG704" s="86" t="s">
        <v>2284</v>
      </c>
    </row>
    <row r="705" spans="1:33" hidden="1">
      <c r="A705" s="106">
        <f t="shared" si="35"/>
        <v>532</v>
      </c>
      <c r="B705" s="86" t="s">
        <v>1245</v>
      </c>
      <c r="C705" s="8">
        <v>1250</v>
      </c>
      <c r="D705" s="1" t="s">
        <v>615</v>
      </c>
      <c r="E705"/>
      <c r="H705" s="89" t="s">
        <v>1609</v>
      </c>
      <c r="I705" s="5" t="s">
        <v>1609</v>
      </c>
      <c r="J705" s="2" t="s">
        <v>1609</v>
      </c>
      <c r="K705"/>
      <c r="M705" s="122">
        <v>1.1299999999999999</v>
      </c>
      <c r="N705" s="86" t="s">
        <v>615</v>
      </c>
      <c r="O705" s="86" t="s">
        <v>1316</v>
      </c>
      <c r="P705" s="91">
        <f>C753</f>
        <v>381.37</v>
      </c>
      <c r="Q705" s="86" t="s">
        <v>615</v>
      </c>
      <c r="R705" s="91">
        <f t="shared" si="37"/>
        <v>430.95</v>
      </c>
      <c r="AG705" s="86" t="s">
        <v>2284</v>
      </c>
    </row>
    <row r="706" spans="1:33" hidden="1">
      <c r="A706" s="106">
        <f t="shared" si="35"/>
        <v>533</v>
      </c>
      <c r="B706" s="86" t="s">
        <v>1246</v>
      </c>
      <c r="C706" s="8">
        <v>1250</v>
      </c>
      <c r="D706" s="1" t="s">
        <v>615</v>
      </c>
      <c r="E706"/>
      <c r="F706" s="91">
        <v>13.46</v>
      </c>
      <c r="G706" s="90" t="s">
        <v>268</v>
      </c>
      <c r="H706" s="86" t="s">
        <v>269</v>
      </c>
      <c r="I706" s="8">
        <f>C34/1000</f>
        <v>30</v>
      </c>
      <c r="J706" s="2" t="s">
        <v>268</v>
      </c>
      <c r="K706" s="8">
        <f>(F706*I706)</f>
        <v>403.8</v>
      </c>
      <c r="M706" s="122">
        <v>1.6191</v>
      </c>
      <c r="N706" s="86" t="s">
        <v>615</v>
      </c>
      <c r="O706" s="86" t="s">
        <v>2118</v>
      </c>
      <c r="P706" s="91">
        <f>C31</f>
        <v>342</v>
      </c>
      <c r="Q706" s="86" t="s">
        <v>615</v>
      </c>
      <c r="R706" s="91">
        <f t="shared" si="37"/>
        <v>553.73</v>
      </c>
      <c r="AG706" s="86" t="s">
        <v>2284</v>
      </c>
    </row>
    <row r="707" spans="1:33" hidden="1">
      <c r="A707" s="106">
        <f t="shared" si="35"/>
        <v>534</v>
      </c>
      <c r="B707" s="86" t="s">
        <v>991</v>
      </c>
      <c r="C707" s="8">
        <v>1250</v>
      </c>
      <c r="D707" s="1" t="s">
        <v>615</v>
      </c>
      <c r="E707"/>
      <c r="H707" s="86" t="s">
        <v>992</v>
      </c>
      <c r="I707"/>
      <c r="J707" s="4"/>
      <c r="K707"/>
      <c r="M707" s="91">
        <v>2</v>
      </c>
      <c r="N707" s="86" t="s">
        <v>877</v>
      </c>
      <c r="O707" s="86" t="s">
        <v>1748</v>
      </c>
      <c r="P707" s="91">
        <f>C298</f>
        <v>10.5</v>
      </c>
      <c r="Q707" s="86" t="s">
        <v>877</v>
      </c>
      <c r="R707" s="91">
        <f t="shared" si="37"/>
        <v>21</v>
      </c>
      <c r="AG707" s="86" t="s">
        <v>2284</v>
      </c>
    </row>
    <row r="708" spans="1:33" hidden="1">
      <c r="A708" s="106">
        <f t="shared" ref="A708:A733" si="38">(A707+1)</f>
        <v>535</v>
      </c>
      <c r="B708" s="86" t="s">
        <v>993</v>
      </c>
      <c r="C708" s="8">
        <v>1250</v>
      </c>
      <c r="D708" s="1" t="s">
        <v>615</v>
      </c>
      <c r="E708"/>
      <c r="F708" s="91">
        <v>4</v>
      </c>
      <c r="G708" s="90" t="s">
        <v>268</v>
      </c>
      <c r="H708" s="86" t="s">
        <v>994</v>
      </c>
      <c r="I708" s="8">
        <f>D34/1000</f>
        <v>30</v>
      </c>
      <c r="J708" s="2" t="s">
        <v>268</v>
      </c>
      <c r="K708" s="8">
        <f>(F708*I708)</f>
        <v>120</v>
      </c>
      <c r="M708" s="91">
        <v>3</v>
      </c>
      <c r="N708" s="86" t="s">
        <v>877</v>
      </c>
      <c r="O708" s="86" t="s">
        <v>1643</v>
      </c>
      <c r="P708" s="91">
        <f>C294</f>
        <v>8.5</v>
      </c>
      <c r="Q708" s="86" t="s">
        <v>877</v>
      </c>
      <c r="R708" s="91">
        <f t="shared" si="37"/>
        <v>25.5</v>
      </c>
      <c r="AG708" s="86" t="s">
        <v>2284</v>
      </c>
    </row>
    <row r="709" spans="1:33" hidden="1">
      <c r="A709" s="106">
        <f t="shared" si="38"/>
        <v>536</v>
      </c>
      <c r="B709" s="86" t="s">
        <v>954</v>
      </c>
      <c r="C709" s="8">
        <v>1250</v>
      </c>
      <c r="D709" s="1" t="s">
        <v>615</v>
      </c>
      <c r="E709"/>
      <c r="H709" s="86" t="s">
        <v>1045</v>
      </c>
      <c r="I709"/>
      <c r="J709" s="4"/>
      <c r="K709"/>
      <c r="M709" s="91">
        <v>1</v>
      </c>
      <c r="N709" s="86" t="s">
        <v>877</v>
      </c>
      <c r="O709" s="86" t="s">
        <v>1732</v>
      </c>
      <c r="P709" s="91">
        <f>C300</f>
        <v>21</v>
      </c>
      <c r="Q709" s="86" t="s">
        <v>877</v>
      </c>
      <c r="R709" s="91">
        <f t="shared" si="37"/>
        <v>21</v>
      </c>
      <c r="AG709" s="86" t="s">
        <v>2284</v>
      </c>
    </row>
    <row r="710" spans="1:33" hidden="1">
      <c r="A710" s="106">
        <f t="shared" si="38"/>
        <v>537</v>
      </c>
      <c r="B710" s="86" t="s">
        <v>1245</v>
      </c>
      <c r="C710" s="8">
        <v>1250</v>
      </c>
      <c r="D710" s="1" t="s">
        <v>615</v>
      </c>
      <c r="E710"/>
      <c r="F710" s="91"/>
      <c r="G710" s="90" t="s">
        <v>450</v>
      </c>
      <c r="H710" s="86" t="s">
        <v>1681</v>
      </c>
      <c r="I710"/>
      <c r="J710" s="2" t="s">
        <v>450</v>
      </c>
      <c r="K710" s="8">
        <v>40</v>
      </c>
      <c r="M710" s="91">
        <v>1</v>
      </c>
      <c r="N710" s="86" t="s">
        <v>877</v>
      </c>
      <c r="O710" s="86" t="s">
        <v>2005</v>
      </c>
      <c r="P710" s="91">
        <f>C302</f>
        <v>4</v>
      </c>
      <c r="Q710" s="86" t="s">
        <v>877</v>
      </c>
      <c r="R710" s="91">
        <f t="shared" si="37"/>
        <v>4</v>
      </c>
      <c r="AG710" s="86" t="s">
        <v>2284</v>
      </c>
    </row>
    <row r="711" spans="1:33" hidden="1">
      <c r="A711" s="106">
        <f t="shared" si="38"/>
        <v>538</v>
      </c>
      <c r="B711" s="86" t="s">
        <v>1682</v>
      </c>
      <c r="C711"/>
      <c r="D711" s="1" t="s">
        <v>987</v>
      </c>
      <c r="E711"/>
      <c r="H711" s="86" t="s">
        <v>1683</v>
      </c>
      <c r="I711"/>
      <c r="J711" s="4"/>
      <c r="K711" s="5" t="s">
        <v>1609</v>
      </c>
      <c r="N711" s="86" t="s">
        <v>450</v>
      </c>
      <c r="O711" s="86" t="s">
        <v>451</v>
      </c>
      <c r="Q711" s="86" t="s">
        <v>450</v>
      </c>
      <c r="R711" s="91">
        <v>0</v>
      </c>
      <c r="AG711" s="86" t="s">
        <v>2284</v>
      </c>
    </row>
    <row r="712" spans="1:33" hidden="1">
      <c r="A712" s="106">
        <f t="shared" si="38"/>
        <v>539</v>
      </c>
      <c r="B712" s="86" t="s">
        <v>1684</v>
      </c>
      <c r="C712" s="8">
        <v>65</v>
      </c>
      <c r="D712" s="1" t="s">
        <v>1741</v>
      </c>
      <c r="E712"/>
      <c r="H712" s="102" t="s">
        <v>25</v>
      </c>
      <c r="I712"/>
      <c r="J712" s="4"/>
      <c r="K712" s="8">
        <f>SUM(K706:K710)</f>
        <v>563.79999999999995</v>
      </c>
      <c r="R712" s="89" t="s">
        <v>1609</v>
      </c>
      <c r="AG712" s="86" t="s">
        <v>2284</v>
      </c>
    </row>
    <row r="713" spans="1:33" hidden="1">
      <c r="A713" s="106">
        <f t="shared" si="38"/>
        <v>540</v>
      </c>
      <c r="B713" s="86" t="s">
        <v>26</v>
      </c>
      <c r="C713" s="8">
        <v>64.55</v>
      </c>
      <c r="D713" s="1" t="s">
        <v>1741</v>
      </c>
      <c r="E713"/>
      <c r="I713"/>
      <c r="J713" s="4"/>
      <c r="K713" s="5" t="s">
        <v>1609</v>
      </c>
      <c r="O713" s="102" t="s">
        <v>27</v>
      </c>
      <c r="R713" s="91">
        <f>SUM(R704:R711)</f>
        <v>1645.36</v>
      </c>
      <c r="AG713" s="86" t="s">
        <v>2284</v>
      </c>
    </row>
    <row r="714" spans="1:33" hidden="1">
      <c r="A714" s="106">
        <f t="shared" si="38"/>
        <v>541</v>
      </c>
      <c r="B714" s="86" t="s">
        <v>28</v>
      </c>
      <c r="C714" s="8">
        <v>110.95</v>
      </c>
      <c r="D714" s="1" t="s">
        <v>1741</v>
      </c>
      <c r="E714"/>
      <c r="H714" s="102" t="s">
        <v>29</v>
      </c>
      <c r="I714"/>
      <c r="J714" s="4"/>
      <c r="K714" s="8">
        <f>K712/40</f>
        <v>14.1</v>
      </c>
      <c r="R714" s="89" t="s">
        <v>1609</v>
      </c>
      <c r="AG714" s="86" t="s">
        <v>2284</v>
      </c>
    </row>
    <row r="715" spans="1:33" hidden="1">
      <c r="A715" s="106">
        <f t="shared" si="38"/>
        <v>542</v>
      </c>
      <c r="B715" s="86" t="s">
        <v>1032</v>
      </c>
      <c r="C715" s="8">
        <v>399</v>
      </c>
      <c r="D715" s="1" t="s">
        <v>1741</v>
      </c>
      <c r="E715"/>
      <c r="I715"/>
      <c r="J715" s="4"/>
      <c r="K715" s="5" t="s">
        <v>1609</v>
      </c>
      <c r="O715" s="102" t="s">
        <v>556</v>
      </c>
      <c r="R715" s="91">
        <f>R713/M706</f>
        <v>1016.22</v>
      </c>
      <c r="AG715" s="86" t="s">
        <v>2284</v>
      </c>
    </row>
    <row r="716" spans="1:33" hidden="1">
      <c r="A716" s="106">
        <f t="shared" si="38"/>
        <v>543</v>
      </c>
      <c r="B716" s="86" t="s">
        <v>905</v>
      </c>
      <c r="C716" s="8">
        <v>92</v>
      </c>
      <c r="D716" s="1" t="s">
        <v>1741</v>
      </c>
      <c r="E716"/>
      <c r="H716" s="86" t="s">
        <v>906</v>
      </c>
      <c r="I716"/>
      <c r="J716" s="4"/>
      <c r="K716"/>
      <c r="R716" s="89" t="s">
        <v>2080</v>
      </c>
      <c r="AG716" s="86" t="s">
        <v>2284</v>
      </c>
    </row>
    <row r="717" spans="1:33" hidden="1">
      <c r="A717" s="106">
        <f t="shared" si="38"/>
        <v>544</v>
      </c>
      <c r="B717" s="86" t="s">
        <v>313</v>
      </c>
      <c r="C717" s="8">
        <v>174.24</v>
      </c>
      <c r="D717" s="1" t="s">
        <v>1741</v>
      </c>
      <c r="E717"/>
      <c r="H717" s="86" t="s">
        <v>314</v>
      </c>
      <c r="I717"/>
      <c r="J717" s="4"/>
      <c r="K717"/>
      <c r="AG717" s="86" t="s">
        <v>2284</v>
      </c>
    </row>
    <row r="718" spans="1:33" hidden="1">
      <c r="A718" s="106">
        <f t="shared" si="38"/>
        <v>545</v>
      </c>
      <c r="B718" s="86" t="s">
        <v>315</v>
      </c>
      <c r="C718" s="8">
        <v>215.06</v>
      </c>
      <c r="D718" s="1" t="s">
        <v>1741</v>
      </c>
      <c r="E718"/>
      <c r="H718" s="86" t="s">
        <v>316</v>
      </c>
      <c r="I718"/>
      <c r="J718" s="4"/>
      <c r="K718"/>
      <c r="M718" s="102" t="s">
        <v>1561</v>
      </c>
      <c r="N718" s="86" t="s">
        <v>317</v>
      </c>
      <c r="O718" s="86" t="s">
        <v>1645</v>
      </c>
      <c r="AG718" s="86" t="s">
        <v>2284</v>
      </c>
    </row>
    <row r="719" spans="1:33" hidden="1">
      <c r="A719" s="106">
        <f t="shared" si="38"/>
        <v>546</v>
      </c>
      <c r="B719" s="86" t="s">
        <v>1646</v>
      </c>
      <c r="C719" s="8">
        <v>97.24</v>
      </c>
      <c r="D719" s="1" t="s">
        <v>1741</v>
      </c>
      <c r="E719"/>
      <c r="I719"/>
      <c r="J719" s="4"/>
      <c r="K719"/>
      <c r="O719" s="89" t="s">
        <v>1609</v>
      </c>
      <c r="AG719" s="86" t="s">
        <v>2284</v>
      </c>
    </row>
    <row r="720" spans="1:33" hidden="1">
      <c r="A720" s="106">
        <f t="shared" si="38"/>
        <v>547</v>
      </c>
      <c r="B720" s="86" t="s">
        <v>1451</v>
      </c>
      <c r="C720" s="8">
        <v>168.96</v>
      </c>
      <c r="D720" s="1" t="s">
        <v>1741</v>
      </c>
      <c r="E720"/>
      <c r="F720" s="91">
        <v>19</v>
      </c>
      <c r="G720" s="90" t="s">
        <v>1452</v>
      </c>
      <c r="H720" s="86" t="s">
        <v>70</v>
      </c>
      <c r="I720" s="8">
        <f>K714</f>
        <v>14.1</v>
      </c>
      <c r="J720" s="2" t="s">
        <v>259</v>
      </c>
      <c r="K720" s="8">
        <f>(F720*I720)</f>
        <v>267.89999999999998</v>
      </c>
      <c r="M720" s="122">
        <v>2.35E-2</v>
      </c>
      <c r="N720" s="86" t="s">
        <v>878</v>
      </c>
      <c r="O720" s="86" t="s">
        <v>1334</v>
      </c>
      <c r="P720" s="91">
        <f>C86+2500</f>
        <v>23105</v>
      </c>
      <c r="Q720" s="86" t="s">
        <v>878</v>
      </c>
      <c r="R720" s="91">
        <f t="shared" ref="R720:R726" si="39">M720*P720</f>
        <v>542.97</v>
      </c>
      <c r="AG720" s="86" t="s">
        <v>2284</v>
      </c>
    </row>
    <row r="721" spans="1:33" hidden="1">
      <c r="A721" s="106">
        <f t="shared" si="38"/>
        <v>548</v>
      </c>
      <c r="B721" s="86" t="s">
        <v>2982</v>
      </c>
      <c r="C721" s="8">
        <v>227</v>
      </c>
      <c r="D721" s="8">
        <v>247</v>
      </c>
      <c r="E721"/>
      <c r="H721" s="86" t="s">
        <v>1685</v>
      </c>
      <c r="I721"/>
      <c r="J721" s="4"/>
      <c r="K721"/>
      <c r="M721" s="122">
        <v>0.872</v>
      </c>
      <c r="N721" s="86" t="s">
        <v>615</v>
      </c>
      <c r="O721" s="86" t="s">
        <v>1316</v>
      </c>
      <c r="P721" s="91">
        <f>C753</f>
        <v>381.37</v>
      </c>
      <c r="Q721" s="86" t="s">
        <v>615</v>
      </c>
      <c r="R721" s="91">
        <f t="shared" si="39"/>
        <v>332.55</v>
      </c>
      <c r="AG721" s="86" t="s">
        <v>2284</v>
      </c>
    </row>
    <row r="722" spans="1:33" hidden="1">
      <c r="A722" s="106">
        <f t="shared" si="38"/>
        <v>549</v>
      </c>
      <c r="B722" s="86" t="s">
        <v>2175</v>
      </c>
      <c r="C722" s="8">
        <v>250</v>
      </c>
      <c r="D722" s="1" t="s">
        <v>1741</v>
      </c>
      <c r="E722"/>
      <c r="F722" s="91">
        <v>0.12</v>
      </c>
      <c r="G722" s="90" t="s">
        <v>2176</v>
      </c>
      <c r="H722" s="86" t="s">
        <v>2983</v>
      </c>
      <c r="I722" s="8">
        <f>C268/5</f>
        <v>1879</v>
      </c>
      <c r="J722" s="2" t="s">
        <v>259</v>
      </c>
      <c r="K722" s="8">
        <f t="shared" ref="K722:K729" si="40">(F722*I722)</f>
        <v>225.48</v>
      </c>
      <c r="M722" s="122">
        <v>1.3247</v>
      </c>
      <c r="N722" s="86" t="s">
        <v>615</v>
      </c>
      <c r="O722" s="86" t="s">
        <v>2118</v>
      </c>
      <c r="P722" s="91">
        <f>C31</f>
        <v>342</v>
      </c>
      <c r="Q722" s="86" t="s">
        <v>615</v>
      </c>
      <c r="R722" s="91">
        <f t="shared" si="39"/>
        <v>453.05</v>
      </c>
      <c r="AG722" s="86" t="s">
        <v>2284</v>
      </c>
    </row>
    <row r="723" spans="1:33" hidden="1">
      <c r="A723" s="106">
        <f t="shared" si="38"/>
        <v>550</v>
      </c>
      <c r="B723" s="86" t="s">
        <v>834</v>
      </c>
      <c r="C723" s="8">
        <v>210</v>
      </c>
      <c r="D723" s="1" t="s">
        <v>1741</v>
      </c>
      <c r="E723"/>
      <c r="F723" s="91">
        <v>98.5</v>
      </c>
      <c r="G723" s="90" t="s">
        <v>835</v>
      </c>
      <c r="H723" s="86" t="s">
        <v>836</v>
      </c>
      <c r="I723" s="8">
        <f>C269/5</f>
        <v>3</v>
      </c>
      <c r="J723" s="2" t="s">
        <v>259</v>
      </c>
      <c r="K723" s="8">
        <f t="shared" si="40"/>
        <v>295.5</v>
      </c>
      <c r="M723" s="91">
        <v>1</v>
      </c>
      <c r="N723" s="86" t="s">
        <v>877</v>
      </c>
      <c r="O723" s="86" t="s">
        <v>1748</v>
      </c>
      <c r="P723" s="91">
        <f>C298</f>
        <v>10.5</v>
      </c>
      <c r="Q723" s="86" t="s">
        <v>877</v>
      </c>
      <c r="R723" s="91">
        <f t="shared" si="39"/>
        <v>10.5</v>
      </c>
      <c r="AG723" s="86" t="s">
        <v>2284</v>
      </c>
    </row>
    <row r="724" spans="1:33" hidden="1">
      <c r="A724" s="106">
        <f t="shared" si="38"/>
        <v>551</v>
      </c>
      <c r="B724" s="86" t="s">
        <v>2984</v>
      </c>
      <c r="C724" s="8">
        <v>1022.58</v>
      </c>
      <c r="D724" s="1" t="s">
        <v>615</v>
      </c>
      <c r="E724"/>
      <c r="F724" s="91">
        <v>1</v>
      </c>
      <c r="G724" s="90" t="s">
        <v>450</v>
      </c>
      <c r="H724" s="86" t="s">
        <v>1411</v>
      </c>
      <c r="I724" s="8">
        <v>11</v>
      </c>
      <c r="J724" s="2" t="s">
        <v>450</v>
      </c>
      <c r="K724" s="8">
        <f t="shared" si="40"/>
        <v>11</v>
      </c>
      <c r="M724" s="91">
        <v>3</v>
      </c>
      <c r="N724" s="86" t="s">
        <v>877</v>
      </c>
      <c r="O724" s="86" t="s">
        <v>1412</v>
      </c>
      <c r="P724" s="91">
        <f>C293</f>
        <v>5.75</v>
      </c>
      <c r="Q724" s="86" t="s">
        <v>877</v>
      </c>
      <c r="R724" s="91">
        <f t="shared" si="39"/>
        <v>17.25</v>
      </c>
      <c r="AG724" s="86" t="s">
        <v>2284</v>
      </c>
    </row>
    <row r="725" spans="1:33" hidden="1">
      <c r="A725" s="106">
        <f t="shared" si="38"/>
        <v>552</v>
      </c>
      <c r="B725" s="86" t="s">
        <v>1413</v>
      </c>
      <c r="C725"/>
      <c r="D725" s="1" t="s">
        <v>987</v>
      </c>
      <c r="E725"/>
      <c r="F725" s="91">
        <v>3.8</v>
      </c>
      <c r="G725" s="90" t="s">
        <v>1414</v>
      </c>
      <c r="H725" s="86" t="s">
        <v>1415</v>
      </c>
      <c r="I725" s="8">
        <f>C16</f>
        <v>150</v>
      </c>
      <c r="J725" s="2" t="s">
        <v>1418</v>
      </c>
      <c r="K725" s="8">
        <f t="shared" si="40"/>
        <v>570</v>
      </c>
      <c r="M725" s="91">
        <v>1</v>
      </c>
      <c r="N725" s="86" t="s">
        <v>877</v>
      </c>
      <c r="O725" s="86" t="s">
        <v>1416</v>
      </c>
      <c r="P725" s="91">
        <f>C301</f>
        <v>10</v>
      </c>
      <c r="Q725" s="86" t="s">
        <v>877</v>
      </c>
      <c r="R725" s="91">
        <f t="shared" si="39"/>
        <v>10</v>
      </c>
      <c r="AG725" s="86" t="s">
        <v>2284</v>
      </c>
    </row>
    <row r="726" spans="1:33" hidden="1">
      <c r="A726" s="106">
        <f t="shared" si="38"/>
        <v>553</v>
      </c>
      <c r="B726" s="86" t="s">
        <v>1417</v>
      </c>
      <c r="C726"/>
      <c r="D726"/>
      <c r="E726"/>
      <c r="F726" s="91">
        <v>5.4</v>
      </c>
      <c r="G726" s="90" t="s">
        <v>1414</v>
      </c>
      <c r="H726" s="86" t="s">
        <v>832</v>
      </c>
      <c r="I726" s="8">
        <f>C12</f>
        <v>95</v>
      </c>
      <c r="J726" s="2" t="s">
        <v>1418</v>
      </c>
      <c r="K726" s="8">
        <f t="shared" si="40"/>
        <v>513</v>
      </c>
      <c r="M726" s="91">
        <v>1</v>
      </c>
      <c r="N726" s="86" t="s">
        <v>877</v>
      </c>
      <c r="O726" s="86" t="s">
        <v>2005</v>
      </c>
      <c r="P726" s="91">
        <f>C302</f>
        <v>4</v>
      </c>
      <c r="Q726" s="86" t="s">
        <v>877</v>
      </c>
      <c r="R726" s="91">
        <f t="shared" si="39"/>
        <v>4</v>
      </c>
      <c r="AG726" s="86" t="s">
        <v>2284</v>
      </c>
    </row>
    <row r="727" spans="1:33" hidden="1">
      <c r="A727" s="106">
        <f t="shared" si="38"/>
        <v>554</v>
      </c>
      <c r="B727" s="86" t="s">
        <v>2203</v>
      </c>
      <c r="C727" s="8">
        <v>300</v>
      </c>
      <c r="D727" s="1" t="s">
        <v>2310</v>
      </c>
      <c r="E727"/>
      <c r="F727" s="91">
        <v>1</v>
      </c>
      <c r="G727" s="90" t="s">
        <v>1414</v>
      </c>
      <c r="H727" s="86" t="s">
        <v>2311</v>
      </c>
      <c r="I727" s="8">
        <f>C66</f>
        <v>120</v>
      </c>
      <c r="J727" s="2" t="s">
        <v>1418</v>
      </c>
      <c r="K727" s="8">
        <f t="shared" si="40"/>
        <v>120</v>
      </c>
      <c r="N727" s="86" t="s">
        <v>450</v>
      </c>
      <c r="O727" s="86" t="s">
        <v>451</v>
      </c>
      <c r="Q727" s="86" t="s">
        <v>450</v>
      </c>
      <c r="R727" s="91">
        <v>0</v>
      </c>
      <c r="AG727" s="86" t="s">
        <v>2284</v>
      </c>
    </row>
    <row r="728" spans="1:33" hidden="1">
      <c r="A728" s="106">
        <f t="shared" si="38"/>
        <v>555</v>
      </c>
      <c r="B728" s="102" t="s">
        <v>783</v>
      </c>
      <c r="C728" s="8">
        <v>302</v>
      </c>
      <c r="D728" s="1" t="s">
        <v>2310</v>
      </c>
      <c r="E728"/>
      <c r="F728" s="91">
        <v>1</v>
      </c>
      <c r="G728" s="90" t="s">
        <v>450</v>
      </c>
      <c r="H728" s="86" t="s">
        <v>784</v>
      </c>
      <c r="I728" s="8">
        <v>10</v>
      </c>
      <c r="J728" s="2" t="s">
        <v>450</v>
      </c>
      <c r="K728" s="8">
        <f t="shared" si="40"/>
        <v>10</v>
      </c>
      <c r="R728" s="89" t="s">
        <v>1609</v>
      </c>
      <c r="AG728" s="86" t="s">
        <v>2284</v>
      </c>
    </row>
    <row r="729" spans="1:33" hidden="1">
      <c r="A729" s="106">
        <f t="shared" si="38"/>
        <v>556</v>
      </c>
      <c r="B729" s="86" t="s">
        <v>785</v>
      </c>
      <c r="C729" s="8">
        <v>382</v>
      </c>
      <c r="D729" s="1" t="s">
        <v>2310</v>
      </c>
      <c r="E729"/>
      <c r="F729" s="91">
        <v>19</v>
      </c>
      <c r="G729" s="90" t="s">
        <v>1452</v>
      </c>
      <c r="H729" s="86" t="s">
        <v>786</v>
      </c>
      <c r="I729" s="8">
        <v>2</v>
      </c>
      <c r="J729" s="2" t="s">
        <v>1452</v>
      </c>
      <c r="K729" s="8">
        <f t="shared" si="40"/>
        <v>38</v>
      </c>
      <c r="O729" s="102" t="s">
        <v>753</v>
      </c>
      <c r="R729" s="91">
        <f>SUM(R720:R727)</f>
        <v>1370.32</v>
      </c>
      <c r="AG729" s="86" t="s">
        <v>2284</v>
      </c>
    </row>
    <row r="730" spans="1:33" hidden="1">
      <c r="A730" s="106">
        <f t="shared" si="38"/>
        <v>557</v>
      </c>
      <c r="B730" s="86" t="s">
        <v>574</v>
      </c>
      <c r="C730" s="8">
        <v>140</v>
      </c>
      <c r="D730" s="1" t="s">
        <v>2310</v>
      </c>
      <c r="E730"/>
      <c r="H730" s="86" t="s">
        <v>505</v>
      </c>
      <c r="I730"/>
      <c r="J730" s="4"/>
      <c r="K730" s="5" t="s">
        <v>1609</v>
      </c>
      <c r="R730" s="89" t="s">
        <v>1609</v>
      </c>
      <c r="AG730" s="86" t="s">
        <v>322</v>
      </c>
    </row>
    <row r="731" spans="1:33" hidden="1">
      <c r="A731" s="106">
        <f t="shared" si="38"/>
        <v>558</v>
      </c>
      <c r="B731" s="86" t="s">
        <v>847</v>
      </c>
      <c r="C731" s="8">
        <v>222</v>
      </c>
      <c r="D731" s="1" t="s">
        <v>2310</v>
      </c>
      <c r="E731"/>
      <c r="H731" s="102" t="s">
        <v>442</v>
      </c>
      <c r="I731"/>
      <c r="J731" s="4"/>
      <c r="K731" s="8">
        <f>SUM(K720:K729)</f>
        <v>2050.88</v>
      </c>
      <c r="O731" s="102" t="s">
        <v>556</v>
      </c>
      <c r="R731" s="91">
        <f>R729/1.3247</f>
        <v>1034.44</v>
      </c>
    </row>
    <row r="732" spans="1:33" hidden="1">
      <c r="A732" s="106">
        <f t="shared" si="38"/>
        <v>559</v>
      </c>
      <c r="B732" s="86" t="s">
        <v>618</v>
      </c>
      <c r="C732" s="8">
        <v>505</v>
      </c>
      <c r="D732" s="1" t="s">
        <v>2310</v>
      </c>
      <c r="E732"/>
      <c r="I732"/>
      <c r="J732" s="4"/>
      <c r="K732" s="5" t="s">
        <v>1609</v>
      </c>
      <c r="R732" s="89" t="s">
        <v>2080</v>
      </c>
    </row>
    <row r="733" spans="1:33" hidden="1">
      <c r="A733" s="106">
        <f t="shared" si="38"/>
        <v>560</v>
      </c>
      <c r="B733" s="86" t="s">
        <v>746</v>
      </c>
      <c r="C733" s="8">
        <v>75</v>
      </c>
      <c r="D733" s="1" t="s">
        <v>1741</v>
      </c>
      <c r="E733"/>
      <c r="H733" s="102" t="s">
        <v>556</v>
      </c>
      <c r="I733"/>
      <c r="J733" s="4"/>
      <c r="K733" s="8">
        <f>(K731/10)</f>
        <v>205.09</v>
      </c>
      <c r="N733" s="86" t="s">
        <v>2276</v>
      </c>
      <c r="O733" s="86" t="s">
        <v>2309</v>
      </c>
      <c r="AG733" s="86" t="s">
        <v>2284</v>
      </c>
    </row>
    <row r="734" spans="1:33" hidden="1">
      <c r="C734"/>
      <c r="D734"/>
      <c r="E734"/>
      <c r="F734" s="86" t="s">
        <v>987</v>
      </c>
      <c r="I734"/>
      <c r="J734" s="4"/>
      <c r="K734"/>
    </row>
    <row r="735" spans="1:33" hidden="1">
      <c r="A735" s="106">
        <f>(A733+1)</f>
        <v>561</v>
      </c>
      <c r="B735" s="86" t="s">
        <v>102</v>
      </c>
      <c r="C735" s="8">
        <v>43.3</v>
      </c>
      <c r="D735" s="1" t="s">
        <v>1796</v>
      </c>
      <c r="E735"/>
      <c r="I735"/>
      <c r="J735" s="4"/>
      <c r="K735" s="5" t="s">
        <v>2080</v>
      </c>
      <c r="O735" s="86" t="s">
        <v>2140</v>
      </c>
      <c r="AG735" s="86" t="s">
        <v>2284</v>
      </c>
    </row>
    <row r="736" spans="1:33" hidden="1">
      <c r="A736" s="106">
        <f t="shared" ref="A736:A753" si="41">(A735+1)</f>
        <v>562</v>
      </c>
      <c r="B736" s="86" t="s">
        <v>2141</v>
      </c>
      <c r="C736" s="8">
        <v>218</v>
      </c>
      <c r="D736" s="1" t="s">
        <v>1741</v>
      </c>
      <c r="E736"/>
      <c r="F736" s="102" t="s">
        <v>1512</v>
      </c>
      <c r="G736" s="90" t="s">
        <v>2276</v>
      </c>
      <c r="H736" s="86" t="s">
        <v>722</v>
      </c>
      <c r="I736"/>
      <c r="J736" s="4"/>
      <c r="K736"/>
      <c r="O736" s="86" t="s">
        <v>723</v>
      </c>
      <c r="AG736" s="86" t="s">
        <v>2284</v>
      </c>
    </row>
    <row r="737" spans="1:33" hidden="1">
      <c r="A737" s="106">
        <f t="shared" si="41"/>
        <v>563</v>
      </c>
      <c r="B737" s="86" t="s">
        <v>724</v>
      </c>
      <c r="C737" s="8">
        <v>926</v>
      </c>
      <c r="D737" s="1" t="s">
        <v>1741</v>
      </c>
      <c r="E737"/>
      <c r="H737" s="86" t="s">
        <v>725</v>
      </c>
      <c r="I737"/>
      <c r="J737" s="4"/>
      <c r="K737"/>
      <c r="O737" s="86" t="s">
        <v>88</v>
      </c>
      <c r="AG737" s="86" t="s">
        <v>2284</v>
      </c>
    </row>
    <row r="738" spans="1:33" hidden="1">
      <c r="A738" s="106">
        <f t="shared" si="41"/>
        <v>564</v>
      </c>
      <c r="B738" s="86" t="s">
        <v>89</v>
      </c>
      <c r="C738" s="8">
        <v>5.15</v>
      </c>
      <c r="D738" s="1" t="s">
        <v>1796</v>
      </c>
      <c r="E738"/>
      <c r="H738" s="86" t="s">
        <v>2298</v>
      </c>
      <c r="I738"/>
      <c r="J738" s="4"/>
      <c r="K738"/>
      <c r="O738" s="89" t="s">
        <v>1609</v>
      </c>
      <c r="AG738" s="86" t="s">
        <v>2284</v>
      </c>
    </row>
    <row r="739" spans="1:33" hidden="1">
      <c r="A739" s="106">
        <f t="shared" si="41"/>
        <v>565</v>
      </c>
      <c r="B739" s="86" t="s">
        <v>571</v>
      </c>
      <c r="C739" s="8">
        <v>550</v>
      </c>
      <c r="D739" s="1" t="s">
        <v>1741</v>
      </c>
      <c r="E739"/>
      <c r="H739" s="89" t="s">
        <v>1609</v>
      </c>
      <c r="I739"/>
      <c r="J739" s="4"/>
      <c r="K739"/>
      <c r="AG739" s="86" t="s">
        <v>2284</v>
      </c>
    </row>
    <row r="740" spans="1:33" hidden="1">
      <c r="A740" s="106">
        <f t="shared" si="41"/>
        <v>566</v>
      </c>
      <c r="B740" s="86" t="s">
        <v>990</v>
      </c>
      <c r="C740" s="8">
        <v>286</v>
      </c>
      <c r="D740" s="1" t="s">
        <v>1741</v>
      </c>
      <c r="E740"/>
      <c r="F740" s="91">
        <v>10</v>
      </c>
      <c r="G740" s="90" t="s">
        <v>615</v>
      </c>
      <c r="H740" s="86" t="s">
        <v>907</v>
      </c>
      <c r="I740" s="8">
        <f>(K720)*1.2</f>
        <v>321.48</v>
      </c>
      <c r="J740" s="2" t="s">
        <v>259</v>
      </c>
      <c r="K740" s="8">
        <f>(F740*I740)/10</f>
        <v>321.48</v>
      </c>
      <c r="O740" s="86" t="s">
        <v>908</v>
      </c>
      <c r="R740" s="91">
        <f>(C693)</f>
        <v>1183.82</v>
      </c>
      <c r="AG740" s="86" t="s">
        <v>2284</v>
      </c>
    </row>
    <row r="741" spans="1:33" hidden="1">
      <c r="A741" s="106">
        <f t="shared" si="41"/>
        <v>567</v>
      </c>
      <c r="B741" s="86" t="s">
        <v>909</v>
      </c>
      <c r="C741" s="8">
        <v>96.3</v>
      </c>
      <c r="D741" s="1" t="s">
        <v>1796</v>
      </c>
      <c r="E741"/>
      <c r="H741" s="86" t="s">
        <v>910</v>
      </c>
      <c r="I741"/>
      <c r="J741" s="4"/>
      <c r="K741"/>
      <c r="R741" s="89" t="s">
        <v>2080</v>
      </c>
      <c r="AG741" s="86" t="s">
        <v>2284</v>
      </c>
    </row>
    <row r="742" spans="1:33" hidden="1">
      <c r="A742" s="106">
        <f t="shared" si="41"/>
        <v>568</v>
      </c>
      <c r="B742" s="86" t="s">
        <v>848</v>
      </c>
      <c r="C742" s="8">
        <v>51</v>
      </c>
      <c r="D742" s="1" t="s">
        <v>1741</v>
      </c>
      <c r="E742"/>
      <c r="H742" s="86" t="s">
        <v>849</v>
      </c>
      <c r="I742"/>
      <c r="J742" s="4"/>
      <c r="K742"/>
      <c r="AG742" s="86" t="s">
        <v>2284</v>
      </c>
    </row>
    <row r="743" spans="1:33" hidden="1">
      <c r="A743" s="106">
        <f t="shared" si="41"/>
        <v>569</v>
      </c>
      <c r="B743" s="86" t="s">
        <v>558</v>
      </c>
      <c r="C743" s="8">
        <v>181</v>
      </c>
      <c r="D743" s="1" t="s">
        <v>792</v>
      </c>
      <c r="E743"/>
      <c r="F743" s="91">
        <v>10</v>
      </c>
      <c r="G743" s="90" t="s">
        <v>615</v>
      </c>
      <c r="H743" s="86" t="s">
        <v>559</v>
      </c>
      <c r="I743" s="8">
        <f>K722*1.2</f>
        <v>270.58</v>
      </c>
      <c r="J743" s="2" t="s">
        <v>259</v>
      </c>
      <c r="K743" s="8">
        <f>(F743*I743)/10</f>
        <v>270.58</v>
      </c>
      <c r="N743" s="86" t="s">
        <v>2276</v>
      </c>
      <c r="O743" s="86" t="s">
        <v>560</v>
      </c>
      <c r="AG743" s="86" t="s">
        <v>2284</v>
      </c>
    </row>
    <row r="744" spans="1:33" hidden="1">
      <c r="A744" s="106">
        <f t="shared" si="41"/>
        <v>570</v>
      </c>
      <c r="B744" s="86" t="s">
        <v>561</v>
      </c>
      <c r="C744" s="8">
        <v>36.200000000000003</v>
      </c>
      <c r="D744" s="1" t="s">
        <v>1796</v>
      </c>
      <c r="E744"/>
      <c r="H744" s="86" t="s">
        <v>1015</v>
      </c>
      <c r="I744"/>
      <c r="J744" s="4"/>
      <c r="K744"/>
      <c r="O744" s="89" t="s">
        <v>2080</v>
      </c>
      <c r="P744" s="89" t="s">
        <v>2080</v>
      </c>
      <c r="Q744" s="89" t="s">
        <v>2080</v>
      </c>
      <c r="R744" s="86" t="s">
        <v>1016</v>
      </c>
      <c r="AG744" s="86" t="s">
        <v>2284</v>
      </c>
    </row>
    <row r="745" spans="1:33" hidden="1">
      <c r="A745" s="106">
        <f t="shared" si="41"/>
        <v>571</v>
      </c>
      <c r="B745" s="86" t="s">
        <v>664</v>
      </c>
      <c r="C745" s="8">
        <v>98</v>
      </c>
      <c r="D745" s="1" t="s">
        <v>1741</v>
      </c>
      <c r="E745"/>
      <c r="H745" s="86" t="s">
        <v>825</v>
      </c>
      <c r="I745"/>
      <c r="J745" s="4"/>
      <c r="K745"/>
      <c r="O745" s="86" t="s">
        <v>1454</v>
      </c>
      <c r="Q745" s="102" t="s">
        <v>835</v>
      </c>
      <c r="R745" s="91">
        <f>(C696)</f>
        <v>147.6</v>
      </c>
      <c r="AG745" s="86" t="s">
        <v>2284</v>
      </c>
    </row>
    <row r="746" spans="1:33" hidden="1">
      <c r="A746" s="106">
        <f t="shared" si="41"/>
        <v>572</v>
      </c>
      <c r="B746" s="86" t="s">
        <v>1984</v>
      </c>
      <c r="C746" s="8">
        <v>92</v>
      </c>
      <c r="D746" s="1" t="s">
        <v>1796</v>
      </c>
      <c r="E746"/>
      <c r="F746" s="91">
        <v>98.5</v>
      </c>
      <c r="G746" s="90" t="s">
        <v>835</v>
      </c>
      <c r="H746" s="86" t="s">
        <v>836</v>
      </c>
      <c r="I746" s="8">
        <f>C269/5</f>
        <v>3</v>
      </c>
      <c r="J746" s="2" t="s">
        <v>259</v>
      </c>
      <c r="K746" s="8">
        <f t="shared" ref="K746:K752" si="42">(F746*I746)</f>
        <v>295.5</v>
      </c>
      <c r="O746" s="86" t="s">
        <v>2109</v>
      </c>
      <c r="AG746" s="86" t="s">
        <v>2284</v>
      </c>
    </row>
    <row r="747" spans="1:33" hidden="1">
      <c r="A747" s="106">
        <f t="shared" si="41"/>
        <v>573</v>
      </c>
      <c r="B747" s="86" t="s">
        <v>325</v>
      </c>
      <c r="C747" s="8">
        <v>49.42</v>
      </c>
      <c r="D747" s="1" t="s">
        <v>1741</v>
      </c>
      <c r="E747"/>
      <c r="F747" s="91">
        <v>3.8</v>
      </c>
      <c r="G747" s="90" t="s">
        <v>778</v>
      </c>
      <c r="H747" s="86" t="s">
        <v>502</v>
      </c>
      <c r="I747" s="8">
        <f>(C16)</f>
        <v>150</v>
      </c>
      <c r="J747" s="2" t="s">
        <v>778</v>
      </c>
      <c r="K747" s="8">
        <f t="shared" si="42"/>
        <v>570</v>
      </c>
      <c r="O747" s="86" t="s">
        <v>326</v>
      </c>
      <c r="AG747" s="86" t="s">
        <v>2284</v>
      </c>
    </row>
    <row r="748" spans="1:33" hidden="1">
      <c r="A748" s="106">
        <f t="shared" si="41"/>
        <v>574</v>
      </c>
      <c r="B748" s="86" t="s">
        <v>721</v>
      </c>
      <c r="C748" s="8">
        <v>53.2</v>
      </c>
      <c r="D748" s="1" t="s">
        <v>1741</v>
      </c>
      <c r="E748"/>
      <c r="F748" s="91">
        <v>5.4</v>
      </c>
      <c r="G748" s="90" t="s">
        <v>778</v>
      </c>
      <c r="H748" s="86" t="s">
        <v>1927</v>
      </c>
      <c r="I748" s="8">
        <f>(C12)</f>
        <v>95</v>
      </c>
      <c r="J748" s="2" t="s">
        <v>778</v>
      </c>
      <c r="K748" s="8">
        <f t="shared" si="42"/>
        <v>513</v>
      </c>
      <c r="O748" s="86" t="s">
        <v>1060</v>
      </c>
      <c r="AG748" s="86" t="s">
        <v>2284</v>
      </c>
    </row>
    <row r="749" spans="1:33" hidden="1">
      <c r="A749" s="106">
        <f t="shared" si="41"/>
        <v>575</v>
      </c>
      <c r="B749" s="86" t="s">
        <v>1061</v>
      </c>
      <c r="C749" s="8">
        <v>59</v>
      </c>
      <c r="D749" s="1" t="s">
        <v>1741</v>
      </c>
      <c r="E749"/>
      <c r="F749" s="91">
        <v>1</v>
      </c>
      <c r="G749" s="90" t="s">
        <v>778</v>
      </c>
      <c r="H749" s="86" t="s">
        <v>2311</v>
      </c>
      <c r="I749" s="8">
        <f>C66</f>
        <v>120</v>
      </c>
      <c r="J749" s="2" t="s">
        <v>1418</v>
      </c>
      <c r="K749" s="8">
        <f t="shared" si="42"/>
        <v>120</v>
      </c>
      <c r="O749" s="86" t="s">
        <v>1119</v>
      </c>
      <c r="AG749" s="86" t="s">
        <v>2284</v>
      </c>
    </row>
    <row r="750" spans="1:33" hidden="1">
      <c r="A750" s="106">
        <f t="shared" si="41"/>
        <v>576</v>
      </c>
      <c r="B750" s="86" t="s">
        <v>973</v>
      </c>
      <c r="C750" s="8">
        <v>100</v>
      </c>
      <c r="D750" s="1" t="s">
        <v>1741</v>
      </c>
      <c r="E750"/>
      <c r="F750" s="91">
        <v>1</v>
      </c>
      <c r="G750" s="90" t="s">
        <v>450</v>
      </c>
      <c r="H750" s="86" t="s">
        <v>974</v>
      </c>
      <c r="I750" s="8">
        <v>11</v>
      </c>
      <c r="J750" s="2" t="s">
        <v>1418</v>
      </c>
      <c r="K750" s="8">
        <f t="shared" si="42"/>
        <v>11</v>
      </c>
      <c r="O750" s="86" t="s">
        <v>1128</v>
      </c>
      <c r="R750" s="86" t="s">
        <v>987</v>
      </c>
      <c r="AG750" s="86" t="s">
        <v>2284</v>
      </c>
    </row>
    <row r="751" spans="1:33" hidden="1">
      <c r="A751" s="106">
        <f t="shared" si="41"/>
        <v>577</v>
      </c>
      <c r="B751" s="86" t="s">
        <v>1129</v>
      </c>
      <c r="C751" s="8">
        <v>49.52</v>
      </c>
      <c r="D751" s="1" t="s">
        <v>1796</v>
      </c>
      <c r="E751"/>
      <c r="F751" s="91">
        <v>1</v>
      </c>
      <c r="G751" s="90" t="s">
        <v>450</v>
      </c>
      <c r="H751" s="86" t="s">
        <v>1317</v>
      </c>
      <c r="I751" s="8">
        <v>10</v>
      </c>
      <c r="J751" s="2" t="s">
        <v>450</v>
      </c>
      <c r="K751" s="8">
        <f t="shared" si="42"/>
        <v>10</v>
      </c>
      <c r="O751" s="86" t="s">
        <v>987</v>
      </c>
      <c r="AG751" s="86" t="s">
        <v>2284</v>
      </c>
    </row>
    <row r="752" spans="1:33" hidden="1">
      <c r="A752" s="106">
        <f t="shared" si="41"/>
        <v>578</v>
      </c>
      <c r="B752" s="86" t="s">
        <v>2152</v>
      </c>
      <c r="C752" s="8">
        <v>1080</v>
      </c>
      <c r="D752" s="1" t="s">
        <v>1741</v>
      </c>
      <c r="E752"/>
      <c r="F752" s="91">
        <v>19</v>
      </c>
      <c r="G752" s="90" t="s">
        <v>1452</v>
      </c>
      <c r="H752" s="86" t="s">
        <v>2153</v>
      </c>
      <c r="I752" s="8">
        <v>2</v>
      </c>
      <c r="J752" s="4" t="s">
        <v>1452</v>
      </c>
      <c r="K752" s="8">
        <f t="shared" si="42"/>
        <v>38</v>
      </c>
      <c r="AG752" s="86" t="s">
        <v>2284</v>
      </c>
    </row>
    <row r="753" spans="1:33" hidden="1">
      <c r="A753" s="106">
        <f t="shared" si="41"/>
        <v>579</v>
      </c>
      <c r="B753" s="86" t="s">
        <v>2985</v>
      </c>
      <c r="C753" s="8">
        <v>381.37</v>
      </c>
      <c r="D753" s="1" t="s">
        <v>615</v>
      </c>
      <c r="E753"/>
      <c r="H753" s="86" t="s">
        <v>77</v>
      </c>
      <c r="I753"/>
      <c r="J753" s="4"/>
      <c r="K753"/>
      <c r="N753" s="86" t="s">
        <v>2276</v>
      </c>
      <c r="O753" s="86" t="s">
        <v>2154</v>
      </c>
      <c r="Q753" s="102" t="s">
        <v>2308</v>
      </c>
      <c r="R753" s="91">
        <f>(C700)</f>
        <v>1250</v>
      </c>
      <c r="AG753" s="86" t="s">
        <v>2284</v>
      </c>
    </row>
    <row r="754" spans="1:33" hidden="1">
      <c r="A754" s="106" t="e">
        <f>(#REF!+1)</f>
        <v>#REF!</v>
      </c>
      <c r="B754" s="86" t="s">
        <v>1417</v>
      </c>
      <c r="C754"/>
      <c r="D754"/>
      <c r="E754"/>
      <c r="I754"/>
      <c r="J754" s="4"/>
      <c r="K754" s="5" t="s">
        <v>1609</v>
      </c>
      <c r="O754" s="86" t="s">
        <v>1708</v>
      </c>
      <c r="AG754" s="86" t="s">
        <v>2284</v>
      </c>
    </row>
    <row r="755" spans="1:33" hidden="1">
      <c r="A755" s="106"/>
      <c r="B755" s="86" t="s">
        <v>2203</v>
      </c>
      <c r="C755" s="8">
        <v>300</v>
      </c>
      <c r="D755"/>
      <c r="E755"/>
      <c r="H755" s="86" t="s">
        <v>442</v>
      </c>
      <c r="I755"/>
      <c r="J755" s="4"/>
      <c r="K755" s="8">
        <f>SUM(K740:K753)</f>
        <v>2149.56</v>
      </c>
      <c r="O755" s="86" t="s">
        <v>318</v>
      </c>
      <c r="AG755" s="86" t="s">
        <v>2284</v>
      </c>
    </row>
    <row r="756" spans="1:33" hidden="1">
      <c r="A756" s="106"/>
      <c r="B756" s="102" t="s">
        <v>783</v>
      </c>
      <c r="C756" s="8">
        <v>302</v>
      </c>
      <c r="D756"/>
      <c r="E756"/>
      <c r="I756"/>
      <c r="J756" s="4"/>
      <c r="K756" s="5" t="s">
        <v>1609</v>
      </c>
      <c r="O756" s="86" t="s">
        <v>1285</v>
      </c>
      <c r="AG756" s="86" t="s">
        <v>2284</v>
      </c>
    </row>
    <row r="757" spans="1:33" hidden="1">
      <c r="A757" s="106"/>
      <c r="B757" s="86" t="s">
        <v>1286</v>
      </c>
      <c r="C757" s="8">
        <v>324</v>
      </c>
      <c r="D757"/>
      <c r="E757"/>
      <c r="H757" s="86" t="s">
        <v>556</v>
      </c>
      <c r="I757"/>
      <c r="J757" s="4"/>
      <c r="K757" s="8">
        <f>(K755/10)</f>
        <v>214.96</v>
      </c>
      <c r="AG757" s="86" t="s">
        <v>2284</v>
      </c>
    </row>
    <row r="758" spans="1:33" hidden="1">
      <c r="A758" s="106"/>
      <c r="B758" s="86" t="s">
        <v>785</v>
      </c>
      <c r="C758" s="8">
        <v>382</v>
      </c>
      <c r="D758"/>
      <c r="E758"/>
      <c r="I758"/>
      <c r="J758" s="4"/>
      <c r="K758" s="5" t="s">
        <v>2080</v>
      </c>
      <c r="N758" s="86" t="s">
        <v>2276</v>
      </c>
      <c r="O758" s="86" t="s">
        <v>598</v>
      </c>
      <c r="AG758" s="86" t="s">
        <v>2284</v>
      </c>
    </row>
    <row r="759" spans="1:33" hidden="1">
      <c r="A759" s="106"/>
      <c r="B759" s="86" t="s">
        <v>618</v>
      </c>
      <c r="C759" s="8">
        <v>505</v>
      </c>
      <c r="D759"/>
      <c r="E759"/>
      <c r="I759"/>
      <c r="J759" s="4"/>
      <c r="K759"/>
      <c r="O759" s="86" t="s">
        <v>2115</v>
      </c>
      <c r="R759" s="86" t="s">
        <v>987</v>
      </c>
      <c r="AG759" s="86" t="s">
        <v>2284</v>
      </c>
    </row>
    <row r="760" spans="1:33" hidden="1">
      <c r="A760" s="106"/>
      <c r="B760" s="86" t="s">
        <v>574</v>
      </c>
      <c r="C760" s="8">
        <v>140</v>
      </c>
      <c r="D760"/>
      <c r="E760"/>
      <c r="F760" s="102" t="s">
        <v>894</v>
      </c>
      <c r="G760" s="90" t="s">
        <v>2276</v>
      </c>
      <c r="H760" s="86" t="s">
        <v>722</v>
      </c>
      <c r="I760"/>
      <c r="J760" s="4"/>
      <c r="K760"/>
      <c r="O760" s="86" t="s">
        <v>2116</v>
      </c>
      <c r="AG760" s="86" t="s">
        <v>2284</v>
      </c>
    </row>
    <row r="761" spans="1:33" hidden="1">
      <c r="A761" s="106"/>
      <c r="B761" s="86" t="s">
        <v>847</v>
      </c>
      <c r="C761" s="8">
        <v>222</v>
      </c>
      <c r="D761"/>
      <c r="E761"/>
      <c r="H761" s="86" t="s">
        <v>725</v>
      </c>
      <c r="I761"/>
      <c r="J761" s="4"/>
      <c r="K761"/>
      <c r="O761" s="89" t="s">
        <v>1609</v>
      </c>
      <c r="AG761" s="86" t="s">
        <v>2284</v>
      </c>
    </row>
    <row r="762" spans="1:33" hidden="1">
      <c r="A762" s="106"/>
      <c r="B762" s="86" t="s">
        <v>738</v>
      </c>
      <c r="C762" s="8">
        <v>100</v>
      </c>
      <c r="D762"/>
      <c r="E762"/>
      <c r="H762" s="86" t="s">
        <v>277</v>
      </c>
      <c r="I762"/>
      <c r="J762" s="4"/>
      <c r="K762"/>
      <c r="N762" s="86" t="s">
        <v>236</v>
      </c>
      <c r="O762" s="86" t="s">
        <v>498</v>
      </c>
      <c r="P762" s="91">
        <f>(C271)</f>
        <v>160</v>
      </c>
      <c r="Q762" s="86" t="s">
        <v>236</v>
      </c>
      <c r="R762" s="91" t="e">
        <f>(#VALUE!*P762)</f>
        <v>#VALUE!</v>
      </c>
      <c r="AG762" s="86" t="s">
        <v>2284</v>
      </c>
    </row>
    <row r="763" spans="1:33" hidden="1">
      <c r="A763" s="106"/>
      <c r="B763" s="86" t="s">
        <v>499</v>
      </c>
      <c r="C763" s="8">
        <v>75</v>
      </c>
      <c r="D763"/>
      <c r="E763"/>
      <c r="H763" s="89" t="s">
        <v>1609</v>
      </c>
      <c r="I763"/>
      <c r="J763" s="4"/>
      <c r="K763"/>
      <c r="AG763" s="86" t="s">
        <v>2284</v>
      </c>
    </row>
    <row r="764" spans="1:33" hidden="1">
      <c r="A764" s="106"/>
      <c r="B764" s="86" t="s">
        <v>1174</v>
      </c>
      <c r="C764" s="8">
        <v>218</v>
      </c>
      <c r="D764"/>
      <c r="E764"/>
      <c r="H764" s="86" t="s">
        <v>1175</v>
      </c>
      <c r="I764"/>
      <c r="J764" s="4"/>
      <c r="K764" s="8">
        <f>(K695/2)</f>
        <v>123.27</v>
      </c>
      <c r="N764" s="86" t="s">
        <v>1176</v>
      </c>
      <c r="O764" s="86" t="s">
        <v>274</v>
      </c>
      <c r="P764" s="91">
        <f>(C16)</f>
        <v>150</v>
      </c>
      <c r="Q764" s="86" t="s">
        <v>1176</v>
      </c>
      <c r="R764" s="91" t="e">
        <f>(#VALUE!*P764)</f>
        <v>#VALUE!</v>
      </c>
      <c r="AG764" s="86" t="s">
        <v>2284</v>
      </c>
    </row>
    <row r="765" spans="1:33" hidden="1">
      <c r="A765" s="106"/>
      <c r="B765" s="86" t="s">
        <v>275</v>
      </c>
      <c r="C765" s="8">
        <v>1854</v>
      </c>
      <c r="D765"/>
      <c r="E765"/>
      <c r="H765" s="86" t="s">
        <v>276</v>
      </c>
      <c r="I765"/>
      <c r="J765" s="4"/>
      <c r="K765" s="5" t="s">
        <v>2080</v>
      </c>
      <c r="AG765" s="86" t="s">
        <v>2284</v>
      </c>
    </row>
    <row r="766" spans="1:33" hidden="1">
      <c r="C766"/>
      <c r="D766"/>
      <c r="E766"/>
      <c r="I766"/>
      <c r="J766" s="4"/>
      <c r="K766"/>
    </row>
    <row r="767" spans="1:33" hidden="1">
      <c r="A767" s="106"/>
      <c r="B767" s="86" t="s">
        <v>164</v>
      </c>
      <c r="C767" s="8">
        <v>51</v>
      </c>
      <c r="D767"/>
      <c r="E767"/>
      <c r="F767" s="102" t="s">
        <v>165</v>
      </c>
      <c r="G767" s="90" t="s">
        <v>2276</v>
      </c>
      <c r="H767" s="86" t="s">
        <v>166</v>
      </c>
      <c r="I767"/>
      <c r="J767" s="4"/>
      <c r="K767"/>
      <c r="O767" s="86" t="s">
        <v>1346</v>
      </c>
      <c r="P767" s="92" t="s">
        <v>450</v>
      </c>
      <c r="R767" s="91">
        <v>0.64</v>
      </c>
      <c r="AG767" s="86" t="s">
        <v>2284</v>
      </c>
    </row>
    <row r="768" spans="1:33" hidden="1">
      <c r="A768" s="106"/>
      <c r="B768" s="86" t="s">
        <v>1402</v>
      </c>
      <c r="C768" s="8">
        <v>915</v>
      </c>
      <c r="D768"/>
      <c r="E768"/>
      <c r="H768" s="86" t="s">
        <v>1403</v>
      </c>
      <c r="I768"/>
      <c r="J768" s="4"/>
      <c r="K768"/>
      <c r="R768" s="89" t="s">
        <v>1609</v>
      </c>
      <c r="AG768" s="86" t="s">
        <v>2284</v>
      </c>
    </row>
    <row r="769" spans="1:33" hidden="1">
      <c r="A769" s="106"/>
      <c r="B769" s="86" t="s">
        <v>133</v>
      </c>
      <c r="C769" s="8">
        <v>890</v>
      </c>
      <c r="D769"/>
      <c r="E769"/>
      <c r="H769" s="86" t="s">
        <v>134</v>
      </c>
      <c r="I769"/>
      <c r="J769" s="4"/>
      <c r="K769"/>
      <c r="O769" s="86" t="s">
        <v>1955</v>
      </c>
      <c r="R769" s="91" t="e">
        <f>SUM(R762:R767)</f>
        <v>#VALUE!</v>
      </c>
      <c r="AG769" s="86" t="s">
        <v>2284</v>
      </c>
    </row>
    <row r="770" spans="1:33" hidden="1">
      <c r="A770" s="106"/>
      <c r="B770" s="86" t="s">
        <v>1956</v>
      </c>
      <c r="C770" s="8">
        <v>5.15</v>
      </c>
      <c r="D770"/>
      <c r="E770"/>
      <c r="H770" s="89" t="s">
        <v>1609</v>
      </c>
      <c r="I770"/>
      <c r="J770" s="4"/>
      <c r="K770"/>
      <c r="R770" s="89" t="s">
        <v>1609</v>
      </c>
      <c r="AG770" s="86" t="s">
        <v>2284</v>
      </c>
    </row>
    <row r="771" spans="1:33" hidden="1">
      <c r="A771" s="106"/>
      <c r="B771" s="86" t="s">
        <v>1430</v>
      </c>
      <c r="C771" s="8">
        <v>43.3</v>
      </c>
      <c r="D771"/>
      <c r="E771"/>
      <c r="F771" s="111">
        <v>9</v>
      </c>
      <c r="G771" s="90" t="s">
        <v>878</v>
      </c>
      <c r="H771" s="86" t="s">
        <v>1431</v>
      </c>
      <c r="I771" s="8" t="e">
        <f>C73</f>
        <v>#REF!</v>
      </c>
      <c r="J771" s="2" t="s">
        <v>878</v>
      </c>
      <c r="K771" s="8" t="e">
        <f t="shared" ref="K771:K776" si="43">F771*I771</f>
        <v>#REF!</v>
      </c>
      <c r="O771" s="86" t="s">
        <v>1432</v>
      </c>
      <c r="R771" s="91" t="e">
        <f>(R769/0.4)</f>
        <v>#VALUE!</v>
      </c>
      <c r="AG771" s="86" t="s">
        <v>2284</v>
      </c>
    </row>
    <row r="772" spans="1:33" hidden="1">
      <c r="A772" s="106"/>
      <c r="B772" s="86" t="s">
        <v>81</v>
      </c>
      <c r="C772" s="8">
        <v>920</v>
      </c>
      <c r="D772"/>
      <c r="E772"/>
      <c r="F772" s="111">
        <v>4.3079999999999998</v>
      </c>
      <c r="G772" s="90" t="s">
        <v>870</v>
      </c>
      <c r="H772" s="86" t="s">
        <v>871</v>
      </c>
      <c r="I772" s="8">
        <f>C67</f>
        <v>3800</v>
      </c>
      <c r="J772" s="2" t="s">
        <v>870</v>
      </c>
      <c r="K772" s="8">
        <f t="shared" si="43"/>
        <v>16370.4</v>
      </c>
      <c r="R772" s="89" t="s">
        <v>2080</v>
      </c>
      <c r="AG772" s="86" t="s">
        <v>2284</v>
      </c>
    </row>
    <row r="773" spans="1:33" hidden="1">
      <c r="A773" s="106"/>
      <c r="B773" s="86" t="s">
        <v>82</v>
      </c>
      <c r="C773" s="8">
        <v>98</v>
      </c>
      <c r="D773"/>
      <c r="E773"/>
      <c r="F773" s="111">
        <v>4.5</v>
      </c>
      <c r="G773" s="90" t="s">
        <v>878</v>
      </c>
      <c r="H773" s="86" t="s">
        <v>879</v>
      </c>
      <c r="I773" s="8" t="e">
        <f>C78</f>
        <v>#REF!</v>
      </c>
      <c r="J773" s="2" t="s">
        <v>878</v>
      </c>
      <c r="K773" s="8" t="e">
        <f t="shared" si="43"/>
        <v>#REF!</v>
      </c>
      <c r="N773" s="86" t="s">
        <v>2276</v>
      </c>
      <c r="O773" s="86" t="s">
        <v>2142</v>
      </c>
      <c r="AG773" s="86" t="s">
        <v>2284</v>
      </c>
    </row>
    <row r="774" spans="1:33" hidden="1">
      <c r="A774" s="106"/>
      <c r="B774" s="86" t="s">
        <v>2143</v>
      </c>
      <c r="C774" s="8">
        <v>181</v>
      </c>
      <c r="D774"/>
      <c r="E774"/>
      <c r="F774" s="111">
        <v>3.5</v>
      </c>
      <c r="G774" s="90" t="s">
        <v>877</v>
      </c>
      <c r="H774" s="86" t="s">
        <v>1737</v>
      </c>
      <c r="I774" s="8">
        <f>C11</f>
        <v>135</v>
      </c>
      <c r="J774" s="2" t="s">
        <v>877</v>
      </c>
      <c r="K774" s="8">
        <f t="shared" si="43"/>
        <v>472.5</v>
      </c>
      <c r="O774" s="86" t="s">
        <v>717</v>
      </c>
      <c r="AG774" s="86" t="s">
        <v>2284</v>
      </c>
    </row>
    <row r="775" spans="1:33" hidden="1">
      <c r="A775" s="106"/>
      <c r="B775" s="86" t="s">
        <v>93</v>
      </c>
      <c r="C775" s="8">
        <v>1148.76</v>
      </c>
      <c r="D775"/>
      <c r="E775"/>
      <c r="F775" s="111">
        <v>21.2</v>
      </c>
      <c r="G775" s="90" t="s">
        <v>877</v>
      </c>
      <c r="H775" s="86" t="s">
        <v>1927</v>
      </c>
      <c r="I775" s="8">
        <f>C12</f>
        <v>95</v>
      </c>
      <c r="J775" s="2" t="s">
        <v>877</v>
      </c>
      <c r="K775" s="8">
        <f t="shared" si="43"/>
        <v>2014</v>
      </c>
      <c r="O775" s="86" t="s">
        <v>94</v>
      </c>
      <c r="AG775" s="86" t="s">
        <v>2284</v>
      </c>
    </row>
    <row r="776" spans="1:33" hidden="1">
      <c r="A776" s="106"/>
      <c r="B776" s="86" t="s">
        <v>1571</v>
      </c>
      <c r="C776" s="8">
        <v>967</v>
      </c>
      <c r="D776"/>
      <c r="E776"/>
      <c r="F776" s="111">
        <v>35.299999999999997</v>
      </c>
      <c r="G776" s="90" t="s">
        <v>877</v>
      </c>
      <c r="H776" s="86" t="s">
        <v>321</v>
      </c>
      <c r="I776" s="8">
        <f>C13</f>
        <v>85</v>
      </c>
      <c r="J776" s="2" t="s">
        <v>877</v>
      </c>
      <c r="K776" s="8">
        <f t="shared" si="43"/>
        <v>3000.5</v>
      </c>
      <c r="O776" s="89" t="s">
        <v>1609</v>
      </c>
      <c r="AG776" s="86" t="s">
        <v>2284</v>
      </c>
    </row>
    <row r="777" spans="1:33" hidden="1">
      <c r="A777" s="106"/>
      <c r="B777" s="86" t="s">
        <v>2084</v>
      </c>
      <c r="C777" s="8">
        <v>30</v>
      </c>
      <c r="D777"/>
      <c r="E777"/>
      <c r="F777" s="92" t="s">
        <v>450</v>
      </c>
      <c r="H777" s="86" t="s">
        <v>451</v>
      </c>
      <c r="I777"/>
      <c r="J777" s="2" t="s">
        <v>450</v>
      </c>
      <c r="K777" s="8">
        <v>0</v>
      </c>
      <c r="N777" s="92" t="s">
        <v>1932</v>
      </c>
      <c r="O777" s="86" t="s">
        <v>864</v>
      </c>
      <c r="AG777" s="86" t="s">
        <v>2284</v>
      </c>
    </row>
    <row r="778" spans="1:33" hidden="1">
      <c r="A778" s="106"/>
      <c r="B778" s="86" t="s">
        <v>1787</v>
      </c>
      <c r="C778" s="8">
        <v>2107</v>
      </c>
      <c r="D778"/>
      <c r="E778"/>
      <c r="I778"/>
      <c r="J778" s="4"/>
      <c r="K778" s="5" t="s">
        <v>1609</v>
      </c>
      <c r="O778" s="86" t="s">
        <v>1788</v>
      </c>
      <c r="AG778" s="86" t="s">
        <v>2284</v>
      </c>
    </row>
    <row r="779" spans="1:33" hidden="1">
      <c r="A779" s="106"/>
      <c r="B779" s="86" t="s">
        <v>1789</v>
      </c>
      <c r="C779" s="8">
        <v>650</v>
      </c>
      <c r="D779"/>
      <c r="E779"/>
      <c r="H779" s="102" t="s">
        <v>620</v>
      </c>
      <c r="I779"/>
      <c r="J779" s="4"/>
      <c r="K779" s="8" t="e">
        <f>SUM(K771:K777)</f>
        <v>#REF!</v>
      </c>
      <c r="N779" s="86" t="s">
        <v>268</v>
      </c>
      <c r="O779" s="86" t="s">
        <v>1790</v>
      </c>
      <c r="P779" s="91">
        <v>43</v>
      </c>
      <c r="R779" s="91" t="e">
        <f>(#VALUE!*P779)</f>
        <v>#VALUE!</v>
      </c>
      <c r="AG779" s="86" t="s">
        <v>2284</v>
      </c>
    </row>
    <row r="780" spans="1:33" hidden="1">
      <c r="A780" s="106"/>
      <c r="B780" s="86" t="s">
        <v>1303</v>
      </c>
      <c r="C780" s="36">
        <v>160</v>
      </c>
      <c r="D780"/>
      <c r="E780"/>
      <c r="I780"/>
      <c r="J780" s="4"/>
      <c r="K780" s="5" t="s">
        <v>2080</v>
      </c>
      <c r="O780" s="86" t="s">
        <v>1945</v>
      </c>
      <c r="AG780" s="86" t="s">
        <v>2284</v>
      </c>
    </row>
    <row r="781" spans="1:33" hidden="1">
      <c r="A781" s="106"/>
      <c r="B781" s="86" t="s">
        <v>1304</v>
      </c>
      <c r="C781" s="36">
        <v>110</v>
      </c>
      <c r="D781"/>
      <c r="E781"/>
      <c r="H781" s="86" t="s">
        <v>782</v>
      </c>
      <c r="I781"/>
      <c r="J781" s="4"/>
      <c r="K781" s="8" t="e">
        <f>K779/10</f>
        <v>#REF!</v>
      </c>
      <c r="O781" s="86" t="s">
        <v>998</v>
      </c>
      <c r="AG781" s="86" t="s">
        <v>2284</v>
      </c>
    </row>
    <row r="782" spans="1:33" hidden="1">
      <c r="A782" s="106"/>
      <c r="C782"/>
      <c r="D782"/>
      <c r="E782"/>
      <c r="I782"/>
      <c r="J782" s="4"/>
      <c r="K782"/>
      <c r="N782" s="86" t="s">
        <v>615</v>
      </c>
      <c r="O782" s="86" t="s">
        <v>999</v>
      </c>
      <c r="P782" s="91">
        <f>C271</f>
        <v>160</v>
      </c>
      <c r="R782" s="91" t="e">
        <f t="shared" ref="R782:R789" si="44">(#VALUE!*P782)</f>
        <v>#VALUE!</v>
      </c>
      <c r="AG782" s="86" t="s">
        <v>2284</v>
      </c>
    </row>
    <row r="783" spans="1:33" hidden="1">
      <c r="A783" s="106"/>
      <c r="C783">
        <v>3.05</v>
      </c>
      <c r="D783"/>
      <c r="E783"/>
      <c r="F783" s="91">
        <v>1</v>
      </c>
      <c r="G783" s="90" t="s">
        <v>878</v>
      </c>
      <c r="H783" s="86" t="s">
        <v>46</v>
      </c>
      <c r="I783" s="8">
        <f>C25</f>
        <v>20.7</v>
      </c>
      <c r="J783" s="4"/>
      <c r="K783" s="8">
        <f>F783*I783</f>
        <v>20.7</v>
      </c>
      <c r="N783" s="86" t="s">
        <v>877</v>
      </c>
      <c r="O783" s="86" t="s">
        <v>151</v>
      </c>
      <c r="P783" s="91">
        <v>5</v>
      </c>
      <c r="R783" s="91" t="e">
        <f t="shared" si="44"/>
        <v>#VALUE!</v>
      </c>
      <c r="AG783" s="86" t="s">
        <v>2284</v>
      </c>
    </row>
    <row r="784" spans="1:33" hidden="1">
      <c r="A784" s="106"/>
      <c r="C784">
        <v>30</v>
      </c>
      <c r="D784"/>
      <c r="E784"/>
      <c r="I784"/>
      <c r="J784" s="4"/>
      <c r="K784" s="5" t="s">
        <v>1609</v>
      </c>
      <c r="N784" s="86" t="s">
        <v>877</v>
      </c>
      <c r="O784" s="86" t="s">
        <v>152</v>
      </c>
      <c r="P784" s="91">
        <v>10</v>
      </c>
      <c r="R784" s="91" t="e">
        <f t="shared" si="44"/>
        <v>#VALUE!</v>
      </c>
      <c r="AG784" s="86" t="s">
        <v>2284</v>
      </c>
    </row>
    <row r="785" spans="1:33" hidden="1">
      <c r="A785" s="106"/>
      <c r="C785">
        <v>35</v>
      </c>
      <c r="D785"/>
      <c r="E785"/>
      <c r="I785"/>
      <c r="J785" s="4"/>
      <c r="K785" s="8" t="e">
        <f>SUM(K781:K783)</f>
        <v>#REF!</v>
      </c>
      <c r="N785" s="86" t="s">
        <v>877</v>
      </c>
      <c r="O785" s="86" t="s">
        <v>1772</v>
      </c>
      <c r="P785" s="91">
        <v>8</v>
      </c>
      <c r="R785" s="91" t="e">
        <f t="shared" si="44"/>
        <v>#VALUE!</v>
      </c>
      <c r="AG785" s="86" t="s">
        <v>2284</v>
      </c>
    </row>
    <row r="786" spans="1:33" hidden="1">
      <c r="A786" s="106"/>
      <c r="C786">
        <v>125</v>
      </c>
      <c r="D786"/>
      <c r="E786"/>
      <c r="I786"/>
      <c r="J786" s="4"/>
      <c r="K786" s="5" t="s">
        <v>1609</v>
      </c>
      <c r="N786" s="86" t="s">
        <v>835</v>
      </c>
      <c r="O786" s="86" t="s">
        <v>1521</v>
      </c>
      <c r="P786" s="91">
        <v>13.66</v>
      </c>
      <c r="R786" s="91" t="e">
        <f t="shared" si="44"/>
        <v>#VALUE!</v>
      </c>
      <c r="AG786" s="86" t="s">
        <v>2284</v>
      </c>
    </row>
    <row r="787" spans="1:33" hidden="1">
      <c r="A787" s="106"/>
      <c r="B787" s="87" t="s">
        <v>2986</v>
      </c>
      <c r="C787" s="55">
        <v>162</v>
      </c>
      <c r="D787" s="55">
        <v>179</v>
      </c>
      <c r="E787"/>
      <c r="I787"/>
      <c r="J787" s="4"/>
      <c r="K787" s="5"/>
      <c r="N787" s="86"/>
      <c r="O787" s="86"/>
      <c r="P787" s="91"/>
      <c r="R787" s="91"/>
      <c r="AG787" s="86"/>
    </row>
    <row r="788" spans="1:33" hidden="1">
      <c r="A788" s="106"/>
      <c r="B788" s="87" t="s">
        <v>2987</v>
      </c>
      <c r="C788" s="83">
        <v>185</v>
      </c>
      <c r="D788"/>
      <c r="E788"/>
      <c r="H788" s="86" t="s">
        <v>386</v>
      </c>
      <c r="I788"/>
      <c r="J788" s="4"/>
      <c r="K788" s="8" t="e">
        <f>(K785+C22)</f>
        <v>#REF!</v>
      </c>
      <c r="N788" s="86" t="s">
        <v>615</v>
      </c>
      <c r="O788" s="86" t="s">
        <v>1522</v>
      </c>
      <c r="P788" s="91">
        <v>25.46</v>
      </c>
      <c r="R788" s="91" t="e">
        <f t="shared" si="44"/>
        <v>#VALUE!</v>
      </c>
      <c r="AG788" s="86" t="s">
        <v>2284</v>
      </c>
    </row>
    <row r="789" spans="1:33" hidden="1">
      <c r="A789" s="106"/>
      <c r="B789" s="87" t="s">
        <v>2988</v>
      </c>
      <c r="C789" s="83">
        <v>170</v>
      </c>
      <c r="D789"/>
      <c r="E789"/>
      <c r="H789" s="86" t="s">
        <v>388</v>
      </c>
      <c r="I789"/>
      <c r="J789" s="4"/>
      <c r="K789" s="8" t="e">
        <f>(K788+C23)</f>
        <v>#REF!</v>
      </c>
      <c r="N789" s="86" t="s">
        <v>877</v>
      </c>
      <c r="O789" s="86" t="s">
        <v>1339</v>
      </c>
      <c r="P789" s="91">
        <v>0.5</v>
      </c>
      <c r="R789" s="91" t="e">
        <f t="shared" si="44"/>
        <v>#VALUE!</v>
      </c>
      <c r="AG789" s="86" t="s">
        <v>2284</v>
      </c>
    </row>
    <row r="790" spans="1:33" hidden="1">
      <c r="A790" s="106"/>
      <c r="B790" s="87" t="s">
        <v>2989</v>
      </c>
      <c r="C790" s="83">
        <v>160</v>
      </c>
      <c r="D790"/>
      <c r="E790"/>
      <c r="H790" s="86" t="s">
        <v>2257</v>
      </c>
      <c r="I790"/>
      <c r="J790" s="4"/>
      <c r="K790" s="8" t="e">
        <f>(K789+C24)</f>
        <v>#REF!</v>
      </c>
      <c r="R790" s="91">
        <v>0.54</v>
      </c>
      <c r="AG790" s="86" t="s">
        <v>322</v>
      </c>
    </row>
    <row r="791" spans="1:33" hidden="1">
      <c r="A791" s="106"/>
      <c r="B791" s="79" t="s">
        <v>1304</v>
      </c>
      <c r="C791" s="83">
        <v>121</v>
      </c>
      <c r="D791"/>
      <c r="E791"/>
      <c r="H791" s="86" t="s">
        <v>380</v>
      </c>
      <c r="I791"/>
      <c r="J791" s="4"/>
      <c r="K791" s="8" t="e">
        <f>(K790+C24)</f>
        <v>#REF!</v>
      </c>
      <c r="R791" s="89" t="s">
        <v>1609</v>
      </c>
    </row>
    <row r="792" spans="1:33" hidden="1">
      <c r="A792" s="106"/>
      <c r="B792" s="79" t="s">
        <v>2990</v>
      </c>
      <c r="C792" s="55">
        <v>120</v>
      </c>
      <c r="D792"/>
      <c r="E792"/>
      <c r="H792" s="86" t="s">
        <v>1554</v>
      </c>
      <c r="I792"/>
      <c r="J792" s="4"/>
      <c r="K792" s="8" t="e">
        <f>(K791+C24)</f>
        <v>#REF!</v>
      </c>
      <c r="O792" s="102" t="s">
        <v>1340</v>
      </c>
      <c r="R792" s="91" t="e">
        <f>SUM(R779:R790)</f>
        <v>#VALUE!</v>
      </c>
    </row>
    <row r="793" spans="1:33" hidden="1">
      <c r="B793" s="79" t="s">
        <v>2991</v>
      </c>
      <c r="C793" s="55">
        <v>70</v>
      </c>
      <c r="D793"/>
      <c r="E793"/>
      <c r="F793" s="86" t="s">
        <v>987</v>
      </c>
      <c r="I793"/>
      <c r="J793" s="4"/>
      <c r="K793"/>
    </row>
    <row r="794" spans="1:33" hidden="1">
      <c r="A794" s="106"/>
      <c r="B794" s="79" t="s">
        <v>2992</v>
      </c>
      <c r="C794">
        <v>35</v>
      </c>
      <c r="D794"/>
      <c r="E794"/>
      <c r="F794" s="86" t="s">
        <v>987</v>
      </c>
      <c r="G794" s="90" t="s">
        <v>2276</v>
      </c>
      <c r="H794" s="102" t="s">
        <v>1341</v>
      </c>
      <c r="I794"/>
      <c r="J794" s="4"/>
      <c r="K794"/>
      <c r="R794" s="89" t="s">
        <v>1609</v>
      </c>
      <c r="AG794" s="86" t="s">
        <v>2284</v>
      </c>
    </row>
    <row r="795" spans="1:33" hidden="1">
      <c r="A795" s="106"/>
      <c r="B795" s="79" t="s">
        <v>2993</v>
      </c>
      <c r="C795">
        <v>90</v>
      </c>
      <c r="D795"/>
      <c r="E795"/>
      <c r="H795" s="89" t="s">
        <v>2080</v>
      </c>
      <c r="I795"/>
      <c r="J795" s="4"/>
      <c r="K795"/>
      <c r="AG795" s="86" t="s">
        <v>2284</v>
      </c>
    </row>
    <row r="796" spans="1:33" hidden="1">
      <c r="A796" s="106"/>
      <c r="B796" s="79" t="s">
        <v>2998</v>
      </c>
      <c r="C796" s="55">
        <v>140</v>
      </c>
      <c r="D796"/>
      <c r="E796"/>
      <c r="I796"/>
      <c r="J796" s="4"/>
      <c r="K796"/>
      <c r="N796" s="86" t="s">
        <v>522</v>
      </c>
      <c r="O796" s="86" t="s">
        <v>1342</v>
      </c>
      <c r="AG796" s="86" t="s">
        <v>2284</v>
      </c>
    </row>
    <row r="797" spans="1:33" ht="31.5" hidden="1">
      <c r="A797" s="125">
        <v>1</v>
      </c>
      <c r="B797" s="126" t="s">
        <v>3207</v>
      </c>
      <c r="C797"/>
      <c r="D797"/>
      <c r="E797"/>
      <c r="F797" s="102" t="s">
        <v>1343</v>
      </c>
      <c r="G797" s="90" t="s">
        <v>2276</v>
      </c>
      <c r="H797" s="86" t="s">
        <v>2056</v>
      </c>
      <c r="I797"/>
      <c r="J797" s="4"/>
      <c r="K797"/>
      <c r="O797" s="86" t="s">
        <v>1788</v>
      </c>
      <c r="AG797" s="86" t="s">
        <v>2284</v>
      </c>
    </row>
    <row r="798" spans="1:33" hidden="1">
      <c r="A798" s="125"/>
      <c r="B798" s="79" t="s">
        <v>3208</v>
      </c>
      <c r="C798" s="82">
        <v>11</v>
      </c>
      <c r="D798"/>
      <c r="E798"/>
      <c r="H798" s="86" t="s">
        <v>2057</v>
      </c>
      <c r="I798"/>
      <c r="J798" s="4"/>
      <c r="K798"/>
      <c r="N798" s="86" t="s">
        <v>268</v>
      </c>
      <c r="O798" s="86" t="s">
        <v>1790</v>
      </c>
      <c r="P798" s="91">
        <v>43</v>
      </c>
      <c r="R798" s="91" t="e">
        <f>(#VALUE!*P798)</f>
        <v>#VALUE!</v>
      </c>
      <c r="AG798" s="86" t="s">
        <v>2284</v>
      </c>
    </row>
    <row r="799" spans="1:33" hidden="1">
      <c r="A799" s="127"/>
      <c r="B799" s="79" t="s">
        <v>3209</v>
      </c>
      <c r="C799" s="82">
        <v>11</v>
      </c>
      <c r="D799"/>
      <c r="E799"/>
      <c r="H799" s="86" t="s">
        <v>2058</v>
      </c>
      <c r="I799"/>
      <c r="J799" s="4"/>
      <c r="K799"/>
      <c r="O799" s="86" t="s">
        <v>1945</v>
      </c>
      <c r="AG799" s="86" t="s">
        <v>2284</v>
      </c>
    </row>
    <row r="800" spans="1:33" hidden="1">
      <c r="A800" s="125"/>
      <c r="B800" s="79" t="s">
        <v>3210</v>
      </c>
      <c r="C800" s="82">
        <v>11</v>
      </c>
      <c r="D800"/>
      <c r="E800"/>
      <c r="H800" s="86" t="s">
        <v>900</v>
      </c>
      <c r="I800"/>
      <c r="J800" s="4"/>
      <c r="K800"/>
      <c r="O800" s="86" t="s">
        <v>998</v>
      </c>
      <c r="AG800" s="86" t="s">
        <v>2284</v>
      </c>
    </row>
    <row r="801" spans="1:33" hidden="1">
      <c r="A801" s="127"/>
      <c r="B801" s="79" t="s">
        <v>3211</v>
      </c>
      <c r="C801" s="82">
        <v>11</v>
      </c>
      <c r="D801"/>
      <c r="E801"/>
      <c r="H801" s="86" t="s">
        <v>901</v>
      </c>
      <c r="I801"/>
      <c r="J801" s="4"/>
      <c r="K801"/>
      <c r="N801" s="86" t="s">
        <v>615</v>
      </c>
      <c r="O801" s="86" t="s">
        <v>999</v>
      </c>
      <c r="P801" s="91">
        <f>C271</f>
        <v>160</v>
      </c>
      <c r="R801" s="91" t="e">
        <f t="shared" ref="R801:R807" si="45">(#VALUE!*P801)</f>
        <v>#VALUE!</v>
      </c>
      <c r="AG801" s="86" t="s">
        <v>2284</v>
      </c>
    </row>
    <row r="802" spans="1:33" hidden="1">
      <c r="A802" s="125"/>
      <c r="B802" s="79" t="s">
        <v>3212</v>
      </c>
      <c r="C802" s="82">
        <v>12</v>
      </c>
      <c r="D802"/>
      <c r="E802"/>
      <c r="H802" s="86" t="s">
        <v>1746</v>
      </c>
      <c r="I802"/>
      <c r="J802" s="4"/>
      <c r="K802"/>
      <c r="N802" s="86" t="s">
        <v>877</v>
      </c>
      <c r="O802" s="86" t="s">
        <v>151</v>
      </c>
      <c r="P802" s="91">
        <v>5</v>
      </c>
      <c r="R802" s="91" t="e">
        <f t="shared" si="45"/>
        <v>#VALUE!</v>
      </c>
      <c r="AG802" s="86" t="s">
        <v>2284</v>
      </c>
    </row>
    <row r="803" spans="1:33" hidden="1">
      <c r="A803" s="127"/>
      <c r="B803" s="79" t="s">
        <v>3213</v>
      </c>
      <c r="C803" s="23" t="s">
        <v>3214</v>
      </c>
      <c r="D803"/>
      <c r="E803"/>
      <c r="H803" s="86" t="s">
        <v>95</v>
      </c>
      <c r="I803"/>
      <c r="J803" s="4"/>
      <c r="K803"/>
      <c r="N803" s="86" t="s">
        <v>877</v>
      </c>
      <c r="O803" s="86" t="s">
        <v>152</v>
      </c>
      <c r="P803" s="91">
        <v>10</v>
      </c>
      <c r="R803" s="91" t="e">
        <f t="shared" si="45"/>
        <v>#VALUE!</v>
      </c>
      <c r="AG803" s="86" t="s">
        <v>2284</v>
      </c>
    </row>
    <row r="804" spans="1:33" hidden="1">
      <c r="A804" s="125"/>
      <c r="B804" s="79" t="s">
        <v>3215</v>
      </c>
      <c r="C804" s="55">
        <v>25</v>
      </c>
      <c r="D804"/>
      <c r="E804"/>
      <c r="H804" s="86" t="s">
        <v>96</v>
      </c>
      <c r="I804"/>
      <c r="J804" s="4"/>
      <c r="K804"/>
      <c r="N804" s="86" t="s">
        <v>877</v>
      </c>
      <c r="O804" s="86" t="s">
        <v>1772</v>
      </c>
      <c r="P804" s="91">
        <v>8</v>
      </c>
      <c r="R804" s="91" t="e">
        <f t="shared" si="45"/>
        <v>#VALUE!</v>
      </c>
      <c r="AG804" s="86" t="s">
        <v>2284</v>
      </c>
    </row>
    <row r="805" spans="1:33" hidden="1">
      <c r="A805" s="127"/>
      <c r="B805" s="79" t="s">
        <v>3216</v>
      </c>
      <c r="C805" s="23" t="s">
        <v>3214</v>
      </c>
      <c r="D805"/>
      <c r="E805"/>
      <c r="H805" s="86" t="s">
        <v>97</v>
      </c>
      <c r="I805"/>
      <c r="J805" s="4"/>
      <c r="K805"/>
      <c r="N805" s="86" t="s">
        <v>835</v>
      </c>
      <c r="O805" s="86" t="s">
        <v>1521</v>
      </c>
      <c r="P805" s="91">
        <v>13.66</v>
      </c>
      <c r="R805" s="91" t="e">
        <f t="shared" si="45"/>
        <v>#VALUE!</v>
      </c>
      <c r="AG805" s="86" t="s">
        <v>2284</v>
      </c>
    </row>
    <row r="806" spans="1:33" hidden="1">
      <c r="A806" s="125"/>
      <c r="B806" s="79" t="s">
        <v>3217</v>
      </c>
      <c r="C806" s="23" t="s">
        <v>3214</v>
      </c>
      <c r="D806"/>
      <c r="E806"/>
      <c r="H806" s="86" t="s">
        <v>98</v>
      </c>
      <c r="I806"/>
      <c r="J806" s="4"/>
      <c r="K806"/>
      <c r="N806" s="86" t="s">
        <v>615</v>
      </c>
      <c r="O806" s="86" t="s">
        <v>1522</v>
      </c>
      <c r="P806" s="91">
        <v>25.46</v>
      </c>
      <c r="R806" s="91" t="e">
        <f t="shared" si="45"/>
        <v>#VALUE!</v>
      </c>
      <c r="AG806" s="86" t="s">
        <v>2284</v>
      </c>
    </row>
    <row r="807" spans="1:33" hidden="1">
      <c r="A807" s="127"/>
      <c r="B807" s="79" t="s">
        <v>3218</v>
      </c>
      <c r="C807" s="23" t="s">
        <v>3214</v>
      </c>
      <c r="D807"/>
      <c r="E807"/>
      <c r="H807" s="86" t="s">
        <v>2078</v>
      </c>
      <c r="I807"/>
      <c r="J807" s="4"/>
      <c r="K807"/>
      <c r="N807" s="86" t="s">
        <v>877</v>
      </c>
      <c r="O807" s="86" t="s">
        <v>1339</v>
      </c>
      <c r="P807" s="91">
        <v>0.5</v>
      </c>
      <c r="R807" s="91" t="e">
        <f t="shared" si="45"/>
        <v>#VALUE!</v>
      </c>
      <c r="AG807" s="86" t="s">
        <v>2284</v>
      </c>
    </row>
    <row r="808" spans="1:33" ht="31.5" hidden="1">
      <c r="A808" s="125">
        <v>2</v>
      </c>
      <c r="B808" s="126" t="s">
        <v>3219</v>
      </c>
      <c r="C808"/>
      <c r="D808"/>
      <c r="E808"/>
      <c r="H808" s="86" t="s">
        <v>1044</v>
      </c>
      <c r="I808"/>
      <c r="J808" s="4"/>
      <c r="K808"/>
      <c r="R808" s="91">
        <v>0.7</v>
      </c>
      <c r="AG808" s="86" t="s">
        <v>2284</v>
      </c>
    </row>
    <row r="809" spans="1:33" hidden="1">
      <c r="A809" s="127"/>
      <c r="B809" s="79" t="s">
        <v>3220</v>
      </c>
      <c r="C809" s="82">
        <v>12.5</v>
      </c>
      <c r="D809"/>
      <c r="E809"/>
      <c r="H809" s="86" t="s">
        <v>1803</v>
      </c>
      <c r="I809"/>
      <c r="J809" s="4"/>
      <c r="K809"/>
      <c r="R809" s="89" t="s">
        <v>1609</v>
      </c>
      <c r="AG809" s="86" t="s">
        <v>2284</v>
      </c>
    </row>
    <row r="810" spans="1:33" hidden="1">
      <c r="A810" s="125">
        <v>3</v>
      </c>
      <c r="B810" s="79" t="s">
        <v>3221</v>
      </c>
      <c r="C810" s="55">
        <v>242</v>
      </c>
      <c r="D810"/>
      <c r="E810"/>
      <c r="H810" s="86" t="s">
        <v>1804</v>
      </c>
      <c r="I810"/>
      <c r="J810" s="4"/>
      <c r="K810"/>
      <c r="O810" s="102" t="s">
        <v>1340</v>
      </c>
      <c r="R810" s="91" t="e">
        <f>SUM(R798:R808)</f>
        <v>#VALUE!</v>
      </c>
      <c r="AG810" s="86" t="s">
        <v>2284</v>
      </c>
    </row>
    <row r="811" spans="1:33" hidden="1">
      <c r="A811" s="127" t="s">
        <v>3222</v>
      </c>
      <c r="B811" s="128" t="s">
        <v>3223</v>
      </c>
      <c r="C811"/>
      <c r="D811"/>
      <c r="E811"/>
      <c r="I811"/>
      <c r="J811" s="4"/>
      <c r="K811"/>
      <c r="R811" s="89" t="s">
        <v>1609</v>
      </c>
      <c r="AG811" s="86" t="s">
        <v>2284</v>
      </c>
    </row>
    <row r="812" spans="1:33" hidden="1">
      <c r="A812" s="125"/>
      <c r="B812" s="79" t="s">
        <v>2574</v>
      </c>
      <c r="C812" s="129">
        <v>75</v>
      </c>
      <c r="D812"/>
      <c r="E812"/>
      <c r="I812"/>
      <c r="J812" s="4"/>
      <c r="K812"/>
      <c r="R812" s="89"/>
      <c r="AG812" s="86"/>
    </row>
    <row r="813" spans="1:33" hidden="1">
      <c r="A813" s="127"/>
      <c r="B813" s="130" t="s">
        <v>2575</v>
      </c>
      <c r="C813" s="129">
        <v>80</v>
      </c>
      <c r="D813"/>
      <c r="E813"/>
      <c r="G813" s="90" t="s">
        <v>317</v>
      </c>
      <c r="H813" s="102" t="s">
        <v>1801</v>
      </c>
      <c r="I813"/>
      <c r="J813" s="4"/>
      <c r="K813"/>
      <c r="R813" s="89"/>
      <c r="AG813" s="86"/>
    </row>
    <row r="814" spans="1:33" ht="31.5" hidden="1">
      <c r="A814" s="125">
        <v>4</v>
      </c>
      <c r="B814" s="126" t="s">
        <v>2607</v>
      </c>
      <c r="C814"/>
      <c r="D814"/>
      <c r="E814"/>
      <c r="H814" s="102" t="s">
        <v>1806</v>
      </c>
      <c r="I814"/>
      <c r="J814" s="4"/>
      <c r="K814"/>
      <c r="R814" s="89"/>
      <c r="AG814" s="86"/>
    </row>
    <row r="815" spans="1:33" hidden="1">
      <c r="A815" s="127"/>
      <c r="B815" s="79" t="s">
        <v>2608</v>
      </c>
      <c r="C815" s="55">
        <v>42</v>
      </c>
      <c r="D815"/>
      <c r="E815"/>
      <c r="F815" s="121">
        <v>3.8800000000000001E-2</v>
      </c>
      <c r="G815" s="90" t="s">
        <v>878</v>
      </c>
      <c r="H815" s="86" t="s">
        <v>2099</v>
      </c>
      <c r="I815" s="8" t="e">
        <f>K781</f>
        <v>#REF!</v>
      </c>
      <c r="J815" s="2" t="s">
        <v>878</v>
      </c>
      <c r="K815" s="8" t="e">
        <f>F815*I815</f>
        <v>#REF!</v>
      </c>
      <c r="R815" s="89"/>
      <c r="AG815" s="86"/>
    </row>
    <row r="816" spans="1:33" hidden="1">
      <c r="A816" s="125"/>
      <c r="B816" s="79" t="s">
        <v>2609</v>
      </c>
      <c r="C816" s="55">
        <v>46</v>
      </c>
      <c r="D816"/>
      <c r="E816"/>
      <c r="F816" s="91">
        <v>5.01</v>
      </c>
      <c r="G816" s="90" t="s">
        <v>1670</v>
      </c>
      <c r="H816" s="86" t="s">
        <v>2100</v>
      </c>
      <c r="I816" s="8">
        <f>K1513</f>
        <v>33174.400000000001</v>
      </c>
      <c r="J816" s="2" t="s">
        <v>870</v>
      </c>
      <c r="K816" s="8">
        <f>F816*I816/1000</f>
        <v>166.2</v>
      </c>
      <c r="R816" s="89"/>
      <c r="AG816" s="86"/>
    </row>
    <row r="817" spans="1:33" hidden="1">
      <c r="A817" s="127"/>
      <c r="B817" s="79" t="s">
        <v>3073</v>
      </c>
      <c r="C817" s="55">
        <v>42</v>
      </c>
      <c r="D817"/>
      <c r="E817"/>
      <c r="F817" s="91">
        <v>3</v>
      </c>
      <c r="G817" s="90" t="s">
        <v>877</v>
      </c>
      <c r="H817" s="86" t="s">
        <v>1204</v>
      </c>
      <c r="I817" s="8">
        <v>16.5</v>
      </c>
      <c r="J817" s="2" t="s">
        <v>877</v>
      </c>
      <c r="K817" s="8">
        <f t="shared" ref="K817:K824" si="46">F817*I817</f>
        <v>49.5</v>
      </c>
      <c r="R817" s="89"/>
      <c r="AG817" s="86"/>
    </row>
    <row r="818" spans="1:33" ht="31.5" hidden="1">
      <c r="A818" s="125">
        <v>5</v>
      </c>
      <c r="B818" s="126" t="s">
        <v>3074</v>
      </c>
      <c r="C818"/>
      <c r="D818"/>
      <c r="E818"/>
      <c r="F818" s="91">
        <v>12</v>
      </c>
      <c r="G818" s="90" t="s">
        <v>877</v>
      </c>
      <c r="H818" s="86" t="s">
        <v>1205</v>
      </c>
      <c r="I818" s="8">
        <v>3.85</v>
      </c>
      <c r="J818" s="2" t="s">
        <v>877</v>
      </c>
      <c r="K818" s="8">
        <f t="shared" si="46"/>
        <v>46.2</v>
      </c>
      <c r="R818" s="89"/>
      <c r="AG818" s="86"/>
    </row>
    <row r="819" spans="1:33" hidden="1">
      <c r="A819" s="127"/>
      <c r="B819" s="79" t="s">
        <v>3075</v>
      </c>
      <c r="C819" s="55">
        <v>174</v>
      </c>
      <c r="D819"/>
      <c r="E819"/>
      <c r="F819" s="91">
        <v>2</v>
      </c>
      <c r="G819" s="90" t="s">
        <v>877</v>
      </c>
      <c r="H819" s="86" t="s">
        <v>1206</v>
      </c>
      <c r="I819" s="8">
        <v>5</v>
      </c>
      <c r="J819" s="2" t="s">
        <v>877</v>
      </c>
      <c r="K819" s="8">
        <f t="shared" si="46"/>
        <v>10</v>
      </c>
      <c r="R819" s="89"/>
      <c r="AG819" s="86"/>
    </row>
    <row r="820" spans="1:33" hidden="1">
      <c r="A820" s="125"/>
      <c r="B820" s="79" t="s">
        <v>3076</v>
      </c>
      <c r="C820" s="55">
        <v>182</v>
      </c>
      <c r="D820"/>
      <c r="E820"/>
      <c r="F820" s="91">
        <v>6</v>
      </c>
      <c r="G820" s="90" t="s">
        <v>877</v>
      </c>
      <c r="H820" s="86" t="s">
        <v>2245</v>
      </c>
      <c r="I820" s="8">
        <v>3.85</v>
      </c>
      <c r="J820" s="2" t="s">
        <v>877</v>
      </c>
      <c r="K820" s="8">
        <f t="shared" si="46"/>
        <v>23.1</v>
      </c>
      <c r="R820" s="89"/>
      <c r="AG820" s="86"/>
    </row>
    <row r="821" spans="1:33" hidden="1">
      <c r="A821" s="127"/>
      <c r="B821" s="79" t="s">
        <v>3077</v>
      </c>
      <c r="C821" s="55">
        <v>444</v>
      </c>
      <c r="D821"/>
      <c r="E821"/>
      <c r="F821" s="91">
        <v>1</v>
      </c>
      <c r="G821" s="90" t="s">
        <v>877</v>
      </c>
      <c r="H821" s="86" t="s">
        <v>1211</v>
      </c>
      <c r="I821" s="8">
        <f>C10</f>
        <v>150</v>
      </c>
      <c r="J821" s="2" t="s">
        <v>877</v>
      </c>
      <c r="K821" s="8">
        <f t="shared" si="46"/>
        <v>150</v>
      </c>
      <c r="R821" s="89"/>
      <c r="AG821" s="86"/>
    </row>
    <row r="822" spans="1:33" hidden="1">
      <c r="A822" s="125"/>
      <c r="B822" s="79" t="s">
        <v>3078</v>
      </c>
      <c r="C822" s="55">
        <v>626</v>
      </c>
      <c r="D822"/>
      <c r="E822"/>
      <c r="F822" s="91">
        <v>1</v>
      </c>
      <c r="G822" s="90" t="s">
        <v>877</v>
      </c>
      <c r="H822" s="86" t="s">
        <v>1212</v>
      </c>
      <c r="I822" s="8">
        <f>C12</f>
        <v>95</v>
      </c>
      <c r="J822" s="2" t="s">
        <v>877</v>
      </c>
      <c r="K822" s="8">
        <f t="shared" si="46"/>
        <v>95</v>
      </c>
      <c r="R822" s="89"/>
      <c r="AG822" s="86"/>
    </row>
    <row r="823" spans="1:33" ht="47.25" hidden="1">
      <c r="A823" s="127">
        <v>6</v>
      </c>
      <c r="B823" s="126" t="s">
        <v>3079</v>
      </c>
      <c r="C823"/>
      <c r="D823"/>
      <c r="E823"/>
      <c r="F823" s="91">
        <v>1</v>
      </c>
      <c r="G823" s="90" t="s">
        <v>877</v>
      </c>
      <c r="H823" s="86" t="s">
        <v>1213</v>
      </c>
      <c r="I823" s="8">
        <v>25</v>
      </c>
      <c r="J823" s="2" t="s">
        <v>877</v>
      </c>
      <c r="K823" s="8">
        <f t="shared" si="46"/>
        <v>25</v>
      </c>
      <c r="R823" s="89"/>
      <c r="AG823" s="86"/>
    </row>
    <row r="824" spans="1:33" hidden="1">
      <c r="A824" s="125"/>
      <c r="B824" s="79" t="s">
        <v>3080</v>
      </c>
      <c r="C824" s="23" t="s">
        <v>3214</v>
      </c>
      <c r="D824"/>
      <c r="E824"/>
      <c r="F824" s="91">
        <v>0.5</v>
      </c>
      <c r="G824" s="90" t="s">
        <v>877</v>
      </c>
      <c r="H824" s="86" t="s">
        <v>1214</v>
      </c>
      <c r="I824" s="8">
        <f>C13</f>
        <v>85</v>
      </c>
      <c r="J824" s="2" t="s">
        <v>877</v>
      </c>
      <c r="K824" s="8">
        <f t="shared" si="46"/>
        <v>42.5</v>
      </c>
      <c r="R824" s="89"/>
      <c r="AG824" s="86"/>
    </row>
    <row r="825" spans="1:33" hidden="1">
      <c r="A825" s="127"/>
      <c r="B825" s="79" t="s">
        <v>3081</v>
      </c>
      <c r="C825" s="55">
        <v>306</v>
      </c>
      <c r="D825"/>
      <c r="E825"/>
      <c r="G825" s="90" t="s">
        <v>450</v>
      </c>
      <c r="H825" s="86" t="s">
        <v>2163</v>
      </c>
      <c r="I825"/>
      <c r="J825" s="2" t="s">
        <v>450</v>
      </c>
      <c r="K825" s="8">
        <v>0.5</v>
      </c>
      <c r="R825" s="89"/>
      <c r="AG825" s="86"/>
    </row>
    <row r="826" spans="1:33" ht="31.5" hidden="1">
      <c r="A826" s="125"/>
      <c r="B826" s="131" t="s">
        <v>3082</v>
      </c>
      <c r="C826" s="55">
        <v>450</v>
      </c>
      <c r="D826"/>
      <c r="E826"/>
      <c r="I826"/>
      <c r="J826" s="4"/>
      <c r="K826" s="5" t="s">
        <v>1609</v>
      </c>
      <c r="R826" s="89"/>
      <c r="AG826" s="86"/>
    </row>
    <row r="827" spans="1:33" ht="47.25" hidden="1">
      <c r="A827" s="127">
        <v>7</v>
      </c>
      <c r="B827" s="126" t="s">
        <v>2589</v>
      </c>
      <c r="C827"/>
      <c r="D827"/>
      <c r="E827"/>
      <c r="H827" s="102" t="s">
        <v>283</v>
      </c>
      <c r="I827"/>
      <c r="J827" s="4"/>
      <c r="K827" s="8" t="e">
        <f>SUM(K815:K825)</f>
        <v>#REF!</v>
      </c>
      <c r="R827" s="89"/>
      <c r="AG827" s="86"/>
    </row>
    <row r="828" spans="1:33" hidden="1">
      <c r="A828" s="125"/>
      <c r="B828" s="79" t="s">
        <v>3081</v>
      </c>
      <c r="C828" s="55">
        <v>575</v>
      </c>
      <c r="D828"/>
      <c r="E828"/>
      <c r="I828"/>
      <c r="J828" s="4"/>
      <c r="K828" s="5" t="s">
        <v>1609</v>
      </c>
      <c r="R828" s="89"/>
      <c r="AG828" s="86"/>
    </row>
    <row r="829" spans="1:33" ht="31.5" hidden="1">
      <c r="A829" s="127"/>
      <c r="B829" s="131" t="s">
        <v>3082</v>
      </c>
      <c r="C829" s="55">
        <v>750</v>
      </c>
      <c r="D829"/>
      <c r="E829"/>
      <c r="I829"/>
      <c r="J829" s="4"/>
      <c r="K829"/>
      <c r="R829" s="89"/>
      <c r="AG829" s="86"/>
    </row>
    <row r="830" spans="1:33" ht="47.25" hidden="1">
      <c r="A830" s="125">
        <v>8</v>
      </c>
      <c r="B830" s="126" t="s">
        <v>2590</v>
      </c>
      <c r="C830"/>
      <c r="D830"/>
      <c r="E830"/>
      <c r="I830"/>
      <c r="J830" s="4"/>
      <c r="K830"/>
      <c r="R830" s="89"/>
      <c r="AG830" s="86"/>
    </row>
    <row r="831" spans="1:33" hidden="1">
      <c r="A831" s="127"/>
      <c r="B831" s="87" t="s">
        <v>3518</v>
      </c>
      <c r="C831" s="55">
        <v>850</v>
      </c>
      <c r="D831"/>
      <c r="E831"/>
      <c r="G831" s="90" t="s">
        <v>1932</v>
      </c>
      <c r="H831" s="102" t="s">
        <v>1805</v>
      </c>
      <c r="I831"/>
      <c r="J831" s="4"/>
      <c r="K831"/>
      <c r="R831" s="86" t="s">
        <v>987</v>
      </c>
      <c r="AG831" s="86" t="s">
        <v>2284</v>
      </c>
    </row>
    <row r="832" spans="1:33" hidden="1">
      <c r="A832" s="125"/>
      <c r="B832" s="87" t="s">
        <v>2600</v>
      </c>
      <c r="C832" s="55">
        <v>1050</v>
      </c>
      <c r="D832"/>
      <c r="E832"/>
      <c r="H832" s="102" t="s">
        <v>1806</v>
      </c>
      <c r="I832"/>
      <c r="J832" s="4"/>
      <c r="K832"/>
      <c r="N832" s="86" t="s">
        <v>317</v>
      </c>
      <c r="O832" s="86" t="s">
        <v>40</v>
      </c>
      <c r="AG832" s="86" t="s">
        <v>2284</v>
      </c>
    </row>
    <row r="833" spans="1:33" ht="69" hidden="1" customHeight="1">
      <c r="A833" s="127">
        <v>9</v>
      </c>
      <c r="B833" s="126" t="s">
        <v>2601</v>
      </c>
      <c r="C833"/>
      <c r="D833"/>
      <c r="E833"/>
      <c r="F833" s="121">
        <v>3.7600000000000001E-2</v>
      </c>
      <c r="G833" s="90" t="s">
        <v>878</v>
      </c>
      <c r="H833" s="86" t="s">
        <v>2099</v>
      </c>
      <c r="I833" s="8" t="e">
        <f>K781</f>
        <v>#REF!</v>
      </c>
      <c r="J833" s="2" t="s">
        <v>878</v>
      </c>
      <c r="K833" s="8" t="e">
        <f>F833*I833</f>
        <v>#REF!</v>
      </c>
      <c r="O833" s="86" t="s">
        <v>1788</v>
      </c>
      <c r="AG833" s="86" t="s">
        <v>2284</v>
      </c>
    </row>
    <row r="834" spans="1:33" hidden="1">
      <c r="A834" s="125"/>
      <c r="B834" s="87" t="s">
        <v>2602</v>
      </c>
      <c r="C834" s="23" t="s">
        <v>3214</v>
      </c>
      <c r="D834"/>
      <c r="E834"/>
      <c r="F834" s="91">
        <v>4.87</v>
      </c>
      <c r="G834" s="90" t="s">
        <v>1670</v>
      </c>
      <c r="H834" s="86" t="s">
        <v>2100</v>
      </c>
      <c r="I834" s="8">
        <f>K1513</f>
        <v>33174.400000000001</v>
      </c>
      <c r="J834" s="2" t="s">
        <v>870</v>
      </c>
      <c r="K834" s="8">
        <f>F834*I834/1000</f>
        <v>161.56</v>
      </c>
      <c r="N834" s="86" t="s">
        <v>268</v>
      </c>
      <c r="O834" s="86" t="s">
        <v>1790</v>
      </c>
      <c r="P834" s="91">
        <v>43</v>
      </c>
      <c r="R834" s="91" t="e">
        <f>(#VALUE!*P834)</f>
        <v>#VALUE!</v>
      </c>
      <c r="AG834" s="86" t="s">
        <v>2284</v>
      </c>
    </row>
    <row r="835" spans="1:33" hidden="1">
      <c r="A835" s="127"/>
      <c r="B835" s="79" t="s">
        <v>2603</v>
      </c>
      <c r="C835" s="129" t="s">
        <v>3214</v>
      </c>
      <c r="D835"/>
      <c r="E835"/>
      <c r="F835" s="91">
        <v>3</v>
      </c>
      <c r="G835" s="90" t="s">
        <v>877</v>
      </c>
      <c r="H835" s="86" t="s">
        <v>1204</v>
      </c>
      <c r="I835" s="8">
        <v>16.5</v>
      </c>
      <c r="J835" s="2" t="s">
        <v>877</v>
      </c>
      <c r="K835" s="8">
        <f t="shared" ref="K835:K843" si="47">F835*I835</f>
        <v>49.5</v>
      </c>
      <c r="O835" s="86" t="s">
        <v>1945</v>
      </c>
      <c r="AG835" s="86" t="s">
        <v>2284</v>
      </c>
    </row>
    <row r="836" spans="1:33" ht="70.5" hidden="1" customHeight="1">
      <c r="A836" s="125">
        <v>10</v>
      </c>
      <c r="B836" s="126" t="s">
        <v>3083</v>
      </c>
      <c r="C836"/>
      <c r="D836"/>
      <c r="E836"/>
      <c r="F836" s="91">
        <v>12</v>
      </c>
      <c r="G836" s="90" t="s">
        <v>877</v>
      </c>
      <c r="H836" s="86" t="s">
        <v>1205</v>
      </c>
      <c r="I836" s="8">
        <v>3.85</v>
      </c>
      <c r="J836" s="2" t="s">
        <v>877</v>
      </c>
      <c r="K836" s="8">
        <f t="shared" si="47"/>
        <v>46.2</v>
      </c>
      <c r="O836" s="86" t="s">
        <v>998</v>
      </c>
      <c r="AG836" s="86" t="s">
        <v>2284</v>
      </c>
    </row>
    <row r="837" spans="1:33" hidden="1">
      <c r="A837" s="127"/>
      <c r="B837" s="79" t="s">
        <v>3084</v>
      </c>
      <c r="C837" s="55" t="s">
        <v>3214</v>
      </c>
      <c r="D837"/>
      <c r="E837"/>
      <c r="F837" s="91">
        <v>2</v>
      </c>
      <c r="G837" s="90" t="s">
        <v>877</v>
      </c>
      <c r="H837" s="86" t="s">
        <v>1206</v>
      </c>
      <c r="I837" s="8">
        <v>5</v>
      </c>
      <c r="J837" s="2" t="s">
        <v>877</v>
      </c>
      <c r="K837" s="8">
        <f t="shared" si="47"/>
        <v>10</v>
      </c>
      <c r="N837" s="86" t="s">
        <v>615</v>
      </c>
      <c r="O837" s="86" t="s">
        <v>999</v>
      </c>
      <c r="P837" s="91">
        <f>C271</f>
        <v>160</v>
      </c>
      <c r="R837" s="91" t="e">
        <f t="shared" ref="R837:R844" si="48">(#VALUE!*P837)</f>
        <v>#VALUE!</v>
      </c>
      <c r="AG837" s="86" t="s">
        <v>2284</v>
      </c>
    </row>
    <row r="838" spans="1:33" hidden="1">
      <c r="A838" s="125"/>
      <c r="B838" s="79" t="s">
        <v>2603</v>
      </c>
      <c r="C838" s="55" t="s">
        <v>3214</v>
      </c>
      <c r="D838"/>
      <c r="E838"/>
      <c r="F838" s="91">
        <v>6</v>
      </c>
      <c r="G838" s="90" t="s">
        <v>877</v>
      </c>
      <c r="H838" s="86" t="s">
        <v>2245</v>
      </c>
      <c r="I838" s="8">
        <v>3.85</v>
      </c>
      <c r="J838" s="2" t="s">
        <v>877</v>
      </c>
      <c r="K838" s="8">
        <f t="shared" si="47"/>
        <v>23.1</v>
      </c>
      <c r="N838" s="86" t="s">
        <v>877</v>
      </c>
      <c r="O838" s="86" t="s">
        <v>151</v>
      </c>
      <c r="P838" s="91">
        <v>5</v>
      </c>
      <c r="R838" s="91" t="e">
        <f t="shared" si="48"/>
        <v>#VALUE!</v>
      </c>
      <c r="AG838" s="86" t="s">
        <v>2284</v>
      </c>
    </row>
    <row r="839" spans="1:33" hidden="1">
      <c r="A839" s="127"/>
      <c r="B839" s="79" t="s">
        <v>3085</v>
      </c>
      <c r="C839" s="55" t="s">
        <v>3214</v>
      </c>
      <c r="D839"/>
      <c r="E839"/>
      <c r="F839" s="91">
        <v>1</v>
      </c>
      <c r="G839" s="90" t="s">
        <v>877</v>
      </c>
      <c r="H839" s="86" t="s">
        <v>1211</v>
      </c>
      <c r="I839" s="8">
        <f>C10</f>
        <v>150</v>
      </c>
      <c r="J839" s="2" t="s">
        <v>877</v>
      </c>
      <c r="K839" s="8">
        <f t="shared" si="47"/>
        <v>150</v>
      </c>
      <c r="N839" s="86" t="s">
        <v>877</v>
      </c>
      <c r="O839" s="86" t="s">
        <v>152</v>
      </c>
      <c r="P839" s="91">
        <v>10</v>
      </c>
      <c r="R839" s="91" t="e">
        <f t="shared" si="48"/>
        <v>#VALUE!</v>
      </c>
      <c r="AG839" s="86" t="s">
        <v>2284</v>
      </c>
    </row>
    <row r="840" spans="1:33" hidden="1">
      <c r="A840" s="125"/>
      <c r="B840" s="79" t="s">
        <v>3086</v>
      </c>
      <c r="C840" s="23" t="s">
        <v>3214</v>
      </c>
      <c r="D840"/>
      <c r="E840"/>
      <c r="F840" s="91">
        <v>1</v>
      </c>
      <c r="G840" s="90" t="s">
        <v>877</v>
      </c>
      <c r="H840" s="86" t="s">
        <v>1212</v>
      </c>
      <c r="I840" s="8">
        <f>C12</f>
        <v>95</v>
      </c>
      <c r="J840" s="2" t="s">
        <v>877</v>
      </c>
      <c r="K840" s="8">
        <f t="shared" si="47"/>
        <v>95</v>
      </c>
      <c r="N840" s="86" t="s">
        <v>877</v>
      </c>
      <c r="O840" s="86" t="s">
        <v>1772</v>
      </c>
      <c r="P840" s="91">
        <v>8</v>
      </c>
      <c r="R840" s="91" t="e">
        <f t="shared" si="48"/>
        <v>#VALUE!</v>
      </c>
      <c r="AG840" s="86" t="s">
        <v>2284</v>
      </c>
    </row>
    <row r="841" spans="1:33" hidden="1">
      <c r="A841" s="127"/>
      <c r="B841" s="79" t="s">
        <v>3087</v>
      </c>
      <c r="C841" s="55">
        <v>1459</v>
      </c>
      <c r="D841"/>
      <c r="E841"/>
      <c r="F841" s="91">
        <v>1</v>
      </c>
      <c r="G841" s="90" t="s">
        <v>877</v>
      </c>
      <c r="H841" s="86" t="s">
        <v>1213</v>
      </c>
      <c r="I841" s="8">
        <v>25</v>
      </c>
      <c r="J841" s="2" t="s">
        <v>877</v>
      </c>
      <c r="K841" s="8">
        <f t="shared" si="47"/>
        <v>25</v>
      </c>
      <c r="N841" s="86" t="s">
        <v>835</v>
      </c>
      <c r="O841" s="86" t="s">
        <v>1521</v>
      </c>
      <c r="P841" s="91">
        <v>13.66</v>
      </c>
      <c r="R841" s="91" t="e">
        <f t="shared" si="48"/>
        <v>#VALUE!</v>
      </c>
      <c r="AG841" s="86" t="s">
        <v>2284</v>
      </c>
    </row>
    <row r="842" spans="1:33" ht="33" hidden="1" customHeight="1">
      <c r="A842" s="127"/>
      <c r="B842" s="131" t="s">
        <v>3088</v>
      </c>
      <c r="C842" s="55">
        <v>1930</v>
      </c>
      <c r="D842"/>
      <c r="E842"/>
      <c r="F842" s="91"/>
      <c r="G842" s="90"/>
      <c r="H842" s="86"/>
      <c r="I842" s="8"/>
      <c r="J842" s="2"/>
      <c r="K842" s="8"/>
      <c r="N842" s="86"/>
      <c r="O842" s="86"/>
      <c r="P842" s="91"/>
      <c r="R842" s="91"/>
      <c r="AG842" s="86"/>
    </row>
    <row r="843" spans="1:33" ht="37.5" hidden="1" customHeight="1">
      <c r="A843" s="125"/>
      <c r="B843" s="132" t="s">
        <v>2893</v>
      </c>
      <c r="C843" s="55">
        <v>2630</v>
      </c>
      <c r="D843"/>
      <c r="E843"/>
      <c r="F843" s="91">
        <v>0.5</v>
      </c>
      <c r="G843" s="90" t="s">
        <v>877</v>
      </c>
      <c r="H843" s="86" t="s">
        <v>1214</v>
      </c>
      <c r="I843" s="8">
        <f>C13</f>
        <v>85</v>
      </c>
      <c r="J843" s="2" t="s">
        <v>877</v>
      </c>
      <c r="K843" s="8">
        <f t="shared" si="47"/>
        <v>42.5</v>
      </c>
      <c r="N843" s="86" t="s">
        <v>615</v>
      </c>
      <c r="O843" s="86" t="s">
        <v>1522</v>
      </c>
      <c r="P843" s="91">
        <v>25.46</v>
      </c>
      <c r="R843" s="91" t="e">
        <f t="shared" si="48"/>
        <v>#VALUE!</v>
      </c>
      <c r="AG843" s="86" t="s">
        <v>2284</v>
      </c>
    </row>
    <row r="844" spans="1:33" ht="70.5" hidden="1" customHeight="1">
      <c r="A844" s="127">
        <v>11</v>
      </c>
      <c r="B844" s="126" t="s">
        <v>2714</v>
      </c>
      <c r="C844"/>
      <c r="D844"/>
      <c r="E844"/>
      <c r="G844" s="90" t="s">
        <v>450</v>
      </c>
      <c r="H844" s="86" t="s">
        <v>2163</v>
      </c>
      <c r="I844"/>
      <c r="J844" s="2" t="s">
        <v>450</v>
      </c>
      <c r="K844" s="8">
        <v>0.5</v>
      </c>
      <c r="N844" s="86" t="s">
        <v>877</v>
      </c>
      <c r="O844" s="86" t="s">
        <v>1339</v>
      </c>
      <c r="P844" s="91">
        <v>0.5</v>
      </c>
      <c r="R844" s="91" t="e">
        <f t="shared" si="48"/>
        <v>#VALUE!</v>
      </c>
      <c r="AG844" s="86" t="s">
        <v>2284</v>
      </c>
    </row>
    <row r="845" spans="1:33" hidden="1">
      <c r="A845" s="125"/>
      <c r="B845" s="79" t="s">
        <v>2715</v>
      </c>
      <c r="C845" s="55">
        <v>642</v>
      </c>
      <c r="D845"/>
      <c r="E845"/>
      <c r="I845"/>
      <c r="J845" s="4"/>
      <c r="K845" s="5" t="s">
        <v>1609</v>
      </c>
      <c r="R845" s="91">
        <v>0.97</v>
      </c>
      <c r="AG845" s="86" t="s">
        <v>2284</v>
      </c>
    </row>
    <row r="846" spans="1:33" ht="70.5" hidden="1" customHeight="1">
      <c r="A846" s="127">
        <v>12</v>
      </c>
      <c r="B846" s="126" t="s">
        <v>2716</v>
      </c>
      <c r="C846"/>
      <c r="D846"/>
      <c r="E846"/>
      <c r="H846" s="102" t="s">
        <v>283</v>
      </c>
      <c r="I846"/>
      <c r="J846" s="4"/>
      <c r="K846" s="8" t="e">
        <f>SUM(K833:K844)</f>
        <v>#REF!</v>
      </c>
      <c r="R846" s="89" t="s">
        <v>1609</v>
      </c>
      <c r="AG846" s="86" t="s">
        <v>2284</v>
      </c>
    </row>
    <row r="847" spans="1:33" hidden="1">
      <c r="A847" s="125"/>
      <c r="B847" s="79" t="s">
        <v>2715</v>
      </c>
      <c r="C847" s="55">
        <v>864</v>
      </c>
      <c r="D847"/>
      <c r="E847"/>
      <c r="I847"/>
      <c r="J847" s="4"/>
      <c r="K847" s="5" t="s">
        <v>1609</v>
      </c>
      <c r="O847" s="102" t="s">
        <v>1340</v>
      </c>
      <c r="R847" s="91" t="e">
        <f>SUM(R834:R845)</f>
        <v>#VALUE!</v>
      </c>
      <c r="AG847" s="86" t="s">
        <v>2284</v>
      </c>
    </row>
    <row r="848" spans="1:33" ht="97.5" hidden="1" customHeight="1">
      <c r="A848" s="127">
        <v>13</v>
      </c>
      <c r="B848" s="126" t="s">
        <v>2717</v>
      </c>
      <c r="C848"/>
      <c r="D848"/>
      <c r="E848"/>
      <c r="F848" s="102"/>
      <c r="G848" s="90" t="s">
        <v>522</v>
      </c>
      <c r="H848" s="102" t="s">
        <v>567</v>
      </c>
      <c r="I848"/>
      <c r="J848" s="4"/>
      <c r="K848"/>
      <c r="R848" s="89" t="s">
        <v>1609</v>
      </c>
      <c r="AG848" s="86" t="s">
        <v>2284</v>
      </c>
    </row>
    <row r="849" spans="1:18" hidden="1">
      <c r="A849" s="125"/>
      <c r="B849" s="79" t="s">
        <v>2718</v>
      </c>
      <c r="C849" s="55">
        <v>3100</v>
      </c>
      <c r="D849"/>
      <c r="E849"/>
      <c r="H849" s="102" t="s">
        <v>1806</v>
      </c>
      <c r="I849"/>
      <c r="J849" s="4"/>
      <c r="K849"/>
    </row>
    <row r="850" spans="1:18" hidden="1">
      <c r="A850" s="127"/>
      <c r="B850" s="130" t="s">
        <v>2719</v>
      </c>
      <c r="C850" s="55">
        <v>3267</v>
      </c>
      <c r="D850"/>
      <c r="E850"/>
      <c r="F850" s="121">
        <v>3.5299999999999998E-2</v>
      </c>
      <c r="G850" s="90" t="s">
        <v>878</v>
      </c>
      <c r="H850" s="86" t="s">
        <v>2099</v>
      </c>
      <c r="I850" s="8" t="e">
        <f>K781</f>
        <v>#REF!</v>
      </c>
      <c r="J850" s="2" t="s">
        <v>878</v>
      </c>
      <c r="K850" s="8" t="e">
        <f>F850*I850</f>
        <v>#REF!</v>
      </c>
      <c r="M850" s="102" t="s">
        <v>1123</v>
      </c>
      <c r="N850" s="86" t="s">
        <v>2276</v>
      </c>
      <c r="O850" s="86" t="s">
        <v>1124</v>
      </c>
    </row>
    <row r="851" spans="1:18" ht="33" hidden="1" customHeight="1">
      <c r="A851" s="125"/>
      <c r="B851" s="132" t="s">
        <v>2720</v>
      </c>
      <c r="C851" s="55">
        <v>1790</v>
      </c>
      <c r="D851"/>
      <c r="E851"/>
      <c r="F851" s="91">
        <v>4.59</v>
      </c>
      <c r="G851" s="90" t="s">
        <v>1670</v>
      </c>
      <c r="H851" s="86" t="s">
        <v>2100</v>
      </c>
      <c r="I851" s="8">
        <f>K1513</f>
        <v>33174.400000000001</v>
      </c>
      <c r="J851" s="2" t="s">
        <v>870</v>
      </c>
      <c r="K851" s="8">
        <f>F851*I851/1000</f>
        <v>152.27000000000001</v>
      </c>
      <c r="O851" s="86" t="s">
        <v>584</v>
      </c>
    </row>
    <row r="852" spans="1:18" ht="33" hidden="1" customHeight="1">
      <c r="A852" s="127">
        <v>14</v>
      </c>
      <c r="B852" s="133" t="s">
        <v>2889</v>
      </c>
      <c r="C852"/>
      <c r="D852"/>
      <c r="E852"/>
      <c r="F852" s="91"/>
      <c r="G852" s="90"/>
      <c r="H852" s="86"/>
      <c r="I852" s="8"/>
      <c r="J852" s="2"/>
      <c r="K852" s="8"/>
      <c r="O852" s="86"/>
    </row>
    <row r="853" spans="1:18" hidden="1">
      <c r="A853" s="125"/>
      <c r="B853" s="130" t="s">
        <v>2890</v>
      </c>
      <c r="C853" s="23" t="s">
        <v>3214</v>
      </c>
      <c r="D853"/>
      <c r="E853"/>
      <c r="F853" s="91">
        <v>3</v>
      </c>
      <c r="G853" s="90" t="s">
        <v>877</v>
      </c>
      <c r="H853" s="86" t="s">
        <v>1204</v>
      </c>
      <c r="I853" s="8">
        <v>16.5</v>
      </c>
      <c r="J853" s="2" t="s">
        <v>877</v>
      </c>
      <c r="K853" s="8">
        <f t="shared" ref="K853:K860" si="49">F853*I853</f>
        <v>49.5</v>
      </c>
      <c r="O853" s="89" t="s">
        <v>1609</v>
      </c>
      <c r="P853" s="89" t="s">
        <v>1609</v>
      </c>
    </row>
    <row r="854" spans="1:18" hidden="1">
      <c r="A854" s="127"/>
      <c r="B854" s="87" t="s">
        <v>2501</v>
      </c>
      <c r="C854" s="23" t="s">
        <v>3214</v>
      </c>
      <c r="D854"/>
      <c r="E854"/>
      <c r="F854" s="91">
        <v>12</v>
      </c>
      <c r="G854" s="90" t="s">
        <v>877</v>
      </c>
      <c r="H854" s="86" t="s">
        <v>1205</v>
      </c>
      <c r="I854" s="8">
        <v>3.85</v>
      </c>
      <c r="J854" s="2" t="s">
        <v>877</v>
      </c>
      <c r="K854" s="8">
        <f t="shared" si="49"/>
        <v>46.2</v>
      </c>
      <c r="O854" s="86" t="s">
        <v>585</v>
      </c>
    </row>
    <row r="855" spans="1:18" hidden="1">
      <c r="A855" s="125"/>
      <c r="B855" s="87" t="s">
        <v>2502</v>
      </c>
      <c r="C855" s="23" t="s">
        <v>3214</v>
      </c>
      <c r="D855"/>
      <c r="E855"/>
      <c r="F855" s="91">
        <v>2</v>
      </c>
      <c r="G855" s="90" t="s">
        <v>877</v>
      </c>
      <c r="H855" s="91" t="str">
        <f>H837</f>
        <v>TOWER BOLT RECEIVER</v>
      </c>
      <c r="I855" s="8">
        <v>5</v>
      </c>
      <c r="J855" s="2" t="s">
        <v>877</v>
      </c>
      <c r="K855" s="8">
        <f t="shared" si="49"/>
        <v>10</v>
      </c>
      <c r="M855" s="91">
        <v>0.5</v>
      </c>
      <c r="N855" s="102" t="s">
        <v>778</v>
      </c>
      <c r="O855" s="86" t="s">
        <v>76</v>
      </c>
      <c r="P855" s="91">
        <f>C16</f>
        <v>150</v>
      </c>
      <c r="Q855" s="102" t="s">
        <v>1741</v>
      </c>
      <c r="R855" s="91">
        <f>(M855*P855)</f>
        <v>75</v>
      </c>
    </row>
    <row r="856" spans="1:18" ht="52.5" hidden="1" customHeight="1">
      <c r="A856" s="127">
        <v>15</v>
      </c>
      <c r="B856" s="133" t="s">
        <v>2503</v>
      </c>
      <c r="C856" s="23"/>
      <c r="D856"/>
      <c r="E856"/>
      <c r="F856" s="91">
        <v>6</v>
      </c>
      <c r="G856" s="90" t="s">
        <v>877</v>
      </c>
      <c r="H856" s="86" t="s">
        <v>2245</v>
      </c>
      <c r="I856" s="8">
        <v>3.85</v>
      </c>
      <c r="J856" s="2" t="s">
        <v>877</v>
      </c>
      <c r="K856" s="8">
        <f t="shared" si="49"/>
        <v>23.1</v>
      </c>
      <c r="M856" s="91">
        <v>0.25</v>
      </c>
      <c r="N856" s="102" t="s">
        <v>778</v>
      </c>
      <c r="O856" s="86" t="s">
        <v>887</v>
      </c>
      <c r="P856" s="91">
        <f>C13</f>
        <v>85</v>
      </c>
      <c r="Q856" s="102" t="s">
        <v>1741</v>
      </c>
      <c r="R856" s="91">
        <f>(M856*P856)</f>
        <v>21.25</v>
      </c>
    </row>
    <row r="857" spans="1:18" hidden="1">
      <c r="A857" s="125"/>
      <c r="B857" s="87" t="s">
        <v>2504</v>
      </c>
      <c r="C857" s="23" t="s">
        <v>3214</v>
      </c>
      <c r="D857"/>
      <c r="E857"/>
      <c r="F857" s="91">
        <v>1</v>
      </c>
      <c r="G857" s="90" t="s">
        <v>877</v>
      </c>
      <c r="H857" s="86" t="s">
        <v>1211</v>
      </c>
      <c r="I857" s="8">
        <f>C10</f>
        <v>150</v>
      </c>
      <c r="J857" s="2" t="s">
        <v>877</v>
      </c>
      <c r="K857" s="8">
        <f t="shared" si="49"/>
        <v>150</v>
      </c>
      <c r="R857" s="89" t="s">
        <v>1609</v>
      </c>
    </row>
    <row r="858" spans="1:18" hidden="1">
      <c r="A858" s="127"/>
      <c r="B858" s="87" t="s">
        <v>2505</v>
      </c>
      <c r="C858" s="23" t="s">
        <v>3214</v>
      </c>
      <c r="D858"/>
      <c r="E858"/>
      <c r="F858" s="91">
        <v>1</v>
      </c>
      <c r="G858" s="90" t="s">
        <v>877</v>
      </c>
      <c r="H858" s="86" t="s">
        <v>1212</v>
      </c>
      <c r="I858" s="8">
        <f>C12</f>
        <v>95</v>
      </c>
      <c r="J858" s="2" t="s">
        <v>877</v>
      </c>
      <c r="K858" s="8">
        <f t="shared" si="49"/>
        <v>95</v>
      </c>
      <c r="O858" s="102" t="s">
        <v>1180</v>
      </c>
      <c r="R858" s="91">
        <f>SUM(R855:R856)</f>
        <v>96.25</v>
      </c>
    </row>
    <row r="859" spans="1:18" hidden="1">
      <c r="A859" s="125"/>
      <c r="B859" s="130" t="s">
        <v>2506</v>
      </c>
      <c r="C859" s="23" t="s">
        <v>3214</v>
      </c>
      <c r="D859"/>
      <c r="E859"/>
      <c r="F859" s="91">
        <v>1</v>
      </c>
      <c r="G859" s="90" t="s">
        <v>877</v>
      </c>
      <c r="H859" s="91" t="str">
        <f>H841</f>
        <v>MOULDING CHARGES</v>
      </c>
      <c r="I859" s="8">
        <v>25</v>
      </c>
      <c r="J859" s="2" t="s">
        <v>877</v>
      </c>
      <c r="K859" s="8">
        <f t="shared" si="49"/>
        <v>25</v>
      </c>
      <c r="R859" s="89" t="s">
        <v>1609</v>
      </c>
    </row>
    <row r="860" spans="1:18" hidden="1">
      <c r="A860" s="127">
        <v>16</v>
      </c>
      <c r="B860" s="133" t="s">
        <v>2507</v>
      </c>
      <c r="C860"/>
      <c r="D860"/>
      <c r="E860"/>
      <c r="F860" s="91">
        <v>0.5</v>
      </c>
      <c r="G860" s="90" t="s">
        <v>877</v>
      </c>
      <c r="H860" s="86" t="s">
        <v>1214</v>
      </c>
      <c r="I860" s="8">
        <f>C13</f>
        <v>85</v>
      </c>
      <c r="J860" s="2" t="s">
        <v>877</v>
      </c>
      <c r="K860" s="8">
        <f t="shared" si="49"/>
        <v>42.5</v>
      </c>
      <c r="O860" s="102" t="s">
        <v>1181</v>
      </c>
      <c r="R860" s="91">
        <f>R858/0.0283</f>
        <v>3401.06</v>
      </c>
    </row>
    <row r="861" spans="1:18" hidden="1">
      <c r="A861" s="134"/>
      <c r="B861" s="79" t="s">
        <v>2422</v>
      </c>
      <c r="C861" s="55">
        <v>10</v>
      </c>
      <c r="D861"/>
      <c r="E861"/>
      <c r="G861" s="90" t="s">
        <v>450</v>
      </c>
      <c r="H861" s="86" t="s">
        <v>2163</v>
      </c>
      <c r="I861"/>
      <c r="J861" s="2" t="s">
        <v>450</v>
      </c>
      <c r="K861" s="8">
        <v>0.5</v>
      </c>
      <c r="R861" s="89" t="s">
        <v>1609</v>
      </c>
    </row>
    <row r="862" spans="1:18" hidden="1">
      <c r="A862" s="134"/>
      <c r="B862" s="79" t="s">
        <v>2423</v>
      </c>
      <c r="C862" s="55">
        <v>10</v>
      </c>
      <c r="D862"/>
      <c r="E862"/>
      <c r="I862"/>
      <c r="J862" s="4"/>
      <c r="K862" s="5" t="s">
        <v>1609</v>
      </c>
    </row>
    <row r="863" spans="1:18" ht="31.5" hidden="1">
      <c r="A863" s="127">
        <v>17</v>
      </c>
      <c r="B863" s="133" t="s">
        <v>2424</v>
      </c>
      <c r="C863"/>
      <c r="D863"/>
      <c r="E863"/>
      <c r="H863" s="102" t="s">
        <v>283</v>
      </c>
      <c r="I863"/>
      <c r="J863" s="4"/>
      <c r="K863" s="8" t="e">
        <f>SUM(K850:K861)</f>
        <v>#REF!</v>
      </c>
    </row>
    <row r="864" spans="1:18" hidden="1">
      <c r="A864" s="127"/>
      <c r="B864" s="87" t="s">
        <v>2425</v>
      </c>
      <c r="C864" s="55">
        <v>170</v>
      </c>
      <c r="D864"/>
      <c r="E864"/>
      <c r="I864"/>
      <c r="J864" s="4"/>
      <c r="K864" s="5" t="s">
        <v>1609</v>
      </c>
    </row>
    <row r="865" spans="1:33" hidden="1">
      <c r="A865" s="127"/>
      <c r="B865" s="79" t="s">
        <v>2426</v>
      </c>
      <c r="C865" s="55">
        <v>170</v>
      </c>
      <c r="D865"/>
      <c r="E865"/>
      <c r="I865"/>
      <c r="J865" s="4"/>
      <c r="K865"/>
    </row>
    <row r="866" spans="1:33" hidden="1">
      <c r="A866" s="127"/>
      <c r="B866" s="79" t="s">
        <v>3286</v>
      </c>
      <c r="C866" s="55">
        <v>295</v>
      </c>
      <c r="D866"/>
      <c r="E866"/>
      <c r="I866"/>
      <c r="J866" s="4"/>
      <c r="K866"/>
    </row>
    <row r="867" spans="1:33" ht="31.5" hidden="1">
      <c r="A867" s="127"/>
      <c r="B867" s="131" t="s">
        <v>3287</v>
      </c>
      <c r="C867" s="55">
        <v>240</v>
      </c>
      <c r="D867"/>
      <c r="E867"/>
      <c r="I867"/>
      <c r="J867" s="4"/>
      <c r="K867"/>
    </row>
    <row r="868" spans="1:33" ht="142.5" hidden="1" customHeight="1">
      <c r="A868" s="127"/>
      <c r="C868"/>
      <c r="D868"/>
      <c r="E868"/>
      <c r="F868" s="135">
        <v>21.3</v>
      </c>
      <c r="G868" s="90" t="s">
        <v>2276</v>
      </c>
      <c r="H868" s="136" t="s">
        <v>1752</v>
      </c>
      <c r="I868"/>
      <c r="J868" s="4"/>
      <c r="K868"/>
      <c r="AG868" s="86" t="s">
        <v>2284</v>
      </c>
    </row>
    <row r="869" spans="1:33" hidden="1">
      <c r="A869" s="127"/>
      <c r="B869" s="79" t="s">
        <v>3288</v>
      </c>
      <c r="C869" s="23" t="s">
        <v>3289</v>
      </c>
      <c r="D869"/>
      <c r="E869"/>
      <c r="H869" s="86" t="s">
        <v>2285</v>
      </c>
      <c r="I869"/>
      <c r="J869" s="4"/>
      <c r="K869"/>
      <c r="M869" s="91">
        <v>11.64</v>
      </c>
      <c r="N869" s="86" t="s">
        <v>835</v>
      </c>
      <c r="O869" s="86" t="s">
        <v>1521</v>
      </c>
      <c r="P869" s="91">
        <v>13.66</v>
      </c>
      <c r="R869" s="91">
        <f>(M869*P869)</f>
        <v>159</v>
      </c>
      <c r="AG869" s="86" t="s">
        <v>2284</v>
      </c>
    </row>
    <row r="870" spans="1:33" hidden="1">
      <c r="A870" s="127"/>
      <c r="B870" s="79" t="s">
        <v>3290</v>
      </c>
      <c r="C870" s="23" t="s">
        <v>3289</v>
      </c>
      <c r="D870"/>
      <c r="E870"/>
      <c r="H870" s="89" t="s">
        <v>1609</v>
      </c>
      <c r="I870"/>
      <c r="J870" s="4"/>
      <c r="K870"/>
      <c r="M870" s="122">
        <v>1.62</v>
      </c>
      <c r="N870" s="86" t="s">
        <v>615</v>
      </c>
      <c r="O870" s="86" t="s">
        <v>1522</v>
      </c>
      <c r="P870" s="91">
        <v>25.46</v>
      </c>
      <c r="R870" s="91">
        <f>(M870*P870)</f>
        <v>41.25</v>
      </c>
      <c r="AG870" s="86" t="s">
        <v>2284</v>
      </c>
    </row>
    <row r="871" spans="1:33" hidden="1">
      <c r="A871" s="127"/>
      <c r="B871" s="79" t="s">
        <v>3291</v>
      </c>
      <c r="C871" s="23" t="s">
        <v>3289</v>
      </c>
      <c r="D871"/>
      <c r="E871"/>
      <c r="I871"/>
      <c r="J871" s="4"/>
      <c r="K871"/>
      <c r="M871" s="91">
        <v>48</v>
      </c>
      <c r="N871" s="86" t="s">
        <v>877</v>
      </c>
      <c r="O871" s="86" t="s">
        <v>1339</v>
      </c>
      <c r="P871" s="91">
        <v>0.5</v>
      </c>
      <c r="R871" s="91">
        <f>(M871*P871)</f>
        <v>24</v>
      </c>
      <c r="AG871" s="86" t="s">
        <v>2284</v>
      </c>
    </row>
    <row r="872" spans="1:33" hidden="1">
      <c r="A872" s="127"/>
      <c r="B872" s="79" t="s">
        <v>3292</v>
      </c>
      <c r="C872" s="23" t="s">
        <v>3289</v>
      </c>
      <c r="D872"/>
      <c r="E872"/>
      <c r="H872" s="86" t="s">
        <v>2285</v>
      </c>
      <c r="I872"/>
      <c r="J872" s="2" t="s">
        <v>615</v>
      </c>
      <c r="K872" s="8">
        <v>1450</v>
      </c>
      <c r="R872" s="91">
        <v>0.23</v>
      </c>
      <c r="AG872" s="86" t="s">
        <v>2284</v>
      </c>
    </row>
    <row r="873" spans="1:33" hidden="1">
      <c r="A873" s="127">
        <v>18</v>
      </c>
      <c r="B873" s="128" t="s">
        <v>3293</v>
      </c>
      <c r="C873"/>
      <c r="D873"/>
      <c r="E873"/>
      <c r="F873" s="86" t="s">
        <v>987</v>
      </c>
      <c r="I873"/>
      <c r="J873" s="4"/>
      <c r="K873"/>
    </row>
    <row r="874" spans="1:33" hidden="1">
      <c r="A874" s="127"/>
      <c r="B874" s="79" t="s">
        <v>3294</v>
      </c>
      <c r="C874" s="55">
        <v>113</v>
      </c>
      <c r="D874"/>
      <c r="E874"/>
      <c r="H874" s="102" t="s">
        <v>2286</v>
      </c>
      <c r="I874"/>
      <c r="J874" s="4"/>
      <c r="K874" s="5" t="s">
        <v>2080</v>
      </c>
      <c r="R874" s="89" t="s">
        <v>1609</v>
      </c>
      <c r="AG874" s="86" t="s">
        <v>2284</v>
      </c>
    </row>
    <row r="875" spans="1:33" hidden="1">
      <c r="A875" s="127"/>
      <c r="B875" s="79" t="s">
        <v>3295</v>
      </c>
      <c r="C875" s="55">
        <v>135</v>
      </c>
      <c r="D875"/>
      <c r="E875"/>
      <c r="H875" s="102" t="s">
        <v>1388</v>
      </c>
      <c r="I875"/>
      <c r="J875" s="4"/>
      <c r="K875"/>
      <c r="O875" s="102" t="s">
        <v>1340</v>
      </c>
      <c r="R875" s="91">
        <f>SUM(R869:R872)</f>
        <v>224.48</v>
      </c>
      <c r="AG875" s="86" t="s">
        <v>2284</v>
      </c>
    </row>
    <row r="876" spans="1:33" hidden="1">
      <c r="A876" s="127"/>
      <c r="B876" s="79" t="s">
        <v>3296</v>
      </c>
      <c r="C876" s="55">
        <v>180</v>
      </c>
      <c r="D876"/>
      <c r="E876"/>
      <c r="F876" s="123">
        <v>21.2</v>
      </c>
      <c r="H876" s="93" t="s">
        <v>1753</v>
      </c>
      <c r="I876"/>
      <c r="J876" s="4"/>
      <c r="K876"/>
      <c r="AG876" s="86" t="s">
        <v>2284</v>
      </c>
    </row>
    <row r="877" spans="1:33" hidden="1">
      <c r="A877" s="127"/>
      <c r="B877" s="79" t="s">
        <v>3297</v>
      </c>
      <c r="C877" s="55">
        <v>248</v>
      </c>
      <c r="D877"/>
      <c r="E877"/>
      <c r="F877" s="123"/>
      <c r="H877" s="89" t="s">
        <v>1609</v>
      </c>
      <c r="I877"/>
      <c r="J877" s="4"/>
      <c r="K877"/>
      <c r="AG877" s="86"/>
    </row>
    <row r="878" spans="1:33" hidden="1">
      <c r="A878" s="127">
        <v>19</v>
      </c>
      <c r="B878" s="79" t="s">
        <v>3298</v>
      </c>
      <c r="C878" s="23" t="s">
        <v>3289</v>
      </c>
      <c r="D878"/>
      <c r="E878"/>
      <c r="G878" s="90" t="s">
        <v>156</v>
      </c>
      <c r="H878" s="86" t="s">
        <v>1389</v>
      </c>
      <c r="I878"/>
      <c r="J878" s="4"/>
      <c r="K878" s="1" t="s">
        <v>987</v>
      </c>
      <c r="AG878" s="86" t="s">
        <v>2284</v>
      </c>
    </row>
    <row r="879" spans="1:33" hidden="1">
      <c r="A879" s="127"/>
      <c r="B879" s="79" t="s">
        <v>3299</v>
      </c>
      <c r="C879" s="23" t="s">
        <v>3289</v>
      </c>
      <c r="D879"/>
      <c r="E879"/>
      <c r="H879" s="89" t="s">
        <v>1609</v>
      </c>
      <c r="I879"/>
      <c r="J879" s="4"/>
      <c r="K879" s="1" t="s">
        <v>987</v>
      </c>
      <c r="AG879" s="86" t="s">
        <v>2284</v>
      </c>
    </row>
    <row r="880" spans="1:33" hidden="1">
      <c r="A880" s="127">
        <v>20</v>
      </c>
      <c r="B880" s="79" t="s">
        <v>2721</v>
      </c>
      <c r="C880" s="23" t="s">
        <v>3289</v>
      </c>
      <c r="D880"/>
      <c r="E880"/>
      <c r="F880" s="91">
        <v>1</v>
      </c>
      <c r="G880" s="90" t="s">
        <v>878</v>
      </c>
      <c r="H880" s="86" t="s">
        <v>1591</v>
      </c>
      <c r="I880" s="8">
        <f>C30</f>
        <v>3035</v>
      </c>
      <c r="J880" s="2" t="s">
        <v>878</v>
      </c>
      <c r="K880" s="8">
        <f>(F880*I880)</f>
        <v>3035</v>
      </c>
      <c r="AG880" s="86" t="s">
        <v>2284</v>
      </c>
    </row>
    <row r="881" spans="1:33" hidden="1">
      <c r="A881" s="127">
        <v>21</v>
      </c>
      <c r="B881" s="79" t="s">
        <v>2722</v>
      </c>
      <c r="C881" s="129" t="s">
        <v>3289</v>
      </c>
      <c r="D881"/>
      <c r="E881"/>
      <c r="F881" s="91">
        <v>1</v>
      </c>
      <c r="G881" s="90" t="s">
        <v>878</v>
      </c>
      <c r="H881" s="86" t="s">
        <v>1389</v>
      </c>
      <c r="I881" s="8">
        <f>C88</f>
        <v>65420</v>
      </c>
      <c r="J881" s="2" t="s">
        <v>878</v>
      </c>
      <c r="K881" s="8">
        <f>(F881*I881)</f>
        <v>65420</v>
      </c>
      <c r="AG881" s="86" t="s">
        <v>2284</v>
      </c>
    </row>
    <row r="882" spans="1:33" hidden="1">
      <c r="A882" s="127">
        <v>22</v>
      </c>
      <c r="B882" s="79" t="s">
        <v>2723</v>
      </c>
      <c r="C882" s="129" t="s">
        <v>3289</v>
      </c>
      <c r="D882"/>
      <c r="E882"/>
      <c r="I882"/>
      <c r="J882" s="4"/>
      <c r="K882" s="5" t="s">
        <v>2080</v>
      </c>
      <c r="AG882" s="86" t="s">
        <v>2284</v>
      </c>
    </row>
    <row r="883" spans="1:33" hidden="1">
      <c r="A883" s="127">
        <v>23</v>
      </c>
      <c r="B883" s="128" t="s">
        <v>2724</v>
      </c>
      <c r="C883"/>
      <c r="D883"/>
      <c r="E883"/>
      <c r="H883" s="86" t="s">
        <v>1592</v>
      </c>
      <c r="I883"/>
      <c r="J883" s="4"/>
      <c r="K883" s="8">
        <f>SUM(K880:K881)</f>
        <v>68455</v>
      </c>
      <c r="AG883" s="86" t="s">
        <v>2284</v>
      </c>
    </row>
    <row r="884" spans="1:33" hidden="1">
      <c r="A884" s="127"/>
      <c r="B884" s="79" t="s">
        <v>2725</v>
      </c>
      <c r="C884" s="23" t="s">
        <v>3289</v>
      </c>
      <c r="D884"/>
      <c r="E884"/>
      <c r="I884"/>
      <c r="J884" s="4"/>
      <c r="K884" s="5" t="s">
        <v>2080</v>
      </c>
      <c r="AG884" s="86" t="s">
        <v>2284</v>
      </c>
    </row>
    <row r="885" spans="1:33" hidden="1">
      <c r="A885" s="127"/>
      <c r="B885" s="79" t="s">
        <v>2726</v>
      </c>
      <c r="C885" s="23" t="s">
        <v>3289</v>
      </c>
      <c r="D885"/>
      <c r="E885"/>
      <c r="G885" s="90" t="s">
        <v>1577</v>
      </c>
      <c r="H885" s="86" t="s">
        <v>1593</v>
      </c>
      <c r="I885"/>
      <c r="J885" s="4"/>
      <c r="K885" s="1" t="s">
        <v>987</v>
      </c>
      <c r="AG885" s="86" t="s">
        <v>2284</v>
      </c>
    </row>
    <row r="886" spans="1:33" hidden="1">
      <c r="A886" s="127">
        <v>24</v>
      </c>
      <c r="B886" s="128" t="s">
        <v>2727</v>
      </c>
      <c r="C886" s="55">
        <v>18</v>
      </c>
      <c r="D886"/>
      <c r="E886"/>
      <c r="H886" s="89" t="s">
        <v>1609</v>
      </c>
      <c r="I886"/>
      <c r="J886" s="4"/>
      <c r="K886"/>
      <c r="AG886" s="86" t="s">
        <v>2284</v>
      </c>
    </row>
    <row r="887" spans="1:33" ht="51" hidden="1" customHeight="1">
      <c r="A887" s="127">
        <v>25</v>
      </c>
      <c r="B887" s="132" t="s">
        <v>2728</v>
      </c>
      <c r="C887" s="55">
        <v>300</v>
      </c>
      <c r="D887"/>
      <c r="E887"/>
      <c r="F887" s="91">
        <v>1</v>
      </c>
      <c r="G887" s="90" t="s">
        <v>878</v>
      </c>
      <c r="H887" s="86" t="s">
        <v>1591</v>
      </c>
      <c r="I887" s="8">
        <f>C30</f>
        <v>3035</v>
      </c>
      <c r="J887" s="2" t="s">
        <v>878</v>
      </c>
      <c r="K887" s="8">
        <f>(F887*I887)</f>
        <v>3035</v>
      </c>
      <c r="AG887" s="86" t="s">
        <v>2284</v>
      </c>
    </row>
    <row r="888" spans="1:33" hidden="1">
      <c r="A888" s="127">
        <v>26</v>
      </c>
      <c r="B888" s="87" t="s">
        <v>2729</v>
      </c>
      <c r="C888" s="55">
        <v>15</v>
      </c>
      <c r="D888"/>
      <c r="E888"/>
      <c r="F888" s="91">
        <v>1</v>
      </c>
      <c r="G888" s="90" t="s">
        <v>878</v>
      </c>
      <c r="H888" s="86" t="s">
        <v>1389</v>
      </c>
      <c r="I888" s="8">
        <f>C89</f>
        <v>57165</v>
      </c>
      <c r="J888" s="2" t="s">
        <v>878</v>
      </c>
      <c r="K888" s="8">
        <f>(F888*I888)</f>
        <v>57165</v>
      </c>
      <c r="AG888" s="86" t="s">
        <v>2284</v>
      </c>
    </row>
    <row r="889" spans="1:33" ht="36" hidden="1" customHeight="1">
      <c r="A889" s="127">
        <v>27</v>
      </c>
      <c r="B889" s="132" t="s">
        <v>2730</v>
      </c>
      <c r="C889" s="55">
        <v>178</v>
      </c>
      <c r="D889"/>
      <c r="E889"/>
      <c r="I889"/>
      <c r="J889" s="4"/>
      <c r="K889" s="5" t="s">
        <v>2080</v>
      </c>
      <c r="AG889" s="86" t="s">
        <v>2284</v>
      </c>
    </row>
    <row r="890" spans="1:33" ht="41.25" hidden="1" customHeight="1">
      <c r="A890" s="127"/>
      <c r="B890" s="132" t="s">
        <v>2731</v>
      </c>
      <c r="C890" s="55">
        <v>1120</v>
      </c>
      <c r="D890"/>
      <c r="E890"/>
      <c r="H890" s="86" t="s">
        <v>1594</v>
      </c>
      <c r="I890"/>
      <c r="J890" s="4"/>
      <c r="K890" s="8">
        <f>SUM(K887:K888)</f>
        <v>60200</v>
      </c>
      <c r="AG890" s="86" t="s">
        <v>2284</v>
      </c>
    </row>
    <row r="891" spans="1:33" ht="39" hidden="1" customHeight="1">
      <c r="A891" s="127"/>
      <c r="B891" s="133" t="s">
        <v>2732</v>
      </c>
      <c r="C891"/>
      <c r="D891"/>
      <c r="E891"/>
      <c r="I891"/>
      <c r="J891" s="4"/>
      <c r="K891" s="5" t="s">
        <v>2080</v>
      </c>
      <c r="AG891" s="86" t="s">
        <v>2284</v>
      </c>
    </row>
    <row r="892" spans="1:33" hidden="1">
      <c r="A892" s="127"/>
      <c r="B892" s="132" t="s">
        <v>3474</v>
      </c>
      <c r="C892" s="23" t="s">
        <v>3289</v>
      </c>
      <c r="D892"/>
      <c r="E892"/>
      <c r="I892"/>
      <c r="J892" s="4"/>
      <c r="K892"/>
      <c r="AG892" s="86" t="s">
        <v>2284</v>
      </c>
    </row>
    <row r="893" spans="1:33" hidden="1">
      <c r="A893" s="127"/>
      <c r="B893" s="132" t="s">
        <v>2591</v>
      </c>
      <c r="C893" s="23" t="s">
        <v>3289</v>
      </c>
      <c r="D893"/>
      <c r="E893"/>
      <c r="F893" s="102" t="s">
        <v>568</v>
      </c>
      <c r="G893" s="90" t="s">
        <v>2276</v>
      </c>
      <c r="H893" s="86" t="s">
        <v>254</v>
      </c>
      <c r="I893"/>
      <c r="J893" s="4"/>
      <c r="K893"/>
      <c r="AG893" s="86" t="s">
        <v>2284</v>
      </c>
    </row>
    <row r="894" spans="1:33" hidden="1">
      <c r="A894" s="127"/>
      <c r="B894" s="132" t="s">
        <v>2592</v>
      </c>
      <c r="C894" s="23" t="s">
        <v>3289</v>
      </c>
      <c r="D894"/>
      <c r="E894"/>
      <c r="H894" s="86" t="s">
        <v>255</v>
      </c>
      <c r="I894"/>
      <c r="J894" s="4"/>
      <c r="K894"/>
      <c r="AG894" s="86" t="s">
        <v>2284</v>
      </c>
    </row>
    <row r="895" spans="1:33" ht="31.5" hidden="1">
      <c r="A895" s="127"/>
      <c r="B895" s="132" t="s">
        <v>2593</v>
      </c>
      <c r="C895" s="55">
        <v>120</v>
      </c>
      <c r="D895"/>
      <c r="E895"/>
      <c r="H895" s="86" t="s">
        <v>1492</v>
      </c>
      <c r="I895"/>
      <c r="J895" s="4"/>
      <c r="K895"/>
      <c r="AG895" s="86" t="s">
        <v>2284</v>
      </c>
    </row>
    <row r="896" spans="1:33" hidden="1">
      <c r="A896" s="127"/>
      <c r="B896" s="133" t="s">
        <v>2594</v>
      </c>
      <c r="C896"/>
      <c r="D896"/>
      <c r="E896"/>
      <c r="H896" s="89" t="s">
        <v>1609</v>
      </c>
      <c r="I896"/>
      <c r="J896" s="4"/>
      <c r="K896"/>
      <c r="AG896" s="86" t="s">
        <v>2284</v>
      </c>
    </row>
    <row r="897" spans="1:33" hidden="1">
      <c r="A897" s="127"/>
      <c r="B897" s="132" t="s">
        <v>2595</v>
      </c>
      <c r="C897" s="55">
        <v>45</v>
      </c>
      <c r="D897"/>
      <c r="E897"/>
      <c r="H897" s="86" t="s">
        <v>91</v>
      </c>
      <c r="I897"/>
      <c r="J897" s="4"/>
      <c r="K897"/>
    </row>
    <row r="898" spans="1:33" hidden="1">
      <c r="A898" s="127"/>
      <c r="B898" s="132" t="s">
        <v>2596</v>
      </c>
      <c r="C898" s="55">
        <v>18</v>
      </c>
      <c r="D898"/>
      <c r="E898"/>
      <c r="H898" s="86" t="s">
        <v>92</v>
      </c>
      <c r="I898"/>
      <c r="J898" s="4"/>
      <c r="K898"/>
    </row>
    <row r="899" spans="1:33" hidden="1">
      <c r="A899" s="127"/>
      <c r="B899" s="132" t="s">
        <v>2597</v>
      </c>
      <c r="C899" s="55">
        <v>450</v>
      </c>
      <c r="D899"/>
      <c r="E899"/>
      <c r="I899"/>
      <c r="J899" s="2" t="s">
        <v>1609</v>
      </c>
      <c r="K899"/>
    </row>
    <row r="900" spans="1:33" hidden="1">
      <c r="A900" s="127"/>
      <c r="B900" s="132" t="s">
        <v>2598</v>
      </c>
      <c r="C900" s="55">
        <v>650</v>
      </c>
      <c r="D900"/>
      <c r="E900"/>
      <c r="H900" s="86" t="s">
        <v>1190</v>
      </c>
      <c r="I900"/>
      <c r="J900" s="4"/>
      <c r="K900"/>
    </row>
    <row r="901" spans="1:33" ht="47.25" hidden="1">
      <c r="A901" s="127"/>
      <c r="B901" s="132" t="s">
        <v>2599</v>
      </c>
      <c r="C901" s="55">
        <v>5000</v>
      </c>
      <c r="D901"/>
      <c r="E901"/>
      <c r="H901" s="86" t="s">
        <v>2031</v>
      </c>
      <c r="I901"/>
      <c r="J901" s="4"/>
      <c r="K901" s="12">
        <v>2.4299999999999999E-2</v>
      </c>
    </row>
    <row r="902" spans="1:33" ht="63" hidden="1">
      <c r="A902" s="127"/>
      <c r="B902" s="132" t="s">
        <v>2618</v>
      </c>
      <c r="C902" s="55">
        <v>6750</v>
      </c>
      <c r="D902"/>
      <c r="E902"/>
      <c r="I902"/>
      <c r="J902" s="2" t="s">
        <v>987</v>
      </c>
      <c r="K902" s="5" t="s">
        <v>1609</v>
      </c>
    </row>
    <row r="903" spans="1:33" ht="47.25" hidden="1">
      <c r="A903" s="127"/>
      <c r="B903" s="132" t="s">
        <v>2498</v>
      </c>
      <c r="C903" s="55">
        <v>5800</v>
      </c>
      <c r="D903"/>
      <c r="E903"/>
      <c r="H903" s="86" t="s">
        <v>2032</v>
      </c>
      <c r="I903"/>
      <c r="J903" s="137" t="s">
        <v>987</v>
      </c>
      <c r="K903" s="12">
        <v>1.47E-2</v>
      </c>
    </row>
    <row r="904" spans="1:33" hidden="1">
      <c r="A904" s="127"/>
      <c r="B904" s="132" t="s">
        <v>2499</v>
      </c>
      <c r="C904"/>
      <c r="D904"/>
      <c r="E904"/>
      <c r="H904" s="86" t="s">
        <v>1791</v>
      </c>
      <c r="I904"/>
      <c r="J904" s="2" t="s">
        <v>987</v>
      </c>
      <c r="K904" s="12">
        <v>4.5999999999999999E-3</v>
      </c>
    </row>
    <row r="905" spans="1:33" ht="47.25" hidden="1">
      <c r="A905" s="127"/>
      <c r="B905" s="132" t="s">
        <v>2500</v>
      </c>
      <c r="C905"/>
      <c r="D905"/>
      <c r="E905"/>
      <c r="I905"/>
      <c r="J905" s="4"/>
      <c r="K905" s="5" t="s">
        <v>1609</v>
      </c>
    </row>
    <row r="906" spans="1:33" ht="47.25" hidden="1">
      <c r="A906" s="127"/>
      <c r="B906" s="132" t="s">
        <v>2500</v>
      </c>
      <c r="C906"/>
      <c r="D906"/>
      <c r="E906"/>
      <c r="I906"/>
      <c r="J906" s="4"/>
      <c r="K906" s="12">
        <v>1.9300000000000001E-2</v>
      </c>
    </row>
    <row r="907" spans="1:33" ht="47.25" hidden="1">
      <c r="A907" s="127"/>
      <c r="B907" s="132" t="s">
        <v>2513</v>
      </c>
      <c r="C907"/>
      <c r="D907"/>
      <c r="E907"/>
      <c r="I907"/>
      <c r="J907" s="4"/>
      <c r="K907" s="5" t="s">
        <v>1609</v>
      </c>
    </row>
    <row r="908" spans="1:33" hidden="1">
      <c r="A908" s="127"/>
      <c r="B908" s="132" t="s">
        <v>2514</v>
      </c>
      <c r="C908"/>
      <c r="D908"/>
      <c r="E908"/>
      <c r="I908"/>
      <c r="J908" s="4"/>
      <c r="K908"/>
    </row>
    <row r="909" spans="1:33" hidden="1">
      <c r="A909" s="127"/>
      <c r="B909" s="132" t="s">
        <v>2562</v>
      </c>
      <c r="C909"/>
      <c r="D909"/>
      <c r="E909"/>
      <c r="I909"/>
      <c r="J909" s="4"/>
      <c r="K909"/>
    </row>
    <row r="910" spans="1:33" hidden="1">
      <c r="A910" s="127"/>
      <c r="B910" s="132" t="s">
        <v>3490</v>
      </c>
      <c r="C910"/>
      <c r="D910"/>
      <c r="E910"/>
      <c r="F910" s="121">
        <v>1.14E-2</v>
      </c>
      <c r="G910" s="90" t="s">
        <v>878</v>
      </c>
      <c r="H910" s="86" t="s">
        <v>309</v>
      </c>
      <c r="I910" s="8">
        <f>C88</f>
        <v>65420</v>
      </c>
      <c r="J910" s="2" t="s">
        <v>878</v>
      </c>
      <c r="K910" s="8">
        <f>(F910*I910)</f>
        <v>745.79</v>
      </c>
      <c r="AG910" s="86" t="s">
        <v>2284</v>
      </c>
    </row>
    <row r="911" spans="1:33" hidden="1">
      <c r="A911" s="127"/>
      <c r="B911" s="132" t="s">
        <v>2576</v>
      </c>
      <c r="C911"/>
      <c r="D911"/>
      <c r="E911"/>
      <c r="F911" s="121">
        <v>2.4299999999999999E-2</v>
      </c>
      <c r="G911" s="90" t="s">
        <v>878</v>
      </c>
      <c r="H911" s="86" t="s">
        <v>310</v>
      </c>
      <c r="I911" s="8">
        <f>C89</f>
        <v>57165</v>
      </c>
      <c r="J911" s="2" t="s">
        <v>878</v>
      </c>
      <c r="K911" s="8">
        <f>(F911*I911)</f>
        <v>1389.11</v>
      </c>
      <c r="AG911" s="86" t="s">
        <v>2284</v>
      </c>
    </row>
    <row r="912" spans="1:33" hidden="1">
      <c r="A912" s="127"/>
      <c r="B912" s="132" t="s">
        <v>2577</v>
      </c>
      <c r="C912"/>
      <c r="D912"/>
      <c r="E912"/>
      <c r="F912" s="121">
        <v>1.9300000000000001E-2</v>
      </c>
      <c r="G912" s="90" t="s">
        <v>878</v>
      </c>
      <c r="H912" s="86" t="s">
        <v>311</v>
      </c>
      <c r="I912" s="8">
        <f>C90</f>
        <v>63870</v>
      </c>
      <c r="J912" s="2" t="s">
        <v>878</v>
      </c>
      <c r="K912" s="8">
        <f>(F912*I912)</f>
        <v>1232.69</v>
      </c>
      <c r="AG912" s="86" t="s">
        <v>2284</v>
      </c>
    </row>
    <row r="913" spans="1:33" hidden="1">
      <c r="A913" s="127"/>
      <c r="B913" s="132" t="s">
        <v>2578</v>
      </c>
      <c r="C913"/>
      <c r="D913"/>
      <c r="E913"/>
      <c r="F913" s="122"/>
      <c r="H913" s="86" t="s">
        <v>447</v>
      </c>
      <c r="I913" s="1" t="s">
        <v>987</v>
      </c>
      <c r="J913" s="4"/>
      <c r="K913" s="1" t="s">
        <v>987</v>
      </c>
      <c r="AG913" s="86" t="s">
        <v>2284</v>
      </c>
    </row>
    <row r="914" spans="1:33" hidden="1">
      <c r="A914" s="127"/>
      <c r="B914" s="132" t="s">
        <v>2579</v>
      </c>
      <c r="C914"/>
      <c r="D914"/>
      <c r="E914"/>
      <c r="F914" s="122">
        <v>1.823</v>
      </c>
      <c r="G914" s="90" t="s">
        <v>615</v>
      </c>
      <c r="H914" s="86" t="s">
        <v>448</v>
      </c>
      <c r="I914" s="8">
        <f>C31</f>
        <v>342</v>
      </c>
      <c r="J914" s="2" t="s">
        <v>615</v>
      </c>
      <c r="K914" s="8">
        <f t="shared" ref="K914:K920" si="50">(F914*I914)</f>
        <v>623.47</v>
      </c>
      <c r="AG914" s="86" t="s">
        <v>2284</v>
      </c>
    </row>
    <row r="915" spans="1:33" hidden="1">
      <c r="A915" s="127"/>
      <c r="B915" s="132" t="s">
        <v>2580</v>
      </c>
      <c r="C915"/>
      <c r="D915"/>
      <c r="E915"/>
      <c r="F915" s="91">
        <v>1</v>
      </c>
      <c r="G915" s="90" t="s">
        <v>778</v>
      </c>
      <c r="H915" s="86" t="s">
        <v>1485</v>
      </c>
      <c r="I915" s="8">
        <f>C576</f>
        <v>30</v>
      </c>
      <c r="J915" s="2" t="s">
        <v>877</v>
      </c>
      <c r="K915" s="8">
        <f t="shared" si="50"/>
        <v>30</v>
      </c>
      <c r="AG915" s="86" t="s">
        <v>2284</v>
      </c>
    </row>
    <row r="916" spans="1:33" ht="31.5" hidden="1">
      <c r="A916" s="127"/>
      <c r="B916" s="132" t="s">
        <v>2581</v>
      </c>
      <c r="C916"/>
      <c r="D916"/>
      <c r="E916"/>
      <c r="F916" s="91">
        <v>3</v>
      </c>
      <c r="G916" s="90" t="s">
        <v>877</v>
      </c>
      <c r="H916" s="86" t="s">
        <v>1486</v>
      </c>
      <c r="I916" s="8">
        <f>C278</f>
        <v>45</v>
      </c>
      <c r="J916" s="2" t="s">
        <v>877</v>
      </c>
      <c r="K916" s="8">
        <f t="shared" si="50"/>
        <v>135</v>
      </c>
      <c r="AG916" s="86" t="s">
        <v>2284</v>
      </c>
    </row>
    <row r="917" spans="1:33" ht="31.5" hidden="1">
      <c r="A917" s="127"/>
      <c r="B917" s="132" t="s">
        <v>2582</v>
      </c>
      <c r="C917"/>
      <c r="D917"/>
      <c r="E917"/>
      <c r="F917" s="91">
        <v>2</v>
      </c>
      <c r="G917" s="90" t="s">
        <v>877</v>
      </c>
      <c r="H917" s="86" t="s">
        <v>1487</v>
      </c>
      <c r="I917" s="8">
        <f>C283</f>
        <v>30</v>
      </c>
      <c r="J917" s="2" t="s">
        <v>877</v>
      </c>
      <c r="K917" s="8">
        <f t="shared" si="50"/>
        <v>60</v>
      </c>
      <c r="AG917" s="86" t="s">
        <v>2284</v>
      </c>
    </row>
    <row r="918" spans="1:33" ht="31.5" hidden="1">
      <c r="A918" s="127"/>
      <c r="B918" s="132" t="s">
        <v>2583</v>
      </c>
      <c r="C918"/>
      <c r="D918"/>
      <c r="E918"/>
      <c r="F918" s="91">
        <v>1</v>
      </c>
      <c r="G918" s="90" t="s">
        <v>877</v>
      </c>
      <c r="H918" s="86" t="s">
        <v>1488</v>
      </c>
      <c r="I918" s="8">
        <f>C285</f>
        <v>95</v>
      </c>
      <c r="J918" s="2" t="s">
        <v>877</v>
      </c>
      <c r="K918" s="8">
        <f t="shared" si="50"/>
        <v>95</v>
      </c>
      <c r="AG918" s="86" t="s">
        <v>2284</v>
      </c>
    </row>
    <row r="919" spans="1:33" hidden="1">
      <c r="A919" s="127"/>
      <c r="B919" s="132" t="s">
        <v>2584</v>
      </c>
      <c r="C919"/>
      <c r="D919"/>
      <c r="E919"/>
      <c r="F919" s="91">
        <v>1</v>
      </c>
      <c r="G919" s="90" t="s">
        <v>877</v>
      </c>
      <c r="H919" s="86" t="s">
        <v>1489</v>
      </c>
      <c r="I919" s="8">
        <f>C287</f>
        <v>8</v>
      </c>
      <c r="J919" s="2" t="s">
        <v>877</v>
      </c>
      <c r="K919" s="8">
        <f t="shared" si="50"/>
        <v>8</v>
      </c>
      <c r="AG919" s="86" t="s">
        <v>2284</v>
      </c>
    </row>
    <row r="920" spans="1:33" hidden="1">
      <c r="A920" s="127"/>
      <c r="B920" s="132" t="s">
        <v>2613</v>
      </c>
      <c r="C920"/>
      <c r="D920"/>
      <c r="E920"/>
      <c r="F920" s="91">
        <v>1</v>
      </c>
      <c r="G920" s="90" t="s">
        <v>877</v>
      </c>
      <c r="H920" s="86" t="s">
        <v>2007</v>
      </c>
      <c r="I920" s="8">
        <f>D576</f>
        <v>25</v>
      </c>
      <c r="J920" s="2" t="s">
        <v>877</v>
      </c>
      <c r="K920" s="8">
        <f t="shared" si="50"/>
        <v>25</v>
      </c>
      <c r="AG920" s="86" t="s">
        <v>2284</v>
      </c>
    </row>
    <row r="921" spans="1:33" hidden="1">
      <c r="A921" s="127"/>
      <c r="B921" s="132" t="s">
        <v>2614</v>
      </c>
      <c r="C921"/>
      <c r="D921"/>
      <c r="E921"/>
      <c r="I921"/>
      <c r="J921" s="4"/>
      <c r="K921" s="5" t="s">
        <v>1609</v>
      </c>
      <c r="AG921" s="86" t="s">
        <v>2284</v>
      </c>
    </row>
    <row r="922" spans="1:33" ht="31.5" hidden="1">
      <c r="A922" s="127"/>
      <c r="B922" s="132" t="s">
        <v>2615</v>
      </c>
      <c r="C922"/>
      <c r="D922"/>
      <c r="E922"/>
      <c r="H922" s="86" t="s">
        <v>1490</v>
      </c>
      <c r="I922"/>
      <c r="J922" s="4"/>
      <c r="K922" s="8">
        <f>SUM(K910:K920)</f>
        <v>4344.0600000000004</v>
      </c>
      <c r="AG922" s="86" t="s">
        <v>2284</v>
      </c>
    </row>
    <row r="923" spans="1:33" hidden="1">
      <c r="A923" s="127"/>
      <c r="B923" s="132" t="s">
        <v>3031</v>
      </c>
      <c r="C923"/>
      <c r="D923"/>
      <c r="E923"/>
      <c r="I923"/>
      <c r="J923" s="4"/>
      <c r="K923" s="5" t="s">
        <v>1609</v>
      </c>
      <c r="AG923" s="86" t="s">
        <v>2284</v>
      </c>
    </row>
    <row r="924" spans="1:33" hidden="1">
      <c r="A924" s="127"/>
      <c r="B924" s="132" t="s">
        <v>3032</v>
      </c>
      <c r="C924"/>
      <c r="D924"/>
      <c r="E924"/>
      <c r="H924" s="86" t="s">
        <v>556</v>
      </c>
      <c r="I924"/>
      <c r="J924" s="4"/>
      <c r="K924" s="8">
        <f>K922/F914</f>
        <v>2382.92</v>
      </c>
      <c r="AG924" s="86" t="s">
        <v>2284</v>
      </c>
    </row>
    <row r="925" spans="1:33" hidden="1">
      <c r="A925" s="127"/>
      <c r="B925" s="132" t="s">
        <v>3033</v>
      </c>
      <c r="C925"/>
      <c r="D925"/>
      <c r="E925"/>
      <c r="F925" s="86" t="s">
        <v>987</v>
      </c>
      <c r="I925"/>
      <c r="J925" s="4"/>
      <c r="K925"/>
    </row>
    <row r="926" spans="1:33" hidden="1">
      <c r="A926" s="127"/>
      <c r="B926" s="132" t="s">
        <v>3034</v>
      </c>
      <c r="C926"/>
      <c r="D926"/>
      <c r="E926"/>
      <c r="I926"/>
      <c r="J926" s="4"/>
      <c r="K926" s="5" t="s">
        <v>2080</v>
      </c>
      <c r="AG926" s="86" t="s">
        <v>2284</v>
      </c>
    </row>
    <row r="927" spans="1:33" hidden="1">
      <c r="A927" s="127"/>
      <c r="B927" s="132" t="s">
        <v>3035</v>
      </c>
      <c r="C927"/>
      <c r="D927"/>
      <c r="E927"/>
      <c r="I927"/>
      <c r="J927" s="4"/>
      <c r="K927"/>
    </row>
    <row r="928" spans="1:33" hidden="1">
      <c r="A928" s="127"/>
      <c r="B928" s="132" t="s">
        <v>3036</v>
      </c>
      <c r="C928"/>
      <c r="D928"/>
      <c r="E928"/>
      <c r="I928"/>
      <c r="J928" s="4"/>
      <c r="K928"/>
    </row>
    <row r="929" spans="1:33" hidden="1">
      <c r="A929" s="127"/>
      <c r="B929" s="132" t="s">
        <v>3037</v>
      </c>
      <c r="C929"/>
      <c r="D929"/>
      <c r="E929"/>
      <c r="F929" s="102" t="s">
        <v>1358</v>
      </c>
      <c r="G929" s="90" t="s">
        <v>2276</v>
      </c>
      <c r="H929" s="86" t="s">
        <v>254</v>
      </c>
      <c r="I929"/>
      <c r="J929" s="4"/>
      <c r="K929"/>
      <c r="AG929" s="86" t="s">
        <v>2284</v>
      </c>
    </row>
    <row r="930" spans="1:33" ht="16.5" hidden="1" customHeight="1">
      <c r="A930" s="127"/>
      <c r="B930" s="132" t="s">
        <v>3038</v>
      </c>
      <c r="C930"/>
      <c r="D930"/>
      <c r="E930"/>
      <c r="H930" s="86" t="s">
        <v>255</v>
      </c>
      <c r="I930"/>
      <c r="J930" s="4"/>
      <c r="K930"/>
      <c r="AG930" s="86" t="s">
        <v>2284</v>
      </c>
    </row>
    <row r="931" spans="1:33" ht="15.75" hidden="1" customHeight="1">
      <c r="A931" s="127"/>
      <c r="B931" s="132" t="s">
        <v>3039</v>
      </c>
      <c r="C931"/>
      <c r="D931"/>
      <c r="E931"/>
      <c r="H931" s="86" t="s">
        <v>1493</v>
      </c>
      <c r="I931"/>
      <c r="J931" s="4"/>
      <c r="K931"/>
      <c r="AG931" s="86" t="s">
        <v>2284</v>
      </c>
    </row>
    <row r="932" spans="1:33" hidden="1">
      <c r="A932" s="127"/>
      <c r="B932" s="132" t="s">
        <v>3040</v>
      </c>
      <c r="C932"/>
      <c r="D932"/>
      <c r="E932"/>
      <c r="H932" s="89" t="s">
        <v>1609</v>
      </c>
      <c r="I932"/>
      <c r="J932" s="4"/>
      <c r="K932"/>
      <c r="AG932" s="86" t="s">
        <v>2284</v>
      </c>
    </row>
    <row r="933" spans="1:33" hidden="1">
      <c r="A933" s="127"/>
      <c r="B933" s="132" t="s">
        <v>3041</v>
      </c>
      <c r="C933"/>
      <c r="D933"/>
      <c r="E933"/>
      <c r="I933"/>
      <c r="J933" s="4"/>
      <c r="K933"/>
    </row>
    <row r="934" spans="1:33" ht="20.25" hidden="1" customHeight="1">
      <c r="A934" s="127"/>
      <c r="B934" s="132" t="s">
        <v>3042</v>
      </c>
      <c r="C934"/>
      <c r="D934"/>
      <c r="E934"/>
      <c r="H934" s="86" t="s">
        <v>650</v>
      </c>
      <c r="I934"/>
      <c r="J934" s="4"/>
      <c r="K934"/>
    </row>
    <row r="935" spans="1:33" hidden="1">
      <c r="A935" s="127"/>
      <c r="B935" s="132" t="s">
        <v>2649</v>
      </c>
      <c r="C935"/>
      <c r="D935"/>
      <c r="E935"/>
      <c r="H935" s="86" t="s">
        <v>651</v>
      </c>
      <c r="I935"/>
      <c r="J935" s="4"/>
      <c r="K935"/>
    </row>
    <row r="936" spans="1:33" hidden="1">
      <c r="A936" s="127"/>
      <c r="B936" s="132" t="s">
        <v>2650</v>
      </c>
      <c r="C936"/>
      <c r="D936"/>
      <c r="E936"/>
      <c r="I936"/>
      <c r="J936" s="2" t="s">
        <v>1609</v>
      </c>
      <c r="K936"/>
    </row>
    <row r="937" spans="1:33" hidden="1">
      <c r="A937" s="127"/>
      <c r="B937" s="132" t="s">
        <v>2651</v>
      </c>
      <c r="C937"/>
      <c r="D937"/>
      <c r="E937"/>
      <c r="H937" s="86" t="s">
        <v>652</v>
      </c>
      <c r="I937"/>
      <c r="J937" s="4"/>
      <c r="K937"/>
    </row>
    <row r="938" spans="1:33" hidden="1">
      <c r="A938" s="127"/>
      <c r="B938" s="132" t="s">
        <v>2652</v>
      </c>
      <c r="C938"/>
      <c r="D938"/>
      <c r="E938"/>
      <c r="H938" s="86" t="s">
        <v>653</v>
      </c>
      <c r="I938"/>
      <c r="J938" s="4"/>
      <c r="K938" s="12">
        <v>2.1999999999999999E-2</v>
      </c>
    </row>
    <row r="939" spans="1:33" hidden="1">
      <c r="A939" s="127"/>
      <c r="B939" s="132" t="s">
        <v>2653</v>
      </c>
      <c r="C939"/>
      <c r="D939"/>
      <c r="E939"/>
      <c r="I939"/>
      <c r="J939" s="2" t="s">
        <v>987</v>
      </c>
      <c r="K939" s="5" t="s">
        <v>1609</v>
      </c>
    </row>
    <row r="940" spans="1:33" ht="31.5" hidden="1">
      <c r="A940" s="127"/>
      <c r="B940" s="132" t="s">
        <v>2713</v>
      </c>
      <c r="C940"/>
      <c r="D940"/>
      <c r="E940"/>
      <c r="H940" s="86" t="s">
        <v>868</v>
      </c>
      <c r="I940"/>
      <c r="J940" s="137" t="s">
        <v>987</v>
      </c>
      <c r="K940" s="12">
        <v>1.3100000000000001E-2</v>
      </c>
    </row>
    <row r="941" spans="1:33" ht="31.5" hidden="1">
      <c r="A941" s="127"/>
      <c r="B941" s="132" t="s">
        <v>3182</v>
      </c>
      <c r="C941"/>
      <c r="D941"/>
      <c r="E941"/>
      <c r="H941" s="86" t="s">
        <v>2177</v>
      </c>
      <c r="I941"/>
      <c r="J941" s="2" t="s">
        <v>987</v>
      </c>
      <c r="K941" s="12">
        <v>3.3999999999999998E-3</v>
      </c>
    </row>
    <row r="942" spans="1:33" ht="31.5" hidden="1">
      <c r="A942" s="127"/>
      <c r="B942" s="132" t="s">
        <v>3011</v>
      </c>
      <c r="C942"/>
      <c r="D942"/>
      <c r="E942"/>
      <c r="I942"/>
      <c r="J942" s="4"/>
      <c r="K942" s="5" t="s">
        <v>1609</v>
      </c>
    </row>
    <row r="943" spans="1:33" ht="31.5" hidden="1">
      <c r="A943" s="127"/>
      <c r="B943" s="132" t="s">
        <v>3012</v>
      </c>
      <c r="C943"/>
      <c r="D943"/>
      <c r="E943"/>
      <c r="I943"/>
      <c r="J943" s="4"/>
      <c r="K943" s="12">
        <v>1.6500000000000001E-2</v>
      </c>
    </row>
    <row r="944" spans="1:33" hidden="1">
      <c r="A944" s="127"/>
      <c r="B944" s="132" t="s">
        <v>3013</v>
      </c>
      <c r="C944"/>
      <c r="D944"/>
      <c r="E944"/>
      <c r="I944"/>
      <c r="J944" s="4"/>
      <c r="K944" s="5" t="s">
        <v>1609</v>
      </c>
    </row>
    <row r="945" spans="1:33" hidden="1">
      <c r="A945" s="127"/>
      <c r="B945" s="132" t="s">
        <v>3014</v>
      </c>
      <c r="C945"/>
      <c r="D945"/>
      <c r="E945"/>
      <c r="F945" s="121">
        <v>1.15E-2</v>
      </c>
      <c r="G945" s="90" t="s">
        <v>878</v>
      </c>
      <c r="H945" s="86" t="s">
        <v>309</v>
      </c>
      <c r="I945" s="8">
        <f>C88</f>
        <v>65420</v>
      </c>
      <c r="J945" s="2" t="s">
        <v>878</v>
      </c>
      <c r="K945" s="8">
        <f>(F945*I945)</f>
        <v>752.33</v>
      </c>
      <c r="AG945" s="86" t="s">
        <v>2284</v>
      </c>
    </row>
    <row r="946" spans="1:33" hidden="1">
      <c r="A946" s="127"/>
      <c r="B946" s="132" t="s">
        <v>3015</v>
      </c>
      <c r="C946"/>
      <c r="D946"/>
      <c r="E946"/>
      <c r="F946" s="121">
        <v>2.1999999999999999E-2</v>
      </c>
      <c r="G946" s="90" t="s">
        <v>878</v>
      </c>
      <c r="H946" s="86" t="s">
        <v>310</v>
      </c>
      <c r="I946" s="8">
        <f>C89</f>
        <v>57165</v>
      </c>
      <c r="J946" s="2" t="s">
        <v>878</v>
      </c>
      <c r="K946" s="8">
        <f>(F946*I946)</f>
        <v>1257.6300000000001</v>
      </c>
      <c r="AG946" s="86" t="s">
        <v>2284</v>
      </c>
    </row>
    <row r="947" spans="1:33" hidden="1">
      <c r="A947" s="127"/>
      <c r="B947" s="132" t="s">
        <v>3016</v>
      </c>
      <c r="C947"/>
      <c r="D947"/>
      <c r="E947"/>
      <c r="F947" s="121">
        <v>1.6500000000000001E-2</v>
      </c>
      <c r="G947" s="90" t="s">
        <v>878</v>
      </c>
      <c r="H947" s="86" t="s">
        <v>311</v>
      </c>
      <c r="I947" s="8">
        <f>C90</f>
        <v>63870</v>
      </c>
      <c r="J947" s="2" t="s">
        <v>878</v>
      </c>
      <c r="K947" s="8">
        <f>(F947*I947)</f>
        <v>1053.8599999999999</v>
      </c>
      <c r="AG947" s="86" t="s">
        <v>2284</v>
      </c>
    </row>
    <row r="948" spans="1:33" ht="31.5" hidden="1">
      <c r="A948" s="127"/>
      <c r="B948" s="132" t="s">
        <v>2447</v>
      </c>
      <c r="C948"/>
      <c r="D948"/>
      <c r="E948"/>
      <c r="F948" s="121"/>
      <c r="H948" s="86" t="s">
        <v>447</v>
      </c>
      <c r="I948" s="1" t="s">
        <v>987</v>
      </c>
      <c r="J948" s="4"/>
      <c r="K948" s="1" t="s">
        <v>987</v>
      </c>
      <c r="AG948" s="86" t="s">
        <v>2284</v>
      </c>
    </row>
    <row r="949" spans="1:33" ht="31.5" hidden="1">
      <c r="A949" s="127"/>
      <c r="B949" s="132" t="s">
        <v>2448</v>
      </c>
      <c r="C949"/>
      <c r="D949"/>
      <c r="E949"/>
      <c r="F949" s="121">
        <v>1.64</v>
      </c>
      <c r="G949" s="90" t="s">
        <v>615</v>
      </c>
      <c r="H949" s="86" t="s">
        <v>448</v>
      </c>
      <c r="I949" s="8">
        <f>C31</f>
        <v>342</v>
      </c>
      <c r="J949" s="2" t="s">
        <v>615</v>
      </c>
      <c r="K949" s="8">
        <f t="shared" ref="K949:K955" si="51">(F949*I949)</f>
        <v>560.88</v>
      </c>
      <c r="AG949" s="86" t="s">
        <v>2284</v>
      </c>
    </row>
    <row r="950" spans="1:33" ht="31.5" hidden="1">
      <c r="A950" s="127"/>
      <c r="B950" s="132" t="s">
        <v>3183</v>
      </c>
      <c r="C950"/>
      <c r="D950"/>
      <c r="E950"/>
      <c r="F950" s="91">
        <v>1</v>
      </c>
      <c r="G950" s="90" t="s">
        <v>778</v>
      </c>
      <c r="H950" s="86" t="s">
        <v>1485</v>
      </c>
      <c r="I950" s="8">
        <f>C576</f>
        <v>30</v>
      </c>
      <c r="J950" s="2" t="s">
        <v>877</v>
      </c>
      <c r="K950" s="8">
        <f t="shared" si="51"/>
        <v>30</v>
      </c>
      <c r="AG950" s="86" t="s">
        <v>2284</v>
      </c>
    </row>
    <row r="951" spans="1:33" ht="31.5" hidden="1">
      <c r="A951" s="127"/>
      <c r="B951" s="132" t="s">
        <v>3184</v>
      </c>
      <c r="C951"/>
      <c r="D951"/>
      <c r="E951"/>
      <c r="F951" s="91">
        <v>3</v>
      </c>
      <c r="G951" s="90" t="s">
        <v>877</v>
      </c>
      <c r="H951" s="86" t="s">
        <v>1486</v>
      </c>
      <c r="I951" s="8">
        <f>C278</f>
        <v>45</v>
      </c>
      <c r="J951" s="2" t="s">
        <v>877</v>
      </c>
      <c r="K951" s="8">
        <f t="shared" si="51"/>
        <v>135</v>
      </c>
      <c r="AG951" s="86" t="s">
        <v>2284</v>
      </c>
    </row>
    <row r="952" spans="1:33" ht="31.5" hidden="1">
      <c r="A952" s="127"/>
      <c r="B952" s="132" t="s">
        <v>3194</v>
      </c>
      <c r="C952"/>
      <c r="D952"/>
      <c r="E952"/>
      <c r="F952" s="91">
        <v>2</v>
      </c>
      <c r="G952" s="90" t="s">
        <v>877</v>
      </c>
      <c r="H952" s="86" t="s">
        <v>1487</v>
      </c>
      <c r="I952" s="8">
        <f>C283</f>
        <v>30</v>
      </c>
      <c r="J952" s="2" t="s">
        <v>877</v>
      </c>
      <c r="K952" s="8">
        <f t="shared" si="51"/>
        <v>60</v>
      </c>
      <c r="AG952" s="86" t="s">
        <v>322</v>
      </c>
    </row>
    <row r="953" spans="1:33" ht="31.5" hidden="1">
      <c r="A953" s="127"/>
      <c r="B953" s="132" t="s">
        <v>3195</v>
      </c>
      <c r="C953"/>
      <c r="D953"/>
      <c r="E953"/>
      <c r="F953" s="91">
        <v>1</v>
      </c>
      <c r="G953" s="90" t="s">
        <v>877</v>
      </c>
      <c r="H953" s="86" t="s">
        <v>1488</v>
      </c>
      <c r="I953" s="8">
        <f>C285</f>
        <v>95</v>
      </c>
      <c r="J953" s="2" t="s">
        <v>877</v>
      </c>
      <c r="K953" s="8">
        <f t="shared" si="51"/>
        <v>95</v>
      </c>
    </row>
    <row r="954" spans="1:33" ht="31.5" hidden="1">
      <c r="A954" s="127"/>
      <c r="B954" s="132" t="s">
        <v>3196</v>
      </c>
      <c r="C954"/>
      <c r="D954"/>
      <c r="E954"/>
      <c r="F954" s="91">
        <v>1</v>
      </c>
      <c r="G954" s="90" t="s">
        <v>877</v>
      </c>
      <c r="H954" s="86" t="s">
        <v>1489</v>
      </c>
      <c r="I954" s="8">
        <f>C287</f>
        <v>8</v>
      </c>
      <c r="J954" s="2" t="s">
        <v>877</v>
      </c>
      <c r="K954" s="8">
        <f t="shared" si="51"/>
        <v>8</v>
      </c>
    </row>
    <row r="955" spans="1:33" ht="31.5" hidden="1">
      <c r="A955" s="127"/>
      <c r="B955" s="132" t="s">
        <v>3197</v>
      </c>
      <c r="C955"/>
      <c r="D955"/>
      <c r="E955"/>
      <c r="F955" s="91">
        <v>1</v>
      </c>
      <c r="G955" s="90" t="s">
        <v>877</v>
      </c>
      <c r="H955" s="86" t="s">
        <v>2007</v>
      </c>
      <c r="I955" s="8">
        <f>D576</f>
        <v>25</v>
      </c>
      <c r="J955" s="2" t="s">
        <v>877</v>
      </c>
      <c r="K955" s="8">
        <f t="shared" si="51"/>
        <v>25</v>
      </c>
      <c r="AG955" s="86" t="s">
        <v>2284</v>
      </c>
    </row>
    <row r="956" spans="1:33" ht="31.5" hidden="1">
      <c r="A956" s="127"/>
      <c r="B956" s="132" t="s">
        <v>3198</v>
      </c>
      <c r="C956"/>
      <c r="D956"/>
      <c r="E956"/>
      <c r="I956"/>
      <c r="J956" s="4"/>
      <c r="K956" s="5" t="s">
        <v>1609</v>
      </c>
      <c r="AG956" s="86" t="s">
        <v>2284</v>
      </c>
    </row>
    <row r="957" spans="1:33" ht="31.5" hidden="1">
      <c r="A957" s="127"/>
      <c r="B957" s="132" t="s">
        <v>3199</v>
      </c>
      <c r="C957"/>
      <c r="D957"/>
      <c r="E957"/>
      <c r="H957" s="86" t="s">
        <v>2178</v>
      </c>
      <c r="I957"/>
      <c r="J957" s="4"/>
      <c r="K957" s="8">
        <f>SUM(K945:K955)</f>
        <v>3977.7</v>
      </c>
      <c r="AG957" s="86" t="s">
        <v>2284</v>
      </c>
    </row>
    <row r="958" spans="1:33" ht="31.5" hidden="1">
      <c r="A958" s="127"/>
      <c r="B958" s="132" t="s">
        <v>3200</v>
      </c>
      <c r="C958"/>
      <c r="D958"/>
      <c r="E958"/>
      <c r="I958"/>
      <c r="J958" s="4"/>
      <c r="K958" s="5" t="s">
        <v>1609</v>
      </c>
      <c r="AG958" s="86" t="s">
        <v>2284</v>
      </c>
    </row>
    <row r="959" spans="1:33" ht="31.5" hidden="1">
      <c r="A959" s="127"/>
      <c r="B959" s="132" t="s">
        <v>3250</v>
      </c>
      <c r="C959"/>
      <c r="D959"/>
      <c r="E959"/>
      <c r="H959" s="86" t="s">
        <v>556</v>
      </c>
      <c r="I959"/>
      <c r="J959" s="4"/>
      <c r="K959" s="8">
        <f>K957/F949</f>
        <v>2425.4299999999998</v>
      </c>
      <c r="AG959" s="86" t="s">
        <v>2284</v>
      </c>
    </row>
    <row r="960" spans="1:33" ht="31.5" hidden="1">
      <c r="A960" s="127"/>
      <c r="B960" s="132" t="s">
        <v>3251</v>
      </c>
      <c r="C960"/>
      <c r="D960"/>
      <c r="E960"/>
      <c r="I960"/>
      <c r="J960" s="4"/>
      <c r="K960" s="5" t="s">
        <v>2080</v>
      </c>
      <c r="AG960" s="86" t="s">
        <v>2284</v>
      </c>
    </row>
    <row r="961" spans="1:11" ht="31.5" hidden="1">
      <c r="A961" s="127"/>
      <c r="B961" s="132" t="s">
        <v>3252</v>
      </c>
      <c r="C961"/>
      <c r="D961"/>
      <c r="E961"/>
      <c r="F961" s="102" t="s">
        <v>1357</v>
      </c>
      <c r="G961" s="90" t="s">
        <v>2276</v>
      </c>
      <c r="H961" s="86" t="s">
        <v>254</v>
      </c>
      <c r="I961"/>
      <c r="J961" s="4"/>
      <c r="K961"/>
    </row>
    <row r="962" spans="1:11" ht="31.5" hidden="1">
      <c r="A962" s="127"/>
      <c r="B962" s="132" t="s">
        <v>3006</v>
      </c>
      <c r="C962"/>
      <c r="D962"/>
      <c r="E962"/>
      <c r="H962" s="86" t="s">
        <v>255</v>
      </c>
      <c r="I962"/>
      <c r="J962" s="4"/>
      <c r="K962"/>
    </row>
    <row r="963" spans="1:11" hidden="1">
      <c r="A963" s="127"/>
      <c r="B963" s="132" t="s">
        <v>3007</v>
      </c>
      <c r="C963"/>
      <c r="D963"/>
      <c r="E963"/>
      <c r="H963" s="86" t="s">
        <v>1494</v>
      </c>
      <c r="I963"/>
      <c r="J963" s="4"/>
      <c r="K963"/>
    </row>
    <row r="964" spans="1:11" hidden="1">
      <c r="A964" s="127"/>
      <c r="B964" s="132" t="s">
        <v>3008</v>
      </c>
      <c r="C964"/>
      <c r="D964"/>
      <c r="E964"/>
      <c r="H964" s="89" t="s">
        <v>1609</v>
      </c>
      <c r="I964"/>
      <c r="J964" s="4"/>
      <c r="K964"/>
    </row>
    <row r="965" spans="1:11" hidden="1">
      <c r="A965" s="127"/>
      <c r="B965" s="132" t="s">
        <v>3009</v>
      </c>
      <c r="C965"/>
      <c r="D965"/>
      <c r="E965"/>
      <c r="H965" s="86" t="s">
        <v>2179</v>
      </c>
      <c r="I965"/>
      <c r="J965" s="4"/>
      <c r="K965"/>
    </row>
    <row r="966" spans="1:11" hidden="1">
      <c r="A966" s="127"/>
      <c r="B966" s="132" t="s">
        <v>3010</v>
      </c>
      <c r="C966"/>
      <c r="D966"/>
      <c r="E966"/>
      <c r="H966" s="86" t="s">
        <v>92</v>
      </c>
      <c r="I966"/>
      <c r="J966" s="4"/>
      <c r="K966"/>
    </row>
    <row r="967" spans="1:11" hidden="1">
      <c r="A967" s="127"/>
      <c r="B967" s="132" t="s">
        <v>3225</v>
      </c>
      <c r="C967"/>
      <c r="D967"/>
      <c r="E967"/>
      <c r="I967"/>
      <c r="J967" s="2" t="s">
        <v>1609</v>
      </c>
      <c r="K967"/>
    </row>
    <row r="968" spans="1:11" hidden="1">
      <c r="A968" s="127"/>
      <c r="B968" s="132" t="s">
        <v>3226</v>
      </c>
      <c r="C968"/>
      <c r="D968"/>
      <c r="E968"/>
      <c r="H968" s="86" t="s">
        <v>2180</v>
      </c>
      <c r="I968"/>
      <c r="J968" s="4"/>
      <c r="K968"/>
    </row>
    <row r="969" spans="1:11" hidden="1">
      <c r="A969" s="127"/>
      <c r="B969" s="132" t="s">
        <v>3227</v>
      </c>
      <c r="C969"/>
      <c r="D969"/>
      <c r="E969"/>
      <c r="H969" s="86" t="s">
        <v>460</v>
      </c>
      <c r="I969"/>
      <c r="J969" s="4"/>
      <c r="K969" s="12">
        <v>1.1900000000000001E-2</v>
      </c>
    </row>
    <row r="970" spans="1:11" ht="31.5" hidden="1">
      <c r="A970" s="127"/>
      <c r="B970" s="132" t="s">
        <v>3228</v>
      </c>
      <c r="C970"/>
      <c r="D970"/>
      <c r="E970"/>
      <c r="I970"/>
      <c r="J970" s="2" t="s">
        <v>987</v>
      </c>
      <c r="K970" s="5" t="s">
        <v>1609</v>
      </c>
    </row>
    <row r="971" spans="1:11" ht="31.5" hidden="1">
      <c r="A971" s="127"/>
      <c r="B971" s="132" t="s">
        <v>2793</v>
      </c>
      <c r="C971"/>
      <c r="D971"/>
      <c r="E971"/>
      <c r="H971" s="86" t="s">
        <v>461</v>
      </c>
      <c r="I971"/>
      <c r="J971" s="137" t="s">
        <v>987</v>
      </c>
      <c r="K971" s="12">
        <v>1.18E-2</v>
      </c>
    </row>
    <row r="972" spans="1:11" ht="31.5" hidden="1">
      <c r="A972" s="127"/>
      <c r="B972" s="132" t="s">
        <v>2794</v>
      </c>
      <c r="C972"/>
      <c r="D972"/>
      <c r="E972"/>
      <c r="H972" s="86" t="s">
        <v>248</v>
      </c>
      <c r="I972"/>
      <c r="J972" s="2" t="s">
        <v>987</v>
      </c>
      <c r="K972" s="14" t="s">
        <v>1609</v>
      </c>
    </row>
    <row r="973" spans="1:11" hidden="1">
      <c r="A973" s="127"/>
      <c r="B973" s="132" t="s">
        <v>3155</v>
      </c>
      <c r="C973"/>
      <c r="D973"/>
      <c r="E973"/>
      <c r="I973"/>
      <c r="J973" s="4"/>
      <c r="K973"/>
    </row>
    <row r="974" spans="1:11" hidden="1">
      <c r="A974" s="127"/>
      <c r="B974" s="132" t="s">
        <v>3156</v>
      </c>
      <c r="C974"/>
      <c r="D974"/>
      <c r="E974"/>
      <c r="F974" s="121">
        <v>1.14E-2</v>
      </c>
      <c r="G974" s="90" t="s">
        <v>878</v>
      </c>
      <c r="H974" s="86" t="s">
        <v>309</v>
      </c>
      <c r="I974" s="8">
        <f>C88</f>
        <v>65420</v>
      </c>
      <c r="J974" s="2" t="s">
        <v>878</v>
      </c>
      <c r="K974" s="8">
        <f>(F974*I974)</f>
        <v>745.79</v>
      </c>
    </row>
    <row r="975" spans="1:11" hidden="1">
      <c r="A975" s="127"/>
      <c r="B975" s="132" t="s">
        <v>3157</v>
      </c>
      <c r="C975"/>
      <c r="D975"/>
      <c r="E975"/>
      <c r="F975" s="121">
        <v>1.1900000000000001E-2</v>
      </c>
      <c r="G975" s="90" t="s">
        <v>878</v>
      </c>
      <c r="H975" s="86" t="s">
        <v>310</v>
      </c>
      <c r="I975" s="8">
        <f>C89</f>
        <v>57165</v>
      </c>
      <c r="J975" s="2" t="s">
        <v>878</v>
      </c>
      <c r="K975" s="8">
        <f>(F975*I975)</f>
        <v>680.26</v>
      </c>
    </row>
    <row r="976" spans="1:11" hidden="1">
      <c r="A976" s="127"/>
      <c r="B976" s="132" t="s">
        <v>3415</v>
      </c>
      <c r="C976"/>
      <c r="D976"/>
      <c r="E976"/>
      <c r="F976" s="121">
        <v>1.18E-2</v>
      </c>
      <c r="G976" s="90" t="s">
        <v>878</v>
      </c>
      <c r="H976" s="86" t="s">
        <v>311</v>
      </c>
      <c r="I976" s="8">
        <f>C90</f>
        <v>63870</v>
      </c>
      <c r="J976" s="2" t="s">
        <v>878</v>
      </c>
      <c r="K976" s="8">
        <f>(F976*I976)</f>
        <v>753.67</v>
      </c>
    </row>
    <row r="977" spans="1:33" hidden="1">
      <c r="A977" s="127"/>
      <c r="B977" s="132" t="s">
        <v>3416</v>
      </c>
      <c r="C977"/>
      <c r="D977"/>
      <c r="E977"/>
      <c r="F977" s="121"/>
      <c r="H977" s="86" t="s">
        <v>447</v>
      </c>
      <c r="I977" s="1" t="s">
        <v>987</v>
      </c>
      <c r="J977" s="4"/>
      <c r="K977" s="1" t="s">
        <v>987</v>
      </c>
    </row>
    <row r="978" spans="1:33" hidden="1">
      <c r="A978" s="127"/>
      <c r="B978" s="132" t="s">
        <v>2379</v>
      </c>
      <c r="C978"/>
      <c r="D978"/>
      <c r="E978"/>
      <c r="F978" s="121">
        <v>1.2150000000000001</v>
      </c>
      <c r="G978" s="90" t="s">
        <v>615</v>
      </c>
      <c r="H978" s="86" t="s">
        <v>448</v>
      </c>
      <c r="I978" s="8">
        <f>C31</f>
        <v>342</v>
      </c>
      <c r="J978" s="2" t="s">
        <v>615</v>
      </c>
      <c r="K978" s="8">
        <f t="shared" ref="K978:K984" si="52">(F978*I978)</f>
        <v>415.53</v>
      </c>
    </row>
    <row r="979" spans="1:33" hidden="1">
      <c r="A979" s="127"/>
      <c r="B979" s="132" t="s">
        <v>2380</v>
      </c>
      <c r="C979"/>
      <c r="D979"/>
      <c r="E979"/>
      <c r="F979" s="91">
        <v>1</v>
      </c>
      <c r="G979" s="90" t="s">
        <v>778</v>
      </c>
      <c r="H979" s="86" t="s">
        <v>1485</v>
      </c>
      <c r="I979" s="8">
        <f>C576</f>
        <v>30</v>
      </c>
      <c r="J979" s="2" t="s">
        <v>877</v>
      </c>
      <c r="K979" s="8">
        <f t="shared" si="52"/>
        <v>30</v>
      </c>
    </row>
    <row r="980" spans="1:33" hidden="1">
      <c r="A980" s="127"/>
      <c r="B980" s="132" t="s">
        <v>2381</v>
      </c>
      <c r="C980"/>
      <c r="D980"/>
      <c r="E980"/>
      <c r="F980" s="91">
        <v>3</v>
      </c>
      <c r="G980" s="90" t="s">
        <v>877</v>
      </c>
      <c r="H980" s="86" t="s">
        <v>1486</v>
      </c>
      <c r="I980" s="8">
        <f>C278</f>
        <v>45</v>
      </c>
      <c r="J980" s="2" t="s">
        <v>877</v>
      </c>
      <c r="K980" s="8">
        <f t="shared" si="52"/>
        <v>135</v>
      </c>
    </row>
    <row r="981" spans="1:33" hidden="1">
      <c r="A981" s="127"/>
      <c r="B981" s="132" t="s">
        <v>2382</v>
      </c>
      <c r="C981"/>
      <c r="D981"/>
      <c r="E981"/>
      <c r="F981" s="91">
        <v>2</v>
      </c>
      <c r="G981" s="90" t="s">
        <v>877</v>
      </c>
      <c r="H981" s="86" t="s">
        <v>1487</v>
      </c>
      <c r="I981" s="8">
        <f>C283</f>
        <v>30</v>
      </c>
      <c r="J981" s="2" t="s">
        <v>877</v>
      </c>
      <c r="K981" s="8">
        <f t="shared" si="52"/>
        <v>60</v>
      </c>
    </row>
    <row r="982" spans="1:33" hidden="1">
      <c r="A982" s="127"/>
      <c r="B982" s="132" t="s">
        <v>2943</v>
      </c>
      <c r="C982"/>
      <c r="D982"/>
      <c r="E982"/>
      <c r="F982" s="91">
        <v>1</v>
      </c>
      <c r="G982" s="90" t="s">
        <v>877</v>
      </c>
      <c r="H982" s="86" t="s">
        <v>1488</v>
      </c>
      <c r="I982" s="8">
        <f>C285</f>
        <v>95</v>
      </c>
      <c r="J982" s="2" t="s">
        <v>877</v>
      </c>
      <c r="K982" s="8">
        <f t="shared" si="52"/>
        <v>95</v>
      </c>
    </row>
    <row r="983" spans="1:33" ht="31.5" hidden="1">
      <c r="A983" s="127"/>
      <c r="B983" s="132" t="s">
        <v>2944</v>
      </c>
      <c r="C983"/>
      <c r="D983"/>
      <c r="E983"/>
      <c r="F983" s="91">
        <v>1</v>
      </c>
      <c r="G983" s="90" t="s">
        <v>877</v>
      </c>
      <c r="H983" s="86" t="s">
        <v>1489</v>
      </c>
      <c r="I983" s="8">
        <f>C287</f>
        <v>8</v>
      </c>
      <c r="J983" s="2" t="s">
        <v>877</v>
      </c>
      <c r="K983" s="8">
        <f t="shared" si="52"/>
        <v>8</v>
      </c>
    </row>
    <row r="984" spans="1:33" hidden="1">
      <c r="A984" s="127"/>
      <c r="B984" s="132" t="s">
        <v>2954</v>
      </c>
      <c r="C984"/>
      <c r="D984"/>
      <c r="E984"/>
      <c r="F984" s="91">
        <v>1</v>
      </c>
      <c r="G984" s="90" t="s">
        <v>877</v>
      </c>
      <c r="H984" s="86" t="s">
        <v>2007</v>
      </c>
      <c r="I984" s="8">
        <f>D576</f>
        <v>25</v>
      </c>
      <c r="J984" s="2" t="s">
        <v>877</v>
      </c>
      <c r="K984" s="8">
        <f t="shared" si="52"/>
        <v>25</v>
      </c>
    </row>
    <row r="985" spans="1:33" hidden="1">
      <c r="A985" s="127"/>
      <c r="B985" s="132" t="s">
        <v>2955</v>
      </c>
      <c r="C985"/>
      <c r="D985"/>
      <c r="E985"/>
      <c r="I985"/>
      <c r="J985" s="4"/>
      <c r="K985" s="5" t="s">
        <v>1609</v>
      </c>
    </row>
    <row r="986" spans="1:33" hidden="1">
      <c r="A986" s="127"/>
      <c r="B986" s="132" t="s">
        <v>3492</v>
      </c>
      <c r="C986"/>
      <c r="D986"/>
      <c r="E986"/>
      <c r="H986" s="86" t="s">
        <v>462</v>
      </c>
      <c r="I986"/>
      <c r="J986" s="4"/>
      <c r="K986" s="8">
        <f>SUM(K974:K984)</f>
        <v>2948.25</v>
      </c>
    </row>
    <row r="987" spans="1:33" hidden="1">
      <c r="A987" s="127"/>
      <c r="B987" s="132" t="s">
        <v>3493</v>
      </c>
      <c r="C987"/>
      <c r="D987"/>
      <c r="E987"/>
      <c r="I987"/>
      <c r="J987" s="4"/>
      <c r="K987" s="5" t="s">
        <v>1609</v>
      </c>
    </row>
    <row r="988" spans="1:33" hidden="1">
      <c r="A988" s="127"/>
      <c r="B988" s="132" t="s">
        <v>3494</v>
      </c>
      <c r="C988"/>
      <c r="D988"/>
      <c r="E988"/>
      <c r="H988" s="86" t="s">
        <v>556</v>
      </c>
      <c r="I988"/>
      <c r="J988" s="4"/>
      <c r="K988" s="8">
        <f>K986/F978</f>
        <v>2426.54</v>
      </c>
    </row>
    <row r="989" spans="1:33" ht="31.5" hidden="1">
      <c r="A989" s="127"/>
      <c r="B989" s="132" t="s">
        <v>3253</v>
      </c>
      <c r="C989"/>
      <c r="D989"/>
      <c r="E989"/>
      <c r="I989"/>
      <c r="J989" s="4"/>
      <c r="K989" s="5" t="s">
        <v>2080</v>
      </c>
    </row>
    <row r="990" spans="1:33" hidden="1">
      <c r="A990" s="127"/>
      <c r="B990" s="132" t="s">
        <v>3254</v>
      </c>
      <c r="C990"/>
      <c r="D990"/>
      <c r="E990"/>
      <c r="I990"/>
      <c r="J990" s="4"/>
      <c r="K990"/>
    </row>
    <row r="991" spans="1:33" hidden="1">
      <c r="A991" s="127"/>
      <c r="B991" s="132" t="s">
        <v>3255</v>
      </c>
      <c r="C991"/>
      <c r="D991"/>
      <c r="E991"/>
      <c r="F991" s="102" t="s">
        <v>463</v>
      </c>
      <c r="G991" s="90" t="s">
        <v>2276</v>
      </c>
      <c r="H991" s="86" t="s">
        <v>2202</v>
      </c>
      <c r="I991"/>
      <c r="J991" s="4"/>
      <c r="K991"/>
      <c r="AG991" s="86" t="s">
        <v>2284</v>
      </c>
    </row>
    <row r="992" spans="1:33" hidden="1">
      <c r="A992" s="127"/>
      <c r="B992" s="132" t="s">
        <v>3256</v>
      </c>
      <c r="C992"/>
      <c r="D992"/>
      <c r="E992"/>
      <c r="H992" s="86" t="s">
        <v>2204</v>
      </c>
      <c r="I992"/>
      <c r="J992" s="4"/>
      <c r="K992"/>
      <c r="AG992" s="86" t="s">
        <v>2284</v>
      </c>
    </row>
    <row r="993" spans="1:33" hidden="1">
      <c r="A993" s="127"/>
      <c r="B993" s="132" t="s">
        <v>3257</v>
      </c>
      <c r="C993"/>
      <c r="D993"/>
      <c r="E993"/>
      <c r="H993" s="86" t="s">
        <v>2205</v>
      </c>
      <c r="I993"/>
      <c r="J993" s="4"/>
      <c r="K993"/>
      <c r="AG993" s="86" t="s">
        <v>2284</v>
      </c>
    </row>
    <row r="994" spans="1:33" hidden="1">
      <c r="A994" s="127"/>
      <c r="B994" s="132" t="s">
        <v>3258</v>
      </c>
      <c r="C994"/>
      <c r="D994"/>
      <c r="E994"/>
      <c r="H994" s="86" t="s">
        <v>2206</v>
      </c>
      <c r="I994"/>
      <c r="J994" s="4"/>
      <c r="K994"/>
      <c r="AG994" s="86" t="s">
        <v>2284</v>
      </c>
    </row>
    <row r="995" spans="1:33" hidden="1">
      <c r="A995" s="127"/>
      <c r="B995" s="132" t="s">
        <v>3259</v>
      </c>
      <c r="C995"/>
      <c r="D995"/>
      <c r="E995"/>
      <c r="H995" s="86" t="s">
        <v>2207</v>
      </c>
      <c r="I995"/>
      <c r="J995" s="4"/>
      <c r="K995"/>
      <c r="AG995" s="86" t="s">
        <v>2284</v>
      </c>
    </row>
    <row r="996" spans="1:33" hidden="1">
      <c r="A996" s="127"/>
      <c r="B996" s="132" t="s">
        <v>2621</v>
      </c>
      <c r="C996"/>
      <c r="D996"/>
      <c r="E996"/>
      <c r="H996" s="86" t="s">
        <v>2208</v>
      </c>
      <c r="I996"/>
      <c r="J996" s="4"/>
      <c r="K996"/>
      <c r="AG996" s="86" t="s">
        <v>2284</v>
      </c>
    </row>
    <row r="997" spans="1:33" hidden="1">
      <c r="A997" s="127"/>
      <c r="B997" s="132" t="s">
        <v>2622</v>
      </c>
      <c r="C997"/>
      <c r="D997"/>
      <c r="E997"/>
      <c r="H997" s="89" t="s">
        <v>1609</v>
      </c>
      <c r="I997"/>
      <c r="J997" s="4"/>
      <c r="K997"/>
      <c r="AG997" s="86" t="s">
        <v>2284</v>
      </c>
    </row>
    <row r="998" spans="1:33" hidden="1">
      <c r="A998" s="127"/>
      <c r="B998" s="132" t="s">
        <v>2623</v>
      </c>
      <c r="C998"/>
      <c r="D998"/>
      <c r="E998"/>
      <c r="H998" s="86" t="s">
        <v>650</v>
      </c>
      <c r="I998"/>
      <c r="J998" s="4"/>
      <c r="K998"/>
      <c r="AG998" s="86" t="s">
        <v>2284</v>
      </c>
    </row>
    <row r="999" spans="1:33" ht="31.5" hidden="1">
      <c r="A999" s="127"/>
      <c r="B999" s="132" t="s">
        <v>2624</v>
      </c>
      <c r="C999"/>
      <c r="D999"/>
      <c r="E999"/>
      <c r="H999" s="86" t="s">
        <v>2209</v>
      </c>
      <c r="I999"/>
      <c r="J999" s="4"/>
      <c r="K999"/>
      <c r="AG999" s="86" t="s">
        <v>2284</v>
      </c>
    </row>
    <row r="1000" spans="1:33" ht="31.5" hidden="1">
      <c r="A1000" s="127"/>
      <c r="B1000" s="132" t="s">
        <v>2625</v>
      </c>
      <c r="C1000"/>
      <c r="D1000"/>
      <c r="E1000"/>
      <c r="I1000"/>
      <c r="J1000" s="2" t="s">
        <v>1609</v>
      </c>
      <c r="K1000"/>
      <c r="AG1000" s="86" t="s">
        <v>2284</v>
      </c>
    </row>
    <row r="1001" spans="1:33" ht="31.5" hidden="1">
      <c r="A1001" s="127"/>
      <c r="B1001" s="132" t="s">
        <v>2626</v>
      </c>
      <c r="C1001"/>
      <c r="D1001"/>
      <c r="E1001"/>
      <c r="H1001" s="86" t="s">
        <v>2210</v>
      </c>
      <c r="I1001"/>
      <c r="J1001" s="4"/>
      <c r="K1001"/>
      <c r="AG1001" s="86" t="s">
        <v>2284</v>
      </c>
    </row>
    <row r="1002" spans="1:33" ht="47.25" hidden="1">
      <c r="A1002" s="127"/>
      <c r="B1002" s="132" t="s">
        <v>2627</v>
      </c>
      <c r="C1002"/>
      <c r="D1002"/>
      <c r="E1002"/>
      <c r="H1002" s="86" t="s">
        <v>987</v>
      </c>
      <c r="I1002" s="1" t="s">
        <v>987</v>
      </c>
      <c r="J1002" s="4"/>
      <c r="K1002" s="15" t="s">
        <v>987</v>
      </c>
      <c r="AG1002" s="86" t="s">
        <v>2284</v>
      </c>
    </row>
    <row r="1003" spans="1:33" hidden="1">
      <c r="A1003" s="127"/>
      <c r="B1003" s="132" t="s">
        <v>2628</v>
      </c>
      <c r="C1003"/>
      <c r="D1003"/>
      <c r="E1003"/>
      <c r="I1003"/>
      <c r="J1003" s="2" t="s">
        <v>987</v>
      </c>
      <c r="K1003" s="1" t="s">
        <v>987</v>
      </c>
      <c r="AG1003" s="86" t="s">
        <v>2284</v>
      </c>
    </row>
    <row r="1004" spans="1:33" hidden="1">
      <c r="A1004" s="127"/>
      <c r="B1004" s="132" t="s">
        <v>2629</v>
      </c>
      <c r="C1004"/>
      <c r="D1004"/>
      <c r="E1004"/>
      <c r="H1004" s="86" t="s">
        <v>2138</v>
      </c>
      <c r="I1004"/>
      <c r="J1004" s="137" t="s">
        <v>987</v>
      </c>
      <c r="K1004" s="15" t="s">
        <v>987</v>
      </c>
      <c r="AG1004" s="86" t="s">
        <v>2284</v>
      </c>
    </row>
    <row r="1005" spans="1:33" hidden="1">
      <c r="A1005" s="127"/>
      <c r="B1005" s="132" t="s">
        <v>2610</v>
      </c>
      <c r="C1005"/>
      <c r="D1005"/>
      <c r="E1005"/>
      <c r="H1005" s="86" t="s">
        <v>113</v>
      </c>
      <c r="I1005"/>
      <c r="J1005" s="4"/>
      <c r="K1005" s="15" t="s">
        <v>1765</v>
      </c>
      <c r="AG1005" s="86" t="s">
        <v>2284</v>
      </c>
    </row>
    <row r="1006" spans="1:33" hidden="1">
      <c r="A1006" s="127"/>
      <c r="B1006" s="132" t="s">
        <v>2611</v>
      </c>
      <c r="C1006"/>
      <c r="D1006"/>
      <c r="E1006"/>
      <c r="I1006"/>
      <c r="J1006" s="4"/>
      <c r="K1006" s="1" t="s">
        <v>987</v>
      </c>
      <c r="AG1006" s="86" t="s">
        <v>2284</v>
      </c>
    </row>
    <row r="1007" spans="1:33" hidden="1">
      <c r="A1007" s="127"/>
      <c r="B1007" s="132" t="s">
        <v>2612</v>
      </c>
      <c r="C1007"/>
      <c r="D1007"/>
      <c r="E1007"/>
      <c r="I1007"/>
      <c r="J1007" s="4"/>
      <c r="K1007" s="15" t="s">
        <v>987</v>
      </c>
      <c r="AG1007" s="86" t="s">
        <v>2284</v>
      </c>
    </row>
    <row r="1008" spans="1:33" hidden="1">
      <c r="A1008" s="127"/>
      <c r="B1008" s="132" t="s">
        <v>3043</v>
      </c>
      <c r="C1008"/>
      <c r="D1008"/>
      <c r="E1008"/>
      <c r="I1008"/>
      <c r="J1008" s="4"/>
      <c r="K1008" s="1" t="s">
        <v>987</v>
      </c>
      <c r="AG1008" s="86" t="s">
        <v>2284</v>
      </c>
    </row>
    <row r="1009" spans="1:33" hidden="1">
      <c r="A1009" s="127"/>
      <c r="B1009" s="132" t="s">
        <v>3044</v>
      </c>
      <c r="C1009"/>
      <c r="D1009"/>
      <c r="E1009"/>
      <c r="F1009" s="102" t="s">
        <v>1495</v>
      </c>
      <c r="G1009" s="90"/>
      <c r="H1009" s="86" t="s">
        <v>726</v>
      </c>
      <c r="I1009"/>
      <c r="J1009" s="4"/>
      <c r="K1009" s="1" t="s">
        <v>987</v>
      </c>
      <c r="AG1009" s="86" t="s">
        <v>2284</v>
      </c>
    </row>
    <row r="1010" spans="1:33" hidden="1">
      <c r="A1010" s="127"/>
      <c r="B1010" s="132" t="s">
        <v>3045</v>
      </c>
      <c r="C1010"/>
      <c r="D1010"/>
      <c r="E1010"/>
      <c r="H1010" s="89" t="s">
        <v>1609</v>
      </c>
      <c r="I1010"/>
      <c r="J1010" s="4"/>
      <c r="K1010"/>
      <c r="AG1010" s="86" t="s">
        <v>2284</v>
      </c>
    </row>
    <row r="1011" spans="1:33" hidden="1">
      <c r="A1011" s="134"/>
      <c r="B1011" s="132" t="s">
        <v>3046</v>
      </c>
      <c r="C1011"/>
      <c r="D1011"/>
      <c r="E1011"/>
      <c r="F1011" s="138">
        <v>1.153E-2</v>
      </c>
      <c r="G1011" s="90" t="s">
        <v>878</v>
      </c>
      <c r="H1011" s="86" t="s">
        <v>698</v>
      </c>
      <c r="I1011" s="8">
        <f>C88</f>
        <v>65420</v>
      </c>
      <c r="J1011" s="2" t="s">
        <v>878</v>
      </c>
      <c r="K1011" s="8">
        <f t="shared" ref="K1011:K1020" si="53">(F1011*I1011)</f>
        <v>754.29</v>
      </c>
      <c r="AG1011" s="86" t="s">
        <v>2284</v>
      </c>
    </row>
    <row r="1012" spans="1:33" hidden="1">
      <c r="A1012" s="134"/>
      <c r="B1012" s="132" t="s">
        <v>3047</v>
      </c>
      <c r="C1012"/>
      <c r="D1012"/>
      <c r="E1012"/>
      <c r="F1012" s="138">
        <v>1.35E-2</v>
      </c>
      <c r="G1012" s="90" t="s">
        <v>878</v>
      </c>
      <c r="H1012" s="86" t="s">
        <v>699</v>
      </c>
      <c r="I1012" s="8">
        <f>C89</f>
        <v>57165</v>
      </c>
      <c r="J1012" s="2" t="s">
        <v>878</v>
      </c>
      <c r="K1012" s="8">
        <f t="shared" si="53"/>
        <v>771.73</v>
      </c>
      <c r="AG1012" s="86" t="s">
        <v>2284</v>
      </c>
    </row>
    <row r="1013" spans="1:33" hidden="1">
      <c r="A1013" s="134"/>
      <c r="B1013" s="132" t="s">
        <v>3048</v>
      </c>
      <c r="C1013"/>
      <c r="D1013"/>
      <c r="E1013"/>
      <c r="F1013" s="138">
        <v>1.016</v>
      </c>
      <c r="G1013" s="90" t="s">
        <v>615</v>
      </c>
      <c r="H1013" s="86" t="s">
        <v>2117</v>
      </c>
      <c r="I1013" s="8">
        <f>C753</f>
        <v>381.37</v>
      </c>
      <c r="J1013" s="2" t="s">
        <v>615</v>
      </c>
      <c r="K1013" s="8">
        <f t="shared" si="53"/>
        <v>387.47</v>
      </c>
      <c r="AG1013" s="86" t="s">
        <v>2284</v>
      </c>
    </row>
    <row r="1014" spans="1:33" hidden="1">
      <c r="A1014" s="134"/>
      <c r="B1014" s="132" t="s">
        <v>3049</v>
      </c>
      <c r="C1014"/>
      <c r="D1014"/>
      <c r="E1014"/>
      <c r="F1014" s="138">
        <v>1.64</v>
      </c>
      <c r="G1014" s="90" t="s">
        <v>615</v>
      </c>
      <c r="H1014" s="86" t="s">
        <v>2118</v>
      </c>
      <c r="I1014" s="8">
        <f>D30</f>
        <v>287</v>
      </c>
      <c r="J1014" s="2" t="s">
        <v>615</v>
      </c>
      <c r="K1014" s="8">
        <f t="shared" si="53"/>
        <v>470.68</v>
      </c>
      <c r="AG1014" s="86" t="s">
        <v>2284</v>
      </c>
    </row>
    <row r="1015" spans="1:33" hidden="1">
      <c r="A1015" s="134"/>
      <c r="B1015" s="132" t="s">
        <v>2643</v>
      </c>
      <c r="C1015"/>
      <c r="D1015"/>
      <c r="E1015"/>
      <c r="F1015" s="91">
        <v>2</v>
      </c>
      <c r="G1015" s="90" t="s">
        <v>877</v>
      </c>
      <c r="H1015" s="86" t="s">
        <v>2119</v>
      </c>
      <c r="I1015" s="8">
        <f>C283</f>
        <v>30</v>
      </c>
      <c r="J1015" s="2" t="s">
        <v>877</v>
      </c>
      <c r="K1015" s="8">
        <f t="shared" si="53"/>
        <v>60</v>
      </c>
      <c r="AG1015" s="86" t="s">
        <v>2284</v>
      </c>
    </row>
    <row r="1016" spans="1:33" hidden="1">
      <c r="A1016" s="134"/>
      <c r="B1016" s="132" t="s">
        <v>2644</v>
      </c>
      <c r="C1016"/>
      <c r="D1016"/>
      <c r="E1016"/>
      <c r="F1016" s="91">
        <v>3</v>
      </c>
      <c r="G1016" s="90" t="s">
        <v>877</v>
      </c>
      <c r="H1016" s="86" t="s">
        <v>1539</v>
      </c>
      <c r="I1016" s="8">
        <f>C278</f>
        <v>45</v>
      </c>
      <c r="J1016" s="2" t="s">
        <v>877</v>
      </c>
      <c r="K1016" s="8">
        <f t="shared" si="53"/>
        <v>135</v>
      </c>
      <c r="AG1016" s="86" t="s">
        <v>2284</v>
      </c>
    </row>
    <row r="1017" spans="1:33" hidden="1">
      <c r="A1017" s="134"/>
      <c r="B1017" s="132" t="s">
        <v>2645</v>
      </c>
      <c r="C1017"/>
      <c r="D1017"/>
      <c r="E1017"/>
      <c r="F1017" s="91">
        <v>1</v>
      </c>
      <c r="G1017" s="90" t="s">
        <v>877</v>
      </c>
      <c r="H1017" s="86" t="s">
        <v>2004</v>
      </c>
      <c r="I1017" s="8">
        <f>C285</f>
        <v>95</v>
      </c>
      <c r="J1017" s="2" t="s">
        <v>877</v>
      </c>
      <c r="K1017" s="8">
        <f t="shared" si="53"/>
        <v>95</v>
      </c>
      <c r="AG1017" s="86" t="s">
        <v>2284</v>
      </c>
    </row>
    <row r="1018" spans="1:33" hidden="1">
      <c r="A1018" s="134"/>
      <c r="B1018" s="132" t="s">
        <v>2646</v>
      </c>
      <c r="C1018"/>
      <c r="D1018"/>
      <c r="E1018"/>
      <c r="F1018" s="91">
        <v>1</v>
      </c>
      <c r="G1018" s="90" t="s">
        <v>877</v>
      </c>
      <c r="H1018" s="86" t="s">
        <v>2005</v>
      </c>
      <c r="I1018" s="8">
        <f>C287</f>
        <v>8</v>
      </c>
      <c r="J1018" s="2" t="s">
        <v>877</v>
      </c>
      <c r="K1018" s="8">
        <f t="shared" si="53"/>
        <v>8</v>
      </c>
      <c r="AG1018" s="86" t="s">
        <v>2284</v>
      </c>
    </row>
    <row r="1019" spans="1:33" hidden="1">
      <c r="A1019" s="134"/>
      <c r="B1019" s="132" t="s">
        <v>2837</v>
      </c>
      <c r="C1019"/>
      <c r="D1019"/>
      <c r="E1019"/>
      <c r="F1019" s="91">
        <v>1</v>
      </c>
      <c r="G1019" s="90" t="s">
        <v>877</v>
      </c>
      <c r="H1019" s="86" t="s">
        <v>2006</v>
      </c>
      <c r="I1019" s="8">
        <f>C576</f>
        <v>30</v>
      </c>
      <c r="J1019" s="2" t="s">
        <v>877</v>
      </c>
      <c r="K1019" s="8">
        <f t="shared" si="53"/>
        <v>30</v>
      </c>
      <c r="AG1019" s="86" t="s">
        <v>2284</v>
      </c>
    </row>
    <row r="1020" spans="1:33" hidden="1">
      <c r="A1020" s="134"/>
      <c r="B1020" s="132" t="s">
        <v>2838</v>
      </c>
      <c r="C1020"/>
      <c r="D1020"/>
      <c r="E1020"/>
      <c r="F1020" s="91">
        <v>1</v>
      </c>
      <c r="G1020" s="90" t="s">
        <v>877</v>
      </c>
      <c r="H1020" s="86" t="s">
        <v>2007</v>
      </c>
      <c r="I1020" s="8">
        <f>D576</f>
        <v>25</v>
      </c>
      <c r="J1020" s="2" t="s">
        <v>877</v>
      </c>
      <c r="K1020" s="8">
        <f t="shared" si="53"/>
        <v>25</v>
      </c>
      <c r="AG1020" s="86" t="s">
        <v>2284</v>
      </c>
    </row>
    <row r="1021" spans="1:33" hidden="1">
      <c r="A1021" s="134"/>
      <c r="B1021" s="132" t="s">
        <v>2839</v>
      </c>
      <c r="C1021"/>
      <c r="D1021"/>
      <c r="E1021"/>
      <c r="I1021"/>
      <c r="J1021" s="4"/>
      <c r="K1021" s="5" t="s">
        <v>1609</v>
      </c>
      <c r="AG1021" s="86" t="s">
        <v>2284</v>
      </c>
    </row>
    <row r="1022" spans="1:33" hidden="1">
      <c r="A1022" s="134"/>
      <c r="B1022" s="132" t="s">
        <v>2840</v>
      </c>
      <c r="C1022"/>
      <c r="D1022"/>
      <c r="E1022"/>
      <c r="H1022" s="102" t="s">
        <v>1540</v>
      </c>
      <c r="I1022"/>
      <c r="J1022" s="4"/>
      <c r="K1022" s="8">
        <f>SUM(K1011:K1020)</f>
        <v>2737.17</v>
      </c>
      <c r="AG1022" s="86" t="s">
        <v>2284</v>
      </c>
    </row>
    <row r="1023" spans="1:33" ht="31.5" hidden="1">
      <c r="A1023" s="134"/>
      <c r="B1023" s="132" t="s">
        <v>2841</v>
      </c>
      <c r="C1023"/>
      <c r="D1023"/>
      <c r="E1023"/>
      <c r="G1023" s="90" t="s">
        <v>987</v>
      </c>
      <c r="I1023"/>
      <c r="J1023" s="4"/>
      <c r="K1023" s="5" t="s">
        <v>1609</v>
      </c>
      <c r="AG1023" s="86" t="s">
        <v>2284</v>
      </c>
    </row>
    <row r="1024" spans="1:33" hidden="1">
      <c r="A1024" s="134"/>
      <c r="B1024" s="132" t="s">
        <v>2842</v>
      </c>
      <c r="C1024"/>
      <c r="D1024"/>
      <c r="E1024"/>
      <c r="H1024" s="102" t="s">
        <v>556</v>
      </c>
      <c r="I1024"/>
      <c r="J1024" s="4"/>
      <c r="K1024" s="8">
        <f>K1022/F1014</f>
        <v>1669.01</v>
      </c>
      <c r="AG1024" s="86" t="s">
        <v>2284</v>
      </c>
    </row>
    <row r="1025" spans="1:33" hidden="1">
      <c r="A1025" s="134"/>
      <c r="B1025" s="132" t="s">
        <v>3478</v>
      </c>
      <c r="C1025"/>
      <c r="D1025"/>
      <c r="E1025"/>
      <c r="I1025"/>
      <c r="J1025" s="4"/>
      <c r="K1025" s="5" t="s">
        <v>2080</v>
      </c>
      <c r="AG1025" s="86" t="s">
        <v>2284</v>
      </c>
    </row>
    <row r="1026" spans="1:33" hidden="1">
      <c r="A1026" s="134"/>
      <c r="B1026" s="132" t="s">
        <v>3479</v>
      </c>
      <c r="C1026"/>
      <c r="D1026"/>
      <c r="E1026"/>
      <c r="F1026" s="102" t="s">
        <v>1595</v>
      </c>
      <c r="H1026" s="86" t="s">
        <v>1359</v>
      </c>
      <c r="I1026"/>
      <c r="J1026" s="4"/>
      <c r="K1026"/>
    </row>
    <row r="1027" spans="1:33" hidden="1">
      <c r="A1027" s="134"/>
      <c r="B1027" s="132" t="s">
        <v>3480</v>
      </c>
      <c r="C1027"/>
      <c r="D1027"/>
      <c r="E1027"/>
      <c r="H1027" s="86" t="s">
        <v>1360</v>
      </c>
      <c r="I1027"/>
      <c r="J1027" s="4"/>
      <c r="K1027"/>
    </row>
    <row r="1028" spans="1:33" hidden="1">
      <c r="A1028" s="134"/>
      <c r="B1028" s="132" t="s">
        <v>3481</v>
      </c>
      <c r="C1028"/>
      <c r="D1028"/>
      <c r="E1028"/>
      <c r="H1028" s="89" t="s">
        <v>1609</v>
      </c>
      <c r="I1028"/>
      <c r="J1028" s="4"/>
      <c r="K1028"/>
    </row>
    <row r="1029" spans="1:33" hidden="1">
      <c r="A1029" s="134"/>
      <c r="B1029" s="132" t="s">
        <v>3482</v>
      </c>
      <c r="C1029"/>
      <c r="D1029"/>
      <c r="E1029"/>
      <c r="F1029" s="138">
        <v>6.6499999999999997E-3</v>
      </c>
      <c r="G1029" s="90" t="s">
        <v>1361</v>
      </c>
      <c r="H1029" s="86" t="s">
        <v>1362</v>
      </c>
      <c r="I1029" s="8">
        <f>C89</f>
        <v>57165</v>
      </c>
      <c r="J1029" s="2" t="s">
        <v>878</v>
      </c>
      <c r="K1029" s="8">
        <f t="shared" ref="K1029:K1035" si="54">(F1029*I1029)</f>
        <v>380.15</v>
      </c>
    </row>
    <row r="1030" spans="1:33" hidden="1">
      <c r="A1030" s="134"/>
      <c r="B1030" s="132" t="s">
        <v>3483</v>
      </c>
      <c r="C1030"/>
      <c r="D1030"/>
      <c r="E1030"/>
      <c r="F1030" s="138">
        <v>0.32346000000000003</v>
      </c>
      <c r="G1030" s="90" t="s">
        <v>615</v>
      </c>
      <c r="H1030" s="86" t="s">
        <v>3484</v>
      </c>
      <c r="I1030" s="8">
        <f>C271</f>
        <v>160</v>
      </c>
      <c r="J1030" s="2" t="s">
        <v>878</v>
      </c>
      <c r="K1030" s="8">
        <f t="shared" si="54"/>
        <v>51.75</v>
      </c>
    </row>
    <row r="1031" spans="1:33" ht="31.5" hidden="1">
      <c r="A1031" s="134"/>
      <c r="B1031" s="132" t="s">
        <v>3485</v>
      </c>
      <c r="C1031"/>
      <c r="D1031"/>
      <c r="E1031"/>
      <c r="F1031" s="138">
        <v>0.47660000000000002</v>
      </c>
      <c r="G1031" s="90" t="s">
        <v>615</v>
      </c>
      <c r="H1031" s="86" t="s">
        <v>2118</v>
      </c>
      <c r="I1031" s="8">
        <f>D31</f>
        <v>320</v>
      </c>
      <c r="J1031" s="2" t="s">
        <v>615</v>
      </c>
      <c r="K1031" s="8">
        <f t="shared" si="54"/>
        <v>152.51</v>
      </c>
    </row>
    <row r="1032" spans="1:33" ht="21.75" hidden="1" customHeight="1">
      <c r="A1032" s="134"/>
      <c r="B1032" s="132" t="s">
        <v>3486</v>
      </c>
      <c r="C1032"/>
      <c r="D1032"/>
      <c r="E1032"/>
      <c r="F1032" s="91">
        <v>3</v>
      </c>
      <c r="G1032" s="90" t="s">
        <v>877</v>
      </c>
      <c r="H1032" s="86" t="s">
        <v>1363</v>
      </c>
      <c r="I1032" s="8">
        <f>C281</f>
        <v>25</v>
      </c>
      <c r="J1032" s="2" t="s">
        <v>877</v>
      </c>
      <c r="K1032" s="8">
        <f t="shared" si="54"/>
        <v>75</v>
      </c>
    </row>
    <row r="1033" spans="1:33" ht="20.25" hidden="1" customHeight="1">
      <c r="A1033" s="132"/>
      <c r="B1033" s="132" t="s">
        <v>3003</v>
      </c>
      <c r="C1033"/>
      <c r="D1033"/>
      <c r="E1033"/>
      <c r="F1033" s="91">
        <v>2</v>
      </c>
      <c r="G1033" s="90" t="s">
        <v>877</v>
      </c>
      <c r="H1033" s="86" t="s">
        <v>2134</v>
      </c>
      <c r="I1033" s="8">
        <f>C284</f>
        <v>20</v>
      </c>
      <c r="J1033" s="2" t="s">
        <v>877</v>
      </c>
      <c r="K1033" s="8">
        <f t="shared" si="54"/>
        <v>40</v>
      </c>
    </row>
    <row r="1034" spans="1:33" ht="19.5" hidden="1" customHeight="1">
      <c r="A1034" s="134"/>
      <c r="B1034" s="132" t="s">
        <v>2791</v>
      </c>
      <c r="C1034"/>
      <c r="D1034"/>
      <c r="E1034"/>
      <c r="F1034" s="91">
        <v>1</v>
      </c>
      <c r="G1034" s="90" t="s">
        <v>877</v>
      </c>
      <c r="H1034" s="86" t="s">
        <v>2135</v>
      </c>
      <c r="I1034" s="8">
        <f>C303</f>
        <v>8</v>
      </c>
      <c r="J1034" s="2" t="s">
        <v>877</v>
      </c>
      <c r="K1034" s="8">
        <f t="shared" si="54"/>
        <v>8</v>
      </c>
    </row>
    <row r="1035" spans="1:33" ht="18.75" hidden="1" customHeight="1">
      <c r="A1035" s="134"/>
      <c r="B1035" s="132" t="s">
        <v>2792</v>
      </c>
      <c r="C1035"/>
      <c r="D1035"/>
      <c r="E1035"/>
      <c r="F1035" s="91">
        <v>1</v>
      </c>
      <c r="G1035" s="90" t="s">
        <v>877</v>
      </c>
      <c r="H1035" s="86" t="s">
        <v>2136</v>
      </c>
      <c r="I1035" s="8">
        <f>C291</f>
        <v>15.6</v>
      </c>
      <c r="J1035" s="2" t="s">
        <v>877</v>
      </c>
      <c r="K1035" s="8">
        <f t="shared" si="54"/>
        <v>15.6</v>
      </c>
    </row>
    <row r="1036" spans="1:33" ht="18" hidden="1" customHeight="1">
      <c r="A1036" s="134"/>
      <c r="B1036" s="132" t="s">
        <v>3005</v>
      </c>
      <c r="C1036"/>
      <c r="D1036"/>
      <c r="E1036"/>
      <c r="I1036"/>
      <c r="J1036" s="4"/>
      <c r="K1036" s="5" t="s">
        <v>1609</v>
      </c>
    </row>
    <row r="1037" spans="1:33" ht="20.25" hidden="1" customHeight="1">
      <c r="A1037" s="134"/>
      <c r="B1037" s="132" t="s">
        <v>2568</v>
      </c>
      <c r="C1037"/>
      <c r="D1037"/>
      <c r="E1037"/>
      <c r="H1037" s="102" t="s">
        <v>2137</v>
      </c>
      <c r="I1037"/>
      <c r="J1037" s="4"/>
      <c r="K1037" s="8">
        <f>SUM(K1025:K1035)</f>
        <v>723.01</v>
      </c>
    </row>
    <row r="1038" spans="1:33" ht="21.75" hidden="1" customHeight="1">
      <c r="A1038" s="134"/>
      <c r="B1038" s="132" t="s">
        <v>2569</v>
      </c>
      <c r="C1038"/>
      <c r="D1038"/>
      <c r="E1038"/>
      <c r="I1038"/>
      <c r="J1038" s="4"/>
      <c r="K1038" s="5" t="s">
        <v>1609</v>
      </c>
    </row>
    <row r="1039" spans="1:33" ht="24" hidden="1" customHeight="1">
      <c r="A1039" s="134"/>
      <c r="B1039" s="132" t="s">
        <v>2569</v>
      </c>
      <c r="C1039"/>
      <c r="D1039"/>
      <c r="E1039"/>
      <c r="H1039" s="102" t="s">
        <v>556</v>
      </c>
      <c r="I1039" s="1" t="s">
        <v>987</v>
      </c>
      <c r="J1039" s="4"/>
      <c r="K1039" s="8">
        <f>K1037/F1031</f>
        <v>1517.02</v>
      </c>
    </row>
    <row r="1040" spans="1:33" ht="31.5" hidden="1">
      <c r="A1040" s="134"/>
      <c r="B1040" s="132" t="s">
        <v>2570</v>
      </c>
      <c r="C1040"/>
      <c r="D1040"/>
      <c r="E1040"/>
      <c r="I1040"/>
      <c r="J1040" s="4"/>
      <c r="K1040" s="5" t="s">
        <v>2080</v>
      </c>
    </row>
    <row r="1041" spans="1:11" ht="31.5" hidden="1">
      <c r="A1041" s="134"/>
      <c r="B1041" s="132" t="s">
        <v>2571</v>
      </c>
      <c r="C1041"/>
      <c r="D1041"/>
      <c r="E1041"/>
      <c r="F1041" s="102" t="s">
        <v>1639</v>
      </c>
      <c r="G1041" s="90" t="s">
        <v>2276</v>
      </c>
      <c r="H1041" s="86" t="s">
        <v>1359</v>
      </c>
      <c r="I1041"/>
      <c r="J1041" s="4"/>
      <c r="K1041"/>
    </row>
    <row r="1042" spans="1:11" hidden="1">
      <c r="A1042" s="134"/>
      <c r="H1042" s="86" t="s">
        <v>715</v>
      </c>
      <c r="I1042"/>
      <c r="J1042" s="4"/>
      <c r="K1042"/>
    </row>
    <row r="1043" spans="1:11" hidden="1">
      <c r="A1043" s="134"/>
      <c r="H1043" s="89" t="s">
        <v>1609</v>
      </c>
      <c r="I1043"/>
      <c r="J1043" s="4"/>
      <c r="K1043"/>
    </row>
    <row r="1044" spans="1:11" hidden="1">
      <c r="A1044" s="134"/>
      <c r="F1044" s="138">
        <v>5.4000000000000003E-3</v>
      </c>
      <c r="G1044" s="90" t="s">
        <v>1361</v>
      </c>
      <c r="H1044" s="86" t="s">
        <v>1362</v>
      </c>
      <c r="I1044" s="8">
        <f>C89</f>
        <v>57165</v>
      </c>
      <c r="J1044" s="2" t="s">
        <v>878</v>
      </c>
      <c r="K1044" s="8">
        <f t="shared" ref="K1044:K1050" si="55">(F1044*I1044)</f>
        <v>308.69</v>
      </c>
    </row>
    <row r="1045" spans="1:11" hidden="1">
      <c r="A1045" s="134"/>
      <c r="F1045" s="138">
        <v>0.23871000000000001</v>
      </c>
      <c r="G1045" s="90" t="s">
        <v>615</v>
      </c>
      <c r="H1045" s="86" t="s">
        <v>3484</v>
      </c>
      <c r="I1045" s="8">
        <f>C271</f>
        <v>160</v>
      </c>
      <c r="J1045" s="2" t="s">
        <v>878</v>
      </c>
      <c r="K1045" s="8">
        <f t="shared" si="55"/>
        <v>38.19</v>
      </c>
    </row>
    <row r="1046" spans="1:11" hidden="1">
      <c r="A1046" s="134"/>
      <c r="F1046" s="138">
        <v>0.36199999999999999</v>
      </c>
      <c r="G1046" s="90" t="s">
        <v>615</v>
      </c>
      <c r="H1046" s="86" t="s">
        <v>2118</v>
      </c>
      <c r="I1046" s="8">
        <f>D31</f>
        <v>320</v>
      </c>
      <c r="J1046" s="2" t="s">
        <v>615</v>
      </c>
      <c r="K1046" s="8">
        <f t="shared" si="55"/>
        <v>115.84</v>
      </c>
    </row>
    <row r="1047" spans="1:11" hidden="1">
      <c r="A1047" s="134"/>
      <c r="F1047" s="91">
        <v>3</v>
      </c>
      <c r="G1047" s="90" t="s">
        <v>877</v>
      </c>
      <c r="H1047" s="86" t="s">
        <v>1363</v>
      </c>
      <c r="I1047" s="8">
        <f>C281</f>
        <v>25</v>
      </c>
      <c r="J1047" s="2" t="s">
        <v>877</v>
      </c>
      <c r="K1047" s="8">
        <f t="shared" si="55"/>
        <v>75</v>
      </c>
    </row>
    <row r="1048" spans="1:11" hidden="1">
      <c r="A1048" s="134"/>
      <c r="F1048" s="91">
        <v>2</v>
      </c>
      <c r="G1048" s="90" t="s">
        <v>877</v>
      </c>
      <c r="H1048" s="86" t="s">
        <v>2134</v>
      </c>
      <c r="I1048" s="8">
        <f>C284</f>
        <v>20</v>
      </c>
      <c r="J1048" s="2" t="s">
        <v>877</v>
      </c>
      <c r="K1048" s="8">
        <f t="shared" si="55"/>
        <v>40</v>
      </c>
    </row>
    <row r="1049" spans="1:11" hidden="1">
      <c r="A1049" s="134"/>
      <c r="F1049" s="91">
        <v>1</v>
      </c>
      <c r="G1049" s="90" t="s">
        <v>877</v>
      </c>
      <c r="H1049" s="86" t="s">
        <v>2135</v>
      </c>
      <c r="I1049" s="8">
        <f>C303</f>
        <v>8</v>
      </c>
      <c r="J1049" s="2" t="s">
        <v>877</v>
      </c>
      <c r="K1049" s="8">
        <f t="shared" si="55"/>
        <v>8</v>
      </c>
    </row>
    <row r="1050" spans="1:11" hidden="1">
      <c r="A1050" s="134"/>
      <c r="F1050" s="91">
        <v>1</v>
      </c>
      <c r="G1050" s="90" t="s">
        <v>877</v>
      </c>
      <c r="H1050" s="86" t="s">
        <v>2136</v>
      </c>
      <c r="I1050" s="8">
        <f>C291</f>
        <v>15.6</v>
      </c>
      <c r="J1050" s="2" t="s">
        <v>877</v>
      </c>
      <c r="K1050" s="8">
        <f t="shared" si="55"/>
        <v>15.6</v>
      </c>
    </row>
    <row r="1051" spans="1:11" hidden="1">
      <c r="A1051" s="134"/>
      <c r="I1051"/>
      <c r="J1051" s="4"/>
      <c r="K1051" s="5" t="s">
        <v>1609</v>
      </c>
    </row>
    <row r="1052" spans="1:11" hidden="1">
      <c r="A1052" s="134"/>
      <c r="H1052" s="102" t="s">
        <v>898</v>
      </c>
      <c r="I1052"/>
      <c r="J1052" s="4"/>
      <c r="K1052" s="8">
        <f>SUM(K1040:K1050)</f>
        <v>601.32000000000005</v>
      </c>
    </row>
    <row r="1053" spans="1:11" hidden="1">
      <c r="A1053" s="134"/>
      <c r="I1053"/>
      <c r="J1053" s="4"/>
      <c r="K1053" s="5" t="s">
        <v>1609</v>
      </c>
    </row>
    <row r="1054" spans="1:11" hidden="1">
      <c r="A1054" s="134"/>
      <c r="H1054" s="102" t="s">
        <v>556</v>
      </c>
      <c r="I1054" s="1" t="s">
        <v>987</v>
      </c>
      <c r="J1054" s="4"/>
      <c r="K1054" s="8">
        <f>K1052/F1046</f>
        <v>1661.1</v>
      </c>
    </row>
    <row r="1055" spans="1:11" hidden="1">
      <c r="A1055" s="134"/>
      <c r="I1055"/>
      <c r="J1055" s="4"/>
      <c r="K1055" s="5" t="s">
        <v>2080</v>
      </c>
    </row>
    <row r="1056" spans="1:11" hidden="1">
      <c r="A1056" s="134"/>
      <c r="F1056" s="102" t="s">
        <v>1640</v>
      </c>
      <c r="G1056" s="90" t="s">
        <v>2276</v>
      </c>
      <c r="H1056" s="86" t="s">
        <v>899</v>
      </c>
      <c r="I1056"/>
      <c r="J1056" s="4"/>
      <c r="K1056"/>
    </row>
    <row r="1057" spans="1:11" hidden="1">
      <c r="A1057" s="134"/>
      <c r="H1057" s="86" t="s">
        <v>2019</v>
      </c>
      <c r="I1057"/>
      <c r="J1057" s="4"/>
      <c r="K1057"/>
    </row>
    <row r="1058" spans="1:11" hidden="1">
      <c r="A1058" s="134"/>
      <c r="H1058" s="89" t="s">
        <v>1609</v>
      </c>
      <c r="I1058"/>
      <c r="J1058" s="4"/>
      <c r="K1058"/>
    </row>
    <row r="1059" spans="1:11" hidden="1">
      <c r="A1059" s="134"/>
      <c r="F1059" s="138">
        <v>5.3E-3</v>
      </c>
      <c r="G1059" s="90" t="s">
        <v>1361</v>
      </c>
      <c r="H1059" s="86" t="s">
        <v>1362</v>
      </c>
      <c r="I1059" s="8">
        <f>C89</f>
        <v>57165</v>
      </c>
      <c r="J1059" s="2" t="s">
        <v>878</v>
      </c>
      <c r="K1059" s="8">
        <f t="shared" ref="K1059:K1064" si="56">(F1059*I1059)</f>
        <v>302.97000000000003</v>
      </c>
    </row>
    <row r="1060" spans="1:11" hidden="1">
      <c r="A1060" s="134"/>
      <c r="F1060" s="138">
        <v>0.27450000000000002</v>
      </c>
      <c r="G1060" s="90" t="s">
        <v>615</v>
      </c>
      <c r="H1060" s="86" t="s">
        <v>3484</v>
      </c>
      <c r="I1060" s="8">
        <f>C271</f>
        <v>160</v>
      </c>
      <c r="J1060" s="2" t="s">
        <v>878</v>
      </c>
      <c r="K1060" s="8">
        <f t="shared" si="56"/>
        <v>43.92</v>
      </c>
    </row>
    <row r="1061" spans="1:11" hidden="1">
      <c r="A1061" s="134"/>
      <c r="F1061" s="138">
        <v>0.4</v>
      </c>
      <c r="G1061" s="90" t="s">
        <v>615</v>
      </c>
      <c r="H1061" s="86" t="s">
        <v>2118</v>
      </c>
      <c r="I1061" s="8">
        <f>D32</f>
        <v>267</v>
      </c>
      <c r="J1061" s="2" t="s">
        <v>615</v>
      </c>
      <c r="K1061" s="8">
        <f t="shared" si="56"/>
        <v>106.8</v>
      </c>
    </row>
    <row r="1062" spans="1:11" hidden="1">
      <c r="A1062" s="134"/>
      <c r="F1062" s="91">
        <v>2</v>
      </c>
      <c r="G1062" s="90" t="s">
        <v>2020</v>
      </c>
      <c r="H1062" s="86" t="s">
        <v>2021</v>
      </c>
      <c r="I1062" s="8">
        <f>C304</f>
        <v>8.5</v>
      </c>
      <c r="J1062" s="2" t="s">
        <v>2020</v>
      </c>
      <c r="K1062" s="8">
        <f t="shared" si="56"/>
        <v>17</v>
      </c>
    </row>
    <row r="1063" spans="1:11" hidden="1">
      <c r="A1063" s="134"/>
      <c r="F1063" s="91">
        <v>1</v>
      </c>
      <c r="G1063" s="90" t="s">
        <v>877</v>
      </c>
      <c r="H1063" s="86" t="s">
        <v>2022</v>
      </c>
      <c r="I1063" s="8">
        <f>C292</f>
        <v>12.6</v>
      </c>
      <c r="J1063" s="2" t="s">
        <v>877</v>
      </c>
      <c r="K1063" s="8">
        <f t="shared" si="56"/>
        <v>12.6</v>
      </c>
    </row>
    <row r="1064" spans="1:11" hidden="1">
      <c r="A1064" s="134"/>
      <c r="F1064" s="91">
        <v>1</v>
      </c>
      <c r="G1064" s="90" t="s">
        <v>877</v>
      </c>
      <c r="H1064" s="86" t="s">
        <v>2023</v>
      </c>
      <c r="I1064" s="8">
        <f>C290</f>
        <v>20.6</v>
      </c>
      <c r="J1064" s="2" t="s">
        <v>877</v>
      </c>
      <c r="K1064" s="8">
        <f t="shared" si="56"/>
        <v>20.6</v>
      </c>
    </row>
    <row r="1065" spans="1:11" hidden="1">
      <c r="A1065" s="134"/>
      <c r="I1065"/>
      <c r="J1065" s="4"/>
      <c r="K1065" s="5" t="s">
        <v>1609</v>
      </c>
    </row>
    <row r="1066" spans="1:11" hidden="1">
      <c r="A1066" s="134"/>
      <c r="H1066" s="102" t="s">
        <v>898</v>
      </c>
      <c r="I1066"/>
      <c r="J1066" s="4"/>
      <c r="K1066" s="8">
        <f>SUM(K1055:K1064)</f>
        <v>503.89</v>
      </c>
    </row>
    <row r="1067" spans="1:11" hidden="1">
      <c r="A1067" s="134"/>
      <c r="I1067"/>
      <c r="J1067" s="4"/>
      <c r="K1067" s="5" t="s">
        <v>1609</v>
      </c>
    </row>
    <row r="1068" spans="1:11" hidden="1">
      <c r="A1068" s="134"/>
      <c r="H1068" s="102" t="s">
        <v>556</v>
      </c>
      <c r="I1068" s="1" t="s">
        <v>987</v>
      </c>
      <c r="J1068" s="4"/>
      <c r="K1068" s="8">
        <f>K1066/F1061</f>
        <v>1259.73</v>
      </c>
    </row>
    <row r="1069" spans="1:11" hidden="1">
      <c r="A1069" s="134"/>
      <c r="F1069" s="86" t="s">
        <v>987</v>
      </c>
      <c r="I1069"/>
      <c r="J1069" s="4"/>
      <c r="K1069"/>
    </row>
    <row r="1070" spans="1:11" hidden="1">
      <c r="A1070" s="134"/>
      <c r="I1070"/>
      <c r="J1070" s="4"/>
      <c r="K1070" s="5" t="s">
        <v>2080</v>
      </c>
    </row>
    <row r="1071" spans="1:11" hidden="1">
      <c r="A1071" s="134"/>
      <c r="F1071" s="112">
        <v>22.3</v>
      </c>
      <c r="H1071" s="86" t="s">
        <v>2024</v>
      </c>
      <c r="I1071"/>
      <c r="J1071" s="4"/>
      <c r="K1071"/>
    </row>
    <row r="1072" spans="1:11" hidden="1">
      <c r="A1072" s="134"/>
      <c r="H1072" s="89" t="s">
        <v>1609</v>
      </c>
      <c r="I1072" s="5" t="s">
        <v>1609</v>
      </c>
      <c r="J1072" s="2" t="s">
        <v>1609</v>
      </c>
      <c r="K1072"/>
    </row>
    <row r="1073" spans="1:12" hidden="1">
      <c r="A1073" s="134"/>
      <c r="I1073"/>
      <c r="J1073" s="4"/>
      <c r="K1073"/>
    </row>
    <row r="1074" spans="1:12" hidden="1">
      <c r="A1074" s="134"/>
      <c r="H1074" s="86" t="s">
        <v>2025</v>
      </c>
      <c r="I1074"/>
      <c r="J1074" s="4"/>
      <c r="K1074"/>
    </row>
    <row r="1075" spans="1:12" hidden="1">
      <c r="A1075" s="134"/>
      <c r="H1075" s="86" t="s">
        <v>2026</v>
      </c>
      <c r="I1075"/>
      <c r="J1075" s="4"/>
      <c r="K1075"/>
    </row>
    <row r="1076" spans="1:12" hidden="1">
      <c r="A1076" s="134"/>
      <c r="H1076" s="86" t="s">
        <v>455</v>
      </c>
      <c r="I1076"/>
      <c r="J1076" s="4"/>
      <c r="K1076"/>
    </row>
    <row r="1077" spans="1:12" hidden="1">
      <c r="A1077" s="134"/>
      <c r="H1077" s="86" t="s">
        <v>456</v>
      </c>
      <c r="I1077"/>
      <c r="J1077" s="4"/>
      <c r="K1077"/>
    </row>
    <row r="1078" spans="1:12" hidden="1">
      <c r="A1078" s="134"/>
      <c r="H1078" s="86" t="s">
        <v>457</v>
      </c>
      <c r="I1078"/>
      <c r="J1078" s="4"/>
      <c r="K1078"/>
      <c r="L1078" s="86" t="s">
        <v>987</v>
      </c>
    </row>
    <row r="1079" spans="1:12" hidden="1">
      <c r="A1079" s="134"/>
      <c r="I1079"/>
      <c r="J1079" s="2" t="s">
        <v>987</v>
      </c>
      <c r="K1079" s="12">
        <v>3.32E-2</v>
      </c>
    </row>
    <row r="1080" spans="1:12" hidden="1">
      <c r="A1080" s="134"/>
      <c r="H1080" s="86" t="s">
        <v>2181</v>
      </c>
      <c r="I1080"/>
      <c r="J1080" s="137" t="s">
        <v>987</v>
      </c>
      <c r="K1080" s="15" t="s">
        <v>987</v>
      </c>
    </row>
    <row r="1081" spans="1:12" hidden="1">
      <c r="A1081" s="134"/>
      <c r="H1081" s="86" t="s">
        <v>1855</v>
      </c>
      <c r="I1081"/>
      <c r="J1081" s="4"/>
      <c r="K1081" s="15" t="s">
        <v>987</v>
      </c>
    </row>
    <row r="1082" spans="1:12" hidden="1">
      <c r="A1082" s="134"/>
      <c r="I1082"/>
      <c r="J1082" s="4"/>
      <c r="K1082"/>
    </row>
    <row r="1083" spans="1:12" hidden="1">
      <c r="A1083" s="134"/>
      <c r="F1083" s="138">
        <v>1.18E-2</v>
      </c>
      <c r="G1083" s="90" t="s">
        <v>878</v>
      </c>
      <c r="H1083" s="86" t="s">
        <v>698</v>
      </c>
      <c r="I1083" s="8">
        <f>C88</f>
        <v>65420</v>
      </c>
      <c r="J1083" s="2" t="s">
        <v>878</v>
      </c>
      <c r="K1083" s="8">
        <f t="shared" ref="K1083:K1092" si="57">(F1083*I1083)</f>
        <v>771.96</v>
      </c>
    </row>
    <row r="1084" spans="1:12" hidden="1">
      <c r="A1084" s="134"/>
      <c r="F1084" s="138">
        <v>3.32E-2</v>
      </c>
      <c r="G1084" s="90" t="s">
        <v>878</v>
      </c>
      <c r="H1084" s="86" t="s">
        <v>699</v>
      </c>
      <c r="I1084" s="8">
        <f>C89</f>
        <v>57165</v>
      </c>
      <c r="J1084" s="2" t="s">
        <v>878</v>
      </c>
      <c r="K1084" s="8">
        <f t="shared" si="57"/>
        <v>1897.88</v>
      </c>
    </row>
    <row r="1085" spans="1:12" hidden="1">
      <c r="A1085" s="134"/>
      <c r="F1085" s="138">
        <v>1.8550000000000001E-2</v>
      </c>
      <c r="G1085" s="90" t="s">
        <v>878</v>
      </c>
      <c r="H1085" s="86" t="s">
        <v>895</v>
      </c>
      <c r="I1085" s="8">
        <f>C30</f>
        <v>3035</v>
      </c>
      <c r="J1085" s="2" t="s">
        <v>878</v>
      </c>
      <c r="K1085" s="8">
        <f t="shared" si="57"/>
        <v>56.3</v>
      </c>
    </row>
    <row r="1086" spans="1:12" hidden="1">
      <c r="A1086" s="134"/>
      <c r="F1086" s="138">
        <v>1.46</v>
      </c>
      <c r="G1086" s="90" t="s">
        <v>615</v>
      </c>
      <c r="H1086" s="86" t="s">
        <v>896</v>
      </c>
      <c r="I1086" s="8">
        <v>385.89</v>
      </c>
      <c r="J1086" s="2" t="s">
        <v>615</v>
      </c>
      <c r="K1086" s="8">
        <f t="shared" si="57"/>
        <v>563.4</v>
      </c>
    </row>
    <row r="1087" spans="1:12" hidden="1">
      <c r="A1087" s="134"/>
      <c r="F1087" s="138">
        <v>2.0499999999999998</v>
      </c>
      <c r="G1087" s="90" t="s">
        <v>615</v>
      </c>
      <c r="H1087" s="86" t="s">
        <v>1528</v>
      </c>
      <c r="I1087" s="8">
        <f>D30</f>
        <v>287</v>
      </c>
      <c r="J1087" s="2" t="s">
        <v>615</v>
      </c>
      <c r="K1087" s="8">
        <f t="shared" si="57"/>
        <v>588.35</v>
      </c>
    </row>
    <row r="1088" spans="1:12" hidden="1">
      <c r="A1088" s="134"/>
      <c r="F1088" s="91">
        <v>2</v>
      </c>
      <c r="G1088" s="90" t="s">
        <v>877</v>
      </c>
      <c r="H1088" s="86" t="s">
        <v>1529</v>
      </c>
      <c r="I1088" s="8">
        <v>7.5</v>
      </c>
      <c r="J1088" s="2" t="s">
        <v>877</v>
      </c>
      <c r="K1088" s="8">
        <f t="shared" si="57"/>
        <v>15</v>
      </c>
    </row>
    <row r="1089" spans="1:11" hidden="1">
      <c r="A1089" s="134"/>
      <c r="F1089" s="91">
        <v>6</v>
      </c>
      <c r="G1089" s="90" t="s">
        <v>877</v>
      </c>
      <c r="H1089" s="86" t="s">
        <v>1363</v>
      </c>
      <c r="I1089" s="8">
        <f>C281</f>
        <v>25</v>
      </c>
      <c r="J1089" s="2" t="s">
        <v>877</v>
      </c>
      <c r="K1089" s="8">
        <f t="shared" si="57"/>
        <v>150</v>
      </c>
    </row>
    <row r="1090" spans="1:11" hidden="1">
      <c r="A1090" s="134"/>
      <c r="F1090" s="91">
        <v>2</v>
      </c>
      <c r="G1090" s="90" t="s">
        <v>877</v>
      </c>
      <c r="H1090" s="86" t="s">
        <v>2449</v>
      </c>
      <c r="I1090" s="8">
        <v>50</v>
      </c>
      <c r="J1090" s="2" t="s">
        <v>877</v>
      </c>
      <c r="K1090" s="8">
        <f t="shared" si="57"/>
        <v>100</v>
      </c>
    </row>
    <row r="1091" spans="1:11" hidden="1">
      <c r="A1091" s="134"/>
      <c r="F1091" s="91">
        <v>1</v>
      </c>
      <c r="G1091" s="90" t="s">
        <v>877</v>
      </c>
      <c r="H1091" s="86" t="s">
        <v>1437</v>
      </c>
      <c r="I1091" s="8">
        <v>50</v>
      </c>
      <c r="J1091" s="2" t="s">
        <v>877</v>
      </c>
      <c r="K1091" s="8">
        <f t="shared" si="57"/>
        <v>50</v>
      </c>
    </row>
    <row r="1092" spans="1:11" hidden="1">
      <c r="A1092" s="134"/>
      <c r="F1092" s="91">
        <v>2.52</v>
      </c>
      <c r="G1092" s="90" t="s">
        <v>615</v>
      </c>
      <c r="H1092" s="86" t="s">
        <v>1738</v>
      </c>
      <c r="I1092" s="8">
        <f>K1122</f>
        <v>51.25</v>
      </c>
      <c r="J1092" s="2" t="s">
        <v>615</v>
      </c>
      <c r="K1092" s="8">
        <f t="shared" si="57"/>
        <v>129.15</v>
      </c>
    </row>
    <row r="1093" spans="1:11" hidden="1">
      <c r="A1093" s="134"/>
      <c r="H1093" s="86" t="s">
        <v>1434</v>
      </c>
      <c r="I1093" s="2" t="s">
        <v>450</v>
      </c>
      <c r="J1093" s="4"/>
      <c r="K1093" s="8">
        <v>0.21</v>
      </c>
    </row>
    <row r="1094" spans="1:11" hidden="1">
      <c r="A1094" s="134"/>
      <c r="I1094"/>
      <c r="J1094" s="4"/>
      <c r="K1094" s="5" t="s">
        <v>1609</v>
      </c>
    </row>
    <row r="1095" spans="1:11" hidden="1">
      <c r="A1095" s="134"/>
      <c r="H1095" s="102" t="s">
        <v>1435</v>
      </c>
      <c r="I1095"/>
      <c r="J1095" s="4"/>
      <c r="K1095" s="8">
        <f>SUM(K1083:K1093)</f>
        <v>4322.25</v>
      </c>
    </row>
    <row r="1096" spans="1:11" hidden="1">
      <c r="A1096" s="134"/>
      <c r="G1096" s="90" t="s">
        <v>987</v>
      </c>
      <c r="I1096"/>
      <c r="J1096" s="4"/>
      <c r="K1096" s="5" t="s">
        <v>1609</v>
      </c>
    </row>
    <row r="1097" spans="1:11" hidden="1">
      <c r="A1097" s="134"/>
      <c r="H1097" s="102" t="s">
        <v>556</v>
      </c>
      <c r="I1097"/>
      <c r="J1097" s="4"/>
      <c r="K1097" s="8">
        <f>K1095/2.52</f>
        <v>1715.18</v>
      </c>
    </row>
    <row r="1098" spans="1:11" hidden="1">
      <c r="A1098" s="134"/>
      <c r="I1098"/>
      <c r="J1098" s="4"/>
      <c r="K1098" s="5" t="s">
        <v>2080</v>
      </c>
    </row>
    <row r="1099" spans="1:11" hidden="1">
      <c r="A1099" s="134"/>
      <c r="G1099" s="90" t="s">
        <v>2276</v>
      </c>
      <c r="H1099" s="86" t="s">
        <v>184</v>
      </c>
      <c r="I1099"/>
      <c r="J1099" s="4"/>
      <c r="K1099"/>
    </row>
    <row r="1100" spans="1:11" hidden="1">
      <c r="A1100" s="134"/>
      <c r="H1100" s="89" t="s">
        <v>1609</v>
      </c>
      <c r="I1100" s="5" t="s">
        <v>1609</v>
      </c>
      <c r="J1100" s="4"/>
      <c r="K1100"/>
    </row>
    <row r="1101" spans="1:11" hidden="1">
      <c r="A1101" s="134"/>
      <c r="F1101" s="91">
        <v>0.77</v>
      </c>
      <c r="G1101" s="90" t="s">
        <v>185</v>
      </c>
      <c r="H1101" s="86" t="s">
        <v>186</v>
      </c>
      <c r="I1101" s="8">
        <f>C193</f>
        <v>210</v>
      </c>
      <c r="J1101" s="2" t="s">
        <v>185</v>
      </c>
      <c r="K1101" s="8">
        <f>(F1101*I1101)</f>
        <v>161.69999999999999</v>
      </c>
    </row>
    <row r="1102" spans="1:11" hidden="1">
      <c r="A1102" s="134"/>
      <c r="F1102" s="91">
        <v>0.61</v>
      </c>
      <c r="G1102" s="90" t="s">
        <v>185</v>
      </c>
      <c r="H1102" s="86" t="s">
        <v>187</v>
      </c>
      <c r="I1102" s="8">
        <f>C192</f>
        <v>25</v>
      </c>
      <c r="J1102" s="2" t="s">
        <v>185</v>
      </c>
      <c r="K1102" s="8">
        <f>(F1102*I1102)</f>
        <v>15.25</v>
      </c>
    </row>
    <row r="1103" spans="1:11" hidden="1">
      <c r="A1103" s="134"/>
      <c r="F1103" s="91">
        <v>0.7</v>
      </c>
      <c r="G1103" s="90" t="s">
        <v>564</v>
      </c>
      <c r="H1103" s="86" t="s">
        <v>1536</v>
      </c>
      <c r="I1103" s="8">
        <f>C14</f>
        <v>120</v>
      </c>
      <c r="J1103" s="2" t="s">
        <v>1741</v>
      </c>
      <c r="K1103" s="8">
        <f>(F1103*I1103)</f>
        <v>84</v>
      </c>
    </row>
    <row r="1104" spans="1:11" hidden="1">
      <c r="A1104" s="134"/>
      <c r="F1104" s="91">
        <v>0.7</v>
      </c>
      <c r="G1104" s="90" t="s">
        <v>564</v>
      </c>
      <c r="H1104" s="86" t="s">
        <v>887</v>
      </c>
      <c r="I1104" s="8">
        <f>C12</f>
        <v>95</v>
      </c>
      <c r="J1104" s="2" t="s">
        <v>1741</v>
      </c>
      <c r="K1104" s="8">
        <f>(F1104*I1104)</f>
        <v>66.5</v>
      </c>
    </row>
    <row r="1105" spans="1:11" hidden="1">
      <c r="A1105" s="134"/>
      <c r="G1105" s="90" t="s">
        <v>450</v>
      </c>
      <c r="H1105" s="86" t="s">
        <v>1199</v>
      </c>
      <c r="I1105"/>
      <c r="J1105" s="2" t="s">
        <v>450</v>
      </c>
      <c r="K1105" s="8">
        <v>1.5</v>
      </c>
    </row>
    <row r="1106" spans="1:11" hidden="1">
      <c r="A1106" s="134"/>
      <c r="I1106"/>
      <c r="J1106" s="4"/>
      <c r="K1106" s="5" t="s">
        <v>1609</v>
      </c>
    </row>
    <row r="1107" spans="1:11" hidden="1">
      <c r="A1107" s="134"/>
      <c r="H1107" s="102" t="s">
        <v>1461</v>
      </c>
      <c r="I1107"/>
      <c r="J1107" s="4"/>
      <c r="K1107" s="8">
        <f>SUM(K1101:K1105)</f>
        <v>328.95</v>
      </c>
    </row>
    <row r="1108" spans="1:11" hidden="1">
      <c r="A1108" s="134"/>
      <c r="I1108"/>
      <c r="J1108" s="4"/>
      <c r="K1108" s="5" t="s">
        <v>1609</v>
      </c>
    </row>
    <row r="1109" spans="1:11" hidden="1">
      <c r="A1109" s="134"/>
      <c r="H1109" s="102" t="s">
        <v>556</v>
      </c>
      <c r="I1109"/>
      <c r="J1109" s="4"/>
      <c r="K1109" s="8">
        <f>(K1107/10)</f>
        <v>32.9</v>
      </c>
    </row>
    <row r="1110" spans="1:11" hidden="1">
      <c r="A1110" s="134"/>
      <c r="I1110"/>
      <c r="J1110" s="4"/>
      <c r="K1110" s="5" t="s">
        <v>2080</v>
      </c>
    </row>
    <row r="1111" spans="1:11" hidden="1">
      <c r="A1111" s="134"/>
      <c r="I1111"/>
      <c r="J1111" s="4"/>
      <c r="K1111"/>
    </row>
    <row r="1112" spans="1:11" hidden="1">
      <c r="A1112" s="134"/>
      <c r="F1112" s="86" t="s">
        <v>987</v>
      </c>
      <c r="G1112" s="90" t="s">
        <v>2276</v>
      </c>
      <c r="H1112" s="86" t="s">
        <v>1462</v>
      </c>
      <c r="I1112"/>
      <c r="J1112" s="4"/>
      <c r="K1112"/>
    </row>
    <row r="1113" spans="1:11" hidden="1">
      <c r="A1113" s="134"/>
      <c r="H1113" s="89" t="s">
        <v>1609</v>
      </c>
      <c r="I1113" s="5" t="s">
        <v>1609</v>
      </c>
      <c r="J1113" s="4"/>
      <c r="K1113"/>
    </row>
    <row r="1114" spans="1:11" hidden="1">
      <c r="A1114" s="134"/>
      <c r="F1114" s="91">
        <v>1.2</v>
      </c>
      <c r="G1114" s="90" t="s">
        <v>185</v>
      </c>
      <c r="H1114" s="86" t="s">
        <v>186</v>
      </c>
      <c r="I1114" s="8">
        <f>C193</f>
        <v>210</v>
      </c>
      <c r="J1114" s="2" t="s">
        <v>185</v>
      </c>
      <c r="K1114" s="8">
        <f>(F1114*I1114)</f>
        <v>252</v>
      </c>
    </row>
    <row r="1115" spans="1:11" hidden="1">
      <c r="A1115" s="134"/>
      <c r="F1115" s="91">
        <v>0.9</v>
      </c>
      <c r="G1115" s="90" t="s">
        <v>185</v>
      </c>
      <c r="H1115" s="86" t="s">
        <v>187</v>
      </c>
      <c r="I1115" s="8">
        <f>C192</f>
        <v>25</v>
      </c>
      <c r="J1115" s="2" t="s">
        <v>185</v>
      </c>
      <c r="K1115" s="8">
        <f>(F1115*I1115)</f>
        <v>22.5</v>
      </c>
    </row>
    <row r="1116" spans="1:11" hidden="1">
      <c r="A1116" s="134"/>
      <c r="F1116" s="91">
        <v>1.1000000000000001</v>
      </c>
      <c r="G1116" s="90" t="s">
        <v>564</v>
      </c>
      <c r="H1116" s="86" t="s">
        <v>1536</v>
      </c>
      <c r="I1116" s="8">
        <f>C14</f>
        <v>120</v>
      </c>
      <c r="J1116" s="2" t="s">
        <v>1741</v>
      </c>
      <c r="K1116" s="8">
        <f>(F1116*I1116)</f>
        <v>132</v>
      </c>
    </row>
    <row r="1117" spans="1:11" hidden="1">
      <c r="A1117" s="134"/>
      <c r="F1117" s="91">
        <v>1.1000000000000001</v>
      </c>
      <c r="G1117" s="90" t="s">
        <v>564</v>
      </c>
      <c r="H1117" s="86" t="s">
        <v>887</v>
      </c>
      <c r="I1117" s="8">
        <f>C12</f>
        <v>95</v>
      </c>
      <c r="J1117" s="2" t="s">
        <v>1741</v>
      </c>
      <c r="K1117" s="8">
        <f>(F1117*I1117)</f>
        <v>104.5</v>
      </c>
    </row>
    <row r="1118" spans="1:11" hidden="1">
      <c r="A1118" s="134"/>
      <c r="G1118" s="90" t="s">
        <v>450</v>
      </c>
      <c r="H1118" s="86" t="s">
        <v>1199</v>
      </c>
      <c r="I1118"/>
      <c r="J1118" s="2" t="s">
        <v>450</v>
      </c>
      <c r="K1118" s="8">
        <v>1.5</v>
      </c>
    </row>
    <row r="1119" spans="1:11" hidden="1">
      <c r="A1119" s="134"/>
      <c r="I1119"/>
      <c r="J1119" s="4"/>
      <c r="K1119" s="5" t="s">
        <v>1609</v>
      </c>
    </row>
    <row r="1120" spans="1:11" hidden="1">
      <c r="A1120" s="134"/>
      <c r="H1120" s="102" t="s">
        <v>1461</v>
      </c>
      <c r="I1120"/>
      <c r="J1120" s="4"/>
      <c r="K1120" s="8">
        <f>SUM(K1114:K1118)</f>
        <v>512.5</v>
      </c>
    </row>
    <row r="1121" spans="1:33" hidden="1">
      <c r="A1121" s="134"/>
      <c r="I1121"/>
      <c r="J1121" s="4"/>
      <c r="K1121" s="5" t="s">
        <v>1609</v>
      </c>
    </row>
    <row r="1122" spans="1:33" hidden="1">
      <c r="A1122" s="134"/>
      <c r="H1122" s="102" t="s">
        <v>556</v>
      </c>
      <c r="I1122"/>
      <c r="J1122" s="4"/>
      <c r="K1122" s="8">
        <f>(K1120/10)</f>
        <v>51.25</v>
      </c>
    </row>
    <row r="1123" spans="1:33" hidden="1">
      <c r="A1123" s="134"/>
      <c r="I1123"/>
      <c r="J1123" s="4"/>
      <c r="K1123" s="5" t="s">
        <v>2080</v>
      </c>
    </row>
    <row r="1124" spans="1:33" hidden="1">
      <c r="A1124" s="134"/>
      <c r="I1124"/>
      <c r="J1124" s="4"/>
      <c r="K1124"/>
    </row>
    <row r="1125" spans="1:33" hidden="1">
      <c r="A1125" s="134"/>
      <c r="F1125" s="123">
        <v>23.3</v>
      </c>
      <c r="H1125" s="87" t="s">
        <v>2312</v>
      </c>
      <c r="I1125"/>
      <c r="J1125" s="4"/>
      <c r="K1125">
        <v>35</v>
      </c>
    </row>
    <row r="1126" spans="1:33" hidden="1">
      <c r="A1126" s="134"/>
      <c r="I1126"/>
      <c r="J1126" s="4"/>
      <c r="K1126"/>
    </row>
    <row r="1127" spans="1:33" hidden="1">
      <c r="A1127" s="134"/>
      <c r="I1127"/>
      <c r="J1127" s="4"/>
      <c r="K1127"/>
    </row>
    <row r="1128" spans="1:33" hidden="1">
      <c r="A1128" s="134"/>
      <c r="F1128" s="102" t="s">
        <v>1463</v>
      </c>
      <c r="G1128" s="90" t="s">
        <v>2276</v>
      </c>
      <c r="H1128" s="86" t="s">
        <v>2441</v>
      </c>
      <c r="I1128"/>
      <c r="J1128" s="4"/>
      <c r="K1128"/>
      <c r="AG1128" s="86" t="s">
        <v>2284</v>
      </c>
    </row>
    <row r="1129" spans="1:33" hidden="1">
      <c r="A1129" s="134"/>
      <c r="H1129" s="86" t="s">
        <v>1464</v>
      </c>
      <c r="I1129"/>
      <c r="J1129" s="4"/>
      <c r="K1129"/>
      <c r="AG1129" s="86" t="s">
        <v>2284</v>
      </c>
    </row>
    <row r="1130" spans="1:33" hidden="1">
      <c r="A1130" s="134"/>
      <c r="H1130" s="89" t="s">
        <v>1609</v>
      </c>
      <c r="I1130" s="5" t="s">
        <v>1609</v>
      </c>
      <c r="J1130" s="4"/>
      <c r="K1130"/>
      <c r="AG1130" s="86" t="s">
        <v>2284</v>
      </c>
    </row>
    <row r="1131" spans="1:33" hidden="1">
      <c r="A1131" s="134"/>
      <c r="F1131" s="122">
        <v>0.53339999999999999</v>
      </c>
      <c r="G1131" s="90" t="s">
        <v>2308</v>
      </c>
      <c r="H1131" s="86" t="s">
        <v>2442</v>
      </c>
      <c r="I1131" s="8">
        <f>C271</f>
        <v>160</v>
      </c>
      <c r="J1131" s="2" t="s">
        <v>2308</v>
      </c>
      <c r="K1131" s="8">
        <f>(F1131*I1131)</f>
        <v>85.34</v>
      </c>
      <c r="AG1131" s="86" t="s">
        <v>2284</v>
      </c>
    </row>
    <row r="1132" spans="1:33" hidden="1">
      <c r="A1132" s="134"/>
      <c r="F1132" s="91">
        <v>4.24</v>
      </c>
      <c r="G1132" s="90" t="s">
        <v>835</v>
      </c>
      <c r="H1132" s="86" t="s">
        <v>711</v>
      </c>
      <c r="I1132" s="8">
        <v>13.66</v>
      </c>
      <c r="J1132" s="2" t="s">
        <v>835</v>
      </c>
      <c r="K1132" s="8">
        <f>(F1132*I1132)</f>
        <v>57.92</v>
      </c>
      <c r="AG1132" s="86" t="s">
        <v>2284</v>
      </c>
    </row>
    <row r="1133" spans="1:33" hidden="1">
      <c r="A1133" s="134"/>
      <c r="F1133" s="91">
        <v>16</v>
      </c>
      <c r="G1133" s="90" t="s">
        <v>564</v>
      </c>
      <c r="H1133" s="86" t="s">
        <v>712</v>
      </c>
      <c r="I1133" s="8">
        <v>0.5</v>
      </c>
      <c r="J1133" s="2" t="s">
        <v>1418</v>
      </c>
      <c r="K1133" s="8">
        <f>(F1133*I1133)</f>
        <v>8</v>
      </c>
      <c r="AG1133" s="86" t="s">
        <v>322</v>
      </c>
    </row>
    <row r="1134" spans="1:33" hidden="1">
      <c r="A1134" s="134"/>
      <c r="F1134" s="122">
        <v>0.53339999999999999</v>
      </c>
      <c r="G1134" s="90" t="s">
        <v>2308</v>
      </c>
      <c r="H1134" s="86" t="s">
        <v>713</v>
      </c>
      <c r="I1134" s="8">
        <f>0.25/1.08*D16</f>
        <v>31.25</v>
      </c>
      <c r="J1134" s="2" t="s">
        <v>2308</v>
      </c>
      <c r="K1134" s="8">
        <f>(F1134*I1134)</f>
        <v>16.670000000000002</v>
      </c>
    </row>
    <row r="1135" spans="1:33" hidden="1">
      <c r="A1135" s="134"/>
      <c r="G1135" s="90" t="s">
        <v>450</v>
      </c>
      <c r="H1135" s="86" t="s">
        <v>2296</v>
      </c>
      <c r="I1135"/>
      <c r="J1135" s="2" t="s">
        <v>450</v>
      </c>
      <c r="K1135" s="8">
        <v>0</v>
      </c>
    </row>
    <row r="1136" spans="1:33" hidden="1">
      <c r="A1136" s="134"/>
      <c r="H1136" s="86" t="s">
        <v>2297</v>
      </c>
      <c r="I1136"/>
      <c r="J1136" s="4"/>
      <c r="K1136"/>
      <c r="AG1136" s="86" t="s">
        <v>2284</v>
      </c>
    </row>
    <row r="1137" spans="1:33" hidden="1">
      <c r="A1137" s="134"/>
      <c r="I1137"/>
      <c r="J1137" s="4"/>
      <c r="K1137" s="5" t="s">
        <v>1609</v>
      </c>
      <c r="AG1137" s="86" t="s">
        <v>2284</v>
      </c>
    </row>
    <row r="1138" spans="1:33" hidden="1">
      <c r="A1138" s="134"/>
      <c r="H1138" s="102" t="s">
        <v>1719</v>
      </c>
      <c r="I1138"/>
      <c r="J1138" s="4"/>
      <c r="K1138" s="8">
        <f>SUM(K1131:K1135)</f>
        <v>167.93</v>
      </c>
      <c r="AG1138" s="86" t="s">
        <v>2284</v>
      </c>
    </row>
    <row r="1139" spans="1:33" hidden="1">
      <c r="A1139" s="134"/>
      <c r="I1139"/>
      <c r="J1139" s="4"/>
      <c r="K1139" s="5" t="s">
        <v>1609</v>
      </c>
      <c r="AG1139" s="86" t="s">
        <v>2284</v>
      </c>
    </row>
    <row r="1140" spans="1:33" hidden="1">
      <c r="A1140" s="134"/>
      <c r="H1140" s="102" t="s">
        <v>1720</v>
      </c>
      <c r="I1140"/>
      <c r="J1140" s="4"/>
      <c r="K1140" s="8">
        <f>ROUND(K1138/0.5334,1)</f>
        <v>314.8</v>
      </c>
      <c r="AG1140" s="86" t="s">
        <v>2284</v>
      </c>
    </row>
    <row r="1141" spans="1:33" hidden="1">
      <c r="A1141" s="134"/>
      <c r="F1141" s="86" t="s">
        <v>987</v>
      </c>
      <c r="I1141"/>
      <c r="J1141" s="4"/>
      <c r="K1141" s="5" t="s">
        <v>2080</v>
      </c>
    </row>
    <row r="1142" spans="1:33" hidden="1">
      <c r="A1142" s="134"/>
      <c r="F1142" s="86" t="s">
        <v>987</v>
      </c>
      <c r="G1142" s="90" t="s">
        <v>987</v>
      </c>
      <c r="H1142" s="86" t="s">
        <v>987</v>
      </c>
      <c r="I1142"/>
      <c r="J1142" s="4"/>
      <c r="K1142"/>
    </row>
    <row r="1143" spans="1:33" hidden="1">
      <c r="A1143" s="134"/>
      <c r="F1143" s="102" t="s">
        <v>1823</v>
      </c>
      <c r="G1143" s="90" t="s">
        <v>2276</v>
      </c>
      <c r="H1143" s="86" t="s">
        <v>1514</v>
      </c>
      <c r="I1143"/>
      <c r="J1143" s="4"/>
      <c r="K1143"/>
      <c r="AG1143" s="86" t="s">
        <v>2284</v>
      </c>
    </row>
    <row r="1144" spans="1:33" hidden="1">
      <c r="A1144" s="134"/>
      <c r="H1144" s="86" t="s">
        <v>1515</v>
      </c>
      <c r="I1144"/>
      <c r="J1144" s="4"/>
      <c r="K1144"/>
      <c r="AG1144" s="86" t="s">
        <v>2284</v>
      </c>
    </row>
    <row r="1145" spans="1:33" hidden="1">
      <c r="A1145" s="134"/>
      <c r="H1145" s="89" t="s">
        <v>1609</v>
      </c>
      <c r="I1145"/>
      <c r="J1145" s="4"/>
      <c r="K1145"/>
      <c r="AG1145" s="86" t="s">
        <v>2284</v>
      </c>
    </row>
    <row r="1146" spans="1:33" hidden="1">
      <c r="A1146" s="134"/>
      <c r="F1146" s="91">
        <v>1</v>
      </c>
      <c r="G1146" s="90" t="s">
        <v>1670</v>
      </c>
      <c r="H1146" s="86" t="s">
        <v>2443</v>
      </c>
      <c r="I1146" s="8">
        <f>(C638)</f>
        <v>37</v>
      </c>
      <c r="J1146" s="2" t="s">
        <v>1670</v>
      </c>
      <c r="K1146" s="8">
        <f>(F1146*I1146)</f>
        <v>37</v>
      </c>
      <c r="AG1146" s="86" t="s">
        <v>2284</v>
      </c>
    </row>
    <row r="1147" spans="1:33" hidden="1">
      <c r="A1147" s="134"/>
      <c r="I1147"/>
      <c r="J1147" s="4"/>
      <c r="K1147" s="5" t="s">
        <v>2080</v>
      </c>
      <c r="AG1147" s="86" t="s">
        <v>2284</v>
      </c>
    </row>
    <row r="1148" spans="1:33" hidden="1">
      <c r="A1148" s="134"/>
      <c r="I1148"/>
      <c r="J1148" s="4"/>
      <c r="K1148"/>
      <c r="AG1148" s="86" t="s">
        <v>2284</v>
      </c>
    </row>
    <row r="1149" spans="1:33" hidden="1">
      <c r="A1149" s="134"/>
      <c r="F1149" s="102" t="s">
        <v>446</v>
      </c>
      <c r="G1149" s="90" t="s">
        <v>2276</v>
      </c>
      <c r="H1149" s="86" t="s">
        <v>261</v>
      </c>
      <c r="I1149" s="1" t="s">
        <v>987</v>
      </c>
      <c r="J1149" s="2" t="s">
        <v>1741</v>
      </c>
      <c r="K1149" s="8">
        <v>3.7</v>
      </c>
      <c r="AG1149" s="86" t="s">
        <v>2284</v>
      </c>
    </row>
    <row r="1150" spans="1:33" hidden="1">
      <c r="A1150" s="134"/>
      <c r="H1150" s="86" t="s">
        <v>262</v>
      </c>
      <c r="I1150"/>
      <c r="J1150" s="4"/>
      <c r="K1150" s="5" t="s">
        <v>2080</v>
      </c>
      <c r="AG1150" s="86" t="s">
        <v>2284</v>
      </c>
    </row>
    <row r="1151" spans="1:33" hidden="1">
      <c r="A1151" s="134"/>
      <c r="I1151"/>
      <c r="J1151" s="4"/>
      <c r="K1151"/>
      <c r="AG1151" s="86" t="s">
        <v>2284</v>
      </c>
    </row>
    <row r="1152" spans="1:33" hidden="1">
      <c r="A1152" s="134"/>
      <c r="F1152" s="102" t="s">
        <v>228</v>
      </c>
      <c r="G1152" s="90" t="s">
        <v>2276</v>
      </c>
      <c r="H1152" s="86" t="s">
        <v>1947</v>
      </c>
      <c r="I1152"/>
      <c r="J1152" s="4"/>
      <c r="K1152"/>
      <c r="AG1152" s="86" t="s">
        <v>2284</v>
      </c>
    </row>
    <row r="1153" spans="1:33" hidden="1">
      <c r="A1153" s="134"/>
      <c r="H1153" s="86" t="s">
        <v>943</v>
      </c>
      <c r="I1153"/>
      <c r="J1153" s="4"/>
      <c r="K1153"/>
      <c r="AG1153" s="86" t="s">
        <v>2284</v>
      </c>
    </row>
    <row r="1154" spans="1:33" hidden="1">
      <c r="A1154" s="134"/>
      <c r="H1154" s="89" t="s">
        <v>1609</v>
      </c>
      <c r="I1154"/>
      <c r="J1154" s="4"/>
      <c r="K1154"/>
      <c r="AG1154" s="86" t="s">
        <v>2284</v>
      </c>
    </row>
    <row r="1155" spans="1:33" hidden="1">
      <c r="A1155" s="134"/>
      <c r="F1155" s="91">
        <v>0.22</v>
      </c>
      <c r="G1155" s="90" t="s">
        <v>878</v>
      </c>
      <c r="H1155" s="86" t="s">
        <v>1327</v>
      </c>
      <c r="I1155" s="8" t="e">
        <f>(K40)</f>
        <v>#REF!</v>
      </c>
      <c r="J1155" s="2" t="s">
        <v>878</v>
      </c>
      <c r="K1155" s="8" t="e">
        <f>(F1155*I1155)</f>
        <v>#REF!</v>
      </c>
      <c r="AG1155" s="86" t="s">
        <v>2284</v>
      </c>
    </row>
    <row r="1156" spans="1:33" hidden="1">
      <c r="A1156" s="134"/>
      <c r="F1156" s="91">
        <v>2.2000000000000002</v>
      </c>
      <c r="G1156" s="90" t="s">
        <v>778</v>
      </c>
      <c r="H1156" s="86" t="s">
        <v>2034</v>
      </c>
      <c r="I1156" s="8">
        <f>(C10)</f>
        <v>150</v>
      </c>
      <c r="J1156" s="2" t="s">
        <v>778</v>
      </c>
      <c r="K1156" s="8">
        <f>(F1156*I1156)</f>
        <v>330</v>
      </c>
      <c r="AG1156" s="86" t="s">
        <v>2284</v>
      </c>
    </row>
    <row r="1157" spans="1:33" hidden="1">
      <c r="A1157" s="134"/>
      <c r="F1157" s="91">
        <v>0.5</v>
      </c>
      <c r="G1157" s="90" t="s">
        <v>778</v>
      </c>
      <c r="H1157" s="86" t="s">
        <v>944</v>
      </c>
      <c r="I1157" s="8">
        <f>(C12)</f>
        <v>95</v>
      </c>
      <c r="J1157" s="2" t="s">
        <v>778</v>
      </c>
      <c r="K1157" s="8">
        <f>(F1157*I1157)</f>
        <v>47.5</v>
      </c>
      <c r="AG1157" s="86" t="s">
        <v>2284</v>
      </c>
    </row>
    <row r="1158" spans="1:33" hidden="1">
      <c r="A1158" s="134"/>
      <c r="F1158" s="91">
        <v>3.2</v>
      </c>
      <c r="G1158" s="90" t="s">
        <v>778</v>
      </c>
      <c r="H1158" s="86" t="s">
        <v>321</v>
      </c>
      <c r="I1158" s="8">
        <f>(C13)</f>
        <v>85</v>
      </c>
      <c r="J1158" s="2" t="s">
        <v>778</v>
      </c>
      <c r="K1158" s="8">
        <f>(F1158*I1158)</f>
        <v>272</v>
      </c>
      <c r="AG1158" s="86" t="s">
        <v>2284</v>
      </c>
    </row>
    <row r="1159" spans="1:33" hidden="1">
      <c r="A1159" s="134"/>
      <c r="G1159" s="90" t="s">
        <v>450</v>
      </c>
      <c r="H1159" s="86" t="s">
        <v>451</v>
      </c>
      <c r="I1159" s="1" t="s">
        <v>987</v>
      </c>
      <c r="J1159" s="2" t="s">
        <v>450</v>
      </c>
      <c r="K1159" s="8">
        <v>0</v>
      </c>
      <c r="AG1159" s="86" t="s">
        <v>2284</v>
      </c>
    </row>
    <row r="1160" spans="1:33" hidden="1">
      <c r="A1160" s="134"/>
      <c r="I1160"/>
      <c r="J1160" s="4"/>
      <c r="K1160" s="5" t="s">
        <v>1609</v>
      </c>
      <c r="AG1160" s="86" t="s">
        <v>2284</v>
      </c>
    </row>
    <row r="1161" spans="1:33" hidden="1">
      <c r="A1161" s="134"/>
      <c r="H1161" s="86" t="s">
        <v>442</v>
      </c>
      <c r="I1161"/>
      <c r="J1161" s="4"/>
      <c r="K1161" s="8" t="e">
        <f>SUM(K1155:K1159)</f>
        <v>#REF!</v>
      </c>
      <c r="AG1161" s="86" t="s">
        <v>2284</v>
      </c>
    </row>
    <row r="1162" spans="1:33" hidden="1">
      <c r="A1162" s="134"/>
      <c r="I1162"/>
      <c r="J1162" s="4"/>
      <c r="K1162" s="5" t="s">
        <v>1609</v>
      </c>
      <c r="AG1162" s="86" t="s">
        <v>2284</v>
      </c>
    </row>
    <row r="1163" spans="1:33" hidden="1">
      <c r="A1163" s="134"/>
      <c r="H1163" s="86" t="s">
        <v>556</v>
      </c>
      <c r="I1163"/>
      <c r="J1163" s="4"/>
      <c r="K1163" s="8" t="e">
        <f>(K1161/10)</f>
        <v>#REF!</v>
      </c>
      <c r="AG1163" s="86" t="s">
        <v>2284</v>
      </c>
    </row>
    <row r="1164" spans="1:33" hidden="1">
      <c r="A1164" s="134"/>
      <c r="I1164"/>
      <c r="J1164" s="4"/>
      <c r="K1164" s="5" t="s">
        <v>2080</v>
      </c>
      <c r="AG1164" s="86" t="s">
        <v>2284</v>
      </c>
    </row>
    <row r="1165" spans="1:33" hidden="1">
      <c r="A1165" s="134"/>
      <c r="F1165" s="102" t="s">
        <v>945</v>
      </c>
      <c r="G1165" s="90" t="s">
        <v>2276</v>
      </c>
      <c r="H1165" s="86" t="s">
        <v>1869</v>
      </c>
      <c r="I1165"/>
      <c r="J1165" s="4"/>
      <c r="K1165"/>
      <c r="AG1165" s="86" t="s">
        <v>2284</v>
      </c>
    </row>
    <row r="1166" spans="1:33" hidden="1">
      <c r="A1166" s="134"/>
      <c r="H1166" s="86" t="s">
        <v>1897</v>
      </c>
      <c r="I1166"/>
      <c r="J1166" s="4"/>
      <c r="K1166"/>
      <c r="AG1166" s="86" t="s">
        <v>2284</v>
      </c>
    </row>
    <row r="1167" spans="1:33" hidden="1">
      <c r="A1167" s="134"/>
      <c r="H1167" s="89" t="s">
        <v>1609</v>
      </c>
      <c r="I1167"/>
      <c r="J1167" s="4"/>
      <c r="K1167"/>
      <c r="AG1167" s="86" t="s">
        <v>2284</v>
      </c>
    </row>
    <row r="1168" spans="1:33" hidden="1">
      <c r="A1168" s="134"/>
      <c r="F1168" s="91">
        <v>160</v>
      </c>
      <c r="G1168" s="90" t="s">
        <v>1898</v>
      </c>
      <c r="H1168" s="86" t="s">
        <v>1899</v>
      </c>
      <c r="I1168" s="8">
        <f>(C136)</f>
        <v>8240</v>
      </c>
      <c r="J1168" s="2" t="s">
        <v>1503</v>
      </c>
      <c r="K1168" s="8">
        <f>(F1168*I1168)/1000</f>
        <v>1318.4</v>
      </c>
      <c r="AG1168" s="86" t="s">
        <v>322</v>
      </c>
    </row>
    <row r="1169" spans="1:33" hidden="1">
      <c r="A1169" s="134"/>
      <c r="H1169" s="86" t="s">
        <v>1900</v>
      </c>
      <c r="I1169" s="1" t="s">
        <v>987</v>
      </c>
      <c r="J1169" s="4"/>
      <c r="K1169" s="1" t="s">
        <v>987</v>
      </c>
    </row>
    <row r="1170" spans="1:33" hidden="1">
      <c r="A1170" s="134"/>
      <c r="F1170" s="91">
        <v>0.21</v>
      </c>
      <c r="G1170" s="90" t="s">
        <v>878</v>
      </c>
      <c r="H1170" s="86" t="s">
        <v>1901</v>
      </c>
      <c r="I1170" s="8" t="e">
        <f>(K32)</f>
        <v>#REF!</v>
      </c>
      <c r="J1170" s="2" t="s">
        <v>878</v>
      </c>
      <c r="K1170" s="8" t="e">
        <f>(F1170*I1170)</f>
        <v>#REF!</v>
      </c>
    </row>
    <row r="1171" spans="1:33" hidden="1">
      <c r="A1171" s="134"/>
      <c r="H1171" s="86" t="s">
        <v>1902</v>
      </c>
      <c r="I1171" s="1" t="s">
        <v>987</v>
      </c>
      <c r="J1171" s="4"/>
      <c r="K1171" s="1" t="s">
        <v>987</v>
      </c>
      <c r="AG1171" s="86" t="s">
        <v>2284</v>
      </c>
    </row>
    <row r="1172" spans="1:33" hidden="1">
      <c r="A1172" s="134"/>
      <c r="F1172" s="91">
        <v>1.1000000000000001</v>
      </c>
      <c r="G1172" s="90" t="s">
        <v>778</v>
      </c>
      <c r="H1172" s="86" t="s">
        <v>2034</v>
      </c>
      <c r="I1172" s="8">
        <f>(C10)</f>
        <v>150</v>
      </c>
      <c r="J1172" s="2" t="s">
        <v>778</v>
      </c>
      <c r="K1172" s="8">
        <f>(F1172*I1172)</f>
        <v>165</v>
      </c>
      <c r="AG1172" s="86" t="s">
        <v>2284</v>
      </c>
    </row>
    <row r="1173" spans="1:33" hidden="1">
      <c r="A1173" s="134"/>
      <c r="F1173" s="91">
        <v>1.1000000000000001</v>
      </c>
      <c r="G1173" s="90" t="s">
        <v>778</v>
      </c>
      <c r="H1173" s="86" t="s">
        <v>1737</v>
      </c>
      <c r="I1173" s="8">
        <f>(C11)</f>
        <v>135</v>
      </c>
      <c r="J1173" s="2" t="s">
        <v>778</v>
      </c>
      <c r="K1173" s="8">
        <f>(F1173*I1173)</f>
        <v>148.5</v>
      </c>
      <c r="AG1173" s="86" t="s">
        <v>2284</v>
      </c>
    </row>
    <row r="1174" spans="1:33" hidden="1">
      <c r="A1174" s="134"/>
      <c r="F1174" s="91">
        <v>2.2000000000000002</v>
      </c>
      <c r="G1174" s="90" t="s">
        <v>778</v>
      </c>
      <c r="H1174" s="86" t="s">
        <v>1927</v>
      </c>
      <c r="I1174" s="8">
        <f>(C12)</f>
        <v>95</v>
      </c>
      <c r="J1174" s="2" t="s">
        <v>778</v>
      </c>
      <c r="K1174" s="8">
        <f>(F1174*I1174)</f>
        <v>209</v>
      </c>
      <c r="AG1174" s="86" t="s">
        <v>2284</v>
      </c>
    </row>
    <row r="1175" spans="1:33" hidden="1">
      <c r="A1175" s="134"/>
      <c r="F1175" s="91">
        <v>2.2000000000000002</v>
      </c>
      <c r="G1175" s="90" t="s">
        <v>778</v>
      </c>
      <c r="H1175" s="86" t="s">
        <v>321</v>
      </c>
      <c r="I1175" s="8">
        <f>(C13)</f>
        <v>85</v>
      </c>
      <c r="J1175" s="2" t="s">
        <v>778</v>
      </c>
      <c r="K1175" s="8">
        <f>(F1175*I1175)</f>
        <v>187</v>
      </c>
      <c r="AG1175" s="86" t="s">
        <v>2284</v>
      </c>
    </row>
    <row r="1176" spans="1:33" hidden="1">
      <c r="A1176" s="134"/>
      <c r="F1176" s="111">
        <v>22</v>
      </c>
      <c r="G1176" s="90" t="s">
        <v>1670</v>
      </c>
      <c r="H1176" s="86" t="s">
        <v>871</v>
      </c>
      <c r="I1176" s="8">
        <f>(C67)</f>
        <v>3800</v>
      </c>
      <c r="J1176" s="2" t="s">
        <v>870</v>
      </c>
      <c r="K1176" s="8">
        <f>(F1176*I1176)/1000</f>
        <v>83.6</v>
      </c>
      <c r="AG1176" s="86" t="s">
        <v>2284</v>
      </c>
    </row>
    <row r="1177" spans="1:33" hidden="1">
      <c r="A1177" s="134"/>
      <c r="F1177" s="91">
        <v>1.6</v>
      </c>
      <c r="G1177" s="90" t="s">
        <v>778</v>
      </c>
      <c r="H1177" s="86" t="s">
        <v>1737</v>
      </c>
      <c r="I1177" s="8">
        <f>(C11)</f>
        <v>135</v>
      </c>
      <c r="J1177" s="2" t="s">
        <v>778</v>
      </c>
      <c r="K1177" s="8">
        <f>(F1177*I1177)</f>
        <v>216</v>
      </c>
      <c r="AG1177" s="86" t="s">
        <v>2284</v>
      </c>
    </row>
    <row r="1178" spans="1:33" hidden="1">
      <c r="A1178" s="134"/>
      <c r="F1178" s="91">
        <v>0.5</v>
      </c>
      <c r="G1178" s="90" t="s">
        <v>778</v>
      </c>
      <c r="H1178" s="86" t="s">
        <v>1927</v>
      </c>
      <c r="I1178" s="8">
        <f>(C12)</f>
        <v>95</v>
      </c>
      <c r="J1178" s="2" t="s">
        <v>778</v>
      </c>
      <c r="K1178" s="8">
        <f>(F1178*I1178)</f>
        <v>47.5</v>
      </c>
      <c r="AG1178" s="86" t="s">
        <v>2284</v>
      </c>
    </row>
    <row r="1179" spans="1:33" hidden="1">
      <c r="A1179" s="134"/>
      <c r="F1179" s="91">
        <v>1.1000000000000001</v>
      </c>
      <c r="G1179" s="90" t="s">
        <v>778</v>
      </c>
      <c r="H1179" s="86" t="s">
        <v>321</v>
      </c>
      <c r="I1179" s="8">
        <f>(C13)</f>
        <v>85</v>
      </c>
      <c r="J1179" s="2" t="s">
        <v>778</v>
      </c>
      <c r="K1179" s="8">
        <f>(F1179*I1179)</f>
        <v>93.5</v>
      </c>
      <c r="AG1179" s="86" t="s">
        <v>2284</v>
      </c>
    </row>
    <row r="1180" spans="1:33" hidden="1">
      <c r="A1180" s="134"/>
      <c r="F1180" s="86" t="s">
        <v>248</v>
      </c>
      <c r="H1180" s="86" t="s">
        <v>1903</v>
      </c>
      <c r="I1180" s="1" t="s">
        <v>987</v>
      </c>
      <c r="J1180" s="4"/>
      <c r="K1180" s="1" t="s">
        <v>987</v>
      </c>
      <c r="AG1180" s="86" t="s">
        <v>2284</v>
      </c>
    </row>
    <row r="1181" spans="1:33" hidden="1">
      <c r="A1181" s="134"/>
      <c r="F1181" s="91">
        <v>1</v>
      </c>
      <c r="G1181" s="90" t="s">
        <v>450</v>
      </c>
      <c r="H1181" s="86" t="s">
        <v>1904</v>
      </c>
      <c r="I1181" s="8">
        <f>(C57)</f>
        <v>35</v>
      </c>
      <c r="J1181" s="2" t="s">
        <v>450</v>
      </c>
      <c r="K1181" s="8">
        <f>(F1181*I1181)</f>
        <v>35</v>
      </c>
      <c r="AG1181" s="86" t="s">
        <v>2284</v>
      </c>
    </row>
    <row r="1182" spans="1:33" hidden="1">
      <c r="A1182" s="134"/>
      <c r="F1182" s="91">
        <v>1</v>
      </c>
      <c r="G1182" s="90" t="s">
        <v>450</v>
      </c>
      <c r="H1182" s="86" t="s">
        <v>1905</v>
      </c>
      <c r="I1182" s="8">
        <f>(C58)</f>
        <v>15</v>
      </c>
      <c r="J1182" s="2" t="s">
        <v>450</v>
      </c>
      <c r="K1182" s="8">
        <f>(F1182*I1182)</f>
        <v>15</v>
      </c>
      <c r="AG1182" s="86" t="s">
        <v>2284</v>
      </c>
    </row>
    <row r="1183" spans="1:33" hidden="1">
      <c r="A1183" s="134"/>
      <c r="F1183" s="91">
        <v>1</v>
      </c>
      <c r="G1183" s="90" t="s">
        <v>450</v>
      </c>
      <c r="H1183" s="86" t="s">
        <v>179</v>
      </c>
      <c r="I1183" s="8">
        <f>(C28)</f>
        <v>58.33</v>
      </c>
      <c r="J1183" s="2" t="s">
        <v>450</v>
      </c>
      <c r="K1183" s="8">
        <f>(F1183*I1183)</f>
        <v>58.33</v>
      </c>
      <c r="AG1183" s="86" t="s">
        <v>2284</v>
      </c>
    </row>
    <row r="1184" spans="1:33" hidden="1">
      <c r="A1184" s="134"/>
      <c r="F1184" s="91">
        <v>1.1000000000000001</v>
      </c>
      <c r="G1184" s="90" t="s">
        <v>778</v>
      </c>
      <c r="H1184" s="86" t="s">
        <v>865</v>
      </c>
      <c r="I1184" s="8">
        <f>(C29)</f>
        <v>120</v>
      </c>
      <c r="J1184" s="2" t="s">
        <v>778</v>
      </c>
      <c r="K1184" s="8">
        <f>(F1184*I1184)</f>
        <v>132</v>
      </c>
      <c r="AG1184" s="86" t="s">
        <v>2284</v>
      </c>
    </row>
    <row r="1185" spans="1:33" hidden="1">
      <c r="A1185" s="134"/>
      <c r="F1185" s="91">
        <v>2.2000000000000002</v>
      </c>
      <c r="G1185" s="90" t="s">
        <v>778</v>
      </c>
      <c r="H1185" s="86" t="s">
        <v>866</v>
      </c>
      <c r="I1185" s="8">
        <f>(C13)</f>
        <v>85</v>
      </c>
      <c r="J1185" s="2" t="s">
        <v>778</v>
      </c>
      <c r="K1185" s="8">
        <f>(F1185*I1185)</f>
        <v>187</v>
      </c>
      <c r="AG1185" s="86" t="s">
        <v>2284</v>
      </c>
    </row>
    <row r="1186" spans="1:33" hidden="1">
      <c r="A1186" s="134"/>
      <c r="G1186" s="90" t="s">
        <v>450</v>
      </c>
      <c r="H1186" s="86" t="s">
        <v>451</v>
      </c>
      <c r="I1186"/>
      <c r="J1186" s="2" t="s">
        <v>450</v>
      </c>
      <c r="K1186" s="8">
        <v>0</v>
      </c>
      <c r="AG1186" s="86" t="s">
        <v>2284</v>
      </c>
    </row>
    <row r="1187" spans="1:33" hidden="1">
      <c r="A1187" s="134"/>
      <c r="I1187"/>
      <c r="J1187" s="4"/>
      <c r="K1187" s="5" t="s">
        <v>1609</v>
      </c>
      <c r="AG1187" s="86" t="s">
        <v>2284</v>
      </c>
    </row>
    <row r="1188" spans="1:33" hidden="1">
      <c r="A1188" s="134"/>
      <c r="H1188" s="86" t="s">
        <v>442</v>
      </c>
      <c r="I1188"/>
      <c r="J1188" s="4"/>
      <c r="K1188" s="8" t="e">
        <f>SUM(K1168:K1186)</f>
        <v>#REF!</v>
      </c>
      <c r="AG1188" s="86" t="s">
        <v>2284</v>
      </c>
    </row>
    <row r="1189" spans="1:33" hidden="1">
      <c r="A1189" s="134"/>
      <c r="I1189"/>
      <c r="J1189" s="4"/>
      <c r="K1189" s="5" t="s">
        <v>1609</v>
      </c>
      <c r="AG1189" s="86" t="s">
        <v>2284</v>
      </c>
    </row>
    <row r="1190" spans="1:33" hidden="1">
      <c r="A1190" s="134"/>
      <c r="F1190" s="86" t="s">
        <v>987</v>
      </c>
      <c r="I1190"/>
      <c r="J1190" s="4"/>
      <c r="K1190"/>
    </row>
    <row r="1191" spans="1:33" hidden="1">
      <c r="A1191" s="134"/>
      <c r="H1191" s="86" t="s">
        <v>556</v>
      </c>
      <c r="I1191"/>
      <c r="J1191" s="4"/>
      <c r="K1191" s="8" t="e">
        <f>(K1188/10)</f>
        <v>#REF!</v>
      </c>
      <c r="AG1191" s="86" t="s">
        <v>2284</v>
      </c>
    </row>
    <row r="1192" spans="1:33" hidden="1">
      <c r="A1192" s="134"/>
      <c r="F1192" s="86" t="s">
        <v>987</v>
      </c>
      <c r="I1192"/>
      <c r="J1192" s="4"/>
      <c r="K1192"/>
    </row>
    <row r="1193" spans="1:33" hidden="1">
      <c r="A1193" s="134"/>
      <c r="I1193"/>
      <c r="J1193" s="4"/>
      <c r="K1193" s="5" t="s">
        <v>2080</v>
      </c>
      <c r="AG1193" s="86" t="s">
        <v>2284</v>
      </c>
    </row>
    <row r="1194" spans="1:33" hidden="1">
      <c r="A1194" s="134"/>
      <c r="F1194" s="112">
        <v>29.5</v>
      </c>
      <c r="G1194" s="90" t="s">
        <v>2276</v>
      </c>
      <c r="H1194" s="86" t="s">
        <v>1838</v>
      </c>
      <c r="I1194"/>
      <c r="J1194" s="4"/>
      <c r="K1194"/>
      <c r="AG1194" s="86" t="s">
        <v>2284</v>
      </c>
    </row>
    <row r="1195" spans="1:33" hidden="1">
      <c r="A1195" s="134"/>
      <c r="H1195" s="86" t="s">
        <v>867</v>
      </c>
      <c r="I1195"/>
      <c r="J1195" s="4"/>
      <c r="K1195"/>
      <c r="AG1195" s="86" t="s">
        <v>2284</v>
      </c>
    </row>
    <row r="1196" spans="1:33" hidden="1">
      <c r="A1196" s="134"/>
      <c r="H1196" s="86" t="s">
        <v>1961</v>
      </c>
      <c r="I1196"/>
      <c r="J1196" s="4"/>
      <c r="K1196"/>
      <c r="AG1196" s="86" t="s">
        <v>2284</v>
      </c>
    </row>
    <row r="1197" spans="1:33" hidden="1">
      <c r="A1197" s="134"/>
      <c r="H1197" s="89" t="s">
        <v>1609</v>
      </c>
      <c r="I1197" s="5" t="s">
        <v>1609</v>
      </c>
      <c r="J1197" s="4"/>
      <c r="K1197"/>
      <c r="AG1197" s="86" t="s">
        <v>2284</v>
      </c>
    </row>
    <row r="1198" spans="1:33" hidden="1">
      <c r="A1198" s="134"/>
      <c r="F1198" s="91">
        <v>10</v>
      </c>
      <c r="G1198" s="90" t="s">
        <v>615</v>
      </c>
      <c r="H1198" s="86" t="s">
        <v>1962</v>
      </c>
      <c r="I1198" s="8">
        <f>(C579)</f>
        <v>301</v>
      </c>
      <c r="J1198" s="2" t="s">
        <v>615</v>
      </c>
      <c r="K1198" s="8">
        <f>(F1198*I1198)</f>
        <v>3010</v>
      </c>
      <c r="AG1198" s="86" t="s">
        <v>2284</v>
      </c>
    </row>
    <row r="1199" spans="1:33" hidden="1">
      <c r="A1199" s="134"/>
      <c r="F1199" s="91">
        <v>0.21</v>
      </c>
      <c r="G1199" s="90" t="s">
        <v>878</v>
      </c>
      <c r="H1199" s="86" t="s">
        <v>1901</v>
      </c>
      <c r="I1199" s="8" t="e">
        <f>(K32)</f>
        <v>#REF!</v>
      </c>
      <c r="J1199" s="2" t="s">
        <v>878</v>
      </c>
      <c r="K1199" s="8" t="e">
        <f>(F1199*I1199)</f>
        <v>#REF!</v>
      </c>
      <c r="AG1199" s="86" t="s">
        <v>2284</v>
      </c>
    </row>
    <row r="1200" spans="1:33" hidden="1">
      <c r="A1200" s="134"/>
      <c r="H1200" s="86" t="s">
        <v>1902</v>
      </c>
      <c r="I1200" s="1" t="s">
        <v>987</v>
      </c>
      <c r="J1200" s="4"/>
      <c r="K1200" s="1" t="s">
        <v>987</v>
      </c>
      <c r="AG1200" s="86" t="s">
        <v>2284</v>
      </c>
    </row>
    <row r="1201" spans="1:33" hidden="1">
      <c r="A1201" s="134"/>
      <c r="F1201" s="91">
        <v>1.1000000000000001</v>
      </c>
      <c r="G1201" s="90" t="s">
        <v>778</v>
      </c>
      <c r="H1201" s="86" t="s">
        <v>2034</v>
      </c>
      <c r="I1201" s="8">
        <f>(C10)</f>
        <v>150</v>
      </c>
      <c r="J1201" s="2" t="s">
        <v>778</v>
      </c>
      <c r="K1201" s="8">
        <f>(F1201*I1201)</f>
        <v>165</v>
      </c>
      <c r="AG1201" s="86" t="s">
        <v>2284</v>
      </c>
    </row>
    <row r="1202" spans="1:33" hidden="1">
      <c r="A1202" s="134"/>
      <c r="F1202" s="91">
        <v>1.1000000000000001</v>
      </c>
      <c r="G1202" s="90" t="s">
        <v>778</v>
      </c>
      <c r="H1202" s="86" t="s">
        <v>1737</v>
      </c>
      <c r="I1202" s="8">
        <f>(C11)</f>
        <v>135</v>
      </c>
      <c r="J1202" s="2" t="s">
        <v>778</v>
      </c>
      <c r="K1202" s="8">
        <f>(F1202*I1202)</f>
        <v>148.5</v>
      </c>
      <c r="AG1202" s="86" t="s">
        <v>2284</v>
      </c>
    </row>
    <row r="1203" spans="1:33" hidden="1">
      <c r="A1203" s="134"/>
      <c r="F1203" s="91">
        <v>2.2000000000000002</v>
      </c>
      <c r="G1203" s="90" t="s">
        <v>778</v>
      </c>
      <c r="H1203" s="86" t="s">
        <v>1927</v>
      </c>
      <c r="I1203" s="8">
        <f>(C12)</f>
        <v>95</v>
      </c>
      <c r="J1203" s="2" t="s">
        <v>778</v>
      </c>
      <c r="K1203" s="8">
        <f>(F1203*I1203)</f>
        <v>209</v>
      </c>
      <c r="AG1203" s="86" t="s">
        <v>2284</v>
      </c>
    </row>
    <row r="1204" spans="1:33" hidden="1">
      <c r="A1204" s="134"/>
      <c r="F1204" s="91">
        <v>2.2000000000000002</v>
      </c>
      <c r="G1204" s="90" t="s">
        <v>778</v>
      </c>
      <c r="H1204" s="86" t="s">
        <v>321</v>
      </c>
      <c r="I1204" s="8">
        <f>(C13)</f>
        <v>85</v>
      </c>
      <c r="J1204" s="2" t="s">
        <v>778</v>
      </c>
      <c r="K1204" s="8">
        <f>(F1204*I1204)</f>
        <v>187</v>
      </c>
    </row>
    <row r="1205" spans="1:33" hidden="1">
      <c r="A1205" s="134"/>
      <c r="F1205" s="111">
        <v>20</v>
      </c>
      <c r="G1205" s="90" t="s">
        <v>1670</v>
      </c>
      <c r="H1205" s="86" t="s">
        <v>871</v>
      </c>
      <c r="I1205" s="8">
        <f>(C67)</f>
        <v>3800</v>
      </c>
      <c r="J1205" s="2" t="s">
        <v>870</v>
      </c>
      <c r="K1205" s="8">
        <f>(F1205*I1205)/1000</f>
        <v>76</v>
      </c>
    </row>
    <row r="1206" spans="1:33" hidden="1">
      <c r="A1206" s="134"/>
      <c r="F1206" s="111">
        <v>2</v>
      </c>
      <c r="G1206" s="90" t="s">
        <v>1670</v>
      </c>
      <c r="H1206" s="86" t="s">
        <v>2444</v>
      </c>
      <c r="I1206" s="8">
        <f>C586</f>
        <v>19</v>
      </c>
      <c r="J1206" s="2" t="s">
        <v>1670</v>
      </c>
      <c r="K1206" s="8">
        <f>(F1206*I1206)</f>
        <v>38</v>
      </c>
      <c r="AG1206" s="86" t="s">
        <v>987</v>
      </c>
    </row>
    <row r="1207" spans="1:33" hidden="1">
      <c r="A1207" s="134"/>
      <c r="F1207" s="91">
        <v>1.6</v>
      </c>
      <c r="G1207" s="90" t="s">
        <v>778</v>
      </c>
      <c r="H1207" s="86" t="s">
        <v>1737</v>
      </c>
      <c r="I1207" s="8">
        <f>(C11)</f>
        <v>135</v>
      </c>
      <c r="J1207" s="2" t="s">
        <v>778</v>
      </c>
      <c r="K1207" s="8">
        <f>(F1207*I1207)</f>
        <v>216</v>
      </c>
    </row>
    <row r="1208" spans="1:33" hidden="1">
      <c r="A1208" s="134"/>
      <c r="F1208" s="91">
        <v>0.5</v>
      </c>
      <c r="G1208" s="90" t="s">
        <v>778</v>
      </c>
      <c r="H1208" s="86" t="s">
        <v>1927</v>
      </c>
      <c r="I1208" s="8">
        <f>(C12)</f>
        <v>95</v>
      </c>
      <c r="J1208" s="2" t="s">
        <v>778</v>
      </c>
      <c r="K1208" s="8">
        <f>(F1208*I1208)</f>
        <v>47.5</v>
      </c>
    </row>
    <row r="1209" spans="1:33" hidden="1">
      <c r="A1209" s="134"/>
      <c r="F1209" s="91">
        <v>1.1000000000000001</v>
      </c>
      <c r="G1209" s="90" t="s">
        <v>778</v>
      </c>
      <c r="H1209" s="86" t="s">
        <v>321</v>
      </c>
      <c r="I1209" s="8">
        <f>(C13)</f>
        <v>85</v>
      </c>
      <c r="J1209" s="2" t="s">
        <v>778</v>
      </c>
      <c r="K1209" s="8">
        <f>(F1209*I1209)</f>
        <v>93.5</v>
      </c>
    </row>
    <row r="1210" spans="1:33" hidden="1">
      <c r="A1210" s="134"/>
      <c r="G1210" s="90" t="s">
        <v>450</v>
      </c>
      <c r="H1210" s="86" t="s">
        <v>451</v>
      </c>
      <c r="I1210"/>
      <c r="J1210" s="2" t="s">
        <v>450</v>
      </c>
      <c r="K1210" s="8">
        <v>0</v>
      </c>
    </row>
    <row r="1211" spans="1:33" hidden="1">
      <c r="A1211" s="134"/>
      <c r="I1211"/>
      <c r="J1211" s="4"/>
      <c r="K1211" s="5" t="s">
        <v>1609</v>
      </c>
    </row>
    <row r="1212" spans="1:33" hidden="1">
      <c r="A1212" s="134"/>
      <c r="H1212" s="86" t="s">
        <v>442</v>
      </c>
      <c r="I1212"/>
      <c r="J1212" s="4"/>
      <c r="K1212" s="8" t="e">
        <f>SUM(K1198:K1210)</f>
        <v>#REF!</v>
      </c>
    </row>
    <row r="1213" spans="1:33" hidden="1">
      <c r="A1213" s="134"/>
      <c r="I1213"/>
      <c r="J1213" s="4"/>
      <c r="K1213" s="5" t="s">
        <v>1609</v>
      </c>
    </row>
    <row r="1214" spans="1:33" hidden="1">
      <c r="A1214" s="134"/>
      <c r="H1214" s="86" t="s">
        <v>556</v>
      </c>
      <c r="I1214"/>
      <c r="J1214" s="4"/>
      <c r="K1214" s="8" t="e">
        <f>(K1212/10)</f>
        <v>#REF!</v>
      </c>
    </row>
    <row r="1215" spans="1:33" hidden="1">
      <c r="A1215" s="134"/>
      <c r="I1215"/>
      <c r="J1215" s="4"/>
      <c r="K1215" s="5" t="s">
        <v>2080</v>
      </c>
    </row>
    <row r="1216" spans="1:33" hidden="1">
      <c r="A1216" s="134"/>
      <c r="F1216" s="112">
        <v>29.4</v>
      </c>
      <c r="G1216" s="90" t="s">
        <v>2276</v>
      </c>
      <c r="H1216" s="86" t="s">
        <v>1109</v>
      </c>
      <c r="I1216"/>
      <c r="J1216" s="4"/>
      <c r="K1216"/>
    </row>
    <row r="1217" spans="1:11" hidden="1">
      <c r="A1217" s="134"/>
      <c r="H1217" s="86" t="s">
        <v>1110</v>
      </c>
      <c r="I1217"/>
      <c r="J1217" s="4"/>
      <c r="K1217"/>
    </row>
    <row r="1218" spans="1:11" hidden="1">
      <c r="A1218" s="134"/>
      <c r="H1218" s="89" t="s">
        <v>1609</v>
      </c>
      <c r="I1218"/>
      <c r="J1218" s="4"/>
      <c r="K1218"/>
    </row>
    <row r="1219" spans="1:11" hidden="1">
      <c r="A1219" s="134"/>
      <c r="F1219" s="91">
        <v>1.86</v>
      </c>
      <c r="G1219" s="90" t="s">
        <v>615</v>
      </c>
      <c r="H1219" s="86" t="s">
        <v>1111</v>
      </c>
      <c r="I1219" s="8">
        <f>C580</f>
        <v>325</v>
      </c>
      <c r="J1219" s="2" t="s">
        <v>615</v>
      </c>
      <c r="K1219" s="8">
        <f>(F1219*I1219)</f>
        <v>604.5</v>
      </c>
    </row>
    <row r="1220" spans="1:11" hidden="1">
      <c r="A1220" s="134"/>
      <c r="F1220" s="91">
        <v>0.4</v>
      </c>
      <c r="G1220" s="90" t="s">
        <v>1670</v>
      </c>
      <c r="H1220" s="86" t="s">
        <v>2445</v>
      </c>
      <c r="I1220" s="8">
        <f>C586</f>
        <v>19</v>
      </c>
      <c r="J1220" s="2" t="s">
        <v>1670</v>
      </c>
      <c r="K1220" s="8">
        <f>(F1220*I1220)</f>
        <v>7.6</v>
      </c>
    </row>
    <row r="1221" spans="1:11" hidden="1">
      <c r="A1221" s="134"/>
      <c r="F1221" s="91">
        <v>0.02</v>
      </c>
      <c r="G1221" s="90" t="s">
        <v>878</v>
      </c>
      <c r="H1221" s="86" t="s">
        <v>417</v>
      </c>
      <c r="I1221" s="8" t="e">
        <f>K23</f>
        <v>#REF!</v>
      </c>
      <c r="J1221" s="2" t="s">
        <v>878</v>
      </c>
      <c r="K1221" s="8" t="e">
        <f>(F1221*I1221)</f>
        <v>#REF!</v>
      </c>
    </row>
    <row r="1222" spans="1:11" hidden="1">
      <c r="A1222" s="134"/>
      <c r="F1222" s="91">
        <v>1</v>
      </c>
      <c r="G1222" s="90" t="s">
        <v>778</v>
      </c>
      <c r="H1222" s="86" t="s">
        <v>2034</v>
      </c>
      <c r="I1222" s="8">
        <f>C10</f>
        <v>150</v>
      </c>
      <c r="J1222" s="2" t="s">
        <v>778</v>
      </c>
      <c r="K1222" s="8">
        <f>(F1222*I1222)</f>
        <v>150</v>
      </c>
    </row>
    <row r="1223" spans="1:11" hidden="1">
      <c r="A1223" s="134"/>
      <c r="F1223" s="91">
        <v>1</v>
      </c>
      <c r="G1223" s="90" t="s">
        <v>778</v>
      </c>
      <c r="H1223" s="86" t="s">
        <v>1713</v>
      </c>
      <c r="I1223" s="8">
        <f>C12</f>
        <v>95</v>
      </c>
      <c r="J1223" s="2" t="s">
        <v>778</v>
      </c>
      <c r="K1223" s="8">
        <f>(F1223*I1223)</f>
        <v>95</v>
      </c>
    </row>
    <row r="1224" spans="1:11" hidden="1">
      <c r="A1224" s="134"/>
      <c r="G1224" s="90" t="s">
        <v>450</v>
      </c>
      <c r="H1224" s="86" t="s">
        <v>451</v>
      </c>
      <c r="I1224"/>
      <c r="J1224" s="2" t="s">
        <v>450</v>
      </c>
      <c r="K1224" s="8">
        <v>0</v>
      </c>
    </row>
    <row r="1225" spans="1:11" hidden="1">
      <c r="A1225" s="134"/>
      <c r="I1225"/>
      <c r="J1225" s="4"/>
      <c r="K1225" s="5" t="s">
        <v>1609</v>
      </c>
    </row>
    <row r="1226" spans="1:11" hidden="1">
      <c r="A1226" s="134"/>
      <c r="H1226" s="86" t="s">
        <v>1714</v>
      </c>
      <c r="I1226"/>
      <c r="J1226" s="4"/>
      <c r="K1226" s="8" t="e">
        <f>SUM(K1219:K1224)</f>
        <v>#REF!</v>
      </c>
    </row>
    <row r="1227" spans="1:11" hidden="1">
      <c r="A1227" s="134"/>
      <c r="I1227"/>
      <c r="J1227" s="4"/>
      <c r="K1227" s="5" t="s">
        <v>1609</v>
      </c>
    </row>
    <row r="1228" spans="1:11" hidden="1">
      <c r="A1228" s="134"/>
      <c r="H1228" s="86" t="s">
        <v>556</v>
      </c>
      <c r="I1228"/>
      <c r="J1228" s="4"/>
      <c r="K1228" s="8" t="e">
        <f>(K1226/1.86)</f>
        <v>#REF!</v>
      </c>
    </row>
    <row r="1229" spans="1:11" hidden="1">
      <c r="A1229" s="134"/>
      <c r="I1229"/>
      <c r="J1229" s="4"/>
      <c r="K1229" s="5" t="s">
        <v>2080</v>
      </c>
    </row>
    <row r="1230" spans="1:11" hidden="1">
      <c r="A1230" s="134"/>
      <c r="F1230" s="102" t="s">
        <v>210</v>
      </c>
      <c r="G1230" s="90" t="s">
        <v>2276</v>
      </c>
      <c r="H1230" s="86" t="s">
        <v>1947</v>
      </c>
      <c r="I1230"/>
      <c r="J1230" s="4"/>
      <c r="K1230"/>
    </row>
    <row r="1231" spans="1:11" hidden="1">
      <c r="A1231" s="134"/>
      <c r="H1231" s="86" t="s">
        <v>943</v>
      </c>
      <c r="I1231"/>
      <c r="J1231" s="4"/>
      <c r="K1231"/>
    </row>
    <row r="1232" spans="1:11" hidden="1">
      <c r="A1232" s="134"/>
      <c r="H1232" s="86" t="s">
        <v>1715</v>
      </c>
      <c r="I1232"/>
      <c r="J1232" s="4"/>
      <c r="K1232"/>
    </row>
    <row r="1233" spans="1:11" hidden="1">
      <c r="A1233" s="134"/>
      <c r="H1233" s="86" t="s">
        <v>727</v>
      </c>
      <c r="I1233"/>
      <c r="J1233" s="4"/>
      <c r="K1233"/>
    </row>
    <row r="1234" spans="1:11" hidden="1">
      <c r="A1234" s="134"/>
      <c r="H1234" s="89" t="s">
        <v>1609</v>
      </c>
      <c r="I1234"/>
      <c r="J1234" s="4"/>
      <c r="K1234"/>
    </row>
    <row r="1235" spans="1:11" hidden="1">
      <c r="A1235" s="134"/>
      <c r="F1235" s="91">
        <v>0.24</v>
      </c>
      <c r="G1235" s="90" t="s">
        <v>878</v>
      </c>
      <c r="H1235" s="86" t="s">
        <v>1716</v>
      </c>
      <c r="I1235" s="8" t="e">
        <f>(C70)</f>
        <v>#REF!</v>
      </c>
      <c r="J1235" s="2" t="s">
        <v>878</v>
      </c>
      <c r="K1235" s="8" t="e">
        <f>(F1235*I1235)</f>
        <v>#REF!</v>
      </c>
    </row>
    <row r="1236" spans="1:11" hidden="1">
      <c r="A1236" s="134"/>
      <c r="F1236" s="111">
        <v>0.11700000000000001</v>
      </c>
      <c r="G1236" s="90" t="s">
        <v>870</v>
      </c>
      <c r="H1236" s="86" t="s">
        <v>871</v>
      </c>
      <c r="I1236" s="8">
        <f>(C67)</f>
        <v>3800</v>
      </c>
      <c r="J1236" s="2" t="s">
        <v>870</v>
      </c>
      <c r="K1236" s="8">
        <f>(F1236*I1236)</f>
        <v>444.6</v>
      </c>
    </row>
    <row r="1237" spans="1:11" hidden="1">
      <c r="A1237" s="134"/>
      <c r="F1237" s="91">
        <v>0.5</v>
      </c>
      <c r="G1237" s="90" t="s">
        <v>778</v>
      </c>
      <c r="H1237" s="86" t="s">
        <v>2034</v>
      </c>
      <c r="I1237" s="8">
        <f>(C10)</f>
        <v>150</v>
      </c>
      <c r="J1237" s="2" t="s">
        <v>778</v>
      </c>
      <c r="K1237" s="8">
        <f>(F1237*I1237)</f>
        <v>75</v>
      </c>
    </row>
    <row r="1238" spans="1:11" hidden="1">
      <c r="A1238" s="134"/>
      <c r="F1238" s="91">
        <v>1.1000000000000001</v>
      </c>
      <c r="G1238" s="90" t="s">
        <v>778</v>
      </c>
      <c r="H1238" s="86" t="s">
        <v>944</v>
      </c>
      <c r="I1238" s="8">
        <f>(C12)</f>
        <v>95</v>
      </c>
      <c r="J1238" s="2" t="s">
        <v>778</v>
      </c>
      <c r="K1238" s="8">
        <f>(F1238*I1238)</f>
        <v>104.5</v>
      </c>
    </row>
    <row r="1239" spans="1:11" hidden="1">
      <c r="A1239" s="134"/>
      <c r="F1239" s="91">
        <v>4.3</v>
      </c>
      <c r="G1239" s="90" t="s">
        <v>778</v>
      </c>
      <c r="H1239" s="86" t="s">
        <v>321</v>
      </c>
      <c r="I1239" s="8">
        <f>(C13)</f>
        <v>85</v>
      </c>
      <c r="J1239" s="2" t="s">
        <v>778</v>
      </c>
      <c r="K1239" s="8">
        <f>(F1239*I1239)</f>
        <v>365.5</v>
      </c>
    </row>
    <row r="1240" spans="1:11" hidden="1">
      <c r="A1240" s="134"/>
      <c r="G1240" s="90" t="s">
        <v>450</v>
      </c>
      <c r="H1240" s="86" t="s">
        <v>451</v>
      </c>
      <c r="I1240"/>
      <c r="J1240" s="2" t="s">
        <v>450</v>
      </c>
      <c r="K1240" s="8">
        <v>0</v>
      </c>
    </row>
    <row r="1241" spans="1:11" hidden="1">
      <c r="A1241" s="134"/>
      <c r="I1241"/>
      <c r="J1241" s="4"/>
      <c r="K1241" s="5" t="s">
        <v>1609</v>
      </c>
    </row>
    <row r="1242" spans="1:11" hidden="1">
      <c r="A1242" s="134"/>
      <c r="H1242" s="86" t="s">
        <v>442</v>
      </c>
      <c r="I1242"/>
      <c r="J1242" s="4"/>
      <c r="K1242" s="8" t="e">
        <f>SUM(K1235:K1240)</f>
        <v>#REF!</v>
      </c>
    </row>
    <row r="1243" spans="1:11" hidden="1">
      <c r="A1243" s="134"/>
      <c r="I1243"/>
      <c r="J1243" s="4"/>
      <c r="K1243" s="5" t="s">
        <v>1609</v>
      </c>
    </row>
    <row r="1244" spans="1:11" hidden="1">
      <c r="A1244" s="134"/>
      <c r="H1244" s="86" t="s">
        <v>556</v>
      </c>
      <c r="I1244"/>
      <c r="J1244" s="4"/>
      <c r="K1244" s="8" t="e">
        <f>(K1242/10)</f>
        <v>#REF!</v>
      </c>
    </row>
    <row r="1245" spans="1:11" hidden="1">
      <c r="A1245" s="134"/>
      <c r="F1245" s="86" t="s">
        <v>987</v>
      </c>
      <c r="I1245"/>
      <c r="J1245" s="4"/>
      <c r="K1245"/>
    </row>
    <row r="1246" spans="1:11" hidden="1">
      <c r="A1246" s="134"/>
      <c r="I1246"/>
      <c r="J1246" s="4"/>
      <c r="K1246" s="5" t="s">
        <v>2080</v>
      </c>
    </row>
    <row r="1247" spans="1:11" hidden="1">
      <c r="A1247" s="134"/>
      <c r="F1247" s="102" t="s">
        <v>1963</v>
      </c>
      <c r="G1247" s="90" t="s">
        <v>2276</v>
      </c>
      <c r="H1247" s="114" t="s">
        <v>728</v>
      </c>
      <c r="I1247"/>
      <c r="J1247" s="4"/>
      <c r="K1247"/>
    </row>
    <row r="1248" spans="1:11" hidden="1">
      <c r="A1248" s="134"/>
      <c r="H1248" s="86" t="s">
        <v>1964</v>
      </c>
      <c r="I1248"/>
      <c r="J1248" s="4"/>
      <c r="K1248"/>
    </row>
    <row r="1249" spans="1:11" hidden="1">
      <c r="A1249" s="134"/>
      <c r="H1249" s="86" t="s">
        <v>1965</v>
      </c>
      <c r="I1249"/>
      <c r="J1249" s="4"/>
      <c r="K1249"/>
    </row>
    <row r="1250" spans="1:11" hidden="1">
      <c r="A1250" s="134"/>
      <c r="H1250" s="86" t="s">
        <v>765</v>
      </c>
      <c r="I1250"/>
      <c r="J1250" s="4"/>
      <c r="K1250"/>
    </row>
    <row r="1251" spans="1:11" hidden="1">
      <c r="A1251" s="134"/>
      <c r="H1251" s="86" t="s">
        <v>757</v>
      </c>
      <c r="I1251"/>
      <c r="J1251" s="4"/>
      <c r="K1251"/>
    </row>
    <row r="1252" spans="1:11" hidden="1">
      <c r="A1252" s="134"/>
      <c r="H1252" s="89" t="s">
        <v>1609</v>
      </c>
      <c r="I1252"/>
      <c r="J1252" s="4"/>
      <c r="K1252"/>
    </row>
    <row r="1253" spans="1:11" hidden="1">
      <c r="A1253" s="134"/>
      <c r="F1253" s="91">
        <v>12.8</v>
      </c>
      <c r="G1253" s="90" t="s">
        <v>878</v>
      </c>
      <c r="H1253" s="86" t="s">
        <v>758</v>
      </c>
      <c r="I1253" s="8" t="e">
        <f>(C82)</f>
        <v>#REF!</v>
      </c>
      <c r="J1253" s="2" t="s">
        <v>878</v>
      </c>
      <c r="K1253" s="8" t="e">
        <f>(F1253*I1253)</f>
        <v>#REF!</v>
      </c>
    </row>
    <row r="1254" spans="1:11" hidden="1">
      <c r="A1254" s="134"/>
      <c r="F1254" s="91">
        <v>5</v>
      </c>
      <c r="G1254" s="90" t="s">
        <v>878</v>
      </c>
      <c r="H1254" s="86" t="s">
        <v>759</v>
      </c>
      <c r="I1254" s="8" t="e">
        <f>(C85)</f>
        <v>#REF!</v>
      </c>
      <c r="J1254" s="2" t="s">
        <v>878</v>
      </c>
      <c r="K1254" s="8" t="e">
        <f>(F1254*I1254)</f>
        <v>#REF!</v>
      </c>
    </row>
    <row r="1255" spans="1:11" hidden="1">
      <c r="A1255" s="134"/>
      <c r="F1255" s="91">
        <v>1.8</v>
      </c>
      <c r="G1255" s="90" t="s">
        <v>778</v>
      </c>
      <c r="H1255" s="86" t="s">
        <v>2034</v>
      </c>
      <c r="I1255" s="8">
        <f>(C10)</f>
        <v>150</v>
      </c>
      <c r="J1255" s="2" t="s">
        <v>778</v>
      </c>
      <c r="K1255" s="8">
        <f>(F1255*I1255)</f>
        <v>270</v>
      </c>
    </row>
    <row r="1256" spans="1:11" hidden="1">
      <c r="A1256" s="134"/>
      <c r="F1256" s="91">
        <v>17.7</v>
      </c>
      <c r="G1256" s="90" t="s">
        <v>778</v>
      </c>
      <c r="H1256" s="86" t="s">
        <v>944</v>
      </c>
      <c r="I1256" s="8">
        <f>(C12)</f>
        <v>95</v>
      </c>
      <c r="J1256" s="2" t="s">
        <v>778</v>
      </c>
      <c r="K1256" s="8">
        <f>(F1256*I1256)</f>
        <v>1681.5</v>
      </c>
    </row>
    <row r="1257" spans="1:11" hidden="1">
      <c r="A1257" s="134"/>
      <c r="F1257" s="91">
        <v>14.1</v>
      </c>
      <c r="G1257" s="90" t="s">
        <v>778</v>
      </c>
      <c r="H1257" s="86" t="s">
        <v>321</v>
      </c>
      <c r="I1257" s="8">
        <f>(C13)</f>
        <v>85</v>
      </c>
      <c r="J1257" s="2" t="s">
        <v>778</v>
      </c>
      <c r="K1257" s="8">
        <f>(F1257*I1257)</f>
        <v>1198.5</v>
      </c>
    </row>
    <row r="1258" spans="1:11" hidden="1">
      <c r="A1258" s="134"/>
      <c r="G1258" s="90" t="s">
        <v>450</v>
      </c>
      <c r="H1258" s="86" t="s">
        <v>451</v>
      </c>
      <c r="I1258"/>
      <c r="J1258" s="2" t="s">
        <v>450</v>
      </c>
      <c r="K1258" s="8">
        <v>0</v>
      </c>
    </row>
    <row r="1259" spans="1:11" hidden="1">
      <c r="A1259" s="134"/>
      <c r="I1259"/>
      <c r="J1259" s="4"/>
      <c r="K1259" s="5" t="s">
        <v>1609</v>
      </c>
    </row>
    <row r="1260" spans="1:11" hidden="1">
      <c r="A1260" s="134"/>
      <c r="H1260" s="86" t="s">
        <v>620</v>
      </c>
      <c r="I1260"/>
      <c r="J1260" s="4"/>
      <c r="K1260" s="8" t="e">
        <f>SUM(K1253:K1258)</f>
        <v>#REF!</v>
      </c>
    </row>
    <row r="1261" spans="1:11" hidden="1">
      <c r="A1261" s="134"/>
      <c r="I1261"/>
      <c r="J1261" s="4"/>
      <c r="K1261" s="5" t="s">
        <v>1609</v>
      </c>
    </row>
    <row r="1262" spans="1:11" hidden="1">
      <c r="A1262" s="134"/>
      <c r="H1262" s="86" t="s">
        <v>782</v>
      </c>
      <c r="I1262"/>
      <c r="J1262" s="4"/>
      <c r="K1262" s="8" t="e">
        <f>(K1260/10)</f>
        <v>#REF!</v>
      </c>
    </row>
    <row r="1263" spans="1:11" hidden="1">
      <c r="A1263" s="134"/>
      <c r="I1263"/>
      <c r="J1263" s="4"/>
      <c r="K1263" s="5" t="s">
        <v>2080</v>
      </c>
    </row>
    <row r="1264" spans="1:11" hidden="1">
      <c r="A1264" s="134"/>
      <c r="I1264"/>
      <c r="J1264" s="4"/>
      <c r="K1264"/>
    </row>
    <row r="1265" spans="1:11" hidden="1">
      <c r="A1265" s="134"/>
      <c r="G1265" s="90" t="s">
        <v>681</v>
      </c>
      <c r="H1265" s="86" t="s">
        <v>760</v>
      </c>
      <c r="I1265"/>
      <c r="J1265" s="4"/>
      <c r="K1265"/>
    </row>
    <row r="1266" spans="1:11" hidden="1">
      <c r="A1266" s="134"/>
      <c r="H1266" s="86" t="s">
        <v>761</v>
      </c>
      <c r="I1266"/>
      <c r="J1266" s="4"/>
      <c r="K1266"/>
    </row>
    <row r="1267" spans="1:11" hidden="1">
      <c r="A1267" s="134"/>
      <c r="H1267" s="89" t="s">
        <v>1609</v>
      </c>
      <c r="I1267"/>
      <c r="J1267" s="4"/>
      <c r="K1267"/>
    </row>
    <row r="1268" spans="1:11" hidden="1">
      <c r="A1268" s="134"/>
      <c r="F1268" s="91">
        <v>0.04</v>
      </c>
      <c r="G1268" s="90" t="s">
        <v>878</v>
      </c>
      <c r="H1268" s="86" t="s">
        <v>762</v>
      </c>
      <c r="I1268" s="8" t="e">
        <f>(K32)</f>
        <v>#REF!</v>
      </c>
      <c r="J1268" s="2" t="s">
        <v>878</v>
      </c>
      <c r="K1268" s="8" t="e">
        <f>(F1268*I1268)</f>
        <v>#REF!</v>
      </c>
    </row>
    <row r="1269" spans="1:11" hidden="1">
      <c r="A1269" s="134"/>
      <c r="F1269" s="91">
        <v>2.2000000000000002</v>
      </c>
      <c r="G1269" s="90" t="s">
        <v>778</v>
      </c>
      <c r="H1269" s="86" t="s">
        <v>1737</v>
      </c>
      <c r="I1269" s="8">
        <f>(C11)</f>
        <v>135</v>
      </c>
      <c r="J1269" s="2" t="s">
        <v>778</v>
      </c>
      <c r="K1269" s="8">
        <f>(F1269*I1269)</f>
        <v>297</v>
      </c>
    </row>
    <row r="1270" spans="1:11" hidden="1">
      <c r="A1270" s="134"/>
      <c r="F1270" s="91">
        <v>0.5</v>
      </c>
      <c r="G1270" s="90" t="s">
        <v>778</v>
      </c>
      <c r="H1270" s="86" t="s">
        <v>1927</v>
      </c>
      <c r="I1270" s="8">
        <f>(C12)</f>
        <v>95</v>
      </c>
      <c r="J1270" s="2" t="s">
        <v>778</v>
      </c>
      <c r="K1270" s="8">
        <f>(F1270*I1270)</f>
        <v>47.5</v>
      </c>
    </row>
    <row r="1271" spans="1:11" hidden="1">
      <c r="A1271" s="134"/>
      <c r="F1271" s="91">
        <v>1.1000000000000001</v>
      </c>
      <c r="G1271" s="90" t="s">
        <v>778</v>
      </c>
      <c r="H1271" s="86" t="s">
        <v>321</v>
      </c>
      <c r="I1271" s="8">
        <f>(C13)</f>
        <v>85</v>
      </c>
      <c r="J1271" s="2" t="s">
        <v>778</v>
      </c>
      <c r="K1271" s="8">
        <f>(F1271*I1271)</f>
        <v>93.5</v>
      </c>
    </row>
    <row r="1272" spans="1:11" hidden="1">
      <c r="A1272" s="134"/>
      <c r="G1272" s="90" t="s">
        <v>450</v>
      </c>
      <c r="H1272" s="86" t="s">
        <v>451</v>
      </c>
      <c r="I1272"/>
      <c r="J1272" s="2" t="s">
        <v>450</v>
      </c>
      <c r="K1272" s="8">
        <v>0</v>
      </c>
    </row>
    <row r="1273" spans="1:11" hidden="1">
      <c r="A1273" s="134"/>
      <c r="I1273"/>
      <c r="J1273" s="4"/>
      <c r="K1273" s="5" t="s">
        <v>1609</v>
      </c>
    </row>
    <row r="1274" spans="1:11" hidden="1">
      <c r="A1274" s="134"/>
      <c r="H1274" s="86" t="s">
        <v>442</v>
      </c>
      <c r="I1274"/>
      <c r="J1274" s="4"/>
      <c r="K1274" s="8" t="e">
        <f>SUM(K1268:K1272)</f>
        <v>#REF!</v>
      </c>
    </row>
    <row r="1275" spans="1:11" hidden="1">
      <c r="A1275" s="134"/>
      <c r="I1275"/>
      <c r="J1275" s="4"/>
      <c r="K1275" s="5" t="s">
        <v>1609</v>
      </c>
    </row>
    <row r="1276" spans="1:11" hidden="1">
      <c r="A1276" s="134"/>
      <c r="H1276" s="86" t="s">
        <v>556</v>
      </c>
      <c r="I1276"/>
      <c r="J1276" s="4"/>
      <c r="K1276" s="8" t="e">
        <f>(K1274/10)</f>
        <v>#REF!</v>
      </c>
    </row>
    <row r="1277" spans="1:11" hidden="1">
      <c r="A1277" s="134"/>
      <c r="I1277"/>
      <c r="J1277" s="4"/>
      <c r="K1277" s="5" t="s">
        <v>2080</v>
      </c>
    </row>
    <row r="1278" spans="1:11" hidden="1">
      <c r="A1278" s="134"/>
      <c r="I1278"/>
      <c r="J1278" s="4"/>
      <c r="K1278"/>
    </row>
    <row r="1279" spans="1:11" hidden="1">
      <c r="A1279" s="134"/>
      <c r="F1279" s="112">
        <v>32.1</v>
      </c>
      <c r="G1279" s="90" t="s">
        <v>2276</v>
      </c>
      <c r="H1279" s="86" t="s">
        <v>763</v>
      </c>
      <c r="I1279"/>
      <c r="J1279" s="4"/>
      <c r="K1279"/>
    </row>
    <row r="1280" spans="1:11" hidden="1">
      <c r="A1280" s="134"/>
      <c r="H1280" s="86" t="s">
        <v>1505</v>
      </c>
      <c r="I1280"/>
      <c r="J1280" s="4"/>
      <c r="K1280"/>
    </row>
    <row r="1281" spans="1:11" hidden="1">
      <c r="A1281" s="134"/>
      <c r="H1281" s="86" t="s">
        <v>689</v>
      </c>
      <c r="I1281"/>
      <c r="J1281" s="4"/>
      <c r="K1281"/>
    </row>
    <row r="1282" spans="1:11" hidden="1">
      <c r="A1282" s="134"/>
      <c r="H1282" s="86" t="s">
        <v>3168</v>
      </c>
      <c r="I1282"/>
      <c r="J1282" s="4"/>
      <c r="K1282"/>
    </row>
    <row r="1283" spans="1:11" hidden="1">
      <c r="A1283" s="134"/>
      <c r="H1283" s="86" t="s">
        <v>1312</v>
      </c>
      <c r="I1283"/>
      <c r="J1283" s="4"/>
      <c r="K1283"/>
    </row>
    <row r="1284" spans="1:11" hidden="1">
      <c r="A1284" s="134"/>
      <c r="H1284" s="89" t="s">
        <v>1609</v>
      </c>
      <c r="I1284"/>
      <c r="J1284" s="4"/>
      <c r="K1284"/>
    </row>
    <row r="1285" spans="1:11" hidden="1">
      <c r="A1285" s="134"/>
      <c r="F1285" s="91">
        <v>190</v>
      </c>
      <c r="G1285" s="90" t="s">
        <v>1898</v>
      </c>
      <c r="H1285" s="86" t="s">
        <v>2037</v>
      </c>
      <c r="I1285" s="8">
        <f>(C83)</f>
        <v>4500</v>
      </c>
      <c r="J1285" s="2" t="s">
        <v>1503</v>
      </c>
      <c r="K1285" s="8">
        <f>(F1285*I1285)/1000</f>
        <v>855</v>
      </c>
    </row>
    <row r="1286" spans="1:11" hidden="1">
      <c r="A1286" s="134"/>
      <c r="F1286" s="91">
        <v>0.12</v>
      </c>
      <c r="G1286" s="90" t="s">
        <v>878</v>
      </c>
      <c r="H1286" s="86" t="s">
        <v>1901</v>
      </c>
      <c r="I1286" s="8" t="e">
        <f>(K32)</f>
        <v>#REF!</v>
      </c>
      <c r="J1286" s="2" t="s">
        <v>878</v>
      </c>
      <c r="K1286" s="8" t="e">
        <f t="shared" ref="K1286:K1292" si="58">(F1286*I1286)</f>
        <v>#REF!</v>
      </c>
    </row>
    <row r="1287" spans="1:11" hidden="1">
      <c r="A1287" s="134"/>
      <c r="F1287" s="91">
        <v>10</v>
      </c>
      <c r="G1287" s="90" t="s">
        <v>615</v>
      </c>
      <c r="H1287" s="86" t="s">
        <v>1314</v>
      </c>
      <c r="I1287" s="8" t="e">
        <f>(K1276)</f>
        <v>#REF!</v>
      </c>
      <c r="J1287" s="2" t="s">
        <v>615</v>
      </c>
      <c r="K1287" s="8" t="e">
        <f t="shared" si="58"/>
        <v>#REF!</v>
      </c>
    </row>
    <row r="1288" spans="1:11" hidden="1">
      <c r="A1288" s="134"/>
      <c r="F1288" s="91">
        <v>1.54</v>
      </c>
      <c r="G1288" s="90" t="s">
        <v>1670</v>
      </c>
      <c r="H1288" s="86" t="s">
        <v>976</v>
      </c>
      <c r="I1288" s="8">
        <f>C631</f>
        <v>30</v>
      </c>
      <c r="J1288" s="2" t="s">
        <v>1670</v>
      </c>
      <c r="K1288" s="8">
        <f t="shared" si="58"/>
        <v>46.2</v>
      </c>
    </row>
    <row r="1289" spans="1:11" hidden="1">
      <c r="A1289" s="134"/>
      <c r="F1289" s="91">
        <v>1.1000000000000001</v>
      </c>
      <c r="G1289" s="90" t="s">
        <v>778</v>
      </c>
      <c r="H1289" s="86" t="s">
        <v>2034</v>
      </c>
      <c r="I1289" s="8">
        <f>(C10)</f>
        <v>150</v>
      </c>
      <c r="J1289" s="2" t="s">
        <v>778</v>
      </c>
      <c r="K1289" s="8">
        <f t="shared" si="58"/>
        <v>165</v>
      </c>
    </row>
    <row r="1290" spans="1:11" hidden="1">
      <c r="A1290" s="134"/>
      <c r="F1290" s="91">
        <v>2.1</v>
      </c>
      <c r="G1290" s="90" t="s">
        <v>778</v>
      </c>
      <c r="H1290" s="86" t="s">
        <v>1737</v>
      </c>
      <c r="I1290" s="8">
        <f>(C11)</f>
        <v>135</v>
      </c>
      <c r="J1290" s="2" t="s">
        <v>778</v>
      </c>
      <c r="K1290" s="8">
        <f t="shared" si="58"/>
        <v>283.5</v>
      </c>
    </row>
    <row r="1291" spans="1:11" hidden="1">
      <c r="A1291" s="134"/>
      <c r="F1291" s="91">
        <v>2.2000000000000002</v>
      </c>
      <c r="G1291" s="90" t="s">
        <v>778</v>
      </c>
      <c r="H1291" s="86" t="s">
        <v>1927</v>
      </c>
      <c r="I1291" s="8">
        <f>(C12)</f>
        <v>95</v>
      </c>
      <c r="J1291" s="2" t="s">
        <v>778</v>
      </c>
      <c r="K1291" s="8">
        <f t="shared" si="58"/>
        <v>209</v>
      </c>
    </row>
    <row r="1292" spans="1:11" hidden="1">
      <c r="A1292" s="134"/>
      <c r="F1292" s="91">
        <v>1.1000000000000001</v>
      </c>
      <c r="G1292" s="90" t="s">
        <v>778</v>
      </c>
      <c r="H1292" s="86" t="s">
        <v>321</v>
      </c>
      <c r="I1292" s="8">
        <f>(C13)</f>
        <v>85</v>
      </c>
      <c r="J1292" s="2" t="s">
        <v>778</v>
      </c>
      <c r="K1292" s="8">
        <f t="shared" si="58"/>
        <v>93.5</v>
      </c>
    </row>
    <row r="1293" spans="1:11" hidden="1">
      <c r="A1293" s="134"/>
      <c r="G1293" s="90" t="s">
        <v>450</v>
      </c>
      <c r="H1293" s="86" t="s">
        <v>451</v>
      </c>
      <c r="I1293"/>
      <c r="J1293" s="2" t="s">
        <v>450</v>
      </c>
      <c r="K1293" s="8">
        <v>0</v>
      </c>
    </row>
    <row r="1294" spans="1:11" hidden="1">
      <c r="A1294" s="134"/>
      <c r="I1294"/>
      <c r="J1294" s="4"/>
      <c r="K1294" s="5" t="s">
        <v>1609</v>
      </c>
    </row>
    <row r="1295" spans="1:11" hidden="1">
      <c r="A1295" s="134"/>
      <c r="H1295" s="86" t="s">
        <v>442</v>
      </c>
      <c r="I1295"/>
      <c r="J1295" s="4"/>
      <c r="K1295" s="8" t="e">
        <f>SUM(K1285:K1293)</f>
        <v>#REF!</v>
      </c>
    </row>
    <row r="1296" spans="1:11" hidden="1">
      <c r="A1296" s="134"/>
      <c r="I1296"/>
      <c r="J1296" s="4"/>
      <c r="K1296" s="5" t="s">
        <v>1609</v>
      </c>
    </row>
    <row r="1297" spans="1:11" hidden="1">
      <c r="A1297" s="134"/>
      <c r="H1297" s="86" t="s">
        <v>556</v>
      </c>
      <c r="I1297"/>
      <c r="J1297" s="4"/>
      <c r="K1297" s="8" t="e">
        <f>(K1295/10)</f>
        <v>#REF!</v>
      </c>
    </row>
    <row r="1298" spans="1:11" hidden="1">
      <c r="A1298" s="134"/>
      <c r="I1298"/>
      <c r="J1298" s="4"/>
      <c r="K1298" s="5" t="s">
        <v>2080</v>
      </c>
    </row>
    <row r="1299" spans="1:11" hidden="1">
      <c r="A1299" s="134"/>
      <c r="I1299"/>
      <c r="J1299" s="4"/>
      <c r="K1299" s="5"/>
    </row>
    <row r="1300" spans="1:11" hidden="1">
      <c r="A1300" s="134"/>
      <c r="I1300"/>
      <c r="J1300" s="4"/>
      <c r="K1300" s="5"/>
    </row>
    <row r="1301" spans="1:11" hidden="1">
      <c r="A1301" s="134"/>
      <c r="F1301" s="112">
        <v>32.200000000000003</v>
      </c>
      <c r="G1301" s="90" t="s">
        <v>2276</v>
      </c>
      <c r="H1301" s="86" t="s">
        <v>763</v>
      </c>
      <c r="I1301"/>
      <c r="J1301" s="4"/>
      <c r="K1301" s="5"/>
    </row>
    <row r="1302" spans="1:11" hidden="1">
      <c r="A1302" s="134"/>
      <c r="H1302" s="86" t="s">
        <v>1505</v>
      </c>
      <c r="I1302"/>
      <c r="J1302" s="4"/>
      <c r="K1302" s="5"/>
    </row>
    <row r="1303" spans="1:11" hidden="1">
      <c r="A1303" s="134"/>
      <c r="H1303" s="86" t="s">
        <v>689</v>
      </c>
      <c r="I1303"/>
      <c r="J1303" s="4"/>
      <c r="K1303" s="5"/>
    </row>
    <row r="1304" spans="1:11" hidden="1">
      <c r="A1304" s="134"/>
      <c r="H1304" s="86" t="s">
        <v>3168</v>
      </c>
      <c r="I1304"/>
      <c r="J1304" s="4"/>
      <c r="K1304" s="5"/>
    </row>
    <row r="1305" spans="1:11" hidden="1">
      <c r="A1305" s="134"/>
      <c r="H1305" s="86" t="s">
        <v>1312</v>
      </c>
      <c r="I1305"/>
      <c r="J1305" s="4"/>
      <c r="K1305" s="5"/>
    </row>
    <row r="1306" spans="1:11" hidden="1">
      <c r="A1306" s="134"/>
      <c r="H1306" s="89" t="s">
        <v>1609</v>
      </c>
      <c r="I1306"/>
      <c r="J1306" s="4"/>
      <c r="K1306" s="5"/>
    </row>
    <row r="1307" spans="1:11" hidden="1">
      <c r="A1307" s="134"/>
      <c r="F1307" s="91">
        <v>190</v>
      </c>
      <c r="G1307" s="90" t="s">
        <v>1898</v>
      </c>
      <c r="H1307" s="86" t="s">
        <v>1590</v>
      </c>
      <c r="I1307">
        <f>E83</f>
        <v>3550</v>
      </c>
      <c r="J1307" s="2" t="s">
        <v>1503</v>
      </c>
      <c r="K1307" s="8">
        <f>(F1307*I1307)/1000</f>
        <v>674.5</v>
      </c>
    </row>
    <row r="1308" spans="1:11" hidden="1">
      <c r="A1308" s="134"/>
      <c r="F1308" s="91">
        <v>0.12</v>
      </c>
      <c r="G1308" s="90" t="s">
        <v>878</v>
      </c>
      <c r="H1308" s="86" t="s">
        <v>1901</v>
      </c>
      <c r="I1308" t="e">
        <f>K32</f>
        <v>#REF!</v>
      </c>
      <c r="J1308" s="2" t="s">
        <v>878</v>
      </c>
      <c r="K1308" s="8" t="e">
        <f t="shared" ref="K1308:K1314" si="59">(F1308*I1308)</f>
        <v>#REF!</v>
      </c>
    </row>
    <row r="1309" spans="1:11" hidden="1">
      <c r="A1309" s="134"/>
      <c r="F1309" s="91">
        <v>10</v>
      </c>
      <c r="G1309" s="90" t="s">
        <v>615</v>
      </c>
      <c r="H1309" s="86" t="s">
        <v>1314</v>
      </c>
      <c r="I1309" t="e">
        <f>K1276</f>
        <v>#REF!</v>
      </c>
      <c r="J1309" s="2" t="s">
        <v>615</v>
      </c>
      <c r="K1309" s="8" t="e">
        <f t="shared" si="59"/>
        <v>#REF!</v>
      </c>
    </row>
    <row r="1310" spans="1:11" hidden="1">
      <c r="A1310" s="134"/>
      <c r="F1310" s="91">
        <v>5.8</v>
      </c>
      <c r="G1310" s="90" t="s">
        <v>1670</v>
      </c>
      <c r="H1310" s="86" t="s">
        <v>976</v>
      </c>
      <c r="I1310">
        <f>C631</f>
        <v>30</v>
      </c>
      <c r="J1310" s="2" t="s">
        <v>1670</v>
      </c>
      <c r="K1310" s="8">
        <f t="shared" si="59"/>
        <v>174</v>
      </c>
    </row>
    <row r="1311" spans="1:11" hidden="1">
      <c r="A1311" s="134"/>
      <c r="F1311" s="91">
        <v>1.1000000000000001</v>
      </c>
      <c r="G1311" s="90" t="s">
        <v>778</v>
      </c>
      <c r="H1311" s="86" t="s">
        <v>2034</v>
      </c>
      <c r="I1311">
        <f>C10</f>
        <v>150</v>
      </c>
      <c r="J1311" s="2" t="s">
        <v>778</v>
      </c>
      <c r="K1311" s="8">
        <f t="shared" si="59"/>
        <v>165</v>
      </c>
    </row>
    <row r="1312" spans="1:11" hidden="1">
      <c r="A1312" s="134"/>
      <c r="F1312" s="91">
        <v>2.1</v>
      </c>
      <c r="G1312" s="90" t="s">
        <v>778</v>
      </c>
      <c r="H1312" s="86" t="s">
        <v>1737</v>
      </c>
      <c r="I1312">
        <f>C11</f>
        <v>135</v>
      </c>
      <c r="J1312" s="2" t="s">
        <v>778</v>
      </c>
      <c r="K1312" s="8">
        <f t="shared" si="59"/>
        <v>283.5</v>
      </c>
    </row>
    <row r="1313" spans="1:11" hidden="1">
      <c r="A1313" s="134"/>
      <c r="F1313" s="91">
        <v>2.2000000000000002</v>
      </c>
      <c r="G1313" s="90" t="s">
        <v>778</v>
      </c>
      <c r="H1313" s="86" t="s">
        <v>1927</v>
      </c>
      <c r="I1313">
        <f>C12</f>
        <v>95</v>
      </c>
      <c r="J1313" s="2" t="s">
        <v>778</v>
      </c>
      <c r="K1313" s="8">
        <f t="shared" si="59"/>
        <v>209</v>
      </c>
    </row>
    <row r="1314" spans="1:11" hidden="1">
      <c r="A1314" s="134"/>
      <c r="F1314" s="91">
        <v>1.1000000000000001</v>
      </c>
      <c r="G1314" s="90" t="s">
        <v>778</v>
      </c>
      <c r="H1314" s="86" t="s">
        <v>321</v>
      </c>
      <c r="I1314">
        <f>C13</f>
        <v>85</v>
      </c>
      <c r="J1314" s="2" t="s">
        <v>778</v>
      </c>
      <c r="K1314" s="8">
        <f t="shared" si="59"/>
        <v>93.5</v>
      </c>
    </row>
    <row r="1315" spans="1:11" hidden="1">
      <c r="A1315" s="134"/>
      <c r="G1315" s="90" t="s">
        <v>450</v>
      </c>
      <c r="H1315" s="86" t="s">
        <v>451</v>
      </c>
      <c r="I1315"/>
      <c r="J1315" s="2" t="s">
        <v>450</v>
      </c>
      <c r="K1315" s="8">
        <v>0</v>
      </c>
    </row>
    <row r="1316" spans="1:11" hidden="1">
      <c r="A1316" s="134"/>
      <c r="I1316"/>
      <c r="J1316" s="4"/>
      <c r="K1316" s="5" t="s">
        <v>1609</v>
      </c>
    </row>
    <row r="1317" spans="1:11" hidden="1">
      <c r="A1317" s="134"/>
      <c r="H1317" s="86" t="s">
        <v>442</v>
      </c>
      <c r="I1317"/>
      <c r="J1317" s="4"/>
      <c r="K1317" s="8" t="e">
        <f>SUM(K1307:K1315)</f>
        <v>#REF!</v>
      </c>
    </row>
    <row r="1318" spans="1:11" hidden="1">
      <c r="A1318" s="134"/>
      <c r="I1318"/>
      <c r="J1318" s="4"/>
      <c r="K1318" s="5" t="s">
        <v>1609</v>
      </c>
    </row>
    <row r="1319" spans="1:11" hidden="1">
      <c r="A1319" s="134"/>
      <c r="H1319" s="86" t="s">
        <v>556</v>
      </c>
      <c r="I1319"/>
      <c r="J1319" s="4"/>
      <c r="K1319" s="8" t="e">
        <f>(K1317/10)</f>
        <v>#REF!</v>
      </c>
    </row>
    <row r="1320" spans="1:11" hidden="1">
      <c r="A1320" s="134"/>
      <c r="I1320"/>
      <c r="J1320" s="4"/>
      <c r="K1320" s="5" t="s">
        <v>2080</v>
      </c>
    </row>
    <row r="1321" spans="1:11" hidden="1">
      <c r="A1321" s="134"/>
      <c r="I1321"/>
      <c r="J1321" s="4"/>
      <c r="K1321" s="5"/>
    </row>
    <row r="1322" spans="1:11" hidden="1">
      <c r="A1322" s="134"/>
      <c r="F1322" s="102" t="s">
        <v>1315</v>
      </c>
      <c r="G1322" s="90" t="s">
        <v>2276</v>
      </c>
      <c r="H1322" s="86" t="s">
        <v>6</v>
      </c>
      <c r="I1322"/>
      <c r="J1322" s="4"/>
      <c r="K1322"/>
    </row>
    <row r="1323" spans="1:11" hidden="1">
      <c r="A1323" s="134"/>
      <c r="H1323" s="89" t="s">
        <v>1609</v>
      </c>
      <c r="I1323"/>
      <c r="J1323" s="4"/>
      <c r="K1323"/>
    </row>
    <row r="1324" spans="1:11" hidden="1">
      <c r="A1324" s="134"/>
      <c r="F1324" s="91">
        <v>0.14000000000000001</v>
      </c>
      <c r="G1324" s="90" t="s">
        <v>878</v>
      </c>
      <c r="H1324" s="86" t="s">
        <v>1650</v>
      </c>
      <c r="I1324" s="8" t="e">
        <f>(K49)</f>
        <v>#REF!</v>
      </c>
      <c r="J1324" s="2" t="s">
        <v>878</v>
      </c>
      <c r="K1324" s="8" t="e">
        <f>(F1324*I1324)</f>
        <v>#REF!</v>
      </c>
    </row>
    <row r="1325" spans="1:11" hidden="1">
      <c r="A1325" s="134"/>
      <c r="F1325" s="91">
        <v>1.1000000000000001</v>
      </c>
      <c r="G1325" s="90" t="s">
        <v>877</v>
      </c>
      <c r="H1325" s="86" t="s">
        <v>2034</v>
      </c>
      <c r="I1325" s="8">
        <f>(C10)</f>
        <v>150</v>
      </c>
      <c r="J1325" s="2" t="s">
        <v>877</v>
      </c>
      <c r="K1325" s="8">
        <f>(F1325*I1325)</f>
        <v>165</v>
      </c>
    </row>
    <row r="1326" spans="1:11" hidden="1">
      <c r="A1326" s="134"/>
      <c r="F1326" s="91">
        <v>0.5</v>
      </c>
      <c r="G1326" s="90" t="s">
        <v>877</v>
      </c>
      <c r="H1326" s="86" t="s">
        <v>1927</v>
      </c>
      <c r="I1326" s="8">
        <f>(C12)</f>
        <v>95</v>
      </c>
      <c r="J1326" s="2" t="s">
        <v>877</v>
      </c>
      <c r="K1326" s="8">
        <f>(F1326*I1326)</f>
        <v>47.5</v>
      </c>
    </row>
    <row r="1327" spans="1:11" hidden="1">
      <c r="A1327" s="134"/>
      <c r="F1327" s="91">
        <v>1.1000000000000001</v>
      </c>
      <c r="G1327" s="90" t="s">
        <v>877</v>
      </c>
      <c r="H1327" s="86" t="s">
        <v>321</v>
      </c>
      <c r="I1327" s="8">
        <f>(C13)</f>
        <v>85</v>
      </c>
      <c r="J1327" s="2" t="s">
        <v>877</v>
      </c>
      <c r="K1327" s="8">
        <f>(F1327*I1327)</f>
        <v>93.5</v>
      </c>
    </row>
    <row r="1328" spans="1:11" hidden="1">
      <c r="A1328" s="134"/>
      <c r="G1328" s="90" t="s">
        <v>450</v>
      </c>
      <c r="H1328" s="86" t="s">
        <v>451</v>
      </c>
      <c r="I1328" s="1" t="s">
        <v>987</v>
      </c>
      <c r="J1328" s="2" t="s">
        <v>450</v>
      </c>
      <c r="K1328" s="8">
        <v>0</v>
      </c>
    </row>
    <row r="1329" spans="1:11" hidden="1">
      <c r="A1329" s="134"/>
      <c r="I1329"/>
      <c r="J1329" s="4"/>
      <c r="K1329" s="5" t="s">
        <v>1609</v>
      </c>
    </row>
    <row r="1330" spans="1:11" hidden="1">
      <c r="A1330" s="134"/>
      <c r="H1330" s="86" t="s">
        <v>442</v>
      </c>
      <c r="I1330"/>
      <c r="J1330" s="4"/>
      <c r="K1330" s="8" t="e">
        <f>SUM(K1324:K1328)</f>
        <v>#REF!</v>
      </c>
    </row>
    <row r="1331" spans="1:11" hidden="1">
      <c r="A1331" s="134"/>
      <c r="I1331"/>
      <c r="J1331" s="4"/>
      <c r="K1331" s="5" t="s">
        <v>1609</v>
      </c>
    </row>
    <row r="1332" spans="1:11" hidden="1">
      <c r="A1332" s="134"/>
      <c r="H1332" s="86" t="s">
        <v>556</v>
      </c>
      <c r="I1332"/>
      <c r="J1332" s="4"/>
      <c r="K1332" s="8" t="e">
        <f>(K1330/10)</f>
        <v>#REF!</v>
      </c>
    </row>
    <row r="1333" spans="1:11" hidden="1">
      <c r="A1333" s="134"/>
      <c r="F1333" s="86" t="s">
        <v>987</v>
      </c>
      <c r="I1333"/>
      <c r="J1333" s="4"/>
      <c r="K1333"/>
    </row>
    <row r="1334" spans="1:11" hidden="1">
      <c r="A1334" s="134"/>
      <c r="I1334"/>
      <c r="J1334" s="4"/>
      <c r="K1334" s="5" t="s">
        <v>2080</v>
      </c>
    </row>
    <row r="1335" spans="1:11" hidden="1">
      <c r="A1335" s="134"/>
      <c r="F1335" s="102" t="s">
        <v>7</v>
      </c>
      <c r="G1335" s="90" t="s">
        <v>2276</v>
      </c>
      <c r="H1335" s="86" t="s">
        <v>8</v>
      </c>
      <c r="I1335"/>
      <c r="J1335" s="4"/>
      <c r="K1335"/>
    </row>
    <row r="1336" spans="1:11" hidden="1">
      <c r="A1336" s="134"/>
      <c r="H1336" s="89" t="s">
        <v>1609</v>
      </c>
      <c r="I1336"/>
      <c r="J1336" s="4"/>
      <c r="K1336"/>
    </row>
    <row r="1337" spans="1:11" hidden="1">
      <c r="A1337" s="134"/>
      <c r="F1337" s="91">
        <v>0.14000000000000001</v>
      </c>
      <c r="G1337" s="90" t="s">
        <v>878</v>
      </c>
      <c r="H1337" s="86" t="s">
        <v>1327</v>
      </c>
      <c r="I1337" s="8" t="e">
        <f>(K40)</f>
        <v>#REF!</v>
      </c>
      <c r="J1337" s="2" t="s">
        <v>878</v>
      </c>
      <c r="K1337" s="8" t="e">
        <f>(F1337*I1337)</f>
        <v>#REF!</v>
      </c>
    </row>
    <row r="1338" spans="1:11" hidden="1">
      <c r="A1338" s="134"/>
      <c r="F1338" s="91">
        <v>1.1000000000000001</v>
      </c>
      <c r="G1338" s="90" t="s">
        <v>877</v>
      </c>
      <c r="H1338" s="86" t="s">
        <v>2034</v>
      </c>
      <c r="I1338" s="8">
        <f>(C10)</f>
        <v>150</v>
      </c>
      <c r="J1338" s="2" t="s">
        <v>877</v>
      </c>
      <c r="K1338" s="8">
        <f>(F1338*I1338)</f>
        <v>165</v>
      </c>
    </row>
    <row r="1339" spans="1:11" hidden="1">
      <c r="A1339" s="134"/>
      <c r="F1339" s="91">
        <v>0.5</v>
      </c>
      <c r="G1339" s="90" t="s">
        <v>877</v>
      </c>
      <c r="H1339" s="86" t="s">
        <v>1927</v>
      </c>
      <c r="I1339" s="8">
        <f>(C12)</f>
        <v>95</v>
      </c>
      <c r="J1339" s="2" t="s">
        <v>877</v>
      </c>
      <c r="K1339" s="8">
        <f>(F1339*I1339)</f>
        <v>47.5</v>
      </c>
    </row>
    <row r="1340" spans="1:11" hidden="1">
      <c r="A1340" s="134"/>
      <c r="F1340" s="91">
        <v>1.1000000000000001</v>
      </c>
      <c r="G1340" s="90" t="s">
        <v>877</v>
      </c>
      <c r="H1340" s="86" t="s">
        <v>321</v>
      </c>
      <c r="I1340" s="8">
        <f>(C13)</f>
        <v>85</v>
      </c>
      <c r="J1340" s="2" t="s">
        <v>877</v>
      </c>
      <c r="K1340" s="8">
        <f>(F1340*I1340)</f>
        <v>93.5</v>
      </c>
    </row>
    <row r="1341" spans="1:11" hidden="1">
      <c r="A1341" s="134"/>
      <c r="G1341" s="90" t="s">
        <v>450</v>
      </c>
      <c r="H1341" s="86" t="s">
        <v>451</v>
      </c>
      <c r="I1341" s="1" t="s">
        <v>987</v>
      </c>
      <c r="J1341" s="2" t="s">
        <v>450</v>
      </c>
      <c r="K1341" s="8">
        <v>0</v>
      </c>
    </row>
    <row r="1342" spans="1:11" hidden="1">
      <c r="A1342" s="134"/>
      <c r="I1342"/>
      <c r="J1342" s="4"/>
      <c r="K1342" s="5" t="s">
        <v>1609</v>
      </c>
    </row>
    <row r="1343" spans="1:11" hidden="1">
      <c r="A1343" s="134"/>
      <c r="H1343" s="86" t="s">
        <v>442</v>
      </c>
      <c r="I1343"/>
      <c r="J1343" s="4"/>
      <c r="K1343" s="8" t="e">
        <f>SUM(K1337:K1341)</f>
        <v>#REF!</v>
      </c>
    </row>
    <row r="1344" spans="1:11" hidden="1">
      <c r="A1344" s="134"/>
      <c r="I1344"/>
      <c r="J1344" s="4"/>
      <c r="K1344" s="5" t="s">
        <v>1609</v>
      </c>
    </row>
    <row r="1345" spans="1:11" hidden="1">
      <c r="A1345" s="134"/>
      <c r="H1345" s="86" t="s">
        <v>556</v>
      </c>
      <c r="I1345"/>
      <c r="J1345" s="4"/>
      <c r="K1345" s="8" t="e">
        <f>(K1343/10)</f>
        <v>#REF!</v>
      </c>
    </row>
    <row r="1346" spans="1:11" hidden="1">
      <c r="A1346" s="134"/>
      <c r="I1346"/>
      <c r="J1346" s="4"/>
      <c r="K1346" s="5" t="s">
        <v>2080</v>
      </c>
    </row>
    <row r="1347" spans="1:11" hidden="1">
      <c r="A1347" s="134"/>
      <c r="F1347" s="102" t="s">
        <v>9</v>
      </c>
      <c r="G1347" s="90" t="s">
        <v>2276</v>
      </c>
      <c r="H1347" s="86" t="s">
        <v>10</v>
      </c>
      <c r="I1347"/>
      <c r="J1347" s="4"/>
      <c r="K1347"/>
    </row>
    <row r="1348" spans="1:11" hidden="1">
      <c r="A1348" s="134"/>
      <c r="H1348" s="89" t="s">
        <v>1609</v>
      </c>
      <c r="I1348"/>
      <c r="J1348" s="4"/>
      <c r="K1348"/>
    </row>
    <row r="1349" spans="1:11" hidden="1">
      <c r="A1349" s="134"/>
      <c r="F1349" s="91">
        <v>0.1</v>
      </c>
      <c r="G1349" s="90" t="s">
        <v>878</v>
      </c>
      <c r="H1349" s="86" t="s">
        <v>1373</v>
      </c>
      <c r="I1349" s="8" t="e">
        <f>(K32)</f>
        <v>#REF!</v>
      </c>
      <c r="J1349" s="2" t="s">
        <v>878</v>
      </c>
      <c r="K1349" s="8" t="e">
        <f>(F1349*I1349)</f>
        <v>#REF!</v>
      </c>
    </row>
    <row r="1350" spans="1:11" hidden="1">
      <c r="A1350" s="134"/>
      <c r="F1350" s="91">
        <v>1.1000000000000001</v>
      </c>
      <c r="G1350" s="90" t="s">
        <v>877</v>
      </c>
      <c r="H1350" s="86" t="s">
        <v>2034</v>
      </c>
      <c r="I1350" s="8">
        <f>(C10)</f>
        <v>150</v>
      </c>
      <c r="J1350" s="2" t="s">
        <v>877</v>
      </c>
      <c r="K1350" s="8">
        <f>(F1350*I1350)</f>
        <v>165</v>
      </c>
    </row>
    <row r="1351" spans="1:11" hidden="1">
      <c r="A1351" s="134"/>
      <c r="F1351" s="91">
        <v>1.1000000000000001</v>
      </c>
      <c r="G1351" s="90" t="s">
        <v>877</v>
      </c>
      <c r="H1351" s="86" t="s">
        <v>1927</v>
      </c>
      <c r="I1351" s="8">
        <f>(C12)</f>
        <v>95</v>
      </c>
      <c r="J1351" s="2" t="s">
        <v>877</v>
      </c>
      <c r="K1351" s="8">
        <f>(F1351*I1351)</f>
        <v>104.5</v>
      </c>
    </row>
    <row r="1352" spans="1:11" hidden="1">
      <c r="A1352" s="134"/>
      <c r="F1352" s="91">
        <v>1.1000000000000001</v>
      </c>
      <c r="G1352" s="90" t="s">
        <v>877</v>
      </c>
      <c r="H1352" s="86" t="s">
        <v>321</v>
      </c>
      <c r="I1352" s="8">
        <f>(C13)</f>
        <v>85</v>
      </c>
      <c r="J1352" s="2" t="s">
        <v>877</v>
      </c>
      <c r="K1352" s="8">
        <f>(F1352*I1352)</f>
        <v>93.5</v>
      </c>
    </row>
    <row r="1353" spans="1:11" hidden="1">
      <c r="A1353" s="134"/>
      <c r="G1353" s="90" t="s">
        <v>450</v>
      </c>
      <c r="H1353" s="86" t="s">
        <v>451</v>
      </c>
      <c r="I1353" s="1" t="s">
        <v>987</v>
      </c>
      <c r="J1353" s="2" t="s">
        <v>450</v>
      </c>
      <c r="K1353" s="8">
        <v>0</v>
      </c>
    </row>
    <row r="1354" spans="1:11" hidden="1">
      <c r="A1354" s="134"/>
      <c r="I1354"/>
      <c r="J1354" s="4"/>
      <c r="K1354" s="5" t="s">
        <v>1609</v>
      </c>
    </row>
    <row r="1355" spans="1:11" hidden="1">
      <c r="A1355" s="134"/>
      <c r="H1355" s="86" t="s">
        <v>442</v>
      </c>
      <c r="I1355"/>
      <c r="J1355" s="4"/>
      <c r="K1355" s="8" t="e">
        <f>SUM(K1349:K1353)</f>
        <v>#REF!</v>
      </c>
    </row>
    <row r="1356" spans="1:11" hidden="1">
      <c r="A1356" s="134"/>
      <c r="I1356"/>
      <c r="J1356" s="4"/>
      <c r="K1356" s="5" t="s">
        <v>1609</v>
      </c>
    </row>
    <row r="1357" spans="1:11" hidden="1">
      <c r="A1357" s="134"/>
      <c r="H1357" s="86" t="s">
        <v>556</v>
      </c>
      <c r="I1357"/>
      <c r="J1357" s="4"/>
      <c r="K1357" s="8" t="e">
        <f>(K1355/10)</f>
        <v>#REF!</v>
      </c>
    </row>
    <row r="1358" spans="1:11" hidden="1">
      <c r="A1358" s="134"/>
      <c r="I1358"/>
      <c r="J1358" s="4"/>
      <c r="K1358" s="5" t="s">
        <v>2080</v>
      </c>
    </row>
    <row r="1359" spans="1:11" hidden="1">
      <c r="A1359" s="134"/>
      <c r="I1359"/>
      <c r="J1359" s="4"/>
      <c r="K1359"/>
    </row>
    <row r="1360" spans="1:11" hidden="1">
      <c r="A1360" s="134"/>
      <c r="G1360" s="90" t="s">
        <v>2276</v>
      </c>
      <c r="H1360" s="86" t="s">
        <v>851</v>
      </c>
      <c r="I1360"/>
      <c r="J1360" s="4"/>
      <c r="K1360"/>
    </row>
    <row r="1361" spans="1:11" hidden="1">
      <c r="A1361" s="134"/>
      <c r="H1361" s="86" t="s">
        <v>852</v>
      </c>
      <c r="I1361"/>
      <c r="J1361" s="4"/>
      <c r="K1361"/>
    </row>
    <row r="1362" spans="1:11" hidden="1">
      <c r="A1362" s="134"/>
      <c r="H1362" s="86" t="s">
        <v>853</v>
      </c>
      <c r="I1362"/>
      <c r="J1362" s="4"/>
      <c r="K1362"/>
    </row>
    <row r="1363" spans="1:11" hidden="1">
      <c r="A1363" s="134"/>
      <c r="H1363" s="89" t="s">
        <v>1609</v>
      </c>
      <c r="I1363"/>
      <c r="J1363" s="4"/>
      <c r="K1363"/>
    </row>
    <row r="1364" spans="1:11" hidden="1">
      <c r="A1364" s="134"/>
      <c r="F1364" s="91">
        <v>0.14000000000000001</v>
      </c>
      <c r="G1364" s="90" t="s">
        <v>878</v>
      </c>
      <c r="H1364" s="86" t="s">
        <v>1373</v>
      </c>
      <c r="I1364" s="8" t="e">
        <f>(K32)</f>
        <v>#REF!</v>
      </c>
      <c r="J1364" s="2" t="s">
        <v>878</v>
      </c>
      <c r="K1364" s="8" t="e">
        <f>(F1364*I1364)</f>
        <v>#REF!</v>
      </c>
    </row>
    <row r="1365" spans="1:11" hidden="1">
      <c r="A1365" s="134"/>
      <c r="F1365" s="91">
        <v>1.1000000000000001</v>
      </c>
      <c r="G1365" s="90" t="s">
        <v>877</v>
      </c>
      <c r="H1365" s="86" t="s">
        <v>2034</v>
      </c>
      <c r="I1365" s="8">
        <f>(C10)</f>
        <v>150</v>
      </c>
      <c r="J1365" s="2" t="s">
        <v>877</v>
      </c>
      <c r="K1365" s="8">
        <f>(F1365*I1365)</f>
        <v>165</v>
      </c>
    </row>
    <row r="1366" spans="1:11" hidden="1">
      <c r="A1366" s="134"/>
      <c r="F1366" s="91">
        <v>0.5</v>
      </c>
      <c r="G1366" s="90" t="s">
        <v>877</v>
      </c>
      <c r="H1366" s="86" t="s">
        <v>1927</v>
      </c>
      <c r="I1366" s="8">
        <f>(C12)</f>
        <v>95</v>
      </c>
      <c r="J1366" s="2" t="s">
        <v>877</v>
      </c>
      <c r="K1366" s="8">
        <f>(F1366*I1366)</f>
        <v>47.5</v>
      </c>
    </row>
    <row r="1367" spans="1:11" hidden="1">
      <c r="A1367" s="134"/>
      <c r="F1367" s="91">
        <v>1.1000000000000001</v>
      </c>
      <c r="G1367" s="90" t="s">
        <v>877</v>
      </c>
      <c r="H1367" s="86" t="s">
        <v>321</v>
      </c>
      <c r="I1367" s="8">
        <f>(C13)</f>
        <v>85</v>
      </c>
      <c r="J1367" s="2" t="s">
        <v>877</v>
      </c>
      <c r="K1367" s="8">
        <f>(F1367*I1367)</f>
        <v>93.5</v>
      </c>
    </row>
    <row r="1368" spans="1:11" hidden="1">
      <c r="A1368" s="134"/>
      <c r="F1368" s="91">
        <v>2</v>
      </c>
      <c r="G1368" s="90" t="s">
        <v>1670</v>
      </c>
      <c r="H1368" s="86" t="s">
        <v>854</v>
      </c>
      <c r="I1368" s="8">
        <f>(C631)</f>
        <v>30</v>
      </c>
      <c r="J1368" s="2" t="s">
        <v>1670</v>
      </c>
      <c r="K1368" s="8">
        <f>(F1368*I1368)</f>
        <v>60</v>
      </c>
    </row>
    <row r="1369" spans="1:11" hidden="1">
      <c r="A1369" s="134"/>
      <c r="G1369" s="90" t="s">
        <v>450</v>
      </c>
      <c r="H1369" s="86" t="s">
        <v>451</v>
      </c>
      <c r="I1369" s="1" t="s">
        <v>987</v>
      </c>
      <c r="J1369" s="2" t="s">
        <v>450</v>
      </c>
      <c r="K1369" s="8">
        <v>0</v>
      </c>
    </row>
    <row r="1370" spans="1:11" hidden="1">
      <c r="A1370" s="134"/>
      <c r="I1370"/>
      <c r="J1370" s="4"/>
      <c r="K1370" s="5" t="s">
        <v>1609</v>
      </c>
    </row>
    <row r="1371" spans="1:11" hidden="1">
      <c r="A1371" s="134"/>
      <c r="F1371" s="86" t="s">
        <v>987</v>
      </c>
      <c r="H1371" s="86" t="s">
        <v>442</v>
      </c>
      <c r="I1371"/>
      <c r="J1371" s="4"/>
      <c r="K1371" s="8" t="e">
        <f>SUM(K1364:K1369)</f>
        <v>#REF!</v>
      </c>
    </row>
    <row r="1372" spans="1:11" hidden="1">
      <c r="A1372" s="134"/>
      <c r="I1372"/>
      <c r="J1372" s="4"/>
      <c r="K1372" s="5" t="s">
        <v>1609</v>
      </c>
    </row>
    <row r="1373" spans="1:11" hidden="1">
      <c r="A1373" s="134"/>
      <c r="H1373" s="86" t="s">
        <v>556</v>
      </c>
      <c r="I1373"/>
      <c r="J1373" s="4"/>
      <c r="K1373" s="8" t="e">
        <f>(K1371/10)</f>
        <v>#REF!</v>
      </c>
    </row>
    <row r="1374" spans="1:11" hidden="1">
      <c r="A1374" s="134"/>
      <c r="I1374"/>
      <c r="J1374" s="4"/>
      <c r="K1374" s="5" t="s">
        <v>2080</v>
      </c>
    </row>
    <row r="1375" spans="1:11" hidden="1">
      <c r="A1375" s="134"/>
      <c r="H1375" s="86" t="s">
        <v>987</v>
      </c>
      <c r="I1375"/>
      <c r="J1375" s="4"/>
      <c r="K1375"/>
    </row>
    <row r="1376" spans="1:11" hidden="1">
      <c r="A1376" s="134"/>
      <c r="I1376"/>
      <c r="J1376" s="4"/>
      <c r="K1376"/>
    </row>
    <row r="1377" spans="1:11" hidden="1">
      <c r="A1377" s="134"/>
      <c r="F1377" s="102" t="s">
        <v>855</v>
      </c>
      <c r="G1377" s="90" t="s">
        <v>2276</v>
      </c>
      <c r="H1377" s="86" t="s">
        <v>856</v>
      </c>
      <c r="I1377"/>
      <c r="J1377" s="4"/>
      <c r="K1377"/>
    </row>
    <row r="1378" spans="1:11" hidden="1">
      <c r="A1378" s="134"/>
      <c r="H1378" s="86" t="s">
        <v>1380</v>
      </c>
      <c r="I1378"/>
      <c r="J1378" s="4"/>
      <c r="K1378"/>
    </row>
    <row r="1379" spans="1:11" hidden="1">
      <c r="A1379" s="134"/>
      <c r="H1379" s="86" t="s">
        <v>1381</v>
      </c>
      <c r="I1379"/>
      <c r="J1379" s="4"/>
      <c r="K1379"/>
    </row>
    <row r="1380" spans="1:11" hidden="1">
      <c r="A1380" s="134"/>
      <c r="H1380" s="86" t="s">
        <v>704</v>
      </c>
      <c r="I1380"/>
      <c r="J1380" s="4"/>
      <c r="K1380"/>
    </row>
    <row r="1381" spans="1:11" hidden="1">
      <c r="A1381" s="134"/>
      <c r="H1381" s="89" t="s">
        <v>1609</v>
      </c>
      <c r="I1381" s="5" t="s">
        <v>1609</v>
      </c>
      <c r="J1381" s="4"/>
      <c r="K1381"/>
    </row>
    <row r="1382" spans="1:11" hidden="1">
      <c r="A1382" s="134"/>
      <c r="G1382" s="90" t="s">
        <v>1932</v>
      </c>
      <c r="H1382" s="86" t="s">
        <v>705</v>
      </c>
      <c r="I1382"/>
      <c r="J1382" s="4"/>
      <c r="K1382"/>
    </row>
    <row r="1383" spans="1:11" hidden="1">
      <c r="A1383" s="134"/>
      <c r="G1383" s="90" t="s">
        <v>1609</v>
      </c>
      <c r="H1383" s="89" t="s">
        <v>1609</v>
      </c>
      <c r="I1383"/>
      <c r="J1383" s="4"/>
      <c r="K1383"/>
    </row>
    <row r="1384" spans="1:11" hidden="1">
      <c r="A1384" s="134"/>
      <c r="F1384" s="122">
        <v>1.4E-2</v>
      </c>
      <c r="G1384" s="90" t="s">
        <v>2176</v>
      </c>
      <c r="H1384" s="86" t="s">
        <v>706</v>
      </c>
      <c r="I1384" s="8" t="e">
        <f>K49</f>
        <v>#REF!</v>
      </c>
      <c r="J1384" s="2" t="s">
        <v>2176</v>
      </c>
      <c r="K1384" s="8" t="e">
        <f>(F1384*I1384)</f>
        <v>#REF!</v>
      </c>
    </row>
    <row r="1385" spans="1:11" hidden="1">
      <c r="A1385" s="134"/>
      <c r="F1385" s="91">
        <v>0.3</v>
      </c>
      <c r="G1385" s="90" t="s">
        <v>564</v>
      </c>
      <c r="H1385" s="86" t="s">
        <v>707</v>
      </c>
      <c r="I1385" s="8">
        <f>C10</f>
        <v>150</v>
      </c>
      <c r="J1385" s="2" t="s">
        <v>564</v>
      </c>
      <c r="K1385" s="8">
        <f>(F1385*I1385)</f>
        <v>45</v>
      </c>
    </row>
    <row r="1386" spans="1:11" hidden="1">
      <c r="A1386" s="134"/>
      <c r="F1386" s="91">
        <v>0.3</v>
      </c>
      <c r="G1386" s="90" t="s">
        <v>564</v>
      </c>
      <c r="H1386" s="86" t="s">
        <v>832</v>
      </c>
      <c r="I1386" s="8">
        <f>C12</f>
        <v>95</v>
      </c>
      <c r="J1386" s="2" t="s">
        <v>564</v>
      </c>
      <c r="K1386" s="8">
        <f>(F1386*I1386)</f>
        <v>28.5</v>
      </c>
    </row>
    <row r="1387" spans="1:11" hidden="1">
      <c r="A1387" s="134"/>
      <c r="G1387" s="90" t="s">
        <v>450</v>
      </c>
      <c r="H1387" s="86" t="s">
        <v>2296</v>
      </c>
      <c r="I1387"/>
      <c r="J1387" s="2" t="s">
        <v>450</v>
      </c>
      <c r="K1387">
        <v>0</v>
      </c>
    </row>
    <row r="1388" spans="1:11" hidden="1">
      <c r="A1388" s="134"/>
      <c r="I1388"/>
      <c r="J1388" s="4"/>
      <c r="K1388" s="5" t="s">
        <v>1609</v>
      </c>
    </row>
    <row r="1389" spans="1:11" hidden="1">
      <c r="A1389" s="134"/>
      <c r="H1389" s="102" t="s">
        <v>708</v>
      </c>
      <c r="I1389"/>
      <c r="J1389" s="4"/>
      <c r="K1389" s="8" t="e">
        <f>SUM(K1384:K1387)</f>
        <v>#REF!</v>
      </c>
    </row>
    <row r="1390" spans="1:11" hidden="1">
      <c r="A1390" s="134"/>
      <c r="I1390"/>
      <c r="J1390" s="4"/>
      <c r="K1390" s="5" t="s">
        <v>1609</v>
      </c>
    </row>
    <row r="1391" spans="1:11" hidden="1">
      <c r="A1391" s="134"/>
      <c r="H1391" s="102" t="s">
        <v>709</v>
      </c>
      <c r="I1391"/>
      <c r="J1391" s="4"/>
      <c r="K1391" s="8" t="e">
        <f>K1389/6.77</f>
        <v>#REF!</v>
      </c>
    </row>
    <row r="1392" spans="1:11" hidden="1">
      <c r="A1392" s="134"/>
      <c r="F1392" s="86" t="s">
        <v>987</v>
      </c>
      <c r="I1392"/>
      <c r="J1392" s="4"/>
      <c r="K1392"/>
    </row>
    <row r="1393" spans="1:11" hidden="1">
      <c r="A1393" s="134"/>
      <c r="I1393"/>
      <c r="J1393" s="4"/>
      <c r="K1393" s="5" t="s">
        <v>2080</v>
      </c>
    </row>
    <row r="1394" spans="1:11" hidden="1">
      <c r="A1394" s="134"/>
      <c r="G1394" s="90" t="s">
        <v>522</v>
      </c>
      <c r="H1394" s="86" t="s">
        <v>710</v>
      </c>
      <c r="I1394"/>
      <c r="J1394" s="4"/>
      <c r="K1394"/>
    </row>
    <row r="1395" spans="1:11" hidden="1">
      <c r="A1395" s="134"/>
      <c r="G1395" s="90" t="s">
        <v>1609</v>
      </c>
      <c r="H1395" s="89" t="s">
        <v>1609</v>
      </c>
      <c r="I1395"/>
      <c r="J1395" s="4"/>
      <c r="K1395"/>
    </row>
    <row r="1396" spans="1:11" hidden="1">
      <c r="A1396" s="134"/>
      <c r="F1396" s="122">
        <v>7.0000000000000001E-3</v>
      </c>
      <c r="G1396" s="90" t="s">
        <v>2176</v>
      </c>
      <c r="H1396" s="86" t="s">
        <v>706</v>
      </c>
      <c r="I1396" s="8" t="e">
        <f>K49</f>
        <v>#REF!</v>
      </c>
      <c r="J1396" s="2" t="s">
        <v>2176</v>
      </c>
      <c r="K1396" s="8" t="e">
        <f>(F1396*I1396)</f>
        <v>#REF!</v>
      </c>
    </row>
    <row r="1397" spans="1:11" hidden="1">
      <c r="A1397" s="134"/>
      <c r="F1397" s="91">
        <v>0.2</v>
      </c>
      <c r="G1397" s="90" t="s">
        <v>564</v>
      </c>
      <c r="H1397" s="86" t="s">
        <v>707</v>
      </c>
      <c r="I1397" s="8">
        <f>C10</f>
        <v>150</v>
      </c>
      <c r="J1397" s="2" t="s">
        <v>564</v>
      </c>
      <c r="K1397" s="8">
        <f>(F1397*I1397)</f>
        <v>30</v>
      </c>
    </row>
    <row r="1398" spans="1:11" hidden="1">
      <c r="A1398" s="134"/>
      <c r="F1398" s="91">
        <v>0.2</v>
      </c>
      <c r="G1398" s="90" t="s">
        <v>564</v>
      </c>
      <c r="H1398" s="86" t="s">
        <v>832</v>
      </c>
      <c r="I1398" s="8">
        <f>C12</f>
        <v>95</v>
      </c>
      <c r="J1398" s="2" t="s">
        <v>564</v>
      </c>
      <c r="K1398" s="8">
        <f>(F1398*I1398)</f>
        <v>19</v>
      </c>
    </row>
    <row r="1399" spans="1:11" hidden="1">
      <c r="A1399" s="134"/>
      <c r="H1399" s="86" t="s">
        <v>2296</v>
      </c>
      <c r="I1399"/>
      <c r="J1399" s="4"/>
      <c r="K1399">
        <v>0</v>
      </c>
    </row>
    <row r="1400" spans="1:11" hidden="1">
      <c r="A1400" s="134"/>
      <c r="I1400"/>
      <c r="J1400" s="4"/>
      <c r="K1400" s="5" t="s">
        <v>1609</v>
      </c>
    </row>
    <row r="1401" spans="1:11" hidden="1">
      <c r="A1401" s="134"/>
      <c r="H1401" s="102" t="s">
        <v>708</v>
      </c>
      <c r="I1401"/>
      <c r="J1401" s="4"/>
      <c r="K1401" s="8" t="e">
        <f>SUM(K1396:K1399)</f>
        <v>#REF!</v>
      </c>
    </row>
    <row r="1402" spans="1:11" hidden="1">
      <c r="A1402" s="134"/>
      <c r="I1402"/>
      <c r="J1402" s="4"/>
      <c r="K1402" s="5" t="s">
        <v>1609</v>
      </c>
    </row>
    <row r="1403" spans="1:11" hidden="1">
      <c r="A1403" s="134"/>
      <c r="H1403" s="102" t="s">
        <v>709</v>
      </c>
      <c r="I1403"/>
      <c r="J1403" s="4"/>
      <c r="K1403" s="8" t="e">
        <f>K1401/6.77</f>
        <v>#REF!</v>
      </c>
    </row>
    <row r="1404" spans="1:11" hidden="1">
      <c r="A1404" s="134"/>
      <c r="I1404"/>
      <c r="J1404" s="4"/>
      <c r="K1404" s="5" t="s">
        <v>2080</v>
      </c>
    </row>
    <row r="1405" spans="1:11" hidden="1">
      <c r="A1405" s="134"/>
      <c r="I1405"/>
      <c r="J1405" s="4"/>
      <c r="K1405" s="5"/>
    </row>
    <row r="1406" spans="1:11" hidden="1">
      <c r="A1406" s="134"/>
      <c r="I1406"/>
      <c r="J1406" s="4"/>
      <c r="K1406" s="5"/>
    </row>
    <row r="1407" spans="1:11" hidden="1">
      <c r="A1407" s="134"/>
      <c r="G1407" s="90" t="s">
        <v>317</v>
      </c>
      <c r="H1407" s="86" t="s">
        <v>949</v>
      </c>
      <c r="I1407"/>
      <c r="J1407" s="4"/>
      <c r="K1407" s="5"/>
    </row>
    <row r="1408" spans="1:11" hidden="1">
      <c r="A1408" s="134"/>
      <c r="G1408" s="90" t="s">
        <v>1609</v>
      </c>
      <c r="H1408" s="89" t="s">
        <v>1609</v>
      </c>
      <c r="I1408"/>
      <c r="J1408" s="4"/>
      <c r="K1408" s="5"/>
    </row>
    <row r="1409" spans="1:11" hidden="1">
      <c r="A1409" s="134"/>
      <c r="F1409" s="122">
        <v>4.7000000000000002E-3</v>
      </c>
      <c r="G1409" s="90" t="s">
        <v>2176</v>
      </c>
      <c r="H1409" s="86" t="s">
        <v>706</v>
      </c>
      <c r="I1409" t="e">
        <f>K49</f>
        <v>#REF!</v>
      </c>
      <c r="J1409" s="2" t="s">
        <v>2176</v>
      </c>
      <c r="K1409" s="8" t="e">
        <f>(F1409*I1409)</f>
        <v>#REF!</v>
      </c>
    </row>
    <row r="1410" spans="1:11" hidden="1">
      <c r="A1410" s="134"/>
      <c r="F1410" s="91">
        <v>0.15</v>
      </c>
      <c r="G1410" s="90" t="s">
        <v>564</v>
      </c>
      <c r="H1410" s="86" t="s">
        <v>707</v>
      </c>
      <c r="I1410">
        <f>C10</f>
        <v>150</v>
      </c>
      <c r="J1410" s="2" t="s">
        <v>564</v>
      </c>
      <c r="K1410" s="8">
        <f>(F1410*I1410)</f>
        <v>22.5</v>
      </c>
    </row>
    <row r="1411" spans="1:11" hidden="1">
      <c r="A1411" s="134"/>
      <c r="F1411" s="91">
        <v>0.15</v>
      </c>
      <c r="G1411" s="90" t="s">
        <v>564</v>
      </c>
      <c r="H1411" s="86" t="s">
        <v>832</v>
      </c>
      <c r="I1411">
        <f>C12</f>
        <v>95</v>
      </c>
      <c r="J1411" s="2" t="s">
        <v>564</v>
      </c>
      <c r="K1411" s="8">
        <f>(F1411*I1411)</f>
        <v>14.25</v>
      </c>
    </row>
    <row r="1412" spans="1:11" hidden="1">
      <c r="A1412" s="134"/>
      <c r="H1412" s="86" t="s">
        <v>2296</v>
      </c>
      <c r="I1412"/>
      <c r="J1412" s="4"/>
      <c r="K1412">
        <v>0</v>
      </c>
    </row>
    <row r="1413" spans="1:11" hidden="1">
      <c r="A1413" s="134"/>
      <c r="I1413"/>
      <c r="J1413" s="4"/>
      <c r="K1413" s="5" t="s">
        <v>1609</v>
      </c>
    </row>
    <row r="1414" spans="1:11" hidden="1">
      <c r="A1414" s="134"/>
      <c r="H1414" s="102" t="s">
        <v>708</v>
      </c>
      <c r="I1414"/>
      <c r="J1414" s="4"/>
      <c r="K1414" s="8" t="e">
        <f>SUM(K1409:K1412)</f>
        <v>#REF!</v>
      </c>
    </row>
    <row r="1415" spans="1:11" hidden="1">
      <c r="A1415" s="134"/>
      <c r="I1415"/>
      <c r="J1415" s="4"/>
      <c r="K1415" s="5" t="s">
        <v>1609</v>
      </c>
    </row>
    <row r="1416" spans="1:11" hidden="1">
      <c r="A1416" s="134"/>
      <c r="H1416" s="102" t="s">
        <v>709</v>
      </c>
      <c r="I1416"/>
      <c r="J1416" s="4"/>
      <c r="K1416" s="8" t="e">
        <f>K1414/6.77</f>
        <v>#REF!</v>
      </c>
    </row>
    <row r="1417" spans="1:11" hidden="1">
      <c r="A1417" s="134"/>
      <c r="I1417"/>
      <c r="J1417" s="4"/>
      <c r="K1417" s="5" t="s">
        <v>2080</v>
      </c>
    </row>
    <row r="1418" spans="1:11" hidden="1">
      <c r="A1418" s="134"/>
      <c r="I1418"/>
      <c r="J1418" s="4"/>
      <c r="K1418" s="5"/>
    </row>
    <row r="1419" spans="1:11" hidden="1">
      <c r="A1419" s="134"/>
      <c r="F1419" s="112">
        <v>37.1</v>
      </c>
      <c r="G1419" s="90" t="s">
        <v>2276</v>
      </c>
      <c r="H1419" s="86" t="s">
        <v>395</v>
      </c>
      <c r="I1419"/>
      <c r="J1419" s="4"/>
      <c r="K1419"/>
    </row>
    <row r="1420" spans="1:11" hidden="1">
      <c r="A1420" s="134"/>
      <c r="H1420" s="89" t="s">
        <v>1609</v>
      </c>
      <c r="I1420"/>
      <c r="J1420" s="4"/>
      <c r="K1420"/>
    </row>
    <row r="1421" spans="1:11" hidden="1">
      <c r="A1421" s="134"/>
      <c r="F1421" s="91">
        <v>0.09</v>
      </c>
      <c r="G1421" s="90" t="s">
        <v>878</v>
      </c>
      <c r="H1421" s="86" t="s">
        <v>2029</v>
      </c>
      <c r="I1421" s="8">
        <f>(C84)</f>
        <v>773</v>
      </c>
      <c r="J1421" s="2" t="s">
        <v>878</v>
      </c>
      <c r="K1421" s="8">
        <f>(F1421*I1421)</f>
        <v>69.569999999999993</v>
      </c>
    </row>
    <row r="1422" spans="1:11" hidden="1">
      <c r="A1422" s="134"/>
      <c r="F1422" s="91">
        <v>2.2000000000000002</v>
      </c>
      <c r="G1422" s="90" t="s">
        <v>877</v>
      </c>
      <c r="H1422" s="86" t="s">
        <v>1737</v>
      </c>
      <c r="I1422" s="8">
        <f>(C11)</f>
        <v>135</v>
      </c>
      <c r="J1422" s="2" t="s">
        <v>877</v>
      </c>
      <c r="K1422" s="8">
        <f>(F1422*I1422)</f>
        <v>297</v>
      </c>
    </row>
    <row r="1423" spans="1:11" hidden="1">
      <c r="A1423" s="134"/>
      <c r="F1423" s="91">
        <v>0.5</v>
      </c>
      <c r="G1423" s="90" t="s">
        <v>877</v>
      </c>
      <c r="H1423" s="86" t="s">
        <v>1927</v>
      </c>
      <c r="I1423" s="8">
        <f>(C12)</f>
        <v>95</v>
      </c>
      <c r="J1423" s="2" t="s">
        <v>877</v>
      </c>
      <c r="K1423" s="8">
        <f>(F1423*I1423)</f>
        <v>47.5</v>
      </c>
    </row>
    <row r="1424" spans="1:11" hidden="1">
      <c r="A1424" s="134"/>
      <c r="F1424" s="91">
        <v>3.8</v>
      </c>
      <c r="G1424" s="90" t="s">
        <v>877</v>
      </c>
      <c r="H1424" s="86" t="s">
        <v>321</v>
      </c>
      <c r="I1424" s="8">
        <f>(C13)</f>
        <v>85</v>
      </c>
      <c r="J1424" s="2" t="s">
        <v>877</v>
      </c>
      <c r="K1424" s="8">
        <f>(F1424*I1424)</f>
        <v>323</v>
      </c>
    </row>
    <row r="1425" spans="1:11" hidden="1">
      <c r="A1425" s="134"/>
      <c r="G1425" s="90" t="s">
        <v>450</v>
      </c>
      <c r="H1425" s="86" t="s">
        <v>506</v>
      </c>
      <c r="I1425" s="1" t="s">
        <v>987</v>
      </c>
      <c r="J1425" s="2" t="s">
        <v>450</v>
      </c>
      <c r="K1425" s="8">
        <v>1.5</v>
      </c>
    </row>
    <row r="1426" spans="1:11" hidden="1">
      <c r="A1426" s="134"/>
      <c r="I1426"/>
      <c r="J1426" s="4"/>
      <c r="K1426" s="5" t="s">
        <v>1609</v>
      </c>
    </row>
    <row r="1427" spans="1:11" hidden="1">
      <c r="A1427" s="134"/>
      <c r="H1427" s="86" t="s">
        <v>1863</v>
      </c>
      <c r="I1427"/>
      <c r="J1427" s="4"/>
      <c r="K1427" s="8">
        <f>SUM(K1420:K1425)</f>
        <v>738.57</v>
      </c>
    </row>
    <row r="1428" spans="1:11" hidden="1">
      <c r="A1428" s="134"/>
      <c r="I1428"/>
      <c r="J1428" s="4"/>
      <c r="K1428" s="5" t="s">
        <v>1609</v>
      </c>
    </row>
    <row r="1429" spans="1:11" hidden="1">
      <c r="A1429" s="134"/>
      <c r="H1429" s="86" t="s">
        <v>556</v>
      </c>
      <c r="I1429"/>
      <c r="J1429" s="4"/>
      <c r="K1429" s="8">
        <f>(K1427/100)</f>
        <v>7.39</v>
      </c>
    </row>
    <row r="1430" spans="1:11" hidden="1">
      <c r="A1430" s="134"/>
      <c r="I1430"/>
      <c r="J1430" s="4"/>
      <c r="K1430" s="5" t="s">
        <v>2080</v>
      </c>
    </row>
    <row r="1431" spans="1:11" hidden="1">
      <c r="A1431" s="134"/>
      <c r="F1431" s="102" t="s">
        <v>857</v>
      </c>
      <c r="G1431" s="90" t="s">
        <v>2276</v>
      </c>
      <c r="H1431" s="86" t="s">
        <v>1012</v>
      </c>
      <c r="I1431"/>
      <c r="J1431" s="4"/>
      <c r="K1431"/>
    </row>
    <row r="1432" spans="1:11" hidden="1">
      <c r="A1432" s="134"/>
      <c r="H1432" s="86" t="s">
        <v>1013</v>
      </c>
      <c r="I1432"/>
      <c r="J1432" s="4"/>
      <c r="K1432"/>
    </row>
    <row r="1433" spans="1:11" hidden="1">
      <c r="A1433" s="134"/>
      <c r="H1433" s="86" t="s">
        <v>1014</v>
      </c>
      <c r="I1433"/>
      <c r="J1433" s="4"/>
      <c r="K1433"/>
    </row>
    <row r="1434" spans="1:11" hidden="1">
      <c r="A1434" s="134"/>
      <c r="H1434" s="86" t="s">
        <v>30</v>
      </c>
      <c r="I1434"/>
      <c r="J1434" s="4"/>
      <c r="K1434"/>
    </row>
    <row r="1435" spans="1:11" hidden="1">
      <c r="A1435" s="134"/>
      <c r="H1435" s="89" t="s">
        <v>1609</v>
      </c>
      <c r="I1435"/>
      <c r="J1435" s="4"/>
      <c r="K1435"/>
    </row>
    <row r="1436" spans="1:11" hidden="1">
      <c r="A1436" s="134"/>
      <c r="F1436" s="91">
        <v>4.8</v>
      </c>
      <c r="G1436" s="90" t="s">
        <v>1670</v>
      </c>
      <c r="H1436" s="86" t="s">
        <v>441</v>
      </c>
      <c r="I1436" s="8">
        <f>(C270)</f>
        <v>35</v>
      </c>
      <c r="J1436" s="2" t="s">
        <v>1670</v>
      </c>
      <c r="K1436" s="8">
        <f>(F1436*I1436)</f>
        <v>168</v>
      </c>
    </row>
    <row r="1437" spans="1:11" hidden="1">
      <c r="A1437" s="134"/>
      <c r="F1437" s="91">
        <v>0.75</v>
      </c>
      <c r="G1437" s="90" t="s">
        <v>877</v>
      </c>
      <c r="H1437" s="86" t="s">
        <v>31</v>
      </c>
      <c r="I1437" s="8">
        <f>(C14)</f>
        <v>120</v>
      </c>
      <c r="J1437" s="2" t="s">
        <v>877</v>
      </c>
      <c r="K1437" s="8">
        <f>(F1437*I1437)</f>
        <v>90</v>
      </c>
    </row>
    <row r="1438" spans="1:11" hidden="1">
      <c r="A1438" s="134"/>
      <c r="F1438" s="91">
        <v>0.75</v>
      </c>
      <c r="G1438" s="90" t="s">
        <v>877</v>
      </c>
      <c r="H1438" s="86" t="s">
        <v>944</v>
      </c>
      <c r="I1438" s="8">
        <f>(C12)</f>
        <v>95</v>
      </c>
      <c r="J1438" s="2" t="s">
        <v>877</v>
      </c>
      <c r="K1438" s="8">
        <f>(F1438*I1438)</f>
        <v>71.25</v>
      </c>
    </row>
    <row r="1439" spans="1:11" hidden="1">
      <c r="A1439" s="134"/>
      <c r="F1439" s="91">
        <v>1.2</v>
      </c>
      <c r="G1439" s="90" t="s">
        <v>877</v>
      </c>
      <c r="H1439" s="86" t="s">
        <v>321</v>
      </c>
      <c r="I1439" s="8">
        <f>(C13)</f>
        <v>85</v>
      </c>
      <c r="J1439" s="2" t="s">
        <v>877</v>
      </c>
      <c r="K1439" s="8">
        <f>(F1439*I1439)</f>
        <v>102</v>
      </c>
    </row>
    <row r="1440" spans="1:11" hidden="1">
      <c r="A1440" s="134"/>
      <c r="G1440" s="90" t="s">
        <v>450</v>
      </c>
      <c r="H1440" s="86" t="s">
        <v>1861</v>
      </c>
      <c r="I1440" s="1" t="s">
        <v>987</v>
      </c>
      <c r="J1440" s="2" t="s">
        <v>450</v>
      </c>
      <c r="K1440" s="8">
        <v>1.45</v>
      </c>
    </row>
    <row r="1441" spans="1:11" hidden="1">
      <c r="A1441" s="134"/>
      <c r="I1441"/>
      <c r="J1441" s="4"/>
      <c r="K1441" s="5" t="s">
        <v>1609</v>
      </c>
    </row>
    <row r="1442" spans="1:11" hidden="1">
      <c r="A1442" s="134"/>
      <c r="H1442" s="86" t="s">
        <v>442</v>
      </c>
      <c r="I1442"/>
      <c r="J1442" s="4"/>
      <c r="K1442" s="8">
        <f>SUM(K1436:K1440)</f>
        <v>432.7</v>
      </c>
    </row>
    <row r="1443" spans="1:11" hidden="1">
      <c r="A1443" s="134"/>
      <c r="I1443"/>
      <c r="J1443" s="4"/>
      <c r="K1443" s="5" t="s">
        <v>1609</v>
      </c>
    </row>
    <row r="1444" spans="1:11" hidden="1">
      <c r="A1444" s="134"/>
      <c r="H1444" s="86" t="s">
        <v>556</v>
      </c>
      <c r="I1444"/>
      <c r="J1444" s="4"/>
      <c r="K1444" s="8">
        <f>(K1442/10)</f>
        <v>43.27</v>
      </c>
    </row>
    <row r="1445" spans="1:11" hidden="1">
      <c r="A1445" s="134"/>
      <c r="I1445"/>
      <c r="J1445" s="4"/>
      <c r="K1445" s="5" t="s">
        <v>2080</v>
      </c>
    </row>
    <row r="1446" spans="1:11" hidden="1">
      <c r="A1446" s="134"/>
      <c r="F1446" s="102" t="s">
        <v>32</v>
      </c>
      <c r="G1446" s="90" t="s">
        <v>2276</v>
      </c>
      <c r="H1446" s="102" t="s">
        <v>33</v>
      </c>
      <c r="I1446"/>
      <c r="J1446" s="4"/>
      <c r="K1446"/>
    </row>
    <row r="1447" spans="1:11" hidden="1">
      <c r="A1447" s="134"/>
      <c r="H1447" s="102" t="s">
        <v>34</v>
      </c>
      <c r="I1447"/>
      <c r="J1447" s="4"/>
      <c r="K1447"/>
    </row>
    <row r="1448" spans="1:11" hidden="1">
      <c r="A1448" s="134"/>
      <c r="F1448" s="91">
        <v>3.08</v>
      </c>
      <c r="G1448" s="90" t="s">
        <v>1390</v>
      </c>
      <c r="H1448" s="86" t="s">
        <v>33</v>
      </c>
      <c r="I1448" s="8">
        <v>120</v>
      </c>
      <c r="J1448" s="2" t="s">
        <v>1390</v>
      </c>
      <c r="K1448" s="8">
        <f>(F1448*I1448)</f>
        <v>369.6</v>
      </c>
    </row>
    <row r="1449" spans="1:11" hidden="1">
      <c r="A1449" s="134"/>
      <c r="F1449" s="91">
        <v>0.5</v>
      </c>
      <c r="G1449" s="90" t="s">
        <v>564</v>
      </c>
      <c r="H1449" s="86" t="s">
        <v>1391</v>
      </c>
      <c r="I1449" s="8">
        <f>C14</f>
        <v>120</v>
      </c>
      <c r="J1449" s="2" t="s">
        <v>564</v>
      </c>
      <c r="K1449" s="8">
        <f>(F1449*I1449)</f>
        <v>60</v>
      </c>
    </row>
    <row r="1450" spans="1:11" hidden="1">
      <c r="A1450" s="134"/>
      <c r="F1450" s="91">
        <v>0.5</v>
      </c>
      <c r="G1450" s="90" t="s">
        <v>564</v>
      </c>
      <c r="H1450" s="86" t="s">
        <v>832</v>
      </c>
      <c r="I1450" s="8">
        <f>C12</f>
        <v>95</v>
      </c>
      <c r="J1450" s="2" t="s">
        <v>564</v>
      </c>
      <c r="K1450" s="8">
        <f>(F1450*I1450)</f>
        <v>47.5</v>
      </c>
    </row>
    <row r="1451" spans="1:11" hidden="1">
      <c r="A1451" s="134"/>
      <c r="F1451" s="91">
        <v>0.8</v>
      </c>
      <c r="G1451" s="90" t="s">
        <v>564</v>
      </c>
      <c r="H1451" s="86" t="s">
        <v>1392</v>
      </c>
      <c r="I1451" s="8">
        <f>C13</f>
        <v>85</v>
      </c>
      <c r="J1451" s="2" t="s">
        <v>564</v>
      </c>
      <c r="K1451" s="8">
        <f>(F1451*I1451)</f>
        <v>68</v>
      </c>
    </row>
    <row r="1452" spans="1:11" hidden="1">
      <c r="A1452" s="134"/>
      <c r="G1452" s="90" t="s">
        <v>450</v>
      </c>
      <c r="H1452" s="86" t="s">
        <v>1861</v>
      </c>
      <c r="I1452"/>
      <c r="J1452" s="2" t="s">
        <v>450</v>
      </c>
      <c r="K1452" s="8">
        <v>1.5</v>
      </c>
    </row>
    <row r="1453" spans="1:11" hidden="1">
      <c r="A1453" s="134"/>
      <c r="I1453"/>
      <c r="J1453" s="4"/>
      <c r="K1453"/>
    </row>
    <row r="1454" spans="1:11" hidden="1">
      <c r="A1454" s="134"/>
      <c r="I1454"/>
      <c r="J1454" s="4"/>
      <c r="K1454" s="5" t="s">
        <v>1609</v>
      </c>
    </row>
    <row r="1455" spans="1:11" hidden="1">
      <c r="A1455" s="134"/>
      <c r="H1455" s="102" t="s">
        <v>1393</v>
      </c>
      <c r="I1455"/>
      <c r="J1455" s="4"/>
      <c r="K1455" s="8">
        <f>SUM(K1448:K1452)</f>
        <v>546.6</v>
      </c>
    </row>
    <row r="1456" spans="1:11" hidden="1">
      <c r="A1456" s="134"/>
      <c r="I1456"/>
      <c r="J1456" s="4"/>
      <c r="K1456" s="5" t="s">
        <v>1609</v>
      </c>
    </row>
    <row r="1457" spans="1:11" hidden="1">
      <c r="A1457" s="134"/>
      <c r="F1457" s="86" t="s">
        <v>987</v>
      </c>
      <c r="G1457" s="90" t="s">
        <v>987</v>
      </c>
      <c r="H1457" s="102" t="s">
        <v>1720</v>
      </c>
      <c r="I1457" s="1" t="s">
        <v>987</v>
      </c>
      <c r="J1457" s="2" t="s">
        <v>987</v>
      </c>
      <c r="K1457" s="8">
        <f>K1455/10</f>
        <v>54.66</v>
      </c>
    </row>
    <row r="1458" spans="1:11" hidden="1">
      <c r="A1458" s="134"/>
      <c r="I1458"/>
      <c r="J1458" s="4"/>
      <c r="K1458" s="5" t="s">
        <v>2080</v>
      </c>
    </row>
    <row r="1459" spans="1:11" hidden="1">
      <c r="A1459" s="134"/>
      <c r="F1459" s="102" t="s">
        <v>1394</v>
      </c>
      <c r="G1459" s="90" t="s">
        <v>2276</v>
      </c>
      <c r="H1459" s="86" t="s">
        <v>1395</v>
      </c>
      <c r="I1459"/>
      <c r="J1459" s="4"/>
      <c r="K1459"/>
    </row>
    <row r="1460" spans="1:11" hidden="1">
      <c r="A1460" s="134"/>
      <c r="H1460" s="86" t="s">
        <v>1396</v>
      </c>
      <c r="I1460"/>
      <c r="J1460" s="4"/>
      <c r="K1460"/>
    </row>
    <row r="1461" spans="1:11" hidden="1">
      <c r="A1461" s="134"/>
      <c r="H1461" s="86" t="s">
        <v>1255</v>
      </c>
      <c r="I1461"/>
      <c r="J1461" s="4"/>
      <c r="K1461"/>
    </row>
    <row r="1462" spans="1:11" hidden="1">
      <c r="A1462" s="134"/>
      <c r="H1462" s="89" t="s">
        <v>1609</v>
      </c>
      <c r="I1462"/>
      <c r="J1462" s="4"/>
      <c r="K1462"/>
    </row>
    <row r="1463" spans="1:11" hidden="1">
      <c r="A1463" s="134"/>
      <c r="F1463" s="91">
        <v>1.44</v>
      </c>
      <c r="G1463" s="90" t="s">
        <v>1256</v>
      </c>
      <c r="H1463" s="86" t="s">
        <v>1196</v>
      </c>
      <c r="I1463" s="8">
        <f>(C195)</f>
        <v>100</v>
      </c>
      <c r="J1463" s="2" t="s">
        <v>1256</v>
      </c>
      <c r="K1463" s="8">
        <f>(F1463*I1463)</f>
        <v>144</v>
      </c>
    </row>
    <row r="1464" spans="1:11" hidden="1">
      <c r="A1464" s="134"/>
      <c r="F1464" s="91">
        <v>0.7</v>
      </c>
      <c r="G1464" s="90" t="s">
        <v>778</v>
      </c>
      <c r="H1464" s="86" t="s">
        <v>1197</v>
      </c>
      <c r="I1464" s="8">
        <f>(C14)</f>
        <v>120</v>
      </c>
      <c r="J1464" s="2" t="s">
        <v>778</v>
      </c>
      <c r="K1464" s="8">
        <f>(F1464*I1464)</f>
        <v>84</v>
      </c>
    </row>
    <row r="1465" spans="1:11" hidden="1">
      <c r="A1465" s="134"/>
      <c r="F1465" s="91">
        <v>2.5499999999999998</v>
      </c>
      <c r="G1465" s="90" t="s">
        <v>1256</v>
      </c>
      <c r="H1465" s="86" t="s">
        <v>1198</v>
      </c>
      <c r="I1465" s="8">
        <f>(C194)</f>
        <v>160</v>
      </c>
      <c r="J1465" s="2" t="s">
        <v>1256</v>
      </c>
      <c r="K1465" s="8">
        <f>(F1465*I1465)</f>
        <v>408</v>
      </c>
    </row>
    <row r="1466" spans="1:11" hidden="1">
      <c r="A1466" s="134"/>
      <c r="F1466" s="91">
        <v>1.2</v>
      </c>
      <c r="G1466" s="90" t="s">
        <v>778</v>
      </c>
      <c r="H1466" s="86" t="s">
        <v>1197</v>
      </c>
      <c r="I1466" s="8">
        <f>(C14)</f>
        <v>120</v>
      </c>
      <c r="J1466" s="2" t="s">
        <v>778</v>
      </c>
      <c r="K1466" s="8">
        <f>(F1466*I1466)</f>
        <v>144</v>
      </c>
    </row>
    <row r="1467" spans="1:11" hidden="1">
      <c r="A1467" s="134"/>
      <c r="G1467" s="90" t="s">
        <v>450</v>
      </c>
      <c r="H1467" s="86" t="s">
        <v>1199</v>
      </c>
      <c r="I1467" s="1" t="s">
        <v>987</v>
      </c>
      <c r="J1467" s="2" t="s">
        <v>450</v>
      </c>
      <c r="K1467" s="8">
        <v>1.5</v>
      </c>
    </row>
    <row r="1468" spans="1:11" hidden="1">
      <c r="A1468" s="134"/>
      <c r="I1468"/>
      <c r="J1468" s="4"/>
      <c r="K1468" s="5" t="s">
        <v>1609</v>
      </c>
    </row>
    <row r="1469" spans="1:11" hidden="1">
      <c r="A1469" s="134"/>
      <c r="H1469" s="86" t="s">
        <v>442</v>
      </c>
      <c r="I1469"/>
      <c r="J1469" s="4"/>
      <c r="K1469" s="8">
        <f>SUM(K1463:K1467)</f>
        <v>781.5</v>
      </c>
    </row>
    <row r="1470" spans="1:11" hidden="1">
      <c r="A1470" s="134"/>
      <c r="I1470"/>
      <c r="J1470" s="4"/>
      <c r="K1470" s="5" t="s">
        <v>1609</v>
      </c>
    </row>
    <row r="1471" spans="1:11" hidden="1">
      <c r="A1471" s="134"/>
      <c r="H1471" s="86" t="s">
        <v>556</v>
      </c>
      <c r="I1471"/>
      <c r="J1471" s="4"/>
      <c r="K1471" s="8">
        <f>(K1469/10)</f>
        <v>78.150000000000006</v>
      </c>
    </row>
    <row r="1472" spans="1:11" hidden="1">
      <c r="A1472" s="134"/>
      <c r="F1472" s="86" t="s">
        <v>987</v>
      </c>
      <c r="I1472"/>
      <c r="J1472" s="4"/>
      <c r="K1472"/>
    </row>
    <row r="1473" spans="1:11" hidden="1">
      <c r="A1473" s="134"/>
      <c r="I1473"/>
      <c r="J1473" s="4"/>
      <c r="K1473" s="5" t="s">
        <v>2080</v>
      </c>
    </row>
    <row r="1474" spans="1:11" hidden="1">
      <c r="A1474" s="134"/>
      <c r="F1474" s="108">
        <v>41</v>
      </c>
      <c r="G1474" s="90" t="s">
        <v>2276</v>
      </c>
      <c r="H1474" s="86" t="s">
        <v>1395</v>
      </c>
      <c r="I1474"/>
      <c r="J1474" s="4"/>
      <c r="K1474"/>
    </row>
    <row r="1475" spans="1:11" hidden="1">
      <c r="A1475" s="134"/>
      <c r="H1475" s="86" t="s">
        <v>1063</v>
      </c>
      <c r="I1475"/>
      <c r="J1475" s="4"/>
      <c r="K1475"/>
    </row>
    <row r="1476" spans="1:11" hidden="1">
      <c r="A1476" s="134"/>
      <c r="H1476" s="86" t="s">
        <v>1255</v>
      </c>
      <c r="I1476"/>
      <c r="J1476" s="4"/>
      <c r="K1476"/>
    </row>
    <row r="1477" spans="1:11" hidden="1">
      <c r="A1477" s="134"/>
      <c r="H1477" s="89" t="s">
        <v>1609</v>
      </c>
      <c r="I1477"/>
      <c r="J1477" s="4"/>
      <c r="K1477"/>
    </row>
    <row r="1478" spans="1:11" hidden="1">
      <c r="A1478" s="134"/>
      <c r="F1478" s="91">
        <v>2.2200000000000002</v>
      </c>
      <c r="G1478" s="90" t="s">
        <v>1256</v>
      </c>
      <c r="H1478" s="86" t="s">
        <v>1198</v>
      </c>
      <c r="I1478" s="8">
        <f>(C206)</f>
        <v>150</v>
      </c>
      <c r="J1478" s="2" t="s">
        <v>1256</v>
      </c>
      <c r="K1478" s="8">
        <f>(F1478*I1478)</f>
        <v>333</v>
      </c>
    </row>
    <row r="1479" spans="1:11" hidden="1">
      <c r="A1479" s="134"/>
      <c r="F1479" s="91">
        <v>1.1000000000000001</v>
      </c>
      <c r="G1479" s="90" t="s">
        <v>778</v>
      </c>
      <c r="H1479" s="86" t="s">
        <v>1197</v>
      </c>
      <c r="I1479" s="8">
        <f>(C14)</f>
        <v>120</v>
      </c>
      <c r="J1479" s="2" t="s">
        <v>778</v>
      </c>
      <c r="K1479" s="8">
        <f>(F1479*I1479)</f>
        <v>132</v>
      </c>
    </row>
    <row r="1480" spans="1:11" hidden="1">
      <c r="A1480" s="134"/>
      <c r="G1480" s="90" t="s">
        <v>450</v>
      </c>
      <c r="H1480" s="86" t="s">
        <v>1199</v>
      </c>
      <c r="I1480" s="1" t="s">
        <v>987</v>
      </c>
      <c r="J1480" s="2" t="s">
        <v>450</v>
      </c>
      <c r="K1480" s="8">
        <v>1.5</v>
      </c>
    </row>
    <row r="1481" spans="1:11" hidden="1">
      <c r="A1481" s="134"/>
      <c r="I1481"/>
      <c r="J1481" s="4"/>
      <c r="K1481" s="5" t="s">
        <v>1609</v>
      </c>
    </row>
    <row r="1482" spans="1:11" hidden="1">
      <c r="A1482" s="134"/>
      <c r="H1482" s="86" t="s">
        <v>442</v>
      </c>
      <c r="I1482"/>
      <c r="J1482" s="4"/>
      <c r="K1482" s="8">
        <f>SUM(K1478:K1480)</f>
        <v>466.5</v>
      </c>
    </row>
    <row r="1483" spans="1:11" hidden="1">
      <c r="A1483" s="134"/>
      <c r="I1483"/>
      <c r="J1483" s="4"/>
      <c r="K1483" s="5" t="s">
        <v>1609</v>
      </c>
    </row>
    <row r="1484" spans="1:11" hidden="1">
      <c r="A1484" s="134"/>
      <c r="H1484" s="86" t="s">
        <v>556</v>
      </c>
      <c r="I1484"/>
      <c r="J1484" s="4"/>
      <c r="K1484" s="8">
        <f>(K1482/10)</f>
        <v>46.65</v>
      </c>
    </row>
    <row r="1485" spans="1:11" hidden="1">
      <c r="A1485" s="134"/>
      <c r="H1485" s="86"/>
      <c r="I1485"/>
      <c r="J1485" s="4"/>
      <c r="K1485" s="8"/>
    </row>
    <row r="1486" spans="1:11" hidden="1">
      <c r="A1486" s="134"/>
      <c r="H1486" s="86"/>
      <c r="I1486"/>
      <c r="J1486" s="4"/>
      <c r="K1486" s="8"/>
    </row>
    <row r="1487" spans="1:11" hidden="1">
      <c r="A1487" s="134"/>
      <c r="F1487" s="108">
        <v>238</v>
      </c>
      <c r="G1487" s="90" t="s">
        <v>2276</v>
      </c>
      <c r="H1487" s="86" t="s">
        <v>590</v>
      </c>
      <c r="I1487"/>
      <c r="J1487" s="4"/>
      <c r="K1487"/>
    </row>
    <row r="1488" spans="1:11" hidden="1">
      <c r="A1488" s="134"/>
      <c r="H1488" s="86" t="s">
        <v>3169</v>
      </c>
      <c r="I1488"/>
      <c r="J1488" s="4"/>
      <c r="K1488"/>
    </row>
    <row r="1489" spans="1:11" hidden="1">
      <c r="A1489" s="134"/>
      <c r="H1489" s="89" t="s">
        <v>1609</v>
      </c>
      <c r="I1489"/>
      <c r="J1489" s="4"/>
      <c r="K1489"/>
    </row>
    <row r="1490" spans="1:11" hidden="1">
      <c r="A1490" s="134"/>
      <c r="F1490" s="91">
        <v>20</v>
      </c>
      <c r="G1490" s="90" t="s">
        <v>1256</v>
      </c>
      <c r="H1490" s="86" t="s">
        <v>591</v>
      </c>
      <c r="I1490" s="8">
        <f>D40</f>
        <v>105.45</v>
      </c>
      <c r="J1490" s="2" t="s">
        <v>1256</v>
      </c>
      <c r="K1490" s="8">
        <f>(F1490*I1490)</f>
        <v>2109</v>
      </c>
    </row>
    <row r="1491" spans="1:11" hidden="1">
      <c r="A1491" s="134"/>
      <c r="H1491" s="86" t="s">
        <v>592</v>
      </c>
      <c r="I1491"/>
      <c r="J1491" s="4"/>
      <c r="K1491" s="1" t="s">
        <v>987</v>
      </c>
    </row>
    <row r="1492" spans="1:11" hidden="1">
      <c r="A1492" s="134"/>
      <c r="F1492" s="91">
        <v>50</v>
      </c>
      <c r="G1492" s="90" t="s">
        <v>1670</v>
      </c>
      <c r="H1492" s="86" t="s">
        <v>871</v>
      </c>
      <c r="I1492" s="8">
        <f>C67/1000</f>
        <v>3.8</v>
      </c>
      <c r="J1492" s="2" t="s">
        <v>1670</v>
      </c>
      <c r="K1492" s="8">
        <f>(F1492*I1492)</f>
        <v>190</v>
      </c>
    </row>
    <row r="1493" spans="1:11" hidden="1">
      <c r="A1493" s="134"/>
      <c r="F1493" s="91">
        <v>1</v>
      </c>
      <c r="G1493" s="90" t="s">
        <v>450</v>
      </c>
      <c r="H1493" s="86" t="s">
        <v>593</v>
      </c>
      <c r="I1493" s="8">
        <v>75</v>
      </c>
      <c r="J1493" s="2" t="s">
        <v>450</v>
      </c>
      <c r="K1493" s="8">
        <f>(F1493*I1493)</f>
        <v>75</v>
      </c>
    </row>
    <row r="1494" spans="1:11" hidden="1">
      <c r="A1494" s="134"/>
      <c r="F1494" s="91">
        <v>1</v>
      </c>
      <c r="G1494" s="90" t="s">
        <v>450</v>
      </c>
      <c r="H1494" s="86" t="s">
        <v>594</v>
      </c>
      <c r="I1494" s="8">
        <f>C38</f>
        <v>40</v>
      </c>
      <c r="J1494" s="2" t="s">
        <v>450</v>
      </c>
      <c r="K1494" s="8">
        <f>(F1494*I1494)</f>
        <v>40</v>
      </c>
    </row>
    <row r="1495" spans="1:11" hidden="1">
      <c r="A1495" s="134"/>
      <c r="F1495" s="91">
        <v>2.5</v>
      </c>
      <c r="G1495" s="90" t="s">
        <v>450</v>
      </c>
      <c r="H1495" s="86" t="s">
        <v>595</v>
      </c>
      <c r="I1495" s="8">
        <f>D14</f>
        <v>110</v>
      </c>
      <c r="J1495" s="2" t="s">
        <v>450</v>
      </c>
      <c r="K1495" s="8">
        <f>(F1495*I1495)</f>
        <v>275</v>
      </c>
    </row>
    <row r="1496" spans="1:11" hidden="1">
      <c r="A1496" s="134"/>
      <c r="G1496" s="90" t="s">
        <v>450</v>
      </c>
      <c r="H1496" s="86" t="s">
        <v>507</v>
      </c>
      <c r="I1496"/>
      <c r="J1496" s="2" t="s">
        <v>450</v>
      </c>
      <c r="K1496" s="6">
        <v>1.5</v>
      </c>
    </row>
    <row r="1497" spans="1:11" hidden="1">
      <c r="A1497" s="134"/>
      <c r="I1497"/>
      <c r="J1497" s="4"/>
      <c r="K1497" s="5" t="s">
        <v>1609</v>
      </c>
    </row>
    <row r="1498" spans="1:11" hidden="1">
      <c r="A1498" s="134"/>
      <c r="H1498" s="86" t="s">
        <v>596</v>
      </c>
      <c r="I1498"/>
      <c r="J1498" s="4"/>
      <c r="K1498" s="8">
        <f>SUM(K1490:K1496)</f>
        <v>2690.5</v>
      </c>
    </row>
    <row r="1499" spans="1:11" hidden="1">
      <c r="A1499" s="134"/>
      <c r="H1499" s="86"/>
      <c r="I1499"/>
      <c r="J1499" s="4"/>
      <c r="K1499" s="5" t="s">
        <v>1609</v>
      </c>
    </row>
    <row r="1500" spans="1:11" hidden="1">
      <c r="A1500" s="134"/>
      <c r="I1500"/>
      <c r="J1500" s="4"/>
      <c r="K1500" s="5"/>
    </row>
    <row r="1501" spans="1:11" hidden="1">
      <c r="A1501" s="134"/>
      <c r="F1501" s="102" t="s">
        <v>1064</v>
      </c>
      <c r="G1501" s="90" t="s">
        <v>2276</v>
      </c>
      <c r="H1501" s="86" t="s">
        <v>555</v>
      </c>
      <c r="I1501"/>
      <c r="J1501" s="4"/>
      <c r="K1501"/>
    </row>
    <row r="1502" spans="1:11" hidden="1">
      <c r="A1502" s="134"/>
      <c r="H1502" s="86" t="s">
        <v>2158</v>
      </c>
      <c r="I1502"/>
      <c r="J1502" s="4"/>
      <c r="K1502"/>
    </row>
    <row r="1503" spans="1:11" hidden="1">
      <c r="A1503" s="134"/>
      <c r="H1503" s="89" t="s">
        <v>1609</v>
      </c>
      <c r="I1503"/>
      <c r="J1503" s="4"/>
      <c r="K1503"/>
    </row>
    <row r="1504" spans="1:11" hidden="1">
      <c r="A1504" s="134"/>
      <c r="F1504" s="91">
        <v>1</v>
      </c>
      <c r="G1504" s="90" t="s">
        <v>528</v>
      </c>
      <c r="H1504" s="86" t="s">
        <v>529</v>
      </c>
      <c r="I1504" s="8">
        <f>(C138)</f>
        <v>28000</v>
      </c>
      <c r="J1504" s="2" t="s">
        <v>530</v>
      </c>
      <c r="K1504" s="8">
        <f>(F1504*I1504)/10</f>
        <v>2800</v>
      </c>
    </row>
    <row r="1505" spans="1:15" hidden="1">
      <c r="A1505" s="134"/>
      <c r="F1505" s="111">
        <v>0.01</v>
      </c>
      <c r="G1505" s="90" t="s">
        <v>528</v>
      </c>
      <c r="H1505" s="86" t="s">
        <v>194</v>
      </c>
      <c r="I1505" s="8">
        <f>(C142)</f>
        <v>30000</v>
      </c>
      <c r="J1505" s="2" t="s">
        <v>530</v>
      </c>
      <c r="K1505" s="8">
        <f>(F1505*I1505)/10</f>
        <v>30</v>
      </c>
    </row>
    <row r="1506" spans="1:15" hidden="1">
      <c r="A1506" s="134"/>
      <c r="F1506" s="111">
        <v>3.5</v>
      </c>
      <c r="G1506" s="90" t="s">
        <v>778</v>
      </c>
      <c r="H1506" s="86" t="s">
        <v>531</v>
      </c>
      <c r="I1506" s="8">
        <f>(C17)</f>
        <v>130</v>
      </c>
      <c r="J1506" s="2" t="s">
        <v>1418</v>
      </c>
      <c r="K1506" s="8">
        <f>(F1506*I1506)</f>
        <v>455</v>
      </c>
      <c r="O1506" s="87">
        <f>92+18.4</f>
        <v>110.4</v>
      </c>
    </row>
    <row r="1507" spans="1:15" hidden="1">
      <c r="A1507" s="134"/>
      <c r="F1507" s="91">
        <v>1.3</v>
      </c>
      <c r="G1507" s="90" t="s">
        <v>1670</v>
      </c>
      <c r="H1507" s="86" t="s">
        <v>532</v>
      </c>
      <c r="I1507" s="8">
        <f>C67/1000</f>
        <v>3.8</v>
      </c>
      <c r="J1507" s="2" t="s">
        <v>1670</v>
      </c>
      <c r="K1507" s="8">
        <f>(F1507*I1507)</f>
        <v>4.9400000000000004</v>
      </c>
      <c r="O1507" s="87">
        <f>95+19</f>
        <v>114</v>
      </c>
    </row>
    <row r="1508" spans="1:15" hidden="1">
      <c r="A1508" s="134"/>
      <c r="F1508" s="91">
        <v>0.25</v>
      </c>
      <c r="G1508" s="90" t="s">
        <v>778</v>
      </c>
      <c r="H1508" s="86" t="s">
        <v>533</v>
      </c>
      <c r="I1508" s="8">
        <f>D14</f>
        <v>110</v>
      </c>
      <c r="J1508" s="2" t="s">
        <v>1418</v>
      </c>
      <c r="K1508" s="8">
        <f>(F1508*I1508)</f>
        <v>27.5</v>
      </c>
    </row>
    <row r="1509" spans="1:15" hidden="1">
      <c r="A1509" s="134"/>
      <c r="F1509" s="111"/>
      <c r="G1509" s="90" t="s">
        <v>450</v>
      </c>
      <c r="H1509" s="86" t="s">
        <v>451</v>
      </c>
      <c r="I1509"/>
      <c r="J1509" s="2" t="s">
        <v>450</v>
      </c>
      <c r="K1509" s="8">
        <f>(F1509*I1509)</f>
        <v>0</v>
      </c>
    </row>
    <row r="1510" spans="1:15" hidden="1">
      <c r="A1510" s="134"/>
      <c r="F1510" s="111"/>
      <c r="I1510"/>
      <c r="J1510" s="4"/>
      <c r="K1510" s="5" t="s">
        <v>1609</v>
      </c>
    </row>
    <row r="1511" spans="1:15" hidden="1">
      <c r="A1511" s="134"/>
      <c r="F1511" s="111"/>
      <c r="H1511" s="86" t="s">
        <v>534</v>
      </c>
      <c r="I1511"/>
      <c r="J1511" s="4"/>
      <c r="K1511" s="8">
        <f>SUM(K1504:K1509)</f>
        <v>3317.44</v>
      </c>
    </row>
    <row r="1512" spans="1:15" hidden="1">
      <c r="A1512" s="134"/>
      <c r="F1512" s="111"/>
      <c r="I1512"/>
      <c r="J1512" s="4"/>
      <c r="K1512" s="5" t="s">
        <v>1609</v>
      </c>
    </row>
    <row r="1513" spans="1:15" hidden="1">
      <c r="A1513" s="134"/>
      <c r="F1513" s="111"/>
      <c r="H1513" s="86" t="s">
        <v>535</v>
      </c>
      <c r="I1513"/>
      <c r="J1513" s="4"/>
      <c r="K1513" s="8">
        <f>(K1511*10)</f>
        <v>33174.400000000001</v>
      </c>
    </row>
    <row r="1514" spans="1:15" hidden="1">
      <c r="A1514" s="134"/>
      <c r="F1514" s="111"/>
      <c r="I1514"/>
      <c r="J1514" s="4"/>
      <c r="K1514" s="5" t="s">
        <v>2080</v>
      </c>
    </row>
    <row r="1515" spans="1:15" hidden="1">
      <c r="A1515" s="134"/>
      <c r="F1515" s="111"/>
      <c r="I1515"/>
      <c r="J1515" s="4"/>
      <c r="K1515" s="5"/>
    </row>
    <row r="1516" spans="1:15" hidden="1">
      <c r="A1516" s="134"/>
      <c r="F1516" s="111"/>
      <c r="H1516" s="139" t="s">
        <v>536</v>
      </c>
      <c r="I1516"/>
      <c r="J1516" s="4"/>
      <c r="K1516" s="5"/>
    </row>
    <row r="1517" spans="1:15" hidden="1">
      <c r="A1517" s="134"/>
      <c r="F1517" s="91">
        <v>1</v>
      </c>
      <c r="G1517" s="90" t="s">
        <v>528</v>
      </c>
      <c r="H1517" s="86" t="s">
        <v>537</v>
      </c>
      <c r="I1517">
        <f>C137</f>
        <v>26500</v>
      </c>
      <c r="J1517" s="2" t="s">
        <v>530</v>
      </c>
      <c r="K1517" s="8">
        <f>(F1517*I1517)/10</f>
        <v>2650</v>
      </c>
    </row>
    <row r="1518" spans="1:15" hidden="1">
      <c r="A1518" s="134"/>
      <c r="F1518" s="111">
        <v>0.01</v>
      </c>
      <c r="G1518" s="90" t="s">
        <v>528</v>
      </c>
      <c r="H1518" s="86" t="s">
        <v>194</v>
      </c>
      <c r="I1518">
        <f>C142</f>
        <v>30000</v>
      </c>
      <c r="J1518" s="2" t="s">
        <v>530</v>
      </c>
      <c r="K1518" s="8">
        <f>(F1518*I1518)/10</f>
        <v>30</v>
      </c>
    </row>
    <row r="1519" spans="1:15" hidden="1">
      <c r="A1519" s="134"/>
      <c r="F1519" s="111">
        <v>3.5</v>
      </c>
      <c r="G1519" s="90" t="s">
        <v>778</v>
      </c>
      <c r="H1519" s="86" t="s">
        <v>531</v>
      </c>
      <c r="I1519">
        <f>C17</f>
        <v>130</v>
      </c>
      <c r="J1519" s="2" t="s">
        <v>1418</v>
      </c>
      <c r="K1519" s="8">
        <f>(F1519*I1519)</f>
        <v>455</v>
      </c>
    </row>
    <row r="1520" spans="1:15" hidden="1">
      <c r="A1520" s="134"/>
      <c r="F1520" s="91">
        <v>1.3</v>
      </c>
      <c r="G1520" s="90" t="s">
        <v>1670</v>
      </c>
      <c r="H1520" s="86" t="s">
        <v>532</v>
      </c>
      <c r="I1520">
        <f>C67/1000</f>
        <v>3.8</v>
      </c>
      <c r="J1520" s="2" t="s">
        <v>1670</v>
      </c>
      <c r="K1520" s="8">
        <f>(F1520*I1520)</f>
        <v>4.9400000000000004</v>
      </c>
    </row>
    <row r="1521" spans="1:11" hidden="1">
      <c r="A1521" s="134"/>
      <c r="F1521" s="91">
        <v>0.25</v>
      </c>
      <c r="G1521" s="90" t="s">
        <v>778</v>
      </c>
      <c r="H1521" s="86" t="s">
        <v>533</v>
      </c>
      <c r="I1521">
        <f>D14</f>
        <v>110</v>
      </c>
      <c r="J1521" s="2" t="s">
        <v>1418</v>
      </c>
      <c r="K1521" s="8">
        <f>(F1521*I1521)</f>
        <v>27.5</v>
      </c>
    </row>
    <row r="1522" spans="1:11" hidden="1">
      <c r="A1522" s="134"/>
      <c r="F1522" s="111"/>
      <c r="G1522" s="90" t="s">
        <v>450</v>
      </c>
      <c r="H1522" s="86" t="s">
        <v>451</v>
      </c>
      <c r="I1522"/>
      <c r="J1522" s="2" t="s">
        <v>450</v>
      </c>
      <c r="K1522" s="8">
        <f>(F1522*I1522)</f>
        <v>0</v>
      </c>
    </row>
    <row r="1523" spans="1:11" hidden="1">
      <c r="A1523" s="134"/>
      <c r="F1523" s="111"/>
      <c r="I1523"/>
      <c r="J1523" s="4"/>
      <c r="K1523" s="5" t="s">
        <v>1609</v>
      </c>
    </row>
    <row r="1524" spans="1:11" hidden="1">
      <c r="A1524" s="134"/>
      <c r="F1524" s="111"/>
      <c r="H1524" s="86" t="s">
        <v>534</v>
      </c>
      <c r="I1524"/>
      <c r="J1524" s="4"/>
      <c r="K1524" s="8">
        <f>SUM(K1517:K1522)</f>
        <v>3167.44</v>
      </c>
    </row>
    <row r="1525" spans="1:11" hidden="1">
      <c r="A1525" s="134"/>
      <c r="F1525" s="111"/>
      <c r="I1525"/>
      <c r="J1525" s="4"/>
      <c r="K1525" s="5" t="s">
        <v>1609</v>
      </c>
    </row>
    <row r="1526" spans="1:11" hidden="1">
      <c r="A1526" s="134"/>
      <c r="F1526" s="111"/>
      <c r="H1526" s="86" t="s">
        <v>535</v>
      </c>
      <c r="I1526"/>
      <c r="J1526" s="4"/>
      <c r="K1526" s="8">
        <f>(K1524*10)</f>
        <v>31674.400000000001</v>
      </c>
    </row>
    <row r="1527" spans="1:11" hidden="1">
      <c r="A1527" s="134"/>
      <c r="F1527" s="111"/>
      <c r="I1527"/>
      <c r="J1527" s="4"/>
      <c r="K1527" s="5" t="s">
        <v>2080</v>
      </c>
    </row>
    <row r="1528" spans="1:11" hidden="1">
      <c r="A1528" s="134"/>
      <c r="F1528" s="111"/>
      <c r="H1528" s="86" t="s">
        <v>987</v>
      </c>
      <c r="I1528"/>
      <c r="J1528" s="4"/>
      <c r="K1528" s="1" t="s">
        <v>987</v>
      </c>
    </row>
    <row r="1529" spans="1:11" hidden="1">
      <c r="A1529" s="134"/>
      <c r="F1529" s="140" t="s">
        <v>538</v>
      </c>
      <c r="G1529" s="90" t="s">
        <v>1932</v>
      </c>
      <c r="H1529" s="86" t="s">
        <v>555</v>
      </c>
      <c r="I1529"/>
      <c r="J1529" s="4"/>
      <c r="K1529"/>
    </row>
    <row r="1530" spans="1:11" hidden="1">
      <c r="A1530" s="134"/>
      <c r="F1530" s="111"/>
      <c r="H1530" s="86" t="s">
        <v>539</v>
      </c>
      <c r="I1530"/>
      <c r="J1530" s="4"/>
      <c r="K1530"/>
    </row>
    <row r="1531" spans="1:11" hidden="1">
      <c r="A1531" s="134"/>
      <c r="F1531" s="111"/>
      <c r="H1531" s="89" t="s">
        <v>1609</v>
      </c>
      <c r="I1531"/>
      <c r="J1531" s="4"/>
      <c r="K1531"/>
    </row>
    <row r="1532" spans="1:11" hidden="1">
      <c r="A1532" s="134"/>
      <c r="F1532" s="91">
        <v>1</v>
      </c>
      <c r="G1532" s="90" t="s">
        <v>528</v>
      </c>
      <c r="H1532" s="86" t="s">
        <v>529</v>
      </c>
      <c r="I1532" s="8">
        <f>(C138)</f>
        <v>28000</v>
      </c>
      <c r="J1532" s="2" t="s">
        <v>530</v>
      </c>
      <c r="K1532" s="8">
        <f>(F1532*I1532)/10</f>
        <v>2800</v>
      </c>
    </row>
    <row r="1533" spans="1:11" hidden="1">
      <c r="A1533" s="134"/>
      <c r="F1533" s="111">
        <v>0.01</v>
      </c>
      <c r="G1533" s="90" t="s">
        <v>528</v>
      </c>
      <c r="H1533" s="86" t="s">
        <v>194</v>
      </c>
      <c r="I1533" s="8">
        <f>(C142)</f>
        <v>30000</v>
      </c>
      <c r="J1533" s="2" t="s">
        <v>530</v>
      </c>
      <c r="K1533" s="8">
        <f>(F1533*I1533)/10</f>
        <v>30</v>
      </c>
    </row>
    <row r="1534" spans="1:11" hidden="1">
      <c r="A1534" s="134"/>
      <c r="F1534" s="111">
        <v>3.5</v>
      </c>
      <c r="G1534" s="90" t="s">
        <v>778</v>
      </c>
      <c r="H1534" s="86" t="s">
        <v>531</v>
      </c>
      <c r="I1534" s="8">
        <f>(C17)</f>
        <v>130</v>
      </c>
      <c r="J1534" s="2" t="s">
        <v>778</v>
      </c>
      <c r="K1534" s="8">
        <f>(F1534*I1534)</f>
        <v>455</v>
      </c>
    </row>
    <row r="1535" spans="1:11" hidden="1">
      <c r="A1535" s="134"/>
      <c r="F1535" s="111"/>
      <c r="G1535" s="90" t="s">
        <v>450</v>
      </c>
      <c r="H1535" s="86" t="s">
        <v>451</v>
      </c>
      <c r="I1535"/>
      <c r="J1535" s="2" t="s">
        <v>450</v>
      </c>
      <c r="K1535" s="8">
        <v>0</v>
      </c>
    </row>
    <row r="1536" spans="1:11" hidden="1">
      <c r="A1536" s="134"/>
      <c r="I1536"/>
      <c r="J1536" s="4"/>
      <c r="K1536" s="5" t="s">
        <v>1609</v>
      </c>
    </row>
    <row r="1537" spans="1:11" hidden="1">
      <c r="A1537" s="134"/>
      <c r="H1537" s="86" t="s">
        <v>534</v>
      </c>
      <c r="I1537"/>
      <c r="J1537" s="4"/>
      <c r="K1537" s="8">
        <f>SUM(K1532:K1535)</f>
        <v>3285</v>
      </c>
    </row>
    <row r="1538" spans="1:11" hidden="1">
      <c r="A1538" s="134"/>
      <c r="I1538"/>
      <c r="J1538" s="4"/>
      <c r="K1538" s="5" t="s">
        <v>1609</v>
      </c>
    </row>
    <row r="1539" spans="1:11" hidden="1">
      <c r="A1539" s="134"/>
      <c r="H1539" s="86" t="s">
        <v>535</v>
      </c>
      <c r="I1539"/>
      <c r="J1539" s="4"/>
      <c r="K1539" s="8">
        <f>(K1537*10)</f>
        <v>32850</v>
      </c>
    </row>
    <row r="1540" spans="1:11" hidden="1">
      <c r="A1540" s="134"/>
      <c r="H1540" s="86" t="s">
        <v>987</v>
      </c>
      <c r="I1540"/>
      <c r="J1540" s="4"/>
      <c r="K1540" s="1" t="s">
        <v>987</v>
      </c>
    </row>
    <row r="1541" spans="1:11" hidden="1">
      <c r="A1541" s="134"/>
      <c r="G1541" s="85" t="s">
        <v>522</v>
      </c>
      <c r="H1541" s="86" t="s">
        <v>555</v>
      </c>
      <c r="I1541"/>
      <c r="J1541" s="4"/>
      <c r="K1541" s="1"/>
    </row>
    <row r="1542" spans="1:11" hidden="1">
      <c r="A1542" s="134"/>
      <c r="H1542" s="86" t="s">
        <v>1618</v>
      </c>
      <c r="I1542"/>
      <c r="J1542" s="4"/>
      <c r="K1542" s="1"/>
    </row>
    <row r="1543" spans="1:11" hidden="1">
      <c r="A1543" s="134"/>
      <c r="F1543" s="111"/>
      <c r="H1543" s="89" t="s">
        <v>1609</v>
      </c>
      <c r="I1543"/>
      <c r="J1543" s="4"/>
      <c r="K1543" s="1"/>
    </row>
    <row r="1544" spans="1:11" hidden="1">
      <c r="A1544" s="134"/>
      <c r="F1544" s="91">
        <v>1</v>
      </c>
      <c r="G1544" s="90" t="s">
        <v>528</v>
      </c>
      <c r="H1544" s="86" t="s">
        <v>537</v>
      </c>
      <c r="I1544">
        <f>C137</f>
        <v>26500</v>
      </c>
      <c r="J1544" s="2" t="s">
        <v>530</v>
      </c>
      <c r="K1544" s="8">
        <f>(F1544*I1544)/10</f>
        <v>2650</v>
      </c>
    </row>
    <row r="1545" spans="1:11" hidden="1">
      <c r="A1545" s="134"/>
      <c r="F1545" s="111">
        <v>0.01</v>
      </c>
      <c r="G1545" s="90" t="s">
        <v>528</v>
      </c>
      <c r="H1545" s="86" t="s">
        <v>194</v>
      </c>
      <c r="I1545">
        <f>C142</f>
        <v>30000</v>
      </c>
      <c r="J1545" s="2" t="s">
        <v>530</v>
      </c>
      <c r="K1545" s="8">
        <f>(F1545*I1545)/10</f>
        <v>30</v>
      </c>
    </row>
    <row r="1546" spans="1:11" hidden="1">
      <c r="A1546" s="134"/>
      <c r="F1546" s="111">
        <v>3.5</v>
      </c>
      <c r="G1546" s="90" t="s">
        <v>778</v>
      </c>
      <c r="H1546" s="86" t="s">
        <v>531</v>
      </c>
      <c r="I1546">
        <f>C17</f>
        <v>130</v>
      </c>
      <c r="J1546" s="2" t="s">
        <v>778</v>
      </c>
      <c r="K1546" s="8">
        <f>(F1546*I1546)</f>
        <v>455</v>
      </c>
    </row>
    <row r="1547" spans="1:11" hidden="1">
      <c r="A1547" s="134"/>
      <c r="F1547" s="111"/>
      <c r="G1547" s="90" t="s">
        <v>450</v>
      </c>
      <c r="H1547" s="86" t="s">
        <v>451</v>
      </c>
      <c r="I1547"/>
      <c r="J1547" s="2" t="s">
        <v>450</v>
      </c>
      <c r="K1547" s="8">
        <v>0</v>
      </c>
    </row>
    <row r="1548" spans="1:11" hidden="1">
      <c r="A1548" s="134"/>
      <c r="I1548"/>
      <c r="J1548" s="4"/>
      <c r="K1548" s="5" t="s">
        <v>1609</v>
      </c>
    </row>
    <row r="1549" spans="1:11" hidden="1">
      <c r="A1549" s="134"/>
      <c r="H1549" s="86" t="s">
        <v>534</v>
      </c>
      <c r="I1549"/>
      <c r="J1549" s="4"/>
      <c r="K1549" s="8">
        <f>SUM(K1544:K1547)</f>
        <v>3135</v>
      </c>
    </row>
    <row r="1550" spans="1:11" hidden="1">
      <c r="A1550" s="134"/>
      <c r="I1550"/>
      <c r="J1550" s="4"/>
      <c r="K1550" s="5" t="s">
        <v>1609</v>
      </c>
    </row>
    <row r="1551" spans="1:11" hidden="1">
      <c r="A1551" s="134"/>
      <c r="H1551" s="86" t="s">
        <v>535</v>
      </c>
      <c r="I1551"/>
      <c r="J1551" s="4"/>
      <c r="K1551" s="8">
        <f>(K1549*10)</f>
        <v>31350</v>
      </c>
    </row>
    <row r="1552" spans="1:11" hidden="1">
      <c r="A1552" s="134"/>
      <c r="H1552" s="86" t="s">
        <v>987</v>
      </c>
      <c r="I1552"/>
      <c r="J1552" s="4"/>
      <c r="K1552"/>
    </row>
    <row r="1553" spans="1:11" hidden="1">
      <c r="A1553" s="134"/>
      <c r="F1553" s="112">
        <v>44.1</v>
      </c>
      <c r="G1553" s="90" t="s">
        <v>2276</v>
      </c>
      <c r="H1553" s="86" t="s">
        <v>1619</v>
      </c>
      <c r="I1553"/>
      <c r="J1553" s="4"/>
      <c r="K1553"/>
    </row>
    <row r="1554" spans="1:11" hidden="1">
      <c r="A1554" s="134"/>
      <c r="H1554" s="86" t="s">
        <v>1620</v>
      </c>
      <c r="I1554"/>
      <c r="J1554" s="4"/>
      <c r="K1554"/>
    </row>
    <row r="1555" spans="1:11" hidden="1">
      <c r="A1555" s="134"/>
      <c r="H1555" s="86" t="s">
        <v>3170</v>
      </c>
      <c r="I1555"/>
      <c r="J1555" s="4"/>
      <c r="K1555"/>
    </row>
    <row r="1556" spans="1:11" hidden="1">
      <c r="A1556" s="134"/>
      <c r="H1556" s="89" t="s">
        <v>1609</v>
      </c>
      <c r="I1556"/>
      <c r="J1556" s="4"/>
      <c r="K1556"/>
    </row>
    <row r="1557" spans="1:11" hidden="1">
      <c r="A1557" s="134"/>
      <c r="F1557" s="91">
        <v>3</v>
      </c>
      <c r="G1557" s="90" t="s">
        <v>1796</v>
      </c>
      <c r="H1557" s="86" t="s">
        <v>2071</v>
      </c>
      <c r="I1557" s="8">
        <f>(C598)</f>
        <v>120</v>
      </c>
      <c r="J1557" s="2" t="s">
        <v>1796</v>
      </c>
      <c r="K1557" s="8">
        <f t="shared" ref="K1557:K1562" si="60">(F1557*I1557)</f>
        <v>360</v>
      </c>
    </row>
    <row r="1558" spans="1:11" hidden="1">
      <c r="A1558" s="134"/>
      <c r="F1558" s="91">
        <v>1</v>
      </c>
      <c r="G1558" s="90" t="s">
        <v>877</v>
      </c>
      <c r="H1558" s="86" t="s">
        <v>2126</v>
      </c>
      <c r="I1558" s="8">
        <f>(C601)</f>
        <v>65</v>
      </c>
      <c r="J1558" s="2" t="s">
        <v>877</v>
      </c>
      <c r="K1558" s="8">
        <f t="shared" si="60"/>
        <v>65</v>
      </c>
    </row>
    <row r="1559" spans="1:11" hidden="1">
      <c r="A1559" s="134"/>
      <c r="F1559" s="91">
        <v>1</v>
      </c>
      <c r="G1559" s="90" t="s">
        <v>877</v>
      </c>
      <c r="H1559" s="86" t="s">
        <v>2127</v>
      </c>
      <c r="I1559" s="8">
        <f>(C604)</f>
        <v>45</v>
      </c>
      <c r="J1559" s="2" t="s">
        <v>877</v>
      </c>
      <c r="K1559" s="8">
        <f t="shared" si="60"/>
        <v>45</v>
      </c>
    </row>
    <row r="1560" spans="1:11" hidden="1">
      <c r="A1560" s="134"/>
      <c r="F1560" s="91">
        <v>2</v>
      </c>
      <c r="G1560" s="90" t="s">
        <v>877</v>
      </c>
      <c r="H1560" s="86" t="s">
        <v>2128</v>
      </c>
      <c r="I1560" s="8">
        <f>C575</f>
        <v>16.440000000000001</v>
      </c>
      <c r="J1560" s="2" t="s">
        <v>877</v>
      </c>
      <c r="K1560" s="8">
        <f t="shared" si="60"/>
        <v>32.880000000000003</v>
      </c>
    </row>
    <row r="1561" spans="1:11" hidden="1">
      <c r="A1561" s="134"/>
      <c r="F1561" s="91">
        <v>1</v>
      </c>
      <c r="G1561" s="90" t="s">
        <v>877</v>
      </c>
      <c r="H1561" s="86" t="s">
        <v>2129</v>
      </c>
      <c r="I1561" s="8">
        <f>(C666)</f>
        <v>18</v>
      </c>
      <c r="J1561" s="2" t="s">
        <v>877</v>
      </c>
      <c r="K1561" s="8">
        <f t="shared" si="60"/>
        <v>18</v>
      </c>
    </row>
    <row r="1562" spans="1:11" hidden="1">
      <c r="A1562" s="134"/>
      <c r="F1562" s="91">
        <v>0.5</v>
      </c>
      <c r="G1562" s="90" t="s">
        <v>877</v>
      </c>
      <c r="H1562" s="86" t="s">
        <v>2130</v>
      </c>
      <c r="I1562" s="8">
        <f>(C15)</f>
        <v>130</v>
      </c>
      <c r="J1562" s="2" t="s">
        <v>877</v>
      </c>
      <c r="K1562" s="8">
        <f t="shared" si="60"/>
        <v>65</v>
      </c>
    </row>
    <row r="1563" spans="1:11" hidden="1">
      <c r="A1563" s="134"/>
      <c r="G1563" s="90" t="s">
        <v>450</v>
      </c>
      <c r="H1563" s="86" t="s">
        <v>611</v>
      </c>
      <c r="I1563"/>
      <c r="J1563" s="2" t="s">
        <v>450</v>
      </c>
      <c r="K1563" s="8">
        <v>0.75</v>
      </c>
    </row>
    <row r="1564" spans="1:11" hidden="1">
      <c r="A1564" s="134"/>
      <c r="H1564" s="86" t="s">
        <v>22</v>
      </c>
      <c r="I1564"/>
      <c r="J1564" s="4"/>
      <c r="K1564"/>
    </row>
    <row r="1565" spans="1:11" hidden="1">
      <c r="A1565" s="134"/>
      <c r="I1565"/>
      <c r="J1565" s="4"/>
      <c r="K1565" s="5" t="s">
        <v>1609</v>
      </c>
    </row>
    <row r="1566" spans="1:11" hidden="1">
      <c r="A1566" s="134"/>
      <c r="H1566" s="86" t="s">
        <v>1337</v>
      </c>
      <c r="I1566"/>
      <c r="J1566" s="4"/>
      <c r="K1566" s="8">
        <f>SUM(K1557:K1563)</f>
        <v>586.63</v>
      </c>
    </row>
    <row r="1567" spans="1:11" hidden="1">
      <c r="A1567" s="134"/>
      <c r="F1567" s="86" t="s">
        <v>987</v>
      </c>
      <c r="I1567"/>
      <c r="J1567" s="4"/>
      <c r="K1567"/>
    </row>
    <row r="1568" spans="1:11" hidden="1">
      <c r="A1568" s="134"/>
      <c r="I1568"/>
      <c r="J1568" s="4"/>
      <c r="K1568" s="5" t="s">
        <v>1609</v>
      </c>
    </row>
    <row r="1569" spans="1:11" hidden="1">
      <c r="A1569" s="134"/>
      <c r="H1569" s="86" t="s">
        <v>1567</v>
      </c>
      <c r="I1569"/>
      <c r="J1569" s="4"/>
      <c r="K1569" s="8">
        <f>(K1566/3)</f>
        <v>195.54</v>
      </c>
    </row>
    <row r="1570" spans="1:11" hidden="1">
      <c r="A1570" s="134"/>
      <c r="H1570" s="86"/>
      <c r="I1570"/>
      <c r="J1570" s="4"/>
      <c r="K1570" s="5" t="s">
        <v>2080</v>
      </c>
    </row>
    <row r="1571" spans="1:11" hidden="1">
      <c r="A1571" s="134"/>
      <c r="F1571" s="102" t="s">
        <v>1338</v>
      </c>
      <c r="H1571" s="86" t="s">
        <v>16</v>
      </c>
      <c r="I1571"/>
      <c r="J1571" s="4"/>
      <c r="K1571"/>
    </row>
    <row r="1572" spans="1:11" hidden="1">
      <c r="A1572" s="134"/>
      <c r="H1572" s="86" t="s">
        <v>17</v>
      </c>
      <c r="I1572"/>
      <c r="J1572" s="4"/>
      <c r="K1572"/>
    </row>
    <row r="1573" spans="1:11" hidden="1">
      <c r="A1573" s="134"/>
      <c r="H1573" s="86" t="s">
        <v>2061</v>
      </c>
      <c r="I1573"/>
      <c r="J1573" s="4"/>
      <c r="K1573"/>
    </row>
    <row r="1574" spans="1:11" hidden="1">
      <c r="A1574" s="134"/>
      <c r="H1574" s="89" t="s">
        <v>1609</v>
      </c>
      <c r="I1574"/>
      <c r="J1574" s="4"/>
      <c r="K1574"/>
    </row>
    <row r="1575" spans="1:11" hidden="1">
      <c r="A1575" s="134"/>
      <c r="F1575" s="91">
        <v>0.15</v>
      </c>
      <c r="G1575" s="90" t="s">
        <v>878</v>
      </c>
      <c r="H1575" s="86" t="s">
        <v>2062</v>
      </c>
      <c r="I1575" s="8" t="e">
        <f>(C70)</f>
        <v>#REF!</v>
      </c>
      <c r="J1575" s="2" t="s">
        <v>878</v>
      </c>
      <c r="K1575" s="8" t="e">
        <f>(F1575*I1575)</f>
        <v>#REF!</v>
      </c>
    </row>
    <row r="1576" spans="1:11" hidden="1">
      <c r="A1576" s="134"/>
      <c r="F1576" s="122">
        <v>8.6499999999999994E-2</v>
      </c>
      <c r="G1576" s="90" t="s">
        <v>870</v>
      </c>
      <c r="H1576" s="86" t="s">
        <v>871</v>
      </c>
      <c r="I1576" s="8">
        <f>(C67)</f>
        <v>3800</v>
      </c>
      <c r="J1576" s="2" t="s">
        <v>870</v>
      </c>
      <c r="K1576" s="8">
        <f>(F1576*I1576)</f>
        <v>328.7</v>
      </c>
    </row>
    <row r="1577" spans="1:11" hidden="1">
      <c r="A1577" s="134"/>
      <c r="F1577" s="91">
        <v>1.6</v>
      </c>
      <c r="G1577" s="90" t="s">
        <v>778</v>
      </c>
      <c r="H1577" s="86" t="s">
        <v>2034</v>
      </c>
      <c r="I1577" s="8">
        <f>(C10)</f>
        <v>150</v>
      </c>
      <c r="J1577" s="2" t="s">
        <v>778</v>
      </c>
      <c r="K1577" s="8">
        <f>(F1577*I1577)</f>
        <v>240</v>
      </c>
    </row>
    <row r="1578" spans="1:11" hidden="1">
      <c r="A1578" s="134"/>
      <c r="F1578" s="91">
        <v>0.5</v>
      </c>
      <c r="G1578" s="90" t="s">
        <v>778</v>
      </c>
      <c r="H1578" s="86" t="s">
        <v>1927</v>
      </c>
      <c r="I1578" s="8">
        <f>(C12)</f>
        <v>95</v>
      </c>
      <c r="J1578" s="2" t="s">
        <v>778</v>
      </c>
      <c r="K1578" s="8">
        <f>(F1578*I1578)</f>
        <v>47.5</v>
      </c>
    </row>
    <row r="1579" spans="1:11" hidden="1">
      <c r="A1579" s="134"/>
      <c r="F1579" s="91">
        <v>1.1000000000000001</v>
      </c>
      <c r="G1579" s="90" t="s">
        <v>778</v>
      </c>
      <c r="H1579" s="86" t="s">
        <v>321</v>
      </c>
      <c r="I1579" s="8">
        <f>(C13)</f>
        <v>85</v>
      </c>
      <c r="J1579" s="2" t="s">
        <v>778</v>
      </c>
      <c r="K1579" s="8">
        <f>(F1579*I1579)</f>
        <v>93.5</v>
      </c>
    </row>
    <row r="1580" spans="1:11" hidden="1">
      <c r="A1580" s="134"/>
      <c r="G1580" s="90" t="s">
        <v>450</v>
      </c>
      <c r="H1580" s="86" t="s">
        <v>451</v>
      </c>
      <c r="I1580" s="1" t="s">
        <v>987</v>
      </c>
      <c r="J1580" s="2" t="s">
        <v>450</v>
      </c>
      <c r="K1580" s="8">
        <v>0</v>
      </c>
    </row>
    <row r="1581" spans="1:11" hidden="1">
      <c r="A1581" s="134"/>
      <c r="I1581"/>
      <c r="J1581" s="4"/>
      <c r="K1581" s="5" t="s">
        <v>1609</v>
      </c>
    </row>
    <row r="1582" spans="1:11" hidden="1">
      <c r="A1582" s="134"/>
      <c r="H1582" s="86" t="s">
        <v>442</v>
      </c>
      <c r="I1582"/>
      <c r="J1582" s="4"/>
      <c r="K1582" s="8" t="e">
        <f>SUM(K1575:K1580)</f>
        <v>#REF!</v>
      </c>
    </row>
    <row r="1583" spans="1:11" hidden="1">
      <c r="A1583" s="134"/>
      <c r="I1583"/>
      <c r="J1583" s="4"/>
      <c r="K1583" s="5" t="s">
        <v>1609</v>
      </c>
    </row>
    <row r="1584" spans="1:11" hidden="1">
      <c r="A1584" s="134"/>
      <c r="H1584" s="86" t="s">
        <v>556</v>
      </c>
      <c r="I1584"/>
      <c r="J1584" s="4"/>
      <c r="K1584" s="8" t="e">
        <f>(K1582/10)</f>
        <v>#REF!</v>
      </c>
    </row>
    <row r="1585" spans="1:11" hidden="1">
      <c r="A1585" s="134"/>
      <c r="I1585"/>
      <c r="J1585" s="4"/>
      <c r="K1585" s="5" t="s">
        <v>2080</v>
      </c>
    </row>
    <row r="1586" spans="1:11" hidden="1">
      <c r="A1586" s="134"/>
      <c r="F1586" s="102" t="s">
        <v>2063</v>
      </c>
      <c r="G1586" s="90" t="s">
        <v>2276</v>
      </c>
      <c r="H1586" s="86" t="s">
        <v>2064</v>
      </c>
      <c r="I1586"/>
      <c r="J1586" s="4"/>
      <c r="K1586"/>
    </row>
    <row r="1587" spans="1:11" hidden="1">
      <c r="A1587" s="134"/>
      <c r="H1587" s="86" t="s">
        <v>1229</v>
      </c>
      <c r="I1587"/>
      <c r="J1587" s="4"/>
      <c r="K1587"/>
    </row>
    <row r="1588" spans="1:11" hidden="1">
      <c r="A1588" s="134"/>
      <c r="H1588" s="86" t="s">
        <v>1230</v>
      </c>
      <c r="I1588"/>
      <c r="J1588" s="2" t="s">
        <v>987</v>
      </c>
      <c r="K1588"/>
    </row>
    <row r="1589" spans="1:11" hidden="1">
      <c r="A1589" s="134"/>
      <c r="H1589" s="86" t="s">
        <v>1125</v>
      </c>
      <c r="I1589"/>
      <c r="J1589" s="4"/>
      <c r="K1589"/>
    </row>
    <row r="1590" spans="1:11" hidden="1">
      <c r="A1590" s="134"/>
      <c r="H1590" s="86" t="s">
        <v>1040</v>
      </c>
      <c r="I1590"/>
      <c r="J1590" s="4"/>
      <c r="K1590"/>
    </row>
    <row r="1591" spans="1:11" hidden="1">
      <c r="A1591" s="134"/>
      <c r="H1591" s="86" t="s">
        <v>1837</v>
      </c>
      <c r="I1591"/>
      <c r="J1591" s="4"/>
      <c r="K1591"/>
    </row>
    <row r="1592" spans="1:11" hidden="1">
      <c r="A1592" s="134"/>
      <c r="H1592" s="86" t="s">
        <v>278</v>
      </c>
      <c r="I1592"/>
      <c r="J1592" s="4"/>
      <c r="K1592"/>
    </row>
    <row r="1593" spans="1:11" hidden="1">
      <c r="A1593" s="134"/>
      <c r="H1593" s="86" t="s">
        <v>279</v>
      </c>
      <c r="I1593"/>
      <c r="J1593" s="4"/>
      <c r="K1593"/>
    </row>
    <row r="1594" spans="1:11" hidden="1">
      <c r="A1594" s="134"/>
      <c r="H1594" s="86" t="s">
        <v>280</v>
      </c>
      <c r="I1594"/>
      <c r="J1594" s="4"/>
      <c r="K1594"/>
    </row>
    <row r="1595" spans="1:11" hidden="1">
      <c r="A1595" s="134"/>
      <c r="H1595" s="89" t="s">
        <v>2080</v>
      </c>
      <c r="I1595"/>
      <c r="J1595" s="4"/>
      <c r="K1595"/>
    </row>
    <row r="1596" spans="1:11" hidden="1">
      <c r="A1596" s="134"/>
      <c r="I1596"/>
      <c r="J1596" s="4"/>
      <c r="K1596"/>
    </row>
    <row r="1597" spans="1:11" hidden="1">
      <c r="A1597" s="134"/>
      <c r="F1597" s="91">
        <v>1</v>
      </c>
      <c r="G1597" s="90" t="s">
        <v>835</v>
      </c>
      <c r="H1597" s="86" t="s">
        <v>281</v>
      </c>
      <c r="I1597" s="8">
        <v>50</v>
      </c>
      <c r="J1597" s="2" t="s">
        <v>835</v>
      </c>
      <c r="K1597" s="8">
        <f>(F1597*I1597)</f>
        <v>50</v>
      </c>
    </row>
    <row r="1598" spans="1:11" hidden="1">
      <c r="A1598" s="134"/>
      <c r="F1598" s="91">
        <v>1</v>
      </c>
      <c r="G1598" s="90" t="s">
        <v>282</v>
      </c>
      <c r="H1598" s="86" t="s">
        <v>1173</v>
      </c>
      <c r="I1598" s="8">
        <v>9</v>
      </c>
      <c r="J1598" s="2" t="s">
        <v>282</v>
      </c>
      <c r="K1598" s="8">
        <f>(F1598*I1598)</f>
        <v>9</v>
      </c>
    </row>
    <row r="1599" spans="1:11" hidden="1">
      <c r="A1599" s="134"/>
      <c r="G1599" s="90" t="s">
        <v>450</v>
      </c>
      <c r="H1599" s="86" t="s">
        <v>508</v>
      </c>
      <c r="I1599"/>
      <c r="J1599" s="2" t="s">
        <v>450</v>
      </c>
      <c r="K1599" s="8">
        <v>7</v>
      </c>
    </row>
    <row r="1600" spans="1:11" hidden="1">
      <c r="A1600" s="134"/>
      <c r="I1600"/>
      <c r="J1600" s="4"/>
      <c r="K1600" s="5" t="s">
        <v>1609</v>
      </c>
    </row>
    <row r="1601" spans="1:11" hidden="1">
      <c r="A1601" s="134"/>
      <c r="H1601" s="102" t="s">
        <v>1664</v>
      </c>
      <c r="I1601"/>
      <c r="J1601" s="4"/>
      <c r="K1601" s="8">
        <f>SUM(K1597:K1599)</f>
        <v>66</v>
      </c>
    </row>
    <row r="1602" spans="1:11" hidden="1">
      <c r="A1602" s="134"/>
      <c r="I1602"/>
      <c r="J1602" s="4"/>
      <c r="K1602" s="5" t="s">
        <v>2080</v>
      </c>
    </row>
    <row r="1603" spans="1:11" hidden="1">
      <c r="A1603" s="134"/>
      <c r="F1603" s="102" t="s">
        <v>1665</v>
      </c>
      <c r="G1603" s="90" t="s">
        <v>2276</v>
      </c>
      <c r="H1603" s="86" t="s">
        <v>764</v>
      </c>
      <c r="I1603"/>
      <c r="J1603" s="4"/>
      <c r="K1603"/>
    </row>
    <row r="1604" spans="1:11" hidden="1">
      <c r="A1604" s="134"/>
      <c r="H1604" s="86" t="s">
        <v>402</v>
      </c>
      <c r="I1604"/>
      <c r="J1604" s="4"/>
      <c r="K1604"/>
    </row>
    <row r="1605" spans="1:11" hidden="1">
      <c r="A1605" s="134"/>
      <c r="H1605" s="86" t="s">
        <v>403</v>
      </c>
      <c r="I1605"/>
      <c r="J1605" s="4"/>
      <c r="K1605"/>
    </row>
    <row r="1606" spans="1:11" hidden="1">
      <c r="A1606" s="134"/>
      <c r="H1606" s="86" t="s">
        <v>400</v>
      </c>
      <c r="I1606"/>
      <c r="J1606" s="4"/>
      <c r="K1606"/>
    </row>
    <row r="1607" spans="1:11" hidden="1">
      <c r="A1607" s="134"/>
      <c r="H1607" s="86" t="s">
        <v>1784</v>
      </c>
      <c r="I1607"/>
      <c r="J1607" s="4"/>
      <c r="K1607"/>
    </row>
    <row r="1608" spans="1:11" hidden="1">
      <c r="A1608" s="134"/>
      <c r="H1608" s="89" t="s">
        <v>1609</v>
      </c>
      <c r="I1608" s="5" t="s">
        <v>1609</v>
      </c>
      <c r="J1608" s="4"/>
      <c r="K1608"/>
    </row>
    <row r="1609" spans="1:11" hidden="1">
      <c r="A1609" s="134"/>
      <c r="F1609" s="91">
        <v>1</v>
      </c>
      <c r="G1609" s="90" t="s">
        <v>1785</v>
      </c>
      <c r="H1609" s="86" t="s">
        <v>1574</v>
      </c>
      <c r="I1609" s="8">
        <v>27.3</v>
      </c>
      <c r="J1609" s="2" t="s">
        <v>1418</v>
      </c>
      <c r="K1609" s="8">
        <f>(F1609*I1609)</f>
        <v>27.3</v>
      </c>
    </row>
    <row r="1610" spans="1:11" hidden="1">
      <c r="A1610" s="134"/>
      <c r="G1610" s="90" t="s">
        <v>450</v>
      </c>
      <c r="H1610" s="86" t="s">
        <v>1575</v>
      </c>
      <c r="I1610"/>
      <c r="J1610" s="2" t="s">
        <v>450</v>
      </c>
      <c r="K1610" s="8">
        <v>7.5</v>
      </c>
    </row>
    <row r="1611" spans="1:11" hidden="1">
      <c r="A1611" s="134"/>
      <c r="G1611" s="90" t="s">
        <v>450</v>
      </c>
      <c r="H1611" s="86" t="s">
        <v>629</v>
      </c>
      <c r="I1611"/>
      <c r="J1611" s="2" t="s">
        <v>450</v>
      </c>
      <c r="K1611" s="8">
        <v>1.2</v>
      </c>
    </row>
    <row r="1612" spans="1:11" hidden="1">
      <c r="A1612" s="134"/>
      <c r="H1612" s="86" t="s">
        <v>630</v>
      </c>
      <c r="I1612"/>
      <c r="J1612" s="4"/>
      <c r="K1612" s="5" t="s">
        <v>1609</v>
      </c>
    </row>
    <row r="1613" spans="1:11" hidden="1">
      <c r="A1613" s="134"/>
      <c r="H1613" s="102" t="s">
        <v>1664</v>
      </c>
      <c r="I1613"/>
      <c r="J1613" s="4"/>
      <c r="K1613" s="8">
        <f>SUM(K1609:K1611)</f>
        <v>36</v>
      </c>
    </row>
    <row r="1614" spans="1:11" hidden="1">
      <c r="A1614" s="134"/>
      <c r="I1614"/>
      <c r="J1614" s="4"/>
      <c r="K1614" s="5" t="s">
        <v>2080</v>
      </c>
    </row>
    <row r="1615" spans="1:11" hidden="1">
      <c r="A1615" s="134"/>
      <c r="F1615" s="102" t="s">
        <v>631</v>
      </c>
      <c r="G1615" s="90" t="s">
        <v>2276</v>
      </c>
      <c r="H1615" s="86" t="s">
        <v>544</v>
      </c>
      <c r="I1615"/>
      <c r="J1615" s="4"/>
      <c r="K1615"/>
    </row>
    <row r="1616" spans="1:11" hidden="1">
      <c r="A1616" s="134"/>
      <c r="H1616" s="86" t="s">
        <v>632</v>
      </c>
      <c r="I1616"/>
      <c r="J1616" s="4"/>
      <c r="K1616" s="1" t="s">
        <v>987</v>
      </c>
    </row>
    <row r="1617" spans="1:11" hidden="1">
      <c r="A1617" s="134"/>
      <c r="H1617" s="89" t="s">
        <v>1609</v>
      </c>
      <c r="I1617"/>
      <c r="J1617" s="4"/>
      <c r="K1617"/>
    </row>
    <row r="1618" spans="1:11" hidden="1">
      <c r="A1618" s="134"/>
      <c r="F1618" s="91">
        <v>1</v>
      </c>
      <c r="G1618" s="90" t="s">
        <v>1785</v>
      </c>
      <c r="H1618" s="86" t="s">
        <v>633</v>
      </c>
      <c r="I1618" s="8">
        <v>20</v>
      </c>
      <c r="J1618" s="2" t="s">
        <v>1418</v>
      </c>
      <c r="K1618" s="8">
        <f>(F1618*I1618)</f>
        <v>20</v>
      </c>
    </row>
    <row r="1619" spans="1:11" hidden="1">
      <c r="A1619" s="134"/>
      <c r="G1619" s="90" t="s">
        <v>450</v>
      </c>
      <c r="H1619" s="86" t="s">
        <v>634</v>
      </c>
      <c r="I1619"/>
      <c r="J1619" s="2" t="s">
        <v>450</v>
      </c>
      <c r="K1619" s="8">
        <v>5</v>
      </c>
    </row>
    <row r="1620" spans="1:11" hidden="1">
      <c r="A1620" s="134"/>
      <c r="I1620"/>
      <c r="J1620" s="4"/>
      <c r="K1620" s="5" t="s">
        <v>1609</v>
      </c>
    </row>
    <row r="1621" spans="1:11" hidden="1">
      <c r="A1621" s="134"/>
      <c r="H1621" s="102" t="s">
        <v>635</v>
      </c>
      <c r="I1621"/>
      <c r="J1621" s="4"/>
      <c r="K1621" s="8">
        <f>SUM(K1617:K1619)</f>
        <v>25</v>
      </c>
    </row>
    <row r="1622" spans="1:11" hidden="1">
      <c r="A1622" s="134"/>
      <c r="I1622"/>
      <c r="J1622" s="4"/>
      <c r="K1622" s="5" t="s">
        <v>2080</v>
      </c>
    </row>
    <row r="1623" spans="1:11" hidden="1">
      <c r="A1623" s="134"/>
      <c r="F1623" s="102" t="s">
        <v>2173</v>
      </c>
      <c r="G1623" s="90" t="s">
        <v>2276</v>
      </c>
      <c r="H1623" s="86" t="s">
        <v>545</v>
      </c>
      <c r="I1623"/>
      <c r="J1623" s="4"/>
      <c r="K1623"/>
    </row>
    <row r="1624" spans="1:11" hidden="1">
      <c r="A1624" s="134"/>
      <c r="H1624" s="89" t="s">
        <v>1609</v>
      </c>
      <c r="I1624" s="5" t="s">
        <v>1609</v>
      </c>
      <c r="J1624" s="4"/>
      <c r="K1624"/>
    </row>
    <row r="1625" spans="1:11" hidden="1">
      <c r="A1625" s="134"/>
      <c r="F1625" s="91">
        <v>1</v>
      </c>
      <c r="G1625" s="90" t="s">
        <v>1785</v>
      </c>
      <c r="H1625" s="86" t="s">
        <v>2174</v>
      </c>
      <c r="I1625" s="8">
        <v>1</v>
      </c>
      <c r="J1625" s="2" t="s">
        <v>1418</v>
      </c>
      <c r="K1625" s="8">
        <f>(F1625*I1625)</f>
        <v>1</v>
      </c>
    </row>
    <row r="1626" spans="1:11" hidden="1">
      <c r="A1626" s="134"/>
      <c r="G1626" s="90" t="s">
        <v>450</v>
      </c>
      <c r="H1626" s="86" t="s">
        <v>634</v>
      </c>
      <c r="I1626"/>
      <c r="J1626" s="2" t="s">
        <v>450</v>
      </c>
      <c r="K1626" s="8">
        <v>0.25</v>
      </c>
    </row>
    <row r="1627" spans="1:11" hidden="1">
      <c r="A1627" s="134"/>
      <c r="I1627"/>
      <c r="J1627" s="4"/>
      <c r="K1627" s="5" t="s">
        <v>1609</v>
      </c>
    </row>
    <row r="1628" spans="1:11" hidden="1">
      <c r="A1628" s="134"/>
      <c r="H1628" s="102" t="s">
        <v>635</v>
      </c>
      <c r="I1628"/>
      <c r="J1628" s="4"/>
      <c r="K1628" s="8">
        <f>SUM(K1623:K1626)</f>
        <v>1.25</v>
      </c>
    </row>
    <row r="1629" spans="1:11" hidden="1">
      <c r="A1629" s="134"/>
      <c r="F1629" s="86" t="s">
        <v>987</v>
      </c>
      <c r="I1629"/>
      <c r="J1629" s="4"/>
      <c r="K1629" s="5" t="s">
        <v>1609</v>
      </c>
    </row>
    <row r="1630" spans="1:11" hidden="1">
      <c r="A1630" s="134"/>
      <c r="F1630" s="112">
        <v>50.1</v>
      </c>
      <c r="G1630" s="90" t="s">
        <v>2276</v>
      </c>
      <c r="H1630" s="86" t="s">
        <v>2190</v>
      </c>
      <c r="I1630"/>
      <c r="J1630" s="4"/>
      <c r="K1630"/>
    </row>
    <row r="1631" spans="1:11" hidden="1">
      <c r="A1631" s="134"/>
      <c r="H1631" s="86" t="s">
        <v>14</v>
      </c>
      <c r="I1631"/>
      <c r="J1631" s="4"/>
      <c r="K1631"/>
    </row>
    <row r="1632" spans="1:11" hidden="1">
      <c r="A1632" s="134"/>
      <c r="H1632" s="86" t="s">
        <v>43</v>
      </c>
      <c r="I1632"/>
      <c r="J1632" s="4"/>
      <c r="K1632"/>
    </row>
    <row r="1633" spans="1:11" hidden="1">
      <c r="A1633" s="134"/>
      <c r="H1633" s="86" t="s">
        <v>44</v>
      </c>
      <c r="I1633"/>
      <c r="J1633" s="4"/>
      <c r="K1633"/>
    </row>
    <row r="1634" spans="1:11" hidden="1">
      <c r="A1634" s="134"/>
      <c r="H1634" s="86" t="s">
        <v>45</v>
      </c>
      <c r="I1634"/>
      <c r="J1634" s="4"/>
      <c r="K1634"/>
    </row>
    <row r="1635" spans="1:11" hidden="1">
      <c r="A1635" s="134"/>
      <c r="H1635" s="89" t="s">
        <v>1609</v>
      </c>
      <c r="I1635" s="5" t="s">
        <v>1609</v>
      </c>
      <c r="J1635" s="4"/>
      <c r="K1635"/>
    </row>
    <row r="1636" spans="1:11" hidden="1">
      <c r="A1636" s="134"/>
      <c r="F1636" s="91">
        <v>9</v>
      </c>
      <c r="G1636" s="90" t="s">
        <v>2176</v>
      </c>
      <c r="H1636" s="86" t="s">
        <v>1597</v>
      </c>
      <c r="I1636" s="8" t="e">
        <f>C73</f>
        <v>#REF!</v>
      </c>
      <c r="J1636" s="2" t="s">
        <v>2176</v>
      </c>
      <c r="K1636" s="8" t="e">
        <f>(F1636*I1636)</f>
        <v>#REF!</v>
      </c>
    </row>
    <row r="1637" spans="1:11" hidden="1">
      <c r="A1637" s="134"/>
      <c r="F1637" s="91">
        <v>4.5</v>
      </c>
      <c r="G1637" s="90" t="s">
        <v>2176</v>
      </c>
      <c r="H1637" s="86" t="s">
        <v>1598</v>
      </c>
      <c r="I1637" s="8" t="e">
        <f>K32</f>
        <v>#REF!</v>
      </c>
      <c r="J1637" s="2" t="s">
        <v>2176</v>
      </c>
      <c r="K1637" s="8" t="e">
        <f>(F1637*I1637)</f>
        <v>#REF!</v>
      </c>
    </row>
    <row r="1638" spans="1:11" hidden="1">
      <c r="A1638" s="134"/>
      <c r="F1638" s="91">
        <v>1.8</v>
      </c>
      <c r="G1638" s="90" t="s">
        <v>564</v>
      </c>
      <c r="H1638" s="86" t="s">
        <v>1599</v>
      </c>
      <c r="I1638" s="8">
        <f>C11</f>
        <v>135</v>
      </c>
      <c r="J1638" s="2" t="s">
        <v>1418</v>
      </c>
      <c r="K1638" s="8">
        <f>(F1638*I1638)</f>
        <v>243</v>
      </c>
    </row>
    <row r="1639" spans="1:11" hidden="1">
      <c r="A1639" s="134"/>
      <c r="F1639" s="91">
        <v>17.7</v>
      </c>
      <c r="G1639" s="90" t="s">
        <v>564</v>
      </c>
      <c r="H1639" s="86" t="s">
        <v>832</v>
      </c>
      <c r="I1639" s="8">
        <f>C12</f>
        <v>95</v>
      </c>
      <c r="J1639" s="2" t="s">
        <v>1418</v>
      </c>
      <c r="K1639" s="8">
        <f>(F1639*I1639)</f>
        <v>1681.5</v>
      </c>
    </row>
    <row r="1640" spans="1:11" hidden="1">
      <c r="A1640" s="134"/>
      <c r="F1640" s="91">
        <v>14.1</v>
      </c>
      <c r="G1640" s="90" t="s">
        <v>564</v>
      </c>
      <c r="H1640" s="86" t="s">
        <v>1392</v>
      </c>
      <c r="I1640" s="8">
        <f>C13</f>
        <v>85</v>
      </c>
      <c r="J1640" s="2" t="s">
        <v>1418</v>
      </c>
      <c r="K1640" s="8">
        <f>(F1640*I1640)</f>
        <v>1198.5</v>
      </c>
    </row>
    <row r="1641" spans="1:11" hidden="1">
      <c r="A1641" s="134"/>
      <c r="I1641"/>
      <c r="J1641" s="4"/>
      <c r="K1641" s="5" t="s">
        <v>1609</v>
      </c>
    </row>
    <row r="1642" spans="1:11" hidden="1">
      <c r="A1642" s="134"/>
      <c r="H1642" s="102" t="s">
        <v>1600</v>
      </c>
      <c r="I1642"/>
      <c r="J1642" s="4"/>
      <c r="K1642" s="8" t="e">
        <f>SUM(K1636:K1640)</f>
        <v>#REF!</v>
      </c>
    </row>
    <row r="1643" spans="1:11" hidden="1">
      <c r="A1643" s="134"/>
      <c r="I1643"/>
      <c r="J1643" s="4"/>
      <c r="K1643" s="5" t="s">
        <v>1609</v>
      </c>
    </row>
    <row r="1644" spans="1:11" hidden="1">
      <c r="A1644" s="134"/>
      <c r="H1644" s="102" t="s">
        <v>1601</v>
      </c>
      <c r="I1644"/>
      <c r="J1644" s="4"/>
      <c r="K1644" s="8" t="e">
        <f>(K1642/10)</f>
        <v>#REF!</v>
      </c>
    </row>
    <row r="1645" spans="1:11" hidden="1">
      <c r="A1645" s="134"/>
      <c r="I1645"/>
      <c r="J1645" s="4"/>
      <c r="K1645" s="5" t="s">
        <v>2080</v>
      </c>
    </row>
    <row r="1646" spans="1:11" hidden="1">
      <c r="A1646" s="134"/>
      <c r="I1646"/>
      <c r="J1646" s="4"/>
      <c r="K1646"/>
    </row>
    <row r="1647" spans="1:11" hidden="1">
      <c r="A1647" s="134"/>
      <c r="G1647" s="90" t="s">
        <v>681</v>
      </c>
      <c r="H1647" s="86" t="s">
        <v>1165</v>
      </c>
      <c r="I1647"/>
      <c r="J1647" s="4"/>
      <c r="K1647"/>
    </row>
    <row r="1648" spans="1:11" hidden="1">
      <c r="A1648" s="134"/>
      <c r="H1648" s="86" t="s">
        <v>606</v>
      </c>
      <c r="I1648"/>
      <c r="J1648" s="4"/>
      <c r="K1648"/>
    </row>
    <row r="1649" spans="1:11" hidden="1">
      <c r="A1649" s="134"/>
      <c r="H1649" s="89" t="s">
        <v>1609</v>
      </c>
      <c r="I1649" s="5" t="s">
        <v>1609</v>
      </c>
      <c r="J1649" s="4"/>
      <c r="K1649"/>
    </row>
    <row r="1650" spans="1:11" hidden="1">
      <c r="A1650" s="134"/>
      <c r="I1650"/>
      <c r="J1650" s="4"/>
      <c r="K1650"/>
    </row>
    <row r="1651" spans="1:11" hidden="1">
      <c r="A1651" s="134"/>
      <c r="F1651" s="111">
        <v>0.314</v>
      </c>
      <c r="G1651" s="90" t="s">
        <v>2176</v>
      </c>
      <c r="H1651" s="86" t="s">
        <v>443</v>
      </c>
      <c r="I1651" s="8" t="e">
        <f>K1644</f>
        <v>#REF!</v>
      </c>
      <c r="J1651" s="2" t="s">
        <v>2176</v>
      </c>
      <c r="K1651" s="8" t="e">
        <f>(F1651*I1651)</f>
        <v>#REF!</v>
      </c>
    </row>
    <row r="1652" spans="1:11" hidden="1">
      <c r="A1652" s="134"/>
      <c r="F1652" s="91">
        <v>18</v>
      </c>
      <c r="G1652" s="90" t="s">
        <v>564</v>
      </c>
      <c r="H1652" s="86" t="s">
        <v>540</v>
      </c>
      <c r="I1652" s="8">
        <v>2</v>
      </c>
      <c r="J1652" s="2" t="s">
        <v>1418</v>
      </c>
      <c r="K1652" s="8">
        <f>(F1652*I1652)</f>
        <v>36</v>
      </c>
    </row>
    <row r="1653" spans="1:11" hidden="1">
      <c r="A1653" s="134"/>
      <c r="F1653" s="91">
        <v>18</v>
      </c>
      <c r="G1653" s="90" t="s">
        <v>564</v>
      </c>
      <c r="H1653" s="86" t="s">
        <v>541</v>
      </c>
      <c r="I1653" s="8">
        <v>1</v>
      </c>
      <c r="J1653" s="2" t="s">
        <v>1418</v>
      </c>
      <c r="K1653" s="8">
        <f>(F1653*I1653)</f>
        <v>18</v>
      </c>
    </row>
    <row r="1654" spans="1:11" hidden="1">
      <c r="A1654" s="134"/>
      <c r="F1654" s="91">
        <v>18</v>
      </c>
      <c r="G1654" s="90" t="s">
        <v>564</v>
      </c>
      <c r="H1654" s="86" t="s">
        <v>542</v>
      </c>
      <c r="I1654" s="8">
        <v>2</v>
      </c>
      <c r="J1654" s="2" t="s">
        <v>1418</v>
      </c>
      <c r="K1654" s="8">
        <f>(F1654*I1654)</f>
        <v>36</v>
      </c>
    </row>
    <row r="1655" spans="1:11" hidden="1">
      <c r="A1655" s="134"/>
      <c r="I1655"/>
      <c r="J1655" s="4"/>
      <c r="K1655" s="5" t="s">
        <v>1609</v>
      </c>
    </row>
    <row r="1656" spans="1:11" hidden="1">
      <c r="A1656" s="134"/>
      <c r="H1656" s="102" t="s">
        <v>1974</v>
      </c>
      <c r="I1656"/>
      <c r="J1656" s="4"/>
      <c r="K1656" s="8" t="e">
        <f>SUM(K1650:K1654)</f>
        <v>#REF!</v>
      </c>
    </row>
    <row r="1657" spans="1:11" hidden="1">
      <c r="A1657" s="134"/>
      <c r="I1657"/>
      <c r="J1657" s="4"/>
      <c r="K1657" s="5" t="s">
        <v>1609</v>
      </c>
    </row>
    <row r="1658" spans="1:11" hidden="1">
      <c r="A1658" s="134"/>
      <c r="H1658" s="102" t="s">
        <v>1975</v>
      </c>
      <c r="I1658"/>
      <c r="J1658" s="4"/>
      <c r="K1658" s="8" t="e">
        <f>(K1656/6.28)</f>
        <v>#REF!</v>
      </c>
    </row>
    <row r="1659" spans="1:11" hidden="1">
      <c r="A1659" s="134"/>
      <c r="I1659"/>
      <c r="J1659" s="4"/>
      <c r="K1659" s="5" t="s">
        <v>2080</v>
      </c>
    </row>
    <row r="1660" spans="1:11" hidden="1">
      <c r="A1660" s="134"/>
      <c r="F1660" s="86" t="s">
        <v>987</v>
      </c>
      <c r="H1660" s="86" t="s">
        <v>739</v>
      </c>
      <c r="I1660"/>
      <c r="J1660" s="4"/>
      <c r="K1660"/>
    </row>
    <row r="1661" spans="1:11" hidden="1">
      <c r="A1661" s="134"/>
      <c r="H1661" s="89" t="s">
        <v>1609</v>
      </c>
      <c r="I1661"/>
      <c r="J1661" s="4"/>
      <c r="K1661"/>
    </row>
    <row r="1662" spans="1:11" hidden="1">
      <c r="A1662" s="134"/>
      <c r="F1662" s="111">
        <v>0.01</v>
      </c>
      <c r="G1662" s="90" t="s">
        <v>2176</v>
      </c>
      <c r="H1662" s="86" t="s">
        <v>443</v>
      </c>
      <c r="I1662" s="8" t="e">
        <f>K1644</f>
        <v>#REF!</v>
      </c>
      <c r="J1662" s="2" t="s">
        <v>2176</v>
      </c>
      <c r="K1662" s="8" t="e">
        <f>(F1662*I1662)</f>
        <v>#REF!</v>
      </c>
    </row>
    <row r="1663" spans="1:11" hidden="1">
      <c r="A1663" s="134"/>
      <c r="F1663" s="91">
        <v>0.01</v>
      </c>
      <c r="G1663" s="90" t="s">
        <v>1361</v>
      </c>
      <c r="H1663" s="86" t="s">
        <v>740</v>
      </c>
      <c r="I1663" s="6" t="s">
        <v>663</v>
      </c>
      <c r="J1663" s="4"/>
      <c r="K1663" s="8">
        <v>1.2</v>
      </c>
    </row>
    <row r="1664" spans="1:11" hidden="1">
      <c r="A1664" s="134"/>
      <c r="I1664" s="23"/>
      <c r="J1664" s="4"/>
      <c r="K1664" s="5" t="s">
        <v>1609</v>
      </c>
    </row>
    <row r="1665" spans="1:11" hidden="1">
      <c r="A1665" s="134"/>
      <c r="H1665" s="102" t="s">
        <v>748</v>
      </c>
      <c r="I1665"/>
      <c r="J1665" s="4"/>
      <c r="K1665" s="8" t="e">
        <f>SUM(K1659:K1663)</f>
        <v>#REF!</v>
      </c>
    </row>
    <row r="1666" spans="1:11" hidden="1">
      <c r="A1666" s="134"/>
      <c r="I1666"/>
      <c r="J1666" s="4"/>
      <c r="K1666" s="5" t="s">
        <v>1609</v>
      </c>
    </row>
    <row r="1667" spans="1:11" hidden="1">
      <c r="A1667" s="134"/>
      <c r="H1667" s="102" t="s">
        <v>2200</v>
      </c>
      <c r="I1667"/>
      <c r="J1667" s="4"/>
      <c r="K1667" s="8" t="e">
        <f>K1665/0.01</f>
        <v>#REF!</v>
      </c>
    </row>
    <row r="1668" spans="1:11" hidden="1">
      <c r="A1668" s="134"/>
      <c r="I1668"/>
      <c r="J1668" s="4"/>
      <c r="K1668" s="5" t="s">
        <v>2080</v>
      </c>
    </row>
    <row r="1669" spans="1:11" hidden="1">
      <c r="A1669" s="134"/>
      <c r="F1669" s="102" t="s">
        <v>2201</v>
      </c>
      <c r="G1669" s="90" t="s">
        <v>681</v>
      </c>
      <c r="H1669" s="86" t="s">
        <v>1165</v>
      </c>
      <c r="I1669"/>
      <c r="J1669" s="4"/>
      <c r="K1669"/>
    </row>
    <row r="1670" spans="1:11" hidden="1">
      <c r="A1670" s="134"/>
      <c r="H1670" s="114" t="s">
        <v>607</v>
      </c>
      <c r="I1670"/>
      <c r="J1670" s="4"/>
      <c r="K1670"/>
    </row>
    <row r="1671" spans="1:11" hidden="1">
      <c r="A1671" s="134"/>
      <c r="H1671" s="89" t="s">
        <v>1609</v>
      </c>
      <c r="I1671" s="5" t="s">
        <v>1609</v>
      </c>
      <c r="J1671" s="4"/>
      <c r="K1671"/>
    </row>
    <row r="1672" spans="1:11" hidden="1">
      <c r="A1672" s="134"/>
      <c r="F1672" s="111">
        <v>0.40500000000000003</v>
      </c>
      <c r="G1672" s="90" t="s">
        <v>2176</v>
      </c>
      <c r="H1672" s="86" t="s">
        <v>443</v>
      </c>
      <c r="I1672" s="8" t="e">
        <f>K1667</f>
        <v>#REF!</v>
      </c>
      <c r="J1672" s="2" t="s">
        <v>2176</v>
      </c>
      <c r="K1672" s="8" t="e">
        <f>(F1672*I1672)</f>
        <v>#REF!</v>
      </c>
    </row>
    <row r="1673" spans="1:11" hidden="1">
      <c r="A1673" s="134"/>
      <c r="F1673" s="86" t="s">
        <v>987</v>
      </c>
      <c r="G1673" s="90" t="s">
        <v>987</v>
      </c>
      <c r="H1673" s="86" t="s">
        <v>1673</v>
      </c>
      <c r="I1673" s="6" t="s">
        <v>663</v>
      </c>
      <c r="J1673" s="4"/>
      <c r="K1673" s="1" t="s">
        <v>987</v>
      </c>
    </row>
    <row r="1674" spans="1:11" hidden="1">
      <c r="A1674" s="134"/>
      <c r="I1674"/>
      <c r="J1674" s="4"/>
      <c r="K1674" s="5" t="s">
        <v>1609</v>
      </c>
    </row>
    <row r="1675" spans="1:11" hidden="1">
      <c r="A1675" s="134"/>
      <c r="H1675" s="102" t="s">
        <v>1674</v>
      </c>
      <c r="I1675"/>
      <c r="J1675" s="4"/>
      <c r="K1675" s="8" t="e">
        <f>SUM(K1669:K1673)</f>
        <v>#REF!</v>
      </c>
    </row>
    <row r="1676" spans="1:11" hidden="1">
      <c r="A1676" s="134"/>
      <c r="I1676"/>
      <c r="J1676" s="4"/>
      <c r="K1676" s="5" t="s">
        <v>1609</v>
      </c>
    </row>
    <row r="1677" spans="1:11" hidden="1">
      <c r="A1677" s="134"/>
      <c r="H1677" s="102" t="s">
        <v>1675</v>
      </c>
      <c r="I1677"/>
      <c r="J1677" s="4"/>
      <c r="K1677" s="8" t="e">
        <f>K1675/9</f>
        <v>#REF!</v>
      </c>
    </row>
    <row r="1678" spans="1:11" hidden="1">
      <c r="A1678" s="134"/>
      <c r="I1678"/>
      <c r="J1678" s="4"/>
      <c r="K1678" s="5" t="s">
        <v>2080</v>
      </c>
    </row>
    <row r="1679" spans="1:11" hidden="1">
      <c r="A1679" s="134"/>
      <c r="F1679" s="102" t="s">
        <v>1425</v>
      </c>
      <c r="H1679" s="86" t="s">
        <v>470</v>
      </c>
      <c r="I1679"/>
      <c r="J1679" s="4"/>
      <c r="K1679"/>
    </row>
    <row r="1680" spans="1:11" hidden="1">
      <c r="A1680" s="134"/>
      <c r="H1680" s="89" t="s">
        <v>1609</v>
      </c>
      <c r="I1680"/>
      <c r="J1680" s="4"/>
      <c r="K1680"/>
    </row>
    <row r="1681" spans="1:11" hidden="1">
      <c r="A1681" s="134"/>
      <c r="F1681" s="91">
        <v>4.32</v>
      </c>
      <c r="G1681" s="90" t="s">
        <v>878</v>
      </c>
      <c r="H1681" s="86" t="s">
        <v>357</v>
      </c>
      <c r="I1681" s="8">
        <f>C61</f>
        <v>25</v>
      </c>
      <c r="J1681" s="2" t="s">
        <v>878</v>
      </c>
      <c r="K1681" s="8">
        <f t="shared" ref="K1681:K1688" si="61">(F1681*I1681)</f>
        <v>108</v>
      </c>
    </row>
    <row r="1682" spans="1:11" hidden="1">
      <c r="A1682" s="134"/>
      <c r="F1682" s="91">
        <v>1.44</v>
      </c>
      <c r="G1682" s="90" t="s">
        <v>878</v>
      </c>
      <c r="H1682" s="86" t="s">
        <v>471</v>
      </c>
      <c r="I1682" s="8">
        <v>60.5</v>
      </c>
      <c r="J1682" s="2" t="s">
        <v>878</v>
      </c>
      <c r="K1682" s="8">
        <f t="shared" si="61"/>
        <v>87.12</v>
      </c>
    </row>
    <row r="1683" spans="1:11" hidden="1">
      <c r="A1683" s="134"/>
      <c r="F1683" s="91">
        <v>1.44</v>
      </c>
      <c r="G1683" s="90" t="s">
        <v>878</v>
      </c>
      <c r="H1683" s="86" t="s">
        <v>472</v>
      </c>
      <c r="I1683" s="8">
        <f>C35</f>
        <v>169</v>
      </c>
      <c r="J1683" s="2" t="s">
        <v>878</v>
      </c>
      <c r="K1683" s="8">
        <f t="shared" si="61"/>
        <v>243.36</v>
      </c>
    </row>
    <row r="1684" spans="1:11" hidden="1">
      <c r="A1684" s="134"/>
      <c r="F1684" s="91">
        <v>1.44</v>
      </c>
      <c r="G1684" s="90" t="s">
        <v>878</v>
      </c>
      <c r="H1684" s="86" t="s">
        <v>473</v>
      </c>
      <c r="I1684" s="8" t="e">
        <f>C78</f>
        <v>#REF!</v>
      </c>
      <c r="J1684" s="2" t="s">
        <v>878</v>
      </c>
      <c r="K1684" s="8" t="e">
        <f t="shared" si="61"/>
        <v>#REF!</v>
      </c>
    </row>
    <row r="1685" spans="1:11" hidden="1">
      <c r="A1685" s="134"/>
      <c r="F1685" s="91">
        <v>2.88</v>
      </c>
      <c r="G1685" s="90" t="s">
        <v>878</v>
      </c>
      <c r="H1685" s="86" t="s">
        <v>474</v>
      </c>
      <c r="I1685" s="8">
        <v>10</v>
      </c>
      <c r="J1685" s="2" t="s">
        <v>878</v>
      </c>
      <c r="K1685" s="8">
        <f t="shared" si="61"/>
        <v>28.8</v>
      </c>
    </row>
    <row r="1686" spans="1:11" hidden="1">
      <c r="A1686" s="134"/>
      <c r="F1686" s="91">
        <v>20</v>
      </c>
      <c r="G1686" s="90" t="s">
        <v>258</v>
      </c>
      <c r="H1686" s="86" t="s">
        <v>1649</v>
      </c>
      <c r="I1686" s="8">
        <v>40</v>
      </c>
      <c r="J1686" s="2" t="s">
        <v>258</v>
      </c>
      <c r="K1686" s="8">
        <f t="shared" si="61"/>
        <v>800</v>
      </c>
    </row>
    <row r="1687" spans="1:11" hidden="1">
      <c r="A1687" s="134"/>
      <c r="F1687" s="91">
        <v>42</v>
      </c>
      <c r="G1687" s="90" t="s">
        <v>2221</v>
      </c>
      <c r="H1687" s="86" t="s">
        <v>3171</v>
      </c>
      <c r="I1687" s="8">
        <v>10</v>
      </c>
      <c r="J1687" s="2" t="s">
        <v>2221</v>
      </c>
      <c r="K1687" s="8">
        <f t="shared" si="61"/>
        <v>420</v>
      </c>
    </row>
    <row r="1688" spans="1:11" hidden="1">
      <c r="A1688" s="134"/>
      <c r="F1688" s="91">
        <v>4.32</v>
      </c>
      <c r="G1688" s="90" t="s">
        <v>878</v>
      </c>
      <c r="H1688" s="86" t="s">
        <v>1641</v>
      </c>
      <c r="I1688" s="8">
        <f>C27</f>
        <v>7.8</v>
      </c>
      <c r="J1688" s="2" t="s">
        <v>878</v>
      </c>
      <c r="K1688" s="8">
        <f t="shared" si="61"/>
        <v>33.700000000000003</v>
      </c>
    </row>
    <row r="1689" spans="1:11" hidden="1">
      <c r="A1689" s="134"/>
      <c r="F1689" s="102" t="s">
        <v>741</v>
      </c>
      <c r="H1689" s="86" t="s">
        <v>1034</v>
      </c>
      <c r="I1689"/>
      <c r="J1689" s="4"/>
      <c r="K1689" s="8">
        <v>2000</v>
      </c>
    </row>
    <row r="1690" spans="1:11" hidden="1">
      <c r="A1690" s="134"/>
      <c r="I1690"/>
      <c r="J1690" s="4"/>
      <c r="K1690" s="5" t="s">
        <v>1609</v>
      </c>
    </row>
    <row r="1691" spans="1:11" hidden="1">
      <c r="A1691" s="134"/>
      <c r="H1691" s="86" t="s">
        <v>1035</v>
      </c>
      <c r="I1691"/>
      <c r="J1691" s="4"/>
      <c r="K1691" s="8" t="e">
        <f>SUM(K1681:K1689)</f>
        <v>#REF!</v>
      </c>
    </row>
    <row r="1692" spans="1:11" hidden="1">
      <c r="A1692" s="134"/>
      <c r="I1692"/>
      <c r="J1692" s="4"/>
      <c r="K1692" s="5" t="s">
        <v>1609</v>
      </c>
    </row>
    <row r="1693" spans="1:11" hidden="1">
      <c r="A1693" s="134"/>
      <c r="H1693" s="86" t="s">
        <v>1421</v>
      </c>
      <c r="I1693"/>
      <c r="J1693" s="4"/>
      <c r="K1693" s="8" t="e">
        <f>K1691/20</f>
        <v>#REF!</v>
      </c>
    </row>
    <row r="1694" spans="1:11" hidden="1">
      <c r="A1694" s="134"/>
      <c r="I1694"/>
      <c r="J1694" s="4"/>
      <c r="K1694" s="5" t="s">
        <v>2080</v>
      </c>
    </row>
    <row r="1695" spans="1:11" hidden="1">
      <c r="A1695" s="134"/>
      <c r="I1695"/>
      <c r="J1695" s="4"/>
      <c r="K1695"/>
    </row>
    <row r="1696" spans="1:11" hidden="1">
      <c r="A1696" s="134"/>
      <c r="F1696" s="102" t="s">
        <v>1036</v>
      </c>
      <c r="H1696" s="86" t="s">
        <v>1336</v>
      </c>
      <c r="I1696"/>
      <c r="J1696" s="4"/>
      <c r="K1696"/>
    </row>
    <row r="1697" spans="1:11" hidden="1">
      <c r="A1697" s="134"/>
      <c r="H1697" s="89" t="s">
        <v>1609</v>
      </c>
      <c r="I1697"/>
      <c r="J1697" s="4"/>
      <c r="K1697"/>
    </row>
    <row r="1698" spans="1:11" hidden="1">
      <c r="A1698" s="134"/>
      <c r="F1698" s="91">
        <v>0.1</v>
      </c>
      <c r="G1698" s="90" t="s">
        <v>878</v>
      </c>
      <c r="H1698" s="86" t="s">
        <v>357</v>
      </c>
      <c r="I1698" s="8">
        <f>K90</f>
        <v>50</v>
      </c>
      <c r="J1698" s="2" t="s">
        <v>878</v>
      </c>
      <c r="K1698" s="8">
        <f t="shared" ref="K1698:K1703" si="62">(F1698*I1698)</f>
        <v>5</v>
      </c>
    </row>
    <row r="1699" spans="1:11" hidden="1">
      <c r="A1699" s="134"/>
      <c r="F1699" s="91">
        <v>6.3</v>
      </c>
      <c r="G1699" s="90" t="s">
        <v>2221</v>
      </c>
      <c r="H1699" s="86" t="s">
        <v>641</v>
      </c>
      <c r="I1699" s="36">
        <v>21</v>
      </c>
      <c r="J1699" s="2" t="s">
        <v>2221</v>
      </c>
      <c r="K1699" s="8">
        <f t="shared" si="62"/>
        <v>132.30000000000001</v>
      </c>
    </row>
    <row r="1700" spans="1:11" hidden="1">
      <c r="A1700" s="134"/>
      <c r="F1700" s="91">
        <v>6.3</v>
      </c>
      <c r="G1700" s="90" t="s">
        <v>2221</v>
      </c>
      <c r="H1700" s="86" t="s">
        <v>3171</v>
      </c>
      <c r="I1700" s="8">
        <v>10</v>
      </c>
      <c r="J1700" s="2" t="s">
        <v>2221</v>
      </c>
      <c r="K1700" s="8">
        <f t="shared" si="62"/>
        <v>63</v>
      </c>
    </row>
    <row r="1701" spans="1:11" hidden="1">
      <c r="A1701" s="134"/>
      <c r="F1701" s="91">
        <v>3.15</v>
      </c>
      <c r="G1701" s="90" t="s">
        <v>236</v>
      </c>
      <c r="H1701" s="86" t="s">
        <v>642</v>
      </c>
      <c r="I1701" s="36">
        <v>22.6</v>
      </c>
      <c r="J1701" s="2" t="s">
        <v>236</v>
      </c>
      <c r="K1701" s="8">
        <f t="shared" si="62"/>
        <v>71.19</v>
      </c>
    </row>
    <row r="1702" spans="1:11" hidden="1">
      <c r="A1702" s="134"/>
      <c r="F1702" s="91">
        <v>0.25</v>
      </c>
      <c r="G1702" s="90" t="s">
        <v>1785</v>
      </c>
      <c r="H1702" s="86" t="s">
        <v>643</v>
      </c>
      <c r="I1702" s="8">
        <f>D16</f>
        <v>135</v>
      </c>
      <c r="J1702" s="2" t="s">
        <v>1785</v>
      </c>
      <c r="K1702" s="8">
        <f t="shared" si="62"/>
        <v>33.75</v>
      </c>
    </row>
    <row r="1703" spans="1:11" hidden="1">
      <c r="A1703" s="134"/>
      <c r="F1703" s="91">
        <v>0.2</v>
      </c>
      <c r="G1703" s="90" t="s">
        <v>1785</v>
      </c>
      <c r="H1703" s="86" t="s">
        <v>644</v>
      </c>
      <c r="I1703" s="8">
        <f>C17</f>
        <v>130</v>
      </c>
      <c r="J1703" s="2" t="s">
        <v>1785</v>
      </c>
      <c r="K1703" s="8">
        <f t="shared" si="62"/>
        <v>26</v>
      </c>
    </row>
    <row r="1704" spans="1:11" hidden="1">
      <c r="A1704" s="134"/>
      <c r="H1704" s="86" t="s">
        <v>509</v>
      </c>
      <c r="I1704" s="1" t="s">
        <v>987</v>
      </c>
      <c r="J1704" s="2" t="s">
        <v>987</v>
      </c>
      <c r="K1704" s="8">
        <v>0</v>
      </c>
    </row>
    <row r="1705" spans="1:11" hidden="1">
      <c r="A1705" s="134"/>
      <c r="I1705"/>
      <c r="J1705" s="2" t="s">
        <v>987</v>
      </c>
      <c r="K1705" s="5" t="s">
        <v>1609</v>
      </c>
    </row>
    <row r="1706" spans="1:11" hidden="1">
      <c r="A1706" s="134"/>
      <c r="F1706" s="86" t="s">
        <v>987</v>
      </c>
      <c r="G1706" s="90" t="s">
        <v>987</v>
      </c>
      <c r="H1706" s="86" t="s">
        <v>1421</v>
      </c>
      <c r="I1706"/>
      <c r="J1706" s="4"/>
      <c r="K1706" s="8">
        <f>SUM(K1698:K1704)</f>
        <v>331.24</v>
      </c>
    </row>
    <row r="1707" spans="1:11" hidden="1">
      <c r="A1707" s="134"/>
      <c r="H1707" s="86" t="s">
        <v>987</v>
      </c>
      <c r="I1707"/>
      <c r="J1707" s="4"/>
      <c r="K1707" s="5" t="s">
        <v>1609</v>
      </c>
    </row>
    <row r="1708" spans="1:11" hidden="1">
      <c r="A1708" s="134"/>
      <c r="I1708"/>
      <c r="J1708" s="4"/>
      <c r="K1708" s="5"/>
    </row>
    <row r="1709" spans="1:11" hidden="1">
      <c r="A1709" s="134"/>
      <c r="F1709" s="102" t="s">
        <v>597</v>
      </c>
      <c r="H1709" s="86" t="s">
        <v>940</v>
      </c>
      <c r="I1709"/>
      <c r="J1709" s="4"/>
      <c r="K1709"/>
    </row>
    <row r="1710" spans="1:11" hidden="1">
      <c r="A1710" s="134"/>
      <c r="H1710" s="89" t="s">
        <v>1609</v>
      </c>
      <c r="I1710"/>
      <c r="J1710" s="4"/>
      <c r="K1710"/>
    </row>
    <row r="1711" spans="1:11" hidden="1">
      <c r="A1711" s="134"/>
      <c r="F1711" s="122">
        <v>0.48599999999999999</v>
      </c>
      <c r="G1711" s="90" t="s">
        <v>1361</v>
      </c>
      <c r="H1711" s="86" t="s">
        <v>357</v>
      </c>
      <c r="I1711" s="8">
        <f>C61</f>
        <v>25</v>
      </c>
      <c r="J1711" s="2" t="s">
        <v>1361</v>
      </c>
      <c r="K1711" s="8">
        <f t="shared" ref="K1711:K1717" si="63">(F1711*I1711)</f>
        <v>12.15</v>
      </c>
    </row>
    <row r="1712" spans="1:11" hidden="1">
      <c r="A1712" s="134"/>
      <c r="F1712" s="122">
        <v>0.48599999999999999</v>
      </c>
      <c r="G1712" s="90" t="s">
        <v>1361</v>
      </c>
      <c r="H1712" s="86" t="s">
        <v>358</v>
      </c>
      <c r="I1712" s="8" t="e">
        <f>K203</f>
        <v>#REF!</v>
      </c>
      <c r="J1712" s="2" t="s">
        <v>1361</v>
      </c>
      <c r="K1712" s="8" t="e">
        <f t="shared" si="63"/>
        <v>#REF!</v>
      </c>
    </row>
    <row r="1713" spans="1:11" hidden="1">
      <c r="A1713" s="134"/>
      <c r="F1713" s="91">
        <v>81.75</v>
      </c>
      <c r="G1713" s="90" t="s">
        <v>359</v>
      </c>
      <c r="H1713" s="86" t="s">
        <v>360</v>
      </c>
      <c r="I1713" s="8">
        <v>30</v>
      </c>
      <c r="J1713" s="2" t="s">
        <v>359</v>
      </c>
      <c r="K1713" s="8">
        <f t="shared" si="63"/>
        <v>2452.5</v>
      </c>
    </row>
    <row r="1714" spans="1:11" hidden="1">
      <c r="A1714" s="134"/>
      <c r="F1714" s="91">
        <v>7.2</v>
      </c>
      <c r="G1714" s="90" t="s">
        <v>359</v>
      </c>
      <c r="H1714" s="86" t="s">
        <v>361</v>
      </c>
      <c r="I1714" s="8">
        <v>30</v>
      </c>
      <c r="J1714" s="2" t="s">
        <v>359</v>
      </c>
      <c r="K1714" s="8">
        <f t="shared" si="63"/>
        <v>216</v>
      </c>
    </row>
    <row r="1715" spans="1:11" hidden="1">
      <c r="A1715" s="134"/>
      <c r="F1715" s="91">
        <v>43.68</v>
      </c>
      <c r="G1715" s="90" t="s">
        <v>359</v>
      </c>
      <c r="H1715" s="86" t="s">
        <v>1578</v>
      </c>
      <c r="I1715" s="8">
        <f>I1713</f>
        <v>30</v>
      </c>
      <c r="J1715" s="2" t="s">
        <v>359</v>
      </c>
      <c r="K1715" s="8">
        <f t="shared" si="63"/>
        <v>1310.4000000000001</v>
      </c>
    </row>
    <row r="1716" spans="1:11" hidden="1">
      <c r="A1716" s="134"/>
      <c r="F1716" s="91">
        <v>132.63</v>
      </c>
      <c r="G1716" s="90" t="s">
        <v>359</v>
      </c>
      <c r="H1716" s="86" t="s">
        <v>1579</v>
      </c>
      <c r="I1716" s="36">
        <v>12.3</v>
      </c>
      <c r="J1716" s="2" t="s">
        <v>359</v>
      </c>
      <c r="K1716" s="8">
        <f t="shared" si="63"/>
        <v>1631.35</v>
      </c>
    </row>
    <row r="1717" spans="1:11" hidden="1">
      <c r="A1717" s="134"/>
      <c r="F1717" s="91">
        <v>2.2000000000000002</v>
      </c>
      <c r="G1717" s="90" t="s">
        <v>236</v>
      </c>
      <c r="H1717" s="86" t="s">
        <v>2446</v>
      </c>
      <c r="I1717" s="8">
        <v>360</v>
      </c>
      <c r="J1717" s="2" t="s">
        <v>236</v>
      </c>
      <c r="K1717" s="8">
        <f t="shared" si="63"/>
        <v>792</v>
      </c>
    </row>
    <row r="1718" spans="1:11" hidden="1">
      <c r="A1718" s="134"/>
      <c r="F1718" s="92" t="s">
        <v>663</v>
      </c>
      <c r="H1718" s="86" t="s">
        <v>1580</v>
      </c>
      <c r="I1718" s="6" t="s">
        <v>663</v>
      </c>
      <c r="J1718" s="4"/>
      <c r="K1718" s="8">
        <v>250</v>
      </c>
    </row>
    <row r="1719" spans="1:11" hidden="1">
      <c r="A1719" s="134"/>
      <c r="F1719" s="92" t="s">
        <v>663</v>
      </c>
      <c r="H1719" s="86" t="s">
        <v>1420</v>
      </c>
      <c r="I1719" s="6" t="s">
        <v>663</v>
      </c>
      <c r="J1719" s="4"/>
      <c r="K1719" s="8">
        <v>20</v>
      </c>
    </row>
    <row r="1720" spans="1:11" hidden="1">
      <c r="A1720" s="134"/>
      <c r="I1720"/>
      <c r="J1720" s="4"/>
      <c r="K1720" s="5" t="s">
        <v>1609</v>
      </c>
    </row>
    <row r="1721" spans="1:11" hidden="1">
      <c r="A1721" s="134"/>
      <c r="I1721"/>
      <c r="J1721" s="4"/>
      <c r="K1721" s="8" t="e">
        <f>SUM(K1711:K1720)</f>
        <v>#REF!</v>
      </c>
    </row>
    <row r="1722" spans="1:11" hidden="1">
      <c r="A1722" s="134"/>
      <c r="I1722"/>
      <c r="J1722" s="4"/>
      <c r="K1722" s="5" t="s">
        <v>1609</v>
      </c>
    </row>
    <row r="1723" spans="1:11" hidden="1">
      <c r="A1723" s="134"/>
      <c r="I1723"/>
      <c r="J1723" s="4"/>
      <c r="K1723" s="5"/>
    </row>
    <row r="1724" spans="1:11" hidden="1">
      <c r="A1724" s="134"/>
      <c r="F1724" s="108">
        <v>86</v>
      </c>
      <c r="H1724" s="86" t="s">
        <v>2084</v>
      </c>
      <c r="I1724"/>
      <c r="J1724" s="4"/>
      <c r="K1724" s="8">
        <f>C777</f>
        <v>30</v>
      </c>
    </row>
    <row r="1725" spans="1:11" hidden="1">
      <c r="A1725" s="134"/>
      <c r="F1725" s="112"/>
      <c r="H1725" s="86"/>
      <c r="I1725"/>
      <c r="J1725" s="4"/>
      <c r="K1725" s="8"/>
    </row>
    <row r="1726" spans="1:11" hidden="1">
      <c r="A1726" s="134"/>
      <c r="F1726" s="102" t="s">
        <v>1676</v>
      </c>
      <c r="H1726" s="86" t="s">
        <v>2300</v>
      </c>
      <c r="I1726"/>
      <c r="J1726" s="4"/>
      <c r="K1726" s="1">
        <v>3135</v>
      </c>
    </row>
    <row r="1727" spans="1:11" hidden="1">
      <c r="A1727" s="134"/>
      <c r="H1727" s="86" t="s">
        <v>2301</v>
      </c>
      <c r="I1727"/>
      <c r="J1727" s="4"/>
      <c r="K1727">
        <f>K1726</f>
        <v>3135</v>
      </c>
    </row>
    <row r="1728" spans="1:11" hidden="1">
      <c r="A1728" s="134"/>
      <c r="F1728" s="86" t="s">
        <v>987</v>
      </c>
      <c r="I1728"/>
      <c r="J1728" s="4"/>
      <c r="K1728"/>
    </row>
    <row r="1729" spans="1:11" hidden="1">
      <c r="A1729" s="134"/>
      <c r="F1729" s="112"/>
      <c r="G1729" s="90" t="s">
        <v>2276</v>
      </c>
      <c r="H1729" s="86" t="s">
        <v>2072</v>
      </c>
      <c r="I1729"/>
      <c r="J1729" s="4"/>
      <c r="K1729"/>
    </row>
    <row r="1730" spans="1:11" hidden="1">
      <c r="A1730" s="134"/>
      <c r="H1730" s="86" t="s">
        <v>2302</v>
      </c>
      <c r="I1730"/>
      <c r="J1730" s="4"/>
      <c r="K1730"/>
    </row>
    <row r="1731" spans="1:11" hidden="1">
      <c r="A1731" s="134"/>
      <c r="H1731" s="86" t="s">
        <v>960</v>
      </c>
      <c r="I1731"/>
      <c r="J1731" s="4"/>
      <c r="K1731"/>
    </row>
    <row r="1732" spans="1:11" hidden="1">
      <c r="A1732" s="134"/>
      <c r="H1732" s="89" t="s">
        <v>1609</v>
      </c>
      <c r="I1732"/>
      <c r="J1732" s="4"/>
      <c r="K1732"/>
    </row>
    <row r="1733" spans="1:11" hidden="1">
      <c r="A1733" s="134"/>
      <c r="G1733" s="90" t="s">
        <v>2303</v>
      </c>
      <c r="H1733" s="86" t="s">
        <v>960</v>
      </c>
      <c r="I1733"/>
      <c r="J1733" s="4"/>
      <c r="K1733" s="1" t="s">
        <v>1473</v>
      </c>
    </row>
    <row r="1734" spans="1:11" hidden="1">
      <c r="A1734" s="134"/>
      <c r="H1734" s="89" t="s">
        <v>1609</v>
      </c>
      <c r="I1734"/>
      <c r="J1734" s="4"/>
      <c r="K1734" s="5" t="s">
        <v>2080</v>
      </c>
    </row>
    <row r="1735" spans="1:11" hidden="1">
      <c r="A1735" s="134"/>
      <c r="F1735" s="91">
        <v>30</v>
      </c>
      <c r="G1735" s="90" t="s">
        <v>1796</v>
      </c>
      <c r="H1735" s="86" t="s">
        <v>1689</v>
      </c>
      <c r="I1735" s="8">
        <f>(C639)</f>
        <v>3</v>
      </c>
      <c r="J1735" s="2" t="s">
        <v>1796</v>
      </c>
      <c r="K1735" s="8">
        <f>(F1735*I1735)</f>
        <v>90</v>
      </c>
    </row>
    <row r="1736" spans="1:11" hidden="1">
      <c r="A1736" s="134"/>
      <c r="F1736" s="86" t="s">
        <v>987</v>
      </c>
      <c r="H1736" s="86" t="s">
        <v>1692</v>
      </c>
      <c r="I1736" s="1" t="s">
        <v>987</v>
      </c>
      <c r="J1736" s="4"/>
      <c r="K1736" s="1" t="s">
        <v>987</v>
      </c>
    </row>
    <row r="1737" spans="1:11" hidden="1">
      <c r="A1737" s="134"/>
      <c r="F1737" s="91">
        <v>8</v>
      </c>
      <c r="G1737" s="90" t="s">
        <v>877</v>
      </c>
      <c r="H1737" s="86" t="s">
        <v>2168</v>
      </c>
      <c r="I1737" s="8">
        <f>(C641)</f>
        <v>2.2000000000000002</v>
      </c>
      <c r="J1737" s="2" t="s">
        <v>877</v>
      </c>
      <c r="K1737" s="8">
        <f t="shared" ref="K1737:K1742" si="64">(F1737*I1737)</f>
        <v>17.600000000000001</v>
      </c>
    </row>
    <row r="1738" spans="1:11" hidden="1">
      <c r="A1738" s="134"/>
      <c r="F1738" s="91">
        <v>8</v>
      </c>
      <c r="G1738" s="90" t="s">
        <v>877</v>
      </c>
      <c r="H1738" s="86" t="s">
        <v>468</v>
      </c>
      <c r="I1738" s="8">
        <f>(C642)</f>
        <v>3.2</v>
      </c>
      <c r="J1738" s="2" t="s">
        <v>877</v>
      </c>
      <c r="K1738" s="8">
        <f t="shared" si="64"/>
        <v>25.6</v>
      </c>
    </row>
    <row r="1739" spans="1:11" hidden="1">
      <c r="A1739" s="134"/>
      <c r="F1739" s="91">
        <v>3</v>
      </c>
      <c r="G1739" s="90" t="s">
        <v>877</v>
      </c>
      <c r="H1739" s="86" t="s">
        <v>1870</v>
      </c>
      <c r="I1739" s="8">
        <f>(C41)</f>
        <v>110</v>
      </c>
      <c r="J1739" s="2" t="s">
        <v>877</v>
      </c>
      <c r="K1739" s="8">
        <f t="shared" si="64"/>
        <v>330</v>
      </c>
    </row>
    <row r="1740" spans="1:11" hidden="1">
      <c r="A1740" s="134"/>
      <c r="F1740" s="91">
        <v>1</v>
      </c>
      <c r="G1740" s="90" t="s">
        <v>877</v>
      </c>
      <c r="H1740" s="86" t="s">
        <v>1400</v>
      </c>
      <c r="I1740" s="8">
        <f>(C10)</f>
        <v>150</v>
      </c>
      <c r="J1740" s="2" t="s">
        <v>877</v>
      </c>
      <c r="K1740" s="8">
        <f t="shared" si="64"/>
        <v>150</v>
      </c>
    </row>
    <row r="1741" spans="1:11" hidden="1">
      <c r="A1741" s="134"/>
      <c r="F1741" s="91">
        <v>2</v>
      </c>
      <c r="G1741" s="90" t="s">
        <v>877</v>
      </c>
      <c r="H1741" s="86" t="s">
        <v>1927</v>
      </c>
      <c r="I1741" s="8">
        <f>(C12)</f>
        <v>95</v>
      </c>
      <c r="J1741" s="2" t="s">
        <v>877</v>
      </c>
      <c r="K1741" s="8">
        <f t="shared" si="64"/>
        <v>190</v>
      </c>
    </row>
    <row r="1742" spans="1:11" hidden="1">
      <c r="A1742" s="134"/>
      <c r="F1742" s="91">
        <v>1</v>
      </c>
      <c r="G1742" s="90" t="s">
        <v>877</v>
      </c>
      <c r="H1742" s="86" t="s">
        <v>321</v>
      </c>
      <c r="I1742" s="8">
        <f>(C13)</f>
        <v>85</v>
      </c>
      <c r="J1742" s="2" t="s">
        <v>877</v>
      </c>
      <c r="K1742" s="8">
        <f t="shared" si="64"/>
        <v>85</v>
      </c>
    </row>
    <row r="1743" spans="1:11" hidden="1">
      <c r="A1743" s="134"/>
      <c r="G1743" s="90" t="s">
        <v>450</v>
      </c>
      <c r="H1743" s="86" t="s">
        <v>1401</v>
      </c>
      <c r="I1743" s="1" t="s">
        <v>987</v>
      </c>
      <c r="J1743" s="2" t="s">
        <v>450</v>
      </c>
      <c r="K1743" s="8">
        <v>5</v>
      </c>
    </row>
    <row r="1744" spans="1:11" hidden="1">
      <c r="A1744" s="134"/>
      <c r="H1744" s="86" t="s">
        <v>942</v>
      </c>
      <c r="I1744" s="1" t="s">
        <v>987</v>
      </c>
      <c r="J1744" s="4"/>
      <c r="K1744" s="1" t="s">
        <v>987</v>
      </c>
    </row>
    <row r="1745" spans="1:11" hidden="1">
      <c r="A1745" s="134"/>
      <c r="G1745" s="90" t="s">
        <v>450</v>
      </c>
      <c r="H1745" s="86" t="s">
        <v>451</v>
      </c>
      <c r="I1745"/>
      <c r="J1745" s="2" t="s">
        <v>450</v>
      </c>
      <c r="K1745" s="8">
        <v>0</v>
      </c>
    </row>
    <row r="1746" spans="1:11" hidden="1">
      <c r="A1746" s="134"/>
      <c r="I1746"/>
      <c r="J1746" s="4"/>
      <c r="K1746" s="5" t="s">
        <v>1609</v>
      </c>
    </row>
    <row r="1747" spans="1:11" hidden="1">
      <c r="A1747" s="134"/>
      <c r="H1747" s="86" t="s">
        <v>1875</v>
      </c>
      <c r="I1747"/>
      <c r="J1747" s="4"/>
      <c r="K1747" s="8">
        <f>SUM(K1735:K1745)</f>
        <v>893.2</v>
      </c>
    </row>
    <row r="1748" spans="1:11" hidden="1">
      <c r="A1748" s="134"/>
      <c r="I1748"/>
      <c r="J1748" s="4"/>
      <c r="K1748" s="5" t="s">
        <v>1609</v>
      </c>
    </row>
    <row r="1749" spans="1:11" hidden="1">
      <c r="A1749" s="134"/>
      <c r="H1749" s="86" t="s">
        <v>1567</v>
      </c>
      <c r="I1749"/>
      <c r="J1749" s="4"/>
      <c r="K1749" s="8">
        <f>(K1747/30)</f>
        <v>29.77</v>
      </c>
    </row>
    <row r="1750" spans="1:11" hidden="1">
      <c r="A1750" s="134"/>
      <c r="I1750"/>
      <c r="J1750" s="4"/>
      <c r="K1750" s="5" t="s">
        <v>1609</v>
      </c>
    </row>
    <row r="1751" spans="1:11" hidden="1">
      <c r="A1751" s="134"/>
      <c r="G1751" s="90" t="s">
        <v>522</v>
      </c>
      <c r="H1751" s="86" t="s">
        <v>960</v>
      </c>
      <c r="I1751"/>
      <c r="J1751" s="4"/>
      <c r="K1751" s="1" t="s">
        <v>23</v>
      </c>
    </row>
    <row r="1752" spans="1:11" hidden="1">
      <c r="A1752" s="134"/>
      <c r="H1752" s="89" t="s">
        <v>1609</v>
      </c>
      <c r="I1752"/>
      <c r="J1752" s="4"/>
      <c r="K1752" s="5" t="s">
        <v>2080</v>
      </c>
    </row>
    <row r="1753" spans="1:11" hidden="1">
      <c r="A1753" s="134"/>
      <c r="F1753" s="91">
        <v>30</v>
      </c>
      <c r="G1753" s="90" t="s">
        <v>1796</v>
      </c>
      <c r="H1753" s="86" t="s">
        <v>1689</v>
      </c>
      <c r="I1753" s="8">
        <f>(C639)</f>
        <v>3</v>
      </c>
      <c r="J1753" s="2" t="s">
        <v>1796</v>
      </c>
      <c r="K1753" s="8">
        <f>(F1753*I1753)</f>
        <v>90</v>
      </c>
    </row>
    <row r="1754" spans="1:11" hidden="1">
      <c r="A1754" s="134"/>
      <c r="F1754" s="86" t="s">
        <v>987</v>
      </c>
      <c r="H1754" s="86" t="s">
        <v>1692</v>
      </c>
      <c r="I1754" s="1" t="s">
        <v>987</v>
      </c>
      <c r="J1754" s="4"/>
      <c r="K1754" s="1" t="s">
        <v>987</v>
      </c>
    </row>
    <row r="1755" spans="1:11" hidden="1">
      <c r="A1755" s="134"/>
      <c r="F1755" s="91">
        <v>8</v>
      </c>
      <c r="G1755" s="90" t="s">
        <v>877</v>
      </c>
      <c r="H1755" s="86" t="s">
        <v>2168</v>
      </c>
      <c r="I1755" s="8">
        <f>(C641)</f>
        <v>2.2000000000000002</v>
      </c>
      <c r="J1755" s="2" t="s">
        <v>877</v>
      </c>
      <c r="K1755" s="8">
        <f t="shared" ref="K1755:K1760" si="65">(F1755*I1755)</f>
        <v>17.600000000000001</v>
      </c>
    </row>
    <row r="1756" spans="1:11" hidden="1">
      <c r="A1756" s="134"/>
      <c r="F1756" s="91">
        <v>8</v>
      </c>
      <c r="G1756" s="90" t="s">
        <v>877</v>
      </c>
      <c r="H1756" s="86" t="s">
        <v>468</v>
      </c>
      <c r="I1756" s="8">
        <f>(D642)</f>
        <v>3.2</v>
      </c>
      <c r="J1756" s="2" t="s">
        <v>877</v>
      </c>
      <c r="K1756" s="8">
        <f t="shared" si="65"/>
        <v>25.6</v>
      </c>
    </row>
    <row r="1757" spans="1:11" hidden="1">
      <c r="A1757" s="134"/>
      <c r="F1757" s="91">
        <v>3</v>
      </c>
      <c r="G1757" s="90" t="s">
        <v>877</v>
      </c>
      <c r="H1757" s="86" t="s">
        <v>1870</v>
      </c>
      <c r="I1757" s="8">
        <f>(C41)</f>
        <v>110</v>
      </c>
      <c r="J1757" s="2" t="s">
        <v>877</v>
      </c>
      <c r="K1757" s="8">
        <f t="shared" si="65"/>
        <v>330</v>
      </c>
    </row>
    <row r="1758" spans="1:11" hidden="1">
      <c r="A1758" s="134"/>
      <c r="F1758" s="91">
        <v>1</v>
      </c>
      <c r="G1758" s="90" t="s">
        <v>877</v>
      </c>
      <c r="H1758" s="86" t="s">
        <v>1400</v>
      </c>
      <c r="I1758" s="8">
        <f>(C10)</f>
        <v>150</v>
      </c>
      <c r="J1758" s="2" t="s">
        <v>877</v>
      </c>
      <c r="K1758" s="8">
        <f t="shared" si="65"/>
        <v>150</v>
      </c>
    </row>
    <row r="1759" spans="1:11" hidden="1">
      <c r="A1759" s="134"/>
      <c r="F1759" s="91">
        <v>2</v>
      </c>
      <c r="G1759" s="90" t="s">
        <v>877</v>
      </c>
      <c r="H1759" s="86" t="s">
        <v>1927</v>
      </c>
      <c r="I1759" s="8">
        <f>(C12)</f>
        <v>95</v>
      </c>
      <c r="J1759" s="2" t="s">
        <v>877</v>
      </c>
      <c r="K1759" s="8">
        <f t="shared" si="65"/>
        <v>190</v>
      </c>
    </row>
    <row r="1760" spans="1:11" hidden="1">
      <c r="A1760" s="134"/>
      <c r="F1760" s="91">
        <v>1</v>
      </c>
      <c r="G1760" s="90" t="s">
        <v>877</v>
      </c>
      <c r="H1760" s="86" t="s">
        <v>321</v>
      </c>
      <c r="I1760" s="8">
        <f>(C13)</f>
        <v>85</v>
      </c>
      <c r="J1760" s="2" t="s">
        <v>877</v>
      </c>
      <c r="K1760" s="8">
        <f t="shared" si="65"/>
        <v>85</v>
      </c>
    </row>
    <row r="1761" spans="1:11" hidden="1">
      <c r="A1761" s="134"/>
      <c r="G1761" s="90" t="s">
        <v>450</v>
      </c>
      <c r="H1761" s="86" t="s">
        <v>1401</v>
      </c>
      <c r="I1761" s="1" t="s">
        <v>987</v>
      </c>
      <c r="J1761" s="2" t="s">
        <v>450</v>
      </c>
      <c r="K1761" s="8">
        <v>5</v>
      </c>
    </row>
    <row r="1762" spans="1:11" hidden="1">
      <c r="A1762" s="134"/>
      <c r="H1762" s="86" t="s">
        <v>942</v>
      </c>
      <c r="I1762" s="1" t="s">
        <v>987</v>
      </c>
      <c r="J1762" s="4"/>
      <c r="K1762" s="1" t="s">
        <v>987</v>
      </c>
    </row>
    <row r="1763" spans="1:11" hidden="1">
      <c r="A1763" s="134"/>
      <c r="G1763" s="90" t="s">
        <v>450</v>
      </c>
      <c r="H1763" s="86" t="s">
        <v>451</v>
      </c>
      <c r="I1763"/>
      <c r="J1763" s="2" t="s">
        <v>450</v>
      </c>
      <c r="K1763" s="8">
        <v>0</v>
      </c>
    </row>
    <row r="1764" spans="1:11" hidden="1">
      <c r="A1764" s="134"/>
      <c r="I1764"/>
      <c r="J1764" s="4"/>
      <c r="K1764" s="5" t="s">
        <v>1609</v>
      </c>
    </row>
    <row r="1765" spans="1:11" hidden="1">
      <c r="A1765" s="134"/>
      <c r="H1765" s="86" t="s">
        <v>1875</v>
      </c>
      <c r="I1765"/>
      <c r="J1765" s="4"/>
      <c r="K1765" s="8">
        <f>SUM(K1753:K1763)</f>
        <v>893.2</v>
      </c>
    </row>
    <row r="1766" spans="1:11" hidden="1">
      <c r="A1766" s="134"/>
      <c r="I1766"/>
      <c r="J1766" s="4"/>
      <c r="K1766" s="5" t="s">
        <v>1609</v>
      </c>
    </row>
    <row r="1767" spans="1:11" hidden="1">
      <c r="A1767" s="134"/>
      <c r="H1767" s="86" t="s">
        <v>1567</v>
      </c>
      <c r="I1767"/>
      <c r="J1767" s="4"/>
      <c r="K1767" s="8">
        <f>(K1765/30)</f>
        <v>29.77</v>
      </c>
    </row>
    <row r="1768" spans="1:11" hidden="1">
      <c r="A1768" s="134"/>
      <c r="I1768"/>
      <c r="J1768" s="4"/>
      <c r="K1768" s="5" t="s">
        <v>1609</v>
      </c>
    </row>
    <row r="1769" spans="1:11" hidden="1">
      <c r="A1769" s="134"/>
      <c r="G1769" s="90" t="s">
        <v>1932</v>
      </c>
      <c r="H1769" s="86" t="s">
        <v>960</v>
      </c>
      <c r="I1769"/>
      <c r="J1769" s="4"/>
      <c r="K1769" s="1" t="s">
        <v>24</v>
      </c>
    </row>
    <row r="1770" spans="1:11" hidden="1">
      <c r="A1770" s="134"/>
      <c r="H1770" s="89" t="s">
        <v>1609</v>
      </c>
      <c r="I1770"/>
      <c r="J1770" s="4"/>
      <c r="K1770" s="5" t="s">
        <v>2080</v>
      </c>
    </row>
    <row r="1771" spans="1:11" hidden="1">
      <c r="A1771" s="134"/>
      <c r="F1771" s="91">
        <v>30</v>
      </c>
      <c r="G1771" s="90" t="s">
        <v>1796</v>
      </c>
      <c r="H1771" s="86" t="s">
        <v>1689</v>
      </c>
      <c r="I1771" s="8">
        <f>(C639)</f>
        <v>3</v>
      </c>
      <c r="J1771" s="2" t="s">
        <v>1796</v>
      </c>
      <c r="K1771" s="8">
        <f>(F1771*I1771)</f>
        <v>90</v>
      </c>
    </row>
    <row r="1772" spans="1:11" hidden="1">
      <c r="A1772" s="134"/>
      <c r="F1772" s="86" t="s">
        <v>987</v>
      </c>
      <c r="H1772" s="86" t="s">
        <v>1692</v>
      </c>
      <c r="I1772" s="1" t="s">
        <v>987</v>
      </c>
      <c r="J1772" s="4"/>
      <c r="K1772" s="1" t="s">
        <v>987</v>
      </c>
    </row>
    <row r="1773" spans="1:11" hidden="1">
      <c r="A1773" s="134"/>
      <c r="F1773" s="91">
        <v>8</v>
      </c>
      <c r="G1773" s="90" t="s">
        <v>877</v>
      </c>
      <c r="H1773" s="86" t="s">
        <v>2168</v>
      </c>
      <c r="I1773" s="8">
        <f>(D641)</f>
        <v>2.7</v>
      </c>
      <c r="J1773" s="2" t="s">
        <v>877</v>
      </c>
      <c r="K1773" s="8">
        <f t="shared" ref="K1773:K1778" si="66">(F1773*I1773)</f>
        <v>21.6</v>
      </c>
    </row>
    <row r="1774" spans="1:11" hidden="1">
      <c r="A1774" s="134"/>
      <c r="F1774" s="91">
        <v>8</v>
      </c>
      <c r="G1774" s="90" t="s">
        <v>877</v>
      </c>
      <c r="H1774" s="86" t="s">
        <v>468</v>
      </c>
      <c r="I1774" s="8">
        <f>(C647)</f>
        <v>6.4</v>
      </c>
      <c r="J1774" s="2" t="s">
        <v>877</v>
      </c>
      <c r="K1774" s="8">
        <f t="shared" si="66"/>
        <v>51.2</v>
      </c>
    </row>
    <row r="1775" spans="1:11" hidden="1">
      <c r="A1775" s="134"/>
      <c r="F1775" s="91">
        <v>3</v>
      </c>
      <c r="G1775" s="90" t="s">
        <v>877</v>
      </c>
      <c r="H1775" s="86" t="s">
        <v>1870</v>
      </c>
      <c r="I1775" s="8">
        <f>(C41)</f>
        <v>110</v>
      </c>
      <c r="J1775" s="2" t="s">
        <v>877</v>
      </c>
      <c r="K1775" s="8">
        <f t="shared" si="66"/>
        <v>330</v>
      </c>
    </row>
    <row r="1776" spans="1:11" hidden="1">
      <c r="A1776" s="134"/>
      <c r="F1776" s="91">
        <v>1</v>
      </c>
      <c r="G1776" s="90" t="s">
        <v>877</v>
      </c>
      <c r="H1776" s="86" t="s">
        <v>1400</v>
      </c>
      <c r="I1776" s="8">
        <f>(C10)</f>
        <v>150</v>
      </c>
      <c r="J1776" s="2" t="s">
        <v>877</v>
      </c>
      <c r="K1776" s="8">
        <f t="shared" si="66"/>
        <v>150</v>
      </c>
    </row>
    <row r="1777" spans="1:11" hidden="1">
      <c r="A1777" s="134"/>
      <c r="F1777" s="91">
        <v>2</v>
      </c>
      <c r="G1777" s="90" t="s">
        <v>877</v>
      </c>
      <c r="H1777" s="86" t="s">
        <v>1927</v>
      </c>
      <c r="I1777" s="8">
        <f>(C12)</f>
        <v>95</v>
      </c>
      <c r="J1777" s="2" t="s">
        <v>877</v>
      </c>
      <c r="K1777" s="8">
        <f t="shared" si="66"/>
        <v>190</v>
      </c>
    </row>
    <row r="1778" spans="1:11" hidden="1">
      <c r="A1778" s="134"/>
      <c r="F1778" s="91">
        <v>1</v>
      </c>
      <c r="G1778" s="90" t="s">
        <v>877</v>
      </c>
      <c r="H1778" s="86" t="s">
        <v>321</v>
      </c>
      <c r="I1778" s="8">
        <f>(C13)</f>
        <v>85</v>
      </c>
      <c r="J1778" s="2" t="s">
        <v>877</v>
      </c>
      <c r="K1778" s="8">
        <f t="shared" si="66"/>
        <v>85</v>
      </c>
    </row>
    <row r="1779" spans="1:11" hidden="1">
      <c r="A1779" s="134"/>
      <c r="G1779" s="90" t="s">
        <v>450</v>
      </c>
      <c r="H1779" s="86" t="s">
        <v>1401</v>
      </c>
      <c r="I1779" s="1" t="s">
        <v>987</v>
      </c>
      <c r="J1779" s="2" t="s">
        <v>450</v>
      </c>
      <c r="K1779" s="8">
        <v>5</v>
      </c>
    </row>
    <row r="1780" spans="1:11" hidden="1">
      <c r="A1780" s="134"/>
      <c r="H1780" s="86" t="s">
        <v>942</v>
      </c>
      <c r="I1780" s="1" t="s">
        <v>987</v>
      </c>
      <c r="J1780" s="4"/>
      <c r="K1780" s="1" t="s">
        <v>987</v>
      </c>
    </row>
    <row r="1781" spans="1:11" hidden="1">
      <c r="A1781" s="134"/>
      <c r="G1781" s="90" t="s">
        <v>450</v>
      </c>
      <c r="H1781" s="86" t="s">
        <v>451</v>
      </c>
      <c r="I1781"/>
      <c r="J1781" s="2" t="s">
        <v>450</v>
      </c>
      <c r="K1781" s="8">
        <v>0</v>
      </c>
    </row>
    <row r="1782" spans="1:11" hidden="1">
      <c r="A1782" s="134"/>
      <c r="I1782"/>
      <c r="J1782" s="4"/>
      <c r="K1782" s="5" t="s">
        <v>1609</v>
      </c>
    </row>
    <row r="1783" spans="1:11" hidden="1">
      <c r="A1783" s="134"/>
      <c r="H1783" s="86" t="s">
        <v>1875</v>
      </c>
      <c r="I1783"/>
      <c r="J1783" s="4"/>
      <c r="K1783" s="8">
        <f>SUM(K1771:K1781)</f>
        <v>922.8</v>
      </c>
    </row>
    <row r="1784" spans="1:11" hidden="1">
      <c r="A1784" s="134"/>
      <c r="I1784"/>
      <c r="J1784" s="4"/>
      <c r="K1784" s="5" t="s">
        <v>1609</v>
      </c>
    </row>
    <row r="1785" spans="1:11" hidden="1">
      <c r="A1785" s="134"/>
      <c r="H1785" s="86" t="s">
        <v>1567</v>
      </c>
      <c r="I1785"/>
      <c r="J1785" s="4"/>
      <c r="K1785" s="8">
        <f>(K1783/30)</f>
        <v>30.76</v>
      </c>
    </row>
    <row r="1786" spans="1:11" hidden="1">
      <c r="A1786" s="134"/>
      <c r="I1786"/>
      <c r="J1786" s="4"/>
      <c r="K1786" s="5" t="s">
        <v>1609</v>
      </c>
    </row>
    <row r="1787" spans="1:11" hidden="1">
      <c r="A1787" s="134"/>
      <c r="I1787"/>
      <c r="J1787" s="4"/>
      <c r="K1787"/>
    </row>
    <row r="1788" spans="1:11" hidden="1">
      <c r="A1788" s="134"/>
      <c r="F1788" s="141">
        <v>52</v>
      </c>
      <c r="G1788" s="90" t="s">
        <v>2276</v>
      </c>
      <c r="H1788" s="86" t="s">
        <v>101</v>
      </c>
      <c r="I1788"/>
      <c r="J1788" s="4"/>
      <c r="K1788"/>
    </row>
    <row r="1789" spans="1:11" hidden="1">
      <c r="A1789" s="134"/>
      <c r="H1789" s="86" t="s">
        <v>2194</v>
      </c>
      <c r="I1789"/>
      <c r="J1789" s="4"/>
      <c r="K1789"/>
    </row>
    <row r="1790" spans="1:11" hidden="1">
      <c r="A1790" s="134"/>
      <c r="H1790" s="86" t="s">
        <v>2195</v>
      </c>
      <c r="I1790"/>
      <c r="J1790" s="4"/>
      <c r="K1790"/>
    </row>
    <row r="1791" spans="1:11" hidden="1">
      <c r="A1791" s="134"/>
      <c r="H1791" s="86" t="s">
        <v>1426</v>
      </c>
      <c r="I1791"/>
      <c r="J1791" s="4"/>
      <c r="K1791"/>
    </row>
    <row r="1792" spans="1:11" hidden="1">
      <c r="A1792" s="134"/>
      <c r="H1792" s="86" t="s">
        <v>1427</v>
      </c>
      <c r="I1792"/>
      <c r="J1792" s="4"/>
      <c r="K1792"/>
    </row>
    <row r="1793" spans="1:11" hidden="1">
      <c r="A1793" s="134"/>
      <c r="H1793" s="86" t="s">
        <v>1371</v>
      </c>
      <c r="I1793"/>
      <c r="J1793" s="4"/>
      <c r="K1793"/>
    </row>
    <row r="1794" spans="1:11" hidden="1">
      <c r="A1794" s="134"/>
      <c r="H1794" s="86" t="s">
        <v>1372</v>
      </c>
      <c r="I1794"/>
      <c r="J1794" s="4"/>
      <c r="K1794"/>
    </row>
    <row r="1795" spans="1:11" hidden="1">
      <c r="A1795" s="134"/>
      <c r="H1795" s="86" t="s">
        <v>716</v>
      </c>
      <c r="I1795"/>
      <c r="J1795" s="4"/>
      <c r="K1795"/>
    </row>
    <row r="1796" spans="1:11" hidden="1">
      <c r="A1796" s="134"/>
      <c r="H1796" s="89" t="s">
        <v>2080</v>
      </c>
      <c r="I1796" s="5" t="s">
        <v>2080</v>
      </c>
      <c r="J1796" s="4"/>
      <c r="K1796"/>
    </row>
    <row r="1797" spans="1:11" hidden="1">
      <c r="A1797" s="134"/>
      <c r="G1797" s="90" t="s">
        <v>2276</v>
      </c>
      <c r="H1797" s="86" t="s">
        <v>927</v>
      </c>
      <c r="I1797"/>
      <c r="J1797" s="4"/>
      <c r="K1797"/>
    </row>
    <row r="1798" spans="1:11" hidden="1">
      <c r="A1798" s="134"/>
      <c r="H1798" s="86" t="s">
        <v>815</v>
      </c>
      <c r="I1798"/>
      <c r="J1798" s="4"/>
      <c r="K1798"/>
    </row>
    <row r="1799" spans="1:11" hidden="1">
      <c r="A1799" s="134"/>
      <c r="G1799" s="90" t="s">
        <v>317</v>
      </c>
      <c r="H1799" s="86" t="s">
        <v>816</v>
      </c>
      <c r="I1799"/>
      <c r="J1799" s="4"/>
      <c r="K1799"/>
    </row>
    <row r="1800" spans="1:11" hidden="1">
      <c r="A1800" s="134"/>
      <c r="H1800" s="89" t="s">
        <v>1609</v>
      </c>
      <c r="I1800"/>
      <c r="J1800" s="4"/>
      <c r="K1800"/>
    </row>
    <row r="1801" spans="1:11" hidden="1">
      <c r="A1801" s="134"/>
      <c r="F1801" s="91">
        <v>1</v>
      </c>
      <c r="G1801" s="90" t="s">
        <v>835</v>
      </c>
      <c r="H1801" s="86" t="s">
        <v>624</v>
      </c>
      <c r="I1801" s="8">
        <f>C509</f>
        <v>32.9</v>
      </c>
      <c r="J1801" s="2" t="s">
        <v>835</v>
      </c>
      <c r="K1801" s="8">
        <f>(F1801*I1801)</f>
        <v>32.9</v>
      </c>
    </row>
    <row r="1802" spans="1:11" hidden="1">
      <c r="A1802" s="134"/>
      <c r="F1802" s="91">
        <v>1</v>
      </c>
      <c r="G1802" s="90" t="s">
        <v>450</v>
      </c>
      <c r="H1802" s="86" t="s">
        <v>1826</v>
      </c>
      <c r="I1802" s="8">
        <f>I1801*0.7</f>
        <v>23.03</v>
      </c>
      <c r="J1802" s="2" t="s">
        <v>450</v>
      </c>
      <c r="K1802" s="8">
        <f>(F1802*I1802)</f>
        <v>23.03</v>
      </c>
    </row>
    <row r="1803" spans="1:11" hidden="1">
      <c r="A1803" s="134"/>
      <c r="F1803" s="91">
        <v>1</v>
      </c>
      <c r="G1803" s="90" t="s">
        <v>835</v>
      </c>
      <c r="H1803" s="86" t="s">
        <v>163</v>
      </c>
      <c r="I1803" s="8">
        <f>K1749</f>
        <v>29.77</v>
      </c>
      <c r="J1803" s="2" t="s">
        <v>835</v>
      </c>
      <c r="K1803" s="8">
        <f>(F1803*I1803)</f>
        <v>29.77</v>
      </c>
    </row>
    <row r="1804" spans="1:11" hidden="1">
      <c r="A1804" s="134"/>
      <c r="I1804" s="1" t="s">
        <v>987</v>
      </c>
      <c r="J1804" s="4"/>
      <c r="K1804" s="5" t="s">
        <v>1609</v>
      </c>
    </row>
    <row r="1805" spans="1:11" hidden="1">
      <c r="A1805" s="134"/>
      <c r="H1805" s="86" t="s">
        <v>377</v>
      </c>
      <c r="I1805"/>
      <c r="J1805" s="4"/>
      <c r="K1805" s="8">
        <f>SUM(K1801:K1803)</f>
        <v>85.7</v>
      </c>
    </row>
    <row r="1806" spans="1:11" hidden="1">
      <c r="A1806" s="134"/>
      <c r="H1806" s="86" t="s">
        <v>987</v>
      </c>
      <c r="I1806" s="1" t="s">
        <v>987</v>
      </c>
      <c r="J1806" s="4"/>
      <c r="K1806" s="5" t="s">
        <v>2080</v>
      </c>
    </row>
    <row r="1807" spans="1:11" hidden="1">
      <c r="A1807" s="134"/>
      <c r="G1807" s="90" t="s">
        <v>522</v>
      </c>
      <c r="H1807" s="86" t="s">
        <v>750</v>
      </c>
      <c r="I1807"/>
      <c r="J1807" s="4"/>
      <c r="K1807"/>
    </row>
    <row r="1808" spans="1:11" hidden="1">
      <c r="A1808" s="134"/>
      <c r="H1808" s="89" t="s">
        <v>1609</v>
      </c>
      <c r="I1808"/>
      <c r="J1808" s="4"/>
      <c r="K1808"/>
    </row>
    <row r="1809" spans="1:11" hidden="1">
      <c r="A1809" s="134"/>
      <c r="F1809" s="91">
        <v>1</v>
      </c>
      <c r="G1809" s="90" t="s">
        <v>835</v>
      </c>
      <c r="H1809" s="86" t="s">
        <v>751</v>
      </c>
      <c r="I1809" s="8">
        <f>C510</f>
        <v>48.8</v>
      </c>
      <c r="J1809" s="2" t="s">
        <v>835</v>
      </c>
      <c r="K1809" s="8">
        <f>(F1809*I1809)</f>
        <v>48.8</v>
      </c>
    </row>
    <row r="1810" spans="1:11" hidden="1">
      <c r="A1810" s="134"/>
      <c r="F1810" s="91">
        <v>1</v>
      </c>
      <c r="G1810" s="90" t="s">
        <v>450</v>
      </c>
      <c r="H1810" s="86" t="s">
        <v>902</v>
      </c>
      <c r="I1810" s="8">
        <f>I1809*0.4</f>
        <v>19.52</v>
      </c>
      <c r="J1810" s="2" t="s">
        <v>450</v>
      </c>
      <c r="K1810" s="8">
        <f>(F1810*I1810)</f>
        <v>19.52</v>
      </c>
    </row>
    <row r="1811" spans="1:11" hidden="1">
      <c r="A1811" s="134"/>
      <c r="F1811" s="91">
        <v>1</v>
      </c>
      <c r="G1811" s="90" t="s">
        <v>835</v>
      </c>
      <c r="H1811" s="86" t="s">
        <v>163</v>
      </c>
      <c r="I1811" s="8">
        <f>K1767</f>
        <v>29.77</v>
      </c>
      <c r="J1811" s="2" t="s">
        <v>835</v>
      </c>
      <c r="K1811" s="8">
        <f>(F1811*I1811)</f>
        <v>29.77</v>
      </c>
    </row>
    <row r="1812" spans="1:11" hidden="1">
      <c r="A1812" s="134"/>
      <c r="I1812" s="1" t="s">
        <v>987</v>
      </c>
      <c r="J1812" s="4"/>
      <c r="K1812" s="5" t="s">
        <v>1609</v>
      </c>
    </row>
    <row r="1813" spans="1:11" hidden="1">
      <c r="A1813" s="134"/>
      <c r="H1813" s="86" t="s">
        <v>377</v>
      </c>
      <c r="I1813"/>
      <c r="J1813" s="4"/>
      <c r="K1813" s="8">
        <f>SUM(K1809:K1811)</f>
        <v>98.09</v>
      </c>
    </row>
    <row r="1814" spans="1:11" hidden="1">
      <c r="A1814" s="134"/>
      <c r="I1814" s="1" t="s">
        <v>987</v>
      </c>
      <c r="J1814" s="4"/>
      <c r="K1814" s="5" t="s">
        <v>2080</v>
      </c>
    </row>
    <row r="1815" spans="1:11" hidden="1">
      <c r="A1815" s="134"/>
      <c r="G1815" s="90" t="s">
        <v>1932</v>
      </c>
      <c r="H1815" s="86" t="s">
        <v>375</v>
      </c>
      <c r="I1815"/>
      <c r="J1815" s="4"/>
      <c r="K1815"/>
    </row>
    <row r="1816" spans="1:11" hidden="1">
      <c r="A1816" s="134"/>
      <c r="H1816" s="89" t="s">
        <v>1609</v>
      </c>
      <c r="I1816"/>
      <c r="J1816" s="4"/>
      <c r="K1816"/>
    </row>
    <row r="1817" spans="1:11" hidden="1">
      <c r="A1817" s="134"/>
      <c r="F1817" s="91">
        <v>1</v>
      </c>
      <c r="G1817" s="90" t="s">
        <v>835</v>
      </c>
      <c r="H1817" s="86" t="s">
        <v>1696</v>
      </c>
      <c r="I1817" s="8">
        <f>C511</f>
        <v>65.7</v>
      </c>
      <c r="J1817" s="2" t="s">
        <v>835</v>
      </c>
      <c r="K1817" s="8">
        <f>(F1817*I1817)</f>
        <v>65.7</v>
      </c>
    </row>
    <row r="1818" spans="1:11" hidden="1">
      <c r="A1818" s="134"/>
      <c r="F1818" s="91">
        <v>1</v>
      </c>
      <c r="G1818" s="90" t="s">
        <v>450</v>
      </c>
      <c r="H1818" s="86" t="s">
        <v>1697</v>
      </c>
      <c r="I1818" s="8">
        <f>I1817*0.2</f>
        <v>13.14</v>
      </c>
      <c r="J1818" s="2" t="s">
        <v>450</v>
      </c>
      <c r="K1818" s="8">
        <f>(F1818*I1818)</f>
        <v>13.14</v>
      </c>
    </row>
    <row r="1819" spans="1:11" hidden="1">
      <c r="A1819" s="134"/>
      <c r="F1819" s="91">
        <v>1</v>
      </c>
      <c r="G1819" s="90" t="s">
        <v>835</v>
      </c>
      <c r="H1819" s="86" t="s">
        <v>163</v>
      </c>
      <c r="I1819" s="8">
        <f>K1785</f>
        <v>30.76</v>
      </c>
      <c r="J1819" s="2" t="s">
        <v>835</v>
      </c>
      <c r="K1819" s="8">
        <f>(F1819*I1819)</f>
        <v>30.76</v>
      </c>
    </row>
    <row r="1820" spans="1:11" hidden="1">
      <c r="A1820" s="134"/>
      <c r="I1820" s="1" t="s">
        <v>987</v>
      </c>
      <c r="J1820" s="4"/>
      <c r="K1820" s="5" t="s">
        <v>1609</v>
      </c>
    </row>
    <row r="1821" spans="1:11" hidden="1">
      <c r="A1821" s="134"/>
      <c r="H1821" s="86" t="s">
        <v>377</v>
      </c>
      <c r="I1821"/>
      <c r="J1821" s="4"/>
      <c r="K1821" s="8">
        <f>SUM(K1817:K1819)</f>
        <v>109.6</v>
      </c>
    </row>
    <row r="1822" spans="1:11" hidden="1">
      <c r="A1822" s="134"/>
      <c r="I1822" s="1" t="s">
        <v>987</v>
      </c>
      <c r="J1822" s="4"/>
      <c r="K1822" s="5" t="s">
        <v>2080</v>
      </c>
    </row>
    <row r="1823" spans="1:11" hidden="1">
      <c r="A1823" s="134"/>
      <c r="I1823" s="1"/>
      <c r="J1823" s="4"/>
      <c r="K1823" s="5"/>
    </row>
    <row r="1824" spans="1:11" ht="31.5" hidden="1">
      <c r="A1824" s="134"/>
      <c r="F1824" s="120">
        <v>52.1</v>
      </c>
      <c r="H1824" s="142" t="s">
        <v>2226</v>
      </c>
      <c r="I1824" s="1"/>
      <c r="J1824" s="4"/>
      <c r="K1824" s="5"/>
    </row>
    <row r="1825" spans="1:11" hidden="1">
      <c r="A1825" s="134"/>
      <c r="I1825" s="1"/>
      <c r="J1825" s="4"/>
      <c r="K1825" s="5"/>
    </row>
    <row r="1826" spans="1:11" hidden="1">
      <c r="A1826" s="134"/>
      <c r="F1826" s="102"/>
      <c r="G1826" s="90"/>
      <c r="H1826" s="86" t="s">
        <v>2072</v>
      </c>
      <c r="I1826" s="1"/>
      <c r="J1826" s="4"/>
      <c r="K1826" s="5"/>
    </row>
    <row r="1827" spans="1:11" hidden="1">
      <c r="A1827" s="134"/>
      <c r="G1827" s="90"/>
      <c r="H1827" s="86" t="s">
        <v>2227</v>
      </c>
      <c r="I1827" s="1"/>
      <c r="J1827" s="4"/>
      <c r="K1827" s="5"/>
    </row>
    <row r="1828" spans="1:11" hidden="1">
      <c r="A1828" s="134"/>
      <c r="H1828" s="89" t="s">
        <v>1609</v>
      </c>
      <c r="I1828" s="1"/>
      <c r="J1828" s="4"/>
      <c r="K1828" s="5"/>
    </row>
    <row r="1829" spans="1:11" hidden="1">
      <c r="A1829" s="134"/>
      <c r="F1829" s="91">
        <v>30</v>
      </c>
      <c r="G1829" s="90" t="s">
        <v>1796</v>
      </c>
      <c r="H1829" s="86" t="s">
        <v>149</v>
      </c>
      <c r="I1829" s="6">
        <f>E639</f>
        <v>5</v>
      </c>
      <c r="J1829" s="2" t="s">
        <v>1796</v>
      </c>
      <c r="K1829" s="8">
        <f>(F1829*I1829)</f>
        <v>150</v>
      </c>
    </row>
    <row r="1830" spans="1:11" hidden="1">
      <c r="A1830" s="134"/>
      <c r="F1830" s="91">
        <v>8</v>
      </c>
      <c r="G1830" s="90" t="s">
        <v>877</v>
      </c>
      <c r="H1830" s="86" t="s">
        <v>2168</v>
      </c>
      <c r="I1830" s="6">
        <f>I1737</f>
        <v>2.2000000000000002</v>
      </c>
      <c r="J1830" s="2" t="s">
        <v>877</v>
      </c>
      <c r="K1830" s="8">
        <f t="shared" ref="K1830:K1835" si="67">(F1830*I1830)</f>
        <v>17.600000000000001</v>
      </c>
    </row>
    <row r="1831" spans="1:11" hidden="1">
      <c r="A1831" s="134"/>
      <c r="F1831" s="91">
        <v>8</v>
      </c>
      <c r="G1831" s="90" t="s">
        <v>877</v>
      </c>
      <c r="H1831" s="86" t="s">
        <v>468</v>
      </c>
      <c r="I1831" s="6">
        <f>I1738</f>
        <v>3.2</v>
      </c>
      <c r="J1831" s="2" t="s">
        <v>877</v>
      </c>
      <c r="K1831" s="8">
        <f t="shared" si="67"/>
        <v>25.6</v>
      </c>
    </row>
    <row r="1832" spans="1:11" hidden="1">
      <c r="A1832" s="134"/>
      <c r="F1832" s="91">
        <v>3</v>
      </c>
      <c r="G1832" s="90" t="s">
        <v>877</v>
      </c>
      <c r="H1832" s="86" t="s">
        <v>1870</v>
      </c>
      <c r="I1832" s="6">
        <f>C41</f>
        <v>110</v>
      </c>
      <c r="J1832" s="2" t="s">
        <v>877</v>
      </c>
      <c r="K1832" s="8">
        <f t="shared" si="67"/>
        <v>330</v>
      </c>
    </row>
    <row r="1833" spans="1:11" hidden="1">
      <c r="A1833" s="134"/>
      <c r="F1833" s="91">
        <v>1</v>
      </c>
      <c r="G1833" s="90" t="s">
        <v>877</v>
      </c>
      <c r="H1833" s="86" t="s">
        <v>1400</v>
      </c>
      <c r="I1833" s="6">
        <f>C10</f>
        <v>150</v>
      </c>
      <c r="J1833" s="2" t="s">
        <v>877</v>
      </c>
      <c r="K1833" s="8">
        <f t="shared" si="67"/>
        <v>150</v>
      </c>
    </row>
    <row r="1834" spans="1:11" hidden="1">
      <c r="A1834" s="134"/>
      <c r="F1834" s="91">
        <v>2</v>
      </c>
      <c r="G1834" s="90" t="s">
        <v>877</v>
      </c>
      <c r="H1834" s="86" t="s">
        <v>1927</v>
      </c>
      <c r="I1834" s="6">
        <f>C12</f>
        <v>95</v>
      </c>
      <c r="J1834" s="2" t="s">
        <v>877</v>
      </c>
      <c r="K1834" s="8">
        <f t="shared" si="67"/>
        <v>190</v>
      </c>
    </row>
    <row r="1835" spans="1:11" hidden="1">
      <c r="A1835" s="134"/>
      <c r="F1835" s="91">
        <v>1</v>
      </c>
      <c r="G1835" s="90" t="s">
        <v>877</v>
      </c>
      <c r="H1835" s="86" t="s">
        <v>321</v>
      </c>
      <c r="I1835" s="6">
        <f>C13</f>
        <v>85</v>
      </c>
      <c r="J1835" s="2" t="s">
        <v>877</v>
      </c>
      <c r="K1835" s="8">
        <f t="shared" si="67"/>
        <v>85</v>
      </c>
    </row>
    <row r="1836" spans="1:11" hidden="1">
      <c r="A1836" s="134"/>
      <c r="I1836"/>
      <c r="J1836" s="4"/>
      <c r="K1836" s="5" t="s">
        <v>1609</v>
      </c>
    </row>
    <row r="1837" spans="1:11" hidden="1">
      <c r="A1837" s="134"/>
      <c r="H1837" s="86" t="s">
        <v>1875</v>
      </c>
      <c r="I1837"/>
      <c r="J1837" s="4"/>
      <c r="K1837" s="8">
        <f>SUM(K1829:K1835)</f>
        <v>948.2</v>
      </c>
    </row>
    <row r="1838" spans="1:11" hidden="1">
      <c r="A1838" s="134"/>
      <c r="I1838"/>
      <c r="J1838" s="4"/>
      <c r="K1838" s="5" t="s">
        <v>1609</v>
      </c>
    </row>
    <row r="1839" spans="1:11" hidden="1">
      <c r="A1839" s="134"/>
      <c r="H1839" s="86" t="s">
        <v>1567</v>
      </c>
      <c r="I1839"/>
      <c r="J1839" s="4"/>
      <c r="K1839" s="8">
        <f>(K1837/30)</f>
        <v>31.61</v>
      </c>
    </row>
    <row r="1840" spans="1:11" hidden="1">
      <c r="A1840" s="134"/>
      <c r="I1840"/>
      <c r="J1840" s="4"/>
      <c r="K1840" s="5" t="s">
        <v>1609</v>
      </c>
    </row>
    <row r="1841" spans="1:11" hidden="1">
      <c r="A1841" s="134"/>
      <c r="I1841" s="1"/>
      <c r="J1841" s="4"/>
      <c r="K1841" s="5"/>
    </row>
    <row r="1842" spans="1:11" hidden="1">
      <c r="A1842" s="134"/>
      <c r="H1842" s="87" t="s">
        <v>337</v>
      </c>
      <c r="I1842" s="1"/>
      <c r="J1842" s="4"/>
      <c r="K1842" s="5"/>
    </row>
    <row r="1843" spans="1:11" hidden="1">
      <c r="A1843" s="134"/>
      <c r="H1843" s="89" t="s">
        <v>1609</v>
      </c>
      <c r="I1843" s="1"/>
      <c r="J1843" s="4"/>
      <c r="K1843" s="5"/>
    </row>
    <row r="1844" spans="1:11" hidden="1">
      <c r="A1844" s="134"/>
      <c r="F1844" s="91">
        <v>1</v>
      </c>
      <c r="G1844" s="90" t="s">
        <v>835</v>
      </c>
      <c r="H1844" s="86" t="s">
        <v>338</v>
      </c>
      <c r="I1844" s="6">
        <f>E509</f>
        <v>70</v>
      </c>
      <c r="J1844" s="2" t="s">
        <v>835</v>
      </c>
      <c r="K1844" s="8">
        <f>(F1844*I1844)</f>
        <v>70</v>
      </c>
    </row>
    <row r="1845" spans="1:11" hidden="1">
      <c r="A1845" s="134"/>
      <c r="F1845" s="91">
        <v>1</v>
      </c>
      <c r="G1845" s="90" t="s">
        <v>450</v>
      </c>
      <c r="H1845" s="86" t="s">
        <v>339</v>
      </c>
      <c r="I1845" s="6">
        <f>I1844*0.2</f>
        <v>14</v>
      </c>
      <c r="J1845" s="2" t="s">
        <v>450</v>
      </c>
      <c r="K1845" s="8">
        <f>(F1845*I1845)</f>
        <v>14</v>
      </c>
    </row>
    <row r="1846" spans="1:11" hidden="1">
      <c r="A1846" s="134"/>
      <c r="F1846" s="91">
        <v>1</v>
      </c>
      <c r="G1846" s="90" t="s">
        <v>835</v>
      </c>
      <c r="H1846" s="86" t="s">
        <v>163</v>
      </c>
      <c r="I1846" s="6">
        <f>K1839</f>
        <v>31.61</v>
      </c>
      <c r="J1846" s="2" t="s">
        <v>835</v>
      </c>
      <c r="K1846" s="8">
        <f>(F1846*I1846)</f>
        <v>31.61</v>
      </c>
    </row>
    <row r="1847" spans="1:11" ht="31.5" hidden="1">
      <c r="A1847" s="134"/>
      <c r="F1847" s="91"/>
      <c r="G1847" s="90"/>
      <c r="H1847" s="116" t="s">
        <v>1094</v>
      </c>
      <c r="I1847" s="6"/>
      <c r="J1847" s="2" t="s">
        <v>450</v>
      </c>
      <c r="K1847" s="8">
        <v>1.25</v>
      </c>
    </row>
    <row r="1848" spans="1:11" hidden="1">
      <c r="A1848" s="134"/>
      <c r="I1848" s="1"/>
      <c r="J1848" s="4"/>
      <c r="K1848" s="5" t="s">
        <v>1609</v>
      </c>
    </row>
    <row r="1849" spans="1:11" hidden="1">
      <c r="A1849" s="134"/>
      <c r="H1849" s="86" t="s">
        <v>377</v>
      </c>
      <c r="I1849" s="1"/>
      <c r="J1849" s="4"/>
      <c r="K1849" s="8">
        <f>SUM(K1844:K1847)</f>
        <v>116.86</v>
      </c>
    </row>
    <row r="1850" spans="1:11" hidden="1">
      <c r="A1850" s="134"/>
      <c r="I1850" s="1"/>
      <c r="J1850" s="4"/>
      <c r="K1850" s="5" t="s">
        <v>2080</v>
      </c>
    </row>
    <row r="1851" spans="1:11" hidden="1">
      <c r="A1851" s="134"/>
      <c r="I1851" s="1"/>
      <c r="J1851" s="4"/>
      <c r="K1851" s="5"/>
    </row>
    <row r="1852" spans="1:11" hidden="1">
      <c r="A1852" s="134"/>
      <c r="I1852" s="1"/>
      <c r="J1852" s="4"/>
      <c r="K1852" s="5"/>
    </row>
    <row r="1853" spans="1:11" hidden="1">
      <c r="A1853" s="134"/>
      <c r="F1853" s="112">
        <v>53.1</v>
      </c>
      <c r="G1853" s="90" t="s">
        <v>2276</v>
      </c>
      <c r="H1853" s="86" t="s">
        <v>2244</v>
      </c>
      <c r="I1853"/>
      <c r="J1853" s="4"/>
      <c r="K1853"/>
    </row>
    <row r="1854" spans="1:11" hidden="1">
      <c r="A1854" s="134"/>
      <c r="H1854" s="114" t="s">
        <v>1470</v>
      </c>
      <c r="I1854"/>
      <c r="J1854" s="4"/>
      <c r="K1854"/>
    </row>
    <row r="1855" spans="1:11" hidden="1">
      <c r="A1855" s="134"/>
      <c r="H1855" s="86" t="s">
        <v>1160</v>
      </c>
      <c r="I1855"/>
      <c r="J1855" s="4"/>
      <c r="K1855"/>
    </row>
    <row r="1856" spans="1:11" hidden="1">
      <c r="A1856" s="134"/>
      <c r="H1856" s="86" t="s">
        <v>1161</v>
      </c>
      <c r="I1856"/>
      <c r="J1856" s="4"/>
      <c r="K1856"/>
    </row>
    <row r="1857" spans="1:11" hidden="1">
      <c r="A1857" s="134"/>
      <c r="H1857" s="89" t="s">
        <v>1609</v>
      </c>
      <c r="I1857"/>
      <c r="J1857" s="4"/>
      <c r="K1857"/>
    </row>
    <row r="1858" spans="1:11" ht="57" hidden="1" customHeight="1">
      <c r="A1858" s="134"/>
      <c r="F1858" s="143">
        <v>1</v>
      </c>
      <c r="G1858" s="143" t="s">
        <v>877</v>
      </c>
      <c r="H1858" s="116" t="s">
        <v>2697</v>
      </c>
      <c r="I1858" s="18">
        <f>(C595)</f>
        <v>1050</v>
      </c>
      <c r="J1858" s="18" t="s">
        <v>877</v>
      </c>
      <c r="K1858" s="18">
        <f>(F1858*I1858)</f>
        <v>1050</v>
      </c>
    </row>
    <row r="1859" spans="1:11" hidden="1">
      <c r="A1859" s="134"/>
      <c r="F1859" s="91"/>
      <c r="G1859" s="90"/>
      <c r="H1859" s="86"/>
      <c r="I1859" s="8"/>
      <c r="J1859" s="2"/>
      <c r="K1859" s="8"/>
    </row>
    <row r="1860" spans="1:11" hidden="1">
      <c r="A1860" s="134"/>
      <c r="F1860" s="91"/>
      <c r="G1860" s="90"/>
      <c r="H1860" s="86"/>
      <c r="I1860" s="8"/>
      <c r="J1860" s="2"/>
      <c r="K1860" s="8"/>
    </row>
    <row r="1861" spans="1:11" hidden="1">
      <c r="A1861" s="134"/>
      <c r="F1861" s="91"/>
      <c r="G1861" s="90"/>
      <c r="H1861" s="86"/>
      <c r="I1861" s="8"/>
      <c r="J1861" s="2"/>
      <c r="K1861" s="8"/>
    </row>
    <row r="1862" spans="1:11" hidden="1">
      <c r="A1862" s="134"/>
      <c r="F1862" s="91"/>
      <c r="G1862" s="90"/>
      <c r="H1862" s="86"/>
      <c r="I1862" s="8"/>
      <c r="J1862" s="2"/>
      <c r="K1862" s="8"/>
    </row>
    <row r="1863" spans="1:11" hidden="1">
      <c r="A1863" s="134"/>
      <c r="F1863" s="91"/>
      <c r="G1863" s="90"/>
      <c r="H1863" s="86"/>
      <c r="I1863" s="8"/>
      <c r="J1863" s="2"/>
      <c r="K1863" s="8"/>
    </row>
    <row r="1864" spans="1:11" hidden="1">
      <c r="A1864" s="134"/>
      <c r="F1864" s="91"/>
      <c r="G1864" s="90"/>
      <c r="H1864" s="86"/>
      <c r="I1864" s="8"/>
      <c r="J1864" s="2"/>
      <c r="K1864" s="8"/>
    </row>
    <row r="1865" spans="1:11" hidden="1">
      <c r="A1865" s="134"/>
      <c r="F1865" s="91">
        <v>0.5</v>
      </c>
      <c r="G1865" s="90" t="s">
        <v>877</v>
      </c>
      <c r="H1865" s="86" t="s">
        <v>2130</v>
      </c>
      <c r="I1865" s="8">
        <f>(C15)</f>
        <v>130</v>
      </c>
      <c r="J1865" s="2" t="s">
        <v>877</v>
      </c>
      <c r="K1865" s="8">
        <f>(F1865*I1865)</f>
        <v>65</v>
      </c>
    </row>
    <row r="1866" spans="1:11" hidden="1">
      <c r="A1866" s="134"/>
      <c r="F1866" s="91">
        <v>1</v>
      </c>
      <c r="G1866" s="90" t="s">
        <v>877</v>
      </c>
      <c r="H1866" s="86" t="s">
        <v>1927</v>
      </c>
      <c r="I1866" s="8">
        <f>(C12)</f>
        <v>95</v>
      </c>
      <c r="J1866" s="2" t="s">
        <v>877</v>
      </c>
      <c r="K1866" s="8">
        <f>(F1866*I1866)</f>
        <v>95</v>
      </c>
    </row>
    <row r="1867" spans="1:11" hidden="1">
      <c r="A1867" s="134"/>
      <c r="F1867" s="91">
        <v>0.5</v>
      </c>
      <c r="G1867" s="90" t="s">
        <v>877</v>
      </c>
      <c r="H1867" s="86" t="s">
        <v>2034</v>
      </c>
      <c r="I1867" s="8">
        <f>(C10)</f>
        <v>150</v>
      </c>
      <c r="J1867" s="2" t="s">
        <v>877</v>
      </c>
      <c r="K1867" s="8">
        <f>(F1867*I1867)</f>
        <v>75</v>
      </c>
    </row>
    <row r="1868" spans="1:11" hidden="1">
      <c r="A1868" s="134"/>
      <c r="G1868" s="90" t="s">
        <v>450</v>
      </c>
      <c r="H1868" s="86" t="s">
        <v>1162</v>
      </c>
      <c r="I1868"/>
      <c r="J1868" s="2" t="s">
        <v>450</v>
      </c>
      <c r="K1868" s="8">
        <v>0.5</v>
      </c>
    </row>
    <row r="1869" spans="1:11" hidden="1">
      <c r="A1869" s="134"/>
      <c r="I1869"/>
      <c r="J1869" s="4"/>
      <c r="K1869" s="5" t="s">
        <v>1609</v>
      </c>
    </row>
    <row r="1870" spans="1:11" hidden="1">
      <c r="A1870" s="134"/>
      <c r="H1870" s="86" t="s">
        <v>1776</v>
      </c>
      <c r="I1870"/>
      <c r="J1870" s="4"/>
      <c r="K1870" s="8">
        <f>SUM(K1858:K1868)</f>
        <v>1285.5</v>
      </c>
    </row>
    <row r="1871" spans="1:11" hidden="1">
      <c r="A1871" s="134"/>
      <c r="I1871"/>
      <c r="J1871" s="4"/>
      <c r="K1871" s="5" t="s">
        <v>1609</v>
      </c>
    </row>
    <row r="1872" spans="1:11" hidden="1">
      <c r="A1872" s="134"/>
      <c r="F1872" s="102" t="s">
        <v>1422</v>
      </c>
      <c r="H1872" s="86" t="s">
        <v>1423</v>
      </c>
      <c r="I1872"/>
      <c r="J1872" s="4"/>
      <c r="K1872" s="1" t="s">
        <v>2698</v>
      </c>
    </row>
    <row r="1873" spans="1:11" hidden="1">
      <c r="A1873" s="134"/>
      <c r="I1873"/>
      <c r="J1873" s="4"/>
      <c r="K1873"/>
    </row>
    <row r="1874" spans="1:11" hidden="1">
      <c r="A1874" s="134"/>
      <c r="F1874" s="102" t="s">
        <v>1424</v>
      </c>
      <c r="H1874" s="86" t="s">
        <v>2699</v>
      </c>
      <c r="I1874"/>
      <c r="J1874" s="4"/>
      <c r="K1874" s="1" t="s">
        <v>2700</v>
      </c>
    </row>
    <row r="1875" spans="1:11" hidden="1">
      <c r="A1875" s="134"/>
      <c r="F1875" s="102"/>
      <c r="H1875" s="86"/>
      <c r="I1875"/>
      <c r="J1875" s="4"/>
      <c r="K1875" s="1"/>
    </row>
    <row r="1876" spans="1:11" hidden="1">
      <c r="A1876" s="134"/>
      <c r="F1876" s="108">
        <v>54</v>
      </c>
      <c r="G1876" s="90" t="s">
        <v>2276</v>
      </c>
      <c r="H1876" s="86" t="s">
        <v>1157</v>
      </c>
      <c r="I1876"/>
      <c r="J1876" s="2" t="s">
        <v>1418</v>
      </c>
      <c r="K1876" s="8">
        <v>140</v>
      </c>
    </row>
    <row r="1877" spans="1:11" hidden="1">
      <c r="A1877" s="134"/>
      <c r="I1877"/>
      <c r="J1877" s="4"/>
      <c r="K1877" s="5" t="s">
        <v>2080</v>
      </c>
    </row>
    <row r="1878" spans="1:11" hidden="1">
      <c r="A1878" s="134"/>
      <c r="I1878"/>
      <c r="J1878" s="4"/>
      <c r="K1878"/>
    </row>
    <row r="1879" spans="1:11" hidden="1">
      <c r="A1879" s="134"/>
      <c r="F1879" s="112">
        <v>54.1</v>
      </c>
      <c r="G1879" s="90" t="s">
        <v>2276</v>
      </c>
      <c r="H1879" s="86" t="s">
        <v>1313</v>
      </c>
      <c r="I1879"/>
      <c r="J1879" s="2" t="s">
        <v>1418</v>
      </c>
      <c r="K1879" s="8">
        <v>240</v>
      </c>
    </row>
    <row r="1880" spans="1:11" hidden="1">
      <c r="A1880" s="134"/>
      <c r="I1880"/>
      <c r="J1880" s="4"/>
      <c r="K1880" s="5" t="s">
        <v>2080</v>
      </c>
    </row>
    <row r="1881" spans="1:11" hidden="1">
      <c r="A1881" s="134"/>
      <c r="I1881"/>
      <c r="J1881" s="4"/>
      <c r="K1881"/>
    </row>
    <row r="1882" spans="1:11" hidden="1">
      <c r="A1882" s="134"/>
      <c r="F1882" s="112">
        <v>54.2</v>
      </c>
      <c r="G1882" s="90" t="s">
        <v>2276</v>
      </c>
      <c r="H1882" s="86" t="s">
        <v>948</v>
      </c>
      <c r="I1882"/>
      <c r="J1882" s="2" t="s">
        <v>1418</v>
      </c>
      <c r="K1882" s="8">
        <v>270</v>
      </c>
    </row>
    <row r="1883" spans="1:11" hidden="1">
      <c r="A1883" s="134"/>
      <c r="I1883"/>
      <c r="J1883" s="4"/>
      <c r="K1883" s="5" t="s">
        <v>2080</v>
      </c>
    </row>
    <row r="1884" spans="1:11" hidden="1">
      <c r="A1884" s="134"/>
      <c r="I1884"/>
      <c r="J1884" s="4"/>
      <c r="K1884"/>
    </row>
    <row r="1885" spans="1:11" hidden="1">
      <c r="A1885" s="134"/>
      <c r="F1885" s="102" t="s">
        <v>1158</v>
      </c>
      <c r="G1885" s="90" t="s">
        <v>2276</v>
      </c>
      <c r="H1885" s="86" t="s">
        <v>83</v>
      </c>
      <c r="I1885"/>
      <c r="J1885" s="4"/>
      <c r="K1885"/>
    </row>
    <row r="1886" spans="1:11" hidden="1">
      <c r="A1886" s="134"/>
      <c r="H1886" s="86" t="s">
        <v>1120</v>
      </c>
      <c r="I1886"/>
      <c r="J1886" s="4"/>
      <c r="K1886"/>
    </row>
    <row r="1887" spans="1:11" hidden="1">
      <c r="A1887" s="134"/>
      <c r="H1887" s="86" t="s">
        <v>1121</v>
      </c>
      <c r="I1887"/>
      <c r="J1887" s="4"/>
      <c r="K1887"/>
    </row>
    <row r="1888" spans="1:11" hidden="1">
      <c r="A1888" s="134"/>
      <c r="H1888" s="86" t="s">
        <v>1122</v>
      </c>
      <c r="I1888"/>
      <c r="J1888" s="4"/>
      <c r="K1888"/>
    </row>
    <row r="1889" spans="1:22" hidden="1">
      <c r="A1889" s="134"/>
      <c r="H1889" s="89" t="s">
        <v>1609</v>
      </c>
      <c r="I1889"/>
      <c r="J1889" s="4"/>
      <c r="K1889"/>
    </row>
    <row r="1890" spans="1:22" hidden="1">
      <c r="A1890" s="134"/>
      <c r="F1890" s="91">
        <v>1</v>
      </c>
      <c r="G1890" s="90" t="s">
        <v>877</v>
      </c>
      <c r="H1890" s="86" t="s">
        <v>718</v>
      </c>
      <c r="I1890" s="8">
        <f>(C200)</f>
        <v>750</v>
      </c>
      <c r="J1890" s="2" t="s">
        <v>877</v>
      </c>
      <c r="K1890" s="8">
        <f t="shared" ref="K1890:K1896" si="68">(F1890*I1890)</f>
        <v>750</v>
      </c>
    </row>
    <row r="1891" spans="1:22" hidden="1">
      <c r="A1891" s="134"/>
      <c r="F1891" s="91">
        <v>0.65</v>
      </c>
      <c r="G1891" s="90" t="s">
        <v>878</v>
      </c>
      <c r="H1891" s="86" t="s">
        <v>249</v>
      </c>
      <c r="I1891" s="8">
        <f>(C61*2)</f>
        <v>50</v>
      </c>
      <c r="J1891" s="2" t="s">
        <v>878</v>
      </c>
      <c r="K1891" s="8">
        <f t="shared" si="68"/>
        <v>32.5</v>
      </c>
    </row>
    <row r="1892" spans="1:22" hidden="1">
      <c r="A1892" s="134"/>
      <c r="F1892" s="91">
        <v>0.56999999999999995</v>
      </c>
      <c r="G1892" s="90" t="s">
        <v>878</v>
      </c>
      <c r="H1892" s="86" t="s">
        <v>250</v>
      </c>
      <c r="I1892" s="8">
        <f>(C26)</f>
        <v>8.8000000000000007</v>
      </c>
      <c r="J1892" s="2" t="s">
        <v>878</v>
      </c>
      <c r="K1892" s="8">
        <f t="shared" si="68"/>
        <v>5.0199999999999996</v>
      </c>
    </row>
    <row r="1893" spans="1:22" hidden="1">
      <c r="A1893" s="134"/>
      <c r="F1893" s="111">
        <v>8.1000000000000003E-2</v>
      </c>
      <c r="G1893" s="90" t="s">
        <v>878</v>
      </c>
      <c r="H1893" s="86" t="s">
        <v>251</v>
      </c>
      <c r="I1893" s="8" t="e">
        <f>(R60)</f>
        <v>#REF!</v>
      </c>
      <c r="J1893" s="2" t="s">
        <v>878</v>
      </c>
      <c r="K1893" s="8" t="e">
        <f t="shared" si="68"/>
        <v>#REF!</v>
      </c>
    </row>
    <row r="1894" spans="1:22" hidden="1">
      <c r="A1894" s="134"/>
      <c r="F1894" s="91">
        <v>1</v>
      </c>
      <c r="G1894" s="90" t="s">
        <v>877</v>
      </c>
      <c r="H1894" s="86" t="s">
        <v>2130</v>
      </c>
      <c r="I1894" s="8">
        <f>(C15)</f>
        <v>130</v>
      </c>
      <c r="J1894" s="2" t="s">
        <v>877</v>
      </c>
      <c r="K1894" s="8">
        <f t="shared" si="68"/>
        <v>130</v>
      </c>
    </row>
    <row r="1895" spans="1:22" hidden="1">
      <c r="A1895" s="134"/>
      <c r="F1895" s="91">
        <v>0.5</v>
      </c>
      <c r="G1895" s="90" t="s">
        <v>877</v>
      </c>
      <c r="H1895" s="86" t="s">
        <v>1737</v>
      </c>
      <c r="I1895" s="8">
        <f>(C11)</f>
        <v>135</v>
      </c>
      <c r="J1895" s="2" t="s">
        <v>877</v>
      </c>
      <c r="K1895" s="8">
        <f t="shared" si="68"/>
        <v>67.5</v>
      </c>
    </row>
    <row r="1896" spans="1:22" hidden="1">
      <c r="A1896" s="134"/>
      <c r="F1896" s="91">
        <v>0.5</v>
      </c>
      <c r="G1896" s="90" t="s">
        <v>877</v>
      </c>
      <c r="H1896" s="86" t="s">
        <v>1927</v>
      </c>
      <c r="I1896" s="8">
        <f>(C12)</f>
        <v>95</v>
      </c>
      <c r="J1896" s="2" t="s">
        <v>877</v>
      </c>
      <c r="K1896" s="8">
        <f t="shared" si="68"/>
        <v>47.5</v>
      </c>
    </row>
    <row r="1897" spans="1:22" hidden="1">
      <c r="A1897" s="134"/>
      <c r="G1897" s="90" t="s">
        <v>450</v>
      </c>
      <c r="H1897" s="86" t="s">
        <v>451</v>
      </c>
      <c r="I1897" s="1" t="s">
        <v>987</v>
      </c>
      <c r="J1897" s="2" t="s">
        <v>450</v>
      </c>
      <c r="K1897" s="8">
        <v>0</v>
      </c>
    </row>
    <row r="1898" spans="1:22" hidden="1">
      <c r="A1898" s="134"/>
      <c r="I1898"/>
      <c r="J1898" s="4"/>
      <c r="K1898" s="5" t="s">
        <v>1609</v>
      </c>
    </row>
    <row r="1899" spans="1:22" hidden="1">
      <c r="A1899" s="134"/>
      <c r="H1899" s="86" t="s">
        <v>1776</v>
      </c>
      <c r="I1899"/>
      <c r="J1899" s="4"/>
      <c r="K1899" s="8" t="e">
        <f>SUM(K1890:K1897)</f>
        <v>#REF!</v>
      </c>
    </row>
    <row r="1900" spans="1:22" hidden="1">
      <c r="A1900" s="134"/>
      <c r="I1900"/>
      <c r="J1900" s="4"/>
      <c r="K1900" s="5" t="s">
        <v>2080</v>
      </c>
    </row>
    <row r="1901" spans="1:22" hidden="1">
      <c r="A1901" s="134"/>
      <c r="G1901" s="90" t="s">
        <v>987</v>
      </c>
      <c r="H1901" s="86" t="s">
        <v>987</v>
      </c>
      <c r="I1901"/>
      <c r="J1901" s="4"/>
      <c r="K1901" s="1" t="s">
        <v>987</v>
      </c>
    </row>
    <row r="1902" spans="1:22" hidden="1">
      <c r="A1902" s="134"/>
      <c r="I1902"/>
      <c r="J1902" s="2" t="s">
        <v>987</v>
      </c>
      <c r="K1902" s="1" t="s">
        <v>987</v>
      </c>
    </row>
    <row r="1903" spans="1:22" hidden="1">
      <c r="A1903" s="134"/>
      <c r="F1903" s="102" t="s">
        <v>252</v>
      </c>
      <c r="G1903" s="90" t="s">
        <v>2276</v>
      </c>
      <c r="H1903" s="86" t="s">
        <v>83</v>
      </c>
      <c r="I1903"/>
      <c r="J1903" s="4"/>
      <c r="K1903"/>
    </row>
    <row r="1904" spans="1:22" hidden="1">
      <c r="A1904" s="134"/>
      <c r="H1904" s="86" t="s">
        <v>1120</v>
      </c>
      <c r="I1904"/>
      <c r="J1904" s="4"/>
      <c r="K1904"/>
      <c r="V1904" s="86" t="s">
        <v>1473</v>
      </c>
    </row>
    <row r="1905" spans="1:11" hidden="1">
      <c r="A1905" s="134"/>
      <c r="H1905" s="86" t="s">
        <v>1121</v>
      </c>
      <c r="I1905"/>
      <c r="J1905" s="4"/>
      <c r="K1905"/>
    </row>
    <row r="1906" spans="1:11" hidden="1">
      <c r="A1906" s="134"/>
      <c r="H1906" s="86" t="s">
        <v>253</v>
      </c>
      <c r="I1906"/>
      <c r="J1906" s="4"/>
      <c r="K1906"/>
    </row>
    <row r="1907" spans="1:11" hidden="1">
      <c r="A1907" s="134"/>
      <c r="H1907" s="89" t="s">
        <v>1609</v>
      </c>
      <c r="I1907"/>
      <c r="J1907" s="4"/>
      <c r="K1907"/>
    </row>
    <row r="1908" spans="1:11" hidden="1">
      <c r="A1908" s="134"/>
      <c r="F1908" s="91">
        <v>1</v>
      </c>
      <c r="G1908" s="90" t="s">
        <v>877</v>
      </c>
      <c r="H1908" s="86" t="s">
        <v>718</v>
      </c>
      <c r="I1908" s="8">
        <f>(C200)</f>
        <v>750</v>
      </c>
      <c r="J1908" s="2" t="s">
        <v>877</v>
      </c>
      <c r="K1908" s="8">
        <f>(F1908*I1908)</f>
        <v>750</v>
      </c>
    </row>
    <row r="1909" spans="1:11" hidden="1">
      <c r="A1909" s="134"/>
      <c r="F1909" s="111">
        <v>0.40500000000000003</v>
      </c>
      <c r="G1909" s="90" t="s">
        <v>878</v>
      </c>
      <c r="H1909" s="86" t="s">
        <v>2673</v>
      </c>
      <c r="I1909" s="8" t="e">
        <f>(K1262)</f>
        <v>#REF!</v>
      </c>
      <c r="J1909" s="2" t="s">
        <v>878</v>
      </c>
      <c r="K1909" s="8" t="e">
        <f>(F1909*I1909)</f>
        <v>#REF!</v>
      </c>
    </row>
    <row r="1910" spans="1:11" hidden="1">
      <c r="A1910" s="134"/>
      <c r="H1910" s="86" t="s">
        <v>1115</v>
      </c>
      <c r="I1910" s="1" t="s">
        <v>987</v>
      </c>
      <c r="J1910" s="4"/>
      <c r="K1910" s="1" t="s">
        <v>987</v>
      </c>
    </row>
    <row r="1911" spans="1:11" hidden="1">
      <c r="A1911" s="134"/>
      <c r="F1911" s="91">
        <v>1.89</v>
      </c>
      <c r="G1911" s="90" t="s">
        <v>615</v>
      </c>
      <c r="H1911" s="86" t="s">
        <v>264</v>
      </c>
      <c r="I1911" s="8" t="e">
        <f>(K1373)</f>
        <v>#REF!</v>
      </c>
      <c r="J1911" s="2" t="s">
        <v>615</v>
      </c>
      <c r="K1911" s="8" t="e">
        <f>(F1911*I1911)</f>
        <v>#REF!</v>
      </c>
    </row>
    <row r="1912" spans="1:11" hidden="1">
      <c r="A1912" s="134"/>
      <c r="H1912" s="86" t="s">
        <v>265</v>
      </c>
      <c r="I1912" s="1" t="s">
        <v>987</v>
      </c>
      <c r="J1912" s="4"/>
      <c r="K1912" s="1" t="s">
        <v>987</v>
      </c>
    </row>
    <row r="1913" spans="1:11" hidden="1">
      <c r="A1913" s="134"/>
      <c r="F1913" s="111">
        <v>8.1000000000000003E-2</v>
      </c>
      <c r="G1913" s="90" t="s">
        <v>878</v>
      </c>
      <c r="H1913" s="86" t="s">
        <v>266</v>
      </c>
      <c r="I1913" s="8" t="e">
        <f>(R60)</f>
        <v>#REF!</v>
      </c>
      <c r="J1913" s="2" t="s">
        <v>878</v>
      </c>
      <c r="K1913" s="8" t="e">
        <f>(F1913*I1913)</f>
        <v>#REF!</v>
      </c>
    </row>
    <row r="1914" spans="1:11" hidden="1">
      <c r="A1914" s="134"/>
      <c r="H1914" s="86" t="s">
        <v>267</v>
      </c>
      <c r="I1914"/>
      <c r="J1914" s="4"/>
      <c r="K1914"/>
    </row>
    <row r="1915" spans="1:11" hidden="1">
      <c r="A1915" s="134"/>
      <c r="F1915" s="91">
        <v>1</v>
      </c>
      <c r="G1915" s="90" t="s">
        <v>778</v>
      </c>
      <c r="H1915" s="86" t="s">
        <v>2130</v>
      </c>
      <c r="I1915" s="8">
        <f>(C15)</f>
        <v>130</v>
      </c>
      <c r="J1915" s="2" t="s">
        <v>778</v>
      </c>
      <c r="K1915" s="8">
        <f>(F1915*I1915)</f>
        <v>130</v>
      </c>
    </row>
    <row r="1916" spans="1:11" hidden="1">
      <c r="A1916" s="134"/>
      <c r="F1916" s="91">
        <v>0.5</v>
      </c>
      <c r="G1916" s="90" t="s">
        <v>877</v>
      </c>
      <c r="H1916" s="86" t="s">
        <v>1737</v>
      </c>
      <c r="I1916" s="8">
        <f>(C11)</f>
        <v>135</v>
      </c>
      <c r="J1916" s="2" t="s">
        <v>877</v>
      </c>
      <c r="K1916" s="8">
        <f>(F1916*I1916)</f>
        <v>67.5</v>
      </c>
    </row>
    <row r="1917" spans="1:11" hidden="1">
      <c r="A1917" s="134"/>
      <c r="F1917" s="91">
        <v>0.5</v>
      </c>
      <c r="G1917" s="90" t="s">
        <v>877</v>
      </c>
      <c r="H1917" s="86" t="s">
        <v>1927</v>
      </c>
      <c r="I1917" s="8">
        <f>(C12)</f>
        <v>95</v>
      </c>
      <c r="J1917" s="2" t="s">
        <v>877</v>
      </c>
      <c r="K1917" s="8">
        <f>(F1917*I1917)</f>
        <v>47.5</v>
      </c>
    </row>
    <row r="1918" spans="1:11" hidden="1">
      <c r="A1918" s="134"/>
      <c r="G1918" s="90" t="s">
        <v>450</v>
      </c>
      <c r="H1918" s="86" t="s">
        <v>451</v>
      </c>
      <c r="I1918" s="1" t="s">
        <v>987</v>
      </c>
      <c r="J1918" s="2" t="s">
        <v>450</v>
      </c>
      <c r="K1918" s="8">
        <v>0</v>
      </c>
    </row>
    <row r="1919" spans="1:11" hidden="1">
      <c r="A1919" s="134"/>
      <c r="H1919" s="86" t="s">
        <v>987</v>
      </c>
      <c r="I1919"/>
      <c r="J1919" s="4"/>
      <c r="K1919" s="5" t="s">
        <v>1609</v>
      </c>
    </row>
    <row r="1920" spans="1:11" hidden="1">
      <c r="A1920" s="134"/>
      <c r="H1920" s="86" t="s">
        <v>1776</v>
      </c>
      <c r="I1920"/>
      <c r="J1920" s="4"/>
      <c r="K1920" s="8" t="e">
        <f>SUM(K1908:K1918)</f>
        <v>#REF!</v>
      </c>
    </row>
    <row r="1921" spans="1:11" hidden="1">
      <c r="A1921" s="134"/>
      <c r="I1921"/>
      <c r="J1921" s="4"/>
      <c r="K1921" s="5" t="s">
        <v>2080</v>
      </c>
    </row>
    <row r="1922" spans="1:11" hidden="1">
      <c r="A1922" s="134"/>
      <c r="G1922" s="90" t="s">
        <v>987</v>
      </c>
      <c r="H1922" s="86" t="s">
        <v>987</v>
      </c>
      <c r="I1922"/>
      <c r="J1922" s="4"/>
      <c r="K1922" s="1" t="s">
        <v>987</v>
      </c>
    </row>
    <row r="1923" spans="1:11" hidden="1">
      <c r="A1923" s="134"/>
      <c r="I1923"/>
      <c r="J1923" s="2" t="s">
        <v>987</v>
      </c>
      <c r="K1923" s="1" t="s">
        <v>248</v>
      </c>
    </row>
    <row r="1924" spans="1:11" hidden="1">
      <c r="A1924" s="134"/>
      <c r="F1924" s="108">
        <v>57</v>
      </c>
      <c r="G1924" s="90" t="s">
        <v>2276</v>
      </c>
      <c r="H1924" s="86" t="s">
        <v>257</v>
      </c>
      <c r="I1924"/>
      <c r="J1924" s="4"/>
      <c r="K1924"/>
    </row>
    <row r="1925" spans="1:11" hidden="1">
      <c r="A1925" s="134"/>
      <c r="H1925" s="86" t="s">
        <v>204</v>
      </c>
      <c r="I1925"/>
      <c r="J1925" s="4"/>
      <c r="K1925"/>
    </row>
    <row r="1926" spans="1:11" hidden="1">
      <c r="A1926" s="134"/>
      <c r="H1926" s="86" t="s">
        <v>1797</v>
      </c>
      <c r="I1926"/>
      <c r="J1926" s="4"/>
      <c r="K1926"/>
    </row>
    <row r="1927" spans="1:11" hidden="1">
      <c r="A1927" s="134"/>
      <c r="H1927" s="89" t="s">
        <v>1609</v>
      </c>
      <c r="I1927"/>
      <c r="J1927" s="4"/>
      <c r="K1927"/>
    </row>
    <row r="1928" spans="1:11" ht="95.25" hidden="1" customHeight="1">
      <c r="A1928" s="134"/>
      <c r="F1928" s="143">
        <v>1</v>
      </c>
      <c r="G1928" s="143" t="s">
        <v>792</v>
      </c>
      <c r="H1928" s="116" t="s">
        <v>1140</v>
      </c>
      <c r="I1928" s="18">
        <f>C591</f>
        <v>1700</v>
      </c>
      <c r="J1928" s="144" t="s">
        <v>792</v>
      </c>
      <c r="K1928" s="18">
        <f>(F1928*I1928)</f>
        <v>1700</v>
      </c>
    </row>
    <row r="1929" spans="1:11" hidden="1">
      <c r="A1929" s="134"/>
      <c r="F1929" s="91"/>
      <c r="G1929" s="90"/>
      <c r="H1929" s="145" t="s">
        <v>1179</v>
      </c>
      <c r="I1929" s="8"/>
      <c r="J1929" s="2"/>
      <c r="K1929" s="8"/>
    </row>
    <row r="1930" spans="1:11" hidden="1">
      <c r="A1930" s="134"/>
      <c r="F1930" s="91">
        <v>1</v>
      </c>
      <c r="G1930" s="90" t="s">
        <v>877</v>
      </c>
      <c r="H1930" s="86" t="s">
        <v>2034</v>
      </c>
      <c r="I1930" s="8">
        <f>(C10)</f>
        <v>150</v>
      </c>
      <c r="J1930" s="2" t="s">
        <v>877</v>
      </c>
      <c r="K1930" s="8">
        <f>(F1930*I1930)</f>
        <v>150</v>
      </c>
    </row>
    <row r="1931" spans="1:11" hidden="1">
      <c r="A1931" s="134"/>
      <c r="F1931" s="91">
        <v>2</v>
      </c>
      <c r="G1931" s="90" t="s">
        <v>877</v>
      </c>
      <c r="H1931" s="86" t="s">
        <v>2130</v>
      </c>
      <c r="I1931" s="8">
        <f>(C15)</f>
        <v>130</v>
      </c>
      <c r="J1931" s="2" t="s">
        <v>877</v>
      </c>
      <c r="K1931" s="8">
        <f>(F1931*I1931)</f>
        <v>260</v>
      </c>
    </row>
    <row r="1932" spans="1:11" hidden="1">
      <c r="A1932" s="134"/>
      <c r="F1932" s="91">
        <v>1</v>
      </c>
      <c r="G1932" s="90" t="s">
        <v>877</v>
      </c>
      <c r="H1932" s="86" t="s">
        <v>321</v>
      </c>
      <c r="I1932" s="8">
        <f>(C13)</f>
        <v>85</v>
      </c>
      <c r="J1932" s="2" t="s">
        <v>877</v>
      </c>
      <c r="K1932" s="8">
        <f>(F1932*I1932)</f>
        <v>85</v>
      </c>
    </row>
    <row r="1933" spans="1:11" hidden="1">
      <c r="A1933" s="134"/>
      <c r="F1933" s="91"/>
      <c r="G1933" s="90"/>
      <c r="H1933" s="145" t="s">
        <v>719</v>
      </c>
      <c r="I1933" s="8"/>
      <c r="J1933" s="2"/>
      <c r="K1933" s="8"/>
    </row>
    <row r="1934" spans="1:11" hidden="1">
      <c r="A1934" s="134"/>
      <c r="F1934" s="91">
        <v>0.5</v>
      </c>
      <c r="G1934" s="90" t="s">
        <v>877</v>
      </c>
      <c r="H1934" s="86" t="s">
        <v>2130</v>
      </c>
      <c r="I1934" s="8">
        <f>(C15)</f>
        <v>130</v>
      </c>
      <c r="J1934" s="2" t="s">
        <v>877</v>
      </c>
      <c r="K1934" s="8">
        <f>(F1934*I1934)</f>
        <v>65</v>
      </c>
    </row>
    <row r="1935" spans="1:11" hidden="1">
      <c r="A1935" s="134"/>
      <c r="F1935" s="91">
        <v>0.5</v>
      </c>
      <c r="G1935" s="90" t="s">
        <v>877</v>
      </c>
      <c r="H1935" s="86" t="s">
        <v>1927</v>
      </c>
      <c r="I1935" s="8">
        <f>(C12)</f>
        <v>95</v>
      </c>
      <c r="J1935" s="2" t="s">
        <v>877</v>
      </c>
      <c r="K1935" s="8">
        <f>(F1935*I1935)</f>
        <v>47.5</v>
      </c>
    </row>
    <row r="1936" spans="1:11" hidden="1">
      <c r="A1936" s="134"/>
      <c r="G1936" s="90" t="s">
        <v>450</v>
      </c>
      <c r="H1936" s="86" t="s">
        <v>451</v>
      </c>
      <c r="I1936"/>
      <c r="J1936" s="2" t="s">
        <v>450</v>
      </c>
      <c r="K1936" s="8">
        <v>0</v>
      </c>
    </row>
    <row r="1937" spans="1:11" hidden="1">
      <c r="A1937" s="134"/>
      <c r="I1937"/>
      <c r="J1937" s="4"/>
      <c r="K1937" s="5" t="s">
        <v>1609</v>
      </c>
    </row>
    <row r="1938" spans="1:11" hidden="1">
      <c r="A1938" s="134"/>
      <c r="H1938" s="86" t="s">
        <v>1776</v>
      </c>
      <c r="I1938"/>
      <c r="J1938" s="4"/>
      <c r="K1938" s="8">
        <f>SUM(K1928:K1936)</f>
        <v>2307.5</v>
      </c>
    </row>
    <row r="1939" spans="1:11" hidden="1">
      <c r="A1939" s="134"/>
      <c r="F1939" s="86" t="s">
        <v>987</v>
      </c>
      <c r="I1939"/>
      <c r="J1939" s="4"/>
      <c r="K1939"/>
    </row>
    <row r="1940" spans="1:11" hidden="1">
      <c r="A1940" s="134"/>
      <c r="I1940"/>
      <c r="J1940" s="4"/>
      <c r="K1940" s="5" t="s">
        <v>1609</v>
      </c>
    </row>
    <row r="1941" spans="1:11" hidden="1">
      <c r="A1941" s="134"/>
      <c r="G1941" s="90" t="s">
        <v>987</v>
      </c>
      <c r="H1941" s="86" t="s">
        <v>987</v>
      </c>
      <c r="I1941"/>
      <c r="J1941" s="4"/>
      <c r="K1941" s="1" t="s">
        <v>987</v>
      </c>
    </row>
    <row r="1942" spans="1:11" hidden="1">
      <c r="A1942" s="134"/>
      <c r="H1942" s="86" t="s">
        <v>987</v>
      </c>
      <c r="I1942"/>
      <c r="J1942" s="4"/>
      <c r="K1942"/>
    </row>
    <row r="1943" spans="1:11" hidden="1">
      <c r="A1943" s="134"/>
      <c r="F1943" s="112">
        <v>57.1</v>
      </c>
      <c r="G1943" s="90" t="s">
        <v>2276</v>
      </c>
      <c r="H1943" s="86" t="s">
        <v>1581</v>
      </c>
      <c r="I1943"/>
      <c r="J1943" s="4"/>
      <c r="K1943"/>
    </row>
    <row r="1944" spans="1:11" hidden="1">
      <c r="A1944" s="134"/>
      <c r="H1944" s="86" t="s">
        <v>204</v>
      </c>
      <c r="I1944"/>
      <c r="J1944" s="4"/>
      <c r="K1944"/>
    </row>
    <row r="1945" spans="1:11" hidden="1">
      <c r="A1945" s="134"/>
      <c r="H1945" s="86" t="s">
        <v>1797</v>
      </c>
      <c r="I1945"/>
      <c r="J1945" s="4"/>
      <c r="K1945"/>
    </row>
    <row r="1946" spans="1:11" hidden="1">
      <c r="A1946" s="134"/>
      <c r="H1946" s="89" t="s">
        <v>1609</v>
      </c>
      <c r="I1946"/>
      <c r="J1946" s="4"/>
      <c r="K1946"/>
    </row>
    <row r="1947" spans="1:11" ht="63" hidden="1">
      <c r="A1947" s="134"/>
      <c r="F1947" s="143">
        <v>1</v>
      </c>
      <c r="G1947" s="143" t="s">
        <v>792</v>
      </c>
      <c r="H1947" s="116" t="s">
        <v>1140</v>
      </c>
      <c r="I1947">
        <f>E591</f>
        <v>2000</v>
      </c>
      <c r="J1947" s="144" t="s">
        <v>792</v>
      </c>
      <c r="K1947" s="18">
        <f>(F1947*I1947)</f>
        <v>2000</v>
      </c>
    </row>
    <row r="1948" spans="1:11" hidden="1">
      <c r="A1948" s="134"/>
      <c r="F1948" s="91"/>
      <c r="G1948" s="90"/>
      <c r="H1948" s="145" t="s">
        <v>1179</v>
      </c>
      <c r="I1948"/>
      <c r="J1948" s="2"/>
      <c r="K1948" s="8"/>
    </row>
    <row r="1949" spans="1:11" hidden="1">
      <c r="A1949" s="134"/>
      <c r="F1949" s="91">
        <v>1</v>
      </c>
      <c r="G1949" s="90" t="s">
        <v>877</v>
      </c>
      <c r="H1949" s="86" t="s">
        <v>2034</v>
      </c>
      <c r="I1949">
        <f>C10</f>
        <v>150</v>
      </c>
      <c r="J1949" s="2" t="s">
        <v>877</v>
      </c>
      <c r="K1949" s="8">
        <f>(F1949*I1949)</f>
        <v>150</v>
      </c>
    </row>
    <row r="1950" spans="1:11" hidden="1">
      <c r="A1950" s="134"/>
      <c r="F1950" s="91">
        <v>2</v>
      </c>
      <c r="G1950" s="90" t="s">
        <v>877</v>
      </c>
      <c r="H1950" s="86" t="s">
        <v>2130</v>
      </c>
      <c r="I1950">
        <f>C15</f>
        <v>130</v>
      </c>
      <c r="J1950" s="2" t="s">
        <v>877</v>
      </c>
      <c r="K1950" s="8">
        <f>(F1950*I1950)</f>
        <v>260</v>
      </c>
    </row>
    <row r="1951" spans="1:11" hidden="1">
      <c r="A1951" s="134"/>
      <c r="F1951" s="91">
        <v>1</v>
      </c>
      <c r="G1951" s="90" t="s">
        <v>877</v>
      </c>
      <c r="H1951" s="86" t="s">
        <v>321</v>
      </c>
      <c r="I1951">
        <f>C13</f>
        <v>85</v>
      </c>
      <c r="J1951" s="2" t="s">
        <v>877</v>
      </c>
      <c r="K1951" s="8">
        <f>(F1951*I1951)</f>
        <v>85</v>
      </c>
    </row>
    <row r="1952" spans="1:11" hidden="1">
      <c r="A1952" s="134"/>
      <c r="F1952" s="91"/>
      <c r="G1952" s="90"/>
      <c r="H1952" s="145" t="s">
        <v>719</v>
      </c>
      <c r="I1952"/>
      <c r="J1952" s="2"/>
      <c r="K1952" s="8"/>
    </row>
    <row r="1953" spans="1:11" hidden="1">
      <c r="A1953" s="134"/>
      <c r="F1953" s="91">
        <v>0.5</v>
      </c>
      <c r="G1953" s="90" t="s">
        <v>877</v>
      </c>
      <c r="H1953" s="86" t="s">
        <v>2130</v>
      </c>
      <c r="I1953">
        <f>C15</f>
        <v>130</v>
      </c>
      <c r="J1953" s="2" t="s">
        <v>877</v>
      </c>
      <c r="K1953" s="8">
        <f>(F1953*I1953)</f>
        <v>65</v>
      </c>
    </row>
    <row r="1954" spans="1:11" hidden="1">
      <c r="A1954" s="134"/>
      <c r="F1954" s="91">
        <v>0.5</v>
      </c>
      <c r="G1954" s="90" t="s">
        <v>877</v>
      </c>
      <c r="H1954" s="86" t="s">
        <v>1927</v>
      </c>
      <c r="I1954">
        <f>C12</f>
        <v>95</v>
      </c>
      <c r="J1954" s="2" t="s">
        <v>877</v>
      </c>
      <c r="K1954" s="8">
        <f>(F1954*I1954)</f>
        <v>47.5</v>
      </c>
    </row>
    <row r="1955" spans="1:11" hidden="1">
      <c r="A1955" s="134"/>
      <c r="G1955" s="90" t="s">
        <v>450</v>
      </c>
      <c r="H1955" s="86" t="s">
        <v>451</v>
      </c>
      <c r="I1955"/>
      <c r="J1955" s="2" t="s">
        <v>450</v>
      </c>
      <c r="K1955" s="8">
        <v>0</v>
      </c>
    </row>
    <row r="1956" spans="1:11" hidden="1">
      <c r="A1956" s="134"/>
      <c r="I1956"/>
      <c r="J1956" s="4"/>
      <c r="K1956" s="5" t="s">
        <v>1609</v>
      </c>
    </row>
    <row r="1957" spans="1:11" hidden="1">
      <c r="A1957" s="134"/>
      <c r="H1957" s="86" t="s">
        <v>1776</v>
      </c>
      <c r="I1957"/>
      <c r="J1957" s="4"/>
      <c r="K1957" s="8">
        <f>SUM(K1947:K1955)</f>
        <v>2607.5</v>
      </c>
    </row>
    <row r="1958" spans="1:11" hidden="1">
      <c r="A1958" s="134"/>
      <c r="H1958" s="86"/>
      <c r="I1958"/>
      <c r="J1958" s="4"/>
      <c r="K1958"/>
    </row>
    <row r="1959" spans="1:11" hidden="1">
      <c r="A1959" s="134"/>
      <c r="H1959" s="86"/>
      <c r="I1959"/>
      <c r="J1959" s="4"/>
      <c r="K1959" s="5" t="s">
        <v>1609</v>
      </c>
    </row>
    <row r="1960" spans="1:11" hidden="1">
      <c r="A1960" s="134"/>
      <c r="H1960" s="86"/>
      <c r="I1960"/>
      <c r="J1960" s="4"/>
      <c r="K1960"/>
    </row>
    <row r="1961" spans="1:11" hidden="1">
      <c r="A1961" s="134"/>
      <c r="F1961" s="102" t="s">
        <v>720</v>
      </c>
      <c r="G1961" s="90" t="s">
        <v>2276</v>
      </c>
      <c r="H1961" s="86" t="s">
        <v>817</v>
      </c>
      <c r="I1961"/>
      <c r="J1961" s="4"/>
      <c r="K1961"/>
    </row>
    <row r="1962" spans="1:11" hidden="1">
      <c r="A1962" s="134"/>
      <c r="H1962" s="86" t="s">
        <v>162</v>
      </c>
      <c r="I1962"/>
      <c r="J1962" s="4"/>
      <c r="K1962"/>
    </row>
    <row r="1963" spans="1:11" hidden="1">
      <c r="A1963" s="134"/>
      <c r="H1963" s="89" t="s">
        <v>1609</v>
      </c>
      <c r="I1963"/>
      <c r="J1963" s="4"/>
      <c r="K1963"/>
    </row>
    <row r="1964" spans="1:11" hidden="1">
      <c r="A1964" s="134"/>
      <c r="G1964" s="90" t="s">
        <v>695</v>
      </c>
      <c r="H1964" s="86" t="s">
        <v>42</v>
      </c>
      <c r="I1964"/>
      <c r="J1964" s="4"/>
      <c r="K1964"/>
    </row>
    <row r="1965" spans="1:11" hidden="1">
      <c r="A1965" s="134"/>
      <c r="H1965" s="86" t="s">
        <v>2674</v>
      </c>
      <c r="I1965"/>
      <c r="J1965" s="4"/>
      <c r="K1965"/>
    </row>
    <row r="1966" spans="1:11" hidden="1">
      <c r="A1966" s="134"/>
      <c r="H1966" s="86" t="s">
        <v>958</v>
      </c>
      <c r="I1966"/>
      <c r="J1966" s="4"/>
      <c r="K1966"/>
    </row>
    <row r="1967" spans="1:11" hidden="1">
      <c r="A1967" s="134"/>
      <c r="H1967" s="86" t="s">
        <v>959</v>
      </c>
      <c r="I1967"/>
      <c r="J1967" s="4"/>
      <c r="K1967"/>
    </row>
    <row r="1968" spans="1:11" hidden="1">
      <c r="A1968" s="134"/>
      <c r="H1968" s="86" t="s">
        <v>2131</v>
      </c>
      <c r="I1968"/>
      <c r="J1968" s="4"/>
      <c r="K1968"/>
    </row>
    <row r="1969" spans="1:11" hidden="1">
      <c r="A1969" s="134"/>
      <c r="H1969" s="86" t="s">
        <v>2132</v>
      </c>
      <c r="I1969"/>
      <c r="J1969" s="4"/>
      <c r="K1969"/>
    </row>
    <row r="1970" spans="1:11" hidden="1">
      <c r="A1970" s="134"/>
      <c r="H1970" s="86" t="s">
        <v>2675</v>
      </c>
      <c r="I1970"/>
      <c r="J1970" s="4"/>
      <c r="K1970"/>
    </row>
    <row r="1971" spans="1:11" hidden="1">
      <c r="A1971" s="134"/>
      <c r="H1971" s="89" t="s">
        <v>1609</v>
      </c>
      <c r="I1971"/>
      <c r="J1971" s="4"/>
      <c r="K1971"/>
    </row>
    <row r="1972" spans="1:11" hidden="1">
      <c r="A1972" s="134"/>
      <c r="F1972" s="91">
        <v>3</v>
      </c>
      <c r="G1972" s="90" t="s">
        <v>1796</v>
      </c>
      <c r="H1972" s="86" t="s">
        <v>2133</v>
      </c>
      <c r="I1972" s="8">
        <f>(C598)</f>
        <v>120</v>
      </c>
      <c r="J1972" s="2" t="s">
        <v>1796</v>
      </c>
      <c r="K1972" s="8">
        <f t="shared" ref="K1972:K1978" si="69">(F1972*I1972)</f>
        <v>360</v>
      </c>
    </row>
    <row r="1973" spans="1:11" hidden="1">
      <c r="A1973" s="134"/>
      <c r="F1973" s="91">
        <v>1</v>
      </c>
      <c r="G1973" s="90" t="s">
        <v>778</v>
      </c>
      <c r="H1973" s="86" t="s">
        <v>676</v>
      </c>
      <c r="I1973" s="8">
        <f>C601</f>
        <v>65</v>
      </c>
      <c r="J1973" s="2" t="s">
        <v>1741</v>
      </c>
      <c r="K1973" s="8">
        <f t="shared" si="69"/>
        <v>65</v>
      </c>
    </row>
    <row r="1974" spans="1:11" hidden="1">
      <c r="A1974" s="134"/>
      <c r="F1974" s="91">
        <v>1</v>
      </c>
      <c r="G1974" s="90" t="s">
        <v>778</v>
      </c>
      <c r="H1974" s="86" t="s">
        <v>677</v>
      </c>
      <c r="I1974" s="8">
        <f>C626</f>
        <v>12</v>
      </c>
      <c r="J1974" s="2" t="s">
        <v>1741</v>
      </c>
      <c r="K1974" s="8">
        <f t="shared" si="69"/>
        <v>12</v>
      </c>
    </row>
    <row r="1975" spans="1:11" hidden="1">
      <c r="A1975" s="134"/>
      <c r="F1975" s="91">
        <v>1</v>
      </c>
      <c r="G1975" s="90" t="s">
        <v>778</v>
      </c>
      <c r="H1975" s="86" t="s">
        <v>1544</v>
      </c>
      <c r="I1975" s="8">
        <f>C623</f>
        <v>110</v>
      </c>
      <c r="J1975" s="2" t="s">
        <v>1741</v>
      </c>
      <c r="K1975" s="8">
        <f t="shared" si="69"/>
        <v>110</v>
      </c>
    </row>
    <row r="1976" spans="1:11" hidden="1">
      <c r="A1976" s="134"/>
      <c r="F1976" s="91">
        <v>0.5</v>
      </c>
      <c r="G1976" s="90" t="s">
        <v>877</v>
      </c>
      <c r="H1976" s="86" t="s">
        <v>2130</v>
      </c>
      <c r="I1976" s="8">
        <f>(C15)</f>
        <v>130</v>
      </c>
      <c r="J1976" s="2" t="s">
        <v>1741</v>
      </c>
      <c r="K1976" s="8">
        <f t="shared" si="69"/>
        <v>65</v>
      </c>
    </row>
    <row r="1977" spans="1:11" hidden="1">
      <c r="A1977" s="134"/>
      <c r="F1977" s="91">
        <v>0.5</v>
      </c>
      <c r="G1977" s="90" t="s">
        <v>877</v>
      </c>
      <c r="H1977" s="86" t="s">
        <v>1737</v>
      </c>
      <c r="I1977" s="8">
        <f>(C11)</f>
        <v>135</v>
      </c>
      <c r="J1977" s="2" t="s">
        <v>1741</v>
      </c>
      <c r="K1977" s="8">
        <f t="shared" si="69"/>
        <v>67.5</v>
      </c>
    </row>
    <row r="1978" spans="1:11" hidden="1">
      <c r="A1978" s="134"/>
      <c r="F1978" s="91">
        <v>0.5</v>
      </c>
      <c r="G1978" s="90" t="s">
        <v>877</v>
      </c>
      <c r="H1978" s="86" t="s">
        <v>1927</v>
      </c>
      <c r="I1978" s="8">
        <f>(C12)</f>
        <v>95</v>
      </c>
      <c r="J1978" s="2" t="s">
        <v>1741</v>
      </c>
      <c r="K1978" s="8">
        <f t="shared" si="69"/>
        <v>47.5</v>
      </c>
    </row>
    <row r="1979" spans="1:11" hidden="1">
      <c r="A1979" s="134"/>
      <c r="G1979" s="90" t="s">
        <v>450</v>
      </c>
      <c r="H1979" s="86" t="s">
        <v>1545</v>
      </c>
      <c r="I1979" s="8">
        <v>2.79</v>
      </c>
      <c r="J1979" s="2" t="s">
        <v>450</v>
      </c>
      <c r="K1979" s="8">
        <v>2.79</v>
      </c>
    </row>
    <row r="1980" spans="1:11" hidden="1">
      <c r="A1980" s="134"/>
      <c r="H1980" s="86" t="s">
        <v>85</v>
      </c>
      <c r="I1980"/>
      <c r="J1980" s="4"/>
      <c r="K1980"/>
    </row>
    <row r="1981" spans="1:11" hidden="1">
      <c r="A1981" s="134"/>
      <c r="H1981" s="86" t="s">
        <v>192</v>
      </c>
      <c r="I1981"/>
      <c r="J1981" s="4"/>
      <c r="K1981"/>
    </row>
    <row r="1982" spans="1:11" hidden="1">
      <c r="A1982" s="134"/>
      <c r="H1982" s="86" t="s">
        <v>742</v>
      </c>
      <c r="I1982"/>
      <c r="J1982" s="2" t="s">
        <v>450</v>
      </c>
      <c r="K1982" s="8">
        <v>0</v>
      </c>
    </row>
    <row r="1983" spans="1:11" hidden="1">
      <c r="A1983" s="134"/>
      <c r="I1983"/>
      <c r="J1983" s="4"/>
      <c r="K1983" s="5" t="s">
        <v>1609</v>
      </c>
    </row>
    <row r="1984" spans="1:11" hidden="1">
      <c r="A1984" s="134"/>
      <c r="H1984" s="86" t="s">
        <v>1337</v>
      </c>
      <c r="I1984"/>
      <c r="J1984" s="4"/>
      <c r="K1984" s="8">
        <f>SUM(K1972:K1982)</f>
        <v>729.79</v>
      </c>
    </row>
    <row r="1985" spans="1:11" hidden="1">
      <c r="A1985" s="134"/>
      <c r="I1985"/>
      <c r="J1985" s="4"/>
      <c r="K1985" s="5" t="s">
        <v>1609</v>
      </c>
    </row>
    <row r="1986" spans="1:11" hidden="1">
      <c r="A1986" s="134"/>
      <c r="H1986" s="86" t="s">
        <v>1567</v>
      </c>
      <c r="I1986"/>
      <c r="J1986" s="4"/>
      <c r="K1986" s="8">
        <f>(K1984/3)</f>
        <v>243.26</v>
      </c>
    </row>
    <row r="1987" spans="1:11" hidden="1">
      <c r="A1987" s="134"/>
      <c r="I1987"/>
      <c r="J1987" s="4"/>
      <c r="K1987" s="5" t="s">
        <v>1609</v>
      </c>
    </row>
    <row r="1988" spans="1:11" hidden="1">
      <c r="A1988" s="134"/>
      <c r="F1988" s="102" t="s">
        <v>743</v>
      </c>
      <c r="G1988" s="90" t="s">
        <v>284</v>
      </c>
      <c r="H1988" s="86" t="s">
        <v>744</v>
      </c>
      <c r="I1988"/>
      <c r="J1988" s="4"/>
      <c r="K1988"/>
    </row>
    <row r="1989" spans="1:11" hidden="1">
      <c r="A1989" s="134"/>
      <c r="H1989" s="86" t="s">
        <v>3419</v>
      </c>
      <c r="I1989"/>
      <c r="J1989" s="4"/>
      <c r="K1989"/>
    </row>
    <row r="1990" spans="1:11" hidden="1">
      <c r="A1990" s="134"/>
      <c r="H1990" s="86" t="s">
        <v>958</v>
      </c>
      <c r="I1990"/>
      <c r="J1990" s="4"/>
      <c r="K1990"/>
    </row>
    <row r="1991" spans="1:11" hidden="1">
      <c r="A1991" s="134"/>
      <c r="H1991" s="86" t="s">
        <v>745</v>
      </c>
      <c r="I1991"/>
      <c r="J1991" s="4"/>
      <c r="K1991"/>
    </row>
    <row r="1992" spans="1:11" hidden="1">
      <c r="A1992" s="134"/>
      <c r="H1992" s="86" t="s">
        <v>543</v>
      </c>
      <c r="I1992"/>
      <c r="J1992" s="4"/>
      <c r="K1992"/>
    </row>
    <row r="1993" spans="1:11" hidden="1">
      <c r="A1993" s="134"/>
      <c r="H1993" s="86" t="s">
        <v>2132</v>
      </c>
      <c r="I1993"/>
      <c r="J1993" s="4"/>
      <c r="K1993"/>
    </row>
    <row r="1994" spans="1:11" hidden="1">
      <c r="A1994" s="134"/>
      <c r="H1994" s="86" t="s">
        <v>2675</v>
      </c>
      <c r="I1994"/>
      <c r="J1994" s="4"/>
      <c r="K1994"/>
    </row>
    <row r="1995" spans="1:11" hidden="1">
      <c r="A1995" s="134"/>
      <c r="H1995" s="89" t="s">
        <v>1609</v>
      </c>
      <c r="I1995"/>
      <c r="J1995" s="4"/>
      <c r="K1995"/>
    </row>
    <row r="1996" spans="1:11" hidden="1">
      <c r="A1996" s="134"/>
      <c r="F1996" s="91">
        <v>3</v>
      </c>
      <c r="G1996" s="90" t="s">
        <v>1796</v>
      </c>
      <c r="H1996" s="86" t="s">
        <v>1017</v>
      </c>
      <c r="I1996" s="8">
        <f>(C599)</f>
        <v>80</v>
      </c>
      <c r="J1996" s="2" t="s">
        <v>1796</v>
      </c>
      <c r="K1996" s="8">
        <f t="shared" ref="K1996:K2002" si="70">(F1996*I1996)</f>
        <v>240</v>
      </c>
    </row>
    <row r="1997" spans="1:11" hidden="1">
      <c r="A1997" s="134"/>
      <c r="F1997" s="91">
        <v>1</v>
      </c>
      <c r="G1997" s="90" t="s">
        <v>778</v>
      </c>
      <c r="H1997" s="86" t="s">
        <v>1018</v>
      </c>
      <c r="I1997" s="8">
        <f>C602</f>
        <v>40</v>
      </c>
      <c r="J1997" s="4" t="s">
        <v>778</v>
      </c>
      <c r="K1997" s="8">
        <f t="shared" si="70"/>
        <v>40</v>
      </c>
    </row>
    <row r="1998" spans="1:11" hidden="1">
      <c r="A1998" s="134"/>
      <c r="F1998" s="91">
        <v>1</v>
      </c>
      <c r="G1998" s="90" t="s">
        <v>778</v>
      </c>
      <c r="H1998" s="86" t="s">
        <v>1019</v>
      </c>
      <c r="I1998" s="8">
        <f>C627</f>
        <v>7.5</v>
      </c>
      <c r="J1998" s="4" t="s">
        <v>778</v>
      </c>
      <c r="K1998" s="8">
        <f t="shared" si="70"/>
        <v>7.5</v>
      </c>
    </row>
    <row r="1999" spans="1:11" hidden="1">
      <c r="A1999" s="134"/>
      <c r="F1999" s="91">
        <v>1</v>
      </c>
      <c r="G1999" s="90" t="s">
        <v>778</v>
      </c>
      <c r="H1999" s="86" t="s">
        <v>86</v>
      </c>
      <c r="I1999" s="8">
        <f>C624</f>
        <v>70</v>
      </c>
      <c r="J1999" s="4" t="s">
        <v>778</v>
      </c>
      <c r="K1999" s="8">
        <f t="shared" si="70"/>
        <v>70</v>
      </c>
    </row>
    <row r="2000" spans="1:11" hidden="1">
      <c r="A2000" s="134"/>
      <c r="F2000" s="91">
        <v>0.5</v>
      </c>
      <c r="G2000" s="90" t="s">
        <v>877</v>
      </c>
      <c r="H2000" s="86" t="s">
        <v>2130</v>
      </c>
      <c r="I2000" s="8">
        <f>(C15)</f>
        <v>130</v>
      </c>
      <c r="J2000" s="2" t="s">
        <v>877</v>
      </c>
      <c r="K2000" s="8">
        <f t="shared" si="70"/>
        <v>65</v>
      </c>
    </row>
    <row r="2001" spans="1:11" hidden="1">
      <c r="A2001" s="134"/>
      <c r="F2001" s="91">
        <v>0.5</v>
      </c>
      <c r="G2001" s="90" t="s">
        <v>877</v>
      </c>
      <c r="H2001" s="86" t="s">
        <v>1737</v>
      </c>
      <c r="I2001" s="8">
        <f>(C11)</f>
        <v>135</v>
      </c>
      <c r="J2001" s="2" t="s">
        <v>877</v>
      </c>
      <c r="K2001" s="8">
        <f t="shared" si="70"/>
        <v>67.5</v>
      </c>
    </row>
    <row r="2002" spans="1:11" hidden="1">
      <c r="A2002" s="134"/>
      <c r="F2002" s="91">
        <v>0.5</v>
      </c>
      <c r="G2002" s="90" t="s">
        <v>877</v>
      </c>
      <c r="H2002" s="86" t="s">
        <v>1927</v>
      </c>
      <c r="I2002" s="8">
        <f>(C12)</f>
        <v>95</v>
      </c>
      <c r="J2002" s="2" t="s">
        <v>877</v>
      </c>
      <c r="K2002" s="8">
        <f t="shared" si="70"/>
        <v>47.5</v>
      </c>
    </row>
    <row r="2003" spans="1:11" hidden="1">
      <c r="A2003" s="134"/>
      <c r="G2003" s="90" t="s">
        <v>450</v>
      </c>
      <c r="H2003" s="86" t="s">
        <v>1545</v>
      </c>
      <c r="I2003" s="1" t="s">
        <v>987</v>
      </c>
      <c r="J2003" s="2" t="s">
        <v>450</v>
      </c>
      <c r="K2003" s="8">
        <v>2.73</v>
      </c>
    </row>
    <row r="2004" spans="1:11" hidden="1">
      <c r="A2004" s="134"/>
      <c r="H2004" s="86" t="s">
        <v>85</v>
      </c>
      <c r="I2004"/>
      <c r="J2004" s="4"/>
      <c r="K2004"/>
    </row>
    <row r="2005" spans="1:11" hidden="1">
      <c r="A2005" s="134"/>
      <c r="H2005" s="86" t="s">
        <v>192</v>
      </c>
      <c r="I2005"/>
      <c r="J2005" s="4"/>
      <c r="K2005"/>
    </row>
    <row r="2006" spans="1:11" hidden="1">
      <c r="A2006" s="134"/>
      <c r="H2006" s="86" t="s">
        <v>742</v>
      </c>
      <c r="I2006"/>
      <c r="J2006" s="2" t="s">
        <v>450</v>
      </c>
      <c r="K2006" s="8">
        <v>0</v>
      </c>
    </row>
    <row r="2007" spans="1:11" hidden="1">
      <c r="A2007" s="134"/>
      <c r="I2007"/>
      <c r="J2007" s="4"/>
      <c r="K2007" s="5" t="s">
        <v>1609</v>
      </c>
    </row>
    <row r="2008" spans="1:11" hidden="1">
      <c r="A2008" s="134"/>
      <c r="H2008" s="86" t="s">
        <v>1337</v>
      </c>
      <c r="I2008"/>
      <c r="J2008" s="4"/>
      <c r="K2008" s="8">
        <f>SUM(K1996:K2006)</f>
        <v>540.23</v>
      </c>
    </row>
    <row r="2009" spans="1:11" hidden="1">
      <c r="A2009" s="134"/>
      <c r="I2009"/>
      <c r="J2009" s="4"/>
      <c r="K2009" s="5" t="s">
        <v>1609</v>
      </c>
    </row>
    <row r="2010" spans="1:11" hidden="1">
      <c r="A2010" s="134"/>
      <c r="H2010" s="86" t="s">
        <v>1567</v>
      </c>
      <c r="I2010"/>
      <c r="J2010" s="4"/>
      <c r="K2010" s="8">
        <f>(K2008/3)</f>
        <v>180.08</v>
      </c>
    </row>
    <row r="2011" spans="1:11" hidden="1">
      <c r="A2011" s="134"/>
      <c r="I2011"/>
      <c r="J2011" s="4"/>
      <c r="K2011" s="5" t="s">
        <v>1609</v>
      </c>
    </row>
    <row r="2012" spans="1:11" hidden="1">
      <c r="A2012" s="134"/>
      <c r="F2012" s="102" t="s">
        <v>87</v>
      </c>
      <c r="H2012" s="86" t="s">
        <v>209</v>
      </c>
      <c r="I2012"/>
      <c r="J2012" s="4"/>
      <c r="K2012"/>
    </row>
    <row r="2013" spans="1:11" hidden="1">
      <c r="A2013" s="134"/>
      <c r="H2013" s="86" t="s">
        <v>1844</v>
      </c>
      <c r="I2013"/>
      <c r="J2013" s="4"/>
      <c r="K2013"/>
    </row>
    <row r="2014" spans="1:11" hidden="1">
      <c r="A2014" s="134"/>
      <c r="F2014" s="86" t="s">
        <v>987</v>
      </c>
      <c r="H2014" s="86" t="s">
        <v>2220</v>
      </c>
      <c r="I2014"/>
      <c r="J2014" s="4"/>
      <c r="K2014"/>
    </row>
    <row r="2015" spans="1:11" hidden="1">
      <c r="A2015" s="134"/>
      <c r="H2015" s="89" t="s">
        <v>1609</v>
      </c>
      <c r="I2015"/>
      <c r="J2015" s="4"/>
      <c r="K2015"/>
    </row>
    <row r="2016" spans="1:11" hidden="1">
      <c r="A2016" s="134"/>
      <c r="F2016" s="91">
        <v>3</v>
      </c>
      <c r="G2016" s="90" t="s">
        <v>2221</v>
      </c>
      <c r="H2016" s="86" t="s">
        <v>2222</v>
      </c>
      <c r="I2016" s="8">
        <v>108</v>
      </c>
      <c r="J2016" s="2" t="s">
        <v>2221</v>
      </c>
      <c r="K2016" s="8">
        <f>(F2016*I2016)</f>
        <v>324</v>
      </c>
    </row>
    <row r="2017" spans="1:11" hidden="1">
      <c r="A2017" s="134"/>
      <c r="F2017" s="91">
        <v>1</v>
      </c>
      <c r="G2017" s="90" t="s">
        <v>1785</v>
      </c>
      <c r="H2017" s="86" t="s">
        <v>2223</v>
      </c>
      <c r="I2017" s="8">
        <v>12</v>
      </c>
      <c r="J2017" s="2" t="s">
        <v>1785</v>
      </c>
      <c r="K2017" s="8">
        <f>(F2017*I2017)</f>
        <v>12</v>
      </c>
    </row>
    <row r="2018" spans="1:11" hidden="1">
      <c r="A2018" s="134"/>
      <c r="F2018" s="91">
        <v>1</v>
      </c>
      <c r="G2018" s="90" t="s">
        <v>1785</v>
      </c>
      <c r="H2018" s="86" t="s">
        <v>2224</v>
      </c>
      <c r="I2018" s="8">
        <v>8</v>
      </c>
      <c r="J2018" s="2" t="s">
        <v>1785</v>
      </c>
      <c r="K2018" s="8">
        <f>(F2018*I2018)</f>
        <v>8</v>
      </c>
    </row>
    <row r="2019" spans="1:11" hidden="1">
      <c r="A2019" s="134"/>
      <c r="F2019" s="102" t="s">
        <v>741</v>
      </c>
      <c r="H2019" s="86" t="s">
        <v>2225</v>
      </c>
      <c r="I2019" s="2" t="s">
        <v>741</v>
      </c>
      <c r="J2019" s="4"/>
      <c r="K2019" s="8">
        <v>1.21</v>
      </c>
    </row>
    <row r="2020" spans="1:11" hidden="1">
      <c r="A2020" s="134"/>
      <c r="I2020"/>
      <c r="J2020" s="4"/>
      <c r="K2020" s="5" t="s">
        <v>1609</v>
      </c>
    </row>
    <row r="2021" spans="1:11" hidden="1">
      <c r="A2021" s="134"/>
      <c r="H2021" s="86" t="s">
        <v>396</v>
      </c>
      <c r="I2021"/>
      <c r="J2021" s="4"/>
      <c r="K2021" s="8">
        <f>SUM(K2016:K2019)</f>
        <v>345.21</v>
      </c>
    </row>
    <row r="2022" spans="1:11" hidden="1">
      <c r="A2022" s="134"/>
      <c r="I2022"/>
      <c r="J2022" s="4"/>
      <c r="K2022" s="5" t="s">
        <v>1609</v>
      </c>
    </row>
    <row r="2023" spans="1:11" hidden="1">
      <c r="A2023" s="134"/>
      <c r="I2023"/>
      <c r="J2023" s="4"/>
      <c r="K2023"/>
    </row>
    <row r="2024" spans="1:11" hidden="1">
      <c r="A2024" s="134"/>
      <c r="F2024" s="102" t="s">
        <v>397</v>
      </c>
      <c r="G2024" s="90" t="s">
        <v>2276</v>
      </c>
      <c r="H2024" s="86" t="s">
        <v>1151</v>
      </c>
      <c r="I2024"/>
      <c r="J2024" s="4"/>
      <c r="K2024"/>
    </row>
    <row r="2025" spans="1:11" hidden="1">
      <c r="A2025" s="134"/>
      <c r="H2025" s="86" t="s">
        <v>295</v>
      </c>
      <c r="I2025"/>
      <c r="J2025" s="4"/>
      <c r="K2025"/>
    </row>
    <row r="2026" spans="1:11" hidden="1">
      <c r="A2026" s="134"/>
      <c r="H2026" s="89" t="s">
        <v>1609</v>
      </c>
      <c r="I2026"/>
      <c r="J2026" s="4"/>
      <c r="K2026"/>
    </row>
    <row r="2027" spans="1:11" hidden="1">
      <c r="A2027" s="134"/>
      <c r="F2027" s="91">
        <v>1</v>
      </c>
      <c r="G2027" s="90" t="s">
        <v>877</v>
      </c>
      <c r="H2027" s="86" t="s">
        <v>295</v>
      </c>
      <c r="I2027" s="8">
        <f>(C265)</f>
        <v>115</v>
      </c>
      <c r="J2027" s="2" t="s">
        <v>877</v>
      </c>
      <c r="K2027" s="8">
        <f>(F2027*I2027)</f>
        <v>115</v>
      </c>
    </row>
    <row r="2028" spans="1:11" hidden="1">
      <c r="A2028" s="134"/>
      <c r="F2028" s="91">
        <v>0.05</v>
      </c>
      <c r="G2028" s="90" t="s">
        <v>878</v>
      </c>
      <c r="H2028" s="86" t="s">
        <v>1193</v>
      </c>
      <c r="I2028" s="8" t="e">
        <f>(R60)</f>
        <v>#REF!</v>
      </c>
      <c r="J2028" s="2" t="s">
        <v>878</v>
      </c>
      <c r="K2028" s="8" t="e">
        <f>(F2028*I2028)</f>
        <v>#REF!</v>
      </c>
    </row>
    <row r="2029" spans="1:11" hidden="1">
      <c r="A2029" s="134"/>
      <c r="F2029" s="91">
        <v>0.5</v>
      </c>
      <c r="G2029" s="90" t="s">
        <v>877</v>
      </c>
      <c r="H2029" s="86" t="s">
        <v>2130</v>
      </c>
      <c r="I2029" s="8">
        <f>(C15)</f>
        <v>130</v>
      </c>
      <c r="J2029" s="2" t="s">
        <v>877</v>
      </c>
      <c r="K2029" s="8">
        <f>(F2029*I2029)</f>
        <v>65</v>
      </c>
    </row>
    <row r="2030" spans="1:11" hidden="1">
      <c r="A2030" s="134"/>
      <c r="F2030" s="91">
        <v>1</v>
      </c>
      <c r="G2030" s="90" t="s">
        <v>877</v>
      </c>
      <c r="H2030" s="86" t="s">
        <v>1927</v>
      </c>
      <c r="I2030" s="8">
        <f>(C12)</f>
        <v>95</v>
      </c>
      <c r="J2030" s="2" t="s">
        <v>877</v>
      </c>
      <c r="K2030" s="8">
        <f>(F2030*I2030)</f>
        <v>95</v>
      </c>
    </row>
    <row r="2031" spans="1:11" hidden="1">
      <c r="A2031" s="134"/>
      <c r="F2031" s="91">
        <v>1</v>
      </c>
      <c r="G2031" s="90" t="s">
        <v>877</v>
      </c>
      <c r="H2031" s="86" t="s">
        <v>321</v>
      </c>
      <c r="I2031" s="8">
        <f>(C13)</f>
        <v>85</v>
      </c>
      <c r="J2031" s="2" t="s">
        <v>877</v>
      </c>
      <c r="K2031" s="8">
        <f>(F2031*I2031)</f>
        <v>85</v>
      </c>
    </row>
    <row r="2032" spans="1:11" hidden="1">
      <c r="A2032" s="134"/>
      <c r="G2032" s="90" t="s">
        <v>450</v>
      </c>
      <c r="H2032" s="86" t="s">
        <v>451</v>
      </c>
      <c r="I2032" s="1" t="s">
        <v>987</v>
      </c>
      <c r="J2032" s="2" t="s">
        <v>450</v>
      </c>
      <c r="K2032" s="8">
        <v>0</v>
      </c>
    </row>
    <row r="2033" spans="1:11" hidden="1">
      <c r="A2033" s="134"/>
      <c r="H2033" s="86" t="s">
        <v>987</v>
      </c>
      <c r="I2033"/>
      <c r="J2033" s="4"/>
      <c r="K2033" s="5" t="s">
        <v>1609</v>
      </c>
    </row>
    <row r="2034" spans="1:11" hidden="1">
      <c r="A2034" s="134"/>
      <c r="H2034" s="86" t="s">
        <v>1776</v>
      </c>
      <c r="I2034"/>
      <c r="J2034" s="4"/>
      <c r="K2034" s="8" t="e">
        <f>SUM(K2027:K2032)</f>
        <v>#REF!</v>
      </c>
    </row>
    <row r="2035" spans="1:11" hidden="1">
      <c r="A2035" s="134"/>
      <c r="I2035"/>
      <c r="J2035" s="4"/>
      <c r="K2035" s="5" t="s">
        <v>2080</v>
      </c>
    </row>
    <row r="2036" spans="1:11" hidden="1">
      <c r="A2036" s="134"/>
      <c r="F2036" s="102" t="s">
        <v>1194</v>
      </c>
      <c r="G2036" s="90" t="s">
        <v>2276</v>
      </c>
      <c r="H2036" s="86" t="s">
        <v>2250</v>
      </c>
      <c r="I2036"/>
      <c r="J2036" s="4"/>
      <c r="K2036"/>
    </row>
    <row r="2037" spans="1:11" hidden="1">
      <c r="A2037" s="134"/>
      <c r="H2037" s="86" t="s">
        <v>2403</v>
      </c>
      <c r="I2037"/>
      <c r="J2037" s="4"/>
      <c r="K2037"/>
    </row>
    <row r="2038" spans="1:11" hidden="1">
      <c r="A2038" s="134"/>
      <c r="H2038" s="89" t="s">
        <v>1609</v>
      </c>
      <c r="I2038"/>
      <c r="J2038" s="4"/>
      <c r="K2038"/>
    </row>
    <row r="2039" spans="1:11" hidden="1">
      <c r="A2039" s="134"/>
      <c r="F2039" s="91">
        <v>1</v>
      </c>
      <c r="G2039" s="90" t="s">
        <v>877</v>
      </c>
      <c r="H2039" s="86" t="s">
        <v>2251</v>
      </c>
      <c r="I2039" s="8">
        <f>(D266)</f>
        <v>90</v>
      </c>
      <c r="J2039" s="2" t="s">
        <v>877</v>
      </c>
      <c r="K2039" s="8">
        <f>(F2039*I2039)</f>
        <v>90</v>
      </c>
    </row>
    <row r="2040" spans="1:11" hidden="1">
      <c r="A2040" s="134"/>
      <c r="G2040" s="90" t="s">
        <v>450</v>
      </c>
      <c r="H2040" s="86" t="s">
        <v>1711</v>
      </c>
      <c r="I2040"/>
      <c r="J2040" s="2" t="s">
        <v>450</v>
      </c>
      <c r="K2040" s="8">
        <v>4</v>
      </c>
    </row>
    <row r="2041" spans="1:11" hidden="1">
      <c r="A2041" s="134"/>
      <c r="I2041"/>
      <c r="J2041" s="2" t="s">
        <v>987</v>
      </c>
      <c r="K2041" s="5" t="s">
        <v>1609</v>
      </c>
    </row>
    <row r="2042" spans="1:11" hidden="1">
      <c r="A2042" s="134"/>
      <c r="H2042" s="86" t="s">
        <v>1776</v>
      </c>
      <c r="I2042"/>
      <c r="J2042" s="4"/>
      <c r="K2042" s="8">
        <f>SUM(K2039:K2041)</f>
        <v>94</v>
      </c>
    </row>
    <row r="2043" spans="1:11" hidden="1">
      <c r="A2043" s="134"/>
      <c r="I2043"/>
      <c r="J2043" s="4"/>
      <c r="K2043" s="5" t="s">
        <v>1609</v>
      </c>
    </row>
    <row r="2044" spans="1:11" hidden="1">
      <c r="A2044" s="134"/>
      <c r="F2044" s="102" t="s">
        <v>1712</v>
      </c>
      <c r="G2044" s="90" t="s">
        <v>2276</v>
      </c>
      <c r="H2044" s="86" t="s">
        <v>53</v>
      </c>
      <c r="I2044"/>
      <c r="J2044" s="4"/>
      <c r="K2044"/>
    </row>
    <row r="2045" spans="1:11" hidden="1">
      <c r="A2045" s="134"/>
      <c r="H2045" s="86" t="s">
        <v>54</v>
      </c>
      <c r="I2045"/>
      <c r="J2045" s="4"/>
      <c r="K2045"/>
    </row>
    <row r="2046" spans="1:11" hidden="1">
      <c r="A2046" s="134"/>
      <c r="H2046" s="89" t="s">
        <v>1609</v>
      </c>
      <c r="I2046"/>
      <c r="J2046" s="4"/>
      <c r="K2046"/>
    </row>
    <row r="2047" spans="1:11" hidden="1">
      <c r="A2047" s="134"/>
      <c r="F2047" s="91">
        <v>50</v>
      </c>
      <c r="G2047" s="90" t="s">
        <v>877</v>
      </c>
      <c r="H2047" s="86" t="s">
        <v>799</v>
      </c>
      <c r="I2047" s="8">
        <f>(C203)</f>
        <v>40</v>
      </c>
      <c r="J2047" s="2" t="s">
        <v>877</v>
      </c>
      <c r="K2047" s="8">
        <f t="shared" ref="K2047:K2056" si="71">(F2047*I2047)</f>
        <v>2000</v>
      </c>
    </row>
    <row r="2048" spans="1:11" hidden="1">
      <c r="A2048" s="134"/>
      <c r="F2048" s="91">
        <v>21.6</v>
      </c>
      <c r="G2048" s="90" t="s">
        <v>878</v>
      </c>
      <c r="H2048" s="86" t="s">
        <v>800</v>
      </c>
      <c r="I2048" s="8">
        <f>(C61*2)</f>
        <v>50</v>
      </c>
      <c r="J2048" s="2" t="s">
        <v>878</v>
      </c>
      <c r="K2048" s="8">
        <f t="shared" si="71"/>
        <v>1080</v>
      </c>
    </row>
    <row r="2049" spans="1:11" hidden="1">
      <c r="A2049" s="134"/>
      <c r="F2049" s="91">
        <v>21.6</v>
      </c>
      <c r="G2049" s="90" t="s">
        <v>878</v>
      </c>
      <c r="H2049" s="86" t="s">
        <v>250</v>
      </c>
      <c r="I2049" s="8">
        <f>(C26)</f>
        <v>8.8000000000000007</v>
      </c>
      <c r="J2049" s="2" t="s">
        <v>878</v>
      </c>
      <c r="K2049" s="8">
        <f t="shared" si="71"/>
        <v>190.08</v>
      </c>
    </row>
    <row r="2050" spans="1:11" hidden="1">
      <c r="A2050" s="134"/>
      <c r="F2050" s="91">
        <v>45</v>
      </c>
      <c r="G2050" s="90" t="s">
        <v>1670</v>
      </c>
      <c r="H2050" s="86" t="s">
        <v>871</v>
      </c>
      <c r="I2050" s="8">
        <f>(C67/1000)</f>
        <v>3.8</v>
      </c>
      <c r="J2050" s="2" t="s">
        <v>1670</v>
      </c>
      <c r="K2050" s="8">
        <f t="shared" si="71"/>
        <v>171</v>
      </c>
    </row>
    <row r="2051" spans="1:11" hidden="1">
      <c r="A2051" s="134"/>
      <c r="F2051" s="91">
        <v>0.04</v>
      </c>
      <c r="G2051" s="90" t="s">
        <v>878</v>
      </c>
      <c r="H2051" s="86" t="s">
        <v>879</v>
      </c>
      <c r="I2051" s="8" t="e">
        <f>(C78)</f>
        <v>#REF!</v>
      </c>
      <c r="J2051" s="2" t="s">
        <v>878</v>
      </c>
      <c r="K2051" s="8" t="e">
        <f t="shared" si="71"/>
        <v>#REF!</v>
      </c>
    </row>
    <row r="2052" spans="1:11" hidden="1">
      <c r="A2052" s="134"/>
      <c r="F2052" s="91">
        <v>3.63</v>
      </c>
      <c r="G2052" s="90" t="s">
        <v>1670</v>
      </c>
      <c r="H2052" s="86" t="s">
        <v>801</v>
      </c>
      <c r="I2052" s="8">
        <f>(C585)</f>
        <v>7</v>
      </c>
      <c r="J2052" s="2" t="s">
        <v>1670</v>
      </c>
      <c r="K2052" s="8">
        <f t="shared" si="71"/>
        <v>25.41</v>
      </c>
    </row>
    <row r="2053" spans="1:11" hidden="1">
      <c r="A2053" s="134"/>
      <c r="F2053" s="91">
        <v>2</v>
      </c>
      <c r="G2053" s="90" t="s">
        <v>877</v>
      </c>
      <c r="H2053" s="86" t="s">
        <v>2034</v>
      </c>
      <c r="I2053" s="8">
        <f>(C10)</f>
        <v>150</v>
      </c>
      <c r="J2053" s="2" t="s">
        <v>877</v>
      </c>
      <c r="K2053" s="8">
        <f t="shared" si="71"/>
        <v>300</v>
      </c>
    </row>
    <row r="2054" spans="1:11" hidden="1">
      <c r="A2054" s="134"/>
      <c r="F2054" s="91">
        <v>1</v>
      </c>
      <c r="G2054" s="90" t="s">
        <v>877</v>
      </c>
      <c r="H2054" s="86" t="s">
        <v>802</v>
      </c>
      <c r="I2054" s="8">
        <f>AE37</f>
        <v>120</v>
      </c>
      <c r="J2054" s="2" t="s">
        <v>877</v>
      </c>
      <c r="K2054" s="8">
        <f t="shared" si="71"/>
        <v>120</v>
      </c>
    </row>
    <row r="2055" spans="1:11" hidden="1">
      <c r="A2055" s="134"/>
      <c r="F2055" s="91">
        <v>5</v>
      </c>
      <c r="G2055" s="90" t="s">
        <v>877</v>
      </c>
      <c r="H2055" s="86" t="s">
        <v>1927</v>
      </c>
      <c r="I2055" s="8">
        <f>(C12)</f>
        <v>95</v>
      </c>
      <c r="J2055" s="2" t="s">
        <v>877</v>
      </c>
      <c r="K2055" s="8">
        <f t="shared" si="71"/>
        <v>475</v>
      </c>
    </row>
    <row r="2056" spans="1:11" hidden="1">
      <c r="A2056" s="134"/>
      <c r="F2056" s="91">
        <v>2</v>
      </c>
      <c r="G2056" s="90" t="s">
        <v>877</v>
      </c>
      <c r="H2056" s="86" t="s">
        <v>321</v>
      </c>
      <c r="I2056" s="8">
        <f>(C13)</f>
        <v>85</v>
      </c>
      <c r="J2056" s="2" t="s">
        <v>877</v>
      </c>
      <c r="K2056" s="8">
        <f t="shared" si="71"/>
        <v>170</v>
      </c>
    </row>
    <row r="2057" spans="1:11" hidden="1">
      <c r="A2057" s="134"/>
      <c r="G2057" s="90" t="s">
        <v>450</v>
      </c>
      <c r="H2057" s="86" t="s">
        <v>2160</v>
      </c>
      <c r="I2057"/>
      <c r="J2057" s="2" t="s">
        <v>450</v>
      </c>
      <c r="K2057" s="8">
        <f>SUM(K2053:K2056)/10</f>
        <v>106.5</v>
      </c>
    </row>
    <row r="2058" spans="1:11" hidden="1">
      <c r="A2058" s="134"/>
      <c r="I2058"/>
      <c r="J2058" s="4"/>
      <c r="K2058" s="5" t="s">
        <v>1609</v>
      </c>
    </row>
    <row r="2059" spans="1:11" hidden="1">
      <c r="A2059" s="134"/>
      <c r="H2059" s="86" t="s">
        <v>2161</v>
      </c>
      <c r="I2059"/>
      <c r="J2059" s="4"/>
      <c r="K2059" s="8" t="e">
        <f>SUM(K2047:K2057)</f>
        <v>#REF!</v>
      </c>
    </row>
    <row r="2060" spans="1:11" hidden="1">
      <c r="A2060" s="134"/>
      <c r="I2060"/>
      <c r="J2060" s="4"/>
      <c r="K2060" s="5" t="s">
        <v>1609</v>
      </c>
    </row>
    <row r="2061" spans="1:11" hidden="1">
      <c r="A2061" s="134"/>
      <c r="H2061" s="86" t="s">
        <v>1141</v>
      </c>
      <c r="I2061"/>
      <c r="J2061" s="4"/>
      <c r="K2061" s="8" t="e">
        <f>(K2059/30)</f>
        <v>#REF!</v>
      </c>
    </row>
    <row r="2062" spans="1:11" hidden="1">
      <c r="A2062" s="134"/>
      <c r="I2062"/>
      <c r="J2062" s="4"/>
      <c r="K2062" s="5" t="s">
        <v>2080</v>
      </c>
    </row>
    <row r="2063" spans="1:11" hidden="1">
      <c r="A2063" s="134"/>
      <c r="I2063"/>
      <c r="J2063" s="4"/>
      <c r="K2063"/>
    </row>
    <row r="2064" spans="1:11" hidden="1">
      <c r="A2064" s="134"/>
      <c r="F2064" s="102" t="s">
        <v>1142</v>
      </c>
      <c r="G2064" s="90" t="s">
        <v>2276</v>
      </c>
      <c r="H2064" s="86" t="s">
        <v>1033</v>
      </c>
      <c r="I2064"/>
      <c r="J2064" s="4"/>
      <c r="K2064"/>
    </row>
    <row r="2065" spans="1:11" hidden="1">
      <c r="A2065" s="134"/>
      <c r="H2065" s="86" t="s">
        <v>54</v>
      </c>
      <c r="I2065"/>
      <c r="J2065" s="4"/>
      <c r="K2065"/>
    </row>
    <row r="2066" spans="1:11" hidden="1">
      <c r="A2066" s="134"/>
      <c r="H2066" s="89" t="s">
        <v>1609</v>
      </c>
      <c r="I2066"/>
      <c r="J2066" s="4"/>
      <c r="K2066"/>
    </row>
    <row r="2067" spans="1:11" hidden="1">
      <c r="A2067" s="134"/>
      <c r="F2067" s="91">
        <v>50</v>
      </c>
      <c r="G2067" s="90" t="s">
        <v>877</v>
      </c>
      <c r="H2067" s="86" t="s">
        <v>572</v>
      </c>
      <c r="I2067" s="8">
        <f>C204</f>
        <v>65</v>
      </c>
      <c r="J2067" s="2" t="s">
        <v>877</v>
      </c>
      <c r="K2067" s="8">
        <f t="shared" ref="K2067:K2076" si="72">(F2067*I2067)</f>
        <v>3250</v>
      </c>
    </row>
    <row r="2068" spans="1:11" hidden="1">
      <c r="A2068" s="134"/>
      <c r="F2068" s="91">
        <v>21.6</v>
      </c>
      <c r="G2068" s="90" t="s">
        <v>878</v>
      </c>
      <c r="H2068" s="86" t="s">
        <v>800</v>
      </c>
      <c r="I2068" s="8">
        <f>(C61*2)</f>
        <v>50</v>
      </c>
      <c r="J2068" s="2" t="s">
        <v>878</v>
      </c>
      <c r="K2068" s="8">
        <f t="shared" si="72"/>
        <v>1080</v>
      </c>
    </row>
    <row r="2069" spans="1:11" hidden="1">
      <c r="A2069" s="134"/>
      <c r="F2069" s="91">
        <v>21.6</v>
      </c>
      <c r="G2069" s="90" t="s">
        <v>878</v>
      </c>
      <c r="H2069" s="86" t="s">
        <v>250</v>
      </c>
      <c r="I2069" s="8">
        <f>(C26)</f>
        <v>8.8000000000000007</v>
      </c>
      <c r="J2069" s="2" t="s">
        <v>878</v>
      </c>
      <c r="K2069" s="8">
        <f t="shared" si="72"/>
        <v>190.08</v>
      </c>
    </row>
    <row r="2070" spans="1:11" hidden="1">
      <c r="A2070" s="134"/>
      <c r="F2070" s="91">
        <v>68</v>
      </c>
      <c r="G2070" s="90" t="s">
        <v>1670</v>
      </c>
      <c r="H2070" s="86" t="s">
        <v>871</v>
      </c>
      <c r="I2070" s="8">
        <f>(C67/1000)</f>
        <v>3.8</v>
      </c>
      <c r="J2070" s="2" t="s">
        <v>1670</v>
      </c>
      <c r="K2070" s="8">
        <f t="shared" si="72"/>
        <v>258.39999999999998</v>
      </c>
    </row>
    <row r="2071" spans="1:11" hidden="1">
      <c r="A2071" s="134"/>
      <c r="F2071" s="91">
        <v>7.0000000000000007E-2</v>
      </c>
      <c r="G2071" s="90" t="s">
        <v>878</v>
      </c>
      <c r="H2071" s="86" t="s">
        <v>879</v>
      </c>
      <c r="I2071" s="8" t="e">
        <f>(C78)</f>
        <v>#REF!</v>
      </c>
      <c r="J2071" s="2" t="s">
        <v>878</v>
      </c>
      <c r="K2071" s="8" t="e">
        <f t="shared" si="72"/>
        <v>#REF!</v>
      </c>
    </row>
    <row r="2072" spans="1:11" hidden="1">
      <c r="A2072" s="134"/>
      <c r="F2072" s="91">
        <v>5.45</v>
      </c>
      <c r="G2072" s="90" t="s">
        <v>1670</v>
      </c>
      <c r="H2072" s="86" t="s">
        <v>801</v>
      </c>
      <c r="I2072" s="8">
        <f>(C585)</f>
        <v>7</v>
      </c>
      <c r="J2072" s="2" t="s">
        <v>1670</v>
      </c>
      <c r="K2072" s="8">
        <f t="shared" si="72"/>
        <v>38.15</v>
      </c>
    </row>
    <row r="2073" spans="1:11" hidden="1">
      <c r="A2073" s="134"/>
      <c r="F2073" s="91">
        <v>3</v>
      </c>
      <c r="G2073" s="90" t="s">
        <v>877</v>
      </c>
      <c r="H2073" s="86" t="s">
        <v>2034</v>
      </c>
      <c r="I2073" s="8">
        <f>(C10)</f>
        <v>150</v>
      </c>
      <c r="J2073" s="2" t="s">
        <v>877</v>
      </c>
      <c r="K2073" s="8">
        <f t="shared" si="72"/>
        <v>450</v>
      </c>
    </row>
    <row r="2074" spans="1:11" hidden="1">
      <c r="A2074" s="134"/>
      <c r="F2074" s="91">
        <v>2</v>
      </c>
      <c r="G2074" s="90" t="s">
        <v>877</v>
      </c>
      <c r="H2074" s="86" t="s">
        <v>802</v>
      </c>
      <c r="I2074" s="8">
        <f>AE37</f>
        <v>120</v>
      </c>
      <c r="J2074" s="2" t="s">
        <v>877</v>
      </c>
      <c r="K2074" s="8">
        <f t="shared" si="72"/>
        <v>240</v>
      </c>
    </row>
    <row r="2075" spans="1:11" hidden="1">
      <c r="A2075" s="134"/>
      <c r="F2075" s="91">
        <v>6</v>
      </c>
      <c r="G2075" s="90" t="s">
        <v>877</v>
      </c>
      <c r="H2075" s="86" t="s">
        <v>1927</v>
      </c>
      <c r="I2075" s="8">
        <f>(C12)</f>
        <v>95</v>
      </c>
      <c r="J2075" s="2" t="s">
        <v>877</v>
      </c>
      <c r="K2075" s="8">
        <f t="shared" si="72"/>
        <v>570</v>
      </c>
    </row>
    <row r="2076" spans="1:11" hidden="1">
      <c r="A2076" s="134"/>
      <c r="F2076" s="91">
        <v>3</v>
      </c>
      <c r="G2076" s="90" t="s">
        <v>877</v>
      </c>
      <c r="H2076" s="86" t="s">
        <v>321</v>
      </c>
      <c r="I2076" s="8">
        <f>(C13)</f>
        <v>85</v>
      </c>
      <c r="J2076" s="2" t="s">
        <v>877</v>
      </c>
      <c r="K2076" s="8">
        <f t="shared" si="72"/>
        <v>255</v>
      </c>
    </row>
    <row r="2077" spans="1:11" hidden="1">
      <c r="A2077" s="134"/>
      <c r="G2077" s="90" t="s">
        <v>450</v>
      </c>
      <c r="H2077" s="86" t="s">
        <v>2160</v>
      </c>
      <c r="I2077"/>
      <c r="J2077" s="2" t="s">
        <v>450</v>
      </c>
      <c r="K2077" s="8">
        <f>SUM(K2073:K2076)/10</f>
        <v>151.5</v>
      </c>
    </row>
    <row r="2078" spans="1:11" hidden="1">
      <c r="A2078" s="134"/>
      <c r="I2078"/>
      <c r="J2078" s="4"/>
      <c r="K2078" s="5" t="s">
        <v>1609</v>
      </c>
    </row>
    <row r="2079" spans="1:11" hidden="1">
      <c r="A2079" s="134"/>
      <c r="H2079" s="86" t="s">
        <v>2161</v>
      </c>
      <c r="I2079"/>
      <c r="J2079" s="4"/>
      <c r="K2079" s="8" t="e">
        <f>SUM(K2067:K2077)</f>
        <v>#REF!</v>
      </c>
    </row>
    <row r="2080" spans="1:11" hidden="1">
      <c r="A2080" s="134"/>
      <c r="I2080"/>
      <c r="J2080" s="4"/>
      <c r="K2080" s="5" t="s">
        <v>1609</v>
      </c>
    </row>
    <row r="2081" spans="1:11" hidden="1">
      <c r="A2081" s="134"/>
      <c r="H2081" s="86" t="s">
        <v>1141</v>
      </c>
      <c r="I2081"/>
      <c r="J2081" s="4"/>
      <c r="K2081" s="8" t="e">
        <f>(K2079/30)</f>
        <v>#REF!</v>
      </c>
    </row>
    <row r="2082" spans="1:11" hidden="1">
      <c r="A2082" s="134"/>
      <c r="I2082"/>
      <c r="J2082" s="4"/>
      <c r="K2082" s="5" t="s">
        <v>2080</v>
      </c>
    </row>
    <row r="2083" spans="1:11" hidden="1">
      <c r="A2083" s="134"/>
      <c r="F2083" s="102" t="s">
        <v>573</v>
      </c>
      <c r="G2083" s="90" t="s">
        <v>2276</v>
      </c>
      <c r="H2083" s="86" t="s">
        <v>53</v>
      </c>
      <c r="I2083"/>
      <c r="J2083" s="4"/>
      <c r="K2083"/>
    </row>
    <row r="2084" spans="1:11" hidden="1">
      <c r="A2084" s="134"/>
      <c r="H2084" s="86" t="s">
        <v>221</v>
      </c>
      <c r="I2084"/>
      <c r="J2084" s="4"/>
      <c r="K2084"/>
    </row>
    <row r="2085" spans="1:11" hidden="1">
      <c r="A2085" s="134"/>
      <c r="H2085" s="89" t="s">
        <v>1609</v>
      </c>
      <c r="I2085"/>
      <c r="J2085" s="4"/>
      <c r="K2085"/>
    </row>
    <row r="2086" spans="1:11" hidden="1">
      <c r="A2086" s="134"/>
      <c r="F2086" s="91">
        <v>50</v>
      </c>
      <c r="G2086" s="90" t="s">
        <v>877</v>
      </c>
      <c r="H2086" s="86" t="s">
        <v>222</v>
      </c>
      <c r="I2086" s="8">
        <f>C203</f>
        <v>40</v>
      </c>
      <c r="J2086" s="2" t="s">
        <v>877</v>
      </c>
      <c r="K2086" s="8">
        <f>(F2086*I2086)</f>
        <v>2000</v>
      </c>
    </row>
    <row r="2087" spans="1:11" hidden="1">
      <c r="A2087" s="134"/>
      <c r="F2087" s="91">
        <v>1</v>
      </c>
      <c r="G2087" s="90" t="s">
        <v>877</v>
      </c>
      <c r="H2087" s="86" t="s">
        <v>802</v>
      </c>
      <c r="I2087" s="8">
        <f>AE37</f>
        <v>120</v>
      </c>
      <c r="J2087" s="2" t="s">
        <v>877</v>
      </c>
      <c r="K2087" s="8">
        <f>(F2087*I2087)</f>
        <v>120</v>
      </c>
    </row>
    <row r="2088" spans="1:11" hidden="1">
      <c r="A2088" s="134"/>
      <c r="F2088" s="91">
        <v>5</v>
      </c>
      <c r="G2088" s="90" t="s">
        <v>877</v>
      </c>
      <c r="H2088" s="86" t="s">
        <v>1927</v>
      </c>
      <c r="I2088" s="8">
        <f>C12</f>
        <v>95</v>
      </c>
      <c r="J2088" s="2" t="s">
        <v>877</v>
      </c>
      <c r="K2088" s="8">
        <f>(F2088*I2088)</f>
        <v>475</v>
      </c>
    </row>
    <row r="2089" spans="1:11" hidden="1">
      <c r="A2089" s="134"/>
      <c r="I2089"/>
      <c r="J2089" s="4"/>
      <c r="K2089" s="5" t="s">
        <v>1609</v>
      </c>
    </row>
    <row r="2090" spans="1:11" hidden="1">
      <c r="A2090" s="134"/>
      <c r="H2090" s="86" t="s">
        <v>2161</v>
      </c>
      <c r="I2090"/>
      <c r="J2090" s="4"/>
      <c r="K2090" s="8">
        <f>SUM(K2086:K2088)</f>
        <v>2595</v>
      </c>
    </row>
    <row r="2091" spans="1:11" hidden="1">
      <c r="A2091" s="134"/>
      <c r="F2091" s="86" t="s">
        <v>987</v>
      </c>
      <c r="I2091"/>
      <c r="J2091" s="4"/>
      <c r="K2091" s="5" t="s">
        <v>1609</v>
      </c>
    </row>
    <row r="2092" spans="1:11" hidden="1">
      <c r="A2092" s="134"/>
      <c r="H2092" s="86" t="s">
        <v>1141</v>
      </c>
      <c r="I2092"/>
      <c r="J2092" s="4"/>
      <c r="K2092" s="8">
        <f>(K2090/30)</f>
        <v>86.5</v>
      </c>
    </row>
    <row r="2093" spans="1:11" hidden="1">
      <c r="A2093" s="134"/>
      <c r="F2093" s="86" t="s">
        <v>987</v>
      </c>
      <c r="I2093"/>
      <c r="J2093" s="4"/>
      <c r="K2093"/>
    </row>
    <row r="2094" spans="1:11" hidden="1">
      <c r="A2094" s="134"/>
      <c r="F2094" s="86" t="s">
        <v>987</v>
      </c>
      <c r="I2094"/>
      <c r="J2094" s="4"/>
      <c r="K2094"/>
    </row>
    <row r="2095" spans="1:11" hidden="1">
      <c r="A2095" s="134"/>
      <c r="I2095"/>
      <c r="J2095" s="4"/>
      <c r="K2095" s="5" t="s">
        <v>2080</v>
      </c>
    </row>
    <row r="2096" spans="1:11" hidden="1">
      <c r="A2096" s="134"/>
      <c r="F2096" s="102" t="s">
        <v>1142</v>
      </c>
      <c r="G2096" s="90" t="s">
        <v>2276</v>
      </c>
      <c r="H2096" s="86" t="s">
        <v>1033</v>
      </c>
      <c r="I2096"/>
      <c r="J2096" s="4"/>
      <c r="K2096"/>
    </row>
    <row r="2097" spans="1:11" hidden="1">
      <c r="A2097" s="134"/>
      <c r="H2097" s="91" t="str">
        <f>H2084</f>
        <v>DIA S.W.PIPE(LOOSE JOINTING)</v>
      </c>
      <c r="I2097"/>
      <c r="J2097" s="4"/>
      <c r="K2097"/>
    </row>
    <row r="2098" spans="1:11" hidden="1">
      <c r="A2098" s="134"/>
      <c r="H2098" s="89" t="s">
        <v>1609</v>
      </c>
      <c r="I2098"/>
      <c r="J2098" s="4"/>
      <c r="K2098"/>
    </row>
    <row r="2099" spans="1:11" hidden="1">
      <c r="A2099" s="134"/>
      <c r="F2099" s="91">
        <v>50</v>
      </c>
      <c r="G2099" s="90" t="s">
        <v>877</v>
      </c>
      <c r="H2099" s="86" t="s">
        <v>223</v>
      </c>
      <c r="I2099" s="8">
        <f>C204</f>
        <v>65</v>
      </c>
      <c r="J2099" s="2" t="s">
        <v>877</v>
      </c>
      <c r="K2099" s="8">
        <f>(F2099*I2099)</f>
        <v>3250</v>
      </c>
    </row>
    <row r="2100" spans="1:11" hidden="1">
      <c r="A2100" s="134"/>
      <c r="F2100" s="91">
        <v>2</v>
      </c>
      <c r="G2100" s="90" t="s">
        <v>877</v>
      </c>
      <c r="H2100" s="86" t="s">
        <v>802</v>
      </c>
      <c r="I2100" s="8">
        <f>AE37</f>
        <v>120</v>
      </c>
      <c r="J2100" s="2" t="s">
        <v>877</v>
      </c>
      <c r="K2100" s="8">
        <f>(F2100*I2100)</f>
        <v>240</v>
      </c>
    </row>
    <row r="2101" spans="1:11" hidden="1">
      <c r="A2101" s="134"/>
      <c r="F2101" s="91">
        <v>6</v>
      </c>
      <c r="G2101" s="90" t="s">
        <v>877</v>
      </c>
      <c r="H2101" s="86" t="s">
        <v>1927</v>
      </c>
      <c r="I2101" s="8">
        <f>C12</f>
        <v>95</v>
      </c>
      <c r="J2101" s="2" t="s">
        <v>877</v>
      </c>
      <c r="K2101" s="8">
        <f>(F2101*I2101)</f>
        <v>570</v>
      </c>
    </row>
    <row r="2102" spans="1:11" hidden="1">
      <c r="A2102" s="134"/>
      <c r="I2102"/>
      <c r="J2102" s="4"/>
      <c r="K2102" s="5" t="s">
        <v>1609</v>
      </c>
    </row>
    <row r="2103" spans="1:11" hidden="1">
      <c r="A2103" s="134"/>
      <c r="H2103" s="86" t="s">
        <v>2161</v>
      </c>
      <c r="I2103"/>
      <c r="J2103" s="4"/>
      <c r="K2103" s="8">
        <f>SUM(K2099:K2101)</f>
        <v>4060</v>
      </c>
    </row>
    <row r="2104" spans="1:11" hidden="1">
      <c r="A2104" s="134"/>
      <c r="I2104"/>
      <c r="J2104" s="4"/>
      <c r="K2104" s="5" t="s">
        <v>1609</v>
      </c>
    </row>
    <row r="2105" spans="1:11" hidden="1">
      <c r="A2105" s="134"/>
      <c r="H2105" s="86" t="s">
        <v>1141</v>
      </c>
      <c r="I2105"/>
      <c r="J2105" s="4"/>
      <c r="K2105" s="8">
        <f>(K2103/30)</f>
        <v>135.33000000000001</v>
      </c>
    </row>
    <row r="2106" spans="1:11" hidden="1">
      <c r="A2106" s="134"/>
      <c r="I2106"/>
      <c r="J2106" s="4"/>
      <c r="K2106" s="5" t="s">
        <v>2080</v>
      </c>
    </row>
    <row r="2107" spans="1:11" hidden="1">
      <c r="A2107" s="134"/>
      <c r="H2107" s="102" t="s">
        <v>224</v>
      </c>
      <c r="I2107"/>
      <c r="J2107" s="4"/>
      <c r="K2107" s="8">
        <f>SUM(K2104:K2105)</f>
        <v>135.33000000000001</v>
      </c>
    </row>
    <row r="2108" spans="1:11" hidden="1">
      <c r="A2108" s="134"/>
      <c r="I2108"/>
      <c r="J2108" s="4"/>
      <c r="K2108" s="5" t="s">
        <v>2080</v>
      </c>
    </row>
    <row r="2109" spans="1:11" hidden="1">
      <c r="A2109" s="134"/>
      <c r="F2109" s="102" t="s">
        <v>1894</v>
      </c>
      <c r="G2109" s="90" t="s">
        <v>2276</v>
      </c>
      <c r="H2109" s="86" t="s">
        <v>53</v>
      </c>
      <c r="I2109"/>
      <c r="J2109" s="4"/>
      <c r="K2109"/>
    </row>
    <row r="2110" spans="1:11" hidden="1">
      <c r="A2110" s="134"/>
      <c r="H2110" s="86" t="s">
        <v>58</v>
      </c>
      <c r="I2110"/>
      <c r="J2110" s="4"/>
      <c r="K2110"/>
    </row>
    <row r="2111" spans="1:11" hidden="1">
      <c r="A2111" s="134"/>
      <c r="H2111" s="89" t="s">
        <v>1609</v>
      </c>
      <c r="I2111"/>
      <c r="J2111" s="4"/>
      <c r="K2111"/>
    </row>
    <row r="2112" spans="1:11" hidden="1">
      <c r="A2112" s="134"/>
      <c r="F2112" s="91">
        <v>1</v>
      </c>
      <c r="G2112" s="90" t="s">
        <v>877</v>
      </c>
      <c r="H2112" s="86" t="s">
        <v>1107</v>
      </c>
      <c r="I2112" s="8">
        <f>C205</f>
        <v>65</v>
      </c>
      <c r="J2112" s="2" t="s">
        <v>877</v>
      </c>
      <c r="K2112" s="8">
        <f>(F2112*I2112)</f>
        <v>65</v>
      </c>
    </row>
    <row r="2113" spans="1:11" hidden="1">
      <c r="A2113" s="134"/>
      <c r="F2113" s="86" t="s">
        <v>987</v>
      </c>
      <c r="H2113" s="86" t="s">
        <v>59</v>
      </c>
      <c r="I2113"/>
      <c r="J2113" s="4"/>
      <c r="K2113"/>
    </row>
    <row r="2114" spans="1:11" hidden="1">
      <c r="A2114" s="134"/>
      <c r="F2114" s="86" t="s">
        <v>987</v>
      </c>
      <c r="H2114" s="86" t="s">
        <v>60</v>
      </c>
      <c r="I2114" s="2" t="s">
        <v>450</v>
      </c>
      <c r="J2114" s="4"/>
      <c r="K2114" s="8">
        <v>2.5</v>
      </c>
    </row>
    <row r="2115" spans="1:11" hidden="1">
      <c r="A2115" s="134"/>
      <c r="I2115"/>
      <c r="J2115" s="4"/>
      <c r="K2115" s="5" t="s">
        <v>1609</v>
      </c>
    </row>
    <row r="2116" spans="1:11" hidden="1">
      <c r="A2116" s="134"/>
      <c r="H2116" s="86" t="s">
        <v>2161</v>
      </c>
      <c r="I2116"/>
      <c r="J2116" s="4"/>
      <c r="K2116" s="8">
        <f>SUM(K2112:K2114)</f>
        <v>67.5</v>
      </c>
    </row>
    <row r="2117" spans="1:11" hidden="1">
      <c r="A2117" s="134"/>
      <c r="F2117" s="102" t="s">
        <v>1894</v>
      </c>
      <c r="G2117" s="90" t="s">
        <v>2276</v>
      </c>
      <c r="H2117" s="86" t="s">
        <v>1033</v>
      </c>
      <c r="I2117"/>
      <c r="J2117" s="4"/>
      <c r="K2117" s="5" t="s">
        <v>1609</v>
      </c>
    </row>
    <row r="2118" spans="1:11" hidden="1">
      <c r="A2118" s="134"/>
      <c r="H2118" s="86" t="s">
        <v>58</v>
      </c>
      <c r="I2118"/>
      <c r="J2118" s="4"/>
      <c r="K2118" s="8"/>
    </row>
    <row r="2119" spans="1:11" hidden="1">
      <c r="A2119" s="134"/>
      <c r="H2119" s="89" t="s">
        <v>1609</v>
      </c>
      <c r="I2119"/>
      <c r="J2119" s="4"/>
      <c r="K2119" s="5" t="s">
        <v>1609</v>
      </c>
    </row>
    <row r="2120" spans="1:11" hidden="1">
      <c r="A2120" s="134"/>
      <c r="F2120" s="87">
        <v>1</v>
      </c>
      <c r="G2120" s="85" t="s">
        <v>778</v>
      </c>
      <c r="H2120" s="86" t="s">
        <v>1106</v>
      </c>
      <c r="I2120"/>
      <c r="J2120" s="4" t="s">
        <v>1414</v>
      </c>
      <c r="K2120" s="8">
        <v>92.5</v>
      </c>
    </row>
    <row r="2121" spans="1:11" hidden="1">
      <c r="A2121" s="134"/>
      <c r="I2121"/>
      <c r="J2121" s="4"/>
      <c r="K2121" s="5" t="s">
        <v>1609</v>
      </c>
    </row>
    <row r="2122" spans="1:11" hidden="1">
      <c r="A2122" s="134"/>
      <c r="F2122" s="102" t="s">
        <v>1282</v>
      </c>
      <c r="G2122" s="90" t="s">
        <v>2276</v>
      </c>
      <c r="H2122" s="86" t="s">
        <v>53</v>
      </c>
      <c r="I2122"/>
      <c r="J2122" s="4"/>
      <c r="K2122"/>
    </row>
    <row r="2123" spans="1:11" hidden="1">
      <c r="A2123" s="134"/>
      <c r="H2123" s="86" t="s">
        <v>1289</v>
      </c>
      <c r="I2123"/>
      <c r="J2123" s="4"/>
      <c r="K2123"/>
    </row>
    <row r="2124" spans="1:11" hidden="1">
      <c r="A2124" s="134"/>
      <c r="H2124" s="89" t="s">
        <v>1609</v>
      </c>
      <c r="I2124"/>
      <c r="J2124" s="4"/>
      <c r="K2124"/>
    </row>
    <row r="2125" spans="1:11" hidden="1">
      <c r="A2125" s="134"/>
      <c r="F2125" s="91">
        <v>1</v>
      </c>
      <c r="G2125" s="90" t="s">
        <v>877</v>
      </c>
      <c r="H2125" s="86" t="s">
        <v>1105</v>
      </c>
      <c r="I2125" s="8">
        <f>C202</f>
        <v>75</v>
      </c>
      <c r="J2125" s="2" t="s">
        <v>877</v>
      </c>
      <c r="K2125" s="8">
        <f>(F2125*I2125)</f>
        <v>75</v>
      </c>
    </row>
    <row r="2126" spans="1:11" hidden="1">
      <c r="A2126" s="134"/>
      <c r="F2126" s="86" t="s">
        <v>987</v>
      </c>
      <c r="H2126" s="86" t="s">
        <v>59</v>
      </c>
      <c r="I2126"/>
      <c r="J2126" s="4"/>
      <c r="K2126"/>
    </row>
    <row r="2127" spans="1:11" hidden="1">
      <c r="A2127" s="134"/>
      <c r="F2127" s="86" t="s">
        <v>987</v>
      </c>
      <c r="H2127" s="86" t="s">
        <v>60</v>
      </c>
      <c r="I2127" s="2" t="s">
        <v>450</v>
      </c>
      <c r="J2127" s="4"/>
      <c r="K2127" s="8">
        <v>3</v>
      </c>
    </row>
    <row r="2128" spans="1:11" hidden="1">
      <c r="A2128" s="134"/>
      <c r="I2128"/>
      <c r="J2128" s="4"/>
      <c r="K2128" s="5" t="s">
        <v>1609</v>
      </c>
    </row>
    <row r="2129" spans="1:11" hidden="1">
      <c r="A2129" s="134"/>
      <c r="H2129" s="86" t="s">
        <v>2161</v>
      </c>
      <c r="I2129"/>
      <c r="J2129" s="4"/>
      <c r="K2129" s="8">
        <f>SUM(K2125:K2127)</f>
        <v>78</v>
      </c>
    </row>
    <row r="2130" spans="1:11" hidden="1">
      <c r="A2130" s="134"/>
      <c r="I2130"/>
      <c r="J2130" s="4"/>
      <c r="K2130" s="5" t="s">
        <v>1609</v>
      </c>
    </row>
    <row r="2131" spans="1:11" hidden="1">
      <c r="A2131" s="134"/>
      <c r="I2131"/>
      <c r="J2131" s="4"/>
      <c r="K2131"/>
    </row>
    <row r="2132" spans="1:11" hidden="1">
      <c r="A2132" s="134"/>
      <c r="F2132" s="102" t="s">
        <v>1829</v>
      </c>
      <c r="G2132" s="90" t="s">
        <v>2276</v>
      </c>
      <c r="H2132" s="86" t="s">
        <v>1033</v>
      </c>
      <c r="I2132"/>
      <c r="J2132" s="4"/>
      <c r="K2132"/>
    </row>
    <row r="2133" spans="1:11" hidden="1">
      <c r="A2133" s="134"/>
      <c r="H2133" s="86" t="s">
        <v>1289</v>
      </c>
      <c r="I2133"/>
      <c r="J2133" s="4"/>
      <c r="K2133"/>
    </row>
    <row r="2134" spans="1:11" hidden="1">
      <c r="A2134" s="134"/>
      <c r="H2134" s="89" t="s">
        <v>1609</v>
      </c>
      <c r="I2134"/>
      <c r="J2134" s="4"/>
      <c r="K2134"/>
    </row>
    <row r="2135" spans="1:11" hidden="1">
      <c r="A2135" s="134"/>
      <c r="F2135" s="91">
        <v>1</v>
      </c>
      <c r="G2135" s="90" t="s">
        <v>877</v>
      </c>
      <c r="H2135" s="86" t="s">
        <v>814</v>
      </c>
      <c r="I2135" s="8">
        <f>C207</f>
        <v>100</v>
      </c>
      <c r="J2135" s="2" t="s">
        <v>877</v>
      </c>
      <c r="K2135" s="8">
        <f>(F2135*I2135)</f>
        <v>100</v>
      </c>
    </row>
    <row r="2136" spans="1:11" hidden="1">
      <c r="A2136" s="134"/>
      <c r="F2136" s="86" t="s">
        <v>987</v>
      </c>
      <c r="H2136" s="86" t="s">
        <v>59</v>
      </c>
      <c r="I2136"/>
      <c r="J2136" s="4"/>
      <c r="K2136"/>
    </row>
    <row r="2137" spans="1:11" hidden="1">
      <c r="A2137" s="134"/>
      <c r="F2137" s="86" t="s">
        <v>987</v>
      </c>
      <c r="H2137" s="86" t="s">
        <v>60</v>
      </c>
      <c r="I2137" s="2" t="s">
        <v>450</v>
      </c>
      <c r="J2137" s="4"/>
      <c r="K2137" s="8">
        <v>3</v>
      </c>
    </row>
    <row r="2138" spans="1:11" hidden="1">
      <c r="A2138" s="134"/>
      <c r="I2138"/>
      <c r="J2138" s="4"/>
      <c r="K2138" s="5" t="s">
        <v>1609</v>
      </c>
    </row>
    <row r="2139" spans="1:11" hidden="1">
      <c r="A2139" s="134"/>
      <c r="H2139" s="86" t="s">
        <v>2161</v>
      </c>
      <c r="I2139"/>
      <c r="J2139" s="4"/>
      <c r="K2139" s="8">
        <f>SUM(K2135:K2137)</f>
        <v>103</v>
      </c>
    </row>
    <row r="2140" spans="1:11" hidden="1">
      <c r="A2140" s="134"/>
      <c r="I2140"/>
      <c r="J2140" s="4"/>
      <c r="K2140" s="5" t="s">
        <v>1609</v>
      </c>
    </row>
    <row r="2141" spans="1:11" hidden="1">
      <c r="A2141" s="134"/>
      <c r="F2141" s="102" t="s">
        <v>1562</v>
      </c>
      <c r="H2141" s="86" t="s">
        <v>1563</v>
      </c>
      <c r="I2141"/>
      <c r="J2141" s="4"/>
      <c r="K2141"/>
    </row>
    <row r="2142" spans="1:11" hidden="1">
      <c r="A2142" s="134"/>
      <c r="H2142" s="86" t="s">
        <v>1088</v>
      </c>
      <c r="I2142"/>
      <c r="J2142" s="4"/>
      <c r="K2142"/>
    </row>
    <row r="2143" spans="1:11" hidden="1">
      <c r="A2143" s="134"/>
      <c r="H2143" s="89" t="s">
        <v>1609</v>
      </c>
      <c r="I2143"/>
      <c r="J2143" s="4"/>
      <c r="K2143"/>
    </row>
    <row r="2144" spans="1:11" hidden="1">
      <c r="A2144" s="134"/>
      <c r="F2144" s="91">
        <v>2.5</v>
      </c>
      <c r="G2144" s="90" t="s">
        <v>1089</v>
      </c>
      <c r="H2144" s="86" t="s">
        <v>1563</v>
      </c>
      <c r="I2144" s="8">
        <f>C566</f>
        <v>28.5</v>
      </c>
      <c r="J2144" s="2">
        <v>2.5</v>
      </c>
      <c r="K2144" s="8">
        <f>(F2144*I2144)/F2144</f>
        <v>28.5</v>
      </c>
    </row>
    <row r="2145" spans="1:11" hidden="1">
      <c r="A2145" s="134"/>
      <c r="H2145" s="86" t="s">
        <v>1090</v>
      </c>
      <c r="I2145"/>
      <c r="J2145" s="2" t="s">
        <v>1089</v>
      </c>
      <c r="K2145"/>
    </row>
    <row r="2146" spans="1:11" hidden="1">
      <c r="A2146" s="134"/>
      <c r="G2146" s="90" t="s">
        <v>450</v>
      </c>
      <c r="H2146" s="86" t="s">
        <v>1091</v>
      </c>
      <c r="I2146"/>
      <c r="J2146" s="2" t="s">
        <v>450</v>
      </c>
      <c r="K2146" s="8">
        <v>1.5</v>
      </c>
    </row>
    <row r="2147" spans="1:11" hidden="1">
      <c r="A2147" s="134"/>
      <c r="I2147"/>
      <c r="J2147" s="4"/>
      <c r="K2147" s="5" t="s">
        <v>1609</v>
      </c>
    </row>
    <row r="2148" spans="1:11" hidden="1">
      <c r="A2148" s="134"/>
      <c r="H2148" s="102" t="s">
        <v>224</v>
      </c>
      <c r="I2148"/>
      <c r="J2148" s="4"/>
      <c r="K2148" s="8">
        <f>SUM(K2144:K2146)</f>
        <v>30</v>
      </c>
    </row>
    <row r="2149" spans="1:11" hidden="1">
      <c r="A2149" s="134"/>
      <c r="I2149"/>
      <c r="J2149" s="4"/>
      <c r="K2149" s="5" t="s">
        <v>2080</v>
      </c>
    </row>
    <row r="2150" spans="1:11" hidden="1">
      <c r="A2150" s="134"/>
      <c r="I2150"/>
      <c r="J2150" s="4"/>
      <c r="K2150"/>
    </row>
    <row r="2151" spans="1:11" hidden="1">
      <c r="A2151" s="134"/>
      <c r="F2151" s="102" t="s">
        <v>1092</v>
      </c>
      <c r="G2151" s="90" t="s">
        <v>2276</v>
      </c>
      <c r="H2151" s="86" t="s">
        <v>273</v>
      </c>
      <c r="I2151"/>
      <c r="J2151" s="4"/>
      <c r="K2151"/>
    </row>
    <row r="2152" spans="1:11" hidden="1">
      <c r="A2152" s="134"/>
      <c r="H2152" s="86" t="s">
        <v>64</v>
      </c>
      <c r="I2152"/>
      <c r="J2152" s="4"/>
      <c r="K2152"/>
    </row>
    <row r="2153" spans="1:11" hidden="1">
      <c r="A2153" s="134"/>
      <c r="H2153" s="86" t="s">
        <v>370</v>
      </c>
      <c r="I2153"/>
      <c r="J2153" s="4"/>
      <c r="K2153"/>
    </row>
    <row r="2154" spans="1:11" hidden="1">
      <c r="A2154" s="134"/>
      <c r="H2154" s="86" t="s">
        <v>351</v>
      </c>
      <c r="I2154"/>
      <c r="J2154" s="4"/>
      <c r="K2154"/>
    </row>
    <row r="2155" spans="1:11" hidden="1">
      <c r="A2155" s="134"/>
      <c r="H2155" s="86" t="s">
        <v>432</v>
      </c>
      <c r="I2155"/>
      <c r="J2155" s="4"/>
      <c r="K2155"/>
    </row>
    <row r="2156" spans="1:11" hidden="1">
      <c r="A2156" s="134"/>
      <c r="H2156" s="86" t="s">
        <v>1501</v>
      </c>
      <c r="I2156"/>
      <c r="J2156" s="4"/>
      <c r="K2156"/>
    </row>
    <row r="2157" spans="1:11" hidden="1">
      <c r="A2157" s="134"/>
      <c r="H2157" s="86" t="s">
        <v>1892</v>
      </c>
      <c r="I2157"/>
      <c r="J2157" s="4"/>
      <c r="K2157"/>
    </row>
    <row r="2158" spans="1:11" hidden="1">
      <c r="A2158" s="134"/>
      <c r="H2158" s="86" t="s">
        <v>2228</v>
      </c>
      <c r="I2158"/>
      <c r="J2158" s="4"/>
      <c r="K2158"/>
    </row>
    <row r="2159" spans="1:11" hidden="1">
      <c r="A2159" s="134"/>
      <c r="H2159" s="86" t="s">
        <v>570</v>
      </c>
      <c r="I2159"/>
      <c r="J2159" s="4"/>
      <c r="K2159"/>
    </row>
    <row r="2160" spans="1:11" hidden="1">
      <c r="A2160" s="134"/>
      <c r="H2160" s="86" t="s">
        <v>1293</v>
      </c>
      <c r="I2160"/>
      <c r="J2160" s="4"/>
      <c r="K2160"/>
    </row>
    <row r="2161" spans="1:11" hidden="1">
      <c r="A2161" s="134"/>
      <c r="H2161" s="86" t="s">
        <v>1294</v>
      </c>
      <c r="I2161"/>
      <c r="J2161" s="4"/>
      <c r="K2161"/>
    </row>
    <row r="2162" spans="1:11" hidden="1">
      <c r="A2162" s="134"/>
      <c r="H2162" s="86" t="s">
        <v>1295</v>
      </c>
      <c r="I2162"/>
      <c r="J2162" s="4"/>
      <c r="K2162"/>
    </row>
    <row r="2163" spans="1:11" hidden="1">
      <c r="A2163" s="134"/>
      <c r="H2163" s="89" t="s">
        <v>1609</v>
      </c>
      <c r="I2163" s="5" t="s">
        <v>1609</v>
      </c>
      <c r="J2163" s="4"/>
      <c r="K2163"/>
    </row>
    <row r="2164" spans="1:11" hidden="1">
      <c r="A2164" s="134"/>
      <c r="F2164" s="86" t="s">
        <v>987</v>
      </c>
      <c r="I2164"/>
      <c r="J2164" s="4"/>
      <c r="K2164"/>
    </row>
    <row r="2165" spans="1:11" hidden="1">
      <c r="A2165" s="134"/>
      <c r="F2165" s="122">
        <v>1.7399999999999999E-2</v>
      </c>
      <c r="G2165" s="90" t="s">
        <v>2176</v>
      </c>
      <c r="H2165" s="86" t="s">
        <v>1296</v>
      </c>
      <c r="I2165" s="8">
        <f>C86</f>
        <v>20605</v>
      </c>
      <c r="J2165" s="2" t="s">
        <v>2176</v>
      </c>
      <c r="K2165" s="8">
        <f t="shared" ref="K2165:K2172" si="73">F2165*I2165</f>
        <v>358.53</v>
      </c>
    </row>
    <row r="2166" spans="1:11" hidden="1">
      <c r="A2166" s="134"/>
      <c r="F2166" s="122">
        <v>2.93E-2</v>
      </c>
      <c r="G2166" s="90" t="s">
        <v>2176</v>
      </c>
      <c r="H2166" s="86" t="s">
        <v>1297</v>
      </c>
      <c r="I2166" s="8">
        <f>C87</f>
        <v>23685</v>
      </c>
      <c r="J2166" s="2" t="s">
        <v>2176</v>
      </c>
      <c r="K2166" s="8">
        <f t="shared" si="73"/>
        <v>693.97</v>
      </c>
    </row>
    <row r="2167" spans="1:11" hidden="1">
      <c r="A2167" s="134"/>
      <c r="F2167" s="122">
        <v>1.093</v>
      </c>
      <c r="G2167" s="90" t="s">
        <v>2308</v>
      </c>
      <c r="H2167" s="86" t="s">
        <v>1298</v>
      </c>
      <c r="I2167" s="36">
        <f>C198</f>
        <v>212</v>
      </c>
      <c r="J2167" s="2" t="s">
        <v>2308</v>
      </c>
      <c r="K2167" s="8">
        <f t="shared" si="73"/>
        <v>231.72</v>
      </c>
    </row>
    <row r="2168" spans="1:11" hidden="1">
      <c r="A2168" s="134"/>
      <c r="F2168" s="91">
        <v>6</v>
      </c>
      <c r="G2168" s="90" t="s">
        <v>564</v>
      </c>
      <c r="H2168" s="86" t="s">
        <v>2404</v>
      </c>
      <c r="I2168" s="8">
        <f>C296</f>
        <v>3.25</v>
      </c>
      <c r="J2168" s="2" t="s">
        <v>1418</v>
      </c>
      <c r="K2168" s="8">
        <f t="shared" si="73"/>
        <v>19.5</v>
      </c>
    </row>
    <row r="2169" spans="1:11" hidden="1">
      <c r="A2169" s="134"/>
      <c r="F2169" s="91">
        <v>1</v>
      </c>
      <c r="G2169" s="90" t="s">
        <v>564</v>
      </c>
      <c r="H2169" s="86" t="s">
        <v>2359</v>
      </c>
      <c r="I2169" s="8">
        <f>C286</f>
        <v>80</v>
      </c>
      <c r="J2169" s="2" t="s">
        <v>1418</v>
      </c>
      <c r="K2169" s="8">
        <f t="shared" si="73"/>
        <v>80</v>
      </c>
    </row>
    <row r="2170" spans="1:11" hidden="1">
      <c r="A2170" s="134"/>
      <c r="F2170" s="91">
        <v>2</v>
      </c>
      <c r="G2170" s="90" t="s">
        <v>564</v>
      </c>
      <c r="H2170" s="86" t="s">
        <v>1774</v>
      </c>
      <c r="I2170" s="8">
        <f>C307</f>
        <v>0.9</v>
      </c>
      <c r="J2170" s="2" t="s">
        <v>1418</v>
      </c>
      <c r="K2170" s="8">
        <f t="shared" si="73"/>
        <v>1.8</v>
      </c>
    </row>
    <row r="2171" spans="1:11" hidden="1">
      <c r="A2171" s="134"/>
      <c r="F2171" s="91">
        <v>6</v>
      </c>
      <c r="G2171" s="90" t="s">
        <v>564</v>
      </c>
      <c r="H2171" s="86" t="s">
        <v>141</v>
      </c>
      <c r="I2171" s="8">
        <v>8</v>
      </c>
      <c r="J2171" s="2" t="s">
        <v>1418</v>
      </c>
      <c r="K2171" s="8">
        <f t="shared" si="73"/>
        <v>48</v>
      </c>
    </row>
    <row r="2172" spans="1:11" hidden="1">
      <c r="A2172" s="134"/>
      <c r="F2172" s="111">
        <v>1.62</v>
      </c>
      <c r="G2172" s="90" t="s">
        <v>2308</v>
      </c>
      <c r="H2172" s="86" t="s">
        <v>142</v>
      </c>
      <c r="I2172" s="8">
        <f>D33</f>
        <v>240</v>
      </c>
      <c r="J2172" s="2" t="s">
        <v>2308</v>
      </c>
      <c r="K2172" s="8">
        <f t="shared" si="73"/>
        <v>388.8</v>
      </c>
    </row>
    <row r="2173" spans="1:11" hidden="1">
      <c r="A2173" s="134"/>
      <c r="G2173" s="90" t="s">
        <v>450</v>
      </c>
      <c r="H2173" s="86" t="s">
        <v>510</v>
      </c>
      <c r="I2173"/>
      <c r="J2173" s="2" t="s">
        <v>450</v>
      </c>
      <c r="K2173" s="8">
        <v>0.25</v>
      </c>
    </row>
    <row r="2174" spans="1:11" hidden="1">
      <c r="A2174" s="134"/>
      <c r="I2174"/>
      <c r="J2174" s="4"/>
      <c r="K2174" s="5" t="s">
        <v>1609</v>
      </c>
    </row>
    <row r="2175" spans="1:11" hidden="1">
      <c r="A2175" s="134"/>
      <c r="H2175" s="102" t="s">
        <v>143</v>
      </c>
      <c r="I2175"/>
      <c r="J2175" s="4"/>
      <c r="K2175" s="8">
        <f>SUM(K2165:K2173)</f>
        <v>1822.57</v>
      </c>
    </row>
    <row r="2176" spans="1:11" hidden="1">
      <c r="A2176" s="134"/>
      <c r="I2176"/>
      <c r="J2176" s="4"/>
      <c r="K2176" s="5" t="s">
        <v>1609</v>
      </c>
    </row>
    <row r="2177" spans="1:11" hidden="1">
      <c r="A2177" s="134"/>
      <c r="I2177"/>
      <c r="J2177" s="4"/>
      <c r="K2177"/>
    </row>
    <row r="2178" spans="1:11" hidden="1">
      <c r="A2178" s="134"/>
      <c r="H2178" s="102" t="s">
        <v>144</v>
      </c>
      <c r="I2178" s="1" t="s">
        <v>987</v>
      </c>
      <c r="J2178" s="4"/>
      <c r="K2178" s="8">
        <f>K2175/1.62</f>
        <v>1125.04</v>
      </c>
    </row>
    <row r="2179" spans="1:11" hidden="1">
      <c r="A2179" s="134"/>
      <c r="F2179" s="86" t="s">
        <v>987</v>
      </c>
      <c r="G2179" s="90" t="s">
        <v>987</v>
      </c>
      <c r="H2179" s="86" t="s">
        <v>987</v>
      </c>
      <c r="I2179" s="1" t="s">
        <v>987</v>
      </c>
      <c r="J2179" s="2" t="s">
        <v>987</v>
      </c>
      <c r="K2179"/>
    </row>
    <row r="2180" spans="1:11" hidden="1">
      <c r="A2180" s="134"/>
      <c r="I2180"/>
      <c r="J2180" s="4"/>
      <c r="K2180"/>
    </row>
    <row r="2181" spans="1:11" hidden="1">
      <c r="A2181" s="134"/>
      <c r="G2181" s="90" t="s">
        <v>1561</v>
      </c>
      <c r="H2181" s="86" t="s">
        <v>1413</v>
      </c>
      <c r="I2181"/>
      <c r="J2181" s="4"/>
      <c r="K2181"/>
    </row>
    <row r="2182" spans="1:11" hidden="1">
      <c r="A2182" s="134"/>
      <c r="H2182" s="86" t="s">
        <v>806</v>
      </c>
      <c r="I2182"/>
      <c r="J2182" s="4"/>
      <c r="K2182"/>
    </row>
    <row r="2183" spans="1:11" hidden="1">
      <c r="A2183" s="134"/>
      <c r="F2183" s="86" t="s">
        <v>987</v>
      </c>
      <c r="H2183" s="86" t="s">
        <v>807</v>
      </c>
      <c r="I2183"/>
      <c r="J2183" s="4"/>
      <c r="K2183"/>
    </row>
    <row r="2184" spans="1:11" hidden="1">
      <c r="A2184" s="134"/>
      <c r="F2184" s="102" t="s">
        <v>808</v>
      </c>
      <c r="H2184" s="86" t="s">
        <v>2203</v>
      </c>
      <c r="I2184"/>
      <c r="J2184" s="4"/>
      <c r="K2184" s="8">
        <f>K2860</f>
        <v>1499.19</v>
      </c>
    </row>
    <row r="2185" spans="1:11" hidden="1">
      <c r="A2185" s="134"/>
      <c r="F2185" s="102" t="s">
        <v>809</v>
      </c>
      <c r="H2185" s="102" t="s">
        <v>783</v>
      </c>
      <c r="I2185"/>
      <c r="J2185" s="4"/>
      <c r="K2185" s="8">
        <f>K2884</f>
        <v>1503.34</v>
      </c>
    </row>
    <row r="2186" spans="1:11" hidden="1">
      <c r="A2186" s="134"/>
      <c r="F2186" s="102" t="s">
        <v>810</v>
      </c>
      <c r="H2186" s="86" t="s">
        <v>1286</v>
      </c>
      <c r="I2186"/>
      <c r="J2186" s="4"/>
      <c r="K2186" s="8">
        <f>K2899</f>
        <v>1538.57</v>
      </c>
    </row>
    <row r="2187" spans="1:11" hidden="1">
      <c r="A2187" s="134"/>
      <c r="F2187" s="108">
        <v>65</v>
      </c>
      <c r="H2187" s="86" t="s">
        <v>785</v>
      </c>
      <c r="I2187"/>
      <c r="J2187" s="4"/>
      <c r="K2187" s="8">
        <f>K2921</f>
        <v>1565.4</v>
      </c>
    </row>
    <row r="2188" spans="1:11" hidden="1">
      <c r="A2188" s="134"/>
      <c r="F2188" s="108">
        <v>66</v>
      </c>
      <c r="H2188" s="86" t="s">
        <v>618</v>
      </c>
      <c r="I2188"/>
      <c r="J2188" s="4"/>
      <c r="K2188" s="8">
        <f>K2945</f>
        <v>2802.09</v>
      </c>
    </row>
    <row r="2189" spans="1:11" hidden="1">
      <c r="A2189" s="134"/>
      <c r="F2189" s="108">
        <v>67</v>
      </c>
      <c r="H2189" s="86" t="s">
        <v>574</v>
      </c>
      <c r="I2189"/>
      <c r="J2189" s="4"/>
      <c r="K2189" s="8">
        <f>K2977</f>
        <v>764.91</v>
      </c>
    </row>
    <row r="2190" spans="1:11" hidden="1">
      <c r="A2190" s="134"/>
      <c r="F2190" s="108">
        <v>68</v>
      </c>
      <c r="H2190" s="86" t="s">
        <v>847</v>
      </c>
      <c r="I2190"/>
      <c r="J2190" s="4"/>
      <c r="K2190" s="8">
        <f>K2965</f>
        <v>1041.2</v>
      </c>
    </row>
    <row r="2191" spans="1:11" hidden="1">
      <c r="A2191" s="134"/>
      <c r="F2191" s="108">
        <v>69</v>
      </c>
      <c r="H2191" s="86" t="s">
        <v>811</v>
      </c>
      <c r="I2191"/>
      <c r="J2191" s="4"/>
      <c r="K2191" s="8">
        <f>K2988</f>
        <v>138.69999999999999</v>
      </c>
    </row>
    <row r="2192" spans="1:11" hidden="1">
      <c r="A2192" s="134"/>
      <c r="F2192" s="108" t="s">
        <v>812</v>
      </c>
      <c r="H2192" s="86" t="s">
        <v>499</v>
      </c>
      <c r="I2192"/>
      <c r="J2192" s="4"/>
      <c r="K2192" s="8">
        <f>K3135</f>
        <v>486.5</v>
      </c>
    </row>
    <row r="2193" spans="1:11" hidden="1">
      <c r="A2193" s="134"/>
      <c r="F2193" s="108" t="s">
        <v>294</v>
      </c>
      <c r="H2193" s="86" t="s">
        <v>2360</v>
      </c>
      <c r="I2193"/>
      <c r="J2193" s="4"/>
      <c r="K2193" s="8"/>
    </row>
    <row r="2194" spans="1:11" hidden="1">
      <c r="A2194" s="134"/>
      <c r="F2194" s="108" t="s">
        <v>1967</v>
      </c>
      <c r="H2194" s="86" t="s">
        <v>1524</v>
      </c>
      <c r="I2194"/>
      <c r="J2194" s="4"/>
      <c r="K2194" s="8">
        <v>10</v>
      </c>
    </row>
    <row r="2195" spans="1:11" hidden="1">
      <c r="A2195" s="134"/>
      <c r="F2195" s="108" t="s">
        <v>1968</v>
      </c>
      <c r="H2195" s="86" t="s">
        <v>586</v>
      </c>
      <c r="I2195"/>
      <c r="J2195" s="4"/>
      <c r="K2195" s="8">
        <v>8</v>
      </c>
    </row>
    <row r="2196" spans="1:11" hidden="1">
      <c r="A2196" s="134"/>
      <c r="F2196" s="108">
        <v>71</v>
      </c>
      <c r="H2196" s="86" t="s">
        <v>1174</v>
      </c>
      <c r="I2196"/>
      <c r="J2196" s="4"/>
      <c r="K2196" s="8">
        <f>K3154</f>
        <v>881</v>
      </c>
    </row>
    <row r="2197" spans="1:11" hidden="1">
      <c r="A2197" s="134"/>
      <c r="F2197" s="108">
        <v>72</v>
      </c>
      <c r="H2197" s="86" t="s">
        <v>813</v>
      </c>
      <c r="I2197"/>
      <c r="J2197" s="4"/>
      <c r="K2197" s="8">
        <v>31</v>
      </c>
    </row>
    <row r="2198" spans="1:11" hidden="1">
      <c r="A2198" s="134"/>
      <c r="F2198" s="108" t="s">
        <v>587</v>
      </c>
      <c r="H2198" s="86" t="s">
        <v>275</v>
      </c>
      <c r="I2198"/>
      <c r="J2198" s="4"/>
      <c r="K2198" s="8">
        <f>K3233</f>
        <v>4116.8500000000004</v>
      </c>
    </row>
    <row r="2199" spans="1:11" hidden="1">
      <c r="A2199" s="134"/>
      <c r="F2199" s="108" t="s">
        <v>588</v>
      </c>
      <c r="H2199" s="86" t="s">
        <v>589</v>
      </c>
      <c r="I2199"/>
      <c r="J2199" s="4"/>
      <c r="K2199" s="8">
        <f>K3221</f>
        <v>3342.85</v>
      </c>
    </row>
    <row r="2200" spans="1:11" hidden="1">
      <c r="A2200" s="134"/>
      <c r="F2200" s="108">
        <v>74</v>
      </c>
      <c r="H2200" s="86" t="s">
        <v>164</v>
      </c>
      <c r="I2200"/>
      <c r="J2200" s="4"/>
      <c r="K2200" s="8">
        <f>K3277</f>
        <v>521.46</v>
      </c>
    </row>
    <row r="2201" spans="1:11" hidden="1">
      <c r="A2201" s="134"/>
      <c r="F2201" s="108" t="s">
        <v>638</v>
      </c>
      <c r="H2201" s="86" t="s">
        <v>1402</v>
      </c>
      <c r="I2201"/>
      <c r="J2201" s="4"/>
      <c r="K2201" s="8">
        <f>K3767</f>
        <v>1437.4</v>
      </c>
    </row>
    <row r="2202" spans="1:11" hidden="1">
      <c r="A2202" s="134"/>
      <c r="F2202" s="108" t="s">
        <v>639</v>
      </c>
      <c r="H2202" s="86" t="s">
        <v>133</v>
      </c>
      <c r="I2202"/>
      <c r="J2202" s="4"/>
      <c r="K2202" s="8">
        <v>0</v>
      </c>
    </row>
    <row r="2203" spans="1:11" hidden="1">
      <c r="A2203" s="134"/>
      <c r="F2203" s="108">
        <v>112</v>
      </c>
      <c r="H2203" s="86" t="s">
        <v>754</v>
      </c>
      <c r="I2203"/>
      <c r="J2203" s="4"/>
      <c r="K2203" s="8">
        <f>K3744</f>
        <v>2110.5</v>
      </c>
    </row>
    <row r="2204" spans="1:11" hidden="1">
      <c r="A2204" s="134"/>
      <c r="F2204" s="108">
        <v>76</v>
      </c>
      <c r="H2204" s="86" t="s">
        <v>1956</v>
      </c>
      <c r="I2204"/>
      <c r="J2204" s="4"/>
      <c r="K2204" s="8">
        <f>K3294</f>
        <v>23.79</v>
      </c>
    </row>
    <row r="2205" spans="1:11" hidden="1">
      <c r="A2205" s="134"/>
      <c r="F2205" s="108">
        <v>77</v>
      </c>
      <c r="H2205" s="86" t="s">
        <v>2293</v>
      </c>
      <c r="I2205"/>
      <c r="J2205" s="4"/>
      <c r="K2205" s="8">
        <f>K3080</f>
        <v>192.58</v>
      </c>
    </row>
    <row r="2206" spans="1:11" ht="31.5" hidden="1">
      <c r="A2206" s="134"/>
      <c r="F2206" s="146">
        <v>77.099999999999994</v>
      </c>
      <c r="H2206" s="116" t="s">
        <v>1832</v>
      </c>
      <c r="I2206"/>
      <c r="J2206" s="4"/>
      <c r="K2206" s="147">
        <f>K3105</f>
        <v>246.68</v>
      </c>
    </row>
    <row r="2207" spans="1:11" hidden="1">
      <c r="A2207" s="134"/>
      <c r="F2207" s="112">
        <v>77.2</v>
      </c>
      <c r="H2207" s="86" t="s">
        <v>1833</v>
      </c>
      <c r="I2207"/>
      <c r="J2207" s="4"/>
      <c r="K2207" s="8">
        <v>500</v>
      </c>
    </row>
    <row r="2208" spans="1:11" hidden="1">
      <c r="A2208" s="134"/>
      <c r="F2208" s="112">
        <v>77.3</v>
      </c>
      <c r="H2208" s="86" t="s">
        <v>1523</v>
      </c>
      <c r="I2208"/>
      <c r="J2208" s="4"/>
      <c r="K2208" s="8">
        <f>K3712</f>
        <v>76.67</v>
      </c>
    </row>
    <row r="2209" spans="1:11" hidden="1">
      <c r="A2209" s="134"/>
      <c r="F2209" s="108">
        <v>78</v>
      </c>
      <c r="H2209" s="86" t="s">
        <v>81</v>
      </c>
      <c r="I2209"/>
      <c r="J2209" s="4"/>
      <c r="K2209" s="8">
        <f>K3319</f>
        <v>2723</v>
      </c>
    </row>
    <row r="2210" spans="1:11" hidden="1">
      <c r="A2210" s="134"/>
      <c r="F2210" s="108">
        <v>80</v>
      </c>
      <c r="H2210" s="86" t="s">
        <v>2143</v>
      </c>
      <c r="I2210"/>
      <c r="J2210" s="4"/>
      <c r="K2210" s="8">
        <f>K3441</f>
        <v>770.34</v>
      </c>
    </row>
    <row r="2211" spans="1:11" hidden="1">
      <c r="A2211" s="134"/>
      <c r="F2211" s="108">
        <v>81</v>
      </c>
      <c r="H2211" s="86" t="s">
        <v>93</v>
      </c>
      <c r="I2211"/>
      <c r="J2211" s="4"/>
      <c r="K2211" s="8">
        <f>K2178</f>
        <v>1125.04</v>
      </c>
    </row>
    <row r="2212" spans="1:11" hidden="1">
      <c r="A2212" s="134"/>
      <c r="F2212" s="108">
        <v>82</v>
      </c>
      <c r="H2212" s="86" t="s">
        <v>1571</v>
      </c>
      <c r="I2212"/>
      <c r="J2212" s="4"/>
      <c r="K2212" s="8">
        <f>K3638</f>
        <v>2774.3</v>
      </c>
    </row>
    <row r="2213" spans="1:11" hidden="1">
      <c r="A2213" s="134"/>
      <c r="F2213" s="108">
        <v>87</v>
      </c>
      <c r="H2213" s="86" t="s">
        <v>1787</v>
      </c>
      <c r="I2213"/>
      <c r="J2213" s="4"/>
      <c r="K2213" s="8">
        <f>K3458</f>
        <v>2850.6</v>
      </c>
    </row>
    <row r="2214" spans="1:11" hidden="1">
      <c r="A2214" s="134"/>
      <c r="I2214"/>
      <c r="J2214" s="4"/>
      <c r="K2214"/>
    </row>
    <row r="2215" spans="1:11" hidden="1">
      <c r="A2215" s="134"/>
      <c r="I2215"/>
      <c r="J2215" s="4"/>
      <c r="K2215"/>
    </row>
    <row r="2216" spans="1:11" ht="31.5" hidden="1">
      <c r="A2216" s="134"/>
      <c r="F2216" s="148">
        <v>77.400000000000006</v>
      </c>
      <c r="H2216" s="119" t="s">
        <v>1747</v>
      </c>
      <c r="I2216"/>
      <c r="J2216" s="4"/>
      <c r="K2216"/>
    </row>
    <row r="2217" spans="1:11" hidden="1">
      <c r="A2217" s="134"/>
      <c r="H2217" s="86" t="s">
        <v>806</v>
      </c>
      <c r="I2217"/>
      <c r="J2217" s="4"/>
      <c r="K2217"/>
    </row>
    <row r="2218" spans="1:11" hidden="1">
      <c r="A2218" s="134"/>
      <c r="F2218" s="87">
        <v>90</v>
      </c>
      <c r="G2218" s="85" t="s">
        <v>372</v>
      </c>
      <c r="H2218" s="142" t="s">
        <v>2239</v>
      </c>
      <c r="I2218">
        <v>16.95</v>
      </c>
      <c r="J2218" s="4" t="s">
        <v>372</v>
      </c>
      <c r="K2218">
        <f>I2218*F2218</f>
        <v>1525.5</v>
      </c>
    </row>
    <row r="2219" spans="1:11" hidden="1">
      <c r="A2219" s="134"/>
      <c r="F2219" s="87">
        <v>0.15</v>
      </c>
      <c r="G2219" s="85" t="s">
        <v>530</v>
      </c>
      <c r="H2219" s="87" t="s">
        <v>871</v>
      </c>
      <c r="I2219">
        <f>AC31</f>
        <v>3800</v>
      </c>
      <c r="J2219" s="4" t="s">
        <v>530</v>
      </c>
      <c r="K2219">
        <f>I2219*F2219</f>
        <v>570</v>
      </c>
    </row>
    <row r="2220" spans="1:11" hidden="1">
      <c r="A2220" s="134"/>
      <c r="F2220" s="87">
        <v>1</v>
      </c>
      <c r="G2220" s="85" t="s">
        <v>778</v>
      </c>
      <c r="H2220" s="87" t="s">
        <v>371</v>
      </c>
      <c r="I2220">
        <f>C780</f>
        <v>160</v>
      </c>
      <c r="J2220" s="4" t="s">
        <v>778</v>
      </c>
      <c r="K2220">
        <f>I2220*F2220</f>
        <v>160</v>
      </c>
    </row>
    <row r="2221" spans="1:11" hidden="1">
      <c r="A2221" s="134"/>
      <c r="F2221" s="87">
        <v>2</v>
      </c>
      <c r="G2221" s="85" t="s">
        <v>778</v>
      </c>
      <c r="H2221" s="87" t="s">
        <v>1737</v>
      </c>
      <c r="I2221">
        <f>AE10</f>
        <v>135</v>
      </c>
      <c r="J2221" s="4" t="s">
        <v>778</v>
      </c>
      <c r="K2221">
        <f>I2221*F2221</f>
        <v>270</v>
      </c>
    </row>
    <row r="2222" spans="1:11" hidden="1">
      <c r="A2222" s="134"/>
      <c r="F2222" s="87">
        <v>4</v>
      </c>
      <c r="G2222" s="85" t="s">
        <v>778</v>
      </c>
      <c r="H2222" s="87" t="s">
        <v>1304</v>
      </c>
      <c r="I2222">
        <f>C781</f>
        <v>110</v>
      </c>
      <c r="J2222" s="4" t="s">
        <v>778</v>
      </c>
      <c r="K2222">
        <f>I2222*F2222</f>
        <v>440</v>
      </c>
    </row>
    <row r="2223" spans="1:11" hidden="1">
      <c r="A2223" s="134"/>
      <c r="H2223" s="87" t="s">
        <v>373</v>
      </c>
      <c r="I2223"/>
      <c r="J2223" s="4"/>
      <c r="K2223">
        <v>8.5</v>
      </c>
    </row>
    <row r="2224" spans="1:11" hidden="1">
      <c r="A2224" s="134"/>
      <c r="I2224"/>
      <c r="J2224" s="4"/>
      <c r="K2224" s="5" t="s">
        <v>1609</v>
      </c>
    </row>
    <row r="2225" spans="1:11" hidden="1">
      <c r="A2225" s="134"/>
      <c r="H2225" s="86" t="s">
        <v>2292</v>
      </c>
      <c r="I2225"/>
      <c r="J2225" s="4"/>
      <c r="K2225" s="8">
        <f>SUM(K2218:K2223)</f>
        <v>2974</v>
      </c>
    </row>
    <row r="2226" spans="1:11" hidden="1">
      <c r="A2226" s="134"/>
      <c r="I2226"/>
      <c r="J2226" s="4"/>
      <c r="K2226" s="5" t="s">
        <v>1609</v>
      </c>
    </row>
    <row r="2227" spans="1:11" hidden="1">
      <c r="A2227" s="134"/>
      <c r="H2227" s="86" t="s">
        <v>1141</v>
      </c>
      <c r="I2227"/>
      <c r="J2227" s="4"/>
      <c r="K2227" s="8">
        <f>(K2225/90)</f>
        <v>33.04</v>
      </c>
    </row>
    <row r="2228" spans="1:11" hidden="1">
      <c r="A2228" s="134"/>
      <c r="I2228"/>
      <c r="J2228" s="4"/>
      <c r="K2228" s="5" t="s">
        <v>2080</v>
      </c>
    </row>
    <row r="2229" spans="1:11" hidden="1">
      <c r="A2229" s="134"/>
      <c r="I2229"/>
      <c r="J2229" s="4"/>
      <c r="K2229"/>
    </row>
    <row r="2230" spans="1:11" hidden="1">
      <c r="A2230" s="134"/>
      <c r="F2230" s="123">
        <v>78.099999999999994</v>
      </c>
      <c r="H2230" s="86" t="s">
        <v>1583</v>
      </c>
      <c r="I2230"/>
      <c r="J2230" s="4"/>
      <c r="K2230"/>
    </row>
    <row r="2231" spans="1:11" hidden="1">
      <c r="A2231" s="134"/>
      <c r="H2231" s="86" t="s">
        <v>806</v>
      </c>
      <c r="I2231"/>
      <c r="J2231" s="4"/>
      <c r="K2231"/>
    </row>
    <row r="2232" spans="1:11" hidden="1">
      <c r="A2232" s="134"/>
      <c r="F2232" s="87">
        <v>2.5</v>
      </c>
      <c r="G2232" s="85" t="s">
        <v>778</v>
      </c>
      <c r="H2232" s="87" t="s">
        <v>1584</v>
      </c>
      <c r="I2232">
        <v>120</v>
      </c>
      <c r="J2232" s="4" t="s">
        <v>778</v>
      </c>
      <c r="K2232">
        <f t="shared" ref="K2232:K2237" si="74">I2232*F2232</f>
        <v>300</v>
      </c>
    </row>
    <row r="2233" spans="1:11" hidden="1">
      <c r="A2233" s="134"/>
      <c r="F2233" s="87">
        <v>20</v>
      </c>
      <c r="G2233" s="85" t="s">
        <v>359</v>
      </c>
      <c r="H2233" s="87" t="s">
        <v>1585</v>
      </c>
      <c r="I2233">
        <v>4</v>
      </c>
      <c r="J2233" s="4" t="s">
        <v>359</v>
      </c>
      <c r="K2233">
        <f t="shared" si="74"/>
        <v>80</v>
      </c>
    </row>
    <row r="2234" spans="1:11" hidden="1">
      <c r="A2234" s="134"/>
      <c r="F2234" s="87">
        <v>9</v>
      </c>
      <c r="G2234" s="85" t="s">
        <v>359</v>
      </c>
      <c r="H2234" s="87" t="s">
        <v>1586</v>
      </c>
      <c r="I2234">
        <v>4</v>
      </c>
      <c r="J2234" s="4" t="s">
        <v>359</v>
      </c>
      <c r="K2234">
        <f t="shared" si="74"/>
        <v>36</v>
      </c>
    </row>
    <row r="2235" spans="1:11" hidden="1">
      <c r="A2235" s="134"/>
      <c r="F2235" s="87">
        <v>0.5</v>
      </c>
      <c r="G2235" s="85" t="s">
        <v>359</v>
      </c>
      <c r="H2235" s="87" t="s">
        <v>1302</v>
      </c>
      <c r="I2235">
        <v>30</v>
      </c>
      <c r="J2235" s="4" t="s">
        <v>359</v>
      </c>
      <c r="K2235">
        <f t="shared" si="74"/>
        <v>15</v>
      </c>
    </row>
    <row r="2236" spans="1:11" hidden="1">
      <c r="A2236" s="134"/>
      <c r="F2236" s="87">
        <v>0.5</v>
      </c>
      <c r="G2236" s="85" t="s">
        <v>778</v>
      </c>
      <c r="H2236" s="87" t="s">
        <v>1303</v>
      </c>
      <c r="I2236">
        <f>C780</f>
        <v>160</v>
      </c>
      <c r="J2236" s="4" t="s">
        <v>778</v>
      </c>
      <c r="K2236">
        <f t="shared" si="74"/>
        <v>80</v>
      </c>
    </row>
    <row r="2237" spans="1:11" hidden="1">
      <c r="A2237" s="134"/>
      <c r="F2237" s="87">
        <v>1</v>
      </c>
      <c r="G2237" s="85" t="s">
        <v>778</v>
      </c>
      <c r="H2237" s="87" t="s">
        <v>1304</v>
      </c>
      <c r="I2237">
        <f>C781</f>
        <v>110</v>
      </c>
      <c r="J2237" s="4" t="s">
        <v>778</v>
      </c>
      <c r="K2237">
        <f t="shared" si="74"/>
        <v>110</v>
      </c>
    </row>
    <row r="2238" spans="1:11" ht="31.5" hidden="1">
      <c r="A2238" s="134"/>
      <c r="G2238" s="85" t="s">
        <v>663</v>
      </c>
      <c r="H2238" s="142" t="s">
        <v>1305</v>
      </c>
      <c r="I2238"/>
      <c r="J2238" s="4" t="s">
        <v>663</v>
      </c>
      <c r="K2238">
        <v>165</v>
      </c>
    </row>
    <row r="2239" spans="1:11" hidden="1">
      <c r="A2239" s="134"/>
      <c r="G2239" s="85" t="s">
        <v>663</v>
      </c>
      <c r="H2239" s="87" t="s">
        <v>1228</v>
      </c>
      <c r="I2239"/>
      <c r="J2239" s="4" t="s">
        <v>663</v>
      </c>
      <c r="K2239">
        <v>9.5</v>
      </c>
    </row>
    <row r="2240" spans="1:11" hidden="1">
      <c r="A2240" s="134"/>
      <c r="I2240"/>
      <c r="J2240" s="4"/>
      <c r="K2240" s="5" t="s">
        <v>1609</v>
      </c>
    </row>
    <row r="2241" spans="1:11" hidden="1">
      <c r="A2241" s="134"/>
      <c r="H2241" s="87" t="s">
        <v>283</v>
      </c>
      <c r="I2241"/>
      <c r="J2241" s="4"/>
      <c r="K2241" s="8">
        <f>SUM(K2232:K2239)</f>
        <v>795.5</v>
      </c>
    </row>
    <row r="2242" spans="1:11" hidden="1">
      <c r="A2242" s="134"/>
      <c r="I2242"/>
      <c r="J2242" s="4"/>
      <c r="K2242" s="5" t="s">
        <v>1609</v>
      </c>
    </row>
    <row r="2243" spans="1:11" hidden="1">
      <c r="A2243" s="134"/>
    </row>
    <row r="2244" spans="1:11" ht="21.75" hidden="1">
      <c r="A2244" s="134"/>
      <c r="E2244" s="149"/>
      <c r="F2244" s="149"/>
      <c r="G2244" s="150"/>
      <c r="H2244" s="151" t="s">
        <v>2945</v>
      </c>
      <c r="I2244" s="149"/>
      <c r="J2244" s="152"/>
      <c r="K2244" s="153"/>
    </row>
    <row r="2245" spans="1:11" ht="17.25" hidden="1">
      <c r="A2245" s="134"/>
      <c r="E2245" s="149"/>
      <c r="F2245" s="150"/>
      <c r="G2245" s="149"/>
      <c r="H2245" s="149"/>
      <c r="I2245" s="152"/>
      <c r="J2245" s="149"/>
      <c r="K2245" s="149"/>
    </row>
    <row r="2246" spans="1:11" ht="17.25" hidden="1">
      <c r="A2246" s="134"/>
      <c r="E2246" s="149"/>
      <c r="F2246" s="150">
        <v>53.3</v>
      </c>
      <c r="G2246" s="149"/>
      <c r="H2246" s="149" t="s">
        <v>2946</v>
      </c>
      <c r="I2246" s="152"/>
      <c r="J2246" s="149"/>
      <c r="K2246" s="149">
        <v>957</v>
      </c>
    </row>
    <row r="2247" spans="1:11" ht="17.25" hidden="1">
      <c r="A2247" s="134"/>
      <c r="E2247" s="149"/>
      <c r="F2247" s="150"/>
      <c r="G2247" s="149"/>
      <c r="H2247" s="149"/>
      <c r="I2247" s="152"/>
      <c r="J2247" s="149"/>
      <c r="K2247" s="149"/>
    </row>
    <row r="2248" spans="1:11" ht="17.25" hidden="1">
      <c r="A2248" s="134"/>
      <c r="E2248" s="149"/>
      <c r="F2248" s="154" t="s">
        <v>2947</v>
      </c>
      <c r="G2248" s="149"/>
      <c r="H2248" s="155" t="s">
        <v>2024</v>
      </c>
      <c r="I2248" s="152"/>
      <c r="J2248" s="149"/>
      <c r="K2248" s="149"/>
    </row>
    <row r="2249" spans="1:11" ht="17.25" hidden="1">
      <c r="A2249" s="134"/>
      <c r="E2249" s="149"/>
      <c r="F2249" s="150"/>
      <c r="G2249" s="149"/>
      <c r="H2249" s="156" t="s">
        <v>1609</v>
      </c>
      <c r="I2249" s="156" t="s">
        <v>1609</v>
      </c>
      <c r="J2249" s="156" t="s">
        <v>1609</v>
      </c>
      <c r="K2249" s="149"/>
    </row>
    <row r="2250" spans="1:11" ht="17.25" hidden="1">
      <c r="A2250" s="134"/>
      <c r="E2250" s="149"/>
      <c r="F2250" s="150"/>
      <c r="G2250" s="149"/>
      <c r="H2250" s="149"/>
      <c r="I2250" s="152"/>
      <c r="J2250" s="149"/>
      <c r="K2250" s="149"/>
    </row>
    <row r="2251" spans="1:11" ht="17.25" hidden="1">
      <c r="A2251" s="134"/>
      <c r="E2251" s="149"/>
      <c r="F2251" s="150"/>
      <c r="G2251" s="149"/>
      <c r="H2251" s="149" t="s">
        <v>2025</v>
      </c>
      <c r="I2251" s="152"/>
      <c r="J2251" s="149"/>
      <c r="K2251" s="149"/>
    </row>
    <row r="2252" spans="1:11" ht="17.25" hidden="1">
      <c r="A2252" s="134"/>
      <c r="E2252" s="149"/>
      <c r="F2252" s="150"/>
      <c r="G2252" s="149"/>
      <c r="H2252" s="149" t="s">
        <v>2026</v>
      </c>
      <c r="I2252" s="152"/>
      <c r="J2252" s="149"/>
      <c r="K2252" s="149"/>
    </row>
    <row r="2253" spans="1:11" ht="17.25" hidden="1">
      <c r="A2253" s="134"/>
      <c r="E2253" s="149"/>
      <c r="F2253" s="150"/>
      <c r="G2253" s="149"/>
      <c r="H2253" s="149" t="s">
        <v>455</v>
      </c>
      <c r="I2253" s="152"/>
      <c r="J2253" s="149"/>
      <c r="K2253" s="149"/>
    </row>
    <row r="2254" spans="1:11" ht="17.25" hidden="1">
      <c r="A2254" s="134"/>
      <c r="E2254" s="149"/>
      <c r="F2254" s="150"/>
      <c r="G2254" s="149"/>
      <c r="H2254" s="149" t="s">
        <v>456</v>
      </c>
      <c r="I2254" s="152"/>
      <c r="J2254" s="149"/>
      <c r="K2254" s="149"/>
    </row>
    <row r="2255" spans="1:11" ht="17.25" hidden="1">
      <c r="A2255" s="134"/>
      <c r="E2255" s="149"/>
      <c r="F2255" s="150"/>
      <c r="G2255" s="149"/>
      <c r="H2255" s="149" t="s">
        <v>457</v>
      </c>
      <c r="I2255" s="152"/>
      <c r="J2255" s="149"/>
      <c r="K2255" s="149"/>
    </row>
    <row r="2256" spans="1:11" ht="17.25" hidden="1">
      <c r="A2256" s="134"/>
      <c r="E2256" s="149"/>
      <c r="F2256" s="150"/>
      <c r="G2256" s="149"/>
      <c r="H2256" s="149" t="s">
        <v>2948</v>
      </c>
      <c r="I2256" s="152"/>
      <c r="J2256" s="149" t="s">
        <v>987</v>
      </c>
      <c r="K2256" s="149">
        <v>3.32E-2</v>
      </c>
    </row>
    <row r="2257" spans="1:11" ht="17.25" hidden="1">
      <c r="A2257" s="134"/>
      <c r="E2257" s="149"/>
      <c r="F2257" s="150"/>
      <c r="G2257" s="149"/>
      <c r="H2257" s="149" t="s">
        <v>2949</v>
      </c>
      <c r="I2257" s="152"/>
      <c r="J2257" s="149" t="s">
        <v>987</v>
      </c>
      <c r="K2257" s="149" t="s">
        <v>987</v>
      </c>
    </row>
    <row r="2258" spans="1:11" ht="17.25" hidden="1">
      <c r="A2258" s="134"/>
      <c r="E2258" s="149"/>
      <c r="F2258" s="150"/>
      <c r="G2258" s="149"/>
      <c r="H2258" s="149" t="s">
        <v>1855</v>
      </c>
      <c r="I2258" s="152"/>
      <c r="J2258" s="149"/>
      <c r="K2258" s="149" t="s">
        <v>987</v>
      </c>
    </row>
    <row r="2259" spans="1:11" ht="17.25" hidden="1">
      <c r="A2259" s="134"/>
      <c r="E2259" s="149"/>
      <c r="F2259" s="150"/>
      <c r="G2259" s="149"/>
      <c r="H2259" s="149"/>
      <c r="I2259" s="152"/>
      <c r="J2259" s="149"/>
      <c r="K2259" s="149"/>
    </row>
    <row r="2260" spans="1:11" ht="17.25" hidden="1">
      <c r="A2260" s="134"/>
      <c r="E2260" s="149"/>
      <c r="F2260" s="157">
        <v>1.18E-2</v>
      </c>
      <c r="G2260" s="149" t="s">
        <v>878</v>
      </c>
      <c r="H2260" s="149" t="s">
        <v>698</v>
      </c>
      <c r="I2260" s="152">
        <f>I1083</f>
        <v>65420</v>
      </c>
      <c r="J2260" s="149" t="s">
        <v>878</v>
      </c>
      <c r="K2260" s="149">
        <f>I2260*F2260</f>
        <v>771.96</v>
      </c>
    </row>
    <row r="2261" spans="1:11" ht="17.25" hidden="1">
      <c r="A2261" s="134"/>
      <c r="E2261" s="149"/>
      <c r="F2261" s="157">
        <v>3.7699999999999997E-2</v>
      </c>
      <c r="G2261" s="149" t="s">
        <v>878</v>
      </c>
      <c r="H2261" s="149" t="s">
        <v>699</v>
      </c>
      <c r="I2261" s="152">
        <f>I1084</f>
        <v>57165</v>
      </c>
      <c r="J2261" s="149" t="s">
        <v>878</v>
      </c>
      <c r="K2261" s="149">
        <f t="shared" ref="K2261:K2269" si="75">I2261*F2261</f>
        <v>2155.12</v>
      </c>
    </row>
    <row r="2262" spans="1:11" ht="17.25" hidden="1">
      <c r="A2262" s="134"/>
      <c r="E2262" s="149"/>
      <c r="F2262" s="157">
        <v>1.8550000000000001E-2</v>
      </c>
      <c r="G2262" s="149" t="s">
        <v>878</v>
      </c>
      <c r="H2262" s="149" t="s">
        <v>895</v>
      </c>
      <c r="I2262" s="152">
        <f>I1085</f>
        <v>3035</v>
      </c>
      <c r="J2262" s="149" t="s">
        <v>878</v>
      </c>
      <c r="K2262" s="149">
        <f t="shared" si="75"/>
        <v>56.3</v>
      </c>
    </row>
    <row r="2263" spans="1:11" ht="17.25" hidden="1">
      <c r="A2263" s="134"/>
      <c r="E2263" s="149"/>
      <c r="F2263" s="157">
        <v>1.36</v>
      </c>
      <c r="G2263" s="149" t="s">
        <v>615</v>
      </c>
      <c r="H2263" s="149" t="s">
        <v>896</v>
      </c>
      <c r="I2263" s="152">
        <v>385.89</v>
      </c>
      <c r="J2263" s="149" t="s">
        <v>615</v>
      </c>
      <c r="K2263" s="149">
        <f t="shared" si="75"/>
        <v>524.80999999999995</v>
      </c>
    </row>
    <row r="2264" spans="1:11" ht="17.25" hidden="1">
      <c r="A2264" s="134"/>
      <c r="E2264" s="149"/>
      <c r="F2264" s="157">
        <v>2.0499999999999998</v>
      </c>
      <c r="G2264" s="149" t="s">
        <v>615</v>
      </c>
      <c r="H2264" s="149" t="s">
        <v>1528</v>
      </c>
      <c r="I2264" s="152">
        <f>I1087</f>
        <v>287</v>
      </c>
      <c r="J2264" s="149" t="s">
        <v>615</v>
      </c>
      <c r="K2264" s="149">
        <f t="shared" si="75"/>
        <v>588.35</v>
      </c>
    </row>
    <row r="2265" spans="1:11" ht="17.25" hidden="1">
      <c r="A2265" s="134"/>
      <c r="E2265" s="149"/>
      <c r="F2265" s="158">
        <v>2</v>
      </c>
      <c r="G2265" s="149" t="s">
        <v>877</v>
      </c>
      <c r="H2265" s="149" t="s">
        <v>1409</v>
      </c>
      <c r="I2265" s="152">
        <v>25</v>
      </c>
      <c r="J2265" s="149" t="s">
        <v>877</v>
      </c>
      <c r="K2265" s="149">
        <f t="shared" si="75"/>
        <v>50</v>
      </c>
    </row>
    <row r="2266" spans="1:11" ht="17.25" hidden="1">
      <c r="A2266" s="134"/>
      <c r="E2266" s="149"/>
      <c r="F2266" s="158">
        <v>6</v>
      </c>
      <c r="G2266" s="149" t="s">
        <v>877</v>
      </c>
      <c r="H2266" s="149" t="s">
        <v>1363</v>
      </c>
      <c r="I2266" s="152">
        <v>25</v>
      </c>
      <c r="J2266" s="149" t="s">
        <v>877</v>
      </c>
      <c r="K2266" s="149">
        <f t="shared" si="75"/>
        <v>150</v>
      </c>
    </row>
    <row r="2267" spans="1:11" ht="17.25" hidden="1">
      <c r="A2267" s="134"/>
      <c r="E2267" s="149"/>
      <c r="F2267" s="158">
        <v>2</v>
      </c>
      <c r="G2267" s="149" t="s">
        <v>877</v>
      </c>
      <c r="H2267" s="149" t="s">
        <v>2449</v>
      </c>
      <c r="I2267" s="152">
        <v>35</v>
      </c>
      <c r="J2267" s="149" t="s">
        <v>877</v>
      </c>
      <c r="K2267" s="149">
        <f t="shared" si="75"/>
        <v>70</v>
      </c>
    </row>
    <row r="2268" spans="1:11" ht="17.25" hidden="1">
      <c r="A2268" s="134"/>
      <c r="E2268" s="149"/>
      <c r="F2268" s="158">
        <v>1</v>
      </c>
      <c r="G2268" s="149" t="s">
        <v>877</v>
      </c>
      <c r="H2268" s="149" t="s">
        <v>1437</v>
      </c>
      <c r="I2268" s="152">
        <v>60</v>
      </c>
      <c r="J2268" s="149" t="s">
        <v>877</v>
      </c>
      <c r="K2268" s="149">
        <f t="shared" si="75"/>
        <v>60</v>
      </c>
    </row>
    <row r="2269" spans="1:11" ht="17.25" hidden="1">
      <c r="A2269" s="134"/>
      <c r="E2269" s="149"/>
      <c r="F2269" s="157">
        <v>2.52</v>
      </c>
      <c r="G2269" s="149" t="s">
        <v>615</v>
      </c>
      <c r="H2269" s="149" t="s">
        <v>1738</v>
      </c>
      <c r="I2269" s="152">
        <f>K1122</f>
        <v>51.25</v>
      </c>
      <c r="J2269" s="149" t="s">
        <v>615</v>
      </c>
      <c r="K2269" s="149">
        <f t="shared" si="75"/>
        <v>129.15</v>
      </c>
    </row>
    <row r="2270" spans="1:11" ht="17.25" hidden="1">
      <c r="A2270" s="134"/>
      <c r="E2270" s="149"/>
      <c r="F2270" s="150"/>
      <c r="G2270" s="149"/>
      <c r="H2270" s="149" t="s">
        <v>1434</v>
      </c>
      <c r="I2270" s="152" t="s">
        <v>450</v>
      </c>
      <c r="J2270" s="149"/>
      <c r="K2270" s="149">
        <v>0.28000000000000003</v>
      </c>
    </row>
    <row r="2271" spans="1:11" ht="17.25" hidden="1">
      <c r="A2271" s="134"/>
      <c r="E2271" s="149"/>
      <c r="F2271" s="150"/>
      <c r="G2271" s="149"/>
      <c r="H2271" s="149"/>
      <c r="I2271" s="152"/>
      <c r="J2271" s="149"/>
      <c r="K2271" s="159" t="s">
        <v>1609</v>
      </c>
    </row>
    <row r="2272" spans="1:11" ht="17.25" hidden="1">
      <c r="A2272" s="134"/>
      <c r="E2272" s="149"/>
      <c r="F2272" s="150"/>
      <c r="G2272" s="149"/>
      <c r="H2272" s="149" t="s">
        <v>1435</v>
      </c>
      <c r="I2272" s="152"/>
      <c r="J2272" s="149"/>
      <c r="K2272" s="149">
        <f>SUM(K2260:K2271)</f>
        <v>4555.97</v>
      </c>
    </row>
    <row r="2273" spans="1:11" ht="17.25" hidden="1">
      <c r="A2273" s="134"/>
      <c r="E2273" s="149"/>
      <c r="F2273" s="150"/>
      <c r="G2273" s="149" t="s">
        <v>987</v>
      </c>
      <c r="H2273" s="149"/>
      <c r="I2273" s="152"/>
      <c r="J2273" s="149"/>
      <c r="K2273" s="159" t="s">
        <v>1609</v>
      </c>
    </row>
    <row r="2274" spans="1:11" ht="17.25" hidden="1">
      <c r="A2274" s="134"/>
      <c r="E2274" s="149"/>
      <c r="F2274" s="150"/>
      <c r="G2274" s="149"/>
      <c r="H2274" s="149" t="s">
        <v>556</v>
      </c>
      <c r="I2274" s="152"/>
      <c r="J2274" s="149"/>
      <c r="K2274" s="149">
        <f>K2272/F2269</f>
        <v>1807.92</v>
      </c>
    </row>
    <row r="2275" spans="1:11" ht="17.25" hidden="1">
      <c r="A2275" s="134"/>
      <c r="E2275" s="149"/>
      <c r="F2275" s="150"/>
      <c r="G2275" s="149"/>
      <c r="H2275" s="149"/>
      <c r="I2275" s="152"/>
      <c r="J2275" s="149"/>
      <c r="K2275" s="149"/>
    </row>
    <row r="2276" spans="1:11" ht="17.25" hidden="1">
      <c r="A2276" s="134"/>
      <c r="E2276" s="149"/>
      <c r="F2276" s="149"/>
      <c r="G2276" s="150"/>
      <c r="H2276" s="149"/>
      <c r="I2276" s="149"/>
      <c r="J2276" s="152"/>
      <c r="K2276" s="149"/>
    </row>
    <row r="2277" spans="1:11" ht="17.25" hidden="1">
      <c r="A2277" s="134"/>
      <c r="E2277" s="149"/>
      <c r="F2277" s="149"/>
      <c r="G2277" s="150"/>
      <c r="H2277" s="149"/>
      <c r="I2277" s="149"/>
      <c r="J2277" s="152"/>
      <c r="K2277" s="149"/>
    </row>
    <row r="2278" spans="1:11" ht="34.5" hidden="1">
      <c r="A2278" s="134"/>
      <c r="E2278" s="149"/>
      <c r="F2278" s="149"/>
      <c r="G2278" s="150"/>
      <c r="H2278" s="156" t="s">
        <v>3502</v>
      </c>
      <c r="I2278" s="149"/>
      <c r="J2278" s="152" t="s">
        <v>1418</v>
      </c>
      <c r="K2278" s="149">
        <v>600</v>
      </c>
    </row>
    <row r="2279" spans="1:11" ht="17.25" hidden="1">
      <c r="A2279" s="134"/>
      <c r="E2279" s="149"/>
      <c r="F2279" s="149"/>
      <c r="G2279" s="150"/>
      <c r="H2279" s="149"/>
      <c r="I2279" s="149"/>
      <c r="J2279" s="152"/>
      <c r="K2279" s="149"/>
    </row>
    <row r="2280" spans="1:11" ht="17.25" hidden="1">
      <c r="A2280" s="134"/>
      <c r="E2280" s="149"/>
      <c r="F2280" s="149"/>
      <c r="G2280" s="150"/>
      <c r="H2280" s="149"/>
      <c r="I2280" s="149"/>
      <c r="J2280" s="152"/>
      <c r="K2280" s="149"/>
    </row>
    <row r="2281" spans="1:11" ht="17.25" hidden="1">
      <c r="A2281" s="134"/>
      <c r="E2281" s="149"/>
      <c r="F2281" s="149"/>
      <c r="G2281" s="150"/>
      <c r="H2281" s="156" t="s">
        <v>2434</v>
      </c>
      <c r="I2281" s="149"/>
      <c r="J2281" s="152" t="s">
        <v>1418</v>
      </c>
      <c r="K2281" s="149">
        <v>300</v>
      </c>
    </row>
    <row r="2282" spans="1:11" ht="17.25" hidden="1">
      <c r="A2282" s="134"/>
      <c r="E2282" s="149"/>
      <c r="F2282" s="149"/>
      <c r="G2282" s="150"/>
      <c r="H2282" s="149"/>
      <c r="I2282" s="149"/>
      <c r="J2282" s="152"/>
      <c r="K2282" s="149"/>
    </row>
    <row r="2283" spans="1:11" ht="17.25" hidden="1">
      <c r="A2283" s="134"/>
      <c r="E2283" s="149"/>
      <c r="F2283" s="149"/>
      <c r="G2283" s="150"/>
      <c r="H2283" s="149"/>
      <c r="I2283" s="149"/>
      <c r="J2283" s="152"/>
      <c r="K2283" s="149"/>
    </row>
    <row r="2284" spans="1:11" ht="17.25" hidden="1">
      <c r="A2284" s="134"/>
      <c r="E2284" s="149"/>
      <c r="F2284" s="149"/>
      <c r="G2284" s="150"/>
      <c r="H2284" s="149"/>
      <c r="I2284" s="149"/>
      <c r="J2284" s="152"/>
      <c r="K2284" s="149"/>
    </row>
    <row r="2285" spans="1:11" ht="17.25" hidden="1">
      <c r="A2285" s="134"/>
      <c r="E2285" s="149"/>
      <c r="F2285" s="149"/>
      <c r="G2285" s="150"/>
      <c r="H2285" s="156" t="s">
        <v>2435</v>
      </c>
      <c r="I2285" s="149"/>
      <c r="J2285" s="152" t="s">
        <v>1418</v>
      </c>
      <c r="K2285" s="149">
        <v>260</v>
      </c>
    </row>
    <row r="2286" spans="1:11" ht="17.25" hidden="1">
      <c r="A2286" s="134"/>
      <c r="E2286" s="149"/>
      <c r="F2286" s="149"/>
      <c r="G2286" s="150"/>
      <c r="H2286" s="149"/>
      <c r="I2286" s="149"/>
      <c r="J2286" s="152"/>
      <c r="K2286" s="149"/>
    </row>
    <row r="2287" spans="1:11" ht="17.25" hidden="1">
      <c r="A2287" s="134"/>
      <c r="E2287" s="149"/>
      <c r="F2287" s="149"/>
      <c r="G2287" s="150"/>
      <c r="H2287" s="149"/>
      <c r="I2287" s="149"/>
      <c r="J2287" s="152"/>
      <c r="K2287" s="149"/>
    </row>
    <row r="2288" spans="1:11" ht="17.25" hidden="1">
      <c r="A2288" s="134"/>
      <c r="E2288" s="149"/>
      <c r="F2288" s="149"/>
      <c r="G2288" s="150"/>
      <c r="H2288" s="149"/>
      <c r="I2288" s="149"/>
      <c r="J2288" s="152"/>
      <c r="K2288" s="149"/>
    </row>
    <row r="2289" spans="1:11" ht="17.25" hidden="1">
      <c r="A2289" s="134"/>
      <c r="E2289" s="149"/>
      <c r="F2289" s="149"/>
      <c r="G2289" s="150"/>
      <c r="H2289" s="156" t="s">
        <v>2436</v>
      </c>
      <c r="I2289" s="149"/>
      <c r="J2289" s="152" t="s">
        <v>1418</v>
      </c>
      <c r="K2289" s="149">
        <v>650</v>
      </c>
    </row>
    <row r="2290" spans="1:11" ht="17.25" hidden="1">
      <c r="A2290" s="134"/>
      <c r="E2290" s="149"/>
      <c r="F2290" s="149"/>
      <c r="G2290" s="150"/>
      <c r="H2290" s="149"/>
      <c r="I2290" s="149"/>
      <c r="J2290" s="152"/>
      <c r="K2290" s="149"/>
    </row>
    <row r="2291" spans="1:11" ht="17.25" hidden="1">
      <c r="A2291" s="134"/>
      <c r="E2291" s="149"/>
      <c r="F2291" s="149"/>
      <c r="G2291" s="150"/>
      <c r="H2291" s="149"/>
      <c r="I2291" s="149"/>
      <c r="J2291" s="152"/>
      <c r="K2291" s="149"/>
    </row>
    <row r="2292" spans="1:11" ht="17.25" hidden="1">
      <c r="A2292" s="134"/>
      <c r="E2292" s="149"/>
      <c r="F2292" s="149"/>
      <c r="G2292" s="150"/>
      <c r="H2292" s="149" t="s">
        <v>3458</v>
      </c>
      <c r="I2292" s="149"/>
      <c r="J2292" s="152" t="s">
        <v>1418</v>
      </c>
      <c r="K2292" s="149">
        <v>436</v>
      </c>
    </row>
    <row r="2293" spans="1:11" ht="17.25" hidden="1">
      <c r="A2293" s="134"/>
      <c r="E2293" s="149"/>
      <c r="F2293" s="149"/>
      <c r="G2293" s="150"/>
      <c r="H2293" s="149"/>
      <c r="I2293" s="149"/>
      <c r="J2293" s="152"/>
      <c r="K2293" s="149"/>
    </row>
    <row r="2294" spans="1:11" ht="17.25" hidden="1">
      <c r="A2294" s="134"/>
      <c r="E2294" s="149"/>
      <c r="F2294" s="149"/>
      <c r="G2294" s="150"/>
      <c r="H2294" s="149"/>
      <c r="I2294" s="149"/>
      <c r="J2294" s="152"/>
      <c r="K2294" s="149"/>
    </row>
    <row r="2295" spans="1:11" ht="17.25" hidden="1">
      <c r="A2295" s="134"/>
      <c r="E2295" s="149"/>
      <c r="F2295" s="149"/>
      <c r="G2295" s="150"/>
      <c r="H2295" s="149" t="s">
        <v>3459</v>
      </c>
      <c r="I2295" s="149"/>
      <c r="J2295" s="152" t="s">
        <v>1418</v>
      </c>
      <c r="K2295" s="149">
        <v>518</v>
      </c>
    </row>
    <row r="2296" spans="1:11" ht="17.25" hidden="1">
      <c r="A2296" s="134"/>
      <c r="E2296" s="149"/>
      <c r="F2296" s="149"/>
      <c r="G2296" s="150"/>
      <c r="H2296" s="149"/>
      <c r="I2296" s="149"/>
      <c r="J2296" s="152"/>
      <c r="K2296" s="149"/>
    </row>
    <row r="2297" spans="1:11" ht="17.25" hidden="1">
      <c r="A2297" s="134"/>
      <c r="E2297" s="149"/>
      <c r="F2297" s="149"/>
      <c r="G2297" s="150"/>
      <c r="H2297" s="149"/>
      <c r="I2297" s="149"/>
      <c r="J2297" s="152"/>
      <c r="K2297" s="149"/>
    </row>
    <row r="2298" spans="1:11" ht="17.25" hidden="1">
      <c r="A2298" s="134"/>
      <c r="E2298" s="149"/>
      <c r="F2298" s="149"/>
      <c r="G2298" s="150"/>
      <c r="H2298" s="149"/>
      <c r="I2298" s="149"/>
      <c r="J2298" s="152"/>
      <c r="K2298" s="149"/>
    </row>
    <row r="2299" spans="1:11" ht="34.5" hidden="1">
      <c r="A2299" s="134"/>
      <c r="E2299" s="149"/>
      <c r="F2299" s="149"/>
      <c r="G2299" s="150"/>
      <c r="H2299" s="156" t="s">
        <v>3460</v>
      </c>
      <c r="I2299" s="149"/>
      <c r="J2299" s="152"/>
      <c r="K2299" s="149"/>
    </row>
    <row r="2300" spans="1:11" ht="17.25" hidden="1">
      <c r="A2300" s="134"/>
      <c r="E2300" s="149"/>
      <c r="F2300" s="149"/>
      <c r="G2300" s="150"/>
      <c r="H2300" s="149"/>
      <c r="I2300" s="149"/>
      <c r="J2300" s="152"/>
      <c r="K2300" s="149"/>
    </row>
    <row r="2301" spans="1:11" ht="17.25" hidden="1">
      <c r="A2301" s="134"/>
      <c r="E2301" s="149"/>
      <c r="F2301" s="149"/>
      <c r="G2301" s="150"/>
      <c r="H2301" s="149" t="s">
        <v>3461</v>
      </c>
      <c r="I2301" s="149"/>
      <c r="J2301" s="152"/>
      <c r="K2301" s="149"/>
    </row>
    <row r="2302" spans="1:11" ht="17.25" hidden="1">
      <c r="A2302" s="134"/>
      <c r="E2302" s="149"/>
      <c r="F2302" s="149"/>
      <c r="G2302" s="150"/>
      <c r="H2302" s="149" t="s">
        <v>3462</v>
      </c>
      <c r="I2302" s="149"/>
      <c r="J2302" s="152"/>
      <c r="K2302" s="149"/>
    </row>
    <row r="2303" spans="1:11" ht="17.25" hidden="1">
      <c r="A2303" s="134"/>
      <c r="E2303" s="149"/>
      <c r="F2303" s="149"/>
      <c r="G2303" s="150"/>
      <c r="H2303" s="149"/>
      <c r="I2303" s="149"/>
      <c r="J2303" s="152"/>
      <c r="K2303" s="149"/>
    </row>
    <row r="2304" spans="1:11" ht="17.25" hidden="1">
      <c r="A2304" s="134"/>
      <c r="E2304" s="149"/>
      <c r="F2304" s="149"/>
      <c r="G2304" s="150"/>
      <c r="H2304" s="149"/>
      <c r="I2304" s="149"/>
      <c r="J2304" s="152"/>
      <c r="K2304" s="149"/>
    </row>
    <row r="2305" spans="1:11" ht="17.25" hidden="1">
      <c r="A2305" s="134"/>
      <c r="E2305" s="149"/>
      <c r="F2305" s="149"/>
      <c r="G2305" s="150"/>
      <c r="H2305" s="149"/>
      <c r="I2305" s="149"/>
      <c r="J2305" s="152"/>
      <c r="K2305" s="149"/>
    </row>
    <row r="2306" spans="1:11" ht="17.25" hidden="1">
      <c r="A2306" s="134"/>
      <c r="E2306" s="149"/>
      <c r="F2306" s="149">
        <v>1.96</v>
      </c>
      <c r="G2306" s="150" t="s">
        <v>2176</v>
      </c>
      <c r="H2306" s="149" t="s">
        <v>3463</v>
      </c>
      <c r="I2306" s="149" t="e">
        <f>K1644</f>
        <v>#REF!</v>
      </c>
      <c r="J2306" s="152" t="s">
        <v>2176</v>
      </c>
      <c r="K2306" s="149" t="e">
        <f t="shared" ref="K2306:K2311" si="76">I2306*F2306</f>
        <v>#REF!</v>
      </c>
    </row>
    <row r="2307" spans="1:11" ht="17.25" hidden="1">
      <c r="A2307" s="134"/>
      <c r="E2307" s="149"/>
      <c r="F2307" s="149">
        <v>2</v>
      </c>
      <c r="G2307" s="150" t="s">
        <v>1414</v>
      </c>
      <c r="H2307" s="149" t="s">
        <v>3464</v>
      </c>
      <c r="I2307" s="149">
        <f>C10</f>
        <v>150</v>
      </c>
      <c r="J2307" s="152" t="s">
        <v>1414</v>
      </c>
      <c r="K2307" s="149">
        <f t="shared" si="76"/>
        <v>300</v>
      </c>
    </row>
    <row r="2308" spans="1:11" ht="17.25" hidden="1">
      <c r="A2308" s="134"/>
      <c r="E2308" s="149"/>
      <c r="F2308" s="149">
        <v>2</v>
      </c>
      <c r="G2308" s="150" t="s">
        <v>1414</v>
      </c>
      <c r="H2308" s="149" t="s">
        <v>3465</v>
      </c>
      <c r="I2308" s="149">
        <f>C13</f>
        <v>85</v>
      </c>
      <c r="J2308" s="152" t="s">
        <v>1414</v>
      </c>
      <c r="K2308" s="149">
        <f t="shared" si="76"/>
        <v>170</v>
      </c>
    </row>
    <row r="2309" spans="1:11" ht="17.25" hidden="1">
      <c r="A2309" s="134"/>
      <c r="E2309" s="149"/>
      <c r="F2309" s="149">
        <v>500</v>
      </c>
      <c r="G2309" s="150" t="s">
        <v>1414</v>
      </c>
      <c r="H2309" s="149" t="s">
        <v>3466</v>
      </c>
      <c r="I2309" s="149">
        <v>2</v>
      </c>
      <c r="J2309" s="152" t="s">
        <v>1414</v>
      </c>
      <c r="K2309" s="149">
        <f t="shared" si="76"/>
        <v>1000</v>
      </c>
    </row>
    <row r="2310" spans="1:11" ht="17.25" hidden="1">
      <c r="A2310" s="134"/>
      <c r="E2310" s="149"/>
      <c r="F2310" s="149">
        <v>8.5</v>
      </c>
      <c r="G2310" s="150" t="s">
        <v>2171</v>
      </c>
      <c r="H2310" s="149" t="s">
        <v>3467</v>
      </c>
      <c r="I2310" s="149">
        <v>25</v>
      </c>
      <c r="J2310" s="152" t="s">
        <v>2171</v>
      </c>
      <c r="K2310" s="149">
        <f t="shared" si="76"/>
        <v>212.5</v>
      </c>
    </row>
    <row r="2311" spans="1:11" ht="17.25" hidden="1">
      <c r="A2311" s="134"/>
      <c r="E2311" s="149"/>
      <c r="F2311" s="149">
        <v>0.28000000000000003</v>
      </c>
      <c r="G2311" s="150" t="s">
        <v>2308</v>
      </c>
      <c r="H2311" s="149" t="s">
        <v>3468</v>
      </c>
      <c r="I2311" s="149">
        <f>K2448</f>
        <v>168.13</v>
      </c>
      <c r="J2311" s="152" t="s">
        <v>2308</v>
      </c>
      <c r="K2311" s="149">
        <f t="shared" si="76"/>
        <v>47.08</v>
      </c>
    </row>
    <row r="2312" spans="1:11" ht="17.25" hidden="1">
      <c r="A2312" s="134"/>
      <c r="E2312" s="149"/>
      <c r="F2312" s="149"/>
      <c r="G2312" s="150"/>
      <c r="H2312" s="149"/>
      <c r="I2312" s="149"/>
      <c r="J2312" s="152"/>
      <c r="K2312" s="149" t="s">
        <v>3469</v>
      </c>
    </row>
    <row r="2313" spans="1:11" ht="17.25" hidden="1">
      <c r="A2313" s="134"/>
      <c r="E2313" s="149"/>
      <c r="F2313" s="149"/>
      <c r="G2313" s="150"/>
      <c r="H2313" s="149"/>
      <c r="I2313" s="149" t="s">
        <v>3470</v>
      </c>
      <c r="J2313" s="152">
        <v>39.200000000000003</v>
      </c>
      <c r="K2313" s="149" t="e">
        <f>SUM(K2306:K2312)</f>
        <v>#REF!</v>
      </c>
    </row>
    <row r="2314" spans="1:11" ht="17.25" hidden="1">
      <c r="A2314" s="134"/>
      <c r="E2314" s="149"/>
      <c r="F2314" s="149"/>
      <c r="G2314" s="150"/>
      <c r="H2314" s="149"/>
      <c r="I2314" s="149"/>
      <c r="J2314" s="152"/>
      <c r="K2314" s="149" t="s">
        <v>3471</v>
      </c>
    </row>
    <row r="2315" spans="1:11" ht="17.25" hidden="1">
      <c r="A2315" s="134"/>
      <c r="E2315" s="149"/>
      <c r="F2315" s="149"/>
      <c r="G2315" s="150"/>
      <c r="H2315" s="149"/>
      <c r="I2315" s="149"/>
      <c r="J2315" s="152"/>
      <c r="K2315" s="149"/>
    </row>
    <row r="2316" spans="1:11" ht="17.25" hidden="1">
      <c r="A2316" s="134"/>
      <c r="E2316" s="149"/>
      <c r="F2316" s="149"/>
      <c r="G2316" s="150"/>
      <c r="H2316" s="149"/>
      <c r="I2316" s="149" t="s">
        <v>3472</v>
      </c>
      <c r="J2316" s="152"/>
      <c r="K2316" s="160" t="e">
        <f>K2313/J2313</f>
        <v>#REF!</v>
      </c>
    </row>
    <row r="2317" spans="1:11" ht="17.25" hidden="1">
      <c r="A2317" s="134"/>
      <c r="E2317" s="149"/>
      <c r="F2317" s="149"/>
      <c r="G2317" s="150"/>
      <c r="H2317" s="149"/>
      <c r="I2317" s="149"/>
      <c r="J2317" s="152"/>
      <c r="K2317" s="159" t="s">
        <v>2080</v>
      </c>
    </row>
    <row r="2318" spans="1:11" ht="17.25" hidden="1">
      <c r="A2318" s="134"/>
      <c r="E2318" s="149"/>
      <c r="F2318" s="149"/>
      <c r="G2318" s="150"/>
      <c r="H2318" s="149"/>
      <c r="I2318" s="149"/>
      <c r="J2318" s="152"/>
      <c r="K2318" s="149"/>
    </row>
    <row r="2319" spans="1:11" ht="34.5" hidden="1">
      <c r="A2319" s="134"/>
      <c r="E2319" s="149"/>
      <c r="F2319" s="149"/>
      <c r="G2319" s="150"/>
      <c r="H2319" s="156" t="s">
        <v>3473</v>
      </c>
      <c r="I2319" s="149"/>
      <c r="J2319" s="152"/>
      <c r="K2319" s="149"/>
    </row>
    <row r="2320" spans="1:11" ht="17.25" hidden="1">
      <c r="A2320" s="134"/>
      <c r="E2320" s="149"/>
      <c r="F2320" s="149"/>
      <c r="G2320" s="150"/>
      <c r="H2320" s="149"/>
      <c r="I2320" s="149"/>
      <c r="J2320" s="152"/>
      <c r="K2320" s="149"/>
    </row>
    <row r="2321" spans="1:11" ht="17.25" hidden="1">
      <c r="A2321" s="134"/>
      <c r="E2321" s="149"/>
      <c r="F2321" s="149">
        <v>4</v>
      </c>
      <c r="G2321" s="150" t="s">
        <v>835</v>
      </c>
      <c r="H2321" s="149" t="s">
        <v>3503</v>
      </c>
      <c r="I2321" s="149">
        <v>110</v>
      </c>
      <c r="J2321" s="152" t="s">
        <v>835</v>
      </c>
      <c r="K2321" s="149">
        <f>I2321*F2321</f>
        <v>440</v>
      </c>
    </row>
    <row r="2322" spans="1:11" ht="17.25" hidden="1">
      <c r="A2322" s="134"/>
      <c r="E2322" s="149"/>
      <c r="F2322" s="149">
        <v>2.52</v>
      </c>
      <c r="G2322" s="150" t="s">
        <v>1670</v>
      </c>
      <c r="H2322" s="149" t="s">
        <v>2816</v>
      </c>
      <c r="I2322" s="149">
        <v>30</v>
      </c>
      <c r="J2322" s="152" t="s">
        <v>1670</v>
      </c>
      <c r="K2322" s="149">
        <f t="shared" ref="K2322:K2328" si="77">I2322*F2322</f>
        <v>75.599999999999994</v>
      </c>
    </row>
    <row r="2323" spans="1:11" ht="17.25" hidden="1">
      <c r="A2323" s="134"/>
      <c r="E2323" s="149"/>
      <c r="F2323" s="149">
        <v>1.1299999999999999</v>
      </c>
      <c r="G2323" s="150" t="s">
        <v>1670</v>
      </c>
      <c r="H2323" s="149" t="s">
        <v>2817</v>
      </c>
      <c r="I2323" s="149">
        <v>30</v>
      </c>
      <c r="J2323" s="152" t="s">
        <v>1670</v>
      </c>
      <c r="K2323" s="149">
        <f t="shared" si="77"/>
        <v>33.9</v>
      </c>
    </row>
    <row r="2324" spans="1:11" ht="17.25" hidden="1">
      <c r="A2324" s="134"/>
      <c r="E2324" s="149"/>
      <c r="F2324" s="149">
        <v>0.35</v>
      </c>
      <c r="G2324" s="150" t="s">
        <v>1670</v>
      </c>
      <c r="H2324" s="149" t="s">
        <v>2818</v>
      </c>
      <c r="I2324" s="149">
        <v>30</v>
      </c>
      <c r="J2324" s="152" t="s">
        <v>1670</v>
      </c>
      <c r="K2324" s="149">
        <f t="shared" si="77"/>
        <v>10.5</v>
      </c>
    </row>
    <row r="2325" spans="1:11" ht="17.25" hidden="1">
      <c r="A2325" s="134"/>
      <c r="E2325" s="149"/>
      <c r="F2325" s="149">
        <v>4</v>
      </c>
      <c r="G2325" s="150" t="s">
        <v>1670</v>
      </c>
      <c r="H2325" s="149" t="s">
        <v>108</v>
      </c>
      <c r="I2325" s="149">
        <v>12.25</v>
      </c>
      <c r="J2325" s="152" t="s">
        <v>1670</v>
      </c>
      <c r="K2325" s="149">
        <f t="shared" si="77"/>
        <v>49</v>
      </c>
    </row>
    <row r="2326" spans="1:11" ht="17.25" hidden="1">
      <c r="A2326" s="134"/>
      <c r="E2326" s="149"/>
      <c r="F2326" s="149">
        <v>6</v>
      </c>
      <c r="G2326" s="150" t="s">
        <v>1452</v>
      </c>
      <c r="H2326" s="149" t="s">
        <v>2819</v>
      </c>
      <c r="I2326" s="149">
        <v>1</v>
      </c>
      <c r="J2326" s="152" t="s">
        <v>1418</v>
      </c>
      <c r="K2326" s="149">
        <f t="shared" si="77"/>
        <v>6</v>
      </c>
    </row>
    <row r="2327" spans="1:11" ht="17.25" hidden="1">
      <c r="A2327" s="134"/>
      <c r="E2327" s="149"/>
      <c r="F2327" s="149">
        <v>0.5</v>
      </c>
      <c r="G2327" s="150" t="s">
        <v>1452</v>
      </c>
      <c r="H2327" s="149" t="s">
        <v>2820</v>
      </c>
      <c r="I2327" s="149">
        <f>C12</f>
        <v>95</v>
      </c>
      <c r="J2327" s="152" t="s">
        <v>1418</v>
      </c>
      <c r="K2327" s="149">
        <f t="shared" si="77"/>
        <v>47.5</v>
      </c>
    </row>
    <row r="2328" spans="1:11" ht="17.25" hidden="1">
      <c r="A2328" s="134"/>
      <c r="E2328" s="149"/>
      <c r="F2328" s="149">
        <v>0.5</v>
      </c>
      <c r="G2328" s="150" t="s">
        <v>1452</v>
      </c>
      <c r="H2328" s="149" t="s">
        <v>2821</v>
      </c>
      <c r="I2328" s="149">
        <f>C13</f>
        <v>85</v>
      </c>
      <c r="J2328" s="152" t="s">
        <v>1418</v>
      </c>
      <c r="K2328" s="149">
        <f t="shared" si="77"/>
        <v>42.5</v>
      </c>
    </row>
    <row r="2329" spans="1:11" ht="17.25" hidden="1">
      <c r="A2329" s="134"/>
      <c r="E2329" s="149"/>
      <c r="F2329" s="154" t="s">
        <v>450</v>
      </c>
      <c r="G2329" s="150"/>
      <c r="H2329" s="149" t="s">
        <v>2822</v>
      </c>
      <c r="I2329" s="149"/>
      <c r="J2329" s="152" t="s">
        <v>450</v>
      </c>
      <c r="K2329" s="149">
        <v>19.22</v>
      </c>
    </row>
    <row r="2330" spans="1:11" ht="17.25" hidden="1">
      <c r="A2330" s="134"/>
      <c r="E2330" s="149"/>
      <c r="F2330" s="149"/>
      <c r="G2330" s="150"/>
      <c r="H2330" s="149"/>
      <c r="I2330" s="149"/>
      <c r="J2330" s="152"/>
      <c r="K2330" s="149"/>
    </row>
    <row r="2331" spans="1:11" ht="17.25" hidden="1">
      <c r="A2331" s="134"/>
      <c r="E2331" s="149"/>
      <c r="F2331" s="149"/>
      <c r="G2331" s="150"/>
      <c r="H2331" s="149"/>
      <c r="I2331" s="149"/>
      <c r="J2331" s="152"/>
      <c r="K2331" s="149" t="s">
        <v>2823</v>
      </c>
    </row>
    <row r="2332" spans="1:11" ht="17.25" hidden="1">
      <c r="A2332" s="134"/>
      <c r="E2332" s="149"/>
      <c r="F2332" s="149"/>
      <c r="G2332" s="150"/>
      <c r="H2332" s="149"/>
      <c r="I2332" s="149" t="s">
        <v>2824</v>
      </c>
      <c r="J2332" s="152" t="s">
        <v>2825</v>
      </c>
      <c r="K2332" s="149">
        <f>SUM(K2321:K2331)</f>
        <v>724.22</v>
      </c>
    </row>
    <row r="2333" spans="1:11" ht="17.25" hidden="1">
      <c r="A2333" s="134"/>
      <c r="E2333" s="149"/>
      <c r="F2333" s="149"/>
      <c r="G2333" s="150"/>
      <c r="H2333" s="149"/>
      <c r="I2333" s="149">
        <v>2</v>
      </c>
      <c r="J2333" s="161" t="s">
        <v>1452</v>
      </c>
      <c r="K2333" s="149" t="s">
        <v>3471</v>
      </c>
    </row>
    <row r="2334" spans="1:11" ht="17.25" hidden="1">
      <c r="A2334" s="134"/>
      <c r="E2334" s="149"/>
      <c r="F2334" s="149"/>
      <c r="G2334" s="150"/>
      <c r="H2334" s="149"/>
      <c r="I2334" s="156"/>
      <c r="J2334" s="152"/>
      <c r="K2334" s="149"/>
    </row>
    <row r="2335" spans="1:11" ht="17.25" hidden="1">
      <c r="A2335" s="134"/>
      <c r="E2335" s="149"/>
      <c r="F2335" s="149"/>
      <c r="G2335" s="150"/>
      <c r="H2335" s="149"/>
      <c r="I2335" s="149"/>
      <c r="J2335" s="152"/>
      <c r="K2335" s="149"/>
    </row>
    <row r="2336" spans="1:11" ht="17.25" hidden="1">
      <c r="A2336" s="134"/>
      <c r="E2336" s="149"/>
      <c r="F2336" s="149"/>
      <c r="G2336" s="150"/>
      <c r="H2336" s="149"/>
      <c r="I2336" s="149" t="s">
        <v>2826</v>
      </c>
      <c r="J2336" s="152"/>
      <c r="K2336" s="160">
        <f>K2332/I2333</f>
        <v>362.11</v>
      </c>
    </row>
    <row r="2337" spans="1:12" ht="17.25" hidden="1">
      <c r="A2337" s="134"/>
      <c r="E2337" s="149"/>
      <c r="F2337" s="149"/>
      <c r="G2337" s="150"/>
      <c r="H2337" s="149"/>
      <c r="I2337" s="149"/>
      <c r="J2337" s="152"/>
      <c r="K2337" s="159" t="s">
        <v>2080</v>
      </c>
    </row>
    <row r="2338" spans="1:12" ht="17.25" hidden="1">
      <c r="A2338" s="134"/>
      <c r="E2338" s="149"/>
      <c r="F2338" s="149"/>
      <c r="G2338" s="150"/>
      <c r="H2338" s="149"/>
      <c r="I2338" s="149"/>
      <c r="J2338" s="152"/>
      <c r="K2338" s="149"/>
    </row>
    <row r="2339" spans="1:12" ht="19.5" hidden="1">
      <c r="A2339" s="134"/>
      <c r="E2339" s="149"/>
      <c r="F2339" s="162"/>
      <c r="G2339" s="162"/>
      <c r="H2339" s="162"/>
      <c r="I2339" s="162"/>
      <c r="J2339" s="162"/>
      <c r="K2339" s="162"/>
      <c r="L2339" s="163"/>
    </row>
    <row r="2340" spans="1:12" ht="17.25" hidden="1">
      <c r="A2340" s="134"/>
      <c r="E2340" s="149"/>
      <c r="F2340" s="149"/>
      <c r="G2340" s="149"/>
      <c r="H2340" s="149"/>
      <c r="I2340" s="149"/>
      <c r="J2340" s="149"/>
      <c r="K2340" s="149"/>
    </row>
    <row r="2341" spans="1:12" ht="18" hidden="1">
      <c r="A2341" s="134"/>
      <c r="E2341" s="1850" t="s">
        <v>2827</v>
      </c>
      <c r="F2341" s="1850"/>
      <c r="G2341" s="1850"/>
      <c r="H2341" s="1850"/>
      <c r="I2341" s="1850"/>
      <c r="J2341" s="1850"/>
      <c r="K2341" s="1850"/>
      <c r="L2341" s="164"/>
    </row>
    <row r="2342" spans="1:12" ht="18" hidden="1">
      <c r="A2342" s="134"/>
      <c r="E2342" s="76"/>
      <c r="F2342" s="76"/>
      <c r="G2342" s="76"/>
      <c r="H2342" s="76"/>
      <c r="I2342" s="76"/>
      <c r="J2342" s="76"/>
      <c r="K2342" s="76"/>
      <c r="L2342" s="165"/>
    </row>
    <row r="2343" spans="1:12" ht="18" hidden="1">
      <c r="A2343" s="134"/>
      <c r="E2343" s="166"/>
      <c r="F2343" s="164" t="s">
        <v>1055</v>
      </c>
      <c r="G2343" s="163"/>
      <c r="H2343" s="167" t="s">
        <v>1802</v>
      </c>
      <c r="I2343" s="164" t="s">
        <v>99</v>
      </c>
      <c r="J2343" s="167" t="s">
        <v>2828</v>
      </c>
      <c r="K2343" s="164" t="s">
        <v>986</v>
      </c>
      <c r="L2343" s="168"/>
    </row>
    <row r="2344" spans="1:12" ht="18" hidden="1">
      <c r="A2344" s="134"/>
      <c r="E2344" s="169">
        <v>18.100000000000001</v>
      </c>
      <c r="F2344" s="170" t="s">
        <v>2829</v>
      </c>
      <c r="G2344" s="76"/>
      <c r="H2344" s="171" t="s">
        <v>2451</v>
      </c>
      <c r="I2344" s="165"/>
      <c r="J2344" s="165"/>
      <c r="K2344" s="165"/>
      <c r="L2344" s="168"/>
    </row>
    <row r="2345" spans="1:12" ht="18" hidden="1">
      <c r="A2345" s="134"/>
      <c r="E2345" s="166"/>
      <c r="F2345" s="168"/>
      <c r="G2345" s="166"/>
      <c r="H2345" s="172" t="s">
        <v>2830</v>
      </c>
      <c r="I2345" s="168"/>
      <c r="J2345" s="166"/>
      <c r="K2345" s="168"/>
      <c r="L2345" s="168"/>
    </row>
    <row r="2346" spans="1:12" ht="21" hidden="1">
      <c r="A2346" s="134"/>
      <c r="E2346" s="166"/>
      <c r="F2346" s="168"/>
      <c r="G2346" s="166"/>
      <c r="H2346" s="172" t="s">
        <v>2452</v>
      </c>
      <c r="I2346" s="168"/>
      <c r="J2346" s="166"/>
      <c r="K2346" s="168"/>
      <c r="L2346" s="168"/>
    </row>
    <row r="2347" spans="1:12" ht="21" hidden="1">
      <c r="A2347" s="134"/>
      <c r="E2347" s="166"/>
      <c r="F2347" s="168"/>
      <c r="G2347" s="166"/>
      <c r="H2347" s="172" t="s">
        <v>2453</v>
      </c>
      <c r="I2347" s="168"/>
      <c r="J2347" s="166"/>
      <c r="K2347" s="168"/>
      <c r="L2347" s="168"/>
    </row>
    <row r="2348" spans="1:12" ht="18" hidden="1">
      <c r="A2348" s="134"/>
      <c r="E2348" s="166"/>
      <c r="F2348" s="168"/>
      <c r="G2348" s="166"/>
      <c r="H2348" s="172" t="s">
        <v>2831</v>
      </c>
      <c r="I2348" s="168"/>
      <c r="J2348" s="166"/>
      <c r="K2348" s="168"/>
      <c r="L2348" s="168"/>
    </row>
    <row r="2349" spans="1:12" ht="39" hidden="1">
      <c r="A2349" s="134"/>
      <c r="E2349" s="166"/>
      <c r="F2349" s="168"/>
      <c r="G2349" s="166"/>
      <c r="H2349" s="172" t="s">
        <v>2454</v>
      </c>
      <c r="I2349" s="168"/>
      <c r="J2349" s="166"/>
      <c r="K2349" s="168"/>
      <c r="L2349" s="168"/>
    </row>
    <row r="2350" spans="1:12" ht="72" hidden="1">
      <c r="A2350" s="134"/>
      <c r="E2350" s="166"/>
      <c r="F2350" s="168"/>
      <c r="G2350" s="166"/>
      <c r="H2350" s="172" t="s">
        <v>2832</v>
      </c>
      <c r="I2350" s="168"/>
      <c r="J2350" s="166"/>
      <c r="K2350" s="168"/>
      <c r="L2350" s="168"/>
    </row>
    <row r="2351" spans="1:12" ht="36" hidden="1">
      <c r="A2351" s="134"/>
      <c r="E2351" s="166"/>
      <c r="F2351" s="168"/>
      <c r="G2351" s="166"/>
      <c r="H2351" s="172" t="s">
        <v>2833</v>
      </c>
      <c r="I2351" s="168"/>
      <c r="J2351" s="166"/>
      <c r="K2351" s="168"/>
      <c r="L2351" s="168"/>
    </row>
    <row r="2352" spans="1:12" ht="39" hidden="1">
      <c r="A2352" s="134"/>
      <c r="E2352" s="166"/>
      <c r="F2352" s="168"/>
      <c r="G2352" s="166"/>
      <c r="H2352" s="172" t="s">
        <v>2455</v>
      </c>
      <c r="I2352" s="168"/>
      <c r="J2352" s="166"/>
      <c r="K2352" s="168"/>
      <c r="L2352" s="168"/>
    </row>
    <row r="2353" spans="1:12" ht="18" hidden="1">
      <c r="A2353" s="134"/>
      <c r="E2353" s="166"/>
      <c r="F2353" s="168"/>
      <c r="G2353" s="166"/>
      <c r="H2353" s="166"/>
      <c r="I2353" s="168"/>
      <c r="J2353" s="166"/>
      <c r="K2353" s="168"/>
      <c r="L2353" s="168"/>
    </row>
    <row r="2354" spans="1:12" ht="21" hidden="1">
      <c r="A2354" s="134"/>
      <c r="E2354" s="166"/>
      <c r="F2354" s="173">
        <v>62</v>
      </c>
      <c r="G2354" s="174" t="s">
        <v>2456</v>
      </c>
      <c r="H2354" s="175" t="s">
        <v>3247</v>
      </c>
      <c r="I2354" s="173">
        <f>K2378</f>
        <v>217.41</v>
      </c>
      <c r="J2354" s="174" t="s">
        <v>2456</v>
      </c>
      <c r="K2354" s="168">
        <f>I2354*F2354</f>
        <v>13479.42</v>
      </c>
      <c r="L2354" s="168"/>
    </row>
    <row r="2355" spans="1:12" ht="21" hidden="1">
      <c r="A2355" s="134"/>
      <c r="E2355" s="166"/>
      <c r="F2355" s="173">
        <v>121.64</v>
      </c>
      <c r="G2355" s="174" t="s">
        <v>2456</v>
      </c>
      <c r="H2355" s="175" t="s">
        <v>3248</v>
      </c>
      <c r="I2355" s="173">
        <f>I2383</f>
        <v>168.13</v>
      </c>
      <c r="J2355" s="174" t="s">
        <v>2457</v>
      </c>
      <c r="K2355" s="168">
        <f>I2355*F2355</f>
        <v>20451.330000000002</v>
      </c>
      <c r="L2355" s="176"/>
    </row>
    <row r="2356" spans="1:12" ht="21" hidden="1">
      <c r="A2356" s="134"/>
      <c r="E2356" s="166"/>
      <c r="F2356" s="168"/>
      <c r="G2356" s="166"/>
      <c r="H2356" s="175" t="s">
        <v>2763</v>
      </c>
      <c r="I2356" s="168"/>
      <c r="J2356" s="166"/>
      <c r="K2356" s="168">
        <f>SUM(K2354:K2355)</f>
        <v>33930.75</v>
      </c>
      <c r="L2356" s="177"/>
    </row>
    <row r="2357" spans="1:12" ht="21" hidden="1">
      <c r="A2357" s="134"/>
      <c r="E2357" s="166"/>
      <c r="F2357" s="168"/>
      <c r="G2357" s="166"/>
      <c r="H2357" s="175" t="s">
        <v>2764</v>
      </c>
      <c r="I2357" s="168"/>
      <c r="J2357" s="166"/>
      <c r="K2357" s="176">
        <f>K2356/F2354</f>
        <v>547.27</v>
      </c>
      <c r="L2357" s="168"/>
    </row>
    <row r="2358" spans="1:12" ht="18" hidden="1">
      <c r="A2358" s="134"/>
      <c r="E2358" s="166"/>
      <c r="F2358" s="168"/>
      <c r="G2358" s="166"/>
      <c r="H2358" s="174"/>
      <c r="I2358" s="168"/>
      <c r="J2358" s="166"/>
      <c r="K2358" s="177"/>
      <c r="L2358" s="168"/>
    </row>
    <row r="2359" spans="1:12" ht="18" hidden="1">
      <c r="A2359" s="134"/>
      <c r="E2359" s="178">
        <v>18.100000000000001</v>
      </c>
      <c r="F2359" s="170" t="s">
        <v>3249</v>
      </c>
      <c r="G2359" s="166"/>
      <c r="H2359" s="179" t="s">
        <v>2779</v>
      </c>
      <c r="I2359" s="168"/>
      <c r="J2359" s="166"/>
      <c r="K2359" s="168"/>
      <c r="L2359" s="168"/>
    </row>
    <row r="2360" spans="1:12" ht="18" hidden="1">
      <c r="A2360" s="134"/>
      <c r="E2360" s="166"/>
      <c r="F2360" s="168"/>
      <c r="G2360" s="166"/>
      <c r="H2360" s="166"/>
      <c r="I2360" s="168"/>
      <c r="J2360" s="166"/>
      <c r="K2360" s="168"/>
      <c r="L2360" s="168"/>
    </row>
    <row r="2361" spans="1:12" ht="18" hidden="1">
      <c r="A2361" s="134"/>
      <c r="E2361" s="166"/>
      <c r="F2361" s="173">
        <v>13.46</v>
      </c>
      <c r="G2361" s="174" t="s">
        <v>1670</v>
      </c>
      <c r="H2361" s="172" t="s">
        <v>2780</v>
      </c>
      <c r="I2361" s="173">
        <f>I706</f>
        <v>30</v>
      </c>
      <c r="J2361" s="174" t="s">
        <v>1670</v>
      </c>
      <c r="K2361" s="168">
        <f>I2361*F2361</f>
        <v>403.8</v>
      </c>
      <c r="L2361" s="168"/>
    </row>
    <row r="2362" spans="1:12" ht="18" hidden="1">
      <c r="A2362" s="134"/>
      <c r="E2362" s="166"/>
      <c r="F2362" s="173">
        <v>4</v>
      </c>
      <c r="G2362" s="174" t="s">
        <v>1670</v>
      </c>
      <c r="H2362" s="172" t="s">
        <v>2781</v>
      </c>
      <c r="I2362" s="173">
        <f>I708</f>
        <v>30</v>
      </c>
      <c r="J2362" s="174" t="s">
        <v>1670</v>
      </c>
      <c r="K2362" s="168">
        <f>I2362*F2362</f>
        <v>120</v>
      </c>
      <c r="L2362" s="180"/>
    </row>
    <row r="2363" spans="1:12" ht="18" hidden="1">
      <c r="A2363" s="134"/>
      <c r="E2363" s="166"/>
      <c r="F2363" s="173">
        <v>1</v>
      </c>
      <c r="G2363" s="174" t="s">
        <v>2782</v>
      </c>
      <c r="H2363" s="172" t="s">
        <v>3495</v>
      </c>
      <c r="I2363" s="173">
        <v>40</v>
      </c>
      <c r="J2363" s="174" t="s">
        <v>450</v>
      </c>
      <c r="K2363" s="168">
        <f>I2363*F2363</f>
        <v>40</v>
      </c>
      <c r="L2363" s="168"/>
    </row>
    <row r="2364" spans="1:12" ht="18" hidden="1">
      <c r="A2364" s="134"/>
      <c r="E2364" s="166"/>
      <c r="F2364" s="168"/>
      <c r="G2364" s="166"/>
      <c r="H2364" s="181" t="s">
        <v>3496</v>
      </c>
      <c r="I2364" s="168"/>
      <c r="J2364" s="166"/>
      <c r="K2364" s="180">
        <f>SUM(K2361:K2363)</f>
        <v>563.79999999999995</v>
      </c>
      <c r="L2364" s="168"/>
    </row>
    <row r="2365" spans="1:12" ht="18" hidden="1">
      <c r="A2365" s="134"/>
      <c r="E2365" s="166"/>
      <c r="F2365" s="168"/>
      <c r="G2365" s="166"/>
      <c r="H2365" s="181" t="s">
        <v>3497</v>
      </c>
      <c r="I2365" s="177">
        <f>K2364/40</f>
        <v>14.1</v>
      </c>
      <c r="J2365" s="166"/>
      <c r="K2365" s="168"/>
      <c r="L2365" s="168"/>
    </row>
    <row r="2366" spans="1:12" ht="18" hidden="1">
      <c r="A2366" s="134"/>
      <c r="E2366" s="166"/>
      <c r="F2366" s="168"/>
      <c r="G2366" s="166"/>
      <c r="H2366" s="166"/>
      <c r="I2366" s="168"/>
      <c r="J2366" s="166"/>
      <c r="K2366" s="168"/>
      <c r="L2366" s="168"/>
    </row>
    <row r="2367" spans="1:12" ht="18" hidden="1">
      <c r="A2367" s="134"/>
      <c r="E2367" s="166"/>
      <c r="F2367" s="173">
        <v>19</v>
      </c>
      <c r="G2367" s="174" t="s">
        <v>1414</v>
      </c>
      <c r="H2367" s="166" t="s">
        <v>3498</v>
      </c>
      <c r="I2367" s="173">
        <f>I2365</f>
        <v>14.1</v>
      </c>
      <c r="J2367" s="174" t="s">
        <v>1785</v>
      </c>
      <c r="K2367" s="168">
        <f>I2367*F2367</f>
        <v>267.89999999999998</v>
      </c>
      <c r="L2367" s="168"/>
    </row>
    <row r="2368" spans="1:12" ht="18" hidden="1">
      <c r="A2368" s="134"/>
      <c r="E2368" s="166"/>
      <c r="F2368" s="173">
        <v>0.12</v>
      </c>
      <c r="G2368" s="174" t="s">
        <v>367</v>
      </c>
      <c r="H2368" s="166" t="s">
        <v>3499</v>
      </c>
      <c r="I2368" s="173">
        <f>C268/5</f>
        <v>1879</v>
      </c>
      <c r="J2368" s="174" t="s">
        <v>367</v>
      </c>
      <c r="K2368" s="168">
        <f>I2368*F2368</f>
        <v>225.48</v>
      </c>
      <c r="L2368" s="168"/>
    </row>
    <row r="2369" spans="1:12" ht="18" hidden="1">
      <c r="A2369" s="134"/>
      <c r="E2369" s="166"/>
      <c r="F2369" s="173">
        <v>98.5</v>
      </c>
      <c r="G2369" s="174" t="s">
        <v>3500</v>
      </c>
      <c r="H2369" s="166" t="s">
        <v>2637</v>
      </c>
      <c r="I2369" s="173">
        <f>C269/5</f>
        <v>3</v>
      </c>
      <c r="J2369" s="174" t="s">
        <v>3500</v>
      </c>
      <c r="K2369" s="168">
        <f>I2369*F2369</f>
        <v>295.5</v>
      </c>
      <c r="L2369" s="182"/>
    </row>
    <row r="2370" spans="1:12" ht="18" hidden="1">
      <c r="A2370" s="134"/>
      <c r="E2370" s="166"/>
      <c r="F2370" s="1851" t="s">
        <v>450</v>
      </c>
      <c r="G2370" s="1851"/>
      <c r="H2370" s="166" t="s">
        <v>2638</v>
      </c>
      <c r="I2370" s="173">
        <v>11</v>
      </c>
      <c r="J2370" s="174" t="s">
        <v>450</v>
      </c>
      <c r="K2370" s="168">
        <f>I2370</f>
        <v>11</v>
      </c>
      <c r="L2370" s="182"/>
    </row>
    <row r="2371" spans="1:12" ht="21" hidden="1">
      <c r="A2371" s="134"/>
      <c r="E2371" s="166"/>
      <c r="F2371" s="173">
        <v>3.8</v>
      </c>
      <c r="G2371" s="174" t="s">
        <v>1414</v>
      </c>
      <c r="H2371" s="166" t="s">
        <v>2765</v>
      </c>
      <c r="I2371" s="173">
        <f>C16</f>
        <v>150</v>
      </c>
      <c r="J2371" s="174" t="s">
        <v>1414</v>
      </c>
      <c r="K2371" s="182">
        <f>I2371*F2371</f>
        <v>570</v>
      </c>
      <c r="L2371" s="182"/>
    </row>
    <row r="2372" spans="1:12" ht="21" hidden="1">
      <c r="A2372" s="134"/>
      <c r="E2372" s="166"/>
      <c r="F2372" s="173">
        <v>5.4</v>
      </c>
      <c r="G2372" s="174" t="s">
        <v>1414</v>
      </c>
      <c r="H2372" s="166" t="s">
        <v>2766</v>
      </c>
      <c r="I2372" s="173">
        <f>C12</f>
        <v>95</v>
      </c>
      <c r="J2372" s="174" t="s">
        <v>1414</v>
      </c>
      <c r="K2372" s="182">
        <f>I2372*F2372</f>
        <v>513</v>
      </c>
      <c r="L2372" s="168"/>
    </row>
    <row r="2373" spans="1:12" ht="21" hidden="1">
      <c r="A2373" s="134"/>
      <c r="E2373" s="166"/>
      <c r="F2373" s="173">
        <v>1</v>
      </c>
      <c r="G2373" s="174" t="s">
        <v>1414</v>
      </c>
      <c r="H2373" s="166" t="s">
        <v>2767</v>
      </c>
      <c r="I2373" s="173">
        <f>D17</f>
        <v>120</v>
      </c>
      <c r="J2373" s="174" t="s">
        <v>1414</v>
      </c>
      <c r="K2373" s="182">
        <f>I2373*F2373</f>
        <v>120</v>
      </c>
      <c r="L2373" s="183"/>
    </row>
    <row r="2374" spans="1:12" ht="18" hidden="1">
      <c r="A2374" s="134"/>
      <c r="E2374" s="166"/>
      <c r="F2374" s="1851" t="s">
        <v>450</v>
      </c>
      <c r="G2374" s="1851"/>
      <c r="H2374" s="166" t="s">
        <v>2639</v>
      </c>
      <c r="I2374" s="1851" t="s">
        <v>450</v>
      </c>
      <c r="J2374" s="1851"/>
      <c r="K2374" s="168">
        <v>10</v>
      </c>
      <c r="L2374" s="177"/>
    </row>
    <row r="2375" spans="1:12" ht="18" hidden="1">
      <c r="A2375" s="134"/>
      <c r="E2375" s="166"/>
      <c r="F2375" s="173">
        <v>19</v>
      </c>
      <c r="G2375" s="174" t="s">
        <v>1785</v>
      </c>
      <c r="H2375" s="166" t="s">
        <v>2640</v>
      </c>
      <c r="I2375" s="173">
        <v>2</v>
      </c>
      <c r="J2375" s="174" t="s">
        <v>450</v>
      </c>
      <c r="K2375" s="183">
        <f>I2375*F2375</f>
        <v>38</v>
      </c>
      <c r="L2375" s="168"/>
    </row>
    <row r="2376" spans="1:12" ht="18" hidden="1">
      <c r="A2376" s="134"/>
      <c r="E2376" s="166"/>
      <c r="F2376" s="168"/>
      <c r="G2376" s="166"/>
      <c r="H2376" s="166"/>
      <c r="I2376" s="168"/>
      <c r="J2376" s="166"/>
      <c r="K2376" s="177">
        <f>SUM(K2367:K2375)</f>
        <v>2050.88</v>
      </c>
      <c r="L2376" s="177"/>
    </row>
    <row r="2377" spans="1:12" ht="21" hidden="1">
      <c r="A2377" s="134"/>
      <c r="E2377" s="166"/>
      <c r="F2377" s="168"/>
      <c r="G2377" s="166"/>
      <c r="H2377" s="181" t="s">
        <v>2768</v>
      </c>
      <c r="I2377" s="177">
        <f>K2376/10</f>
        <v>205.09</v>
      </c>
      <c r="J2377" s="166"/>
      <c r="K2377" s="168"/>
      <c r="L2377" s="168"/>
    </row>
    <row r="2378" spans="1:12" ht="18" hidden="1">
      <c r="A2378" s="134"/>
      <c r="E2378" s="166"/>
      <c r="F2378" s="168"/>
      <c r="G2378" s="166"/>
      <c r="H2378" s="167" t="s">
        <v>2641</v>
      </c>
      <c r="I2378" s="177">
        <f>I2377</f>
        <v>205.09</v>
      </c>
      <c r="J2378" s="184">
        <f>I2393</f>
        <v>12.32</v>
      </c>
      <c r="K2378" s="177">
        <f>I2378+J2378</f>
        <v>217.41</v>
      </c>
      <c r="L2378" s="168"/>
    </row>
    <row r="2379" spans="1:12" ht="36" hidden="1">
      <c r="A2379" s="134"/>
      <c r="E2379" s="178">
        <v>18.100000000000001</v>
      </c>
      <c r="F2379" s="170" t="s">
        <v>2642</v>
      </c>
      <c r="G2379" s="166"/>
      <c r="H2379" s="185" t="s">
        <v>3427</v>
      </c>
      <c r="I2379" s="168"/>
      <c r="J2379" s="166"/>
      <c r="K2379" s="168"/>
      <c r="L2379" s="168"/>
    </row>
    <row r="2380" spans="1:12" ht="18" hidden="1">
      <c r="A2380" s="134"/>
      <c r="E2380" s="166"/>
      <c r="F2380" s="168"/>
      <c r="G2380" s="166"/>
      <c r="H2380" s="166" t="s">
        <v>3428</v>
      </c>
      <c r="I2380" s="173">
        <f>K2376</f>
        <v>2050.88</v>
      </c>
      <c r="J2380" s="166"/>
      <c r="K2380" s="168"/>
      <c r="L2380" s="168"/>
    </row>
    <row r="2381" spans="1:12" ht="18" hidden="1">
      <c r="A2381" s="134"/>
      <c r="E2381" s="166"/>
      <c r="F2381" s="168"/>
      <c r="G2381" s="166"/>
      <c r="H2381" s="166" t="s">
        <v>2637</v>
      </c>
      <c r="I2381" s="173">
        <f>K2391</f>
        <v>369.6</v>
      </c>
      <c r="J2381" s="178" t="s">
        <v>3429</v>
      </c>
      <c r="K2381" s="168"/>
      <c r="L2381" s="168"/>
    </row>
    <row r="2382" spans="1:12" ht="18" hidden="1">
      <c r="A2382" s="134"/>
      <c r="E2382" s="166"/>
      <c r="F2382" s="168"/>
      <c r="G2382" s="166"/>
      <c r="H2382" s="166"/>
      <c r="I2382" s="170">
        <f>I2380-I2381</f>
        <v>1681.28</v>
      </c>
      <c r="J2382" s="166"/>
      <c r="K2382" s="168"/>
      <c r="L2382" s="168"/>
    </row>
    <row r="2383" spans="1:12" ht="21" hidden="1">
      <c r="A2383" s="134"/>
      <c r="E2383" s="166"/>
      <c r="F2383" s="168"/>
      <c r="G2383" s="166"/>
      <c r="H2383" s="181" t="s">
        <v>2768</v>
      </c>
      <c r="I2383" s="170">
        <f>I2382/10</f>
        <v>168.13</v>
      </c>
      <c r="J2383" s="166"/>
      <c r="K2383" s="168"/>
      <c r="L2383" s="168"/>
    </row>
    <row r="2384" spans="1:12" ht="18" hidden="1">
      <c r="A2384" s="134"/>
      <c r="E2384" s="166"/>
      <c r="F2384" s="168"/>
      <c r="G2384" s="166"/>
      <c r="H2384" s="166"/>
      <c r="I2384" s="168"/>
      <c r="J2384" s="166"/>
      <c r="K2384" s="168"/>
      <c r="L2384" s="168"/>
    </row>
    <row r="2385" spans="1:12" ht="18" hidden="1">
      <c r="A2385" s="134"/>
      <c r="E2385" s="166"/>
      <c r="F2385" s="168"/>
      <c r="G2385" s="166"/>
      <c r="H2385" s="178" t="s">
        <v>3430</v>
      </c>
      <c r="I2385" s="168"/>
      <c r="J2385" s="166"/>
      <c r="K2385" s="168"/>
      <c r="L2385" s="173"/>
    </row>
    <row r="2386" spans="1:12" ht="36" hidden="1">
      <c r="A2386" s="134"/>
      <c r="E2386" s="166"/>
      <c r="F2386" s="168"/>
      <c r="G2386" s="166"/>
      <c r="H2386" s="185" t="s">
        <v>2385</v>
      </c>
      <c r="I2386" s="168"/>
      <c r="J2386" s="166"/>
      <c r="K2386" s="168"/>
      <c r="L2386" s="173"/>
    </row>
    <row r="2387" spans="1:12" ht="36" hidden="1">
      <c r="A2387" s="134"/>
      <c r="E2387" s="166"/>
      <c r="F2387" s="173">
        <v>98.5</v>
      </c>
      <c r="G2387" s="174" t="s">
        <v>3500</v>
      </c>
      <c r="H2387" s="186" t="s">
        <v>2386</v>
      </c>
      <c r="I2387" s="173">
        <f>I2369</f>
        <v>3</v>
      </c>
      <c r="J2387" s="174" t="s">
        <v>3500</v>
      </c>
      <c r="K2387" s="173">
        <f>I2387*F2387</f>
        <v>295.5</v>
      </c>
      <c r="L2387" s="173"/>
    </row>
    <row r="2388" spans="1:12" ht="21" hidden="1">
      <c r="A2388" s="134"/>
      <c r="E2388" s="166"/>
      <c r="F2388" s="173">
        <v>0.3</v>
      </c>
      <c r="G2388" s="174" t="s">
        <v>1785</v>
      </c>
      <c r="H2388" s="186" t="s">
        <v>2769</v>
      </c>
      <c r="I2388" s="173">
        <f>I2371</f>
        <v>150</v>
      </c>
      <c r="J2388" s="174" t="s">
        <v>1785</v>
      </c>
      <c r="K2388" s="173">
        <f>I2388*F2388</f>
        <v>45</v>
      </c>
      <c r="L2388" s="173"/>
    </row>
    <row r="2389" spans="1:12" ht="21" hidden="1">
      <c r="A2389" s="134"/>
      <c r="E2389" s="166"/>
      <c r="F2389" s="173">
        <v>0.3</v>
      </c>
      <c r="G2389" s="174" t="s">
        <v>1785</v>
      </c>
      <c r="H2389" s="186" t="s">
        <v>2770</v>
      </c>
      <c r="I2389" s="173">
        <f>I2372</f>
        <v>95</v>
      </c>
      <c r="J2389" s="174" t="s">
        <v>1785</v>
      </c>
      <c r="K2389" s="173">
        <f>I2389*F2389</f>
        <v>28.5</v>
      </c>
      <c r="L2389" s="170"/>
    </row>
    <row r="2390" spans="1:12" ht="18" hidden="1">
      <c r="A2390" s="134"/>
      <c r="E2390" s="166"/>
      <c r="F2390" s="168"/>
      <c r="G2390" s="166"/>
      <c r="H2390" s="187" t="s">
        <v>2387</v>
      </c>
      <c r="I2390" s="1852" t="s">
        <v>450</v>
      </c>
      <c r="J2390" s="1852"/>
      <c r="K2390" s="173">
        <v>0.6</v>
      </c>
      <c r="L2390" s="168"/>
    </row>
    <row r="2391" spans="1:12" ht="21" hidden="1">
      <c r="A2391" s="134"/>
      <c r="E2391" s="166"/>
      <c r="F2391" s="168"/>
      <c r="G2391" s="166"/>
      <c r="H2391" s="187" t="s">
        <v>2771</v>
      </c>
      <c r="I2391" s="168"/>
      <c r="J2391" s="166"/>
      <c r="K2391" s="170">
        <f>SUM(K2387:K2390)</f>
        <v>369.6</v>
      </c>
      <c r="L2391" s="168"/>
    </row>
    <row r="2392" spans="1:12" ht="21" hidden="1">
      <c r="A2392" s="134"/>
      <c r="E2392" s="166"/>
      <c r="F2392" s="168"/>
      <c r="G2392" s="166"/>
      <c r="H2392" s="187" t="s">
        <v>2772</v>
      </c>
      <c r="I2392" s="177">
        <f>K2391/10</f>
        <v>36.96</v>
      </c>
      <c r="J2392" s="166"/>
      <c r="K2392" s="168"/>
      <c r="L2392" s="168"/>
    </row>
    <row r="2393" spans="1:12" ht="18" hidden="1">
      <c r="A2393" s="134"/>
      <c r="E2393" s="166"/>
      <c r="F2393" s="168"/>
      <c r="G2393" s="166"/>
      <c r="H2393" s="187" t="s">
        <v>2388</v>
      </c>
      <c r="I2393" s="177">
        <f>I2392/3</f>
        <v>12.32</v>
      </c>
      <c r="J2393" s="166"/>
      <c r="K2393" s="168"/>
      <c r="L2393" s="168"/>
    </row>
    <row r="2394" spans="1:12" ht="18" hidden="1">
      <c r="A2394" s="134"/>
      <c r="E2394" s="166"/>
      <c r="F2394" s="168"/>
      <c r="G2394" s="166"/>
      <c r="H2394" s="186"/>
      <c r="I2394" s="168"/>
      <c r="J2394" s="166"/>
      <c r="K2394" s="168"/>
      <c r="L2394" s="168"/>
    </row>
    <row r="2395" spans="1:12" ht="36" hidden="1">
      <c r="A2395" s="134"/>
      <c r="E2395" s="178">
        <v>18.100000000000001</v>
      </c>
      <c r="F2395" s="170" t="s">
        <v>2303</v>
      </c>
      <c r="G2395" s="166"/>
      <c r="H2395" s="188" t="s">
        <v>3062</v>
      </c>
      <c r="I2395" s="170">
        <f>I2377*1.2</f>
        <v>246.11</v>
      </c>
      <c r="J2395" s="166"/>
      <c r="K2395" s="168"/>
    </row>
    <row r="2396" spans="1:12" ht="36" hidden="1">
      <c r="A2396" s="134"/>
      <c r="E2396" s="169">
        <v>18.100000000000001</v>
      </c>
      <c r="F2396" s="170" t="s">
        <v>3063</v>
      </c>
      <c r="G2396" s="166"/>
      <c r="H2396" s="189" t="s">
        <v>3064</v>
      </c>
      <c r="I2396" s="170">
        <f>I2377*1.1</f>
        <v>225.6</v>
      </c>
      <c r="J2396" s="166"/>
      <c r="K2396" s="168"/>
    </row>
    <row r="2397" spans="1:12" hidden="1">
      <c r="A2397" s="134"/>
      <c r="E2397" s="76"/>
      <c r="F2397" s="76"/>
      <c r="G2397" s="77"/>
      <c r="H2397" s="76"/>
      <c r="I2397" s="76"/>
      <c r="J2397" s="78"/>
      <c r="K2397" s="76"/>
    </row>
    <row r="2398" spans="1:12" hidden="1">
      <c r="A2398" s="134"/>
      <c r="E2398" s="76"/>
      <c r="F2398" s="76"/>
      <c r="G2398" s="77"/>
      <c r="H2398" s="76"/>
      <c r="I2398" s="76"/>
      <c r="J2398" s="78"/>
      <c r="K2398" s="76"/>
    </row>
    <row r="2399" spans="1:12" ht="23.25" hidden="1">
      <c r="A2399" s="134"/>
      <c r="E2399" s="76"/>
      <c r="F2399"/>
      <c r="G2399" s="3"/>
      <c r="H2399" s="190" t="s">
        <v>2411</v>
      </c>
      <c r="I2399"/>
      <c r="J2399" s="4"/>
      <c r="K2399" s="8"/>
    </row>
    <row r="2400" spans="1:12" hidden="1">
      <c r="A2400" s="134"/>
      <c r="E2400" s="76"/>
      <c r="F2400" s="191">
        <v>18.100000000000001</v>
      </c>
      <c r="G2400" s="7" t="s">
        <v>2276</v>
      </c>
      <c r="H2400" s="1" t="s">
        <v>11</v>
      </c>
      <c r="I2400"/>
      <c r="J2400" s="4"/>
      <c r="K2400"/>
    </row>
    <row r="2401" spans="1:11" hidden="1">
      <c r="A2401" s="134"/>
      <c r="E2401" s="76"/>
      <c r="F2401"/>
      <c r="G2401" s="3"/>
      <c r="H2401" s="1" t="s">
        <v>655</v>
      </c>
      <c r="I2401"/>
      <c r="J2401" s="4"/>
      <c r="K2401"/>
    </row>
    <row r="2402" spans="1:11" hidden="1">
      <c r="A2402" s="134"/>
      <c r="E2402" s="76"/>
      <c r="F2402"/>
      <c r="G2402" s="3"/>
      <c r="H2402" s="1" t="s">
        <v>657</v>
      </c>
      <c r="I2402"/>
      <c r="J2402" s="4"/>
      <c r="K2402"/>
    </row>
    <row r="2403" spans="1:11" hidden="1">
      <c r="A2403" s="134"/>
      <c r="E2403" s="76"/>
      <c r="F2403"/>
      <c r="G2403" s="3"/>
      <c r="H2403" s="1" t="s">
        <v>519</v>
      </c>
      <c r="I2403"/>
      <c r="J2403" s="4"/>
      <c r="K2403"/>
    </row>
    <row r="2404" spans="1:11" hidden="1">
      <c r="A2404" s="134"/>
      <c r="E2404" s="76"/>
      <c r="F2404"/>
      <c r="G2404" s="3"/>
      <c r="H2404" s="1" t="s">
        <v>521</v>
      </c>
      <c r="I2404"/>
      <c r="J2404" s="4"/>
      <c r="K2404"/>
    </row>
    <row r="2405" spans="1:11" hidden="1">
      <c r="A2405" s="134"/>
      <c r="E2405" s="76"/>
      <c r="F2405"/>
      <c r="G2405" s="3"/>
      <c r="H2405" s="1" t="s">
        <v>2</v>
      </c>
      <c r="I2405"/>
      <c r="J2405" s="4"/>
      <c r="K2405"/>
    </row>
    <row r="2406" spans="1:11" hidden="1">
      <c r="A2406" s="134"/>
      <c r="E2406" s="76"/>
      <c r="F2406"/>
      <c r="G2406" s="3"/>
      <c r="H2406" s="1" t="s">
        <v>1244</v>
      </c>
      <c r="I2406"/>
      <c r="J2406" s="4"/>
      <c r="K2406"/>
    </row>
    <row r="2407" spans="1:11" hidden="1">
      <c r="A2407" s="134"/>
      <c r="E2407" s="76"/>
      <c r="F2407"/>
      <c r="G2407" s="3"/>
      <c r="H2407" s="5" t="s">
        <v>1609</v>
      </c>
      <c r="I2407" s="5" t="s">
        <v>1609</v>
      </c>
      <c r="J2407" s="2" t="s">
        <v>1609</v>
      </c>
      <c r="K2407"/>
    </row>
    <row r="2408" spans="1:11" hidden="1">
      <c r="A2408" s="134"/>
      <c r="E2408" s="76"/>
      <c r="F2408" s="8">
        <v>13.46</v>
      </c>
      <c r="G2408" s="7" t="s">
        <v>268</v>
      </c>
      <c r="H2408" s="1" t="s">
        <v>269</v>
      </c>
      <c r="I2408" s="8">
        <f>I2361</f>
        <v>30</v>
      </c>
      <c r="J2408" s="2" t="s">
        <v>268</v>
      </c>
      <c r="K2408" s="8">
        <f>(F2408*I2408)</f>
        <v>403.8</v>
      </c>
    </row>
    <row r="2409" spans="1:11" hidden="1">
      <c r="A2409" s="134"/>
      <c r="E2409" s="76"/>
      <c r="F2409"/>
      <c r="G2409" s="3"/>
      <c r="H2409" s="1" t="s">
        <v>992</v>
      </c>
      <c r="I2409"/>
      <c r="J2409" s="4"/>
      <c r="K2409"/>
    </row>
    <row r="2410" spans="1:11" hidden="1">
      <c r="A2410" s="134"/>
      <c r="E2410" s="76"/>
      <c r="F2410" s="8">
        <v>4</v>
      </c>
      <c r="G2410" s="7" t="s">
        <v>268</v>
      </c>
      <c r="H2410" s="1" t="s">
        <v>994</v>
      </c>
      <c r="I2410" s="8">
        <f>I2362</f>
        <v>30</v>
      </c>
      <c r="J2410" s="2" t="s">
        <v>268</v>
      </c>
      <c r="K2410" s="8">
        <f>(F2410*I2410)</f>
        <v>120</v>
      </c>
    </row>
    <row r="2411" spans="1:11" hidden="1">
      <c r="A2411" s="134"/>
      <c r="E2411" s="76"/>
      <c r="F2411"/>
      <c r="G2411" s="3"/>
      <c r="H2411" s="1" t="s">
        <v>1045</v>
      </c>
      <c r="I2411"/>
      <c r="J2411" s="4"/>
      <c r="K2411"/>
    </row>
    <row r="2412" spans="1:11" hidden="1">
      <c r="A2412" s="134"/>
      <c r="E2412" s="76"/>
      <c r="F2412" s="8"/>
      <c r="G2412" s="7" t="s">
        <v>450</v>
      </c>
      <c r="H2412" s="1" t="s">
        <v>1681</v>
      </c>
      <c r="I2412"/>
      <c r="J2412" s="2" t="s">
        <v>450</v>
      </c>
      <c r="K2412" s="8">
        <v>40</v>
      </c>
    </row>
    <row r="2413" spans="1:11" hidden="1">
      <c r="A2413" s="134"/>
      <c r="E2413" s="76"/>
      <c r="F2413"/>
      <c r="G2413" s="3"/>
      <c r="H2413" s="1" t="s">
        <v>1683</v>
      </c>
      <c r="I2413"/>
      <c r="J2413" s="4"/>
      <c r="K2413" s="5" t="s">
        <v>1609</v>
      </c>
    </row>
    <row r="2414" spans="1:11" hidden="1">
      <c r="A2414" s="134"/>
      <c r="E2414" s="76"/>
      <c r="F2414"/>
      <c r="G2414" s="3"/>
      <c r="H2414" s="2" t="s">
        <v>25</v>
      </c>
      <c r="I2414"/>
      <c r="J2414" s="4"/>
      <c r="K2414" s="8">
        <f>SUM(K2408:K2412)</f>
        <v>563.79999999999995</v>
      </c>
    </row>
    <row r="2415" spans="1:11" ht="17.25" hidden="1">
      <c r="A2415" s="134"/>
      <c r="E2415" s="149"/>
      <c r="F2415"/>
      <c r="G2415" s="3"/>
      <c r="H2415"/>
      <c r="I2415"/>
      <c r="J2415" s="4"/>
      <c r="K2415" s="5" t="s">
        <v>1609</v>
      </c>
    </row>
    <row r="2416" spans="1:11" ht="17.25" hidden="1">
      <c r="A2416" s="134"/>
      <c r="E2416" s="149"/>
      <c r="F2416"/>
      <c r="G2416" s="3"/>
      <c r="H2416" s="2" t="s">
        <v>29</v>
      </c>
      <c r="I2416"/>
      <c r="J2416" s="4"/>
      <c r="K2416" s="8">
        <f>K2414/40</f>
        <v>14.1</v>
      </c>
    </row>
    <row r="2417" spans="1:11" ht="17.25" hidden="1">
      <c r="A2417" s="134"/>
      <c r="E2417" s="149"/>
      <c r="F2417"/>
      <c r="G2417" s="3"/>
      <c r="H2417"/>
      <c r="I2417"/>
      <c r="J2417" s="4"/>
      <c r="K2417" s="5" t="s">
        <v>1609</v>
      </c>
    </row>
    <row r="2418" spans="1:11" ht="17.25" hidden="1">
      <c r="A2418" s="134"/>
      <c r="E2418" s="149"/>
      <c r="F2418"/>
      <c r="G2418" s="3"/>
      <c r="H2418" s="1" t="s">
        <v>906</v>
      </c>
      <c r="I2418"/>
      <c r="J2418" s="4"/>
      <c r="K2418"/>
    </row>
    <row r="2419" spans="1:11" ht="17.25" hidden="1">
      <c r="A2419" s="134"/>
      <c r="E2419" s="149"/>
      <c r="F2419"/>
      <c r="G2419" s="3"/>
      <c r="H2419" s="1" t="s">
        <v>314</v>
      </c>
      <c r="I2419"/>
      <c r="J2419" s="4"/>
      <c r="K2419"/>
    </row>
    <row r="2420" spans="1:11" ht="17.25" hidden="1">
      <c r="A2420" s="134"/>
      <c r="E2420" s="149"/>
      <c r="F2420"/>
      <c r="G2420" s="3"/>
      <c r="H2420" s="1" t="s">
        <v>316</v>
      </c>
      <c r="I2420"/>
      <c r="J2420" s="4"/>
      <c r="K2420"/>
    </row>
    <row r="2421" spans="1:11" ht="17.25" hidden="1">
      <c r="A2421" s="134"/>
      <c r="E2421" s="149"/>
      <c r="F2421"/>
      <c r="G2421" s="3"/>
      <c r="H2421"/>
      <c r="I2421"/>
      <c r="J2421" s="4"/>
      <c r="K2421"/>
    </row>
    <row r="2422" spans="1:11" ht="17.25" hidden="1">
      <c r="A2422" s="134"/>
      <c r="E2422" s="149"/>
      <c r="F2422" s="8">
        <v>19</v>
      </c>
      <c r="G2422" s="7" t="s">
        <v>1452</v>
      </c>
      <c r="H2422" s="1" t="s">
        <v>70</v>
      </c>
      <c r="I2422" s="8">
        <f>K2416</f>
        <v>14.1</v>
      </c>
      <c r="J2422" s="2" t="s">
        <v>259</v>
      </c>
      <c r="K2422" s="8">
        <f>(F2422*I2422)</f>
        <v>267.89999999999998</v>
      </c>
    </row>
    <row r="2423" spans="1:11" ht="17.25" hidden="1">
      <c r="A2423" s="134"/>
      <c r="E2423" s="149"/>
      <c r="F2423"/>
      <c r="G2423" s="3"/>
      <c r="H2423" s="1" t="s">
        <v>1685</v>
      </c>
      <c r="I2423"/>
      <c r="J2423" s="4"/>
      <c r="K2423" s="8"/>
    </row>
    <row r="2424" spans="1:11" ht="17.25" hidden="1">
      <c r="A2424" s="134"/>
      <c r="E2424" s="149"/>
      <c r="F2424" s="8">
        <v>0.12</v>
      </c>
      <c r="G2424" s="7" t="s">
        <v>2176</v>
      </c>
      <c r="H2424" s="1" t="s">
        <v>2983</v>
      </c>
      <c r="I2424" s="8">
        <f>9395/5</f>
        <v>1879</v>
      </c>
      <c r="J2424" s="2" t="s">
        <v>259</v>
      </c>
      <c r="K2424" s="8">
        <f t="shared" ref="K2424:K2431" si="78">(F2424*I2424)</f>
        <v>225.48</v>
      </c>
    </row>
    <row r="2425" spans="1:11" ht="17.25" hidden="1">
      <c r="A2425" s="134"/>
      <c r="E2425" s="149"/>
      <c r="F2425" s="8">
        <v>98.5</v>
      </c>
      <c r="G2425" s="7" t="s">
        <v>835</v>
      </c>
      <c r="H2425" s="1" t="s">
        <v>836</v>
      </c>
      <c r="I2425" s="8">
        <f>I2369</f>
        <v>3</v>
      </c>
      <c r="J2425" s="2" t="s">
        <v>259</v>
      </c>
      <c r="K2425" s="8">
        <f t="shared" si="78"/>
        <v>295.5</v>
      </c>
    </row>
    <row r="2426" spans="1:11" ht="17.25" hidden="1">
      <c r="A2426" s="134"/>
      <c r="E2426" s="149"/>
      <c r="F2426" s="8">
        <v>1</v>
      </c>
      <c r="G2426" s="7" t="s">
        <v>450</v>
      </c>
      <c r="H2426" s="1" t="s">
        <v>1411</v>
      </c>
      <c r="I2426" s="8">
        <v>11</v>
      </c>
      <c r="J2426" s="2" t="s">
        <v>450</v>
      </c>
      <c r="K2426" s="8">
        <f t="shared" si="78"/>
        <v>11</v>
      </c>
    </row>
    <row r="2427" spans="1:11" ht="17.25" hidden="1">
      <c r="A2427" s="134"/>
      <c r="E2427" s="149"/>
      <c r="F2427" s="8">
        <v>3.8</v>
      </c>
      <c r="G2427" s="7" t="s">
        <v>1414</v>
      </c>
      <c r="H2427" s="1" t="s">
        <v>1415</v>
      </c>
      <c r="I2427" s="8">
        <f>C16</f>
        <v>150</v>
      </c>
      <c r="J2427" s="2" t="s">
        <v>1418</v>
      </c>
      <c r="K2427" s="8">
        <f t="shared" si="78"/>
        <v>570</v>
      </c>
    </row>
    <row r="2428" spans="1:11" ht="17.25" hidden="1">
      <c r="A2428" s="134"/>
      <c r="E2428" s="149"/>
      <c r="F2428" s="8">
        <v>5.4</v>
      </c>
      <c r="G2428" s="7" t="s">
        <v>1414</v>
      </c>
      <c r="H2428" s="1" t="s">
        <v>832</v>
      </c>
      <c r="I2428" s="8">
        <f>C12</f>
        <v>95</v>
      </c>
      <c r="J2428" s="2" t="s">
        <v>1418</v>
      </c>
      <c r="K2428" s="8">
        <f t="shared" si="78"/>
        <v>513</v>
      </c>
    </row>
    <row r="2429" spans="1:11" ht="17.25" hidden="1">
      <c r="A2429" s="134"/>
      <c r="E2429" s="149"/>
      <c r="F2429" s="8">
        <v>1</v>
      </c>
      <c r="G2429" s="7" t="s">
        <v>1414</v>
      </c>
      <c r="H2429" s="1" t="s">
        <v>2311</v>
      </c>
      <c r="I2429" s="8">
        <f>D17</f>
        <v>120</v>
      </c>
      <c r="J2429" s="2" t="s">
        <v>1418</v>
      </c>
      <c r="K2429" s="8">
        <f t="shared" si="78"/>
        <v>120</v>
      </c>
    </row>
    <row r="2430" spans="1:11" ht="17.25" hidden="1">
      <c r="A2430" s="134"/>
      <c r="E2430" s="149"/>
      <c r="F2430" s="8">
        <v>1</v>
      </c>
      <c r="G2430" s="7" t="s">
        <v>450</v>
      </c>
      <c r="H2430" s="1" t="s">
        <v>784</v>
      </c>
      <c r="I2430" s="8">
        <v>10</v>
      </c>
      <c r="J2430" s="2" t="s">
        <v>450</v>
      </c>
      <c r="K2430" s="8">
        <f t="shared" si="78"/>
        <v>10</v>
      </c>
    </row>
    <row r="2431" spans="1:11" ht="17.25" hidden="1">
      <c r="A2431" s="134"/>
      <c r="E2431" s="149"/>
      <c r="F2431" s="8">
        <v>19</v>
      </c>
      <c r="G2431" s="7" t="s">
        <v>1452</v>
      </c>
      <c r="H2431" s="1" t="s">
        <v>786</v>
      </c>
      <c r="I2431" s="8">
        <v>2</v>
      </c>
      <c r="J2431" s="2" t="s">
        <v>1452</v>
      </c>
      <c r="K2431" s="8">
        <f t="shared" si="78"/>
        <v>38</v>
      </c>
    </row>
    <row r="2432" spans="1:11" ht="17.25" hidden="1">
      <c r="A2432" s="134"/>
      <c r="E2432" s="149"/>
      <c r="F2432"/>
      <c r="G2432" s="3"/>
      <c r="H2432" s="1" t="s">
        <v>505</v>
      </c>
      <c r="I2432"/>
      <c r="J2432" s="4"/>
      <c r="K2432" s="5" t="s">
        <v>1609</v>
      </c>
    </row>
    <row r="2433" spans="1:11" ht="17.25" hidden="1">
      <c r="A2433" s="134"/>
      <c r="E2433" s="149"/>
      <c r="F2433"/>
      <c r="G2433" s="3"/>
      <c r="H2433" s="2" t="s">
        <v>442</v>
      </c>
      <c r="I2433"/>
      <c r="J2433" s="4"/>
      <c r="K2433" s="8">
        <f>SUM(K2422:K2431)</f>
        <v>2050.88</v>
      </c>
    </row>
    <row r="2434" spans="1:11" ht="17.25" hidden="1">
      <c r="A2434" s="134"/>
      <c r="E2434" s="149"/>
      <c r="F2434"/>
      <c r="G2434" s="3"/>
      <c r="H2434"/>
      <c r="I2434"/>
      <c r="J2434" s="4"/>
      <c r="K2434" s="5" t="s">
        <v>1609</v>
      </c>
    </row>
    <row r="2435" spans="1:11" ht="17.25" hidden="1">
      <c r="A2435" s="134"/>
      <c r="E2435" s="149"/>
      <c r="F2435"/>
      <c r="G2435" s="3"/>
      <c r="H2435" s="2" t="s">
        <v>556</v>
      </c>
      <c r="I2435"/>
      <c r="J2435" s="4"/>
      <c r="K2435" s="8">
        <f>(K2433/10)</f>
        <v>205.09</v>
      </c>
    </row>
    <row r="2436" spans="1:11" ht="17.25" hidden="1">
      <c r="A2436" s="134"/>
      <c r="E2436" s="149"/>
      <c r="F2436" s="1" t="s">
        <v>987</v>
      </c>
      <c r="G2436" s="3"/>
      <c r="H2436"/>
      <c r="I2436"/>
      <c r="J2436" s="4"/>
      <c r="K2436"/>
    </row>
    <row r="2437" spans="1:11" ht="17.25" hidden="1">
      <c r="A2437" s="134"/>
      <c r="E2437" s="149"/>
      <c r="F2437"/>
      <c r="G2437" s="3"/>
      <c r="H2437"/>
      <c r="I2437"/>
      <c r="J2437" s="4"/>
      <c r="K2437" s="5" t="s">
        <v>2080</v>
      </c>
    </row>
    <row r="2438" spans="1:11" ht="30" hidden="1">
      <c r="A2438" s="134"/>
      <c r="E2438" s="149"/>
      <c r="F2438" s="192" t="s">
        <v>2642</v>
      </c>
      <c r="G2438" s="23"/>
      <c r="H2438" s="193" t="s">
        <v>3504</v>
      </c>
      <c r="I2438"/>
      <c r="J2438" s="4"/>
      <c r="K2438"/>
    </row>
    <row r="2439" spans="1:11" ht="17.25" hidden="1">
      <c r="A2439" s="134"/>
      <c r="E2439" s="149"/>
      <c r="F2439" s="23"/>
      <c r="G2439" s="3"/>
      <c r="H2439"/>
      <c r="I2439"/>
      <c r="J2439" s="4"/>
      <c r="K2439" s="39"/>
    </row>
    <row r="2440" spans="1:11" ht="17.25" hidden="1">
      <c r="A2440" s="134"/>
      <c r="E2440" s="149"/>
      <c r="F2440">
        <v>98.5</v>
      </c>
      <c r="G2440" s="3" t="s">
        <v>835</v>
      </c>
      <c r="H2440" s="1" t="s">
        <v>836</v>
      </c>
      <c r="I2440" s="8">
        <f>I2425</f>
        <v>3</v>
      </c>
      <c r="J2440" s="2" t="s">
        <v>259</v>
      </c>
      <c r="K2440">
        <f>(F2440*I2440)</f>
        <v>295.5</v>
      </c>
    </row>
    <row r="2441" spans="1:11" ht="17.25" hidden="1">
      <c r="A2441" s="134"/>
      <c r="E2441" s="149"/>
      <c r="F2441">
        <v>0.3</v>
      </c>
      <c r="G2441" s="3" t="s">
        <v>1414</v>
      </c>
      <c r="H2441" s="1" t="s">
        <v>1415</v>
      </c>
      <c r="I2441" s="8">
        <f>I2427</f>
        <v>150</v>
      </c>
      <c r="J2441" s="2" t="s">
        <v>1418</v>
      </c>
      <c r="K2441">
        <f>(F2441*I2441)</f>
        <v>45</v>
      </c>
    </row>
    <row r="2442" spans="1:11" ht="17.25" hidden="1">
      <c r="A2442" s="134"/>
      <c r="E2442" s="149"/>
      <c r="F2442">
        <v>0.3</v>
      </c>
      <c r="G2442" s="3" t="s">
        <v>1414</v>
      </c>
      <c r="H2442" s="1" t="s">
        <v>832</v>
      </c>
      <c r="I2442" s="8">
        <f>I2428</f>
        <v>95</v>
      </c>
      <c r="J2442" s="2" t="s">
        <v>1418</v>
      </c>
      <c r="K2442">
        <f>(F2442*I2442)</f>
        <v>28.5</v>
      </c>
    </row>
    <row r="2443" spans="1:11" ht="17.25" hidden="1">
      <c r="A2443" s="134"/>
      <c r="E2443" s="149"/>
      <c r="F2443"/>
      <c r="G2443" s="3"/>
      <c r="H2443" s="1" t="s">
        <v>2296</v>
      </c>
      <c r="I2443"/>
      <c r="J2443" s="4" t="s">
        <v>69</v>
      </c>
      <c r="K2443" s="39">
        <v>0.6</v>
      </c>
    </row>
    <row r="2444" spans="1:11" ht="17.25" hidden="1">
      <c r="A2444" s="134"/>
      <c r="E2444" s="149"/>
      <c r="F2444"/>
      <c r="G2444" s="3"/>
      <c r="H2444" s="2" t="s">
        <v>442</v>
      </c>
      <c r="I2444"/>
      <c r="J2444" s="4"/>
      <c r="K2444">
        <f>SUM(K2440:K2443)</f>
        <v>369.6</v>
      </c>
    </row>
    <row r="2445" spans="1:11" ht="17.25" hidden="1">
      <c r="A2445" s="134"/>
      <c r="E2445" s="149"/>
      <c r="F2445"/>
      <c r="G2445" s="3"/>
      <c r="H2445" s="1"/>
      <c r="I2445"/>
      <c r="J2445" s="4"/>
      <c r="K2445" s="39" t="s">
        <v>429</v>
      </c>
    </row>
    <row r="2446" spans="1:11" ht="17.25" hidden="1">
      <c r="A2446" s="134"/>
      <c r="E2446" s="149"/>
      <c r="F2446"/>
      <c r="G2446" s="3"/>
      <c r="H2446" s="2" t="s">
        <v>556</v>
      </c>
      <c r="I2446"/>
      <c r="J2446" s="4"/>
      <c r="K2446">
        <f>K2444/10</f>
        <v>36.96</v>
      </c>
    </row>
    <row r="2447" spans="1:11" ht="17.25" hidden="1">
      <c r="A2447" s="134"/>
      <c r="E2447" s="149"/>
      <c r="F2447"/>
      <c r="G2447" s="3"/>
      <c r="H2447" s="2"/>
      <c r="I2447"/>
      <c r="J2447" s="4"/>
      <c r="K2447"/>
    </row>
    <row r="2448" spans="1:11" ht="32.25" hidden="1">
      <c r="A2448" s="134"/>
      <c r="E2448" s="149"/>
      <c r="F2448"/>
      <c r="G2448" s="3"/>
      <c r="H2448" s="19" t="s">
        <v>3505</v>
      </c>
      <c r="I2448"/>
      <c r="J2448" s="4" t="s">
        <v>3506</v>
      </c>
      <c r="K2448">
        <f>K2435-K2446</f>
        <v>168.13</v>
      </c>
    </row>
    <row r="2449" spans="1:11" ht="17.25" hidden="1">
      <c r="A2449" s="134"/>
      <c r="E2449" s="149"/>
      <c r="F2449"/>
      <c r="G2449" s="3"/>
      <c r="H2449" s="1"/>
      <c r="I2449"/>
      <c r="J2449" s="4"/>
      <c r="K2449" s="39" t="s">
        <v>34</v>
      </c>
    </row>
    <row r="2450" spans="1:11" ht="17.25" hidden="1">
      <c r="A2450" s="134"/>
      <c r="E2450" s="149"/>
      <c r="F2450"/>
      <c r="G2450" s="3"/>
      <c r="H2450"/>
      <c r="I2450"/>
      <c r="J2450" s="4"/>
      <c r="K2450"/>
    </row>
    <row r="2451" spans="1:11" ht="45" hidden="1">
      <c r="A2451" s="134"/>
      <c r="E2451" s="149"/>
      <c r="F2451" s="192" t="s">
        <v>3249</v>
      </c>
      <c r="G2451" s="3"/>
      <c r="H2451" s="193" t="s">
        <v>3065</v>
      </c>
      <c r="I2451"/>
      <c r="J2451" s="4" t="s">
        <v>3506</v>
      </c>
      <c r="K2451">
        <f>K2435</f>
        <v>205.09</v>
      </c>
    </row>
    <row r="2452" spans="1:11" ht="17.25" hidden="1">
      <c r="A2452" s="134"/>
      <c r="E2452" s="149"/>
      <c r="F2452"/>
      <c r="H2452" s="86"/>
      <c r="I2452"/>
      <c r="J2452" s="4"/>
      <c r="K2452" s="39" t="s">
        <v>34</v>
      </c>
    </row>
    <row r="2453" spans="1:11" ht="30" hidden="1">
      <c r="A2453" s="134"/>
      <c r="E2453" s="149"/>
      <c r="F2453" s="192" t="s">
        <v>2303</v>
      </c>
      <c r="H2453" s="193" t="s">
        <v>3062</v>
      </c>
      <c r="I2453"/>
      <c r="J2453" s="4" t="s">
        <v>3506</v>
      </c>
      <c r="K2453" s="39">
        <f>K2451*1.2</f>
        <v>246.11</v>
      </c>
    </row>
    <row r="2454" spans="1:11" ht="17.25" hidden="1">
      <c r="A2454" s="134"/>
      <c r="E2454" s="149"/>
      <c r="F2454"/>
      <c r="I2454"/>
      <c r="J2454" s="4"/>
      <c r="K2454" s="39" t="s">
        <v>1242</v>
      </c>
    </row>
    <row r="2455" spans="1:11" ht="19.5" hidden="1">
      <c r="A2455" s="134"/>
      <c r="E2455" s="149"/>
      <c r="F2455" s="192" t="s">
        <v>3063</v>
      </c>
      <c r="H2455" s="193" t="s">
        <v>3064</v>
      </c>
      <c r="I2455"/>
      <c r="J2455" s="4" t="s">
        <v>3506</v>
      </c>
      <c r="K2455">
        <f>K2451*1.1</f>
        <v>225.6</v>
      </c>
    </row>
    <row r="2456" spans="1:11" ht="17.25" hidden="1">
      <c r="A2456" s="134"/>
      <c r="E2456" s="149"/>
      <c r="F2456"/>
      <c r="G2456" s="3"/>
      <c r="H2456"/>
      <c r="I2456"/>
      <c r="J2456" s="4"/>
      <c r="K2456" s="39" t="s">
        <v>1242</v>
      </c>
    </row>
    <row r="2457" spans="1:11" ht="17.25" hidden="1">
      <c r="A2457" s="134"/>
      <c r="E2457" s="149"/>
      <c r="F2457"/>
      <c r="G2457" s="3"/>
      <c r="H2457"/>
      <c r="I2457"/>
      <c r="J2457" s="4"/>
      <c r="K2457"/>
    </row>
    <row r="2458" spans="1:11" ht="17.25" hidden="1">
      <c r="A2458" s="134"/>
      <c r="E2458" s="149"/>
      <c r="F2458">
        <v>50.6</v>
      </c>
      <c r="G2458" s="7" t="s">
        <v>681</v>
      </c>
      <c r="H2458" s="1" t="s">
        <v>1165</v>
      </c>
      <c r="I2458"/>
      <c r="J2458" s="4"/>
      <c r="K2458"/>
    </row>
    <row r="2459" spans="1:11" ht="32.25" hidden="1">
      <c r="A2459" s="134"/>
      <c r="E2459" s="149"/>
      <c r="F2459"/>
      <c r="G2459" s="3"/>
      <c r="H2459" s="19" t="s">
        <v>2773</v>
      </c>
      <c r="I2459"/>
      <c r="J2459" s="4"/>
      <c r="K2459"/>
    </row>
    <row r="2460" spans="1:11" ht="17.25" hidden="1">
      <c r="A2460" s="134"/>
      <c r="E2460" s="149"/>
      <c r="F2460"/>
      <c r="G2460" s="3"/>
      <c r="H2460" s="5" t="s">
        <v>1609</v>
      </c>
      <c r="I2460" s="5" t="s">
        <v>1609</v>
      </c>
      <c r="J2460" s="4"/>
      <c r="K2460"/>
    </row>
    <row r="2461" spans="1:11" ht="18.75" hidden="1">
      <c r="A2461" s="134"/>
      <c r="E2461" s="149"/>
      <c r="F2461"/>
      <c r="G2461" s="3"/>
      <c r="H2461" s="5" t="s">
        <v>2774</v>
      </c>
      <c r="I2461" s="5"/>
      <c r="J2461" s="4"/>
      <c r="K2461"/>
    </row>
    <row r="2462" spans="1:11" ht="18.75" hidden="1">
      <c r="A2462" s="134"/>
      <c r="E2462" s="149"/>
      <c r="F2462"/>
      <c r="G2462" s="3"/>
      <c r="H2462" s="5" t="s">
        <v>3103</v>
      </c>
      <c r="I2462" s="5"/>
      <c r="J2462" s="4"/>
      <c r="K2462"/>
    </row>
    <row r="2463" spans="1:11" ht="17.25" hidden="1">
      <c r="A2463" s="134"/>
      <c r="E2463" s="149"/>
      <c r="F2463"/>
      <c r="G2463" s="3"/>
      <c r="H2463" s="5"/>
      <c r="I2463" s="5"/>
      <c r="J2463" s="4"/>
      <c r="K2463"/>
    </row>
    <row r="2464" spans="1:11" ht="17.25" hidden="1">
      <c r="A2464" s="134"/>
      <c r="E2464" s="149"/>
      <c r="F2464"/>
      <c r="G2464" s="3"/>
      <c r="H2464"/>
      <c r="I2464"/>
      <c r="J2464" s="4"/>
      <c r="K2464"/>
    </row>
    <row r="2465" spans="1:11" ht="17.25" hidden="1">
      <c r="A2465" s="134"/>
      <c r="E2465" s="149"/>
      <c r="F2465" s="11">
        <v>1.96</v>
      </c>
      <c r="G2465" s="7" t="s">
        <v>2176</v>
      </c>
      <c r="H2465" s="1" t="s">
        <v>443</v>
      </c>
      <c r="I2465" s="8" t="e">
        <f>K1644</f>
        <v>#REF!</v>
      </c>
      <c r="J2465" s="2" t="s">
        <v>2176</v>
      </c>
      <c r="K2465" s="8" t="e">
        <f t="shared" ref="K2465:K2470" si="79">(F2465*I2465)</f>
        <v>#REF!</v>
      </c>
    </row>
    <row r="2466" spans="1:11" ht="17.25" hidden="1">
      <c r="A2466" s="134"/>
      <c r="E2466" s="149"/>
      <c r="F2466" s="8">
        <v>2</v>
      </c>
      <c r="G2466" s="7" t="s">
        <v>564</v>
      </c>
      <c r="H2466" s="1" t="s">
        <v>354</v>
      </c>
      <c r="I2466" s="8">
        <f>C10</f>
        <v>150</v>
      </c>
      <c r="J2466" s="2" t="s">
        <v>1418</v>
      </c>
      <c r="K2466" s="8">
        <f t="shared" si="79"/>
        <v>300</v>
      </c>
    </row>
    <row r="2467" spans="1:11" ht="17.25" hidden="1">
      <c r="A2467" s="134"/>
      <c r="E2467" s="149"/>
      <c r="F2467" s="8">
        <v>2</v>
      </c>
      <c r="G2467" s="7" t="s">
        <v>564</v>
      </c>
      <c r="H2467" s="1" t="s">
        <v>355</v>
      </c>
      <c r="I2467" s="8">
        <f>C13</f>
        <v>85</v>
      </c>
      <c r="J2467" s="2" t="s">
        <v>1418</v>
      </c>
      <c r="K2467" s="8">
        <f t="shared" si="79"/>
        <v>170</v>
      </c>
    </row>
    <row r="2468" spans="1:11" ht="17.25" hidden="1">
      <c r="A2468" s="134"/>
      <c r="E2468" s="149"/>
      <c r="F2468" s="8">
        <v>0.28000000000000003</v>
      </c>
      <c r="G2468" s="7" t="s">
        <v>2308</v>
      </c>
      <c r="H2468" s="1" t="s">
        <v>3066</v>
      </c>
      <c r="I2468" s="8">
        <f>K2448</f>
        <v>168.13</v>
      </c>
      <c r="J2468" s="2" t="s">
        <v>2308</v>
      </c>
      <c r="K2468" s="8">
        <f t="shared" si="79"/>
        <v>47.08</v>
      </c>
    </row>
    <row r="2469" spans="1:11" ht="17.25" hidden="1">
      <c r="A2469" s="134"/>
      <c r="E2469" s="149"/>
      <c r="F2469" s="8">
        <v>500</v>
      </c>
      <c r="G2469" s="7" t="s">
        <v>1452</v>
      </c>
      <c r="H2469" s="1" t="s">
        <v>3067</v>
      </c>
      <c r="I2469">
        <v>2</v>
      </c>
      <c r="J2469" s="4" t="s">
        <v>1418</v>
      </c>
      <c r="K2469" s="8">
        <f t="shared" si="79"/>
        <v>1000</v>
      </c>
    </row>
    <row r="2470" spans="1:11" ht="17.25" hidden="1">
      <c r="A2470" s="134"/>
      <c r="E2470" s="149"/>
      <c r="F2470" s="8">
        <v>8.5</v>
      </c>
      <c r="G2470" s="7" t="s">
        <v>3278</v>
      </c>
      <c r="H2470" s="1" t="s">
        <v>3279</v>
      </c>
      <c r="I2470">
        <v>25</v>
      </c>
      <c r="J2470" s="4" t="s">
        <v>2171</v>
      </c>
      <c r="K2470" s="8">
        <f t="shared" si="79"/>
        <v>212.5</v>
      </c>
    </row>
    <row r="2471" spans="1:11" ht="17.25" hidden="1">
      <c r="A2471" s="134"/>
      <c r="E2471" s="149"/>
      <c r="F2471"/>
      <c r="G2471" s="3"/>
      <c r="H2471"/>
      <c r="I2471"/>
      <c r="J2471" s="4"/>
      <c r="K2471" s="5" t="s">
        <v>1609</v>
      </c>
    </row>
    <row r="2472" spans="1:11" ht="17.25" hidden="1">
      <c r="A2472" s="134"/>
      <c r="E2472" s="149"/>
      <c r="F2472"/>
      <c r="G2472" s="3"/>
      <c r="H2472" s="2" t="s">
        <v>3280</v>
      </c>
      <c r="I2472"/>
      <c r="J2472" s="4"/>
      <c r="K2472" s="8" t="e">
        <f>SUM(K2465:K2471)</f>
        <v>#REF!</v>
      </c>
    </row>
    <row r="2473" spans="1:11" ht="17.25" hidden="1">
      <c r="A2473" s="134"/>
      <c r="E2473" s="149"/>
      <c r="F2473"/>
      <c r="G2473" s="3"/>
      <c r="H2473"/>
      <c r="I2473"/>
      <c r="J2473" s="4"/>
      <c r="K2473" s="43" t="s">
        <v>3281</v>
      </c>
    </row>
    <row r="2474" spans="1:11" ht="17.25" hidden="1">
      <c r="A2474" s="134"/>
      <c r="E2474" s="149"/>
      <c r="F2474"/>
      <c r="G2474" s="3"/>
      <c r="H2474" s="2" t="s">
        <v>3282</v>
      </c>
      <c r="I2474"/>
      <c r="J2474" s="4"/>
      <c r="K2474" t="e">
        <f>K2472/39.2</f>
        <v>#REF!</v>
      </c>
    </row>
    <row r="2475" spans="1:11" ht="17.25" hidden="1">
      <c r="A2475" s="134"/>
      <c r="E2475" s="149"/>
      <c r="F2475"/>
      <c r="G2475" s="3"/>
      <c r="H2475"/>
      <c r="I2475"/>
      <c r="J2475" s="4"/>
      <c r="K2475" s="39" t="s">
        <v>1242</v>
      </c>
    </row>
    <row r="2476" spans="1:11" ht="17.25" hidden="1">
      <c r="A2476" s="134"/>
      <c r="E2476" s="149"/>
      <c r="F2476"/>
      <c r="G2476" s="3"/>
      <c r="H2476" s="194" t="s">
        <v>3273</v>
      </c>
      <c r="I2476"/>
      <c r="J2476" s="4"/>
      <c r="K2476"/>
    </row>
    <row r="2477" spans="1:11" ht="17.25" hidden="1">
      <c r="A2477" s="134"/>
      <c r="E2477" s="149"/>
      <c r="F2477"/>
      <c r="G2477" s="3"/>
      <c r="H2477" t="s">
        <v>3274</v>
      </c>
      <c r="I2477" t="s">
        <v>3305</v>
      </c>
      <c r="J2477" s="4"/>
      <c r="K2477"/>
    </row>
    <row r="2478" spans="1:11" ht="17.25" hidden="1">
      <c r="A2478" s="134"/>
      <c r="E2478" s="149"/>
      <c r="F2478"/>
      <c r="G2478" s="3"/>
      <c r="H2478"/>
      <c r="I2478" s="39" t="s">
        <v>3306</v>
      </c>
      <c r="J2478" s="4" t="s">
        <v>3307</v>
      </c>
      <c r="K2478"/>
    </row>
    <row r="2479" spans="1:11" ht="17.25" hidden="1">
      <c r="A2479" s="134"/>
      <c r="E2479" s="149"/>
      <c r="F2479"/>
      <c r="G2479" s="3"/>
      <c r="H2479" t="s">
        <v>3308</v>
      </c>
      <c r="I2479" t="s">
        <v>3309</v>
      </c>
      <c r="J2479" s="4"/>
      <c r="K2479"/>
    </row>
    <row r="2480" spans="1:11" ht="17.25" hidden="1">
      <c r="A2480" s="134"/>
      <c r="E2480" s="149"/>
      <c r="F2480"/>
      <c r="G2480" s="3"/>
      <c r="H2480"/>
      <c r="I2480"/>
      <c r="J2480" s="4"/>
      <c r="K2480"/>
    </row>
    <row r="2481" spans="1:11" ht="17.25" hidden="1">
      <c r="A2481" s="134"/>
      <c r="E2481" s="149"/>
      <c r="F2481"/>
      <c r="G2481" s="3"/>
      <c r="H2481" t="s">
        <v>3310</v>
      </c>
      <c r="I2481"/>
      <c r="J2481" s="4"/>
      <c r="K2481"/>
    </row>
    <row r="2482" spans="1:11" ht="17.25" hidden="1">
      <c r="A2482" s="134"/>
      <c r="E2482" s="149"/>
      <c r="F2482"/>
      <c r="G2482" s="3"/>
      <c r="H2482" t="s">
        <v>3311</v>
      </c>
      <c r="I2482" t="s">
        <v>3312</v>
      </c>
      <c r="J2482" s="4"/>
      <c r="K2482"/>
    </row>
    <row r="2483" spans="1:11" ht="17.25" hidden="1">
      <c r="A2483" s="134"/>
      <c r="E2483" s="149"/>
      <c r="F2483"/>
      <c r="G2483" s="3"/>
      <c r="H2483" t="s">
        <v>3313</v>
      </c>
      <c r="I2483" t="s">
        <v>3314</v>
      </c>
      <c r="J2483" s="4"/>
      <c r="K2483"/>
    </row>
    <row r="2484" spans="1:11" ht="17.25" hidden="1">
      <c r="A2484" s="134"/>
      <c r="E2484" s="149"/>
      <c r="F2484"/>
      <c r="G2484" s="3"/>
      <c r="H2484" t="s">
        <v>3360</v>
      </c>
      <c r="I2484"/>
      <c r="J2484" s="4"/>
      <c r="K2484"/>
    </row>
    <row r="2485" spans="1:11" ht="17.25" hidden="1">
      <c r="A2485" s="134"/>
      <c r="E2485" s="149"/>
      <c r="F2485"/>
      <c r="G2485" s="3"/>
      <c r="H2485"/>
      <c r="I2485"/>
      <c r="J2485" s="4"/>
      <c r="K2485"/>
    </row>
    <row r="2486" spans="1:11" ht="17.25" hidden="1">
      <c r="A2486" s="134"/>
      <c r="E2486" s="149"/>
      <c r="F2486"/>
      <c r="G2486" s="3"/>
      <c r="H2486"/>
      <c r="I2486"/>
      <c r="J2486" s="4"/>
      <c r="K2486"/>
    </row>
    <row r="2487" spans="1:11" ht="17.25" hidden="1">
      <c r="A2487" s="134"/>
      <c r="E2487" s="149"/>
      <c r="F2487"/>
      <c r="G2487" s="3"/>
      <c r="H2487"/>
      <c r="I2487"/>
      <c r="J2487" s="4"/>
      <c r="K2487"/>
    </row>
    <row r="2488" spans="1:11" ht="32.25" hidden="1">
      <c r="A2488" s="134"/>
      <c r="E2488" s="149"/>
      <c r="F2488" s="195">
        <v>83</v>
      </c>
      <c r="G2488" s="3"/>
      <c r="H2488" s="21" t="s">
        <v>3361</v>
      </c>
      <c r="I2488"/>
      <c r="J2488" s="4"/>
      <c r="K2488"/>
    </row>
    <row r="2489" spans="1:11" ht="17.25" hidden="1">
      <c r="A2489" s="134"/>
      <c r="E2489" s="149"/>
      <c r="F2489"/>
      <c r="G2489" s="3"/>
      <c r="H2489" s="39" t="s">
        <v>3396</v>
      </c>
      <c r="I2489"/>
      <c r="J2489" s="4"/>
      <c r="K2489"/>
    </row>
    <row r="2490" spans="1:11" ht="63" hidden="1">
      <c r="A2490" s="134"/>
      <c r="E2490" s="149"/>
      <c r="F2490" s="100">
        <v>3.25</v>
      </c>
      <c r="G2490" s="196" t="s">
        <v>3397</v>
      </c>
      <c r="H2490" s="196" t="s">
        <v>3398</v>
      </c>
      <c r="I2490" s="196">
        <v>27</v>
      </c>
      <c r="J2490" s="196" t="s">
        <v>1670</v>
      </c>
      <c r="K2490" s="196">
        <f>I2490*F2490</f>
        <v>87.75</v>
      </c>
    </row>
    <row r="2491" spans="1:11" ht="17.25" hidden="1">
      <c r="A2491" s="134"/>
      <c r="E2491" s="149"/>
      <c r="F2491"/>
      <c r="G2491" s="3"/>
      <c r="H2491" t="s">
        <v>1208</v>
      </c>
      <c r="I2491"/>
      <c r="J2491" s="4"/>
      <c r="K2491">
        <v>0.25</v>
      </c>
    </row>
    <row r="2492" spans="1:11" ht="17.25" hidden="1">
      <c r="A2492" s="134"/>
      <c r="E2492" s="149"/>
      <c r="F2492"/>
      <c r="G2492" s="3"/>
      <c r="H2492"/>
      <c r="I2492"/>
      <c r="J2492" s="4"/>
      <c r="K2492" s="197" t="s">
        <v>1609</v>
      </c>
    </row>
    <row r="2493" spans="1:11" ht="17.25" hidden="1">
      <c r="A2493" s="134"/>
      <c r="E2493" s="149"/>
      <c r="F2493"/>
      <c r="G2493" s="3"/>
      <c r="H2493" t="s">
        <v>3399</v>
      </c>
      <c r="I2493"/>
      <c r="J2493" s="4"/>
      <c r="K2493">
        <f>SUM(K2490:K2492)</f>
        <v>88</v>
      </c>
    </row>
    <row r="2494" spans="1:11" ht="17.25" hidden="1">
      <c r="A2494" s="134"/>
      <c r="E2494" s="149"/>
      <c r="F2494"/>
      <c r="G2494" s="3"/>
      <c r="H2494"/>
      <c r="I2494"/>
      <c r="J2494" s="4"/>
      <c r="K2494" s="197" t="s">
        <v>2080</v>
      </c>
    </row>
    <row r="2495" spans="1:11" ht="19.5" hidden="1">
      <c r="A2495" s="134"/>
      <c r="E2495" s="149"/>
      <c r="F2495" s="198">
        <v>79.099999999999994</v>
      </c>
      <c r="G2495" s="3"/>
      <c r="H2495" t="s">
        <v>3400</v>
      </c>
      <c r="I2495"/>
      <c r="J2495" s="4"/>
      <c r="K2495"/>
    </row>
    <row r="2496" spans="1:11" ht="17.25" hidden="1">
      <c r="A2496" s="134"/>
      <c r="E2496" s="149"/>
      <c r="F2496"/>
      <c r="G2496" s="3"/>
      <c r="H2496" s="39" t="s">
        <v>3401</v>
      </c>
      <c r="I2496"/>
      <c r="J2496" s="4"/>
      <c r="K2496"/>
    </row>
    <row r="2497" spans="1:11" ht="17.25" hidden="1">
      <c r="A2497" s="134"/>
      <c r="E2497" s="149"/>
      <c r="F2497">
        <v>1</v>
      </c>
      <c r="G2497" s="3" t="s">
        <v>1414</v>
      </c>
      <c r="H2497" t="s">
        <v>3402</v>
      </c>
      <c r="I2497">
        <v>75</v>
      </c>
      <c r="J2497" s="4" t="s">
        <v>1418</v>
      </c>
      <c r="K2497">
        <f>I2497*F2497</f>
        <v>75</v>
      </c>
    </row>
    <row r="2498" spans="1:11" ht="17.25" hidden="1">
      <c r="A2498" s="134"/>
      <c r="E2498" s="149"/>
      <c r="F2498">
        <v>1</v>
      </c>
      <c r="G2498" s="3" t="s">
        <v>1414</v>
      </c>
      <c r="H2498" t="s">
        <v>3403</v>
      </c>
      <c r="I2498">
        <v>17.75</v>
      </c>
      <c r="J2498" s="4" t="s">
        <v>1418</v>
      </c>
      <c r="K2498">
        <f>I2498*F2498</f>
        <v>17.75</v>
      </c>
    </row>
    <row r="2499" spans="1:11" ht="17.25" hidden="1">
      <c r="A2499" s="134"/>
      <c r="E2499" s="149"/>
      <c r="F2499">
        <v>1</v>
      </c>
      <c r="G2499" s="3" t="s">
        <v>1414</v>
      </c>
      <c r="H2499" t="s">
        <v>142</v>
      </c>
      <c r="I2499">
        <f>K2510</f>
        <v>65.13</v>
      </c>
      <c r="J2499" s="4" t="s">
        <v>1418</v>
      </c>
      <c r="K2499">
        <f>I2499*F2499</f>
        <v>65.13</v>
      </c>
    </row>
    <row r="2500" spans="1:11" ht="17.25" hidden="1">
      <c r="A2500" s="134"/>
      <c r="E2500" s="149"/>
      <c r="F2500"/>
      <c r="G2500" s="3"/>
      <c r="H2500" t="s">
        <v>2352</v>
      </c>
      <c r="I2500"/>
      <c r="J2500" s="4" t="s">
        <v>450</v>
      </c>
      <c r="K2500">
        <v>3.12</v>
      </c>
    </row>
    <row r="2501" spans="1:11" ht="17.25" hidden="1">
      <c r="A2501" s="134"/>
      <c r="E2501" s="149"/>
      <c r="F2501"/>
      <c r="G2501" s="3"/>
      <c r="H2501"/>
      <c r="I2501"/>
      <c r="J2501" s="4"/>
      <c r="K2501" s="39" t="s">
        <v>2353</v>
      </c>
    </row>
    <row r="2502" spans="1:11" ht="17.25" hidden="1">
      <c r="A2502" s="134"/>
      <c r="E2502" s="149"/>
      <c r="F2502"/>
      <c r="G2502" s="3"/>
      <c r="H2502"/>
      <c r="I2502"/>
      <c r="J2502" s="4"/>
      <c r="K2502">
        <f>SUM(K2497:K2501)</f>
        <v>161</v>
      </c>
    </row>
    <row r="2503" spans="1:11" ht="17.25" hidden="1">
      <c r="A2503" s="134"/>
      <c r="E2503" s="149"/>
      <c r="F2503"/>
      <c r="G2503" s="3"/>
      <c r="H2503"/>
      <c r="I2503"/>
      <c r="J2503" s="4"/>
      <c r="K2503" s="39" t="s">
        <v>148</v>
      </c>
    </row>
    <row r="2504" spans="1:11" ht="17.25" hidden="1">
      <c r="A2504" s="134"/>
      <c r="E2504" s="149"/>
      <c r="F2504" t="s">
        <v>142</v>
      </c>
      <c r="G2504" s="3"/>
      <c r="H2504"/>
      <c r="I2504"/>
      <c r="J2504" s="4"/>
      <c r="K2504"/>
    </row>
    <row r="2505" spans="1:11" ht="17.25" hidden="1">
      <c r="A2505" s="134"/>
      <c r="E2505" s="149"/>
      <c r="F2505">
        <v>1</v>
      </c>
      <c r="G2505" s="3" t="s">
        <v>1414</v>
      </c>
      <c r="H2505" t="s">
        <v>2354</v>
      </c>
      <c r="I2505">
        <v>131</v>
      </c>
      <c r="J2505" s="4" t="s">
        <v>1418</v>
      </c>
      <c r="K2505">
        <f>I2505*F2505</f>
        <v>131</v>
      </c>
    </row>
    <row r="2506" spans="1:11" ht="17.25" hidden="1">
      <c r="A2506" s="134"/>
      <c r="E2506" s="149"/>
      <c r="F2506">
        <v>1</v>
      </c>
      <c r="G2506" s="3" t="s">
        <v>1414</v>
      </c>
      <c r="H2506" t="s">
        <v>2355</v>
      </c>
      <c r="I2506">
        <v>117</v>
      </c>
      <c r="J2506" s="4" t="s">
        <v>1418</v>
      </c>
      <c r="K2506">
        <f>I2506*F2506</f>
        <v>117</v>
      </c>
    </row>
    <row r="2507" spans="1:11" ht="17.25" hidden="1">
      <c r="A2507" s="134"/>
      <c r="E2507" s="149"/>
      <c r="F2507">
        <v>3</v>
      </c>
      <c r="G2507" s="3" t="s">
        <v>1452</v>
      </c>
      <c r="H2507" t="s">
        <v>2356</v>
      </c>
      <c r="I2507">
        <v>91</v>
      </c>
      <c r="J2507" s="4" t="s">
        <v>1418</v>
      </c>
      <c r="K2507">
        <f>I2507*F2507</f>
        <v>273</v>
      </c>
    </row>
    <row r="2508" spans="1:11" ht="17.25" hidden="1">
      <c r="A2508" s="134"/>
      <c r="E2508" s="149"/>
      <c r="F2508"/>
      <c r="G2508" s="3"/>
      <c r="H2508"/>
      <c r="I2508"/>
      <c r="J2508" s="4"/>
      <c r="K2508" s="39" t="s">
        <v>429</v>
      </c>
    </row>
    <row r="2509" spans="1:11" ht="17.25" hidden="1">
      <c r="A2509" s="134"/>
      <c r="E2509" s="149"/>
      <c r="F2509"/>
      <c r="G2509" s="3"/>
      <c r="H2509" t="s">
        <v>2357</v>
      </c>
      <c r="I2509"/>
      <c r="J2509" s="4"/>
      <c r="K2509">
        <f>SUM(K2505:K2508)</f>
        <v>521</v>
      </c>
    </row>
    <row r="2510" spans="1:11" ht="17.25" hidden="1">
      <c r="A2510" s="134"/>
      <c r="E2510" s="149"/>
      <c r="F2510"/>
      <c r="G2510" s="3"/>
      <c r="H2510" t="s">
        <v>2358</v>
      </c>
      <c r="I2510"/>
      <c r="J2510" s="4"/>
      <c r="K2510">
        <f>K2509/8</f>
        <v>65.13</v>
      </c>
    </row>
    <row r="2511" spans="1:11" ht="17.25" hidden="1">
      <c r="A2511" s="134"/>
      <c r="E2511" s="149"/>
      <c r="F2511"/>
      <c r="G2511" s="3"/>
      <c r="H2511"/>
      <c r="I2511"/>
      <c r="J2511" s="4"/>
      <c r="K2511"/>
    </row>
    <row r="2512" spans="1:11" ht="17.25" hidden="1">
      <c r="A2512" s="134"/>
      <c r="E2512" s="149"/>
      <c r="F2512"/>
      <c r="G2512" s="3"/>
      <c r="H2512"/>
      <c r="I2512"/>
      <c r="J2512" s="4"/>
      <c r="K2512" s="39"/>
    </row>
    <row r="2513" spans="1:11" ht="17.25" hidden="1">
      <c r="A2513" s="134"/>
      <c r="E2513" s="149"/>
      <c r="F2513" s="2" t="s">
        <v>3368</v>
      </c>
      <c r="G2513" s="7" t="s">
        <v>2276</v>
      </c>
      <c r="H2513" s="1" t="s">
        <v>2202</v>
      </c>
      <c r="I2513"/>
      <c r="J2513" s="4"/>
      <c r="K2513"/>
    </row>
    <row r="2514" spans="1:11" ht="17.25" hidden="1">
      <c r="A2514" s="134"/>
      <c r="E2514" s="149"/>
      <c r="F2514"/>
      <c r="G2514" s="3"/>
      <c r="H2514" s="1" t="s">
        <v>2204</v>
      </c>
      <c r="I2514"/>
      <c r="J2514" s="4"/>
      <c r="K2514"/>
    </row>
    <row r="2515" spans="1:11" ht="17.25" hidden="1">
      <c r="A2515" s="134"/>
      <c r="E2515" s="149"/>
      <c r="F2515"/>
      <c r="G2515" s="3"/>
      <c r="H2515" s="1" t="s">
        <v>2205</v>
      </c>
      <c r="I2515"/>
      <c r="J2515" s="4"/>
      <c r="K2515"/>
    </row>
    <row r="2516" spans="1:11" ht="17.25" hidden="1">
      <c r="A2516" s="134"/>
      <c r="E2516" s="149"/>
      <c r="F2516"/>
      <c r="G2516" s="3"/>
      <c r="H2516" s="1" t="s">
        <v>2206</v>
      </c>
      <c r="I2516"/>
      <c r="J2516" s="4"/>
      <c r="K2516"/>
    </row>
    <row r="2517" spans="1:11" ht="17.25" hidden="1">
      <c r="A2517" s="134"/>
      <c r="E2517" s="149"/>
      <c r="F2517"/>
      <c r="G2517" s="3"/>
      <c r="H2517" s="1" t="s">
        <v>2207</v>
      </c>
      <c r="I2517"/>
      <c r="J2517" s="4"/>
      <c r="K2517"/>
    </row>
    <row r="2518" spans="1:11" ht="17.25" hidden="1">
      <c r="A2518" s="134"/>
      <c r="E2518" s="149"/>
      <c r="F2518"/>
      <c r="G2518" s="3"/>
      <c r="H2518" s="1" t="s">
        <v>2208</v>
      </c>
      <c r="I2518"/>
      <c r="J2518" s="4"/>
      <c r="K2518"/>
    </row>
    <row r="2519" spans="1:11" ht="17.25" hidden="1">
      <c r="A2519" s="134"/>
      <c r="E2519" s="149"/>
      <c r="F2519"/>
      <c r="G2519" s="3"/>
      <c r="H2519" s="5" t="s">
        <v>1609</v>
      </c>
      <c r="I2519"/>
      <c r="J2519" s="4"/>
      <c r="K2519"/>
    </row>
    <row r="2520" spans="1:11" ht="17.25" hidden="1">
      <c r="A2520" s="134"/>
      <c r="E2520" s="149"/>
      <c r="F2520" s="2"/>
      <c r="G2520" s="7"/>
      <c r="H2520" s="1" t="s">
        <v>1839</v>
      </c>
      <c r="I2520"/>
      <c r="J2520" s="4"/>
      <c r="K2520" s="1" t="s">
        <v>987</v>
      </c>
    </row>
    <row r="2521" spans="1:11" ht="17.25" hidden="1">
      <c r="A2521" s="134"/>
      <c r="E2521" s="149"/>
      <c r="F2521"/>
      <c r="G2521" s="3"/>
      <c r="H2521" s="5" t="s">
        <v>1609</v>
      </c>
      <c r="I2521"/>
      <c r="J2521" s="4"/>
      <c r="K2521"/>
    </row>
    <row r="2522" spans="1:11" ht="17.25" hidden="1">
      <c r="A2522" s="134"/>
      <c r="E2522" s="149"/>
      <c r="F2522" s="16">
        <v>1.153E-2</v>
      </c>
      <c r="G2522" s="7" t="s">
        <v>878</v>
      </c>
      <c r="H2522" s="1" t="s">
        <v>698</v>
      </c>
      <c r="I2522" s="8">
        <f t="shared" ref="I2522:I2531" si="80">I1011</f>
        <v>65420</v>
      </c>
      <c r="J2522" s="2" t="s">
        <v>878</v>
      </c>
      <c r="K2522" s="8">
        <f t="shared" ref="K2522:K2531" si="81">(F2522*I2522)</f>
        <v>754.29</v>
      </c>
    </row>
    <row r="2523" spans="1:11" ht="17.25" hidden="1">
      <c r="A2523" s="134"/>
      <c r="E2523" s="149"/>
      <c r="F2523" s="16">
        <v>1.52E-2</v>
      </c>
      <c r="G2523" s="7" t="s">
        <v>878</v>
      </c>
      <c r="H2523" s="1" t="s">
        <v>699</v>
      </c>
      <c r="I2523" s="8">
        <f t="shared" si="80"/>
        <v>57165</v>
      </c>
      <c r="J2523" s="2" t="s">
        <v>878</v>
      </c>
      <c r="K2523" s="8">
        <f t="shared" si="81"/>
        <v>868.91</v>
      </c>
    </row>
    <row r="2524" spans="1:11" hidden="1">
      <c r="A2524" s="134"/>
      <c r="F2524" s="16">
        <v>1.2787999999999999</v>
      </c>
      <c r="G2524" s="7" t="s">
        <v>615</v>
      </c>
      <c r="H2524" s="1" t="s">
        <v>2117</v>
      </c>
      <c r="I2524" s="8">
        <f t="shared" si="80"/>
        <v>381.37</v>
      </c>
      <c r="J2524" s="2" t="s">
        <v>615</v>
      </c>
      <c r="K2524" s="8">
        <f t="shared" si="81"/>
        <v>487.7</v>
      </c>
    </row>
    <row r="2525" spans="1:11" hidden="1">
      <c r="A2525" s="134"/>
      <c r="F2525" s="16">
        <v>1.845</v>
      </c>
      <c r="G2525" s="7" t="s">
        <v>615</v>
      </c>
      <c r="H2525" s="1" t="s">
        <v>2118</v>
      </c>
      <c r="I2525" s="8">
        <f t="shared" si="80"/>
        <v>287</v>
      </c>
      <c r="J2525" s="2" t="s">
        <v>615</v>
      </c>
      <c r="K2525" s="8">
        <f t="shared" si="81"/>
        <v>529.52</v>
      </c>
    </row>
    <row r="2526" spans="1:11" hidden="1">
      <c r="A2526" s="134"/>
      <c r="F2526" s="8">
        <v>2</v>
      </c>
      <c r="G2526" s="7" t="s">
        <v>877</v>
      </c>
      <c r="H2526" s="1" t="s">
        <v>2119</v>
      </c>
      <c r="I2526" s="8">
        <f t="shared" si="80"/>
        <v>30</v>
      </c>
      <c r="J2526" s="2" t="s">
        <v>877</v>
      </c>
      <c r="K2526" s="8">
        <f t="shared" si="81"/>
        <v>60</v>
      </c>
    </row>
    <row r="2527" spans="1:11" hidden="1">
      <c r="A2527" s="134"/>
      <c r="F2527" s="8">
        <v>3</v>
      </c>
      <c r="G2527" s="7" t="s">
        <v>877</v>
      </c>
      <c r="H2527" s="1" t="s">
        <v>1539</v>
      </c>
      <c r="I2527" s="8">
        <f t="shared" si="80"/>
        <v>45</v>
      </c>
      <c r="J2527" s="2" t="s">
        <v>877</v>
      </c>
      <c r="K2527" s="8">
        <f t="shared" si="81"/>
        <v>135</v>
      </c>
    </row>
    <row r="2528" spans="1:11" hidden="1">
      <c r="A2528" s="134"/>
      <c r="F2528" s="8">
        <v>1</v>
      </c>
      <c r="G2528" s="7" t="s">
        <v>877</v>
      </c>
      <c r="H2528" s="1" t="s">
        <v>2004</v>
      </c>
      <c r="I2528" s="8">
        <f t="shared" si="80"/>
        <v>95</v>
      </c>
      <c r="J2528" s="2" t="s">
        <v>877</v>
      </c>
      <c r="K2528" s="8">
        <f t="shared" si="81"/>
        <v>95</v>
      </c>
    </row>
    <row r="2529" spans="1:11" hidden="1">
      <c r="A2529" s="134"/>
      <c r="F2529" s="8">
        <v>1</v>
      </c>
      <c r="G2529" s="7" t="s">
        <v>877</v>
      </c>
      <c r="H2529" s="1" t="s">
        <v>2005</v>
      </c>
      <c r="I2529" s="8">
        <f t="shared" si="80"/>
        <v>8</v>
      </c>
      <c r="J2529" s="2" t="s">
        <v>877</v>
      </c>
      <c r="K2529" s="8">
        <f t="shared" si="81"/>
        <v>8</v>
      </c>
    </row>
    <row r="2530" spans="1:11" hidden="1">
      <c r="A2530" s="134"/>
      <c r="F2530" s="8">
        <v>1</v>
      </c>
      <c r="G2530" s="7" t="s">
        <v>877</v>
      </c>
      <c r="H2530" s="1" t="s">
        <v>2006</v>
      </c>
      <c r="I2530" s="8">
        <f t="shared" si="80"/>
        <v>30</v>
      </c>
      <c r="J2530" s="2" t="s">
        <v>877</v>
      </c>
      <c r="K2530" s="8">
        <f t="shared" si="81"/>
        <v>30</v>
      </c>
    </row>
    <row r="2531" spans="1:11" hidden="1">
      <c r="A2531" s="134"/>
      <c r="F2531" s="8">
        <v>1</v>
      </c>
      <c r="G2531" s="7" t="s">
        <v>877</v>
      </c>
      <c r="H2531" s="1" t="s">
        <v>2007</v>
      </c>
      <c r="I2531" s="8">
        <f t="shared" si="80"/>
        <v>25</v>
      </c>
      <c r="J2531" s="2" t="s">
        <v>877</v>
      </c>
      <c r="K2531" s="8">
        <f t="shared" si="81"/>
        <v>25</v>
      </c>
    </row>
    <row r="2532" spans="1:11" hidden="1">
      <c r="A2532" s="134"/>
      <c r="F2532"/>
      <c r="G2532" s="3"/>
      <c r="H2532"/>
      <c r="I2532"/>
      <c r="J2532" s="4"/>
      <c r="K2532" s="5" t="s">
        <v>1609</v>
      </c>
    </row>
    <row r="2533" spans="1:11" hidden="1">
      <c r="A2533" s="134"/>
      <c r="F2533"/>
      <c r="G2533" s="3"/>
      <c r="H2533" s="2" t="s">
        <v>458</v>
      </c>
      <c r="I2533"/>
      <c r="J2533" s="4"/>
      <c r="K2533" s="8">
        <f>SUM(K2522:K2532)</f>
        <v>2993.42</v>
      </c>
    </row>
    <row r="2534" spans="1:11" hidden="1">
      <c r="A2534" s="134"/>
      <c r="F2534"/>
      <c r="G2534" s="7" t="s">
        <v>987</v>
      </c>
      <c r="H2534"/>
      <c r="I2534"/>
      <c r="J2534" s="4"/>
      <c r="K2534" s="5" t="s">
        <v>1609</v>
      </c>
    </row>
    <row r="2535" spans="1:11" hidden="1">
      <c r="A2535" s="134"/>
      <c r="F2535"/>
      <c r="G2535" s="3"/>
      <c r="H2535" s="2" t="s">
        <v>556</v>
      </c>
      <c r="I2535"/>
      <c r="J2535" s="4"/>
      <c r="K2535" s="8">
        <f>K2533/F2525</f>
        <v>1622.45</v>
      </c>
    </row>
    <row r="2536" spans="1:11" hidden="1">
      <c r="A2536" s="134"/>
      <c r="F2536"/>
      <c r="G2536" s="3"/>
      <c r="H2536"/>
      <c r="I2536"/>
      <c r="J2536" s="4"/>
      <c r="K2536" s="5" t="s">
        <v>2080</v>
      </c>
    </row>
    <row r="2537" spans="1:11" hidden="1">
      <c r="A2537" s="134"/>
      <c r="F2537" s="20">
        <v>98.1</v>
      </c>
      <c r="G2537" s="7" t="s">
        <v>2276</v>
      </c>
      <c r="H2537" s="1" t="s">
        <v>3369</v>
      </c>
      <c r="I2537"/>
      <c r="J2537" s="4"/>
      <c r="K2537"/>
    </row>
    <row r="2538" spans="1:11" hidden="1">
      <c r="A2538" s="134"/>
      <c r="F2538"/>
      <c r="G2538" s="3"/>
      <c r="H2538" s="1" t="s">
        <v>255</v>
      </c>
      <c r="I2538"/>
      <c r="J2538" s="4"/>
      <c r="K2538"/>
    </row>
    <row r="2539" spans="1:11" hidden="1">
      <c r="A2539" s="134"/>
      <c r="F2539"/>
      <c r="G2539" s="3"/>
      <c r="H2539" s="24" t="s">
        <v>2325</v>
      </c>
      <c r="I2539"/>
      <c r="J2539" s="4"/>
      <c r="K2539"/>
    </row>
    <row r="2540" spans="1:11" hidden="1">
      <c r="A2540" s="134"/>
      <c r="F2540"/>
      <c r="G2540" s="3"/>
      <c r="H2540" s="5" t="s">
        <v>1609</v>
      </c>
      <c r="I2540"/>
      <c r="J2540" s="4"/>
      <c r="K2540"/>
    </row>
    <row r="2541" spans="1:11" hidden="1">
      <c r="A2541" s="134"/>
      <c r="F2541"/>
      <c r="G2541" s="3"/>
      <c r="H2541" s="1" t="s">
        <v>2326</v>
      </c>
      <c r="I2541"/>
      <c r="J2541" s="199"/>
      <c r="K2541"/>
    </row>
    <row r="2542" spans="1:11" hidden="1">
      <c r="A2542" s="134"/>
      <c r="F2542"/>
      <c r="G2542" s="3"/>
      <c r="H2542" s="1" t="s">
        <v>2327</v>
      </c>
      <c r="I2542"/>
      <c r="J2542" s="4"/>
      <c r="K2542"/>
    </row>
    <row r="2543" spans="1:11" hidden="1">
      <c r="A2543" s="134"/>
      <c r="F2543"/>
      <c r="G2543" s="3"/>
      <c r="H2543"/>
      <c r="I2543"/>
      <c r="J2543" s="2" t="s">
        <v>1609</v>
      </c>
      <c r="K2543"/>
    </row>
    <row r="2544" spans="1:11" hidden="1">
      <c r="A2544" s="134"/>
      <c r="F2544"/>
      <c r="G2544" s="3"/>
      <c r="H2544" s="1" t="s">
        <v>2328</v>
      </c>
      <c r="I2544"/>
      <c r="J2544" s="4"/>
      <c r="K2544"/>
    </row>
    <row r="2545" spans="1:11" hidden="1">
      <c r="A2545" s="134"/>
      <c r="F2545"/>
      <c r="G2545" s="3"/>
      <c r="H2545" s="1" t="s">
        <v>2704</v>
      </c>
      <c r="I2545"/>
      <c r="J2545" s="4"/>
      <c r="K2545" s="12">
        <v>3.5400000000000001E-2</v>
      </c>
    </row>
    <row r="2546" spans="1:11" hidden="1">
      <c r="A2546" s="134"/>
      <c r="F2546"/>
      <c r="G2546" s="3"/>
      <c r="H2546"/>
      <c r="I2546"/>
      <c r="J2546" s="2" t="s">
        <v>987</v>
      </c>
      <c r="K2546" s="5" t="s">
        <v>1609</v>
      </c>
    </row>
    <row r="2547" spans="1:11" hidden="1">
      <c r="A2547" s="134"/>
      <c r="F2547"/>
      <c r="G2547" s="3"/>
      <c r="H2547" s="1" t="s">
        <v>2705</v>
      </c>
      <c r="I2547"/>
      <c r="J2547" s="137" t="s">
        <v>987</v>
      </c>
      <c r="K2547" s="12">
        <v>2.5899999999999999E-2</v>
      </c>
    </row>
    <row r="2548" spans="1:11" hidden="1">
      <c r="A2548" s="134"/>
      <c r="F2548"/>
      <c r="G2548" s="3"/>
      <c r="H2548" s="1" t="s">
        <v>2706</v>
      </c>
      <c r="I2548"/>
      <c r="J2548" s="2" t="s">
        <v>987</v>
      </c>
      <c r="K2548" s="12">
        <v>6.4999999999999997E-3</v>
      </c>
    </row>
    <row r="2549" spans="1:11" hidden="1">
      <c r="A2549" s="134"/>
      <c r="F2549"/>
      <c r="G2549" s="3"/>
      <c r="H2549"/>
      <c r="I2549"/>
      <c r="J2549" s="4"/>
      <c r="K2549" s="5" t="s">
        <v>1609</v>
      </c>
    </row>
    <row r="2550" spans="1:11" hidden="1">
      <c r="A2550" s="134"/>
      <c r="F2550"/>
      <c r="G2550" s="3"/>
      <c r="H2550"/>
      <c r="I2550"/>
      <c r="J2550" s="4"/>
      <c r="K2550" s="12">
        <v>3.2300000000000002E-2</v>
      </c>
    </row>
    <row r="2551" spans="1:11" hidden="1">
      <c r="A2551" s="134"/>
      <c r="F2551"/>
      <c r="G2551" s="3"/>
      <c r="H2551"/>
      <c r="I2551"/>
      <c r="J2551" s="4"/>
      <c r="K2551" s="5" t="s">
        <v>1609</v>
      </c>
    </row>
    <row r="2552" spans="1:11" hidden="1">
      <c r="A2552" s="134"/>
      <c r="F2552"/>
      <c r="G2552" s="3"/>
      <c r="H2552"/>
      <c r="I2552"/>
      <c r="J2552" s="4"/>
      <c r="K2552"/>
    </row>
    <row r="2553" spans="1:11" hidden="1">
      <c r="A2553" s="134"/>
      <c r="F2553"/>
      <c r="G2553" s="3"/>
      <c r="H2553"/>
      <c r="I2553"/>
      <c r="J2553" s="4"/>
      <c r="K2553"/>
    </row>
    <row r="2554" spans="1:11" hidden="1">
      <c r="A2554" s="134"/>
      <c r="F2554" s="12">
        <v>2.2800000000000001E-2</v>
      </c>
      <c r="G2554" s="7" t="s">
        <v>878</v>
      </c>
      <c r="H2554" s="1" t="s">
        <v>309</v>
      </c>
      <c r="I2554" s="8">
        <f>I910</f>
        <v>65420</v>
      </c>
      <c r="J2554" s="2" t="s">
        <v>878</v>
      </c>
      <c r="K2554" s="8">
        <f>(F2554*I2554)</f>
        <v>1491.58</v>
      </c>
    </row>
    <row r="2555" spans="1:11" hidden="1">
      <c r="A2555" s="134"/>
      <c r="F2555" s="12">
        <v>3.5400000000000001E-2</v>
      </c>
      <c r="G2555" s="7" t="s">
        <v>878</v>
      </c>
      <c r="H2555" s="1" t="s">
        <v>310</v>
      </c>
      <c r="I2555" s="8">
        <f>I911</f>
        <v>57165</v>
      </c>
      <c r="J2555" s="2" t="s">
        <v>878</v>
      </c>
      <c r="K2555" s="8">
        <f t="shared" ref="K2555:K2564" si="82">(F2555*I2555)</f>
        <v>2023.64</v>
      </c>
    </row>
    <row r="2556" spans="1:11" hidden="1">
      <c r="A2556" s="134"/>
      <c r="F2556" s="12">
        <v>3.2300000000000002E-2</v>
      </c>
      <c r="G2556" s="7" t="s">
        <v>878</v>
      </c>
      <c r="H2556" s="1" t="s">
        <v>311</v>
      </c>
      <c r="I2556" s="8">
        <f>I912</f>
        <v>63870</v>
      </c>
      <c r="J2556" s="2" t="s">
        <v>878</v>
      </c>
      <c r="K2556" s="8">
        <f t="shared" si="82"/>
        <v>2063</v>
      </c>
    </row>
    <row r="2557" spans="1:11" hidden="1">
      <c r="A2557" s="134"/>
      <c r="F2557" s="13"/>
      <c r="G2557" s="3"/>
      <c r="H2557" s="1" t="s">
        <v>956</v>
      </c>
      <c r="I2557" s="8"/>
      <c r="J2557" s="4"/>
      <c r="K2557" s="8">
        <f t="shared" si="82"/>
        <v>0</v>
      </c>
    </row>
    <row r="2558" spans="1:11" hidden="1">
      <c r="A2558" s="134"/>
      <c r="F2558" s="13">
        <v>2.835</v>
      </c>
      <c r="G2558" s="7" t="s">
        <v>615</v>
      </c>
      <c r="H2558" s="1" t="s">
        <v>448</v>
      </c>
      <c r="I2558" s="8">
        <f t="shared" ref="I2558:I2564" si="83">I914</f>
        <v>342</v>
      </c>
      <c r="J2558" s="2" t="s">
        <v>615</v>
      </c>
      <c r="K2558" s="8">
        <f t="shared" si="82"/>
        <v>969.57</v>
      </c>
    </row>
    <row r="2559" spans="1:11" hidden="1">
      <c r="A2559" s="134"/>
      <c r="F2559" s="8">
        <v>2</v>
      </c>
      <c r="G2559" s="7" t="s">
        <v>778</v>
      </c>
      <c r="H2559" s="1" t="s">
        <v>1485</v>
      </c>
      <c r="I2559" s="8">
        <f t="shared" si="83"/>
        <v>30</v>
      </c>
      <c r="J2559" s="2" t="s">
        <v>877</v>
      </c>
      <c r="K2559" s="8">
        <f t="shared" si="82"/>
        <v>60</v>
      </c>
    </row>
    <row r="2560" spans="1:11" hidden="1">
      <c r="A2560" s="134"/>
      <c r="F2560" s="8">
        <v>6</v>
      </c>
      <c r="G2560" s="7" t="s">
        <v>877</v>
      </c>
      <c r="H2560" s="1" t="s">
        <v>1486</v>
      </c>
      <c r="I2560" s="8">
        <f t="shared" si="83"/>
        <v>45</v>
      </c>
      <c r="J2560" s="2" t="s">
        <v>877</v>
      </c>
      <c r="K2560" s="8">
        <f t="shared" si="82"/>
        <v>270</v>
      </c>
    </row>
    <row r="2561" spans="1:11" hidden="1">
      <c r="A2561" s="134"/>
      <c r="F2561" s="8">
        <v>4</v>
      </c>
      <c r="G2561" s="7" t="s">
        <v>877</v>
      </c>
      <c r="H2561" s="1" t="s">
        <v>1487</v>
      </c>
      <c r="I2561" s="8">
        <f t="shared" si="83"/>
        <v>30</v>
      </c>
      <c r="J2561" s="2" t="s">
        <v>877</v>
      </c>
      <c r="K2561" s="8">
        <f t="shared" si="82"/>
        <v>120</v>
      </c>
    </row>
    <row r="2562" spans="1:11" hidden="1">
      <c r="A2562" s="134"/>
      <c r="F2562" s="8">
        <v>1</v>
      </c>
      <c r="G2562" s="7" t="s">
        <v>877</v>
      </c>
      <c r="H2562" s="1" t="s">
        <v>1488</v>
      </c>
      <c r="I2562" s="8">
        <f t="shared" si="83"/>
        <v>95</v>
      </c>
      <c r="J2562" s="2" t="s">
        <v>877</v>
      </c>
      <c r="K2562" s="8">
        <f t="shared" si="82"/>
        <v>95</v>
      </c>
    </row>
    <row r="2563" spans="1:11" hidden="1">
      <c r="A2563" s="134"/>
      <c r="F2563" s="8">
        <v>2</v>
      </c>
      <c r="G2563" s="7" t="s">
        <v>877</v>
      </c>
      <c r="H2563" s="1" t="s">
        <v>1489</v>
      </c>
      <c r="I2563" s="8">
        <f t="shared" si="83"/>
        <v>8</v>
      </c>
      <c r="J2563" s="2" t="s">
        <v>877</v>
      </c>
      <c r="K2563" s="8">
        <f t="shared" si="82"/>
        <v>16</v>
      </c>
    </row>
    <row r="2564" spans="1:11" hidden="1">
      <c r="A2564" s="134"/>
      <c r="F2564" s="8">
        <v>2</v>
      </c>
      <c r="G2564" s="7" t="s">
        <v>877</v>
      </c>
      <c r="H2564" s="1" t="s">
        <v>2007</v>
      </c>
      <c r="I2564" s="8">
        <f t="shared" si="83"/>
        <v>25</v>
      </c>
      <c r="J2564" s="2" t="s">
        <v>877</v>
      </c>
      <c r="K2564" s="8">
        <f t="shared" si="82"/>
        <v>50</v>
      </c>
    </row>
    <row r="2565" spans="1:11" hidden="1">
      <c r="A2565" s="134"/>
      <c r="F2565"/>
      <c r="G2565" s="3"/>
      <c r="H2565"/>
      <c r="I2565"/>
      <c r="J2565" s="4"/>
      <c r="K2565" s="5" t="s">
        <v>1609</v>
      </c>
    </row>
    <row r="2566" spans="1:11" hidden="1">
      <c r="A2566" s="134"/>
      <c r="F2566"/>
      <c r="G2566" s="3"/>
      <c r="H2566" s="1" t="s">
        <v>3370</v>
      </c>
      <c r="I2566"/>
      <c r="J2566" s="4"/>
      <c r="K2566" s="8">
        <f>SUM(K2554:K2564)</f>
        <v>7158.79</v>
      </c>
    </row>
    <row r="2567" spans="1:11" hidden="1">
      <c r="A2567" s="134"/>
      <c r="F2567"/>
      <c r="G2567" s="3"/>
      <c r="H2567"/>
      <c r="I2567"/>
      <c r="J2567" s="4"/>
      <c r="K2567" s="5" t="s">
        <v>1609</v>
      </c>
    </row>
    <row r="2568" spans="1:11" hidden="1">
      <c r="A2568" s="134"/>
      <c r="F2568"/>
      <c r="G2568" s="3"/>
      <c r="H2568" s="1" t="s">
        <v>556</v>
      </c>
      <c r="I2568"/>
      <c r="J2568" s="4"/>
      <c r="K2568" s="8">
        <f>K2566/F2558</f>
        <v>2525.15</v>
      </c>
    </row>
    <row r="2569" spans="1:11" hidden="1">
      <c r="A2569" s="134"/>
      <c r="F2569"/>
      <c r="G2569" s="3"/>
      <c r="H2569" s="1"/>
      <c r="I2569"/>
      <c r="J2569" s="4"/>
      <c r="K2569" s="5" t="s">
        <v>2080</v>
      </c>
    </row>
    <row r="2570" spans="1:11" hidden="1">
      <c r="A2570" s="134"/>
      <c r="F2570"/>
      <c r="G2570" s="3"/>
      <c r="H2570" s="24" t="s">
        <v>714</v>
      </c>
      <c r="I2570"/>
      <c r="J2570" s="4"/>
      <c r="K2570"/>
    </row>
    <row r="2571" spans="1:11" hidden="1">
      <c r="A2571" s="134"/>
      <c r="F2571"/>
      <c r="G2571" s="3"/>
      <c r="H2571" s="5" t="s">
        <v>1609</v>
      </c>
      <c r="I2571"/>
      <c r="J2571" s="4"/>
      <c r="K2571"/>
    </row>
    <row r="2572" spans="1:11" hidden="1">
      <c r="A2572" s="134"/>
      <c r="F2572"/>
      <c r="G2572" s="3"/>
      <c r="H2572" s="1" t="s">
        <v>423</v>
      </c>
      <c r="I2572"/>
      <c r="J2572" s="199"/>
      <c r="K2572"/>
    </row>
    <row r="2573" spans="1:11" hidden="1">
      <c r="A2573" s="134"/>
      <c r="F2573"/>
      <c r="G2573" s="3"/>
      <c r="H2573" s="1" t="s">
        <v>2327</v>
      </c>
      <c r="I2573"/>
      <c r="J2573" s="4"/>
      <c r="K2573"/>
    </row>
    <row r="2574" spans="1:11" hidden="1">
      <c r="A2574" s="134"/>
      <c r="F2574"/>
      <c r="G2574" s="3"/>
      <c r="H2574"/>
      <c r="I2574"/>
      <c r="J2574" s="2" t="s">
        <v>1609</v>
      </c>
      <c r="K2574"/>
    </row>
    <row r="2575" spans="1:11" hidden="1">
      <c r="A2575" s="134"/>
      <c r="F2575"/>
      <c r="G2575" s="3"/>
      <c r="H2575" s="1" t="s">
        <v>3371</v>
      </c>
      <c r="I2575"/>
      <c r="J2575" s="4"/>
      <c r="K2575"/>
    </row>
    <row r="2576" spans="1:11" hidden="1">
      <c r="A2576" s="134"/>
      <c r="F2576"/>
      <c r="G2576" s="3"/>
      <c r="H2576" s="1" t="s">
        <v>3372</v>
      </c>
      <c r="I2576"/>
      <c r="J2576" s="4"/>
      <c r="K2576" s="12">
        <v>2.5000000000000001E-2</v>
      </c>
    </row>
    <row r="2577" spans="1:11" hidden="1">
      <c r="A2577" s="134"/>
      <c r="F2577"/>
      <c r="G2577" s="3"/>
      <c r="H2577"/>
      <c r="I2577"/>
      <c r="J2577" s="2" t="s">
        <v>987</v>
      </c>
      <c r="K2577" s="5" t="s">
        <v>1609</v>
      </c>
    </row>
    <row r="2578" spans="1:11" hidden="1">
      <c r="A2578" s="134"/>
      <c r="F2578"/>
      <c r="G2578" s="3"/>
      <c r="H2578" s="1" t="s">
        <v>3373</v>
      </c>
      <c r="I2578"/>
      <c r="J2578" s="137" t="s">
        <v>987</v>
      </c>
      <c r="K2578" s="12">
        <v>1.7850000000000001E-2</v>
      </c>
    </row>
    <row r="2579" spans="1:11" hidden="1">
      <c r="A2579" s="134"/>
      <c r="F2579"/>
      <c r="G2579" s="3"/>
      <c r="H2579" s="1" t="s">
        <v>3104</v>
      </c>
      <c r="I2579"/>
      <c r="J2579" s="2" t="s">
        <v>987</v>
      </c>
      <c r="K2579" s="12">
        <v>1.4500000000000001E-2</v>
      </c>
    </row>
    <row r="2580" spans="1:11" hidden="1">
      <c r="A2580" s="134"/>
      <c r="F2580"/>
      <c r="G2580" s="3"/>
      <c r="H2580"/>
      <c r="I2580"/>
      <c r="J2580" s="4"/>
      <c r="K2580" s="5" t="s">
        <v>1609</v>
      </c>
    </row>
    <row r="2581" spans="1:11" hidden="1">
      <c r="A2581" s="134"/>
      <c r="F2581"/>
      <c r="G2581" s="3"/>
      <c r="H2581"/>
      <c r="I2581"/>
      <c r="J2581" s="4"/>
      <c r="K2581" s="12">
        <v>2.23E-2</v>
      </c>
    </row>
    <row r="2582" spans="1:11" hidden="1">
      <c r="A2582" s="134"/>
      <c r="F2582"/>
      <c r="G2582" s="3"/>
      <c r="H2582"/>
      <c r="I2582"/>
      <c r="J2582" s="4"/>
      <c r="K2582" s="5" t="s">
        <v>1609</v>
      </c>
    </row>
    <row r="2583" spans="1:11" hidden="1">
      <c r="A2583" s="134"/>
      <c r="F2583"/>
      <c r="G2583" s="3"/>
      <c r="H2583"/>
      <c r="I2583"/>
      <c r="J2583" s="4"/>
      <c r="K2583"/>
    </row>
    <row r="2584" spans="1:11" hidden="1">
      <c r="A2584" s="134"/>
      <c r="F2584"/>
      <c r="G2584" s="3"/>
      <c r="H2584"/>
      <c r="I2584"/>
      <c r="J2584" s="4"/>
      <c r="K2584"/>
    </row>
    <row r="2585" spans="1:11" hidden="1">
      <c r="A2585" s="134"/>
      <c r="F2585" s="12">
        <v>2.2800000000000001E-2</v>
      </c>
      <c r="G2585" s="7" t="s">
        <v>878</v>
      </c>
      <c r="H2585" s="1" t="s">
        <v>309</v>
      </c>
      <c r="I2585" s="8">
        <f>I2554</f>
        <v>65420</v>
      </c>
      <c r="J2585" s="2" t="s">
        <v>878</v>
      </c>
      <c r="K2585" s="8">
        <f>(F2585*I2585)</f>
        <v>1491.58</v>
      </c>
    </row>
    <row r="2586" spans="1:11" hidden="1">
      <c r="A2586" s="134"/>
      <c r="F2586" s="12">
        <v>2.5000000000000001E-2</v>
      </c>
      <c r="G2586" s="7" t="s">
        <v>878</v>
      </c>
      <c r="H2586" s="1" t="s">
        <v>310</v>
      </c>
      <c r="I2586" s="8">
        <f t="shared" ref="I2586:I2595" si="84">I2555</f>
        <v>57165</v>
      </c>
      <c r="J2586" s="2" t="s">
        <v>878</v>
      </c>
      <c r="K2586" s="8">
        <f>(F2586*I2586)</f>
        <v>1429.13</v>
      </c>
    </row>
    <row r="2587" spans="1:11" hidden="1">
      <c r="A2587" s="134"/>
      <c r="F2587" s="12">
        <v>2.23E-2</v>
      </c>
      <c r="G2587" s="7" t="s">
        <v>878</v>
      </c>
      <c r="H2587" s="1" t="s">
        <v>311</v>
      </c>
      <c r="I2587" s="8">
        <f t="shared" si="84"/>
        <v>63870</v>
      </c>
      <c r="J2587" s="2" t="s">
        <v>878</v>
      </c>
      <c r="K2587" s="8">
        <f>(F2587*I2587)</f>
        <v>1424.3</v>
      </c>
    </row>
    <row r="2588" spans="1:11" hidden="1">
      <c r="A2588" s="134"/>
      <c r="F2588" s="13"/>
      <c r="G2588" s="3"/>
      <c r="H2588" s="1" t="s">
        <v>956</v>
      </c>
      <c r="I2588" s="8"/>
      <c r="J2588" s="4"/>
      <c r="K2588" s="1" t="s">
        <v>987</v>
      </c>
    </row>
    <row r="2589" spans="1:11" hidden="1">
      <c r="A2589" s="134"/>
      <c r="F2589" s="13">
        <v>2.2275</v>
      </c>
      <c r="G2589" s="7" t="s">
        <v>615</v>
      </c>
      <c r="H2589" s="1" t="s">
        <v>448</v>
      </c>
      <c r="I2589" s="8">
        <f t="shared" si="84"/>
        <v>342</v>
      </c>
      <c r="J2589" s="2" t="s">
        <v>615</v>
      </c>
      <c r="K2589" s="8">
        <f t="shared" ref="K2589:K2595" si="85">(F2589*I2589)</f>
        <v>761.81</v>
      </c>
    </row>
    <row r="2590" spans="1:11" hidden="1">
      <c r="A2590" s="134"/>
      <c r="F2590" s="8">
        <v>2</v>
      </c>
      <c r="G2590" s="7" t="s">
        <v>778</v>
      </c>
      <c r="H2590" s="1" t="s">
        <v>1485</v>
      </c>
      <c r="I2590" s="8">
        <f t="shared" si="84"/>
        <v>30</v>
      </c>
      <c r="J2590" s="2" t="s">
        <v>877</v>
      </c>
      <c r="K2590" s="8">
        <f t="shared" si="85"/>
        <v>60</v>
      </c>
    </row>
    <row r="2591" spans="1:11" hidden="1">
      <c r="A2591" s="134"/>
      <c r="F2591" s="8">
        <v>6</v>
      </c>
      <c r="G2591" s="7" t="s">
        <v>877</v>
      </c>
      <c r="H2591" s="1" t="s">
        <v>1486</v>
      </c>
      <c r="I2591" s="8">
        <f t="shared" si="84"/>
        <v>45</v>
      </c>
      <c r="J2591" s="2" t="s">
        <v>877</v>
      </c>
      <c r="K2591" s="8">
        <f t="shared" si="85"/>
        <v>270</v>
      </c>
    </row>
    <row r="2592" spans="1:11" hidden="1">
      <c r="A2592" s="134"/>
      <c r="F2592" s="8">
        <v>4</v>
      </c>
      <c r="G2592" s="7" t="s">
        <v>877</v>
      </c>
      <c r="H2592" s="1" t="s">
        <v>1487</v>
      </c>
      <c r="I2592" s="8">
        <f t="shared" si="84"/>
        <v>30</v>
      </c>
      <c r="J2592" s="2" t="s">
        <v>877</v>
      </c>
      <c r="K2592" s="8">
        <f t="shared" si="85"/>
        <v>120</v>
      </c>
    </row>
    <row r="2593" spans="1:11" hidden="1">
      <c r="A2593" s="134"/>
      <c r="F2593" s="8">
        <v>1</v>
      </c>
      <c r="G2593" s="7" t="s">
        <v>877</v>
      </c>
      <c r="H2593" s="1" t="s">
        <v>1488</v>
      </c>
      <c r="I2593" s="8">
        <f t="shared" si="84"/>
        <v>95</v>
      </c>
      <c r="J2593" s="2" t="s">
        <v>877</v>
      </c>
      <c r="K2593" s="8">
        <f t="shared" si="85"/>
        <v>95</v>
      </c>
    </row>
    <row r="2594" spans="1:11" hidden="1">
      <c r="A2594" s="134"/>
      <c r="F2594" s="8">
        <v>2</v>
      </c>
      <c r="G2594" s="7" t="s">
        <v>877</v>
      </c>
      <c r="H2594" s="1" t="s">
        <v>1489</v>
      </c>
      <c r="I2594" s="8">
        <f t="shared" si="84"/>
        <v>8</v>
      </c>
      <c r="J2594" s="2" t="s">
        <v>877</v>
      </c>
      <c r="K2594" s="8">
        <f t="shared" si="85"/>
        <v>16</v>
      </c>
    </row>
    <row r="2595" spans="1:11" hidden="1">
      <c r="A2595" s="134"/>
      <c r="F2595" s="8">
        <v>2</v>
      </c>
      <c r="G2595" s="7" t="s">
        <v>877</v>
      </c>
      <c r="H2595" s="1" t="s">
        <v>2007</v>
      </c>
      <c r="I2595" s="8">
        <f t="shared" si="84"/>
        <v>25</v>
      </c>
      <c r="J2595" s="2" t="s">
        <v>877</v>
      </c>
      <c r="K2595" s="8">
        <f t="shared" si="85"/>
        <v>50</v>
      </c>
    </row>
    <row r="2596" spans="1:11" hidden="1">
      <c r="A2596" s="134"/>
      <c r="F2596"/>
      <c r="G2596" s="3"/>
      <c r="H2596"/>
      <c r="I2596"/>
      <c r="J2596" s="4"/>
      <c r="K2596" s="5" t="s">
        <v>1609</v>
      </c>
    </row>
    <row r="2597" spans="1:11" hidden="1">
      <c r="A2597" s="134"/>
      <c r="F2597"/>
      <c r="G2597" s="3"/>
      <c r="H2597" s="1" t="s">
        <v>767</v>
      </c>
      <c r="I2597"/>
      <c r="J2597" s="4"/>
      <c r="K2597" s="8">
        <f>SUM(K2585:K2595)</f>
        <v>5717.82</v>
      </c>
    </row>
    <row r="2598" spans="1:11" hidden="1">
      <c r="A2598" s="134"/>
      <c r="F2598"/>
      <c r="G2598" s="3"/>
      <c r="H2598"/>
      <c r="I2598"/>
      <c r="J2598" s="4"/>
      <c r="K2598" s="5" t="s">
        <v>1609</v>
      </c>
    </row>
    <row r="2599" spans="1:11" hidden="1">
      <c r="A2599" s="134"/>
      <c r="F2599"/>
      <c r="G2599" s="3"/>
      <c r="H2599" s="1" t="s">
        <v>556</v>
      </c>
      <c r="I2599"/>
      <c r="J2599" s="4"/>
      <c r="K2599" s="8">
        <f>K2597/F2589</f>
        <v>2566.92</v>
      </c>
    </row>
    <row r="2600" spans="1:11" hidden="1">
      <c r="A2600" s="134"/>
      <c r="F2600"/>
      <c r="G2600" s="3"/>
      <c r="H2600" s="1"/>
      <c r="I2600"/>
      <c r="J2600" s="4"/>
      <c r="K2600" s="5" t="s">
        <v>2080</v>
      </c>
    </row>
    <row r="2601" spans="1:11" hidden="1">
      <c r="A2601" s="134"/>
      <c r="F2601"/>
      <c r="G2601" s="3"/>
      <c r="H2601"/>
      <c r="I2601"/>
      <c r="J2601" s="4"/>
      <c r="K2601"/>
    </row>
    <row r="2602" spans="1:11" hidden="1">
      <c r="A2602" s="134"/>
      <c r="F2602">
        <v>55.2</v>
      </c>
      <c r="G2602" s="3"/>
      <c r="H2602" s="4" t="s">
        <v>3105</v>
      </c>
      <c r="I2602"/>
      <c r="J2602" s="4"/>
      <c r="K2602"/>
    </row>
    <row r="2603" spans="1:11" hidden="1">
      <c r="A2603" s="134"/>
      <c r="F2603"/>
      <c r="G2603" s="3"/>
      <c r="H2603" s="200" t="s">
        <v>1609</v>
      </c>
      <c r="I2603"/>
      <c r="J2603" s="4"/>
      <c r="K2603"/>
    </row>
    <row r="2604" spans="1:11" hidden="1">
      <c r="A2604" s="134"/>
      <c r="F2604">
        <v>1</v>
      </c>
      <c r="G2604" s="3" t="s">
        <v>1414</v>
      </c>
      <c r="H2604" t="s">
        <v>3106</v>
      </c>
      <c r="I2604">
        <v>650</v>
      </c>
      <c r="J2604" s="4" t="s">
        <v>1414</v>
      </c>
      <c r="K2604">
        <f>F2604*I2604</f>
        <v>650</v>
      </c>
    </row>
    <row r="2605" spans="1:11" hidden="1">
      <c r="A2605" s="134"/>
      <c r="F2605">
        <v>0.5</v>
      </c>
      <c r="G2605" s="3" t="s">
        <v>1414</v>
      </c>
      <c r="H2605" t="s">
        <v>2087</v>
      </c>
      <c r="I2605">
        <f>C15</f>
        <v>130</v>
      </c>
      <c r="J2605" s="4" t="s">
        <v>1414</v>
      </c>
      <c r="K2605">
        <f>F2605*I2605</f>
        <v>65</v>
      </c>
    </row>
    <row r="2606" spans="1:11" hidden="1">
      <c r="A2606" s="134"/>
      <c r="F2606">
        <v>0.5</v>
      </c>
      <c r="G2606" s="3" t="s">
        <v>1414</v>
      </c>
      <c r="H2606" t="s">
        <v>3107</v>
      </c>
      <c r="I2606">
        <f>C10</f>
        <v>150</v>
      </c>
      <c r="J2606" s="4" t="s">
        <v>1414</v>
      </c>
      <c r="K2606">
        <f>F2606*I2606</f>
        <v>75</v>
      </c>
    </row>
    <row r="2607" spans="1:11" hidden="1">
      <c r="A2607" s="134"/>
      <c r="F2607">
        <v>0.5</v>
      </c>
      <c r="G2607" s="3" t="s">
        <v>1414</v>
      </c>
      <c r="H2607" t="s">
        <v>2820</v>
      </c>
      <c r="I2607">
        <f>C12</f>
        <v>95</v>
      </c>
      <c r="J2607" s="4" t="s">
        <v>1414</v>
      </c>
      <c r="K2607">
        <f>F2607*I2607</f>
        <v>47.5</v>
      </c>
    </row>
    <row r="2608" spans="1:11" hidden="1">
      <c r="A2608" s="134"/>
      <c r="F2608"/>
      <c r="G2608" s="3"/>
      <c r="H2608"/>
      <c r="I2608"/>
      <c r="J2608" s="4"/>
      <c r="K2608" s="197" t="s">
        <v>1609</v>
      </c>
    </row>
    <row r="2609" spans="1:11" hidden="1">
      <c r="A2609" s="134"/>
      <c r="F2609"/>
      <c r="G2609" s="3"/>
      <c r="H2609"/>
      <c r="I2609"/>
      <c r="J2609" s="4"/>
      <c r="K2609">
        <f>SUM(K2604:K2608)</f>
        <v>837.5</v>
      </c>
    </row>
    <row r="2610" spans="1:11" hidden="1">
      <c r="A2610" s="134"/>
      <c r="F2610"/>
      <c r="G2610" s="3"/>
      <c r="H2610"/>
      <c r="I2610"/>
      <c r="J2610" s="4"/>
      <c r="K2610" s="197" t="s">
        <v>2080</v>
      </c>
    </row>
    <row r="2611" spans="1:11" hidden="1">
      <c r="A2611" s="134"/>
      <c r="F2611">
        <v>44.2</v>
      </c>
      <c r="G2611" s="3" t="s">
        <v>2276</v>
      </c>
      <c r="H2611" t="s">
        <v>3108</v>
      </c>
      <c r="I2611"/>
      <c r="J2611" s="4"/>
      <c r="K2611"/>
    </row>
    <row r="2612" spans="1:11" hidden="1">
      <c r="A2612" s="134"/>
      <c r="F2612"/>
      <c r="G2612" s="3"/>
      <c r="H2612" s="39" t="s">
        <v>3401</v>
      </c>
      <c r="I2612"/>
      <c r="J2612" s="4"/>
      <c r="K2612"/>
    </row>
    <row r="2613" spans="1:11" hidden="1">
      <c r="A2613" s="134"/>
      <c r="F2613">
        <v>0.47</v>
      </c>
      <c r="G2613" s="3" t="s">
        <v>1361</v>
      </c>
      <c r="H2613" t="s">
        <v>357</v>
      </c>
      <c r="I2613">
        <f>K88</f>
        <v>52.93</v>
      </c>
      <c r="J2613" s="4" t="s">
        <v>2176</v>
      </c>
      <c r="K2613">
        <f>I2613*F2613</f>
        <v>24.88</v>
      </c>
    </row>
    <row r="2614" spans="1:11" hidden="1">
      <c r="A2614" s="134"/>
      <c r="F2614">
        <v>4.9000000000000004</v>
      </c>
      <c r="G2614" s="3" t="s">
        <v>835</v>
      </c>
      <c r="H2614" t="s">
        <v>3109</v>
      </c>
      <c r="I2614">
        <f>K2629</f>
        <v>50.58</v>
      </c>
      <c r="J2614" s="4" t="s">
        <v>835</v>
      </c>
      <c r="K2614">
        <f>I2614*F2614</f>
        <v>247.84</v>
      </c>
    </row>
    <row r="2615" spans="1:11" hidden="1">
      <c r="A2615" s="134"/>
      <c r="F2615">
        <v>0.59</v>
      </c>
      <c r="G2615" s="3" t="s">
        <v>1361</v>
      </c>
      <c r="H2615" t="s">
        <v>1185</v>
      </c>
      <c r="I2615" t="e">
        <f>AC15</f>
        <v>#REF!</v>
      </c>
      <c r="J2615" s="4" t="s">
        <v>2176</v>
      </c>
      <c r="K2615" t="e">
        <f>I2615*F2615</f>
        <v>#REF!</v>
      </c>
    </row>
    <row r="2616" spans="1:11" hidden="1">
      <c r="A2616" s="134"/>
      <c r="F2616">
        <v>0.79</v>
      </c>
      <c r="G2616" s="3" t="s">
        <v>2308</v>
      </c>
      <c r="H2616" t="s">
        <v>1186</v>
      </c>
      <c r="I2616" t="e">
        <f>K630</f>
        <v>#REF!</v>
      </c>
      <c r="J2616" s="4" t="s">
        <v>2308</v>
      </c>
      <c r="K2616" t="e">
        <f>I2616*F2616</f>
        <v>#REF!</v>
      </c>
    </row>
    <row r="2617" spans="1:11" hidden="1">
      <c r="A2617" s="134"/>
      <c r="F2617">
        <v>0.24</v>
      </c>
      <c r="G2617" s="3" t="s">
        <v>1361</v>
      </c>
      <c r="H2617" t="s">
        <v>921</v>
      </c>
      <c r="I2617" t="e">
        <f>AC17</f>
        <v>#REF!</v>
      </c>
      <c r="J2617" s="4" t="s">
        <v>2176</v>
      </c>
      <c r="K2617" t="e">
        <f>I2617*F2617</f>
        <v>#REF!</v>
      </c>
    </row>
    <row r="2618" spans="1:11" hidden="1">
      <c r="A2618" s="134"/>
      <c r="F2618"/>
      <c r="G2618" s="3"/>
      <c r="H2618" t="s">
        <v>2296</v>
      </c>
      <c r="I2618"/>
      <c r="J2618" s="4"/>
      <c r="K2618"/>
    </row>
    <row r="2619" spans="1:11" hidden="1">
      <c r="A2619" s="134"/>
      <c r="F2619"/>
      <c r="G2619" s="3"/>
      <c r="H2619"/>
      <c r="I2619"/>
      <c r="J2619" s="4"/>
      <c r="K2619" s="39" t="s">
        <v>3110</v>
      </c>
    </row>
    <row r="2620" spans="1:11" hidden="1">
      <c r="A2620" s="134"/>
      <c r="F2620"/>
      <c r="G2620" s="3"/>
      <c r="H2620"/>
      <c r="I2620"/>
      <c r="J2620" s="4"/>
      <c r="K2620" t="e">
        <f>SUM(K2613:K2619)</f>
        <v>#REF!</v>
      </c>
    </row>
    <row r="2621" spans="1:11" hidden="1">
      <c r="A2621" s="134"/>
      <c r="F2621"/>
      <c r="G2621" s="3"/>
      <c r="H2621"/>
      <c r="I2621"/>
      <c r="J2621" s="4"/>
      <c r="K2621" s="39" t="s">
        <v>34</v>
      </c>
    </row>
    <row r="2622" spans="1:11" hidden="1">
      <c r="A2622" s="134"/>
      <c r="F2622"/>
      <c r="G2622" s="3"/>
      <c r="H2622" s="95" t="s">
        <v>3111</v>
      </c>
      <c r="I2622"/>
      <c r="J2622" s="4"/>
      <c r="K2622"/>
    </row>
    <row r="2623" spans="1:11" hidden="1">
      <c r="A2623" s="134"/>
      <c r="F2623"/>
      <c r="G2623" s="3"/>
      <c r="H2623"/>
      <c r="I2623"/>
      <c r="J2623" s="4"/>
      <c r="K2623"/>
    </row>
    <row r="2624" spans="1:11" hidden="1">
      <c r="A2624" s="134"/>
      <c r="F2624">
        <v>0.25</v>
      </c>
      <c r="G2624" s="3" t="s">
        <v>1414</v>
      </c>
      <c r="H2624" t="s">
        <v>466</v>
      </c>
      <c r="I2624">
        <f>C11</f>
        <v>135</v>
      </c>
      <c r="J2624" s="4" t="s">
        <v>1418</v>
      </c>
      <c r="K2624">
        <f>I2624*F2624</f>
        <v>33.75</v>
      </c>
    </row>
    <row r="2625" spans="1:11" hidden="1">
      <c r="A2625" s="134"/>
      <c r="F2625">
        <v>1</v>
      </c>
      <c r="G2625" s="3" t="s">
        <v>1414</v>
      </c>
      <c r="H2625" t="s">
        <v>348</v>
      </c>
      <c r="I2625">
        <f>C12</f>
        <v>95</v>
      </c>
      <c r="J2625" s="4" t="s">
        <v>1418</v>
      </c>
      <c r="K2625">
        <f>I2625*F2625</f>
        <v>95</v>
      </c>
    </row>
    <row r="2626" spans="1:11" hidden="1">
      <c r="A2626" s="134"/>
      <c r="F2626">
        <v>1</v>
      </c>
      <c r="G2626" s="3"/>
      <c r="H2626" t="s">
        <v>3112</v>
      </c>
      <c r="I2626">
        <v>23</v>
      </c>
      <c r="J2626" s="4" t="s">
        <v>450</v>
      </c>
      <c r="K2626">
        <f>I2626*F2626</f>
        <v>23</v>
      </c>
    </row>
    <row r="2627" spans="1:11" hidden="1">
      <c r="A2627" s="134"/>
      <c r="F2627"/>
      <c r="G2627" s="3"/>
      <c r="H2627"/>
      <c r="I2627"/>
      <c r="J2627" s="4"/>
      <c r="K2627" s="39" t="s">
        <v>3110</v>
      </c>
    </row>
    <row r="2628" spans="1:11" hidden="1">
      <c r="A2628" s="134"/>
      <c r="F2628"/>
      <c r="G2628" s="3"/>
      <c r="H2628" t="s">
        <v>3113</v>
      </c>
      <c r="I2628"/>
      <c r="J2628" s="4"/>
      <c r="K2628">
        <f>SUM(K2624:K2627)</f>
        <v>151.75</v>
      </c>
    </row>
    <row r="2629" spans="1:11" hidden="1">
      <c r="A2629" s="134"/>
      <c r="F2629"/>
      <c r="G2629" s="3"/>
      <c r="H2629" t="s">
        <v>3114</v>
      </c>
      <c r="I2629"/>
      <c r="J2629" s="4"/>
      <c r="K2629">
        <f>K2628/3</f>
        <v>50.58</v>
      </c>
    </row>
    <row r="2630" spans="1:11" hidden="1">
      <c r="A2630" s="134"/>
      <c r="F2630"/>
      <c r="G2630" s="3"/>
      <c r="H2630"/>
      <c r="I2630"/>
      <c r="J2630" s="4"/>
      <c r="K2630" s="197" t="s">
        <v>1609</v>
      </c>
    </row>
    <row r="2631" spans="1:11" ht="40.5" hidden="1" customHeight="1">
      <c r="A2631" s="134"/>
      <c r="F2631">
        <v>84</v>
      </c>
      <c r="G2631" s="3"/>
      <c r="H2631" s="196" t="s">
        <v>3115</v>
      </c>
      <c r="I2631"/>
      <c r="J2631" s="4"/>
      <c r="K2631"/>
    </row>
    <row r="2632" spans="1:11" hidden="1">
      <c r="A2632" s="134"/>
      <c r="F2632"/>
      <c r="G2632" s="3"/>
      <c r="H2632" s="197" t="s">
        <v>1609</v>
      </c>
      <c r="I2632"/>
      <c r="J2632" s="4"/>
      <c r="K2632"/>
    </row>
    <row r="2633" spans="1:11" hidden="1">
      <c r="A2633" s="134"/>
      <c r="F2633" s="196">
        <v>180</v>
      </c>
      <c r="G2633" s="196" t="s">
        <v>835</v>
      </c>
      <c r="H2633" s="196" t="s">
        <v>3116</v>
      </c>
      <c r="I2633" s="196">
        <v>15.6</v>
      </c>
      <c r="J2633" s="196" t="s">
        <v>835</v>
      </c>
      <c r="K2633" s="196">
        <f>I2633*F2633</f>
        <v>2808</v>
      </c>
    </row>
    <row r="2634" spans="1:11" hidden="1">
      <c r="A2634" s="134"/>
      <c r="F2634" s="196">
        <v>4</v>
      </c>
      <c r="G2634" s="196" t="s">
        <v>1670</v>
      </c>
      <c r="H2634" s="196" t="s">
        <v>3381</v>
      </c>
      <c r="I2634" s="196">
        <v>37</v>
      </c>
      <c r="J2634" s="196" t="s">
        <v>1670</v>
      </c>
      <c r="K2634" s="196">
        <f t="shared" ref="K2634:K2640" si="86">I2634*F2634</f>
        <v>148</v>
      </c>
    </row>
    <row r="2635" spans="1:11" hidden="1">
      <c r="A2635" s="134"/>
      <c r="F2635" s="196">
        <v>180</v>
      </c>
      <c r="G2635" s="196" t="s">
        <v>1452</v>
      </c>
      <c r="H2635" s="196" t="s">
        <v>3382</v>
      </c>
      <c r="I2635" s="196">
        <v>0.25</v>
      </c>
      <c r="J2635" s="196" t="s">
        <v>1418</v>
      </c>
      <c r="K2635" s="196">
        <f t="shared" si="86"/>
        <v>45</v>
      </c>
    </row>
    <row r="2636" spans="1:11" hidden="1">
      <c r="A2636" s="134"/>
      <c r="F2636" s="196">
        <v>1</v>
      </c>
      <c r="G2636" s="196" t="s">
        <v>1670</v>
      </c>
      <c r="H2636" s="196" t="s">
        <v>3383</v>
      </c>
      <c r="I2636" s="196">
        <v>37</v>
      </c>
      <c r="J2636" s="196" t="s">
        <v>1670</v>
      </c>
      <c r="K2636" s="196">
        <f t="shared" si="86"/>
        <v>37</v>
      </c>
    </row>
    <row r="2637" spans="1:11" hidden="1">
      <c r="A2637" s="134"/>
      <c r="F2637" s="196">
        <v>1</v>
      </c>
      <c r="G2637" s="196" t="s">
        <v>1452</v>
      </c>
      <c r="H2637" s="196" t="s">
        <v>3384</v>
      </c>
      <c r="I2637" s="196">
        <v>148</v>
      </c>
      <c r="J2637" s="196" t="s">
        <v>1418</v>
      </c>
      <c r="K2637" s="196">
        <f t="shared" si="86"/>
        <v>148</v>
      </c>
    </row>
    <row r="2638" spans="1:11" hidden="1">
      <c r="A2638" s="134"/>
      <c r="F2638" s="196">
        <v>2</v>
      </c>
      <c r="G2638" s="196" t="s">
        <v>1452</v>
      </c>
      <c r="H2638" s="196" t="s">
        <v>3385</v>
      </c>
      <c r="I2638" s="196">
        <v>131</v>
      </c>
      <c r="J2638" s="196" t="s">
        <v>1418</v>
      </c>
      <c r="K2638" s="196">
        <f t="shared" si="86"/>
        <v>262</v>
      </c>
    </row>
    <row r="2639" spans="1:11" hidden="1">
      <c r="A2639" s="134"/>
      <c r="F2639" s="196">
        <v>2</v>
      </c>
      <c r="G2639" s="196" t="s">
        <v>1452</v>
      </c>
      <c r="H2639" s="196" t="s">
        <v>3386</v>
      </c>
      <c r="I2639" s="196">
        <v>117</v>
      </c>
      <c r="J2639" s="196" t="s">
        <v>1418</v>
      </c>
      <c r="K2639" s="196">
        <f t="shared" si="86"/>
        <v>234</v>
      </c>
    </row>
    <row r="2640" spans="1:11" hidden="1">
      <c r="A2640" s="134"/>
      <c r="F2640" s="196">
        <v>3</v>
      </c>
      <c r="G2640" s="196" t="s">
        <v>1452</v>
      </c>
      <c r="H2640" s="196" t="s">
        <v>2356</v>
      </c>
      <c r="I2640" s="196">
        <v>91</v>
      </c>
      <c r="J2640" s="196" t="s">
        <v>1418</v>
      </c>
      <c r="K2640" s="196">
        <f t="shared" si="86"/>
        <v>273</v>
      </c>
    </row>
    <row r="2641" spans="1:11" hidden="1">
      <c r="A2641" s="134"/>
      <c r="F2641" s="196"/>
      <c r="G2641" s="196"/>
      <c r="H2641" s="196" t="s">
        <v>3387</v>
      </c>
      <c r="I2641" s="196"/>
      <c r="J2641" s="196"/>
      <c r="K2641" s="196">
        <v>5</v>
      </c>
    </row>
    <row r="2642" spans="1:11" hidden="1">
      <c r="A2642" s="134"/>
      <c r="F2642" s="196"/>
      <c r="G2642" s="196"/>
      <c r="H2642" s="196"/>
      <c r="I2642" s="196"/>
      <c r="J2642" s="196"/>
      <c r="K2642" s="201" t="s">
        <v>1609</v>
      </c>
    </row>
    <row r="2643" spans="1:11" hidden="1">
      <c r="A2643" s="134"/>
      <c r="F2643" s="196"/>
      <c r="G2643" s="196"/>
      <c r="H2643" s="196" t="s">
        <v>3388</v>
      </c>
      <c r="I2643" s="196"/>
      <c r="J2643" s="196"/>
      <c r="K2643" s="196">
        <f>SUM(K2633:K2642)</f>
        <v>3960</v>
      </c>
    </row>
    <row r="2644" spans="1:11" hidden="1">
      <c r="A2644" s="134"/>
      <c r="F2644" s="196"/>
      <c r="G2644" s="196"/>
      <c r="H2644" s="196"/>
      <c r="I2644" s="196"/>
      <c r="J2644" s="196"/>
      <c r="K2644" s="201" t="s">
        <v>1609</v>
      </c>
    </row>
    <row r="2645" spans="1:11" hidden="1">
      <c r="A2645" s="134"/>
      <c r="F2645" s="196"/>
      <c r="G2645" s="196"/>
      <c r="H2645" s="196" t="s">
        <v>3389</v>
      </c>
      <c r="I2645" s="196"/>
      <c r="J2645" s="196"/>
      <c r="K2645" s="196">
        <f>K2643/90</f>
        <v>44</v>
      </c>
    </row>
    <row r="2646" spans="1:11" hidden="1">
      <c r="A2646" s="134"/>
      <c r="F2646" s="196"/>
      <c r="G2646" s="196"/>
      <c r="H2646" s="196"/>
      <c r="I2646" s="196"/>
      <c r="J2646" s="196"/>
      <c r="K2646" s="201" t="s">
        <v>2080</v>
      </c>
    </row>
    <row r="2647" spans="1:11" hidden="1">
      <c r="A2647" s="134"/>
      <c r="F2647" s="20"/>
      <c r="G2647" s="3"/>
      <c r="H2647" s="1" t="s">
        <v>2024</v>
      </c>
      <c r="I2647"/>
      <c r="J2647" s="4"/>
      <c r="K2647"/>
    </row>
    <row r="2648" spans="1:11" hidden="1">
      <c r="A2648" s="134"/>
      <c r="F2648"/>
      <c r="G2648" s="3"/>
      <c r="H2648" s="5" t="s">
        <v>1609</v>
      </c>
      <c r="I2648" s="5" t="s">
        <v>1609</v>
      </c>
      <c r="J2648" s="2" t="s">
        <v>1609</v>
      </c>
      <c r="K2648"/>
    </row>
    <row r="2649" spans="1:11" hidden="1">
      <c r="A2649" s="134"/>
      <c r="F2649"/>
      <c r="G2649" s="3"/>
      <c r="H2649"/>
      <c r="I2649"/>
      <c r="J2649" s="4"/>
      <c r="K2649"/>
    </row>
    <row r="2650" spans="1:11" hidden="1">
      <c r="A2650" s="134"/>
      <c r="F2650" s="22">
        <v>22.5</v>
      </c>
      <c r="G2650" s="3"/>
      <c r="H2650" s="1" t="s">
        <v>2025</v>
      </c>
      <c r="I2650"/>
      <c r="J2650" s="4"/>
      <c r="K2650"/>
    </row>
    <row r="2651" spans="1:11" hidden="1">
      <c r="A2651" s="134"/>
      <c r="F2651"/>
      <c r="G2651" s="3"/>
      <c r="H2651" s="1"/>
      <c r="I2651"/>
      <c r="J2651" s="4"/>
      <c r="K2651"/>
    </row>
    <row r="2652" spans="1:11" hidden="1">
      <c r="A2652" s="134"/>
      <c r="F2652"/>
      <c r="G2652" s="3"/>
      <c r="H2652" s="1" t="s">
        <v>2026</v>
      </c>
      <c r="I2652"/>
      <c r="J2652" s="4"/>
      <c r="K2652"/>
    </row>
    <row r="2653" spans="1:11" hidden="1">
      <c r="A2653" s="134"/>
      <c r="F2653"/>
      <c r="G2653" s="3"/>
      <c r="H2653" s="1" t="s">
        <v>455</v>
      </c>
      <c r="I2653"/>
      <c r="J2653" s="4"/>
      <c r="K2653"/>
    </row>
    <row r="2654" spans="1:11" hidden="1">
      <c r="A2654" s="134"/>
      <c r="F2654"/>
      <c r="G2654" s="3"/>
      <c r="H2654" s="1" t="s">
        <v>456</v>
      </c>
      <c r="I2654"/>
      <c r="J2654" s="4"/>
      <c r="K2654"/>
    </row>
    <row r="2655" spans="1:11" hidden="1">
      <c r="A2655" s="134"/>
      <c r="F2655"/>
      <c r="G2655" s="3"/>
      <c r="H2655" s="1" t="s">
        <v>457</v>
      </c>
      <c r="I2655"/>
      <c r="J2655" s="4"/>
      <c r="K2655"/>
    </row>
    <row r="2656" spans="1:11" hidden="1">
      <c r="A2656" s="134"/>
      <c r="F2656"/>
      <c r="G2656" s="3"/>
      <c r="H2656" s="1" t="s">
        <v>890</v>
      </c>
      <c r="I2656"/>
      <c r="J2656" s="2" t="s">
        <v>987</v>
      </c>
      <c r="K2656" s="12">
        <v>3.7699999999999997E-2</v>
      </c>
    </row>
    <row r="2657" spans="1:11" hidden="1">
      <c r="A2657" s="134"/>
      <c r="F2657"/>
      <c r="G2657" s="3"/>
      <c r="H2657" s="1" t="s">
        <v>701</v>
      </c>
      <c r="I2657"/>
      <c r="J2657" s="137" t="s">
        <v>987</v>
      </c>
      <c r="K2657" s="15" t="s">
        <v>987</v>
      </c>
    </row>
    <row r="2658" spans="1:11" hidden="1">
      <c r="A2658" s="134"/>
      <c r="F2658"/>
      <c r="G2658" s="3"/>
      <c r="H2658" s="1" t="s">
        <v>1855</v>
      </c>
      <c r="I2658"/>
      <c r="J2658" s="4"/>
      <c r="K2658" s="15" t="s">
        <v>987</v>
      </c>
    </row>
    <row r="2659" spans="1:11" hidden="1">
      <c r="A2659" s="134"/>
      <c r="F2659"/>
      <c r="G2659" s="3"/>
      <c r="H2659" s="1"/>
      <c r="I2659"/>
      <c r="J2659" s="4"/>
      <c r="K2659" s="15"/>
    </row>
    <row r="2660" spans="1:11" hidden="1">
      <c r="A2660" s="134"/>
      <c r="F2660"/>
      <c r="G2660" s="3"/>
      <c r="H2660" s="1"/>
      <c r="I2660"/>
      <c r="J2660" s="4"/>
      <c r="K2660" s="15"/>
    </row>
    <row r="2661" spans="1:11" hidden="1">
      <c r="A2661" s="134"/>
      <c r="F2661"/>
      <c r="G2661" s="3"/>
      <c r="H2661"/>
      <c r="I2661"/>
      <c r="J2661" s="4"/>
      <c r="K2661"/>
    </row>
    <row r="2662" spans="1:11" hidden="1">
      <c r="A2662" s="134"/>
      <c r="F2662" s="16">
        <v>1.18E-2</v>
      </c>
      <c r="G2662" s="7" t="s">
        <v>878</v>
      </c>
      <c r="H2662" s="1" t="s">
        <v>698</v>
      </c>
      <c r="I2662" s="8">
        <f t="shared" ref="I2662:I2671" si="87">I2260</f>
        <v>65420</v>
      </c>
      <c r="J2662" s="2" t="s">
        <v>878</v>
      </c>
      <c r="K2662" s="8">
        <f t="shared" ref="K2662:K2671" si="88">(F2662*I2662)</f>
        <v>771.96</v>
      </c>
    </row>
    <row r="2663" spans="1:11" hidden="1">
      <c r="A2663" s="134"/>
      <c r="F2663" s="16">
        <v>3.7699999999999997E-2</v>
      </c>
      <c r="G2663" s="7" t="s">
        <v>878</v>
      </c>
      <c r="H2663" s="1" t="s">
        <v>699</v>
      </c>
      <c r="I2663" s="8">
        <f t="shared" si="87"/>
        <v>57165</v>
      </c>
      <c r="J2663" s="2" t="s">
        <v>878</v>
      </c>
      <c r="K2663" s="8">
        <f t="shared" si="88"/>
        <v>2155.12</v>
      </c>
    </row>
    <row r="2664" spans="1:11" hidden="1">
      <c r="A2664" s="134"/>
      <c r="F2664" s="16">
        <v>1.8550000000000001E-2</v>
      </c>
      <c r="G2664" s="7" t="s">
        <v>878</v>
      </c>
      <c r="H2664" s="1" t="s">
        <v>895</v>
      </c>
      <c r="I2664" s="8">
        <f t="shared" si="87"/>
        <v>3035</v>
      </c>
      <c r="J2664" s="2" t="s">
        <v>878</v>
      </c>
      <c r="K2664" s="8">
        <f t="shared" si="88"/>
        <v>56.3</v>
      </c>
    </row>
    <row r="2665" spans="1:11" hidden="1">
      <c r="A2665" s="134"/>
      <c r="F2665" s="16">
        <v>1.36</v>
      </c>
      <c r="G2665" s="7" t="s">
        <v>615</v>
      </c>
      <c r="H2665" s="1" t="s">
        <v>896</v>
      </c>
      <c r="I2665" s="8">
        <f t="shared" si="87"/>
        <v>385.89</v>
      </c>
      <c r="J2665" s="2" t="s">
        <v>615</v>
      </c>
      <c r="K2665" s="8">
        <f t="shared" si="88"/>
        <v>524.80999999999995</v>
      </c>
    </row>
    <row r="2666" spans="1:11" hidden="1">
      <c r="A2666" s="134"/>
      <c r="F2666" s="16">
        <v>2.0499999999999998</v>
      </c>
      <c r="G2666" s="7" t="s">
        <v>615</v>
      </c>
      <c r="H2666" s="1" t="s">
        <v>1528</v>
      </c>
      <c r="I2666" s="8">
        <f t="shared" si="87"/>
        <v>287</v>
      </c>
      <c r="J2666" s="2" t="s">
        <v>615</v>
      </c>
      <c r="K2666" s="8">
        <f t="shared" si="88"/>
        <v>588.35</v>
      </c>
    </row>
    <row r="2667" spans="1:11" hidden="1">
      <c r="A2667" s="134"/>
      <c r="F2667" s="8">
        <v>2</v>
      </c>
      <c r="G2667" s="7" t="s">
        <v>877</v>
      </c>
      <c r="H2667" s="1" t="s">
        <v>1409</v>
      </c>
      <c r="I2667" s="8">
        <f t="shared" si="87"/>
        <v>25</v>
      </c>
      <c r="J2667" s="2" t="s">
        <v>877</v>
      </c>
      <c r="K2667" s="8">
        <f t="shared" si="88"/>
        <v>50</v>
      </c>
    </row>
    <row r="2668" spans="1:11" hidden="1">
      <c r="A2668" s="134"/>
      <c r="F2668" s="8">
        <v>6</v>
      </c>
      <c r="G2668" s="7" t="s">
        <v>877</v>
      </c>
      <c r="H2668" s="1" t="s">
        <v>1363</v>
      </c>
      <c r="I2668" s="8">
        <f t="shared" si="87"/>
        <v>25</v>
      </c>
      <c r="J2668" s="2" t="s">
        <v>877</v>
      </c>
      <c r="K2668" s="8">
        <f t="shared" si="88"/>
        <v>150</v>
      </c>
    </row>
    <row r="2669" spans="1:11" hidden="1">
      <c r="A2669" s="134"/>
      <c r="F2669" s="8">
        <v>2</v>
      </c>
      <c r="G2669" s="7" t="s">
        <v>877</v>
      </c>
      <c r="H2669" s="1" t="s">
        <v>1410</v>
      </c>
      <c r="I2669" s="8">
        <f t="shared" si="87"/>
        <v>35</v>
      </c>
      <c r="J2669" s="2" t="s">
        <v>877</v>
      </c>
      <c r="K2669" s="8">
        <f t="shared" si="88"/>
        <v>70</v>
      </c>
    </row>
    <row r="2670" spans="1:11" hidden="1">
      <c r="A2670" s="134"/>
      <c r="F2670" s="8">
        <v>1</v>
      </c>
      <c r="G2670" s="7" t="s">
        <v>877</v>
      </c>
      <c r="H2670" s="1" t="s">
        <v>1437</v>
      </c>
      <c r="I2670" s="8">
        <f t="shared" si="87"/>
        <v>60</v>
      </c>
      <c r="J2670" s="2" t="s">
        <v>877</v>
      </c>
      <c r="K2670" s="8">
        <f t="shared" si="88"/>
        <v>60</v>
      </c>
    </row>
    <row r="2671" spans="1:11" hidden="1">
      <c r="A2671" s="134"/>
      <c r="F2671" s="8">
        <v>2.52</v>
      </c>
      <c r="G2671" s="7" t="s">
        <v>615</v>
      </c>
      <c r="H2671" s="1" t="s">
        <v>1738</v>
      </c>
      <c r="I2671" s="8">
        <f t="shared" si="87"/>
        <v>51.25</v>
      </c>
      <c r="J2671" s="2" t="s">
        <v>615</v>
      </c>
      <c r="K2671" s="8">
        <f t="shared" si="88"/>
        <v>129.15</v>
      </c>
    </row>
    <row r="2672" spans="1:11" hidden="1">
      <c r="A2672" s="134"/>
      <c r="F2672"/>
      <c r="G2672" s="3"/>
      <c r="H2672" s="1" t="s">
        <v>1434</v>
      </c>
      <c r="I2672" s="2" t="s">
        <v>450</v>
      </c>
      <c r="J2672" s="4"/>
      <c r="K2672" s="8">
        <v>0.28000000000000003</v>
      </c>
    </row>
    <row r="2673" spans="1:11" hidden="1">
      <c r="A2673" s="134"/>
      <c r="F2673"/>
      <c r="G2673" s="3"/>
      <c r="H2673"/>
      <c r="I2673"/>
      <c r="J2673" s="4"/>
      <c r="K2673" s="5" t="s">
        <v>1609</v>
      </c>
    </row>
    <row r="2674" spans="1:11" hidden="1">
      <c r="A2674" s="134"/>
      <c r="F2674"/>
      <c r="G2674" s="3"/>
      <c r="H2674" s="2" t="s">
        <v>1435</v>
      </c>
      <c r="I2674"/>
      <c r="J2674" s="4"/>
      <c r="K2674" s="8">
        <f>SUM(K2662:K2672)</f>
        <v>4555.97</v>
      </c>
    </row>
    <row r="2675" spans="1:11" hidden="1">
      <c r="A2675" s="134"/>
      <c r="F2675"/>
      <c r="G2675" s="7" t="s">
        <v>987</v>
      </c>
      <c r="H2675"/>
      <c r="I2675"/>
      <c r="J2675" s="4"/>
      <c r="K2675" s="5" t="s">
        <v>1609</v>
      </c>
    </row>
    <row r="2676" spans="1:11" hidden="1">
      <c r="A2676" s="134"/>
      <c r="F2676"/>
      <c r="G2676" s="3"/>
      <c r="H2676" s="2" t="s">
        <v>556</v>
      </c>
      <c r="I2676"/>
      <c r="J2676" s="4"/>
      <c r="K2676" s="8">
        <f>K2674/F2671</f>
        <v>1807.92</v>
      </c>
    </row>
    <row r="2677" spans="1:11" hidden="1">
      <c r="A2677" s="134"/>
      <c r="F2677"/>
      <c r="G2677" s="3"/>
      <c r="H2677"/>
      <c r="I2677"/>
      <c r="J2677" s="4"/>
      <c r="K2677" s="5" t="s">
        <v>2080</v>
      </c>
    </row>
    <row r="2678" spans="1:11" hidden="1">
      <c r="A2678" s="134"/>
      <c r="F2678" s="196">
        <v>44.4</v>
      </c>
      <c r="G2678" s="196"/>
      <c r="H2678" s="196" t="s">
        <v>3390</v>
      </c>
      <c r="I2678" s="196"/>
      <c r="J2678" s="196"/>
      <c r="K2678" s="196"/>
    </row>
    <row r="2679" spans="1:11" hidden="1">
      <c r="A2679" s="134"/>
      <c r="F2679" s="196"/>
      <c r="G2679" s="196"/>
      <c r="H2679" s="197" t="s">
        <v>1609</v>
      </c>
      <c r="I2679" s="196"/>
      <c r="J2679" s="196"/>
      <c r="K2679" s="196"/>
    </row>
    <row r="2680" spans="1:11" hidden="1">
      <c r="A2680" s="134"/>
      <c r="F2680" s="196">
        <v>4.9000000000000004</v>
      </c>
      <c r="G2680" s="196" t="s">
        <v>835</v>
      </c>
      <c r="H2680" s="196" t="s">
        <v>3391</v>
      </c>
      <c r="I2680" s="196">
        <v>49.01</v>
      </c>
      <c r="J2680" s="196" t="s">
        <v>835</v>
      </c>
      <c r="K2680" s="196">
        <f>F2680*I2680</f>
        <v>240.15</v>
      </c>
    </row>
    <row r="2681" spans="1:11" hidden="1">
      <c r="A2681" s="134"/>
      <c r="F2681" s="196">
        <v>0.12</v>
      </c>
      <c r="G2681" s="196" t="s">
        <v>878</v>
      </c>
      <c r="H2681" s="196" t="s">
        <v>3392</v>
      </c>
      <c r="I2681" s="196" t="e">
        <f>AC15</f>
        <v>#REF!</v>
      </c>
      <c r="J2681" s="196" t="s">
        <v>878</v>
      </c>
      <c r="K2681" s="196" t="e">
        <f>F2681*I2681</f>
        <v>#REF!</v>
      </c>
    </row>
    <row r="2682" spans="1:11" hidden="1">
      <c r="A2682" s="134"/>
      <c r="F2682" s="202">
        <v>0.18</v>
      </c>
      <c r="G2682" s="196" t="s">
        <v>878</v>
      </c>
      <c r="H2682" s="196" t="s">
        <v>3393</v>
      </c>
      <c r="I2682" s="196" t="e">
        <f>AC14</f>
        <v>#REF!</v>
      </c>
      <c r="J2682" s="196" t="s">
        <v>878</v>
      </c>
      <c r="K2682" s="196" t="e">
        <f>F2682*I2682</f>
        <v>#REF!</v>
      </c>
    </row>
    <row r="2683" spans="1:11" hidden="1">
      <c r="A2683" s="134"/>
      <c r="F2683" s="196">
        <v>0.05</v>
      </c>
      <c r="G2683" s="196" t="s">
        <v>878</v>
      </c>
      <c r="H2683" s="196" t="s">
        <v>3394</v>
      </c>
      <c r="I2683" s="196" t="e">
        <f>AC16</f>
        <v>#REF!</v>
      </c>
      <c r="J2683" s="196" t="s">
        <v>878</v>
      </c>
      <c r="K2683" s="196" t="e">
        <f>F2683*I2683</f>
        <v>#REF!</v>
      </c>
    </row>
    <row r="2684" spans="1:11" hidden="1">
      <c r="A2684" s="134"/>
      <c r="F2684" s="196"/>
      <c r="G2684" s="196"/>
      <c r="H2684" s="196"/>
      <c r="I2684" s="196"/>
      <c r="J2684" s="196"/>
      <c r="K2684" s="201" t="s">
        <v>1609</v>
      </c>
    </row>
    <row r="2685" spans="1:11" hidden="1">
      <c r="A2685" s="134"/>
      <c r="F2685" s="196"/>
      <c r="G2685" s="196"/>
      <c r="H2685" s="196" t="s">
        <v>3139</v>
      </c>
      <c r="I2685" s="196"/>
      <c r="J2685" s="196"/>
      <c r="K2685" s="196" t="e">
        <f>SUM(K2680:K2684)</f>
        <v>#REF!</v>
      </c>
    </row>
    <row r="2686" spans="1:11" hidden="1">
      <c r="A2686" s="134"/>
      <c r="F2686" s="196"/>
      <c r="G2686" s="196"/>
      <c r="H2686" s="196"/>
      <c r="I2686" s="196"/>
      <c r="J2686" s="196"/>
      <c r="K2686" s="201" t="s">
        <v>1609</v>
      </c>
    </row>
    <row r="2687" spans="1:11" hidden="1">
      <c r="A2687" s="134"/>
      <c r="F2687" s="196"/>
      <c r="G2687" s="196"/>
      <c r="H2687" s="196" t="s">
        <v>3140</v>
      </c>
      <c r="I2687" s="196"/>
      <c r="J2687" s="196"/>
      <c r="K2687" s="196" t="e">
        <f>K2685/F2680</f>
        <v>#REF!</v>
      </c>
    </row>
    <row r="2688" spans="1:11" hidden="1">
      <c r="A2688" s="134"/>
      <c r="F2688" s="196"/>
      <c r="G2688" s="196"/>
      <c r="H2688" s="196"/>
      <c r="I2688" s="196"/>
      <c r="J2688" s="196"/>
      <c r="K2688" s="201" t="s">
        <v>2080</v>
      </c>
    </row>
    <row r="2689" spans="1:11" ht="63" hidden="1">
      <c r="A2689" s="134"/>
      <c r="F2689" s="196">
        <v>44.5</v>
      </c>
      <c r="G2689" s="196"/>
      <c r="H2689" s="196" t="s">
        <v>3404</v>
      </c>
      <c r="I2689" s="196"/>
      <c r="J2689" s="196"/>
      <c r="K2689" s="196"/>
    </row>
    <row r="2690" spans="1:11" hidden="1">
      <c r="A2690" s="134"/>
      <c r="F2690" s="196"/>
      <c r="G2690" s="196"/>
      <c r="H2690" s="197" t="s">
        <v>1609</v>
      </c>
      <c r="I2690" s="196"/>
      <c r="J2690" s="196"/>
      <c r="K2690" s="196"/>
    </row>
    <row r="2691" spans="1:11" hidden="1">
      <c r="A2691" s="134"/>
      <c r="F2691" s="196">
        <v>0.38</v>
      </c>
      <c r="G2691" s="196" t="s">
        <v>2176</v>
      </c>
      <c r="H2691" s="196" t="s">
        <v>357</v>
      </c>
      <c r="I2691" s="196">
        <f>I2613</f>
        <v>52.93</v>
      </c>
      <c r="J2691" s="196" t="s">
        <v>878</v>
      </c>
      <c r="K2691" s="196">
        <f>I2691*F2691</f>
        <v>20.11</v>
      </c>
    </row>
    <row r="2692" spans="1:11" hidden="1">
      <c r="A2692" s="134"/>
      <c r="F2692" s="196">
        <v>0.38</v>
      </c>
      <c r="G2692" s="196" t="s">
        <v>2176</v>
      </c>
      <c r="H2692" s="196" t="s">
        <v>3405</v>
      </c>
      <c r="I2692" s="196" t="e">
        <f>AC15</f>
        <v>#REF!</v>
      </c>
      <c r="J2692" s="196" t="s">
        <v>878</v>
      </c>
      <c r="K2692" s="196" t="e">
        <f>I2692*F2692</f>
        <v>#REF!</v>
      </c>
    </row>
    <row r="2693" spans="1:11" hidden="1">
      <c r="A2693" s="134"/>
      <c r="F2693" s="196">
        <v>0.12</v>
      </c>
      <c r="G2693" s="3" t="s">
        <v>2176</v>
      </c>
      <c r="H2693" s="196" t="s">
        <v>3406</v>
      </c>
      <c r="I2693" t="e">
        <f>K614</f>
        <v>#REF!</v>
      </c>
      <c r="J2693" s="196" t="s">
        <v>878</v>
      </c>
      <c r="K2693" s="196" t="e">
        <f>I2693*F2693</f>
        <v>#REF!</v>
      </c>
    </row>
    <row r="2694" spans="1:11" hidden="1">
      <c r="A2694" s="134"/>
      <c r="F2694" s="196">
        <v>9.6</v>
      </c>
      <c r="G2694" s="196" t="s">
        <v>1670</v>
      </c>
      <c r="H2694" s="196" t="s">
        <v>3407</v>
      </c>
      <c r="I2694">
        <f>AC32</f>
        <v>28000</v>
      </c>
      <c r="J2694" s="196" t="s">
        <v>530</v>
      </c>
      <c r="K2694" s="196">
        <f>I2694*F2694/1000</f>
        <v>268.8</v>
      </c>
    </row>
    <row r="2695" spans="1:11" hidden="1">
      <c r="A2695" s="134"/>
      <c r="F2695"/>
      <c r="G2695" s="3"/>
      <c r="H2695"/>
      <c r="I2695"/>
      <c r="J2695" s="4"/>
      <c r="K2695" s="197" t="s">
        <v>1609</v>
      </c>
    </row>
    <row r="2696" spans="1:11" hidden="1">
      <c r="A2696" s="134"/>
      <c r="F2696"/>
      <c r="G2696" s="3"/>
      <c r="H2696" s="196" t="s">
        <v>3408</v>
      </c>
      <c r="I2696"/>
      <c r="J2696" s="4"/>
      <c r="K2696" t="e">
        <f>SUM(K2691:K2695)</f>
        <v>#REF!</v>
      </c>
    </row>
    <row r="2697" spans="1:11" hidden="1">
      <c r="A2697" s="134"/>
      <c r="F2697"/>
      <c r="G2697" s="3"/>
      <c r="H2697"/>
      <c r="I2697"/>
      <c r="J2697" s="4"/>
      <c r="K2697" s="197" t="s">
        <v>2080</v>
      </c>
    </row>
    <row r="2698" spans="1:11" ht="63" hidden="1">
      <c r="A2698" s="134"/>
      <c r="F2698" s="203">
        <v>71.3</v>
      </c>
      <c r="G2698" s="204"/>
      <c r="H2698" s="205" t="s">
        <v>3409</v>
      </c>
      <c r="I2698" s="97"/>
      <c r="J2698" s="206"/>
      <c r="K2698" s="97"/>
    </row>
    <row r="2699" spans="1:11" hidden="1">
      <c r="A2699" s="134"/>
      <c r="F2699" s="97"/>
      <c r="G2699" s="204"/>
      <c r="H2699" s="207" t="s">
        <v>2405</v>
      </c>
      <c r="I2699" s="97"/>
      <c r="J2699" s="206"/>
      <c r="K2699" s="97"/>
    </row>
    <row r="2700" spans="1:11" hidden="1">
      <c r="A2700" s="134"/>
      <c r="F2700" s="97">
        <v>1</v>
      </c>
      <c r="G2700" s="204" t="s">
        <v>1414</v>
      </c>
      <c r="H2700" s="97" t="s">
        <v>3117</v>
      </c>
      <c r="I2700" s="97"/>
      <c r="J2700" s="206">
        <v>1880</v>
      </c>
      <c r="K2700" s="97">
        <f>J2700*F2700</f>
        <v>1880</v>
      </c>
    </row>
    <row r="2701" spans="1:11" hidden="1">
      <c r="A2701" s="134"/>
      <c r="F2701" s="97">
        <v>1</v>
      </c>
      <c r="G2701" s="204" t="s">
        <v>1414</v>
      </c>
      <c r="H2701" s="97" t="s">
        <v>3118</v>
      </c>
      <c r="I2701" s="97"/>
      <c r="J2701" s="206">
        <v>480</v>
      </c>
      <c r="K2701" s="97">
        <f>J2701*F2701</f>
        <v>480</v>
      </c>
    </row>
    <row r="2702" spans="1:11" hidden="1">
      <c r="A2702" s="134"/>
      <c r="F2702" s="97"/>
      <c r="G2702" s="204"/>
      <c r="H2702" s="97" t="s">
        <v>3119</v>
      </c>
      <c r="I2702" s="97"/>
      <c r="J2702" s="206"/>
      <c r="K2702" s="97">
        <v>35.67</v>
      </c>
    </row>
    <row r="2703" spans="1:11" hidden="1">
      <c r="A2703" s="134"/>
      <c r="F2703" s="97"/>
      <c r="G2703" s="204"/>
      <c r="H2703" s="97" t="s">
        <v>1847</v>
      </c>
      <c r="I2703" s="97"/>
      <c r="J2703" s="206"/>
      <c r="K2703" s="97">
        <f>K2711</f>
        <v>104.33</v>
      </c>
    </row>
    <row r="2704" spans="1:11" hidden="1">
      <c r="A2704" s="134"/>
      <c r="F2704" s="97"/>
      <c r="G2704" s="204"/>
      <c r="H2704" s="97"/>
      <c r="I2704" s="97"/>
      <c r="J2704" s="206"/>
      <c r="K2704" s="208" t="s">
        <v>3110</v>
      </c>
    </row>
    <row r="2705" spans="1:11" hidden="1">
      <c r="A2705" s="134"/>
      <c r="F2705" s="97"/>
      <c r="G2705" s="204"/>
      <c r="H2705" s="97"/>
      <c r="I2705" s="97"/>
      <c r="J2705" s="206"/>
      <c r="K2705" s="97">
        <f>SUM(K2700:K2704)</f>
        <v>2500</v>
      </c>
    </row>
    <row r="2706" spans="1:11" hidden="1">
      <c r="A2706" s="134"/>
      <c r="F2706" s="97"/>
      <c r="G2706" s="204"/>
      <c r="H2706" s="97" t="s">
        <v>924</v>
      </c>
      <c r="I2706" s="97"/>
      <c r="J2706" s="206"/>
      <c r="K2706" s="208" t="s">
        <v>34</v>
      </c>
    </row>
    <row r="2707" spans="1:11" hidden="1">
      <c r="A2707" s="134"/>
      <c r="F2707" s="97">
        <v>1</v>
      </c>
      <c r="G2707" s="204" t="s">
        <v>1414</v>
      </c>
      <c r="H2707" s="97" t="s">
        <v>3120</v>
      </c>
      <c r="I2707" s="97">
        <v>131</v>
      </c>
      <c r="J2707" s="206" t="s">
        <v>1418</v>
      </c>
      <c r="K2707" s="97">
        <f>I2707*F2707</f>
        <v>131</v>
      </c>
    </row>
    <row r="2708" spans="1:11" hidden="1">
      <c r="A2708" s="134"/>
      <c r="F2708" s="97">
        <v>2</v>
      </c>
      <c r="G2708" s="204" t="s">
        <v>1452</v>
      </c>
      <c r="H2708" s="97" t="s">
        <v>3121</v>
      </c>
      <c r="I2708" s="97">
        <v>91</v>
      </c>
      <c r="J2708" s="206" t="s">
        <v>1418</v>
      </c>
      <c r="K2708" s="97">
        <f>I2708*F2708</f>
        <v>182</v>
      </c>
    </row>
    <row r="2709" spans="1:11" hidden="1">
      <c r="A2709" s="134"/>
      <c r="F2709" s="97"/>
      <c r="G2709" s="204"/>
      <c r="H2709" s="97"/>
      <c r="I2709" s="97"/>
      <c r="J2709" s="206"/>
      <c r="K2709" s="208" t="s">
        <v>3122</v>
      </c>
    </row>
    <row r="2710" spans="1:11" hidden="1">
      <c r="A2710" s="134"/>
      <c r="F2710" s="97"/>
      <c r="G2710" s="204"/>
      <c r="H2710" s="204" t="s">
        <v>3123</v>
      </c>
      <c r="I2710" s="97"/>
      <c r="J2710" s="206"/>
      <c r="K2710" s="97">
        <f>SUM(K2707:K2709)</f>
        <v>313</v>
      </c>
    </row>
    <row r="2711" spans="1:11" hidden="1">
      <c r="A2711" s="134"/>
      <c r="F2711" s="97"/>
      <c r="G2711" s="204"/>
      <c r="H2711" s="204" t="s">
        <v>3124</v>
      </c>
      <c r="I2711" s="97"/>
      <c r="J2711" s="206"/>
      <c r="K2711" s="97">
        <f>K2710/3</f>
        <v>104.33</v>
      </c>
    </row>
    <row r="2712" spans="1:11" hidden="1">
      <c r="A2712" s="134"/>
      <c r="F2712"/>
      <c r="G2712" s="3"/>
      <c r="H2712"/>
      <c r="I2712"/>
      <c r="J2712" s="4"/>
      <c r="K2712"/>
    </row>
    <row r="2713" spans="1:11" ht="15.75" hidden="1" customHeight="1">
      <c r="A2713" s="134"/>
      <c r="F2713" s="209">
        <v>79.400000000000006</v>
      </c>
      <c r="G2713" s="37"/>
      <c r="H2713" s="1853" t="s">
        <v>2750</v>
      </c>
      <c r="I2713" s="1853"/>
      <c r="J2713" s="211"/>
      <c r="K2713" s="38"/>
    </row>
    <row r="2714" spans="1:11" hidden="1">
      <c r="A2714" s="134"/>
      <c r="F2714" s="212"/>
      <c r="G2714" s="37"/>
      <c r="H2714" s="210"/>
      <c r="I2714" s="210"/>
      <c r="J2714" s="211"/>
      <c r="K2714" s="38"/>
    </row>
    <row r="2715" spans="1:11" hidden="1">
      <c r="A2715" s="134"/>
      <c r="F2715" s="38">
        <v>3</v>
      </c>
      <c r="G2715" s="37" t="s">
        <v>1452</v>
      </c>
      <c r="H2715" s="38" t="s">
        <v>2751</v>
      </c>
      <c r="I2715" s="55">
        <v>190</v>
      </c>
      <c r="J2715" s="211" t="s">
        <v>1418</v>
      </c>
      <c r="K2715" s="38">
        <f>I2715*F2715</f>
        <v>570</v>
      </c>
    </row>
    <row r="2716" spans="1:11" hidden="1">
      <c r="A2716" s="134"/>
      <c r="F2716" s="38">
        <v>1</v>
      </c>
      <c r="G2716" s="37" t="s">
        <v>1414</v>
      </c>
      <c r="H2716" s="38" t="s">
        <v>2752</v>
      </c>
      <c r="I2716" s="38">
        <v>223.63</v>
      </c>
      <c r="J2716" s="211" t="s">
        <v>1418</v>
      </c>
      <c r="K2716" s="38">
        <f>I2716*F2716</f>
        <v>223.63</v>
      </c>
    </row>
    <row r="2717" spans="1:11" hidden="1">
      <c r="A2717" s="134"/>
      <c r="F2717" s="38"/>
      <c r="G2717" s="37"/>
      <c r="H2717" s="38" t="s">
        <v>924</v>
      </c>
      <c r="I2717" s="38"/>
      <c r="J2717" s="211"/>
      <c r="K2717" s="38">
        <f>K2728</f>
        <v>76.5</v>
      </c>
    </row>
    <row r="2718" spans="1:11" hidden="1">
      <c r="A2718" s="134"/>
      <c r="F2718" s="38"/>
      <c r="G2718" s="37"/>
      <c r="H2718" s="38" t="s">
        <v>2753</v>
      </c>
      <c r="I2718" s="38"/>
      <c r="J2718" s="211"/>
      <c r="K2718" s="38">
        <v>4.87</v>
      </c>
    </row>
    <row r="2719" spans="1:11" hidden="1">
      <c r="A2719" s="134"/>
      <c r="F2719" s="38"/>
      <c r="G2719" s="37"/>
      <c r="H2719" s="38"/>
      <c r="I2719" s="38"/>
      <c r="J2719" s="211"/>
      <c r="K2719" s="40" t="s">
        <v>429</v>
      </c>
    </row>
    <row r="2720" spans="1:11" hidden="1">
      <c r="A2720" s="134"/>
      <c r="F2720" s="38"/>
      <c r="G2720" s="37"/>
      <c r="H2720" s="38"/>
      <c r="I2720" s="38"/>
      <c r="J2720" s="211"/>
      <c r="K2720" s="38">
        <f>SUM(K2715:K2719)</f>
        <v>875</v>
      </c>
    </row>
    <row r="2721" spans="1:11" hidden="1">
      <c r="A2721" s="134"/>
      <c r="F2721" s="38"/>
      <c r="G2721" s="37"/>
      <c r="H2721" s="38"/>
      <c r="I2721" s="38"/>
      <c r="J2721" s="211"/>
      <c r="K2721" s="40" t="s">
        <v>148</v>
      </c>
    </row>
    <row r="2722" spans="1:11" hidden="1">
      <c r="A2722" s="134"/>
      <c r="F2722" s="38"/>
      <c r="G2722" s="37"/>
      <c r="H2722" s="38" t="s">
        <v>924</v>
      </c>
      <c r="I2722" s="38"/>
      <c r="J2722" s="211"/>
      <c r="K2722" s="38"/>
    </row>
    <row r="2723" spans="1:11" hidden="1">
      <c r="A2723" s="134"/>
      <c r="F2723" s="38">
        <v>1</v>
      </c>
      <c r="G2723" s="37" t="s">
        <v>1414</v>
      </c>
      <c r="H2723" s="38" t="s">
        <v>2754</v>
      </c>
      <c r="I2723" s="38">
        <v>131</v>
      </c>
      <c r="J2723" s="211" t="s">
        <v>1418</v>
      </c>
      <c r="K2723" s="38">
        <f>I2723*F2723</f>
        <v>131</v>
      </c>
    </row>
    <row r="2724" spans="1:11" hidden="1">
      <c r="A2724" s="134"/>
      <c r="F2724" s="38">
        <v>1</v>
      </c>
      <c r="G2724" s="37" t="s">
        <v>1414</v>
      </c>
      <c r="H2724" s="38" t="s">
        <v>2755</v>
      </c>
      <c r="I2724" s="38">
        <v>117</v>
      </c>
      <c r="J2724" s="211" t="s">
        <v>1418</v>
      </c>
      <c r="K2724" s="38">
        <f>I2724*F2724</f>
        <v>117</v>
      </c>
    </row>
    <row r="2725" spans="1:11" hidden="1">
      <c r="A2725" s="134"/>
      <c r="F2725" s="38">
        <v>4</v>
      </c>
      <c r="G2725" s="37" t="s">
        <v>1452</v>
      </c>
      <c r="H2725" s="38" t="s">
        <v>3121</v>
      </c>
      <c r="I2725" s="38">
        <v>91</v>
      </c>
      <c r="J2725" s="211" t="s">
        <v>1418</v>
      </c>
      <c r="K2725" s="38">
        <f>I2725*F2725</f>
        <v>364</v>
      </c>
    </row>
    <row r="2726" spans="1:11" hidden="1">
      <c r="A2726" s="134"/>
      <c r="F2726" s="38"/>
      <c r="G2726" s="37"/>
      <c r="H2726" s="38"/>
      <c r="I2726" s="38"/>
      <c r="J2726" s="211"/>
      <c r="K2726" s="40" t="s">
        <v>3364</v>
      </c>
    </row>
    <row r="2727" spans="1:11" hidden="1">
      <c r="A2727" s="134"/>
      <c r="F2727" s="38"/>
      <c r="G2727" s="37"/>
      <c r="H2727" s="38" t="s">
        <v>3365</v>
      </c>
      <c r="I2727" s="38"/>
      <c r="J2727" s="211"/>
      <c r="K2727" s="38">
        <f>SUM(K2723:K2726)</f>
        <v>612</v>
      </c>
    </row>
    <row r="2728" spans="1:11" hidden="1">
      <c r="A2728" s="134"/>
      <c r="F2728" s="38"/>
      <c r="G2728" s="37"/>
      <c r="H2728" s="38" t="s">
        <v>3366</v>
      </c>
      <c r="I2728" s="38"/>
      <c r="J2728" s="211"/>
      <c r="K2728" s="38">
        <f>K2727/8</f>
        <v>76.5</v>
      </c>
    </row>
    <row r="2729" spans="1:11" hidden="1">
      <c r="A2729" s="134"/>
      <c r="F2729"/>
      <c r="G2729" s="3"/>
      <c r="H2729"/>
      <c r="I2729"/>
      <c r="J2729" s="4"/>
      <c r="K2729"/>
    </row>
    <row r="2730" spans="1:11" hidden="1">
      <c r="A2730" s="134"/>
      <c r="F2730" s="213">
        <v>170</v>
      </c>
      <c r="G2730" s="3"/>
      <c r="H2730" s="21" t="s">
        <v>3367</v>
      </c>
      <c r="I2730"/>
      <c r="J2730" s="4"/>
      <c r="K2730"/>
    </row>
    <row r="2731" spans="1:11" hidden="1">
      <c r="A2731" s="134"/>
      <c r="F2731"/>
      <c r="G2731" s="3"/>
      <c r="H2731" s="197" t="s">
        <v>1609</v>
      </c>
      <c r="I2731"/>
      <c r="J2731" s="4"/>
      <c r="K2731"/>
    </row>
    <row r="2732" spans="1:11" hidden="1">
      <c r="A2732" s="134"/>
      <c r="F2732">
        <v>1</v>
      </c>
      <c r="G2732" s="3" t="s">
        <v>1414</v>
      </c>
      <c r="H2732" t="s">
        <v>2481</v>
      </c>
      <c r="I2732">
        <v>2400</v>
      </c>
      <c r="J2732" s="4" t="s">
        <v>1418</v>
      </c>
      <c r="K2732">
        <f>I2732*F2732</f>
        <v>2400</v>
      </c>
    </row>
    <row r="2733" spans="1:11" hidden="1">
      <c r="A2733" s="134"/>
      <c r="F2733">
        <v>1</v>
      </c>
      <c r="G2733" s="3" t="s">
        <v>1414</v>
      </c>
      <c r="H2733" t="s">
        <v>3055</v>
      </c>
      <c r="I2733">
        <v>485</v>
      </c>
      <c r="J2733" s="4" t="s">
        <v>1418</v>
      </c>
      <c r="K2733">
        <f>I2733*F2733</f>
        <v>485</v>
      </c>
    </row>
    <row r="2734" spans="1:11" hidden="1">
      <c r="A2734" s="134"/>
      <c r="F2734">
        <v>4</v>
      </c>
      <c r="G2734" s="3" t="s">
        <v>1452</v>
      </c>
      <c r="H2734" t="s">
        <v>3056</v>
      </c>
      <c r="I2734">
        <v>525</v>
      </c>
      <c r="J2734" s="4" t="s">
        <v>1418</v>
      </c>
      <c r="K2734">
        <f>I2734*F2734</f>
        <v>2100</v>
      </c>
    </row>
    <row r="2735" spans="1:11" hidden="1">
      <c r="A2735" s="134"/>
      <c r="F2735">
        <v>4.5</v>
      </c>
      <c r="G2735" s="3" t="s">
        <v>1670</v>
      </c>
      <c r="H2735" t="s">
        <v>3057</v>
      </c>
      <c r="I2735">
        <v>27</v>
      </c>
      <c r="J2735" s="4" t="s">
        <v>1670</v>
      </c>
      <c r="K2735">
        <f>I2735*F2735</f>
        <v>121.5</v>
      </c>
    </row>
    <row r="2736" spans="1:11" hidden="1">
      <c r="A2736" s="134"/>
      <c r="F2736"/>
      <c r="G2736" s="3"/>
      <c r="H2736" t="s">
        <v>3058</v>
      </c>
      <c r="I2736"/>
      <c r="J2736" s="4"/>
      <c r="K2736">
        <f>SUM(K2732:K2735)*1%-0.57</f>
        <v>50.5</v>
      </c>
    </row>
    <row r="2737" spans="1:11" hidden="1">
      <c r="A2737" s="134"/>
      <c r="F2737"/>
      <c r="G2737" s="3"/>
      <c r="H2737" t="s">
        <v>142</v>
      </c>
      <c r="I2737"/>
      <c r="J2737" s="4"/>
      <c r="K2737">
        <v>298</v>
      </c>
    </row>
    <row r="2738" spans="1:11" hidden="1">
      <c r="A2738" s="134"/>
      <c r="F2738"/>
      <c r="G2738" s="3"/>
      <c r="H2738"/>
      <c r="I2738"/>
      <c r="J2738" s="4"/>
      <c r="K2738" s="197" t="s">
        <v>1609</v>
      </c>
    </row>
    <row r="2739" spans="1:11" hidden="1">
      <c r="A2739" s="134"/>
      <c r="F2739"/>
      <c r="G2739" s="3"/>
      <c r="H2739"/>
      <c r="I2739"/>
      <c r="J2739" s="4"/>
      <c r="K2739">
        <f>SUM(K2732:K2738)</f>
        <v>5455</v>
      </c>
    </row>
    <row r="2740" spans="1:11" hidden="1">
      <c r="A2740" s="134"/>
      <c r="F2740"/>
      <c r="G2740" s="3"/>
      <c r="H2740"/>
      <c r="I2740"/>
      <c r="J2740" s="4"/>
      <c r="K2740" s="197" t="s">
        <v>2080</v>
      </c>
    </row>
    <row r="2741" spans="1:11" hidden="1">
      <c r="A2741" s="134"/>
      <c r="F2741" s="213">
        <v>180</v>
      </c>
      <c r="G2741" s="3"/>
      <c r="H2741" t="s">
        <v>3059</v>
      </c>
      <c r="I2741"/>
      <c r="J2741" s="4"/>
      <c r="K2741"/>
    </row>
    <row r="2742" spans="1:11" hidden="1">
      <c r="A2742" s="134"/>
      <c r="F2742"/>
      <c r="G2742" s="3"/>
      <c r="H2742" s="197" t="s">
        <v>1609</v>
      </c>
      <c r="I2742"/>
      <c r="J2742" s="4"/>
      <c r="K2742"/>
    </row>
    <row r="2743" spans="1:11" hidden="1">
      <c r="A2743" s="134"/>
      <c r="F2743">
        <v>0.8</v>
      </c>
      <c r="G2743" s="3" t="s">
        <v>1670</v>
      </c>
      <c r="H2743" t="s">
        <v>3060</v>
      </c>
      <c r="I2743">
        <v>230</v>
      </c>
      <c r="J2743" s="4" t="s">
        <v>1670</v>
      </c>
      <c r="K2743">
        <f>I2743*F2743</f>
        <v>184</v>
      </c>
    </row>
    <row r="2744" spans="1:11" hidden="1">
      <c r="A2744" s="134"/>
      <c r="F2744">
        <v>3</v>
      </c>
      <c r="G2744" s="3" t="s">
        <v>1452</v>
      </c>
      <c r="H2744" t="s">
        <v>3061</v>
      </c>
      <c r="I2744">
        <v>20</v>
      </c>
      <c r="J2744" s="4" t="s">
        <v>1418</v>
      </c>
      <c r="K2744">
        <f>I2744*F2744</f>
        <v>60</v>
      </c>
    </row>
    <row r="2745" spans="1:11" hidden="1">
      <c r="A2745" s="134"/>
      <c r="F2745"/>
      <c r="G2745" s="3"/>
      <c r="H2745" t="s">
        <v>3058</v>
      </c>
      <c r="I2745"/>
      <c r="J2745" s="4"/>
      <c r="K2745">
        <f>SUM(K2743:K2744)*1%+1.16</f>
        <v>3.6</v>
      </c>
    </row>
    <row r="2746" spans="1:11" hidden="1">
      <c r="A2746" s="134"/>
      <c r="F2746"/>
      <c r="G2746" s="3"/>
      <c r="H2746" t="s">
        <v>142</v>
      </c>
      <c r="I2746"/>
      <c r="J2746" s="4"/>
      <c r="K2746">
        <v>32.4</v>
      </c>
    </row>
    <row r="2747" spans="1:11" hidden="1">
      <c r="A2747" s="134"/>
      <c r="F2747"/>
      <c r="G2747" s="3"/>
      <c r="H2747"/>
      <c r="I2747"/>
      <c r="J2747" s="4"/>
      <c r="K2747" s="197" t="s">
        <v>1609</v>
      </c>
    </row>
    <row r="2748" spans="1:11" hidden="1">
      <c r="A2748" s="134"/>
      <c r="F2748"/>
      <c r="G2748" s="3"/>
      <c r="H2748"/>
      <c r="I2748"/>
      <c r="J2748" s="4"/>
      <c r="K2748">
        <f>SUM(K2743:K2747)</f>
        <v>280</v>
      </c>
    </row>
    <row r="2749" spans="1:11" hidden="1">
      <c r="A2749" s="134"/>
      <c r="F2749"/>
      <c r="G2749" s="3"/>
      <c r="H2749"/>
      <c r="I2749"/>
      <c r="J2749" s="4"/>
      <c r="K2749" s="197" t="s">
        <v>2080</v>
      </c>
    </row>
    <row r="2750" spans="1:11" hidden="1">
      <c r="A2750" s="134"/>
      <c r="F2750" s="213">
        <v>184</v>
      </c>
      <c r="G2750" s="3"/>
      <c r="H2750" s="21" t="s">
        <v>3268</v>
      </c>
      <c r="I2750"/>
      <c r="J2750" s="4"/>
      <c r="K2750"/>
    </row>
    <row r="2751" spans="1:11" hidden="1">
      <c r="A2751" s="134"/>
      <c r="F2751"/>
      <c r="G2751" s="3"/>
      <c r="H2751" s="197" t="s">
        <v>1609</v>
      </c>
      <c r="I2751"/>
      <c r="J2751" s="4"/>
      <c r="K2751"/>
    </row>
    <row r="2752" spans="1:11" hidden="1">
      <c r="A2752" s="134"/>
      <c r="F2752">
        <v>1</v>
      </c>
      <c r="G2752" s="3" t="s">
        <v>1414</v>
      </c>
      <c r="H2752" t="s">
        <v>3269</v>
      </c>
      <c r="I2752">
        <v>1860</v>
      </c>
      <c r="J2752" s="4" t="s">
        <v>1418</v>
      </c>
      <c r="K2752">
        <f>I2752*F2752</f>
        <v>1860</v>
      </c>
    </row>
    <row r="2753" spans="1:11" hidden="1">
      <c r="A2753" s="134"/>
      <c r="F2753">
        <v>2</v>
      </c>
      <c r="G2753" s="3" t="s">
        <v>1414</v>
      </c>
      <c r="H2753" t="s">
        <v>3270</v>
      </c>
      <c r="I2753">
        <v>46</v>
      </c>
      <c r="J2753" s="4" t="s">
        <v>1418</v>
      </c>
      <c r="K2753">
        <f t="shared" ref="K2753:K2760" si="89">I2753*F2753</f>
        <v>92</v>
      </c>
    </row>
    <row r="2754" spans="1:11" hidden="1">
      <c r="A2754" s="134"/>
      <c r="F2754">
        <v>1.5</v>
      </c>
      <c r="G2754" s="3" t="s">
        <v>835</v>
      </c>
      <c r="H2754" t="s">
        <v>3271</v>
      </c>
      <c r="I2754">
        <v>31</v>
      </c>
      <c r="J2754" s="4" t="s">
        <v>835</v>
      </c>
      <c r="K2754">
        <f t="shared" si="89"/>
        <v>46.5</v>
      </c>
    </row>
    <row r="2755" spans="1:11" hidden="1">
      <c r="A2755" s="134"/>
      <c r="F2755">
        <v>2</v>
      </c>
      <c r="G2755" s="3" t="s">
        <v>1414</v>
      </c>
      <c r="H2755" t="s">
        <v>2843</v>
      </c>
      <c r="I2755">
        <v>6</v>
      </c>
      <c r="J2755" s="4" t="s">
        <v>1418</v>
      </c>
      <c r="K2755">
        <f t="shared" si="89"/>
        <v>12</v>
      </c>
    </row>
    <row r="2756" spans="1:11" hidden="1">
      <c r="A2756" s="134"/>
      <c r="F2756">
        <v>2</v>
      </c>
      <c r="G2756" s="3" t="s">
        <v>1414</v>
      </c>
      <c r="H2756" t="s">
        <v>2844</v>
      </c>
      <c r="I2756">
        <v>12</v>
      </c>
      <c r="J2756" s="4" t="s">
        <v>1418</v>
      </c>
      <c r="K2756">
        <f t="shared" si="89"/>
        <v>24</v>
      </c>
    </row>
    <row r="2757" spans="1:11" hidden="1">
      <c r="A2757" s="134"/>
      <c r="F2757">
        <v>2</v>
      </c>
      <c r="G2757" s="3" t="s">
        <v>835</v>
      </c>
      <c r="H2757" t="s">
        <v>2845</v>
      </c>
      <c r="I2757">
        <v>7.8</v>
      </c>
      <c r="J2757" s="4" t="s">
        <v>835</v>
      </c>
      <c r="K2757">
        <f t="shared" si="89"/>
        <v>15.6</v>
      </c>
    </row>
    <row r="2758" spans="1:11" hidden="1">
      <c r="A2758" s="134"/>
      <c r="F2758">
        <v>0.1</v>
      </c>
      <c r="G2758" s="3" t="s">
        <v>1414</v>
      </c>
      <c r="H2758" t="s">
        <v>2754</v>
      </c>
      <c r="I2758">
        <f>I2867</f>
        <v>712</v>
      </c>
      <c r="J2758" s="4" t="s">
        <v>1418</v>
      </c>
      <c r="K2758">
        <f t="shared" si="89"/>
        <v>71.2</v>
      </c>
    </row>
    <row r="2759" spans="1:11" hidden="1">
      <c r="A2759" s="134"/>
      <c r="F2759">
        <v>0.2</v>
      </c>
      <c r="G2759" s="3" t="s">
        <v>1414</v>
      </c>
      <c r="H2759" t="s">
        <v>2755</v>
      </c>
      <c r="I2759">
        <f>I2868</f>
        <v>708</v>
      </c>
      <c r="J2759" s="4" t="s">
        <v>1418</v>
      </c>
      <c r="K2759">
        <f t="shared" si="89"/>
        <v>141.6</v>
      </c>
    </row>
    <row r="2760" spans="1:11" hidden="1">
      <c r="A2760" s="134"/>
      <c r="F2760">
        <v>0.3</v>
      </c>
      <c r="G2760" s="3" t="s">
        <v>1414</v>
      </c>
      <c r="H2760" t="s">
        <v>2356</v>
      </c>
      <c r="I2760">
        <f>I2869</f>
        <v>556</v>
      </c>
      <c r="J2760" s="4" t="s">
        <v>1418</v>
      </c>
      <c r="K2760">
        <f t="shared" si="89"/>
        <v>166.8</v>
      </c>
    </row>
    <row r="2761" spans="1:11" hidden="1">
      <c r="A2761" s="134"/>
      <c r="F2761"/>
      <c r="G2761" s="3"/>
      <c r="H2761" t="s">
        <v>3058</v>
      </c>
      <c r="I2761"/>
      <c r="J2761" s="4"/>
      <c r="K2761">
        <f>SUM(K2752:K2760)*1%-0.63</f>
        <v>23.67</v>
      </c>
    </row>
    <row r="2762" spans="1:11" hidden="1">
      <c r="A2762" s="134"/>
      <c r="F2762"/>
      <c r="G2762" s="3"/>
      <c r="H2762"/>
      <c r="I2762"/>
      <c r="J2762" s="4"/>
      <c r="K2762"/>
    </row>
    <row r="2763" spans="1:11" hidden="1">
      <c r="A2763" s="134"/>
      <c r="F2763"/>
      <c r="G2763" s="3"/>
      <c r="H2763"/>
      <c r="I2763"/>
      <c r="J2763" s="4"/>
      <c r="K2763" s="197" t="s">
        <v>1609</v>
      </c>
    </row>
    <row r="2764" spans="1:11" hidden="1">
      <c r="A2764" s="134"/>
      <c r="F2764"/>
      <c r="G2764" s="3"/>
      <c r="H2764"/>
      <c r="I2764"/>
      <c r="J2764" s="4"/>
      <c r="K2764">
        <f>SUM(K2752:K2763)</f>
        <v>2453.37</v>
      </c>
    </row>
    <row r="2765" spans="1:11" hidden="1">
      <c r="A2765" s="134"/>
      <c r="F2765"/>
      <c r="G2765" s="3"/>
      <c r="H2765"/>
      <c r="I2765"/>
      <c r="J2765" s="4"/>
      <c r="K2765" s="197" t="s">
        <v>2080</v>
      </c>
    </row>
    <row r="2766" spans="1:11" hidden="1">
      <c r="A2766" s="134"/>
      <c r="F2766" s="22">
        <v>53.4</v>
      </c>
      <c r="G2766" s="3"/>
      <c r="H2766" s="1" t="s">
        <v>2946</v>
      </c>
      <c r="I2766"/>
      <c r="J2766" s="4" t="s">
        <v>1418</v>
      </c>
      <c r="K2766">
        <v>957</v>
      </c>
    </row>
    <row r="2767" spans="1:11" hidden="1">
      <c r="A2767" s="134"/>
      <c r="F2767"/>
      <c r="G2767" s="3"/>
      <c r="H2767"/>
      <c r="I2767"/>
      <c r="J2767" s="4"/>
      <c r="K2767"/>
    </row>
    <row r="2768" spans="1:11" ht="31.5" hidden="1">
      <c r="A2768" s="134"/>
      <c r="F2768" s="214">
        <v>383</v>
      </c>
      <c r="G2768" s="3"/>
      <c r="H2768" s="21" t="s">
        <v>3502</v>
      </c>
      <c r="I2768"/>
      <c r="J2768" s="4" t="s">
        <v>1418</v>
      </c>
      <c r="K2768">
        <v>600</v>
      </c>
    </row>
    <row r="2769" spans="1:11" hidden="1">
      <c r="A2769" s="134"/>
      <c r="F2769"/>
      <c r="G2769" s="3"/>
      <c r="H2769"/>
      <c r="I2769"/>
      <c r="J2769" s="4"/>
      <c r="K2769"/>
    </row>
    <row r="2770" spans="1:11" hidden="1">
      <c r="A2770" s="134"/>
      <c r="F2770"/>
      <c r="G2770" s="3"/>
      <c r="H2770"/>
      <c r="I2770"/>
      <c r="J2770" s="4"/>
      <c r="K2770"/>
    </row>
    <row r="2771" spans="1:11" hidden="1">
      <c r="A2771" s="134"/>
      <c r="F2771" s="215">
        <v>344.2</v>
      </c>
      <c r="G2771" s="3"/>
      <c r="H2771" s="21" t="s">
        <v>2434</v>
      </c>
      <c r="I2771"/>
      <c r="J2771" s="4" t="s">
        <v>1418</v>
      </c>
      <c r="K2771">
        <v>300</v>
      </c>
    </row>
    <row r="2772" spans="1:11" hidden="1">
      <c r="A2772" s="134"/>
      <c r="F2772" s="214"/>
      <c r="G2772" s="3"/>
      <c r="H2772"/>
      <c r="I2772"/>
      <c r="J2772" s="4"/>
      <c r="K2772"/>
    </row>
    <row r="2773" spans="1:11" hidden="1">
      <c r="A2773" s="134"/>
      <c r="F2773" s="214"/>
      <c r="G2773" s="3"/>
      <c r="H2773"/>
      <c r="I2773"/>
      <c r="J2773" s="4"/>
      <c r="K2773"/>
    </row>
    <row r="2774" spans="1:11" hidden="1">
      <c r="A2774" s="134"/>
      <c r="F2774" s="214"/>
      <c r="G2774" s="3"/>
      <c r="H2774"/>
      <c r="I2774"/>
      <c r="J2774" s="4"/>
      <c r="K2774"/>
    </row>
    <row r="2775" spans="1:11" hidden="1">
      <c r="A2775" s="134"/>
      <c r="F2775" s="215">
        <v>344.1</v>
      </c>
      <c r="G2775" s="3"/>
      <c r="H2775" s="21" t="s">
        <v>2435</v>
      </c>
      <c r="I2775"/>
      <c r="J2775" s="4" t="s">
        <v>1418</v>
      </c>
      <c r="K2775">
        <v>260</v>
      </c>
    </row>
    <row r="2776" spans="1:11" hidden="1">
      <c r="A2776" s="134"/>
      <c r="F2776" s="100"/>
      <c r="G2776" s="3"/>
      <c r="H2776"/>
      <c r="I2776"/>
      <c r="J2776" s="4"/>
      <c r="K2776"/>
    </row>
    <row r="2777" spans="1:11" hidden="1">
      <c r="A2777" s="134"/>
      <c r="F2777" s="100"/>
      <c r="G2777" s="3"/>
      <c r="H2777"/>
      <c r="I2777"/>
      <c r="J2777" s="4"/>
      <c r="K2777"/>
    </row>
    <row r="2778" spans="1:11" hidden="1">
      <c r="A2778" s="134"/>
      <c r="F2778">
        <v>384</v>
      </c>
      <c r="G2778" s="3"/>
      <c r="H2778"/>
      <c r="I2778"/>
      <c r="J2778" s="4"/>
      <c r="K2778"/>
    </row>
    <row r="2779" spans="1:11" hidden="1">
      <c r="A2779" s="134"/>
      <c r="F2779"/>
      <c r="G2779" s="3"/>
      <c r="H2779" s="21" t="s">
        <v>2436</v>
      </c>
      <c r="I2779"/>
      <c r="J2779" s="4" t="s">
        <v>1418</v>
      </c>
      <c r="K2779">
        <v>650</v>
      </c>
    </row>
    <row r="2780" spans="1:11" hidden="1">
      <c r="A2780" s="134"/>
      <c r="F2780"/>
      <c r="G2780" s="3"/>
      <c r="H2780"/>
      <c r="I2780"/>
      <c r="J2780" s="4"/>
      <c r="K2780"/>
    </row>
    <row r="2781" spans="1:11" ht="19.5" hidden="1">
      <c r="A2781" s="134"/>
      <c r="F2781" s="216">
        <v>385</v>
      </c>
      <c r="G2781" s="3"/>
      <c r="H2781" t="s">
        <v>2846</v>
      </c>
      <c r="I2781"/>
      <c r="J2781" s="4"/>
      <c r="K2781"/>
    </row>
    <row r="2782" spans="1:11" hidden="1">
      <c r="A2782" s="134"/>
      <c r="F2782"/>
      <c r="G2782" s="3"/>
      <c r="H2782" s="39" t="s">
        <v>2847</v>
      </c>
      <c r="I2782"/>
      <c r="J2782" s="4"/>
      <c r="K2782"/>
    </row>
    <row r="2783" spans="1:11" hidden="1">
      <c r="A2783" s="134"/>
      <c r="F2783">
        <v>4</v>
      </c>
      <c r="G2783" s="3" t="s">
        <v>835</v>
      </c>
      <c r="H2783" t="s">
        <v>3263</v>
      </c>
      <c r="I2783">
        <v>110</v>
      </c>
      <c r="J2783" s="3" t="s">
        <v>835</v>
      </c>
      <c r="K2783">
        <f>I2783*F2783</f>
        <v>440</v>
      </c>
    </row>
    <row r="2784" spans="1:11" hidden="1">
      <c r="A2784" s="134"/>
      <c r="F2784">
        <v>2.52</v>
      </c>
      <c r="G2784" s="3" t="s">
        <v>1670</v>
      </c>
      <c r="H2784" t="s">
        <v>3264</v>
      </c>
      <c r="I2784">
        <v>30</v>
      </c>
      <c r="J2784" s="3" t="s">
        <v>1670</v>
      </c>
      <c r="K2784">
        <f t="shared" ref="K2784:K2790" si="90">I2784*F2784</f>
        <v>75.599999999999994</v>
      </c>
    </row>
    <row r="2785" spans="1:11" hidden="1">
      <c r="A2785" s="134"/>
      <c r="F2785">
        <v>1.1299999999999999</v>
      </c>
      <c r="G2785" s="3" t="s">
        <v>1670</v>
      </c>
      <c r="H2785" t="s">
        <v>3142</v>
      </c>
      <c r="I2785">
        <v>30</v>
      </c>
      <c r="J2785" s="3" t="s">
        <v>1670</v>
      </c>
      <c r="K2785">
        <f t="shared" si="90"/>
        <v>33.9</v>
      </c>
    </row>
    <row r="2786" spans="1:11" hidden="1">
      <c r="A2786" s="134"/>
      <c r="F2786">
        <v>0.35</v>
      </c>
      <c r="G2786" s="3" t="s">
        <v>1670</v>
      </c>
      <c r="H2786" t="s">
        <v>3143</v>
      </c>
      <c r="I2786">
        <v>30</v>
      </c>
      <c r="J2786" s="3" t="s">
        <v>1670</v>
      </c>
      <c r="K2786">
        <f t="shared" si="90"/>
        <v>10.5</v>
      </c>
    </row>
    <row r="2787" spans="1:11" hidden="1">
      <c r="A2787" s="134"/>
      <c r="F2787">
        <v>4</v>
      </c>
      <c r="G2787" s="3" t="s">
        <v>1670</v>
      </c>
      <c r="H2787" t="s">
        <v>3144</v>
      </c>
      <c r="I2787">
        <v>12.25</v>
      </c>
      <c r="J2787" s="3" t="s">
        <v>1670</v>
      </c>
      <c r="K2787">
        <f t="shared" si="90"/>
        <v>49</v>
      </c>
    </row>
    <row r="2788" spans="1:11" hidden="1">
      <c r="A2788" s="134"/>
      <c r="F2788">
        <v>6</v>
      </c>
      <c r="G2788" s="3" t="s">
        <v>1452</v>
      </c>
      <c r="H2788" t="s">
        <v>3145</v>
      </c>
      <c r="I2788">
        <v>1</v>
      </c>
      <c r="J2788" s="3" t="s">
        <v>1452</v>
      </c>
      <c r="K2788">
        <f t="shared" si="90"/>
        <v>6</v>
      </c>
    </row>
    <row r="2789" spans="1:11" hidden="1">
      <c r="A2789" s="134"/>
      <c r="F2789">
        <v>0.5</v>
      </c>
      <c r="G2789" s="3" t="s">
        <v>1452</v>
      </c>
      <c r="H2789" t="s">
        <v>348</v>
      </c>
      <c r="I2789">
        <f>C12</f>
        <v>95</v>
      </c>
      <c r="J2789" s="3" t="s">
        <v>1418</v>
      </c>
      <c r="K2789">
        <f t="shared" si="90"/>
        <v>47.5</v>
      </c>
    </row>
    <row r="2790" spans="1:11" hidden="1">
      <c r="A2790" s="134"/>
      <c r="F2790">
        <v>0.5</v>
      </c>
      <c r="G2790" s="3" t="s">
        <v>1452</v>
      </c>
      <c r="H2790" t="s">
        <v>1241</v>
      </c>
      <c r="I2790">
        <f>C13</f>
        <v>85</v>
      </c>
      <c r="J2790" s="3" t="s">
        <v>1418</v>
      </c>
      <c r="K2790">
        <f t="shared" si="90"/>
        <v>42.5</v>
      </c>
    </row>
    <row r="2791" spans="1:11" hidden="1">
      <c r="A2791" s="134"/>
      <c r="F2791"/>
      <c r="G2791" s="3"/>
      <c r="H2791"/>
      <c r="I2791"/>
      <c r="J2791" s="3"/>
      <c r="K2791" s="39" t="s">
        <v>3364</v>
      </c>
    </row>
    <row r="2792" spans="1:11" hidden="1">
      <c r="A2792" s="134"/>
      <c r="F2792"/>
      <c r="G2792" s="3"/>
      <c r="H2792" t="s">
        <v>3146</v>
      </c>
      <c r="I2792"/>
      <c r="J2792" s="4"/>
      <c r="K2792">
        <f>SUM(K2783:K2791)</f>
        <v>705</v>
      </c>
    </row>
    <row r="2793" spans="1:11" hidden="1">
      <c r="A2793" s="134"/>
      <c r="F2793"/>
      <c r="G2793" s="3"/>
      <c r="H2793"/>
      <c r="I2793"/>
      <c r="J2793" s="4"/>
      <c r="K2793" s="39" t="s">
        <v>3110</v>
      </c>
    </row>
    <row r="2794" spans="1:11" hidden="1">
      <c r="A2794" s="134"/>
      <c r="F2794"/>
      <c r="G2794" s="3"/>
      <c r="H2794" t="s">
        <v>2826</v>
      </c>
      <c r="I2794"/>
      <c r="J2794" s="4"/>
      <c r="K2794">
        <f>K2792/2</f>
        <v>352.5</v>
      </c>
    </row>
    <row r="2795" spans="1:11" hidden="1">
      <c r="A2795" s="134"/>
      <c r="F2795"/>
      <c r="G2795" s="3"/>
      <c r="H2795"/>
      <c r="I2795"/>
      <c r="J2795" s="4"/>
      <c r="K2795" s="39" t="s">
        <v>34</v>
      </c>
    </row>
    <row r="2796" spans="1:11" ht="19.5" hidden="1">
      <c r="A2796" s="134"/>
      <c r="F2796" s="198">
        <v>112.1</v>
      </c>
      <c r="G2796" s="3"/>
      <c r="H2796" s="217" t="s">
        <v>2494</v>
      </c>
      <c r="I2796"/>
      <c r="J2796" s="4"/>
      <c r="K2796"/>
    </row>
    <row r="2797" spans="1:11" hidden="1">
      <c r="A2797" s="134"/>
      <c r="F2797"/>
      <c r="G2797" s="3"/>
      <c r="H2797" s="39" t="s">
        <v>2495</v>
      </c>
      <c r="I2797"/>
      <c r="J2797" s="4"/>
      <c r="K2797"/>
    </row>
    <row r="2798" spans="1:11" hidden="1">
      <c r="A2798" s="134"/>
      <c r="F2798">
        <v>1</v>
      </c>
      <c r="G2798" s="3" t="s">
        <v>1414</v>
      </c>
      <c r="H2798" s="21" t="s">
        <v>2494</v>
      </c>
      <c r="I2798" s="83">
        <v>1059</v>
      </c>
      <c r="J2798" s="4" t="s">
        <v>1418</v>
      </c>
      <c r="K2798">
        <f>I2798*F2798</f>
        <v>1059</v>
      </c>
    </row>
    <row r="2799" spans="1:11" hidden="1">
      <c r="A2799" s="134"/>
      <c r="F2799">
        <v>1</v>
      </c>
      <c r="G2799" s="3" t="s">
        <v>1414</v>
      </c>
      <c r="H2799" s="21" t="s">
        <v>2496</v>
      </c>
      <c r="I2799">
        <v>95</v>
      </c>
      <c r="J2799" s="4" t="s">
        <v>1418</v>
      </c>
      <c r="K2799">
        <f>I2799*F2799</f>
        <v>95</v>
      </c>
    </row>
    <row r="2800" spans="1:11" hidden="1">
      <c r="A2800" s="134"/>
      <c r="F2800" t="s">
        <v>450</v>
      </c>
      <c r="G2800" s="3"/>
      <c r="H2800" s="21" t="s">
        <v>2531</v>
      </c>
      <c r="I2800"/>
      <c r="J2800" s="4" t="s">
        <v>450</v>
      </c>
      <c r="K2800">
        <v>16.64</v>
      </c>
    </row>
    <row r="2801" spans="1:11" hidden="1">
      <c r="A2801" s="134"/>
      <c r="F2801"/>
      <c r="G2801" s="3"/>
      <c r="H2801" t="s">
        <v>2532</v>
      </c>
      <c r="I2801"/>
      <c r="J2801" s="4"/>
      <c r="K2801">
        <v>10.11</v>
      </c>
    </row>
    <row r="2802" spans="1:11" hidden="1">
      <c r="A2802" s="134"/>
      <c r="F2802"/>
      <c r="G2802" s="3"/>
      <c r="H2802" t="s">
        <v>1522</v>
      </c>
      <c r="I2802"/>
      <c r="J2802" s="4" t="s">
        <v>1418</v>
      </c>
      <c r="K2802">
        <f>K2811</f>
        <v>78.25</v>
      </c>
    </row>
    <row r="2803" spans="1:11" hidden="1">
      <c r="A2803" s="134"/>
      <c r="F2803"/>
      <c r="G2803" s="3"/>
      <c r="H2803"/>
      <c r="I2803"/>
      <c r="J2803" s="4"/>
      <c r="K2803" s="39" t="s">
        <v>2353</v>
      </c>
    </row>
    <row r="2804" spans="1:11" hidden="1">
      <c r="A2804" s="134"/>
      <c r="F2804"/>
      <c r="G2804" s="3"/>
      <c r="H2804"/>
      <c r="I2804"/>
      <c r="J2804" s="4"/>
      <c r="K2804">
        <f>SUM(K2798:K2803)</f>
        <v>1259</v>
      </c>
    </row>
    <row r="2805" spans="1:11" hidden="1">
      <c r="A2805" s="134"/>
      <c r="F2805"/>
      <c r="G2805" s="3"/>
      <c r="H2805"/>
      <c r="I2805"/>
      <c r="J2805" s="4"/>
      <c r="K2805" s="39" t="s">
        <v>888</v>
      </c>
    </row>
    <row r="2806" spans="1:11" hidden="1">
      <c r="A2806" s="134"/>
      <c r="F2806" t="s">
        <v>142</v>
      </c>
      <c r="G2806" s="3"/>
      <c r="H2806"/>
      <c r="I2806"/>
      <c r="J2806" s="4"/>
      <c r="K2806"/>
    </row>
    <row r="2807" spans="1:11" hidden="1">
      <c r="A2807" s="134"/>
      <c r="F2807">
        <v>1</v>
      </c>
      <c r="G2807" s="3" t="s">
        <v>1414</v>
      </c>
      <c r="H2807" t="s">
        <v>2533</v>
      </c>
      <c r="I2807">
        <v>131</v>
      </c>
      <c r="J2807" s="4" t="s">
        <v>1418</v>
      </c>
      <c r="K2807">
        <f>I2807*F2807</f>
        <v>131</v>
      </c>
    </row>
    <row r="2808" spans="1:11" hidden="1">
      <c r="A2808" s="134"/>
      <c r="F2808">
        <v>2</v>
      </c>
      <c r="G2808" s="3" t="s">
        <v>1452</v>
      </c>
      <c r="H2808" t="s">
        <v>2356</v>
      </c>
      <c r="I2808">
        <v>91</v>
      </c>
      <c r="J2808" s="4" t="s">
        <v>1418</v>
      </c>
      <c r="K2808">
        <f>I2808*F2808</f>
        <v>182</v>
      </c>
    </row>
    <row r="2809" spans="1:11" hidden="1">
      <c r="A2809" s="134"/>
      <c r="F2809"/>
      <c r="G2809" s="3"/>
      <c r="H2809"/>
      <c r="I2809"/>
      <c r="J2809" s="4"/>
      <c r="K2809" s="39" t="s">
        <v>2353</v>
      </c>
    </row>
    <row r="2810" spans="1:11" hidden="1">
      <c r="A2810" s="134"/>
      <c r="F2810"/>
      <c r="G2810" s="3"/>
      <c r="H2810" t="s">
        <v>2534</v>
      </c>
      <c r="I2810"/>
      <c r="J2810" s="4"/>
      <c r="K2810">
        <f>SUM(K2807:K2809)</f>
        <v>313</v>
      </c>
    </row>
    <row r="2811" spans="1:11" hidden="1">
      <c r="A2811" s="134"/>
      <c r="F2811"/>
      <c r="G2811" s="3"/>
      <c r="H2811" t="s">
        <v>2535</v>
      </c>
      <c r="I2811"/>
      <c r="J2811" s="4"/>
      <c r="K2811">
        <f>K2810/4</f>
        <v>78.25</v>
      </c>
    </row>
    <row r="2812" spans="1:11" hidden="1">
      <c r="A2812" s="134"/>
      <c r="F2812"/>
      <c r="G2812" s="3"/>
      <c r="H2812" s="6"/>
      <c r="I2812"/>
      <c r="J2812" s="4"/>
      <c r="K2812" s="8"/>
    </row>
    <row r="2813" spans="1:11" hidden="1">
      <c r="A2813" s="134"/>
      <c r="F2813">
        <v>70.5</v>
      </c>
      <c r="G2813" s="3"/>
      <c r="H2813" t="s">
        <v>2536</v>
      </c>
      <c r="I2813"/>
      <c r="J2813" s="4"/>
      <c r="K2813"/>
    </row>
    <row r="2814" spans="1:11" hidden="1">
      <c r="A2814" s="134"/>
      <c r="F2814"/>
      <c r="G2814" s="3"/>
      <c r="H2814" s="197" t="s">
        <v>1609</v>
      </c>
      <c r="I2814"/>
      <c r="J2814" s="4"/>
      <c r="K2814"/>
    </row>
    <row r="2815" spans="1:11" ht="47.25" hidden="1">
      <c r="A2815" s="134"/>
      <c r="F2815" s="196">
        <v>1</v>
      </c>
      <c r="G2815" s="196" t="s">
        <v>1414</v>
      </c>
      <c r="H2815" s="196" t="s">
        <v>2916</v>
      </c>
      <c r="I2815">
        <v>322</v>
      </c>
      <c r="J2815" s="4" t="s">
        <v>1418</v>
      </c>
      <c r="K2815">
        <f>F2815*I2815</f>
        <v>322</v>
      </c>
    </row>
    <row r="2816" spans="1:11" hidden="1">
      <c r="A2816" s="134"/>
      <c r="F2816" s="196">
        <v>1</v>
      </c>
      <c r="G2816" s="196" t="s">
        <v>1414</v>
      </c>
      <c r="H2816" t="s">
        <v>2917</v>
      </c>
      <c r="I2816" s="83">
        <v>37</v>
      </c>
      <c r="J2816" s="4" t="s">
        <v>1418</v>
      </c>
      <c r="K2816">
        <f>F2816*I2816</f>
        <v>37</v>
      </c>
    </row>
    <row r="2817" spans="1:11" hidden="1">
      <c r="A2817" s="134"/>
      <c r="F2817" s="196">
        <v>2</v>
      </c>
      <c r="G2817" s="196" t="s">
        <v>1414</v>
      </c>
      <c r="H2817" t="s">
        <v>2918</v>
      </c>
      <c r="I2817">
        <v>600</v>
      </c>
      <c r="J2817" s="4" t="s">
        <v>2919</v>
      </c>
      <c r="K2817">
        <f>(F2817*I2817)/100</f>
        <v>12</v>
      </c>
    </row>
    <row r="2818" spans="1:11" hidden="1">
      <c r="A2818" s="134"/>
      <c r="F2818" s="196">
        <v>2</v>
      </c>
      <c r="G2818" s="196" t="s">
        <v>1414</v>
      </c>
      <c r="H2818" t="s">
        <v>2920</v>
      </c>
      <c r="I2818">
        <v>914.1</v>
      </c>
      <c r="J2818" s="4" t="s">
        <v>2921</v>
      </c>
      <c r="K2818">
        <f>(F2818*I2818)/100</f>
        <v>18.28</v>
      </c>
    </row>
    <row r="2819" spans="1:11" hidden="1">
      <c r="A2819" s="134"/>
      <c r="F2819" s="196"/>
      <c r="G2819" s="196"/>
      <c r="H2819" t="s">
        <v>2922</v>
      </c>
      <c r="I2819">
        <f>K2830</f>
        <v>49.25</v>
      </c>
      <c r="J2819" s="4" t="s">
        <v>450</v>
      </c>
      <c r="K2819">
        <f>I2819</f>
        <v>49.25</v>
      </c>
    </row>
    <row r="2820" spans="1:11" hidden="1">
      <c r="A2820" s="134"/>
      <c r="F2820"/>
      <c r="G2820" s="3"/>
      <c r="H2820" t="s">
        <v>2923</v>
      </c>
      <c r="I2820"/>
      <c r="J2820" s="4" t="s">
        <v>450</v>
      </c>
      <c r="K2820">
        <v>1.84</v>
      </c>
    </row>
    <row r="2821" spans="1:11" hidden="1">
      <c r="A2821" s="134"/>
      <c r="F2821"/>
      <c r="G2821" s="3"/>
      <c r="H2821"/>
      <c r="I2821"/>
      <c r="J2821" s="4"/>
      <c r="K2821" s="197" t="s">
        <v>1609</v>
      </c>
    </row>
    <row r="2822" spans="1:11" hidden="1">
      <c r="A2822" s="134"/>
      <c r="F2822"/>
      <c r="G2822" s="3"/>
      <c r="H2822" t="s">
        <v>2270</v>
      </c>
      <c r="I2822"/>
      <c r="J2822" s="4"/>
      <c r="K2822">
        <f>SUM(K2815:K2821)</f>
        <v>440.37</v>
      </c>
    </row>
    <row r="2823" spans="1:11" hidden="1">
      <c r="A2823" s="134"/>
      <c r="F2823"/>
      <c r="G2823" s="3"/>
      <c r="H2823"/>
      <c r="I2823"/>
      <c r="J2823" s="4"/>
      <c r="K2823" s="197" t="s">
        <v>2080</v>
      </c>
    </row>
    <row r="2824" spans="1:11" hidden="1">
      <c r="A2824" s="134"/>
      <c r="F2824"/>
      <c r="G2824" s="3"/>
      <c r="H2824" t="s">
        <v>2924</v>
      </c>
      <c r="I2824"/>
      <c r="J2824" s="4"/>
      <c r="K2824"/>
    </row>
    <row r="2825" spans="1:11" hidden="1">
      <c r="A2825" s="134"/>
      <c r="F2825">
        <v>1</v>
      </c>
      <c r="G2825" s="3" t="s">
        <v>1414</v>
      </c>
      <c r="H2825" t="s">
        <v>3385</v>
      </c>
      <c r="I2825">
        <v>160</v>
      </c>
      <c r="J2825" s="4" t="s">
        <v>1418</v>
      </c>
      <c r="K2825">
        <f>F2825*I2825</f>
        <v>160</v>
      </c>
    </row>
    <row r="2826" spans="1:11" hidden="1">
      <c r="A2826" s="134"/>
      <c r="F2826">
        <v>2</v>
      </c>
      <c r="G2826" s="3" t="s">
        <v>1414</v>
      </c>
      <c r="H2826" t="s">
        <v>3386</v>
      </c>
      <c r="I2826">
        <v>149</v>
      </c>
      <c r="J2826" s="4" t="s">
        <v>1418</v>
      </c>
      <c r="K2826">
        <f>F2826*I2826</f>
        <v>298</v>
      </c>
    </row>
    <row r="2827" spans="1:11" hidden="1">
      <c r="A2827" s="134"/>
      <c r="F2827">
        <v>3</v>
      </c>
      <c r="G2827" s="3" t="s">
        <v>1414</v>
      </c>
      <c r="H2827" t="s">
        <v>2356</v>
      </c>
      <c r="I2827">
        <v>110</v>
      </c>
      <c r="J2827" s="4" t="s">
        <v>1418</v>
      </c>
      <c r="K2827">
        <f>F2827*I2827</f>
        <v>330</v>
      </c>
    </row>
    <row r="2828" spans="1:11" hidden="1">
      <c r="A2828" s="134"/>
      <c r="F2828"/>
      <c r="G2828" s="3"/>
      <c r="H2828"/>
      <c r="I2828"/>
      <c r="J2828" s="4"/>
      <c r="K2828" s="197" t="s">
        <v>1609</v>
      </c>
    </row>
    <row r="2829" spans="1:11" hidden="1">
      <c r="A2829" s="134"/>
      <c r="F2829"/>
      <c r="G2829" s="3"/>
      <c r="H2829" t="s">
        <v>2925</v>
      </c>
      <c r="I2829"/>
      <c r="J2829" s="4"/>
      <c r="K2829">
        <f>SUM(K2825:K2828)</f>
        <v>788</v>
      </c>
    </row>
    <row r="2830" spans="1:11" hidden="1">
      <c r="A2830" s="134"/>
      <c r="F2830"/>
      <c r="G2830" s="3"/>
      <c r="H2830" t="s">
        <v>2926</v>
      </c>
      <c r="I2830"/>
      <c r="J2830" s="4"/>
      <c r="K2830">
        <f>K2829/16</f>
        <v>49.25</v>
      </c>
    </row>
    <row r="2831" spans="1:11" hidden="1">
      <c r="A2831" s="134"/>
      <c r="F2831"/>
      <c r="G2831" s="3"/>
      <c r="H2831"/>
      <c r="I2831"/>
      <c r="J2831" s="4"/>
      <c r="K2831" s="197" t="s">
        <v>1609</v>
      </c>
    </row>
    <row r="2832" spans="1:11">
      <c r="A2832" s="134"/>
    </row>
    <row r="2833" spans="1:18" ht="19.5">
      <c r="A2833" s="134"/>
      <c r="H2833" s="282" t="s">
        <v>3749</v>
      </c>
    </row>
    <row r="2834" spans="1:18">
      <c r="A2834" s="134"/>
      <c r="H2834" s="218" t="s">
        <v>4766</v>
      </c>
    </row>
    <row r="2835" spans="1:18">
      <c r="A2835" s="134"/>
    </row>
    <row r="2836" spans="1:18" ht="20.25" customHeight="1">
      <c r="A2836" s="134"/>
      <c r="H2836" s="281" t="s">
        <v>2927</v>
      </c>
    </row>
    <row r="2837" spans="1:18" ht="31.5">
      <c r="A2837" s="134"/>
      <c r="H2837" s="279" t="s">
        <v>2928</v>
      </c>
      <c r="O2837" s="219" t="s">
        <v>2929</v>
      </c>
    </row>
    <row r="2838" spans="1:18" ht="25.5" customHeight="1">
      <c r="A2838" s="134"/>
      <c r="H2838" s="279" t="s">
        <v>2930</v>
      </c>
    </row>
    <row r="2839" spans="1:18">
      <c r="A2839" s="134"/>
      <c r="H2839" s="280"/>
    </row>
    <row r="2840" spans="1:18" ht="25.5" customHeight="1">
      <c r="A2840" s="134"/>
      <c r="H2840" s="279" t="s">
        <v>2931</v>
      </c>
    </row>
    <row r="2841" spans="1:18">
      <c r="A2841" s="134"/>
    </row>
    <row r="2842" spans="1:18" ht="187.5" customHeight="1">
      <c r="A2842" s="134"/>
      <c r="H2842" s="220" t="s">
        <v>2410</v>
      </c>
      <c r="M2842" s="221"/>
      <c r="N2842" s="221"/>
      <c r="O2842" s="220" t="s">
        <v>2875</v>
      </c>
      <c r="P2842" s="221"/>
      <c r="Q2842" s="221"/>
      <c r="R2842" s="221"/>
    </row>
    <row r="2843" spans="1:18" ht="36.75" customHeight="1">
      <c r="A2843" s="134"/>
      <c r="F2843" s="221">
        <v>90</v>
      </c>
      <c r="G2843" s="221" t="s">
        <v>835</v>
      </c>
      <c r="H2843" s="278" t="s">
        <v>5002</v>
      </c>
      <c r="I2843" s="222">
        <v>15.5</v>
      </c>
      <c r="J2843" s="221" t="s">
        <v>2573</v>
      </c>
      <c r="K2843" s="221">
        <f>F2843*I2843</f>
        <v>1395</v>
      </c>
      <c r="M2843" s="221"/>
      <c r="N2843" s="221"/>
      <c r="O2843" s="219"/>
      <c r="P2843" s="221"/>
      <c r="Q2843" s="221"/>
      <c r="R2843" s="221"/>
    </row>
    <row r="2844" spans="1:18" ht="42.75" customHeight="1">
      <c r="A2844" s="134"/>
      <c r="E2844" s="221"/>
      <c r="F2844" s="221">
        <v>45</v>
      </c>
      <c r="G2844" s="221" t="s">
        <v>835</v>
      </c>
      <c r="H2844" s="220" t="s">
        <v>5003</v>
      </c>
      <c r="I2844" s="222">
        <v>19.100000000000001</v>
      </c>
      <c r="J2844" s="221" t="s">
        <v>2390</v>
      </c>
      <c r="K2844" s="221">
        <f t="shared" ref="K2844:K2856" si="91">F2844*I2844</f>
        <v>859.5</v>
      </c>
      <c r="L2844" s="221"/>
      <c r="M2844" s="221"/>
      <c r="N2844" s="221"/>
      <c r="P2844" s="221" t="s">
        <v>987</v>
      </c>
      <c r="Q2844" s="221"/>
      <c r="R2844" s="221"/>
    </row>
    <row r="2845" spans="1:18" ht="24.95" customHeight="1">
      <c r="A2845" s="134"/>
      <c r="E2845" s="221"/>
      <c r="F2845" s="221">
        <v>20</v>
      </c>
      <c r="G2845" s="221" t="s">
        <v>1414</v>
      </c>
      <c r="H2845" s="221" t="s">
        <v>5004</v>
      </c>
      <c r="I2845" s="222">
        <v>3</v>
      </c>
      <c r="J2845" s="221" t="s">
        <v>1414</v>
      </c>
      <c r="K2845" s="221">
        <f t="shared" si="91"/>
        <v>60</v>
      </c>
      <c r="L2845" s="221"/>
      <c r="M2845" s="221"/>
      <c r="N2845" s="221"/>
      <c r="O2845" s="221"/>
      <c r="P2845" s="221"/>
      <c r="Q2845" s="221"/>
      <c r="R2845" s="221"/>
    </row>
    <row r="2846" spans="1:18" ht="34.5" customHeight="1">
      <c r="A2846" s="134"/>
      <c r="E2846" s="221"/>
      <c r="F2846" s="221">
        <v>10</v>
      </c>
      <c r="G2846" s="221" t="s">
        <v>1414</v>
      </c>
      <c r="H2846" s="221" t="s">
        <v>5005</v>
      </c>
      <c r="I2846" s="260">
        <f>15.3/12</f>
        <v>1.28</v>
      </c>
      <c r="J2846" s="221" t="s">
        <v>1414</v>
      </c>
      <c r="K2846" s="221">
        <f t="shared" si="91"/>
        <v>12.8</v>
      </c>
      <c r="L2846" s="221"/>
      <c r="M2846" s="221">
        <v>90</v>
      </c>
      <c r="N2846" s="221" t="s">
        <v>835</v>
      </c>
      <c r="O2846" s="278" t="s">
        <v>2572</v>
      </c>
      <c r="P2846" s="221">
        <f>I2856</f>
        <v>15.5</v>
      </c>
      <c r="Q2846" s="221" t="s">
        <v>835</v>
      </c>
      <c r="R2846" s="221">
        <f>M2846*P2846</f>
        <v>1395</v>
      </c>
    </row>
    <row r="2847" spans="1:18" ht="40.5" customHeight="1">
      <c r="A2847" s="134"/>
      <c r="E2847" s="221"/>
      <c r="F2847" s="221">
        <v>1</v>
      </c>
      <c r="G2847" s="221" t="s">
        <v>1414</v>
      </c>
      <c r="H2847" s="221" t="s">
        <v>5006</v>
      </c>
      <c r="I2847" s="260">
        <v>63.1</v>
      </c>
      <c r="J2847" s="221" t="s">
        <v>1414</v>
      </c>
      <c r="K2847" s="221">
        <f t="shared" si="91"/>
        <v>63.1</v>
      </c>
      <c r="L2847" s="221"/>
      <c r="M2847" s="221">
        <v>45</v>
      </c>
      <c r="N2847" s="221" t="s">
        <v>835</v>
      </c>
      <c r="O2847" s="220" t="s">
        <v>2389</v>
      </c>
      <c r="P2847" s="221">
        <f>I2844</f>
        <v>19.100000000000001</v>
      </c>
      <c r="Q2847" s="221" t="s">
        <v>2390</v>
      </c>
      <c r="R2847" s="221">
        <f t="shared" ref="R2847:R2859" si="92">M2847*P2847</f>
        <v>859.5</v>
      </c>
    </row>
    <row r="2848" spans="1:18">
      <c r="A2848" s="134"/>
      <c r="E2848" s="221"/>
      <c r="F2848" s="221"/>
      <c r="G2848" s="221"/>
      <c r="H2848" s="221"/>
      <c r="I2848" s="221"/>
      <c r="J2848" s="221"/>
      <c r="K2848" s="221"/>
      <c r="L2848" s="221"/>
      <c r="M2848" s="221">
        <v>75</v>
      </c>
      <c r="N2848" s="221" t="s">
        <v>1414</v>
      </c>
      <c r="O2848" s="221" t="s">
        <v>5080</v>
      </c>
      <c r="P2848" s="260">
        <v>3.45</v>
      </c>
      <c r="Q2848" s="221" t="s">
        <v>3435</v>
      </c>
      <c r="R2848" s="221">
        <f>M2848*P2848/12</f>
        <v>21.56</v>
      </c>
    </row>
    <row r="2849" spans="1:20" ht="24.95" customHeight="1">
      <c r="A2849" s="134"/>
      <c r="E2849" s="221"/>
      <c r="F2849" s="224">
        <v>1.4999999999999999E-2</v>
      </c>
      <c r="G2849" s="221" t="s">
        <v>2308</v>
      </c>
      <c r="H2849" s="221" t="s">
        <v>5007</v>
      </c>
      <c r="I2849" s="222">
        <v>630</v>
      </c>
      <c r="J2849" s="221" t="s">
        <v>2308</v>
      </c>
      <c r="K2849" s="221">
        <f t="shared" si="91"/>
        <v>9.4499999999999993</v>
      </c>
      <c r="L2849" s="221"/>
      <c r="M2849" s="221">
        <v>12</v>
      </c>
      <c r="N2849" s="221" t="s">
        <v>1414</v>
      </c>
      <c r="O2849" s="221" t="s">
        <v>2391</v>
      </c>
      <c r="P2849" s="221">
        <f>I2845</f>
        <v>3</v>
      </c>
      <c r="Q2849" s="221" t="s">
        <v>1414</v>
      </c>
      <c r="R2849" s="221">
        <f t="shared" si="92"/>
        <v>36</v>
      </c>
    </row>
    <row r="2850" spans="1:20" ht="24.95" customHeight="1">
      <c r="A2850" s="134"/>
      <c r="E2850" s="221"/>
      <c r="F2850" s="221">
        <v>10</v>
      </c>
      <c r="G2850" s="221" t="s">
        <v>1414</v>
      </c>
      <c r="H2850" s="221" t="s">
        <v>5008</v>
      </c>
      <c r="I2850" s="222">
        <f>192.6/12</f>
        <v>16.05</v>
      </c>
      <c r="J2850" s="221" t="s">
        <v>1414</v>
      </c>
      <c r="K2850" s="221">
        <f t="shared" si="91"/>
        <v>160.5</v>
      </c>
      <c r="L2850" s="221"/>
      <c r="M2850" s="221">
        <v>6</v>
      </c>
      <c r="N2850" s="221" t="s">
        <v>1414</v>
      </c>
      <c r="O2850" s="221" t="s">
        <v>3432</v>
      </c>
      <c r="P2850" s="221">
        <f>I2846</f>
        <v>1.28</v>
      </c>
      <c r="Q2850" s="221" t="s">
        <v>1414</v>
      </c>
      <c r="R2850" s="221">
        <f t="shared" si="92"/>
        <v>7.68</v>
      </c>
    </row>
    <row r="2851" spans="1:20" ht="24.95" customHeight="1">
      <c r="A2851" s="134"/>
      <c r="E2851" s="221"/>
      <c r="F2851" s="221">
        <v>10</v>
      </c>
      <c r="G2851" s="221" t="s">
        <v>1414</v>
      </c>
      <c r="H2851" s="221" t="s">
        <v>5009</v>
      </c>
      <c r="I2851" s="222">
        <v>13.6</v>
      </c>
      <c r="J2851" s="221" t="s">
        <v>1414</v>
      </c>
      <c r="K2851" s="221">
        <f t="shared" si="91"/>
        <v>136</v>
      </c>
      <c r="L2851" s="221"/>
      <c r="M2851" s="221">
        <v>150</v>
      </c>
      <c r="N2851" s="221" t="s">
        <v>1452</v>
      </c>
      <c r="O2851" s="221" t="s">
        <v>4838</v>
      </c>
      <c r="P2851" s="221">
        <f>I3580</f>
        <v>287</v>
      </c>
      <c r="Q2851" s="221">
        <v>1000</v>
      </c>
      <c r="R2851" s="221">
        <f>(M2851*P2851)/1000</f>
        <v>43.05</v>
      </c>
    </row>
    <row r="2852" spans="1:20" ht="24.95" customHeight="1">
      <c r="A2852" s="134"/>
      <c r="E2852" s="221"/>
      <c r="F2852" s="221">
        <v>10</v>
      </c>
      <c r="G2852" s="221" t="s">
        <v>1414</v>
      </c>
      <c r="H2852" s="221" t="s">
        <v>5010</v>
      </c>
      <c r="I2852" s="222">
        <f>41.2/12</f>
        <v>3.43</v>
      </c>
      <c r="J2852" s="221" t="s">
        <v>1414</v>
      </c>
      <c r="K2852" s="221">
        <f t="shared" si="91"/>
        <v>34.299999999999997</v>
      </c>
      <c r="L2852" s="221"/>
      <c r="M2852" s="224">
        <v>7</v>
      </c>
      <c r="N2852" s="221" t="s">
        <v>1452</v>
      </c>
      <c r="O2852" s="221" t="s">
        <v>2665</v>
      </c>
      <c r="P2852" s="221">
        <f>I2852</f>
        <v>3.43</v>
      </c>
      <c r="Q2852" s="221" t="s">
        <v>1414</v>
      </c>
      <c r="R2852" s="221">
        <f t="shared" si="92"/>
        <v>24.01</v>
      </c>
    </row>
    <row r="2853" spans="1:20" ht="24.95" customHeight="1">
      <c r="A2853" s="134"/>
      <c r="E2853" s="221"/>
      <c r="F2853" s="221">
        <v>1.25</v>
      </c>
      <c r="G2853" s="221" t="s">
        <v>2666</v>
      </c>
      <c r="H2853" s="221" t="s">
        <v>390</v>
      </c>
      <c r="I2853" s="222">
        <f>Data!C64/20</f>
        <v>298</v>
      </c>
      <c r="J2853" s="221" t="s">
        <v>2666</v>
      </c>
      <c r="K2853" s="221">
        <f t="shared" si="91"/>
        <v>372.5</v>
      </c>
      <c r="L2853" s="221"/>
      <c r="M2853" s="221">
        <v>6</v>
      </c>
      <c r="N2853" s="221" t="s">
        <v>1414</v>
      </c>
      <c r="O2853" s="221" t="s">
        <v>2662</v>
      </c>
      <c r="P2853" s="221">
        <f>I2851</f>
        <v>13.6</v>
      </c>
      <c r="Q2853" s="221" t="s">
        <v>1418</v>
      </c>
      <c r="R2853" s="221">
        <f t="shared" si="92"/>
        <v>81.599999999999994</v>
      </c>
    </row>
    <row r="2854" spans="1:20" ht="24.95" customHeight="1">
      <c r="A2854" s="134"/>
      <c r="E2854" s="221"/>
      <c r="F2854" s="221">
        <v>10</v>
      </c>
      <c r="G2854" s="221" t="s">
        <v>1414</v>
      </c>
      <c r="H2854" s="221" t="s">
        <v>4768</v>
      </c>
      <c r="I2854" s="260">
        <f>I2847</f>
        <v>63.1</v>
      </c>
      <c r="J2854" s="221" t="s">
        <v>1414</v>
      </c>
      <c r="K2854" s="221">
        <f t="shared" si="91"/>
        <v>631</v>
      </c>
      <c r="L2854" s="221"/>
      <c r="M2854" s="221">
        <v>6</v>
      </c>
      <c r="N2854" s="221" t="s">
        <v>1414</v>
      </c>
      <c r="O2854" s="221" t="str">
        <f>H2850</f>
        <v>5 amps flush type switch p-118, Part-C,1 a ( 192.6/12=16.05)</v>
      </c>
      <c r="P2854" s="221">
        <f>I2850</f>
        <v>16.05</v>
      </c>
      <c r="Q2854" s="221" t="str">
        <f>J2850</f>
        <v>No</v>
      </c>
      <c r="R2854" s="221">
        <f>(M2854*P2854)</f>
        <v>96.3</v>
      </c>
    </row>
    <row r="2855" spans="1:20" ht="24.95" customHeight="1">
      <c r="A2855" s="134"/>
      <c r="E2855" s="221"/>
      <c r="F2855" s="221">
        <v>0.15</v>
      </c>
      <c r="G2855" s="221" t="s">
        <v>2308</v>
      </c>
      <c r="H2855" s="221" t="s">
        <v>4769</v>
      </c>
      <c r="I2855" s="222">
        <f>I2849</f>
        <v>630</v>
      </c>
      <c r="J2855" s="221" t="s">
        <v>2308</v>
      </c>
      <c r="K2855" s="221">
        <f t="shared" si="91"/>
        <v>94.5</v>
      </c>
      <c r="L2855" s="221"/>
      <c r="M2855" s="221">
        <v>1</v>
      </c>
      <c r="N2855" s="221" t="s">
        <v>2670</v>
      </c>
      <c r="O2855" s="221" t="s">
        <v>3955</v>
      </c>
      <c r="P2855" s="221">
        <f>I3579</f>
        <v>68.8</v>
      </c>
      <c r="Q2855" s="221" t="s">
        <v>2670</v>
      </c>
      <c r="R2855" s="221">
        <f>(M2855*P2855)</f>
        <v>68.8</v>
      </c>
    </row>
    <row r="2856" spans="1:20" ht="44.25" customHeight="1">
      <c r="A2856" s="134"/>
      <c r="E2856" s="221"/>
      <c r="F2856" s="221">
        <v>45</v>
      </c>
      <c r="G2856" s="221" t="s">
        <v>835</v>
      </c>
      <c r="H2856" s="278" t="s">
        <v>4767</v>
      </c>
      <c r="I2856" s="222">
        <f>I2843</f>
        <v>15.5</v>
      </c>
      <c r="J2856" s="221" t="s">
        <v>3347</v>
      </c>
      <c r="K2856" s="221">
        <f t="shared" si="91"/>
        <v>697.5</v>
      </c>
      <c r="L2856" s="221"/>
      <c r="M2856" s="221">
        <v>6</v>
      </c>
      <c r="N2856" s="221" t="s">
        <v>1452</v>
      </c>
      <c r="O2856" s="220" t="s">
        <v>4840</v>
      </c>
      <c r="P2856" s="303">
        <v>63.1</v>
      </c>
      <c r="Q2856" s="221" t="s">
        <v>1414</v>
      </c>
      <c r="R2856" s="221">
        <f t="shared" si="92"/>
        <v>378.6</v>
      </c>
    </row>
    <row r="2857" spans="1:20" ht="24.95" customHeight="1">
      <c r="A2857" s="134"/>
      <c r="E2857" s="221"/>
      <c r="F2857" s="221" t="s">
        <v>663</v>
      </c>
      <c r="G2857" s="221"/>
      <c r="H2857" s="221" t="s">
        <v>924</v>
      </c>
      <c r="I2857" s="221"/>
      <c r="J2857" s="221" t="s">
        <v>663</v>
      </c>
      <c r="K2857" s="221">
        <f>K2873</f>
        <v>10421</v>
      </c>
      <c r="L2857" s="221"/>
      <c r="M2857" s="225">
        <v>0.16666666666666666</v>
      </c>
      <c r="N2857" s="221" t="s">
        <v>3349</v>
      </c>
      <c r="O2857" s="221" t="s">
        <v>390</v>
      </c>
      <c r="P2857" s="221">
        <f>I2853</f>
        <v>298</v>
      </c>
      <c r="Q2857" s="221" t="s">
        <v>3349</v>
      </c>
      <c r="R2857" s="221">
        <f t="shared" si="92"/>
        <v>49.67</v>
      </c>
    </row>
    <row r="2858" spans="1:20" ht="54" customHeight="1">
      <c r="A2858" s="134"/>
      <c r="E2858" s="221"/>
      <c r="F2858" s="221" t="s">
        <v>663</v>
      </c>
      <c r="G2858" s="221"/>
      <c r="H2858" s="221" t="s">
        <v>2296</v>
      </c>
      <c r="I2858" s="221"/>
      <c r="J2858" s="221" t="s">
        <v>663</v>
      </c>
      <c r="K2858" s="221">
        <v>44.7</v>
      </c>
      <c r="L2858" s="221"/>
      <c r="M2858" s="221">
        <v>45</v>
      </c>
      <c r="N2858" s="221" t="s">
        <v>3500</v>
      </c>
      <c r="O2858" s="142" t="s">
        <v>2672</v>
      </c>
      <c r="P2858" s="221">
        <f>P2846</f>
        <v>15.5</v>
      </c>
      <c r="Q2858" s="221" t="s">
        <v>2308</v>
      </c>
      <c r="R2858" s="221">
        <f t="shared" si="92"/>
        <v>697.5</v>
      </c>
    </row>
    <row r="2859" spans="1:20" ht="24.95" customHeight="1">
      <c r="A2859" s="134"/>
      <c r="E2859" s="221"/>
      <c r="F2859" s="221"/>
      <c r="G2859" s="221"/>
      <c r="H2859" s="226" t="s">
        <v>3350</v>
      </c>
      <c r="I2859" s="221"/>
      <c r="J2859" s="221"/>
      <c r="K2859" s="227">
        <f>SUM(K2843:K2858)</f>
        <v>14991.85</v>
      </c>
      <c r="L2859" s="221">
        <f>1340*10</f>
        <v>13400</v>
      </c>
      <c r="M2859" s="221">
        <v>6</v>
      </c>
      <c r="N2859" s="221" t="s">
        <v>3351</v>
      </c>
      <c r="O2859" s="221" t="s">
        <v>924</v>
      </c>
      <c r="P2859" s="221">
        <f>R2877</f>
        <v>1098.17</v>
      </c>
      <c r="Q2859" s="221" t="s">
        <v>3351</v>
      </c>
      <c r="R2859" s="221">
        <f t="shared" si="92"/>
        <v>6589.02</v>
      </c>
    </row>
    <row r="2860" spans="1:20" ht="24.95" customHeight="1">
      <c r="A2860" s="134"/>
      <c r="E2860" s="221"/>
      <c r="F2860" s="221"/>
      <c r="G2860" s="221"/>
      <c r="H2860" s="228" t="s">
        <v>3352</v>
      </c>
      <c r="I2860" s="221"/>
      <c r="J2860" s="221"/>
      <c r="K2860" s="229">
        <f>K2859/10</f>
        <v>1499.19</v>
      </c>
      <c r="L2860" s="221">
        <f>L2859-K2859</f>
        <v>-1591.85</v>
      </c>
      <c r="M2860" s="221"/>
      <c r="N2860" s="221" t="s">
        <v>69</v>
      </c>
      <c r="O2860" s="221" t="s">
        <v>3353</v>
      </c>
      <c r="P2860" s="221"/>
      <c r="Q2860" s="221"/>
      <c r="R2860" s="221">
        <v>39.94</v>
      </c>
    </row>
    <row r="2861" spans="1:20">
      <c r="A2861" s="134"/>
      <c r="E2861" s="221"/>
      <c r="F2861" s="221"/>
      <c r="G2861" s="221"/>
      <c r="H2861" s="221"/>
      <c r="I2861" s="221"/>
      <c r="J2861" s="221"/>
      <c r="K2861" s="221"/>
      <c r="L2861" s="221"/>
      <c r="M2861" s="221"/>
      <c r="N2861" s="221"/>
      <c r="P2861" s="221"/>
      <c r="Q2861" s="221"/>
      <c r="R2861" s="221">
        <f>SUM(R2846:R2860)</f>
        <v>10388.23</v>
      </c>
    </row>
    <row r="2862" spans="1:20" ht="24.95" customHeight="1">
      <c r="A2862" s="134"/>
      <c r="E2862" s="221"/>
      <c r="F2862" s="221"/>
      <c r="G2862" s="221"/>
      <c r="H2862" s="229" t="s">
        <v>3354</v>
      </c>
      <c r="I2862" s="221"/>
      <c r="J2862" s="221"/>
      <c r="K2862" s="221"/>
      <c r="L2862" s="221"/>
      <c r="M2862" s="221"/>
      <c r="N2862" s="221"/>
      <c r="O2862" s="226" t="s">
        <v>3355</v>
      </c>
      <c r="P2862" s="221"/>
      <c r="Q2862" s="221"/>
      <c r="R2862" s="227"/>
    </row>
    <row r="2863" spans="1:20">
      <c r="A2863" s="134"/>
      <c r="E2863" s="221"/>
      <c r="F2863" s="221"/>
      <c r="G2863" s="221"/>
      <c r="H2863" s="221"/>
      <c r="I2863" s="221"/>
      <c r="J2863" s="221"/>
      <c r="K2863" s="221"/>
      <c r="L2863" s="221"/>
      <c r="M2863" s="221"/>
      <c r="N2863" s="221"/>
      <c r="O2863" s="228" t="s">
        <v>3352</v>
      </c>
      <c r="P2863" s="221"/>
      <c r="Q2863" s="221"/>
      <c r="R2863" s="229">
        <f>R2861/6</f>
        <v>1731.37</v>
      </c>
      <c r="S2863" s="87">
        <f>1377*6</f>
        <v>8262</v>
      </c>
      <c r="T2863" s="87">
        <f>S2863-R2862</f>
        <v>8262</v>
      </c>
    </row>
    <row r="2864" spans="1:20" ht="24.95" customHeight="1">
      <c r="A2864" s="134"/>
      <c r="E2864" s="221"/>
      <c r="F2864" s="221"/>
      <c r="G2864" s="221"/>
      <c r="H2864" s="229" t="s">
        <v>3430</v>
      </c>
      <c r="I2864" s="221"/>
      <c r="J2864" s="221"/>
      <c r="K2864" s="221"/>
      <c r="L2864" s="221"/>
      <c r="M2864" s="221"/>
      <c r="N2864" s="221"/>
      <c r="O2864" s="221"/>
      <c r="P2864" s="221"/>
      <c r="Q2864" s="221"/>
      <c r="R2864" s="221"/>
      <c r="S2864" s="87">
        <f>S2863-R2861</f>
        <v>-2126.23</v>
      </c>
    </row>
    <row r="2865" spans="1:18" ht="24.95" customHeight="1">
      <c r="A2865" s="134"/>
      <c r="E2865" s="221"/>
      <c r="F2865" s="221"/>
      <c r="G2865" s="221"/>
      <c r="H2865" s="221"/>
      <c r="I2865" s="221"/>
      <c r="J2865" s="221"/>
      <c r="K2865" s="221"/>
      <c r="L2865" s="221"/>
      <c r="M2865" s="221"/>
    </row>
    <row r="2866" spans="1:18" ht="24.95" customHeight="1">
      <c r="A2866" s="134"/>
      <c r="E2866" s="221"/>
      <c r="F2866" s="221">
        <v>1</v>
      </c>
      <c r="G2866" s="221" t="s">
        <v>1414</v>
      </c>
      <c r="H2866" s="221" t="s">
        <v>4770</v>
      </c>
      <c r="I2866" s="260">
        <v>817</v>
      </c>
      <c r="J2866" s="221" t="s">
        <v>1414</v>
      </c>
      <c r="K2866" s="221">
        <f>F2866*I2866</f>
        <v>817</v>
      </c>
      <c r="L2866" s="221"/>
      <c r="M2866" s="221"/>
      <c r="N2866" s="229" t="s">
        <v>3354</v>
      </c>
      <c r="O2866" s="221"/>
      <c r="P2866" s="221"/>
      <c r="Q2866" s="221"/>
    </row>
    <row r="2867" spans="1:18" ht="24.95" customHeight="1">
      <c r="A2867" s="134"/>
      <c r="E2867" s="221"/>
      <c r="F2867" s="221">
        <v>2</v>
      </c>
      <c r="G2867" s="221" t="s">
        <v>1414</v>
      </c>
      <c r="H2867" s="221" t="s">
        <v>5011</v>
      </c>
      <c r="I2867" s="260">
        <v>712</v>
      </c>
      <c r="J2867" s="221" t="s">
        <v>1414</v>
      </c>
      <c r="K2867" s="221">
        <f t="shared" ref="K2867:K2872" si="93">F2867*I2867</f>
        <v>1424</v>
      </c>
      <c r="L2867" s="221"/>
      <c r="M2867" s="221"/>
      <c r="N2867" s="221"/>
      <c r="O2867" s="221"/>
      <c r="P2867" s="221"/>
      <c r="Q2867" s="221"/>
    </row>
    <row r="2868" spans="1:18" ht="24.95" customHeight="1">
      <c r="A2868" s="134"/>
      <c r="E2868" s="221"/>
      <c r="F2868" s="221">
        <v>3</v>
      </c>
      <c r="G2868" s="221" t="s">
        <v>1414</v>
      </c>
      <c r="H2868" s="221" t="s">
        <v>3358</v>
      </c>
      <c r="I2868" s="260">
        <v>708</v>
      </c>
      <c r="J2868" s="221" t="s">
        <v>1414</v>
      </c>
      <c r="K2868" s="221">
        <f t="shared" si="93"/>
        <v>2124</v>
      </c>
      <c r="L2868" s="221"/>
      <c r="M2868" s="221"/>
      <c r="N2868" s="229" t="s">
        <v>3430</v>
      </c>
      <c r="O2868" s="221"/>
      <c r="P2868" s="221"/>
      <c r="Q2868" s="221"/>
    </row>
    <row r="2869" spans="1:18" ht="24.95" customHeight="1">
      <c r="A2869" s="134"/>
      <c r="E2869" s="221"/>
      <c r="F2869" s="221">
        <v>4</v>
      </c>
      <c r="G2869" s="221" t="s">
        <v>1414</v>
      </c>
      <c r="H2869" s="221" t="str">
        <f>Data!H2296</f>
        <v>Electrical HELPERp-15 it-100</v>
      </c>
      <c r="I2869" s="260">
        <v>556</v>
      </c>
      <c r="J2869" s="221" t="s">
        <v>1414</v>
      </c>
      <c r="K2869" s="221">
        <f t="shared" si="93"/>
        <v>2224</v>
      </c>
      <c r="L2869" s="221"/>
      <c r="M2869" s="221"/>
      <c r="N2869" s="221"/>
      <c r="O2869" s="221"/>
      <c r="P2869" s="221"/>
      <c r="Q2869" s="221"/>
    </row>
    <row r="2870" spans="1:18" ht="24.95" customHeight="1">
      <c r="A2870" s="134"/>
      <c r="E2870" s="221"/>
      <c r="F2870" s="221"/>
      <c r="G2870" s="221"/>
      <c r="H2870" s="229" t="s">
        <v>3134</v>
      </c>
      <c r="I2870" s="221"/>
      <c r="J2870" s="221"/>
      <c r="K2870" s="221"/>
      <c r="M2870" s="221">
        <v>1</v>
      </c>
      <c r="N2870" s="221" t="s">
        <v>1414</v>
      </c>
      <c r="O2870" s="221" t="s">
        <v>3356</v>
      </c>
      <c r="P2870" s="221">
        <f>I2866</f>
        <v>817</v>
      </c>
      <c r="Q2870" s="221" t="s">
        <v>1414</v>
      </c>
      <c r="R2870" s="221">
        <f>M2870*P2870</f>
        <v>817</v>
      </c>
    </row>
    <row r="2871" spans="1:18" ht="24.95" customHeight="1">
      <c r="A2871" s="134"/>
      <c r="E2871" s="221"/>
      <c r="F2871" s="221">
        <v>2</v>
      </c>
      <c r="G2871" s="221" t="s">
        <v>1414</v>
      </c>
      <c r="H2871" s="221" t="s">
        <v>2876</v>
      </c>
      <c r="I2871" s="260">
        <v>804</v>
      </c>
      <c r="J2871" s="221" t="s">
        <v>1414</v>
      </c>
      <c r="K2871" s="221">
        <f t="shared" si="93"/>
        <v>1608</v>
      </c>
      <c r="M2871" s="221">
        <v>2</v>
      </c>
      <c r="N2871" s="221" t="s">
        <v>1414</v>
      </c>
      <c r="O2871" s="221" t="s">
        <v>3357</v>
      </c>
      <c r="P2871" s="221">
        <f>I2867</f>
        <v>712</v>
      </c>
      <c r="Q2871" s="221" t="s">
        <v>1414</v>
      </c>
      <c r="R2871" s="221">
        <f>M2871*P2871</f>
        <v>1424</v>
      </c>
    </row>
    <row r="2872" spans="1:18" ht="24.95" customHeight="1">
      <c r="A2872" s="134"/>
      <c r="E2872" s="221"/>
      <c r="F2872" s="221">
        <v>4</v>
      </c>
      <c r="G2872" s="221" t="s">
        <v>1414</v>
      </c>
      <c r="H2872" s="221" t="str">
        <f>H2869</f>
        <v>Electrical HELPERp-15 it-100</v>
      </c>
      <c r="I2872" s="260">
        <f>I2869</f>
        <v>556</v>
      </c>
      <c r="J2872" s="221" t="s">
        <v>1414</v>
      </c>
      <c r="K2872" s="221">
        <f t="shared" si="93"/>
        <v>2224</v>
      </c>
      <c r="M2872" s="221">
        <v>3</v>
      </c>
      <c r="N2872" s="221" t="s">
        <v>1414</v>
      </c>
      <c r="O2872" s="221" t="s">
        <v>3358</v>
      </c>
      <c r="P2872" s="221">
        <f>I2868</f>
        <v>708</v>
      </c>
      <c r="Q2872" s="221" t="s">
        <v>1414</v>
      </c>
      <c r="R2872" s="221">
        <f>M2872*P2872</f>
        <v>2124</v>
      </c>
    </row>
    <row r="2873" spans="1:18" ht="24.95" customHeight="1">
      <c r="A2873" s="134"/>
      <c r="E2873" s="221"/>
      <c r="F2873" s="221"/>
      <c r="G2873" s="221"/>
      <c r="H2873" s="221"/>
      <c r="I2873" s="221"/>
      <c r="J2873" s="221"/>
      <c r="K2873" s="236">
        <f>SUM(K2866:K2872)</f>
        <v>10421</v>
      </c>
      <c r="M2873" s="221">
        <v>4</v>
      </c>
      <c r="N2873" s="221" t="s">
        <v>1414</v>
      </c>
      <c r="O2873" s="221" t="s">
        <v>2356</v>
      </c>
      <c r="P2873" s="221">
        <f>I2869</f>
        <v>556</v>
      </c>
      <c r="Q2873" s="221" t="s">
        <v>1414</v>
      </c>
      <c r="R2873" s="221">
        <f>M2873*P2873</f>
        <v>2224</v>
      </c>
    </row>
    <row r="2874" spans="1:18" ht="16.5" customHeight="1">
      <c r="A2874" s="134"/>
      <c r="E2874" s="221"/>
      <c r="F2874" s="221"/>
      <c r="G2874" s="221"/>
      <c r="H2874" s="221"/>
      <c r="I2874" s="221"/>
      <c r="J2874" s="221"/>
      <c r="K2874" s="227"/>
      <c r="M2874" s="221"/>
      <c r="N2874" s="221"/>
      <c r="O2874" s="221"/>
      <c r="P2874" s="221"/>
      <c r="Q2874" s="221"/>
      <c r="R2874" s="221"/>
    </row>
    <row r="2875" spans="1:18" ht="78.75" customHeight="1">
      <c r="A2875" s="134"/>
      <c r="E2875" s="221"/>
      <c r="F2875" s="221"/>
      <c r="G2875" s="221"/>
      <c r="H2875" s="93" t="s">
        <v>3135</v>
      </c>
      <c r="I2875" s="221"/>
      <c r="J2875" s="221"/>
      <c r="K2875" s="221"/>
      <c r="L2875" s="221"/>
      <c r="M2875" s="221"/>
      <c r="O2875" s="231" t="s">
        <v>2877</v>
      </c>
      <c r="R2875" s="232">
        <f>SUM(R2870:R2873)</f>
        <v>6589</v>
      </c>
    </row>
    <row r="2876" spans="1:18" ht="39.950000000000003" customHeight="1">
      <c r="A2876" s="134"/>
      <c r="E2876" s="221"/>
      <c r="F2876" s="221"/>
      <c r="G2876" s="221"/>
      <c r="H2876" s="93" t="s">
        <v>3441</v>
      </c>
      <c r="I2876" s="221"/>
      <c r="J2876" s="221"/>
      <c r="K2876" s="221"/>
      <c r="L2876" s="221"/>
      <c r="M2876" s="221"/>
    </row>
    <row r="2877" spans="1:18">
      <c r="A2877" s="134"/>
      <c r="E2877" s="221"/>
      <c r="F2877" s="221"/>
      <c r="G2877" s="221"/>
      <c r="H2877" s="221"/>
      <c r="I2877" s="221"/>
      <c r="J2877" s="221"/>
      <c r="K2877" s="221"/>
      <c r="L2877" s="221"/>
      <c r="M2877" s="221"/>
      <c r="Q2877" s="233" t="s">
        <v>3442</v>
      </c>
      <c r="R2877" s="94">
        <f>R2875/6</f>
        <v>1098.17</v>
      </c>
    </row>
    <row r="2878" spans="1:18" ht="215.25" customHeight="1">
      <c r="A2878" s="134"/>
      <c r="E2878" s="221"/>
      <c r="F2878" s="221"/>
      <c r="G2878" s="221"/>
      <c r="H2878" s="220" t="s">
        <v>2515</v>
      </c>
      <c r="I2878" s="221"/>
      <c r="J2878" s="221"/>
      <c r="K2878" s="221"/>
      <c r="L2878" s="221"/>
      <c r="M2878" s="221"/>
      <c r="O2878" s="220" t="s">
        <v>2478</v>
      </c>
    </row>
    <row r="2879" spans="1:18" ht="42.75" customHeight="1">
      <c r="A2879" s="134"/>
      <c r="E2879" s="221"/>
      <c r="F2879" s="221"/>
      <c r="G2879" s="221"/>
      <c r="H2879" s="221" t="s">
        <v>2479</v>
      </c>
      <c r="I2879" s="221"/>
      <c r="J2879" s="221"/>
      <c r="K2879" s="221">
        <f>K2859-K2858</f>
        <v>14947.15</v>
      </c>
      <c r="L2879" s="221"/>
      <c r="M2879" s="221">
        <v>90</v>
      </c>
      <c r="N2879" s="221" t="s">
        <v>835</v>
      </c>
      <c r="O2879" s="278" t="s">
        <v>2572</v>
      </c>
      <c r="P2879" s="221">
        <f>P2846</f>
        <v>15.5</v>
      </c>
      <c r="Q2879" s="221" t="s">
        <v>835</v>
      </c>
      <c r="R2879" s="221">
        <f>M2879*P2879</f>
        <v>1395</v>
      </c>
    </row>
    <row r="2880" spans="1:18" ht="30" customHeight="1">
      <c r="A2880" s="134"/>
      <c r="E2880" s="221"/>
      <c r="F2880" s="221"/>
      <c r="G2880" s="221"/>
      <c r="H2880" s="221" t="s">
        <v>2480</v>
      </c>
      <c r="I2880" s="221"/>
      <c r="J2880" s="221"/>
      <c r="K2880" s="221">
        <f>K2851</f>
        <v>136</v>
      </c>
      <c r="L2880" s="221"/>
      <c r="M2880" s="221">
        <v>45</v>
      </c>
      <c r="N2880" s="221" t="s">
        <v>835</v>
      </c>
      <c r="O2880" s="220" t="s">
        <v>2389</v>
      </c>
      <c r="P2880" s="221">
        <f t="shared" ref="P2880:P2887" si="94">P2847</f>
        <v>19.100000000000001</v>
      </c>
      <c r="Q2880" s="221" t="s">
        <v>2390</v>
      </c>
      <c r="R2880" s="221">
        <f>M2880*P2880</f>
        <v>859.5</v>
      </c>
    </row>
    <row r="2881" spans="1:20" ht="30" customHeight="1">
      <c r="A2881" s="134"/>
      <c r="E2881" s="221"/>
      <c r="F2881" s="221"/>
      <c r="G2881" s="221"/>
      <c r="H2881" s="260" t="s">
        <v>5012</v>
      </c>
      <c r="I2881" s="260"/>
      <c r="J2881" s="260"/>
      <c r="K2881" s="260">
        <f>16.5*10</f>
        <v>165</v>
      </c>
      <c r="L2881" s="221"/>
      <c r="M2881" s="221">
        <v>75</v>
      </c>
      <c r="N2881" s="221" t="s">
        <v>1414</v>
      </c>
      <c r="O2881" s="221" t="s">
        <v>3434</v>
      </c>
      <c r="P2881" s="221">
        <f t="shared" si="94"/>
        <v>3.45</v>
      </c>
      <c r="Q2881" s="221" t="s">
        <v>3435</v>
      </c>
      <c r="R2881" s="221">
        <f>M2881*P2881/12</f>
        <v>21.56</v>
      </c>
    </row>
    <row r="2882" spans="1:20" ht="30" customHeight="1">
      <c r="A2882" s="134"/>
      <c r="E2882" s="221"/>
      <c r="F2882" s="221"/>
      <c r="G2882" s="221"/>
      <c r="H2882" s="221" t="s">
        <v>2296</v>
      </c>
      <c r="I2882" s="221"/>
      <c r="J2882" s="221"/>
      <c r="K2882" s="221">
        <v>57.2</v>
      </c>
      <c r="L2882" s="221"/>
      <c r="M2882" s="221">
        <v>12</v>
      </c>
      <c r="N2882" s="221" t="s">
        <v>1414</v>
      </c>
      <c r="O2882" s="221" t="s">
        <v>2391</v>
      </c>
      <c r="P2882" s="221">
        <f t="shared" si="94"/>
        <v>3</v>
      </c>
      <c r="Q2882" s="221" t="s">
        <v>1414</v>
      </c>
      <c r="R2882" s="221">
        <f>M2882*P2882</f>
        <v>36</v>
      </c>
    </row>
    <row r="2883" spans="1:20" ht="39.950000000000003" customHeight="1">
      <c r="A2883" s="134"/>
      <c r="E2883" s="221"/>
      <c r="F2883" s="221"/>
      <c r="G2883" s="221"/>
      <c r="H2883" s="226" t="s">
        <v>2458</v>
      </c>
      <c r="I2883" s="221"/>
      <c r="J2883" s="221"/>
      <c r="K2883" s="227">
        <f>K2879-K2880+K2881+K2882</f>
        <v>15033.35</v>
      </c>
      <c r="L2883" s="221">
        <f>1344*10</f>
        <v>13440</v>
      </c>
      <c r="M2883" s="221">
        <v>6</v>
      </c>
      <c r="N2883" s="221" t="s">
        <v>1414</v>
      </c>
      <c r="O2883" s="221" t="s">
        <v>3432</v>
      </c>
      <c r="P2883" s="221">
        <f t="shared" si="94"/>
        <v>1.28</v>
      </c>
      <c r="Q2883" s="221" t="s">
        <v>1414</v>
      </c>
      <c r="R2883" s="221">
        <f>M2883*P2883</f>
        <v>7.68</v>
      </c>
    </row>
    <row r="2884" spans="1:20" ht="39.950000000000003" customHeight="1">
      <c r="A2884" s="134"/>
      <c r="E2884" s="221"/>
      <c r="F2884" s="221"/>
      <c r="G2884" s="221"/>
      <c r="H2884" s="228" t="s">
        <v>2459</v>
      </c>
      <c r="I2884" s="221"/>
      <c r="J2884" s="221"/>
      <c r="K2884" s="229">
        <f>K2883/10</f>
        <v>1503.34</v>
      </c>
      <c r="L2884" s="221">
        <f>L2883-K2883</f>
        <v>-1593.35</v>
      </c>
      <c r="M2884" s="221">
        <v>150</v>
      </c>
      <c r="N2884" s="221" t="s">
        <v>1452</v>
      </c>
      <c r="O2884" s="221" t="str">
        <f>O2851</f>
        <v>Teakwood plugs 1.5"x1"x2"</v>
      </c>
      <c r="P2884" s="221">
        <f t="shared" si="94"/>
        <v>287</v>
      </c>
      <c r="Q2884" s="221">
        <v>1000</v>
      </c>
      <c r="R2884" s="221">
        <f>(M2884*P2884)/1000</f>
        <v>43.05</v>
      </c>
    </row>
    <row r="2885" spans="1:20">
      <c r="A2885" s="134"/>
      <c r="E2885" s="221"/>
      <c r="F2885" s="221"/>
      <c r="G2885" s="221"/>
      <c r="H2885" s="221"/>
      <c r="I2885" s="221"/>
      <c r="J2885" s="221"/>
      <c r="K2885" s="221"/>
      <c r="L2885" s="221"/>
      <c r="M2885" s="224">
        <v>7</v>
      </c>
      <c r="N2885" s="221" t="s">
        <v>1452</v>
      </c>
      <c r="O2885" s="221" t="s">
        <v>2665</v>
      </c>
      <c r="P2885" s="221">
        <f t="shared" si="94"/>
        <v>3.43</v>
      </c>
      <c r="Q2885" s="221" t="s">
        <v>1414</v>
      </c>
      <c r="R2885" s="221">
        <f>M2885*P2885</f>
        <v>24.01</v>
      </c>
    </row>
    <row r="2886" spans="1:20" ht="24.95" customHeight="1">
      <c r="A2886" s="134"/>
      <c r="E2886" s="221"/>
      <c r="F2886" s="221"/>
      <c r="G2886" s="221"/>
      <c r="H2886" s="229" t="s">
        <v>3052</v>
      </c>
      <c r="I2886" s="221"/>
      <c r="J2886" s="221"/>
      <c r="K2886" s="221"/>
      <c r="L2886" s="221"/>
      <c r="M2886" s="221">
        <v>6</v>
      </c>
      <c r="N2886" s="221" t="s">
        <v>1414</v>
      </c>
      <c r="O2886" s="221" t="s">
        <v>2662</v>
      </c>
      <c r="P2886" s="221">
        <f t="shared" si="94"/>
        <v>13.6</v>
      </c>
      <c r="Q2886" s="221" t="s">
        <v>1418</v>
      </c>
      <c r="R2886" s="221">
        <f>M2886*P2886</f>
        <v>81.599999999999994</v>
      </c>
    </row>
    <row r="2887" spans="1:20" ht="56.25" customHeight="1">
      <c r="A2887" s="134"/>
      <c r="E2887" s="221"/>
      <c r="F2887" s="221"/>
      <c r="G2887" s="221"/>
      <c r="H2887" s="219" t="s">
        <v>3053</v>
      </c>
      <c r="I2887" s="221"/>
      <c r="J2887" s="221"/>
      <c r="K2887" s="221"/>
      <c r="L2887" s="221"/>
      <c r="M2887" s="221">
        <v>6</v>
      </c>
      <c r="N2887" s="221" t="s">
        <v>1414</v>
      </c>
      <c r="O2887" s="221" t="str">
        <f>O2854</f>
        <v>5 amps flush type switch p-118, Part-C,1 a ( 192.6/12=16.05)</v>
      </c>
      <c r="P2887" s="221">
        <f t="shared" si="94"/>
        <v>16.05</v>
      </c>
      <c r="Q2887" s="221" t="s">
        <v>3435</v>
      </c>
      <c r="R2887" s="221">
        <f>(M2887*P2887)</f>
        <v>96.3</v>
      </c>
    </row>
    <row r="2888" spans="1:20">
      <c r="A2888" s="134"/>
      <c r="E2888" s="221"/>
      <c r="F2888" s="221"/>
      <c r="G2888" s="221"/>
      <c r="H2888" s="221"/>
      <c r="I2888" s="221"/>
      <c r="J2888" s="221"/>
      <c r="K2888" s="221"/>
      <c r="L2888" s="221"/>
      <c r="M2888" s="221">
        <v>1</v>
      </c>
      <c r="N2888" s="221" t="s">
        <v>2670</v>
      </c>
      <c r="O2888" s="221" t="str">
        <f>O2855</f>
        <v>Brass screws  ( 40 mm x 6 no) P-85 Part-L c</v>
      </c>
      <c r="P2888" s="221">
        <f>P2855</f>
        <v>68.8</v>
      </c>
      <c r="Q2888" s="221" t="s">
        <v>2670</v>
      </c>
      <c r="R2888" s="221">
        <f>(M2888*P2888)</f>
        <v>68.8</v>
      </c>
    </row>
    <row r="2889" spans="1:20" ht="57.75" customHeight="1">
      <c r="A2889" s="134"/>
      <c r="E2889" s="221"/>
      <c r="F2889" s="221"/>
      <c r="G2889" s="221"/>
      <c r="H2889" s="220" t="s">
        <v>3516</v>
      </c>
      <c r="I2889" s="221"/>
      <c r="J2889" s="221"/>
      <c r="K2889" s="221"/>
      <c r="L2889" s="221"/>
      <c r="M2889" s="221">
        <v>6</v>
      </c>
      <c r="N2889" s="221" t="s">
        <v>1452</v>
      </c>
      <c r="O2889" s="220" t="s">
        <v>4839</v>
      </c>
      <c r="P2889" s="503">
        <v>52.4</v>
      </c>
      <c r="Q2889" s="221" t="s">
        <v>1739</v>
      </c>
      <c r="R2889" s="221">
        <f>M2889*P2889</f>
        <v>314.39999999999998</v>
      </c>
    </row>
    <row r="2890" spans="1:20" ht="30" customHeight="1">
      <c r="A2890" s="134"/>
      <c r="E2890" s="221"/>
      <c r="F2890" s="221"/>
      <c r="G2890" s="221"/>
      <c r="H2890" s="221" t="s">
        <v>3440</v>
      </c>
      <c r="I2890" s="221"/>
      <c r="J2890" s="221"/>
      <c r="K2890" s="221">
        <f>K2879</f>
        <v>14947.15</v>
      </c>
      <c r="L2890" s="221"/>
      <c r="M2890" s="225">
        <v>0.16666666666666666</v>
      </c>
      <c r="N2890" s="221" t="s">
        <v>3349</v>
      </c>
      <c r="O2890" s="221" t="s">
        <v>390</v>
      </c>
      <c r="P2890" s="221">
        <f>P2857</f>
        <v>298</v>
      </c>
      <c r="Q2890" s="221" t="s">
        <v>3349</v>
      </c>
      <c r="R2890" s="221">
        <f>M2890*P2890</f>
        <v>49.67</v>
      </c>
    </row>
    <row r="2891" spans="1:20" ht="30" customHeight="1">
      <c r="A2891" s="134"/>
      <c r="E2891" s="221"/>
      <c r="F2891" s="221"/>
      <c r="G2891" s="221"/>
      <c r="H2891" s="221" t="s">
        <v>3027</v>
      </c>
      <c r="I2891" s="221"/>
      <c r="J2891" s="221"/>
      <c r="K2891" s="221">
        <f>K2880</f>
        <v>136</v>
      </c>
      <c r="L2891" s="221"/>
      <c r="M2891" s="221"/>
      <c r="N2891" s="221"/>
      <c r="O2891" s="142"/>
      <c r="P2891" s="221"/>
      <c r="Q2891" s="221"/>
      <c r="R2891" s="221"/>
    </row>
    <row r="2892" spans="1:20" ht="30" customHeight="1">
      <c r="A2892" s="134"/>
      <c r="E2892" s="221"/>
      <c r="F2892" s="221"/>
      <c r="G2892" s="221"/>
      <c r="H2892" s="221" t="s">
        <v>3028</v>
      </c>
      <c r="I2892" s="221"/>
      <c r="J2892" s="221"/>
      <c r="K2892" s="221">
        <f>K2852</f>
        <v>34.299999999999997</v>
      </c>
      <c r="L2892" s="221"/>
      <c r="M2892" s="221">
        <v>6</v>
      </c>
      <c r="N2892" s="221" t="s">
        <v>3351</v>
      </c>
      <c r="O2892" s="221" t="s">
        <v>924</v>
      </c>
      <c r="P2892" s="221">
        <f>R2877</f>
        <v>1098.17</v>
      </c>
      <c r="Q2892" s="221" t="s">
        <v>3351</v>
      </c>
      <c r="R2892" s="221">
        <f>M2892*P2892</f>
        <v>6589.02</v>
      </c>
    </row>
    <row r="2893" spans="1:20" ht="30" customHeight="1">
      <c r="A2893" s="134"/>
      <c r="E2893" s="221"/>
      <c r="F2893" s="221"/>
      <c r="G2893" s="221"/>
      <c r="H2893" s="221" t="s">
        <v>3029</v>
      </c>
      <c r="I2893" s="221"/>
      <c r="J2893" s="221"/>
      <c r="K2893" s="221">
        <f>K2850</f>
        <v>160.5</v>
      </c>
      <c r="L2893" s="221"/>
      <c r="M2893" s="221"/>
      <c r="N2893" s="221" t="s">
        <v>69</v>
      </c>
      <c r="O2893" s="221" t="s">
        <v>3353</v>
      </c>
      <c r="P2893" s="221"/>
      <c r="Q2893" s="221"/>
      <c r="R2893" s="221">
        <v>17.45</v>
      </c>
    </row>
    <row r="2894" spans="1:20" ht="30" customHeight="1">
      <c r="A2894" s="134"/>
      <c r="E2894" s="221"/>
      <c r="F2894" s="221"/>
      <c r="G2894" s="221"/>
      <c r="H2894" s="221" t="s">
        <v>5013</v>
      </c>
      <c r="I2894" s="221"/>
      <c r="J2894" s="221"/>
      <c r="K2894" s="222">
        <f>10*41.3</f>
        <v>413</v>
      </c>
      <c r="L2894" s="221"/>
      <c r="M2894" s="221"/>
      <c r="N2894" s="221"/>
      <c r="P2894" s="221"/>
      <c r="Q2894" s="221"/>
      <c r="R2894" s="221"/>
    </row>
    <row r="2895" spans="1:20" ht="30" customHeight="1">
      <c r="A2895" s="134"/>
      <c r="E2895" s="221"/>
      <c r="F2895" s="221"/>
      <c r="G2895" s="221"/>
      <c r="H2895" s="221" t="s">
        <v>5199</v>
      </c>
      <c r="I2895" s="221"/>
      <c r="J2895" s="221"/>
      <c r="K2895" s="692">
        <f>10*16.5</f>
        <v>165</v>
      </c>
      <c r="L2895" s="221"/>
      <c r="M2895" s="221"/>
      <c r="N2895" s="221"/>
      <c r="O2895" s="226" t="s">
        <v>3355</v>
      </c>
      <c r="P2895" s="221"/>
      <c r="Q2895" s="221"/>
      <c r="R2895" s="227">
        <f>SUM(R2879:R2894)</f>
        <v>9604.0400000000009</v>
      </c>
      <c r="T2895" s="87">
        <f>T2896-R2895</f>
        <v>-2462.2399999999998</v>
      </c>
    </row>
    <row r="2896" spans="1:20" ht="30" customHeight="1">
      <c r="A2896" s="134"/>
      <c r="E2896" s="221"/>
      <c r="F2896" s="221"/>
      <c r="G2896" s="221"/>
      <c r="H2896" s="221" t="s">
        <v>5014</v>
      </c>
      <c r="I2896" s="221"/>
      <c r="J2896" s="221"/>
      <c r="K2896" s="222">
        <f>16.5*10</f>
        <v>165</v>
      </c>
      <c r="L2896" s="221"/>
      <c r="M2896" s="221"/>
      <c r="N2896" s="221"/>
      <c r="O2896" s="228" t="s">
        <v>3352</v>
      </c>
      <c r="P2896" s="221"/>
      <c r="Q2896" s="221"/>
      <c r="R2896" s="229">
        <f>R2895/6</f>
        <v>1600.67</v>
      </c>
      <c r="S2896" s="87" t="s">
        <v>4422</v>
      </c>
      <c r="T2896" s="87">
        <f>1190.3*6</f>
        <v>7141.8</v>
      </c>
    </row>
    <row r="2897" spans="1:19" ht="30" customHeight="1">
      <c r="A2897" s="134"/>
      <c r="E2897" s="221"/>
      <c r="F2897" s="221"/>
      <c r="G2897" s="221"/>
      <c r="H2897" s="221" t="s">
        <v>2296</v>
      </c>
      <c r="I2897" s="221"/>
      <c r="J2897" s="221"/>
      <c r="K2897" s="221">
        <v>26.3</v>
      </c>
      <c r="L2897" s="221"/>
      <c r="M2897" s="221"/>
      <c r="S2897" s="87">
        <f>1152*6</f>
        <v>6912</v>
      </c>
    </row>
    <row r="2898" spans="1:19" ht="25.5" customHeight="1">
      <c r="A2898" s="134"/>
      <c r="E2898" s="221"/>
      <c r="F2898" s="221"/>
      <c r="G2898" s="221"/>
      <c r="H2898" s="226" t="s">
        <v>2458</v>
      </c>
      <c r="I2898" s="221"/>
      <c r="J2898" s="221"/>
      <c r="K2898" s="227">
        <f>(K2890-K2891-K2892-K2893)+(K2894+K2895+K2896+K2897)</f>
        <v>15385.65</v>
      </c>
      <c r="L2898" s="221">
        <f>1372*10</f>
        <v>13720</v>
      </c>
      <c r="M2898" s="221"/>
      <c r="S2898" s="87">
        <f>S2897-R2895</f>
        <v>-2692.04</v>
      </c>
    </row>
    <row r="2899" spans="1:19" ht="27.75" customHeight="1">
      <c r="A2899" s="134"/>
      <c r="E2899" s="221"/>
      <c r="F2899" s="221"/>
      <c r="G2899" s="221"/>
      <c r="H2899" s="228" t="s">
        <v>3204</v>
      </c>
      <c r="I2899" s="221"/>
      <c r="J2899" s="221"/>
      <c r="K2899" s="229">
        <f>K2898/10</f>
        <v>1538.57</v>
      </c>
      <c r="L2899" s="221">
        <f>L2898-K2898</f>
        <v>-1665.65</v>
      </c>
      <c r="M2899" s="221"/>
    </row>
    <row r="2900" spans="1:19">
      <c r="A2900" s="134"/>
      <c r="E2900" s="221"/>
      <c r="F2900" s="221"/>
      <c r="G2900" s="221"/>
      <c r="H2900" s="221"/>
      <c r="I2900" s="221"/>
      <c r="J2900" s="221"/>
      <c r="K2900" s="221"/>
      <c r="L2900" s="221"/>
      <c r="M2900" s="221"/>
    </row>
    <row r="2901" spans="1:19">
      <c r="A2901" s="134"/>
      <c r="E2901" s="221"/>
      <c r="F2901" s="221"/>
      <c r="G2901" s="221"/>
      <c r="H2901" s="229" t="s">
        <v>3205</v>
      </c>
      <c r="I2901" s="221"/>
      <c r="J2901" s="221"/>
      <c r="K2901" s="221"/>
      <c r="L2901" s="221"/>
      <c r="M2901" s="221"/>
    </row>
    <row r="2902" spans="1:19">
      <c r="A2902" s="134"/>
      <c r="E2902" s="221"/>
      <c r="F2902" s="221"/>
      <c r="G2902" s="221"/>
      <c r="H2902" s="229" t="s">
        <v>3206</v>
      </c>
      <c r="I2902" s="221"/>
      <c r="J2902" s="221"/>
      <c r="K2902" s="221"/>
      <c r="L2902" s="221"/>
      <c r="M2902" s="221"/>
    </row>
    <row r="2903" spans="1:19" ht="141.75">
      <c r="A2903" s="134"/>
      <c r="E2903" s="221"/>
      <c r="F2903" s="221"/>
      <c r="G2903" s="221"/>
      <c r="H2903" s="220" t="s">
        <v>2815</v>
      </c>
      <c r="I2903" s="221"/>
      <c r="J2903" s="221"/>
      <c r="K2903" s="221"/>
      <c r="L2903" s="221"/>
      <c r="M2903" s="221"/>
    </row>
    <row r="2904" spans="1:19">
      <c r="A2904" s="134"/>
      <c r="E2904" s="221"/>
      <c r="F2904" s="221"/>
      <c r="G2904" s="221"/>
      <c r="H2904" s="221"/>
      <c r="I2904" s="221"/>
      <c r="J2904" s="221"/>
      <c r="K2904" s="221"/>
      <c r="L2904" s="221"/>
      <c r="M2904" s="221"/>
    </row>
    <row r="2905" spans="1:19" ht="31.5">
      <c r="A2905" s="134"/>
      <c r="E2905" s="221"/>
      <c r="F2905" s="221">
        <v>90</v>
      </c>
      <c r="G2905" s="221" t="s">
        <v>835</v>
      </c>
      <c r="H2905" s="142" t="str">
        <f t="shared" ref="H2905:I2908" si="95">H2843</f>
        <v>1.5 sqmm copper PVC insulated unsheathed single core cable (P-125 it-2/b)</v>
      </c>
      <c r="I2905" s="221">
        <f t="shared" si="95"/>
        <v>15.5</v>
      </c>
      <c r="J2905" s="221" t="s">
        <v>3347</v>
      </c>
      <c r="K2905" s="221">
        <f>F2905*I2905</f>
        <v>1395</v>
      </c>
      <c r="L2905" s="221"/>
      <c r="M2905" s="221"/>
    </row>
    <row r="2906" spans="1:19" ht="31.5">
      <c r="A2906" s="134"/>
      <c r="E2906" s="221"/>
      <c r="F2906" s="221">
        <v>45</v>
      </c>
      <c r="G2906" s="221" t="s">
        <v>835</v>
      </c>
      <c r="H2906" s="220" t="str">
        <f t="shared" si="95"/>
        <v>PVC rigid conduit pipe 19 mm / 20mm heavy duty with ISI mark p-128 part -I IX-1 b</v>
      </c>
      <c r="I2906" s="221">
        <f t="shared" si="95"/>
        <v>19.100000000000001</v>
      </c>
      <c r="J2906" s="221" t="s">
        <v>835</v>
      </c>
      <c r="K2906" s="221">
        <f t="shared" ref="K2906:K2917" si="96">F2906*I2906</f>
        <v>859.5</v>
      </c>
      <c r="L2906" s="221"/>
      <c r="M2906" s="221"/>
    </row>
    <row r="2907" spans="1:19">
      <c r="A2907" s="134"/>
      <c r="E2907" s="221"/>
      <c r="F2907" s="221">
        <v>20</v>
      </c>
      <c r="G2907" s="221" t="s">
        <v>1414</v>
      </c>
      <c r="H2907" s="221" t="str">
        <f t="shared" si="95"/>
        <v>19 mm PVC rigid bends - p-128 part -I IX-2b</v>
      </c>
      <c r="I2907" s="221">
        <f t="shared" si="95"/>
        <v>3</v>
      </c>
      <c r="J2907" s="221" t="s">
        <v>1414</v>
      </c>
      <c r="K2907" s="221">
        <f t="shared" si="96"/>
        <v>60</v>
      </c>
      <c r="L2907" s="221"/>
      <c r="M2907" s="221"/>
    </row>
    <row r="2908" spans="1:19">
      <c r="A2908" s="134"/>
      <c r="E2908" s="221"/>
      <c r="F2908" s="221">
        <v>10</v>
      </c>
      <c r="G2908" s="221" t="s">
        <v>1414</v>
      </c>
      <c r="H2908" s="221" t="str">
        <f t="shared" si="95"/>
        <v>19 mm PVC rigid tees (p-129 4b, 15.30/12=1.14)</v>
      </c>
      <c r="I2908" s="221">
        <f t="shared" si="95"/>
        <v>1.28</v>
      </c>
      <c r="J2908" s="221" t="s">
        <v>1414</v>
      </c>
      <c r="K2908" s="221">
        <f t="shared" si="96"/>
        <v>12.8</v>
      </c>
      <c r="L2908" s="221"/>
      <c r="M2908" s="221"/>
    </row>
    <row r="2909" spans="1:19">
      <c r="A2909" s="134"/>
      <c r="E2909" s="221"/>
      <c r="F2909" s="221">
        <v>10</v>
      </c>
      <c r="G2909" s="221" t="s">
        <v>1414</v>
      </c>
      <c r="H2909" s="221" t="str">
        <f>H2852</f>
        <v>19 mm PVC junction box  ( p-129,6-b( 41.20/12=3.43)</v>
      </c>
      <c r="I2909" s="221">
        <f>I2852</f>
        <v>3.43</v>
      </c>
      <c r="J2909" s="221" t="s">
        <v>1414</v>
      </c>
      <c r="K2909" s="221">
        <f t="shared" si="96"/>
        <v>34.299999999999997</v>
      </c>
      <c r="L2909" s="221"/>
      <c r="M2909" s="221"/>
    </row>
    <row r="2910" spans="1:19">
      <c r="A2910" s="134"/>
      <c r="E2910" s="221"/>
      <c r="F2910" s="221">
        <v>10</v>
      </c>
      <c r="G2910" s="221" t="s">
        <v>1414</v>
      </c>
      <c r="H2910" s="221" t="str">
        <f>H2851</f>
        <v>Ceiling rose p-116 it-27</v>
      </c>
      <c r="I2910" s="221">
        <f>I2851</f>
        <v>13.6</v>
      </c>
      <c r="J2910" s="221" t="s">
        <v>1414</v>
      </c>
      <c r="K2910" s="221">
        <f t="shared" si="96"/>
        <v>136</v>
      </c>
      <c r="L2910" s="221"/>
      <c r="M2910" s="221"/>
    </row>
    <row r="2911" spans="1:19">
      <c r="A2911" s="134"/>
      <c r="E2911" s="221"/>
      <c r="F2911" s="221">
        <v>10</v>
      </c>
      <c r="G2911" s="221" t="s">
        <v>1414</v>
      </c>
      <c r="H2911" s="221" t="str">
        <f>H2850</f>
        <v>5 amps flush type switch p-118, Part-C,1 a ( 192.6/12=16.05)</v>
      </c>
      <c r="I2911" s="221">
        <f>I2850</f>
        <v>16.05</v>
      </c>
      <c r="J2911" s="221" t="s">
        <v>1414</v>
      </c>
      <c r="K2911" s="221">
        <f t="shared" si="96"/>
        <v>160.5</v>
      </c>
      <c r="L2911" s="221"/>
      <c r="M2911" s="221"/>
    </row>
    <row r="2912" spans="1:19">
      <c r="A2912" s="134"/>
      <c r="E2912" s="221"/>
      <c r="F2912" s="221">
        <v>10</v>
      </c>
      <c r="G2912" s="221" t="s">
        <v>1414</v>
      </c>
      <c r="H2912" s="221" t="s">
        <v>5015</v>
      </c>
      <c r="I2912" s="222">
        <v>102.7</v>
      </c>
      <c r="J2912" s="221" t="s">
        <v>1414</v>
      </c>
      <c r="K2912" s="221">
        <f t="shared" si="96"/>
        <v>1027</v>
      </c>
      <c r="L2912" s="221"/>
      <c r="M2912" s="221"/>
    </row>
    <row r="2913" spans="1:13" ht="24" customHeight="1">
      <c r="A2913" s="134"/>
      <c r="E2913" s="221"/>
      <c r="F2913" s="221">
        <v>0.6</v>
      </c>
      <c r="G2913" s="221" t="s">
        <v>2308</v>
      </c>
      <c r="H2913" s="221" t="str">
        <f>H2855</f>
        <v>3 mm thick laminated Hylem sheet p-128 it-7a part-I</v>
      </c>
      <c r="I2913" s="221">
        <f>I2849</f>
        <v>630</v>
      </c>
      <c r="J2913" s="221" t="s">
        <v>2308</v>
      </c>
      <c r="K2913" s="221">
        <f t="shared" si="96"/>
        <v>378</v>
      </c>
      <c r="L2913" s="221"/>
      <c r="M2913" s="221"/>
    </row>
    <row r="2914" spans="1:13">
      <c r="A2914" s="134"/>
      <c r="E2914" s="221"/>
      <c r="F2914" s="221">
        <v>1</v>
      </c>
      <c r="G2914" s="221" t="s">
        <v>1414</v>
      </c>
      <c r="H2914" s="221" t="s">
        <v>2864</v>
      </c>
      <c r="I2914" s="221">
        <f>I2854</f>
        <v>63.1</v>
      </c>
      <c r="J2914" s="221" t="s">
        <v>1414</v>
      </c>
      <c r="K2914" s="221">
        <f t="shared" si="96"/>
        <v>63.1</v>
      </c>
      <c r="L2914" s="221"/>
      <c r="M2914" s="221"/>
    </row>
    <row r="2915" spans="1:13">
      <c r="A2915" s="134"/>
      <c r="E2915" s="221"/>
      <c r="F2915" s="224">
        <v>1.4999999999999999E-2</v>
      </c>
      <c r="G2915" s="221" t="s">
        <v>2308</v>
      </c>
      <c r="H2915" s="221" t="str">
        <f>H2913</f>
        <v>3 mm thick laminated Hylem sheet p-128 it-7a part-I</v>
      </c>
      <c r="I2915" s="221">
        <f>I2913</f>
        <v>630</v>
      </c>
      <c r="J2915" s="221" t="s">
        <v>2308</v>
      </c>
      <c r="K2915" s="221">
        <f t="shared" si="96"/>
        <v>9.4499999999999993</v>
      </c>
      <c r="L2915" s="221"/>
      <c r="M2915" s="221"/>
    </row>
    <row r="2916" spans="1:13">
      <c r="A2916" s="134"/>
      <c r="E2916" s="221"/>
      <c r="F2916" s="221">
        <v>1.25</v>
      </c>
      <c r="G2916" s="221" t="s">
        <v>2666</v>
      </c>
      <c r="H2916" s="221" t="s">
        <v>390</v>
      </c>
      <c r="I2916" s="221">
        <f>I2853</f>
        <v>298</v>
      </c>
      <c r="J2916" s="221" t="s">
        <v>2666</v>
      </c>
      <c r="K2916" s="221">
        <f t="shared" si="96"/>
        <v>372.5</v>
      </c>
      <c r="L2916" s="221"/>
      <c r="M2916" s="221"/>
    </row>
    <row r="2917" spans="1:13" ht="31.5">
      <c r="A2917" s="134"/>
      <c r="E2917" s="221"/>
      <c r="F2917" s="221">
        <v>45</v>
      </c>
      <c r="G2917" s="221" t="s">
        <v>835</v>
      </c>
      <c r="H2917" s="142" t="str">
        <f>H2856</f>
        <v>1.5 sqmm copper PVC insulated unsheathed single core cable (P-123 it-2/b)</v>
      </c>
      <c r="I2917" s="221">
        <f>I2843</f>
        <v>15.5</v>
      </c>
      <c r="J2917" s="221" t="s">
        <v>3347</v>
      </c>
      <c r="K2917" s="221">
        <f t="shared" si="96"/>
        <v>697.5</v>
      </c>
      <c r="L2917" s="221"/>
      <c r="M2917" s="221"/>
    </row>
    <row r="2918" spans="1:13">
      <c r="A2918" s="134"/>
      <c r="E2918" s="221"/>
      <c r="F2918" s="221" t="s">
        <v>663</v>
      </c>
      <c r="G2918" s="221"/>
      <c r="H2918" s="221" t="s">
        <v>924</v>
      </c>
      <c r="I2918" s="221"/>
      <c r="J2918" s="221"/>
      <c r="K2918" s="221">
        <f>K2873</f>
        <v>10421</v>
      </c>
      <c r="L2918" s="221"/>
      <c r="M2918" s="221"/>
    </row>
    <row r="2919" spans="1:13">
      <c r="A2919" s="134"/>
      <c r="E2919" s="221"/>
      <c r="F2919" s="221" t="s">
        <v>663</v>
      </c>
      <c r="G2919" s="221"/>
      <c r="H2919" s="221" t="s">
        <v>2296</v>
      </c>
      <c r="I2919" s="221"/>
      <c r="J2919" s="221"/>
      <c r="K2919" s="221">
        <v>27.35</v>
      </c>
      <c r="L2919" s="221"/>
      <c r="M2919" s="221"/>
    </row>
    <row r="2920" spans="1:13">
      <c r="A2920" s="134"/>
      <c r="E2920" s="221"/>
      <c r="F2920" s="221"/>
      <c r="G2920" s="221"/>
      <c r="H2920" s="226" t="s">
        <v>2458</v>
      </c>
      <c r="I2920" s="221"/>
      <c r="J2920" s="221"/>
      <c r="K2920" s="227">
        <f>SUM(K2905:K2919)</f>
        <v>15654</v>
      </c>
      <c r="L2920" s="221">
        <f>1398*10</f>
        <v>13980</v>
      </c>
      <c r="M2920" s="221">
        <f>11920-K2920</f>
        <v>-3734</v>
      </c>
    </row>
    <row r="2921" spans="1:13">
      <c r="A2921" s="134"/>
      <c r="E2921" s="221"/>
      <c r="F2921" s="221"/>
      <c r="G2921" s="221"/>
      <c r="H2921" s="228" t="s">
        <v>3204</v>
      </c>
      <c r="I2921" s="221"/>
      <c r="J2921" s="221"/>
      <c r="K2921" s="229">
        <f>K2920/10</f>
        <v>1565.4</v>
      </c>
      <c r="L2921" s="221">
        <f>L2920-K2920</f>
        <v>-1674</v>
      </c>
      <c r="M2921" s="221"/>
    </row>
    <row r="2922" spans="1:13">
      <c r="A2922" s="134"/>
      <c r="E2922" s="221"/>
      <c r="F2922" s="221"/>
      <c r="G2922" s="221"/>
      <c r="H2922" s="229" t="s">
        <v>3515</v>
      </c>
      <c r="I2922" s="221"/>
      <c r="J2922" s="221"/>
      <c r="K2922" s="229"/>
      <c r="L2922" s="221">
        <f>L2921*10</f>
        <v>-16740</v>
      </c>
      <c r="M2922" s="221"/>
    </row>
    <row r="2923" spans="1:13">
      <c r="A2923" s="134"/>
      <c r="E2923" s="221"/>
      <c r="F2923" s="221"/>
      <c r="G2923" s="221"/>
      <c r="H2923" s="234" t="s">
        <v>2865</v>
      </c>
      <c r="I2923" s="221">
        <f>90</f>
        <v>90</v>
      </c>
      <c r="J2923" s="221"/>
      <c r="K2923" s="229"/>
      <c r="L2923" s="221"/>
      <c r="M2923" s="221"/>
    </row>
    <row r="2924" spans="1:13">
      <c r="A2924" s="134"/>
      <c r="E2924" s="221"/>
      <c r="F2924" s="221"/>
      <c r="G2924" s="221"/>
      <c r="H2924" s="234" t="s">
        <v>2866</v>
      </c>
      <c r="I2924" s="235">
        <v>8.2500000000000004E-2</v>
      </c>
      <c r="J2924" s="221"/>
      <c r="K2924" s="229"/>
      <c r="L2924" s="221"/>
      <c r="M2924" s="221"/>
    </row>
    <row r="2925" spans="1:13" ht="18">
      <c r="A2925" s="134"/>
      <c r="E2925" s="221"/>
      <c r="F2925" s="221"/>
      <c r="G2925" s="221"/>
      <c r="H2925" s="234" t="s">
        <v>2878</v>
      </c>
      <c r="I2925" s="224">
        <v>0.13500000000000001</v>
      </c>
      <c r="J2925" s="221"/>
      <c r="K2925" s="229">
        <f>I2923*I2925/I2924</f>
        <v>147.27000000000001</v>
      </c>
      <c r="L2925" s="221"/>
      <c r="M2925" s="221"/>
    </row>
    <row r="2926" spans="1:13">
      <c r="A2926" s="134"/>
      <c r="E2926" s="221"/>
      <c r="F2926" s="221"/>
      <c r="G2926" s="221"/>
      <c r="H2926" s="228"/>
      <c r="I2926" s="221"/>
      <c r="J2926" s="221"/>
      <c r="K2926" s="229"/>
      <c r="L2926" s="221"/>
      <c r="M2926" s="221"/>
    </row>
    <row r="2927" spans="1:13">
      <c r="A2927" s="134"/>
      <c r="E2927" s="221"/>
      <c r="F2927" s="221"/>
      <c r="G2927" s="221"/>
      <c r="H2927" s="221"/>
      <c r="I2927" s="221"/>
      <c r="J2927" s="221"/>
      <c r="K2927" s="221"/>
      <c r="L2927" s="221"/>
      <c r="M2927" s="221"/>
    </row>
    <row r="2928" spans="1:13">
      <c r="A2928" s="134"/>
      <c r="E2928" s="221"/>
      <c r="F2928" s="221"/>
      <c r="G2928" s="221"/>
      <c r="H2928" s="229" t="s">
        <v>2867</v>
      </c>
      <c r="I2928" s="221"/>
      <c r="J2928" s="221"/>
      <c r="K2928" s="221"/>
      <c r="L2928" s="221"/>
      <c r="M2928" s="221"/>
    </row>
    <row r="2929" spans="1:13">
      <c r="A2929" s="134"/>
      <c r="E2929" s="221"/>
      <c r="F2929" s="221"/>
      <c r="G2929" s="221"/>
      <c r="H2929" s="229" t="s">
        <v>2868</v>
      </c>
      <c r="I2929" s="221"/>
      <c r="J2929" s="221"/>
      <c r="K2929" s="221"/>
      <c r="L2929" s="221"/>
      <c r="M2929" s="221"/>
    </row>
    <row r="2930" spans="1:13" ht="177.75" customHeight="1">
      <c r="A2930" s="134"/>
      <c r="E2930" s="221"/>
      <c r="F2930" s="221"/>
      <c r="G2930" s="221"/>
      <c r="H2930" s="220" t="s">
        <v>2475</v>
      </c>
      <c r="I2930" s="221"/>
      <c r="J2930" s="221"/>
      <c r="K2930" s="221"/>
      <c r="L2930" s="221"/>
      <c r="M2930" s="221"/>
    </row>
    <row r="2931" spans="1:13">
      <c r="A2931" s="134"/>
      <c r="E2931" s="221"/>
      <c r="F2931" s="221">
        <v>90</v>
      </c>
      <c r="G2931" s="221" t="s">
        <v>835</v>
      </c>
      <c r="H2931" s="142" t="s">
        <v>2572</v>
      </c>
      <c r="I2931" s="221">
        <f>I2843</f>
        <v>15.5</v>
      </c>
      <c r="J2931" s="221" t="s">
        <v>2573</v>
      </c>
      <c r="K2931" s="221">
        <f>F2931*I2931</f>
        <v>1395</v>
      </c>
      <c r="L2931" s="221"/>
      <c r="M2931" s="221"/>
    </row>
    <row r="2932" spans="1:13">
      <c r="A2932" s="134"/>
      <c r="E2932" s="221"/>
      <c r="F2932" s="221">
        <v>30</v>
      </c>
      <c r="G2932" s="221" t="s">
        <v>835</v>
      </c>
      <c r="H2932" s="220" t="s">
        <v>2389</v>
      </c>
      <c r="I2932" s="221">
        <f>I2906</f>
        <v>19.100000000000001</v>
      </c>
      <c r="J2932" s="221" t="s">
        <v>835</v>
      </c>
      <c r="K2932" s="221">
        <f t="shared" ref="K2932:K2941" si="97">F2932*I2932</f>
        <v>573</v>
      </c>
      <c r="L2932" s="221"/>
      <c r="M2932" s="221"/>
    </row>
    <row r="2933" spans="1:13">
      <c r="A2933" s="134"/>
      <c r="E2933" s="221"/>
      <c r="F2933" s="221">
        <v>10</v>
      </c>
      <c r="G2933" s="221" t="s">
        <v>1414</v>
      </c>
      <c r="H2933" s="221" t="s">
        <v>2391</v>
      </c>
      <c r="I2933" s="221">
        <f>I2907</f>
        <v>3</v>
      </c>
      <c r="J2933" s="221" t="s">
        <v>1414</v>
      </c>
      <c r="K2933" s="221">
        <f t="shared" si="97"/>
        <v>30</v>
      </c>
      <c r="L2933" s="221"/>
      <c r="M2933" s="221"/>
    </row>
    <row r="2934" spans="1:13">
      <c r="A2934" s="134"/>
      <c r="E2934" s="221"/>
      <c r="F2934" s="221">
        <v>5</v>
      </c>
      <c r="G2934" s="221" t="s">
        <v>1414</v>
      </c>
      <c r="H2934" s="221" t="s">
        <v>3432</v>
      </c>
      <c r="I2934" s="221">
        <f>I2908</f>
        <v>1.28</v>
      </c>
      <c r="J2934" s="221" t="s">
        <v>1414</v>
      </c>
      <c r="K2934" s="221">
        <f t="shared" si="97"/>
        <v>6.4</v>
      </c>
      <c r="L2934" s="221"/>
      <c r="M2934" s="221"/>
    </row>
    <row r="2935" spans="1:13">
      <c r="A2935" s="134"/>
      <c r="E2935" s="221"/>
      <c r="F2935" s="221">
        <v>10</v>
      </c>
      <c r="G2935" s="221" t="s">
        <v>1414</v>
      </c>
      <c r="H2935" s="220" t="s">
        <v>5016</v>
      </c>
      <c r="I2935" s="260">
        <f>239/12</f>
        <v>19.920000000000002</v>
      </c>
      <c r="J2935" s="221" t="s">
        <v>1414</v>
      </c>
      <c r="K2935" s="221">
        <f t="shared" si="97"/>
        <v>199.2</v>
      </c>
      <c r="L2935" s="221"/>
      <c r="M2935" s="221">
        <f>253/12</f>
        <v>21.08</v>
      </c>
    </row>
    <row r="2936" spans="1:13">
      <c r="A2936" s="134"/>
      <c r="E2936" s="221"/>
      <c r="F2936" s="221">
        <v>5</v>
      </c>
      <c r="G2936" s="221" t="s">
        <v>1414</v>
      </c>
      <c r="H2936" s="221" t="s">
        <v>2662</v>
      </c>
      <c r="I2936" s="221">
        <f>I2910</f>
        <v>13.6</v>
      </c>
      <c r="J2936" s="221" t="s">
        <v>1414</v>
      </c>
      <c r="K2936" s="221">
        <f t="shared" si="97"/>
        <v>68</v>
      </c>
      <c r="L2936" s="221"/>
      <c r="M2936" s="221"/>
    </row>
    <row r="2937" spans="1:13">
      <c r="A2937" s="134"/>
      <c r="E2937" s="221"/>
      <c r="F2937" s="221">
        <v>5</v>
      </c>
      <c r="G2937" s="221" t="s">
        <v>1414</v>
      </c>
      <c r="H2937" s="221" t="s">
        <v>2664</v>
      </c>
      <c r="I2937" s="221">
        <f>I2909</f>
        <v>3.43</v>
      </c>
      <c r="J2937" s="221" t="s">
        <v>1414</v>
      </c>
      <c r="K2937" s="221">
        <f t="shared" si="97"/>
        <v>17.149999999999999</v>
      </c>
      <c r="L2937" s="221"/>
      <c r="M2937" s="221"/>
    </row>
    <row r="2938" spans="1:13">
      <c r="A2938" s="134"/>
      <c r="E2938" s="221"/>
      <c r="F2938" s="221">
        <v>6</v>
      </c>
      <c r="G2938" s="221" t="s">
        <v>1414</v>
      </c>
      <c r="H2938" s="221" t="s">
        <v>2477</v>
      </c>
      <c r="I2938" s="221">
        <f>I2914</f>
        <v>63.1</v>
      </c>
      <c r="J2938" s="221" t="s">
        <v>1414</v>
      </c>
      <c r="K2938" s="221">
        <f t="shared" si="97"/>
        <v>378.6</v>
      </c>
      <c r="L2938" s="221"/>
      <c r="M2938" s="221"/>
    </row>
    <row r="2939" spans="1:13">
      <c r="A2939" s="134"/>
      <c r="E2939" s="221"/>
      <c r="F2939" s="221">
        <v>0.09</v>
      </c>
      <c r="G2939" s="221" t="s">
        <v>2308</v>
      </c>
      <c r="H2939" s="221" t="s">
        <v>2585</v>
      </c>
      <c r="I2939" s="221">
        <f>I2913</f>
        <v>630</v>
      </c>
      <c r="J2939" s="221" t="s">
        <v>2308</v>
      </c>
      <c r="K2939" s="221">
        <f t="shared" si="97"/>
        <v>56.7</v>
      </c>
      <c r="L2939" s="221"/>
      <c r="M2939" s="221"/>
    </row>
    <row r="2940" spans="1:13">
      <c r="A2940" s="134"/>
      <c r="E2940" s="221"/>
      <c r="F2940" s="221">
        <v>1.25</v>
      </c>
      <c r="G2940" s="221" t="s">
        <v>2666</v>
      </c>
      <c r="H2940" s="221" t="s">
        <v>390</v>
      </c>
      <c r="I2940" s="221">
        <f>I2916</f>
        <v>298</v>
      </c>
      <c r="J2940" s="221" t="s">
        <v>2666</v>
      </c>
      <c r="K2940" s="221">
        <f t="shared" si="97"/>
        <v>372.5</v>
      </c>
      <c r="L2940" s="221"/>
      <c r="M2940" s="221"/>
    </row>
    <row r="2941" spans="1:13" ht="31.5">
      <c r="A2941" s="134"/>
      <c r="E2941" s="221"/>
      <c r="F2941" s="221">
        <v>30</v>
      </c>
      <c r="G2941" s="221" t="s">
        <v>835</v>
      </c>
      <c r="H2941" s="142" t="s">
        <v>2672</v>
      </c>
      <c r="I2941" s="221">
        <f>I2931</f>
        <v>15.5</v>
      </c>
      <c r="J2941" s="221" t="s">
        <v>3347</v>
      </c>
      <c r="K2941" s="221">
        <f t="shared" si="97"/>
        <v>465</v>
      </c>
      <c r="L2941" s="221"/>
      <c r="M2941" s="221"/>
    </row>
    <row r="2942" spans="1:13">
      <c r="A2942" s="134"/>
      <c r="E2942" s="221"/>
      <c r="F2942" s="221"/>
      <c r="G2942" s="221"/>
      <c r="H2942" s="221" t="s">
        <v>924</v>
      </c>
      <c r="I2942" s="221"/>
      <c r="J2942" s="221"/>
      <c r="K2942" s="221">
        <f>K2873</f>
        <v>10421</v>
      </c>
      <c r="L2942" s="221"/>
      <c r="M2942" s="221"/>
    </row>
    <row r="2943" spans="1:13">
      <c r="A2943" s="134"/>
      <c r="E2943" s="221"/>
      <c r="F2943" s="221"/>
      <c r="G2943" s="221"/>
      <c r="H2943" s="221" t="s">
        <v>2296</v>
      </c>
      <c r="I2943" s="221"/>
      <c r="J2943" s="221"/>
      <c r="K2943" s="230">
        <v>27.88</v>
      </c>
      <c r="L2943" s="221"/>
      <c r="M2943" s="221"/>
    </row>
    <row r="2944" spans="1:13">
      <c r="A2944" s="134"/>
      <c r="E2944" s="221"/>
      <c r="F2944" s="221"/>
      <c r="G2944" s="221"/>
      <c r="H2944" s="226" t="s">
        <v>2586</v>
      </c>
      <c r="I2944" s="221"/>
      <c r="J2944" s="221"/>
      <c r="K2944" s="227">
        <f>SUM(K2931:K2943)</f>
        <v>14010.43</v>
      </c>
      <c r="L2944" s="221"/>
      <c r="M2944" s="221"/>
    </row>
    <row r="2945" spans="1:14">
      <c r="A2945" s="134"/>
      <c r="E2945" s="221"/>
      <c r="F2945" s="221"/>
      <c r="G2945" s="221"/>
      <c r="H2945" s="228" t="s">
        <v>3204</v>
      </c>
      <c r="I2945" s="221"/>
      <c r="J2945" s="221"/>
      <c r="K2945" s="229">
        <f>K2944/5</f>
        <v>2802.09</v>
      </c>
      <c r="L2945" s="221"/>
      <c r="M2945" s="221"/>
    </row>
    <row r="2946" spans="1:14">
      <c r="A2946" s="134"/>
      <c r="E2946" s="221"/>
      <c r="F2946" s="221"/>
      <c r="G2946" s="221"/>
      <c r="H2946" s="221"/>
      <c r="I2946" s="221"/>
      <c r="J2946" s="221"/>
      <c r="K2946" s="221"/>
      <c r="L2946" s="221"/>
      <c r="M2946" s="221"/>
    </row>
    <row r="2947" spans="1:14">
      <c r="A2947" s="134"/>
      <c r="E2947" s="221"/>
      <c r="F2947" s="221"/>
      <c r="G2947" s="221"/>
      <c r="H2947" s="229" t="s">
        <v>2587</v>
      </c>
      <c r="I2947" s="221"/>
      <c r="J2947" s="221"/>
      <c r="K2947" s="221"/>
      <c r="L2947" s="221"/>
      <c r="M2947" s="221"/>
    </row>
    <row r="2948" spans="1:14">
      <c r="A2948" s="134"/>
      <c r="E2948" s="221"/>
      <c r="F2948" s="221"/>
      <c r="G2948" s="221"/>
      <c r="H2948" s="229" t="s">
        <v>2588</v>
      </c>
      <c r="I2948" s="221"/>
      <c r="J2948" s="221"/>
      <c r="K2948" s="221"/>
      <c r="L2948" s="221"/>
      <c r="M2948" s="221"/>
    </row>
    <row r="2949" spans="1:14">
      <c r="A2949" s="134"/>
      <c r="E2949" s="221"/>
      <c r="F2949" s="221"/>
      <c r="G2949" s="221"/>
      <c r="H2949" s="221"/>
      <c r="I2949" s="221"/>
      <c r="J2949" s="221"/>
      <c r="K2949" s="221"/>
      <c r="L2949" s="221"/>
      <c r="M2949" s="221"/>
    </row>
    <row r="2950" spans="1:14" ht="141.75">
      <c r="A2950" s="134"/>
      <c r="E2950" s="221"/>
      <c r="F2950" s="221"/>
      <c r="G2950" s="221"/>
      <c r="H2950" s="220" t="s">
        <v>2756</v>
      </c>
      <c r="I2950" s="221"/>
      <c r="J2950" s="221"/>
      <c r="K2950" s="221"/>
      <c r="L2950" s="221"/>
      <c r="M2950" s="221"/>
    </row>
    <row r="2951" spans="1:14">
      <c r="A2951" s="134"/>
      <c r="E2951" s="221"/>
      <c r="F2951" s="221">
        <v>90</v>
      </c>
      <c r="G2951" s="221" t="s">
        <v>835</v>
      </c>
      <c r="H2951" s="142" t="s">
        <v>2572</v>
      </c>
      <c r="I2951" s="221">
        <f>I2931</f>
        <v>15.5</v>
      </c>
      <c r="J2951" s="221" t="s">
        <v>3347</v>
      </c>
      <c r="K2951" s="221">
        <f>F2951*I2951</f>
        <v>1395</v>
      </c>
      <c r="L2951" s="221"/>
      <c r="M2951" s="221"/>
    </row>
    <row r="2952" spans="1:14">
      <c r="E2952" s="221"/>
      <c r="F2952" s="221">
        <v>45</v>
      </c>
      <c r="G2952" s="221" t="s">
        <v>835</v>
      </c>
      <c r="H2952" s="220" t="s">
        <v>2389</v>
      </c>
      <c r="I2952" s="221">
        <f>I2932</f>
        <v>19.100000000000001</v>
      </c>
      <c r="J2952" s="221" t="s">
        <v>835</v>
      </c>
      <c r="K2952" s="221">
        <f t="shared" ref="K2952:K2961" si="98">F2952*I2952</f>
        <v>859.5</v>
      </c>
      <c r="L2952" s="221"/>
      <c r="M2952" s="221"/>
    </row>
    <row r="2953" spans="1:14" ht="20.100000000000001" customHeight="1">
      <c r="E2953" s="221"/>
      <c r="F2953" s="221">
        <v>20</v>
      </c>
      <c r="G2953" s="221" t="s">
        <v>1414</v>
      </c>
      <c r="H2953" s="221" t="s">
        <v>2391</v>
      </c>
      <c r="I2953" s="221">
        <f>I2933</f>
        <v>3</v>
      </c>
      <c r="J2953" s="221" t="s">
        <v>3435</v>
      </c>
      <c r="K2953" s="221">
        <f t="shared" si="98"/>
        <v>60</v>
      </c>
      <c r="L2953" s="221"/>
      <c r="M2953" s="221"/>
    </row>
    <row r="2954" spans="1:14" ht="20.100000000000001" customHeight="1">
      <c r="E2954" s="221"/>
      <c r="F2954" s="221">
        <v>10</v>
      </c>
      <c r="G2954" s="221" t="s">
        <v>1414</v>
      </c>
      <c r="H2954" s="221" t="s">
        <v>3432</v>
      </c>
      <c r="I2954" s="221">
        <f>I2934</f>
        <v>1.28</v>
      </c>
      <c r="J2954" s="221" t="s">
        <v>3435</v>
      </c>
      <c r="K2954" s="221">
        <f t="shared" si="98"/>
        <v>12.8</v>
      </c>
      <c r="L2954" s="221"/>
      <c r="M2954" s="221"/>
    </row>
    <row r="2955" spans="1:14" ht="20.100000000000001" customHeight="1">
      <c r="E2955" s="221"/>
      <c r="F2955" s="221">
        <v>1</v>
      </c>
      <c r="G2955" s="221" t="s">
        <v>1414</v>
      </c>
      <c r="H2955" s="221" t="s">
        <v>2477</v>
      </c>
      <c r="I2955" s="221">
        <f>I2938</f>
        <v>63.1</v>
      </c>
      <c r="J2955" s="221" t="s">
        <v>1414</v>
      </c>
      <c r="K2955" s="221">
        <f t="shared" si="98"/>
        <v>63.1</v>
      </c>
      <c r="L2955" s="221"/>
      <c r="M2955" s="221"/>
    </row>
    <row r="2956" spans="1:14" ht="20.100000000000001" customHeight="1">
      <c r="E2956" s="221"/>
      <c r="F2956" s="224">
        <v>1.4999999999999999E-2</v>
      </c>
      <c r="G2956" s="221" t="s">
        <v>2308</v>
      </c>
      <c r="H2956" s="221" t="s">
        <v>2585</v>
      </c>
      <c r="I2956" s="221">
        <f>I2849</f>
        <v>630</v>
      </c>
      <c r="J2956" s="221" t="s">
        <v>2308</v>
      </c>
      <c r="K2956" s="221">
        <f t="shared" si="98"/>
        <v>9.4499999999999993</v>
      </c>
      <c r="L2956" s="221"/>
      <c r="M2956" s="221"/>
    </row>
    <row r="2957" spans="1:14" ht="31.5" customHeight="1">
      <c r="E2957" s="221"/>
      <c r="F2957" s="221">
        <v>15</v>
      </c>
      <c r="G2957" s="221" t="s">
        <v>1414</v>
      </c>
      <c r="H2957" s="220" t="s">
        <v>5017</v>
      </c>
      <c r="I2957" s="260">
        <f>(192.6/12)+23.9</f>
        <v>39.950000000000003</v>
      </c>
      <c r="J2957" s="221" t="s">
        <v>1414</v>
      </c>
      <c r="K2957" s="221">
        <f t="shared" si="98"/>
        <v>599.25</v>
      </c>
      <c r="L2957" s="283">
        <f>192.6+239</f>
        <v>431.6</v>
      </c>
      <c r="M2957" s="221">
        <f>L2957/12</f>
        <v>35.97</v>
      </c>
      <c r="N2957" s="87">
        <f>M2957/12</f>
        <v>3</v>
      </c>
    </row>
    <row r="2958" spans="1:14" ht="20.100000000000001" customHeight="1">
      <c r="E2958" s="221"/>
      <c r="F2958" s="221">
        <v>15</v>
      </c>
      <c r="G2958" s="221" t="s">
        <v>1414</v>
      </c>
      <c r="H2958" s="221" t="s">
        <v>2477</v>
      </c>
      <c r="I2958" s="221">
        <f>I2955</f>
        <v>63.1</v>
      </c>
      <c r="J2958" s="221" t="s">
        <v>1414</v>
      </c>
      <c r="K2958" s="221">
        <f t="shared" si="98"/>
        <v>946.5</v>
      </c>
      <c r="L2958" s="221"/>
      <c r="M2958" s="221"/>
    </row>
    <row r="2959" spans="1:14" ht="20.100000000000001" customHeight="1">
      <c r="E2959" s="221"/>
      <c r="F2959" s="224">
        <v>0.22500000000000001</v>
      </c>
      <c r="G2959" s="221" t="s">
        <v>2308</v>
      </c>
      <c r="H2959" s="221" t="s">
        <v>2585</v>
      </c>
      <c r="I2959" s="221">
        <f>I2956</f>
        <v>630</v>
      </c>
      <c r="J2959" s="221" t="s">
        <v>2758</v>
      </c>
      <c r="K2959" s="221">
        <f t="shared" si="98"/>
        <v>141.75</v>
      </c>
      <c r="L2959" s="221"/>
      <c r="M2959" s="221"/>
    </row>
    <row r="2960" spans="1:14" ht="20.100000000000001" customHeight="1">
      <c r="E2960" s="221"/>
      <c r="F2960" s="221">
        <v>1.25</v>
      </c>
      <c r="G2960" s="221" t="s">
        <v>2666</v>
      </c>
      <c r="H2960" s="221" t="s">
        <v>390</v>
      </c>
      <c r="I2960" s="221">
        <f>I2940</f>
        <v>298</v>
      </c>
      <c r="J2960" s="221" t="s">
        <v>2666</v>
      </c>
      <c r="K2960" s="221">
        <f t="shared" si="98"/>
        <v>372.5</v>
      </c>
      <c r="L2960" s="221"/>
      <c r="M2960" s="221"/>
    </row>
    <row r="2961" spans="5:13" ht="31.5">
      <c r="E2961" s="221"/>
      <c r="F2961" s="221">
        <v>45</v>
      </c>
      <c r="G2961" s="221" t="s">
        <v>2308</v>
      </c>
      <c r="H2961" s="142" t="s">
        <v>2672</v>
      </c>
      <c r="I2961" s="221">
        <f>I2951</f>
        <v>15.5</v>
      </c>
      <c r="J2961" s="221" t="s">
        <v>3347</v>
      </c>
      <c r="K2961" s="221">
        <f t="shared" si="98"/>
        <v>697.5</v>
      </c>
      <c r="L2961" s="221"/>
      <c r="M2961" s="221"/>
    </row>
    <row r="2962" spans="5:13" ht="15.75" customHeight="1">
      <c r="E2962" s="221"/>
      <c r="F2962" s="221"/>
      <c r="G2962" s="221"/>
      <c r="H2962" s="221" t="s">
        <v>924</v>
      </c>
      <c r="I2962" s="221"/>
      <c r="J2962" s="221"/>
      <c r="K2962" s="221">
        <f>K2918</f>
        <v>10421</v>
      </c>
      <c r="L2962" s="221"/>
      <c r="M2962" s="221"/>
    </row>
    <row r="2963" spans="5:13" ht="17.25" customHeight="1">
      <c r="E2963" s="221"/>
      <c r="F2963" s="221"/>
      <c r="G2963" s="221"/>
      <c r="H2963" s="221" t="s">
        <v>2296</v>
      </c>
      <c r="I2963" s="221"/>
      <c r="J2963" s="221"/>
      <c r="K2963" s="221">
        <v>39.72</v>
      </c>
      <c r="L2963" s="221"/>
      <c r="M2963" s="221"/>
    </row>
    <row r="2964" spans="5:13">
      <c r="E2964" s="221"/>
      <c r="F2964" s="221"/>
      <c r="G2964" s="221"/>
      <c r="H2964" s="226" t="s">
        <v>2759</v>
      </c>
      <c r="I2964" s="221"/>
      <c r="J2964" s="221"/>
      <c r="K2964" s="227">
        <f>SUM(K2951:K2963)</f>
        <v>15618.07</v>
      </c>
      <c r="L2964" s="221">
        <f>934*15</f>
        <v>14010</v>
      </c>
      <c r="M2964" s="221"/>
    </row>
    <row r="2965" spans="5:13">
      <c r="E2965" s="221"/>
      <c r="F2965" s="221"/>
      <c r="G2965" s="221"/>
      <c r="H2965" s="228" t="s">
        <v>3204</v>
      </c>
      <c r="I2965" s="221"/>
      <c r="J2965" s="221"/>
      <c r="K2965" s="229">
        <f>K2964/15</f>
        <v>1041.2</v>
      </c>
      <c r="L2965" s="221">
        <f>L2964-K2964</f>
        <v>-1608.07</v>
      </c>
      <c r="M2965" s="221"/>
    </row>
    <row r="2966" spans="5:13" ht="12.75" customHeight="1">
      <c r="E2966" s="221"/>
      <c r="F2966" s="221"/>
      <c r="G2966" s="221"/>
      <c r="H2966" s="221"/>
      <c r="I2966" s="221"/>
      <c r="J2966" s="221"/>
      <c r="K2966" s="221"/>
      <c r="L2966" s="221"/>
      <c r="M2966" s="221"/>
    </row>
    <row r="2967" spans="5:13">
      <c r="E2967" s="221"/>
      <c r="F2967" s="221"/>
      <c r="G2967" s="221"/>
      <c r="H2967" s="229" t="s">
        <v>2760</v>
      </c>
      <c r="I2967" s="221"/>
      <c r="J2967" s="221"/>
      <c r="K2967" s="221"/>
      <c r="L2967" s="221"/>
      <c r="M2967" s="221"/>
    </row>
    <row r="2968" spans="5:13">
      <c r="E2968" s="221"/>
      <c r="F2968" s="221"/>
      <c r="G2968" s="221"/>
      <c r="H2968" s="229" t="s">
        <v>2761</v>
      </c>
      <c r="I2968" s="221"/>
      <c r="J2968" s="221"/>
      <c r="K2968" s="221"/>
      <c r="L2968" s="221"/>
      <c r="M2968" s="221"/>
    </row>
    <row r="2969" spans="5:13">
      <c r="E2969" s="221"/>
      <c r="F2969" s="221"/>
      <c r="G2969" s="221"/>
      <c r="H2969" s="221"/>
      <c r="I2969" s="221"/>
      <c r="J2969" s="221"/>
      <c r="K2969" s="221"/>
      <c r="L2969" s="221"/>
      <c r="M2969" s="221"/>
    </row>
    <row r="2970" spans="5:13" ht="141.75">
      <c r="E2970" s="221"/>
      <c r="F2970" s="221"/>
      <c r="G2970" s="221"/>
      <c r="H2970" s="220" t="s">
        <v>2563</v>
      </c>
      <c r="I2970" s="221"/>
      <c r="J2970" s="221"/>
      <c r="K2970" s="221"/>
      <c r="L2970" s="221"/>
      <c r="M2970" s="221"/>
    </row>
    <row r="2971" spans="5:13">
      <c r="E2971" s="221"/>
      <c r="F2971" s="221"/>
      <c r="G2971" s="221"/>
      <c r="H2971" s="221"/>
      <c r="I2971" s="221"/>
      <c r="J2971" s="221"/>
      <c r="K2971" s="221"/>
      <c r="L2971" s="221"/>
      <c r="M2971" s="221"/>
    </row>
    <row r="2972" spans="5:13">
      <c r="E2972" s="221"/>
      <c r="F2972" s="221">
        <v>5</v>
      </c>
      <c r="G2972" s="221" t="s">
        <v>835</v>
      </c>
      <c r="H2972" s="278" t="s">
        <v>2572</v>
      </c>
      <c r="I2972" s="221">
        <f>I2951</f>
        <v>15.5</v>
      </c>
      <c r="J2972" s="221" t="s">
        <v>2390</v>
      </c>
      <c r="K2972" s="221">
        <f>F2972*I2972</f>
        <v>77.5</v>
      </c>
      <c r="L2972" s="221"/>
      <c r="M2972" s="221"/>
    </row>
    <row r="2973" spans="5:13" ht="33" customHeight="1">
      <c r="E2973" s="221"/>
      <c r="F2973" s="221">
        <v>2.5</v>
      </c>
      <c r="G2973" s="221" t="s">
        <v>835</v>
      </c>
      <c r="H2973" s="220" t="s">
        <v>2389</v>
      </c>
      <c r="I2973" s="221">
        <f>I2952</f>
        <v>19.100000000000001</v>
      </c>
      <c r="J2973" s="221" t="s">
        <v>835</v>
      </c>
      <c r="K2973" s="221">
        <f>F2973*I2973</f>
        <v>47.75</v>
      </c>
      <c r="L2973" s="221"/>
      <c r="M2973" s="221"/>
    </row>
    <row r="2974" spans="5:13" ht="35.25" customHeight="1">
      <c r="E2974" s="221"/>
      <c r="F2974" s="221">
        <v>1</v>
      </c>
      <c r="G2974" s="221" t="s">
        <v>1414</v>
      </c>
      <c r="H2974" s="220" t="str">
        <f>H2957</f>
        <v>5 A 5 pin non - inter locking switch and plug ( flush type ) part - c (I a) + part - d (I a)( Rs. 192.60/12 + 23.90) p-118 +123 part d a</v>
      </c>
      <c r="I2974" s="222">
        <f>I2957</f>
        <v>39.950000000000003</v>
      </c>
      <c r="J2974" s="221" t="s">
        <v>1414</v>
      </c>
      <c r="K2974" s="221">
        <f>F2974*I2974</f>
        <v>39.950000000000003</v>
      </c>
      <c r="L2974" s="221"/>
      <c r="M2974" s="221"/>
    </row>
    <row r="2975" spans="5:13">
      <c r="E2975" s="221"/>
      <c r="F2975" s="221"/>
      <c r="G2975" s="221"/>
      <c r="H2975" s="221" t="s">
        <v>924</v>
      </c>
      <c r="I2975" s="221"/>
      <c r="J2975" s="221"/>
      <c r="K2975" s="221">
        <f>ROUND(K2873*5/90,2)</f>
        <v>578.94000000000005</v>
      </c>
      <c r="L2975" s="221"/>
      <c r="M2975" s="221"/>
    </row>
    <row r="2976" spans="5:13">
      <c r="E2976" s="221"/>
      <c r="F2976" s="221"/>
      <c r="G2976" s="221"/>
      <c r="H2976" s="221" t="s">
        <v>2296</v>
      </c>
      <c r="I2976" s="221"/>
      <c r="J2976" s="221"/>
      <c r="K2976" s="221">
        <v>20.77</v>
      </c>
      <c r="L2976" s="221"/>
      <c r="M2976" s="221"/>
    </row>
    <row r="2977" spans="5:13">
      <c r="E2977" s="221"/>
      <c r="F2977" s="221"/>
      <c r="G2977" s="221"/>
      <c r="H2977" s="228" t="s">
        <v>3204</v>
      </c>
      <c r="I2977" s="221"/>
      <c r="J2977" s="221"/>
      <c r="K2977" s="236">
        <f>SUM(K2972:K2976)</f>
        <v>764.91</v>
      </c>
      <c r="L2977" s="221">
        <f>688-K2977</f>
        <v>-76.91</v>
      </c>
      <c r="M2977" s="221"/>
    </row>
    <row r="2978" spans="5:13">
      <c r="E2978" s="221"/>
      <c r="F2978" s="221"/>
      <c r="G2978" s="221"/>
      <c r="H2978" s="221"/>
      <c r="I2978" s="221"/>
      <c r="J2978" s="221"/>
      <c r="K2978" s="221"/>
      <c r="L2978" s="221"/>
      <c r="M2978" s="221"/>
    </row>
    <row r="2979" spans="5:13">
      <c r="E2979" s="221"/>
      <c r="F2979" s="221"/>
      <c r="G2979" s="221"/>
      <c r="H2979" s="229" t="s">
        <v>2564</v>
      </c>
      <c r="I2979" s="221"/>
      <c r="J2979" s="221"/>
      <c r="K2979" s="221"/>
      <c r="L2979" s="221"/>
      <c r="M2979" s="221"/>
    </row>
    <row r="2980" spans="5:13" ht="14.25" customHeight="1">
      <c r="E2980" s="221"/>
      <c r="F2980" s="221"/>
      <c r="G2980" s="221"/>
      <c r="H2980" s="229" t="s">
        <v>2565</v>
      </c>
      <c r="I2980" s="221"/>
      <c r="J2980" s="221"/>
      <c r="K2980" s="221"/>
      <c r="L2980" s="221"/>
      <c r="M2980" s="221"/>
    </row>
    <row r="2981" spans="5:13">
      <c r="E2981" s="221"/>
      <c r="F2981" s="221"/>
      <c r="G2981" s="221"/>
      <c r="H2981" s="221"/>
      <c r="I2981" s="221"/>
      <c r="J2981" s="221"/>
      <c r="K2981" s="221"/>
      <c r="L2981" s="221"/>
      <c r="M2981" s="221"/>
    </row>
    <row r="2982" spans="5:13" ht="65.25" customHeight="1">
      <c r="E2982" s="221"/>
      <c r="F2982" s="221"/>
      <c r="G2982" s="221"/>
      <c r="H2982" s="220" t="s">
        <v>2879</v>
      </c>
      <c r="I2982" s="221"/>
      <c r="J2982" s="221"/>
      <c r="K2982" s="221"/>
      <c r="L2982" s="221"/>
      <c r="M2982" s="221"/>
    </row>
    <row r="2983" spans="5:13">
      <c r="E2983" s="221"/>
      <c r="F2983" s="221"/>
      <c r="G2983" s="221"/>
      <c r="H2983" s="221"/>
      <c r="I2983" s="221"/>
      <c r="J2983" s="221"/>
      <c r="K2983" s="221"/>
      <c r="L2983" s="221"/>
      <c r="M2983" s="221"/>
    </row>
    <row r="2984" spans="5:13" ht="22.5" customHeight="1">
      <c r="E2984" s="221"/>
      <c r="F2984" s="221">
        <v>1</v>
      </c>
      <c r="G2984" s="221" t="s">
        <v>1414</v>
      </c>
      <c r="H2984" s="221" t="s">
        <v>5018</v>
      </c>
      <c r="I2984" s="260">
        <v>54</v>
      </c>
      <c r="J2984" s="221" t="s">
        <v>1414</v>
      </c>
      <c r="K2984" s="221">
        <f>F2984*I2984</f>
        <v>54</v>
      </c>
      <c r="L2984" s="221"/>
      <c r="M2984" s="221"/>
    </row>
    <row r="2985" spans="5:13" ht="22.5" customHeight="1">
      <c r="E2985" s="221"/>
      <c r="F2985" s="221">
        <v>1</v>
      </c>
      <c r="G2985" s="221" t="s">
        <v>1414</v>
      </c>
      <c r="H2985" s="221" t="s">
        <v>3186</v>
      </c>
      <c r="I2985" s="221">
        <f>I2955</f>
        <v>63.1</v>
      </c>
      <c r="J2985" s="221" t="s">
        <v>1414</v>
      </c>
      <c r="K2985" s="221">
        <f>F2985*I2985</f>
        <v>63.1</v>
      </c>
      <c r="L2985" s="221"/>
      <c r="M2985" s="221"/>
    </row>
    <row r="2986" spans="5:13" ht="22.5" customHeight="1">
      <c r="E2986" s="221"/>
      <c r="F2986" s="224">
        <v>1.4999999999999999E-2</v>
      </c>
      <c r="G2986" s="221" t="s">
        <v>2308</v>
      </c>
      <c r="H2986" s="221" t="s">
        <v>3187</v>
      </c>
      <c r="I2986" s="221">
        <f>I2956</f>
        <v>630</v>
      </c>
      <c r="J2986" s="221" t="s">
        <v>2308</v>
      </c>
      <c r="K2986" s="221">
        <f>F2986*I2986</f>
        <v>9.4499999999999993</v>
      </c>
      <c r="L2986" s="221"/>
      <c r="M2986" s="221"/>
    </row>
    <row r="2987" spans="5:13" ht="17.25" customHeight="1">
      <c r="E2987" s="221"/>
      <c r="F2987" s="221" t="s">
        <v>663</v>
      </c>
      <c r="G2987" s="221"/>
      <c r="H2987" s="221" t="s">
        <v>3188</v>
      </c>
      <c r="I2987" s="221"/>
      <c r="J2987" s="221"/>
      <c r="K2987" s="221">
        <v>12.15</v>
      </c>
      <c r="L2987" s="221">
        <f>(K2984+K2985+K2986)*2%</f>
        <v>2.5299999999999998</v>
      </c>
      <c r="M2987" s="221"/>
    </row>
    <row r="2988" spans="5:13" ht="20.25" customHeight="1">
      <c r="E2988" s="221"/>
      <c r="F2988" s="221"/>
      <c r="G2988" s="221"/>
      <c r="H2988" s="228" t="s">
        <v>1080</v>
      </c>
      <c r="I2988" s="221"/>
      <c r="J2988" s="221"/>
      <c r="K2988" s="236">
        <f>SUM(K2984:K2987)</f>
        <v>138.69999999999999</v>
      </c>
      <c r="L2988" s="221">
        <f>114-K2988</f>
        <v>-24.7</v>
      </c>
      <c r="M2988" s="221"/>
    </row>
    <row r="2989" spans="5:13">
      <c r="E2989" s="221"/>
      <c r="F2989" s="221"/>
      <c r="G2989" s="221"/>
      <c r="H2989" s="221"/>
      <c r="I2989" s="221"/>
      <c r="J2989" s="221"/>
      <c r="K2989" s="221">
        <f>K2988*18</f>
        <v>2496.6</v>
      </c>
      <c r="L2989" s="221"/>
      <c r="M2989" s="221"/>
    </row>
    <row r="2990" spans="5:13">
      <c r="E2990" s="221"/>
      <c r="F2990" s="221"/>
      <c r="G2990" s="221"/>
      <c r="H2990" s="229" t="s">
        <v>3189</v>
      </c>
      <c r="I2990" s="221"/>
      <c r="J2990" s="221"/>
      <c r="K2990" s="221"/>
      <c r="L2990" s="221"/>
      <c r="M2990" s="221"/>
    </row>
    <row r="2991" spans="5:13" ht="31.5">
      <c r="E2991" s="221"/>
      <c r="F2991" s="221"/>
      <c r="G2991" s="221"/>
      <c r="H2991" s="219" t="s">
        <v>3190</v>
      </c>
      <c r="I2991" s="221"/>
      <c r="J2991" s="221"/>
      <c r="K2991" s="221"/>
      <c r="L2991" s="221"/>
      <c r="M2991" s="221"/>
    </row>
    <row r="2992" spans="5:13">
      <c r="E2992" s="221"/>
      <c r="F2992" s="221"/>
      <c r="G2992" s="221"/>
      <c r="H2992" s="219"/>
      <c r="I2992" s="221"/>
      <c r="J2992" s="221"/>
      <c r="K2992" s="221"/>
      <c r="L2992" s="221"/>
      <c r="M2992" s="221"/>
    </row>
    <row r="2993" spans="5:13" ht="210.75" customHeight="1">
      <c r="E2993" s="221"/>
      <c r="F2993" s="221"/>
      <c r="G2993" s="221"/>
      <c r="H2993" s="220" t="s">
        <v>2460</v>
      </c>
      <c r="I2993" s="221"/>
      <c r="J2993" s="221"/>
      <c r="K2993" s="221"/>
      <c r="L2993" s="221"/>
      <c r="M2993" s="221"/>
    </row>
    <row r="2994" spans="5:13">
      <c r="E2994" s="221"/>
      <c r="F2994" s="221"/>
      <c r="G2994" s="221"/>
      <c r="H2994" s="221"/>
      <c r="I2994" s="221"/>
      <c r="J2994" s="221"/>
      <c r="K2994" s="221"/>
      <c r="L2994" s="221"/>
      <c r="M2994" s="221"/>
    </row>
    <row r="2995" spans="5:13">
      <c r="E2995" s="221"/>
      <c r="F2995" s="221">
        <v>90</v>
      </c>
      <c r="G2995" s="221" t="s">
        <v>835</v>
      </c>
      <c r="H2995" s="142" t="s">
        <v>2572</v>
      </c>
      <c r="I2995" s="221">
        <f>I2843</f>
        <v>15.5</v>
      </c>
      <c r="J2995" s="221" t="s">
        <v>835</v>
      </c>
      <c r="K2995" s="221">
        <f>F2995*I2995</f>
        <v>1395</v>
      </c>
      <c r="L2995" s="221"/>
      <c r="M2995" s="221"/>
    </row>
    <row r="2996" spans="5:13">
      <c r="E2996" s="221"/>
      <c r="F2996" s="221">
        <v>45</v>
      </c>
      <c r="G2996" s="221" t="s">
        <v>835</v>
      </c>
      <c r="H2996" s="220" t="s">
        <v>2389</v>
      </c>
      <c r="I2996" s="221">
        <f>I2844</f>
        <v>19.100000000000001</v>
      </c>
      <c r="J2996" s="221" t="s">
        <v>2390</v>
      </c>
      <c r="K2996" s="221">
        <f t="shared" ref="K2996:K3007" si="99">F2996*I2996</f>
        <v>859.5</v>
      </c>
      <c r="L2996" s="221"/>
      <c r="M2996" s="221"/>
    </row>
    <row r="2997" spans="5:13">
      <c r="E2997" s="221"/>
      <c r="F2997" s="221">
        <v>12</v>
      </c>
      <c r="G2997" s="221" t="s">
        <v>1414</v>
      </c>
      <c r="H2997" s="221" t="s">
        <v>2391</v>
      </c>
      <c r="I2997" s="221">
        <f>I2845</f>
        <v>3</v>
      </c>
      <c r="J2997" s="221" t="s">
        <v>1414</v>
      </c>
      <c r="K2997" s="221">
        <f t="shared" si="99"/>
        <v>36</v>
      </c>
      <c r="L2997" s="221"/>
      <c r="M2997" s="221"/>
    </row>
    <row r="2998" spans="5:13">
      <c r="E2998" s="221"/>
      <c r="F2998" s="221">
        <v>6</v>
      </c>
      <c r="G2998" s="221" t="s">
        <v>1414</v>
      </c>
      <c r="H2998" s="221" t="s">
        <v>3432</v>
      </c>
      <c r="I2998" s="221">
        <f>I2846</f>
        <v>1.28</v>
      </c>
      <c r="J2998" s="221" t="s">
        <v>1414</v>
      </c>
      <c r="K2998" s="221">
        <f t="shared" si="99"/>
        <v>7.68</v>
      </c>
      <c r="L2998" s="221"/>
      <c r="M2998" s="221"/>
    </row>
    <row r="2999" spans="5:13">
      <c r="E2999" s="221"/>
      <c r="F2999" s="221">
        <v>1</v>
      </c>
      <c r="G2999" s="221" t="s">
        <v>1414</v>
      </c>
      <c r="H2999" s="221" t="s">
        <v>3433</v>
      </c>
      <c r="I2999" s="221">
        <f>I2847</f>
        <v>63.1</v>
      </c>
      <c r="J2999" s="221" t="s">
        <v>1414</v>
      </c>
      <c r="K2999" s="221">
        <f t="shared" si="99"/>
        <v>63.1</v>
      </c>
      <c r="L2999" s="221"/>
      <c r="M2999" s="221"/>
    </row>
    <row r="3000" spans="5:13">
      <c r="E3000" s="221"/>
      <c r="F3000" s="224">
        <v>1.4999999999999999E-2</v>
      </c>
      <c r="G3000" s="221" t="s">
        <v>2308</v>
      </c>
      <c r="H3000" s="221" t="s">
        <v>3303</v>
      </c>
      <c r="I3000" s="221">
        <f t="shared" ref="I3000:I3007" si="100">I2849</f>
        <v>630</v>
      </c>
      <c r="J3000" s="221" t="s">
        <v>2308</v>
      </c>
      <c r="K3000" s="221">
        <f t="shared" si="99"/>
        <v>9.4499999999999993</v>
      </c>
      <c r="L3000" s="221"/>
      <c r="M3000" s="221"/>
    </row>
    <row r="3001" spans="5:13">
      <c r="E3001" s="221"/>
      <c r="F3001" s="221">
        <v>6</v>
      </c>
      <c r="G3001" s="221" t="s">
        <v>1414</v>
      </c>
      <c r="H3001" s="221" t="s">
        <v>3304</v>
      </c>
      <c r="I3001" s="221">
        <f t="shared" si="100"/>
        <v>16.05</v>
      </c>
      <c r="J3001" s="221" t="s">
        <v>3435</v>
      </c>
      <c r="K3001" s="221">
        <f t="shared" si="99"/>
        <v>96.3</v>
      </c>
      <c r="L3001" s="221"/>
      <c r="M3001" s="221"/>
    </row>
    <row r="3002" spans="5:13">
      <c r="E3002" s="221"/>
      <c r="F3002" s="221">
        <v>6</v>
      </c>
      <c r="G3002" s="221" t="s">
        <v>1414</v>
      </c>
      <c r="H3002" s="221" t="s">
        <v>2662</v>
      </c>
      <c r="I3002" s="221">
        <f t="shared" si="100"/>
        <v>13.6</v>
      </c>
      <c r="J3002" s="221" t="s">
        <v>1414</v>
      </c>
      <c r="K3002" s="221">
        <f t="shared" si="99"/>
        <v>81.599999999999994</v>
      </c>
      <c r="L3002" s="221"/>
      <c r="M3002" s="221"/>
    </row>
    <row r="3003" spans="5:13">
      <c r="E3003" s="221"/>
      <c r="F3003" s="221">
        <v>6</v>
      </c>
      <c r="G3003" s="221" t="s">
        <v>1414</v>
      </c>
      <c r="H3003" s="221" t="s">
        <v>2664</v>
      </c>
      <c r="I3003" s="221">
        <f t="shared" si="100"/>
        <v>3.43</v>
      </c>
      <c r="J3003" s="221" t="s">
        <v>1414</v>
      </c>
      <c r="K3003" s="221">
        <f t="shared" si="99"/>
        <v>20.58</v>
      </c>
      <c r="L3003" s="221"/>
      <c r="M3003" s="221"/>
    </row>
    <row r="3004" spans="5:13">
      <c r="E3004" s="221"/>
      <c r="F3004" s="221">
        <v>1.25</v>
      </c>
      <c r="G3004" s="221" t="s">
        <v>2666</v>
      </c>
      <c r="H3004" s="221" t="s">
        <v>390</v>
      </c>
      <c r="I3004" s="221">
        <f t="shared" si="100"/>
        <v>298</v>
      </c>
      <c r="J3004" s="221" t="s">
        <v>2666</v>
      </c>
      <c r="K3004" s="221">
        <f t="shared" si="99"/>
        <v>372.5</v>
      </c>
      <c r="L3004" s="221"/>
      <c r="M3004" s="221"/>
    </row>
    <row r="3005" spans="5:13">
      <c r="E3005" s="221"/>
      <c r="F3005" s="221">
        <v>6</v>
      </c>
      <c r="G3005" s="221" t="s">
        <v>1414</v>
      </c>
      <c r="H3005" s="221" t="s">
        <v>2667</v>
      </c>
      <c r="I3005" s="221">
        <f t="shared" si="100"/>
        <v>63.1</v>
      </c>
      <c r="J3005" s="221" t="s">
        <v>1414</v>
      </c>
      <c r="K3005" s="221">
        <f t="shared" si="99"/>
        <v>378.6</v>
      </c>
      <c r="L3005" s="221"/>
      <c r="M3005" s="221"/>
    </row>
    <row r="3006" spans="5:13">
      <c r="E3006" s="221"/>
      <c r="F3006" s="221">
        <v>0.09</v>
      </c>
      <c r="G3006" s="221" t="s">
        <v>2308</v>
      </c>
      <c r="H3006" s="221" t="s">
        <v>2669</v>
      </c>
      <c r="I3006" s="221">
        <f t="shared" si="100"/>
        <v>630</v>
      </c>
      <c r="J3006" s="221" t="s">
        <v>2308</v>
      </c>
      <c r="K3006" s="221">
        <f t="shared" si="99"/>
        <v>56.7</v>
      </c>
      <c r="L3006" s="221"/>
      <c r="M3006" s="221"/>
    </row>
    <row r="3007" spans="5:13" ht="31.5">
      <c r="E3007" s="221"/>
      <c r="F3007" s="221">
        <v>45</v>
      </c>
      <c r="G3007" s="221"/>
      <c r="H3007" s="142" t="s">
        <v>2672</v>
      </c>
      <c r="I3007" s="221">
        <f t="shared" si="100"/>
        <v>15.5</v>
      </c>
      <c r="J3007" s="221" t="s">
        <v>3347</v>
      </c>
      <c r="K3007" s="221">
        <f t="shared" si="99"/>
        <v>697.5</v>
      </c>
      <c r="L3007" s="221"/>
      <c r="M3007" s="221"/>
    </row>
    <row r="3008" spans="5:13">
      <c r="E3008" s="221"/>
      <c r="F3008" s="221"/>
      <c r="G3008" s="221"/>
      <c r="H3008" s="221" t="s">
        <v>924</v>
      </c>
      <c r="I3008" s="221"/>
      <c r="J3008" s="221" t="s">
        <v>663</v>
      </c>
      <c r="K3008" s="221">
        <f>K2857</f>
        <v>10421</v>
      </c>
      <c r="L3008" s="221"/>
      <c r="M3008" s="221"/>
    </row>
    <row r="3009" spans="5:13">
      <c r="E3009" s="221"/>
      <c r="F3009" s="221"/>
      <c r="G3009" s="221"/>
      <c r="H3009" s="221" t="s">
        <v>2296</v>
      </c>
      <c r="I3009" s="221"/>
      <c r="J3009" s="221" t="s">
        <v>663</v>
      </c>
      <c r="K3009" s="221">
        <v>50.48</v>
      </c>
      <c r="L3009" s="221"/>
      <c r="M3009" s="221"/>
    </row>
    <row r="3010" spans="5:13" ht="30" customHeight="1">
      <c r="E3010" s="221"/>
      <c r="F3010" s="221"/>
      <c r="G3010" s="221"/>
      <c r="H3010" s="226" t="s">
        <v>3355</v>
      </c>
      <c r="I3010" s="221"/>
      <c r="J3010" s="221"/>
      <c r="K3010" s="227">
        <f>SUM(K2995:K3009)</f>
        <v>14545.99</v>
      </c>
      <c r="L3010" s="221"/>
      <c r="M3010" s="221"/>
    </row>
    <row r="3011" spans="5:13" ht="30" customHeight="1">
      <c r="E3011" s="221"/>
      <c r="F3011" s="221"/>
      <c r="G3011" s="221"/>
      <c r="H3011" s="228" t="s">
        <v>3352</v>
      </c>
      <c r="I3011" s="221"/>
      <c r="J3011" s="221"/>
      <c r="K3011" s="229">
        <f>K3010/6</f>
        <v>2424.33</v>
      </c>
      <c r="L3011" s="221">
        <f>2166*6</f>
        <v>12996</v>
      </c>
      <c r="M3011" s="221">
        <f>L3011-K3010</f>
        <v>-1549.99</v>
      </c>
    </row>
    <row r="3012" spans="5:13">
      <c r="E3012" s="221"/>
      <c r="F3012" s="221"/>
      <c r="G3012" s="221"/>
      <c r="H3012" s="221"/>
      <c r="I3012" s="221"/>
      <c r="J3012" s="221"/>
      <c r="K3012" s="221"/>
      <c r="L3012" s="221">
        <f>L3011-K3010</f>
        <v>-1549.99</v>
      </c>
      <c r="M3012" s="221"/>
    </row>
    <row r="3013" spans="5:13" ht="30" customHeight="1">
      <c r="E3013" s="221"/>
      <c r="F3013" s="221"/>
      <c r="G3013" s="221"/>
      <c r="H3013" s="229" t="s">
        <v>2461</v>
      </c>
      <c r="I3013" s="221"/>
      <c r="J3013" s="221"/>
      <c r="K3013" s="221"/>
      <c r="L3013" s="221">
        <f>L3012*6</f>
        <v>-9299.94</v>
      </c>
      <c r="M3013" s="221"/>
    </row>
    <row r="3014" spans="5:13" ht="47.25">
      <c r="E3014" s="221"/>
      <c r="F3014" s="221"/>
      <c r="G3014" s="221"/>
      <c r="H3014" s="219" t="s">
        <v>2462</v>
      </c>
      <c r="I3014" s="221"/>
      <c r="J3014" s="221"/>
      <c r="K3014" s="221"/>
      <c r="L3014" s="221"/>
      <c r="M3014" s="221"/>
    </row>
    <row r="3015" spans="5:13">
      <c r="E3015" s="221"/>
      <c r="F3015" s="221"/>
      <c r="G3015" s="221"/>
      <c r="H3015" s="221"/>
      <c r="I3015" s="221"/>
      <c r="J3015" s="221"/>
      <c r="K3015" s="221"/>
      <c r="L3015" s="221"/>
      <c r="M3015" s="221"/>
    </row>
    <row r="3016" spans="5:13" ht="213.75" customHeight="1">
      <c r="E3016" s="221"/>
      <c r="F3016" s="221"/>
      <c r="G3016" s="221"/>
      <c r="H3016" s="220" t="s">
        <v>2329</v>
      </c>
      <c r="I3016" s="221"/>
      <c r="J3016" s="221"/>
      <c r="K3016" s="221"/>
      <c r="L3016" s="221"/>
      <c r="M3016" s="221"/>
    </row>
    <row r="3017" spans="5:13">
      <c r="E3017" s="221"/>
      <c r="F3017" s="221"/>
      <c r="G3017" s="221"/>
      <c r="H3017" s="221"/>
      <c r="I3017" s="221"/>
      <c r="J3017" s="221"/>
      <c r="K3017" s="221"/>
      <c r="L3017" s="221"/>
      <c r="M3017" s="221"/>
    </row>
    <row r="3018" spans="5:13" ht="30" customHeight="1">
      <c r="E3018" s="221"/>
      <c r="F3018" s="221"/>
      <c r="G3018" s="221"/>
      <c r="H3018" s="221" t="s">
        <v>2330</v>
      </c>
      <c r="I3018" s="221"/>
      <c r="J3018" s="221"/>
      <c r="K3018" s="221">
        <f>K3010-K3009</f>
        <v>14495.51</v>
      </c>
      <c r="L3018" s="221"/>
      <c r="M3018" s="221"/>
    </row>
    <row r="3019" spans="5:13" ht="30" customHeight="1">
      <c r="E3019" s="221"/>
      <c r="F3019" s="221"/>
      <c r="G3019" s="221"/>
      <c r="H3019" s="221" t="s">
        <v>2885</v>
      </c>
      <c r="I3019" s="221"/>
      <c r="J3019" s="221"/>
      <c r="K3019" s="221">
        <f>K3002</f>
        <v>81.599999999999994</v>
      </c>
      <c r="L3019" s="221"/>
      <c r="M3019" s="221"/>
    </row>
    <row r="3020" spans="5:13" ht="30" customHeight="1">
      <c r="E3020" s="221"/>
      <c r="F3020" s="221"/>
      <c r="G3020" s="221"/>
      <c r="H3020" s="221" t="s">
        <v>5019</v>
      </c>
      <c r="I3020" s="221"/>
      <c r="J3020" s="221"/>
      <c r="K3020" s="260">
        <f>16.5*6</f>
        <v>99</v>
      </c>
      <c r="L3020" s="221"/>
      <c r="M3020" s="221"/>
    </row>
    <row r="3021" spans="5:13" ht="30" customHeight="1">
      <c r="E3021" s="221"/>
      <c r="F3021" s="221"/>
      <c r="G3021" s="221"/>
      <c r="H3021" s="221" t="s">
        <v>2296</v>
      </c>
      <c r="I3021" s="221"/>
      <c r="J3021" s="221"/>
      <c r="K3021" s="221">
        <v>39.979999999999997</v>
      </c>
      <c r="L3021" s="221"/>
      <c r="M3021" s="221"/>
    </row>
    <row r="3022" spans="5:13" ht="24" customHeight="1">
      <c r="E3022" s="221"/>
      <c r="F3022" s="221"/>
      <c r="G3022" s="221"/>
      <c r="H3022" s="226" t="s">
        <v>2886</v>
      </c>
      <c r="I3022" s="221"/>
      <c r="J3022" s="221"/>
      <c r="K3022" s="227">
        <f>(K3018-K3019)+K3020+K3021</f>
        <v>14552.89</v>
      </c>
      <c r="L3022" s="221">
        <f>2167*6</f>
        <v>13002</v>
      </c>
      <c r="M3022" s="221"/>
    </row>
    <row r="3023" spans="5:13" ht="24" customHeight="1">
      <c r="E3023" s="221"/>
      <c r="F3023" s="221"/>
      <c r="G3023" s="221"/>
      <c r="H3023" s="228" t="s">
        <v>2887</v>
      </c>
      <c r="I3023" s="221"/>
      <c r="J3023" s="221"/>
      <c r="K3023" s="229">
        <f>K3022/6</f>
        <v>2425.48</v>
      </c>
      <c r="L3023" s="221">
        <f>L3022-K3022</f>
        <v>-1550.89</v>
      </c>
      <c r="M3023" s="221"/>
    </row>
    <row r="3024" spans="5:13">
      <c r="E3024" s="221"/>
      <c r="F3024" s="221"/>
      <c r="G3024" s="221"/>
      <c r="H3024" s="221"/>
      <c r="I3024" s="221"/>
      <c r="J3024" s="221"/>
      <c r="K3024" s="221"/>
      <c r="L3024" s="221"/>
      <c r="M3024" s="221"/>
    </row>
    <row r="3025" spans="5:13">
      <c r="E3025" s="221"/>
      <c r="F3025" s="221"/>
      <c r="G3025" s="221"/>
      <c r="H3025" s="229" t="s">
        <v>2888</v>
      </c>
      <c r="I3025" s="221"/>
      <c r="J3025" s="221"/>
      <c r="K3025" s="221"/>
      <c r="L3025" s="221"/>
      <c r="M3025" s="221"/>
    </row>
    <row r="3026" spans="5:13" ht="30.75" customHeight="1">
      <c r="E3026" s="221"/>
      <c r="F3026" s="221"/>
      <c r="G3026" s="221"/>
      <c r="H3026" s="219" t="s">
        <v>2929</v>
      </c>
      <c r="I3026" s="221"/>
      <c r="J3026" s="221"/>
      <c r="K3026" s="221"/>
      <c r="L3026" s="221"/>
      <c r="M3026" s="221"/>
    </row>
    <row r="3027" spans="5:13" ht="157.5">
      <c r="E3027" s="221"/>
      <c r="F3027" s="221"/>
      <c r="G3027" s="221"/>
      <c r="H3027" s="220" t="s">
        <v>2959</v>
      </c>
      <c r="I3027" s="221"/>
      <c r="J3027" s="221"/>
      <c r="K3027" s="221"/>
      <c r="L3027" s="221"/>
      <c r="M3027" s="221"/>
    </row>
    <row r="3028" spans="5:13" ht="30.75" customHeight="1">
      <c r="E3028" s="221"/>
      <c r="F3028" s="221">
        <v>90</v>
      </c>
      <c r="G3028" s="221" t="s">
        <v>835</v>
      </c>
      <c r="H3028" s="142" t="s">
        <v>2572</v>
      </c>
      <c r="I3028" s="221">
        <f t="shared" ref="I3028:I3040" si="101">I2905</f>
        <v>15.5</v>
      </c>
      <c r="J3028" s="221" t="s">
        <v>2573</v>
      </c>
      <c r="K3028" s="221">
        <f>F3028*I3028</f>
        <v>1395</v>
      </c>
      <c r="L3028" s="221"/>
      <c r="M3028" s="221"/>
    </row>
    <row r="3029" spans="5:13" ht="27.75" customHeight="1">
      <c r="E3029" s="221"/>
      <c r="F3029" s="221">
        <v>45</v>
      </c>
      <c r="G3029" s="221" t="s">
        <v>835</v>
      </c>
      <c r="H3029" s="220" t="s">
        <v>2389</v>
      </c>
      <c r="I3029" s="221">
        <f t="shared" si="101"/>
        <v>19.100000000000001</v>
      </c>
      <c r="J3029" s="221" t="s">
        <v>835</v>
      </c>
      <c r="K3029" s="221">
        <f t="shared" ref="K3029:K3040" si="102">F3029*I3029</f>
        <v>859.5</v>
      </c>
      <c r="L3029" s="221"/>
      <c r="M3029" s="221"/>
    </row>
    <row r="3030" spans="5:13">
      <c r="E3030" s="221"/>
      <c r="F3030" s="221">
        <v>12</v>
      </c>
      <c r="G3030" s="221" t="s">
        <v>1414</v>
      </c>
      <c r="H3030" s="221" t="s">
        <v>2391</v>
      </c>
      <c r="I3030" s="221">
        <f t="shared" si="101"/>
        <v>3</v>
      </c>
      <c r="J3030" s="221" t="s">
        <v>1414</v>
      </c>
      <c r="K3030" s="221">
        <f t="shared" si="102"/>
        <v>36</v>
      </c>
      <c r="L3030" s="221"/>
      <c r="M3030" s="221"/>
    </row>
    <row r="3031" spans="5:13">
      <c r="E3031" s="221"/>
      <c r="F3031" s="221">
        <v>6</v>
      </c>
      <c r="G3031" s="221" t="s">
        <v>1414</v>
      </c>
      <c r="H3031" s="221" t="s">
        <v>3432</v>
      </c>
      <c r="I3031" s="221">
        <f t="shared" si="101"/>
        <v>1.28</v>
      </c>
      <c r="J3031" s="221" t="s">
        <v>1414</v>
      </c>
      <c r="K3031" s="221">
        <f t="shared" si="102"/>
        <v>7.68</v>
      </c>
      <c r="L3031" s="221"/>
      <c r="M3031" s="221"/>
    </row>
    <row r="3032" spans="5:13">
      <c r="E3032" s="221"/>
      <c r="F3032" s="221">
        <v>6</v>
      </c>
      <c r="G3032" s="221" t="s">
        <v>1414</v>
      </c>
      <c r="H3032" s="221" t="s">
        <v>3514</v>
      </c>
      <c r="I3032" s="221">
        <f t="shared" si="101"/>
        <v>3.43</v>
      </c>
      <c r="J3032" s="221" t="s">
        <v>1414</v>
      </c>
      <c r="K3032" s="221">
        <f t="shared" si="102"/>
        <v>20.58</v>
      </c>
      <c r="L3032" s="221"/>
      <c r="M3032" s="221"/>
    </row>
    <row r="3033" spans="5:13">
      <c r="E3033" s="221"/>
      <c r="F3033" s="221">
        <v>6</v>
      </c>
      <c r="G3033" s="221" t="s">
        <v>1414</v>
      </c>
      <c r="H3033" s="221" t="s">
        <v>2662</v>
      </c>
      <c r="I3033" s="221">
        <f t="shared" si="101"/>
        <v>13.6</v>
      </c>
      <c r="J3033" s="221" t="s">
        <v>1414</v>
      </c>
      <c r="K3033" s="221">
        <f t="shared" si="102"/>
        <v>81.599999999999994</v>
      </c>
      <c r="L3033" s="221"/>
      <c r="M3033" s="221"/>
    </row>
    <row r="3034" spans="5:13">
      <c r="E3034" s="221"/>
      <c r="F3034" s="221">
        <v>6</v>
      </c>
      <c r="G3034" s="221" t="s">
        <v>1414</v>
      </c>
      <c r="H3034" s="221" t="s">
        <v>3304</v>
      </c>
      <c r="I3034" s="221">
        <f t="shared" si="101"/>
        <v>16.05</v>
      </c>
      <c r="J3034" s="221" t="s">
        <v>3435</v>
      </c>
      <c r="K3034" s="221">
        <f t="shared" si="102"/>
        <v>96.3</v>
      </c>
      <c r="L3034" s="221"/>
      <c r="M3034" s="221"/>
    </row>
    <row r="3035" spans="5:13">
      <c r="E3035" s="221"/>
      <c r="F3035" s="221">
        <v>6</v>
      </c>
      <c r="G3035" s="221" t="s">
        <v>1414</v>
      </c>
      <c r="H3035" s="221" t="s">
        <v>3913</v>
      </c>
      <c r="I3035" s="221">
        <f t="shared" si="101"/>
        <v>102.7</v>
      </c>
      <c r="J3035" s="221" t="s">
        <v>1414</v>
      </c>
      <c r="K3035" s="221">
        <f t="shared" si="102"/>
        <v>616.20000000000005</v>
      </c>
      <c r="L3035" s="221"/>
      <c r="M3035" s="221"/>
    </row>
    <row r="3036" spans="5:13">
      <c r="E3036" s="221"/>
      <c r="F3036" s="221">
        <v>0.36</v>
      </c>
      <c r="G3036" s="221" t="s">
        <v>2308</v>
      </c>
      <c r="H3036" s="221" t="s">
        <v>2669</v>
      </c>
      <c r="I3036" s="221">
        <f t="shared" si="101"/>
        <v>630</v>
      </c>
      <c r="J3036" s="221" t="s">
        <v>2308</v>
      </c>
      <c r="K3036" s="221">
        <f t="shared" si="102"/>
        <v>226.8</v>
      </c>
      <c r="L3036" s="221"/>
      <c r="M3036" s="221"/>
    </row>
    <row r="3037" spans="5:13">
      <c r="E3037" s="221"/>
      <c r="F3037" s="221">
        <v>1</v>
      </c>
      <c r="G3037" s="221" t="s">
        <v>1414</v>
      </c>
      <c r="H3037" s="221" t="s">
        <v>2864</v>
      </c>
      <c r="I3037" s="221">
        <f t="shared" si="101"/>
        <v>63.1</v>
      </c>
      <c r="J3037" s="221" t="s">
        <v>1414</v>
      </c>
      <c r="K3037" s="221">
        <f t="shared" si="102"/>
        <v>63.1</v>
      </c>
      <c r="L3037" s="221"/>
      <c r="M3037" s="221"/>
    </row>
    <row r="3038" spans="5:13">
      <c r="E3038" s="221"/>
      <c r="F3038" s="224">
        <v>1.4999999999999999E-2</v>
      </c>
      <c r="G3038" s="221" t="s">
        <v>2308</v>
      </c>
      <c r="H3038" s="221" t="s">
        <v>2669</v>
      </c>
      <c r="I3038" s="221">
        <f t="shared" si="101"/>
        <v>630</v>
      </c>
      <c r="J3038" s="221" t="s">
        <v>2308</v>
      </c>
      <c r="K3038" s="221">
        <f t="shared" si="102"/>
        <v>9.4499999999999993</v>
      </c>
      <c r="L3038" s="221"/>
      <c r="M3038" s="221"/>
    </row>
    <row r="3039" spans="5:13">
      <c r="E3039" s="221"/>
      <c r="F3039" s="221">
        <v>1.25</v>
      </c>
      <c r="G3039" s="221" t="s">
        <v>2666</v>
      </c>
      <c r="H3039" s="221" t="s">
        <v>390</v>
      </c>
      <c r="I3039" s="221">
        <f t="shared" si="101"/>
        <v>298</v>
      </c>
      <c r="J3039" s="221" t="s">
        <v>2666</v>
      </c>
      <c r="K3039" s="221">
        <f t="shared" si="102"/>
        <v>372.5</v>
      </c>
      <c r="L3039" s="221"/>
      <c r="M3039" s="221"/>
    </row>
    <row r="3040" spans="5:13" ht="31.5">
      <c r="E3040" s="221"/>
      <c r="F3040" s="221">
        <v>45</v>
      </c>
      <c r="G3040" s="221" t="s">
        <v>835</v>
      </c>
      <c r="H3040" s="142" t="s">
        <v>2672</v>
      </c>
      <c r="I3040" s="221">
        <f t="shared" si="101"/>
        <v>15.5</v>
      </c>
      <c r="J3040" s="221" t="s">
        <v>2573</v>
      </c>
      <c r="K3040" s="221">
        <f t="shared" si="102"/>
        <v>697.5</v>
      </c>
      <c r="L3040" s="221"/>
      <c r="M3040" s="221"/>
    </row>
    <row r="3041" spans="5:13">
      <c r="E3041" s="221"/>
      <c r="F3041" s="221"/>
      <c r="G3041" s="221"/>
      <c r="H3041" s="221" t="s">
        <v>924</v>
      </c>
      <c r="I3041" s="221"/>
      <c r="J3041" s="221"/>
      <c r="K3041" s="221">
        <f>K2918</f>
        <v>10421</v>
      </c>
      <c r="L3041" s="221"/>
      <c r="M3041" s="221"/>
    </row>
    <row r="3042" spans="5:13">
      <c r="E3042" s="221"/>
      <c r="F3042" s="221"/>
      <c r="G3042" s="221"/>
      <c r="H3042" s="221" t="s">
        <v>2296</v>
      </c>
      <c r="I3042" s="221"/>
      <c r="J3042" s="221"/>
      <c r="K3042" s="221">
        <v>46.07</v>
      </c>
      <c r="L3042" s="221">
        <f>43.19-K3042</f>
        <v>-2.88</v>
      </c>
      <c r="M3042" s="221"/>
    </row>
    <row r="3043" spans="5:13">
      <c r="E3043" s="221"/>
      <c r="F3043" s="221"/>
      <c r="G3043" s="221"/>
      <c r="H3043" s="226" t="s">
        <v>2886</v>
      </c>
      <c r="I3043" s="221"/>
      <c r="J3043" s="221"/>
      <c r="K3043" s="227">
        <f>SUM(K3028:K3042)</f>
        <v>14949.28</v>
      </c>
      <c r="L3043" s="221">
        <f>2225*6</f>
        <v>13350</v>
      </c>
      <c r="M3043" s="221"/>
    </row>
    <row r="3044" spans="5:13">
      <c r="E3044" s="221"/>
      <c r="F3044" s="221"/>
      <c r="G3044" s="221"/>
      <c r="H3044" s="228" t="s">
        <v>3204</v>
      </c>
      <c r="I3044" s="221"/>
      <c r="J3044" s="221"/>
      <c r="K3044" s="229">
        <f>K3043/6</f>
        <v>2491.5500000000002</v>
      </c>
      <c r="L3044" s="221">
        <f>L3043-K3043</f>
        <v>-1599.28</v>
      </c>
      <c r="M3044" s="221"/>
    </row>
    <row r="3045" spans="5:13">
      <c r="E3045" s="221"/>
      <c r="F3045" s="221"/>
      <c r="G3045" s="221"/>
      <c r="H3045" s="221"/>
      <c r="I3045" s="221"/>
      <c r="J3045" s="221"/>
      <c r="K3045" s="221"/>
      <c r="L3045" s="221"/>
      <c r="M3045" s="221"/>
    </row>
    <row r="3046" spans="5:13">
      <c r="E3046" s="221"/>
      <c r="F3046" s="221"/>
      <c r="G3046" s="221"/>
      <c r="H3046" s="229" t="s">
        <v>2960</v>
      </c>
      <c r="I3046" s="221"/>
      <c r="J3046" s="221"/>
      <c r="K3046" s="221">
        <f>0.13*6</f>
        <v>0.78</v>
      </c>
      <c r="L3046" s="221"/>
      <c r="M3046" s="221"/>
    </row>
    <row r="3047" spans="5:13" ht="48.75" customHeight="1">
      <c r="E3047" s="221"/>
      <c r="F3047" s="221"/>
      <c r="G3047" s="221"/>
      <c r="H3047" s="219" t="s">
        <v>2415</v>
      </c>
      <c r="I3047" s="221"/>
      <c r="J3047" s="221"/>
      <c r="K3047" s="221"/>
      <c r="L3047" s="221"/>
      <c r="M3047" s="221"/>
    </row>
    <row r="3048" spans="5:13" ht="192.75" customHeight="1">
      <c r="E3048" s="221"/>
      <c r="F3048" s="221"/>
      <c r="G3048" s="221"/>
      <c r="H3048" s="220" t="s">
        <v>2994</v>
      </c>
      <c r="I3048" s="221"/>
      <c r="J3048" s="221"/>
      <c r="K3048" s="221"/>
      <c r="L3048" s="221"/>
      <c r="M3048" s="221"/>
    </row>
    <row r="3049" spans="5:13" ht="30" customHeight="1">
      <c r="E3049" s="221"/>
      <c r="F3049" s="221">
        <v>90</v>
      </c>
      <c r="G3049" s="221" t="s">
        <v>835</v>
      </c>
      <c r="H3049" s="278" t="s">
        <v>2572</v>
      </c>
      <c r="I3049" s="221">
        <f t="shared" ref="I3049:I3059" si="103">I2931</f>
        <v>15.5</v>
      </c>
      <c r="J3049" s="221" t="s">
        <v>2573</v>
      </c>
      <c r="K3049" s="221">
        <f>F3049*I3049</f>
        <v>1395</v>
      </c>
      <c r="L3049" s="221"/>
      <c r="M3049" s="221"/>
    </row>
    <row r="3050" spans="5:13" ht="27.75" customHeight="1">
      <c r="E3050" s="221"/>
      <c r="F3050" s="221">
        <v>30</v>
      </c>
      <c r="G3050" s="221" t="s">
        <v>835</v>
      </c>
      <c r="H3050" s="220" t="s">
        <v>2389</v>
      </c>
      <c r="I3050" s="221">
        <f t="shared" si="103"/>
        <v>19.100000000000001</v>
      </c>
      <c r="J3050" s="221" t="s">
        <v>835</v>
      </c>
      <c r="K3050" s="221">
        <f t="shared" ref="K3050:K3059" si="104">F3050*I3050</f>
        <v>573</v>
      </c>
      <c r="L3050" s="221"/>
      <c r="M3050" s="221"/>
    </row>
    <row r="3051" spans="5:13">
      <c r="E3051" s="221"/>
      <c r="F3051" s="221">
        <v>6</v>
      </c>
      <c r="G3051" s="221" t="s">
        <v>1414</v>
      </c>
      <c r="H3051" s="221" t="s">
        <v>2391</v>
      </c>
      <c r="I3051" s="221">
        <f t="shared" si="103"/>
        <v>3</v>
      </c>
      <c r="J3051" s="221" t="s">
        <v>1414</v>
      </c>
      <c r="K3051" s="221">
        <f t="shared" si="104"/>
        <v>18</v>
      </c>
      <c r="L3051" s="221"/>
      <c r="M3051" s="221"/>
    </row>
    <row r="3052" spans="5:13">
      <c r="E3052" s="221"/>
      <c r="F3052" s="221">
        <v>3</v>
      </c>
      <c r="G3052" s="221" t="s">
        <v>1414</v>
      </c>
      <c r="H3052" s="221" t="s">
        <v>3432</v>
      </c>
      <c r="I3052" s="221">
        <f t="shared" si="103"/>
        <v>1.28</v>
      </c>
      <c r="J3052" s="221" t="s">
        <v>1414</v>
      </c>
      <c r="K3052" s="221">
        <f t="shared" si="104"/>
        <v>3.84</v>
      </c>
      <c r="L3052" s="221"/>
      <c r="M3052" s="221"/>
    </row>
    <row r="3053" spans="5:13">
      <c r="E3053" s="221"/>
      <c r="F3053" s="221">
        <v>6</v>
      </c>
      <c r="G3053" s="221" t="s">
        <v>1414</v>
      </c>
      <c r="H3053" s="221" t="s">
        <v>2476</v>
      </c>
      <c r="I3053" s="221">
        <f t="shared" si="103"/>
        <v>19.920000000000002</v>
      </c>
      <c r="J3053" s="221" t="s">
        <v>1414</v>
      </c>
      <c r="K3053" s="221">
        <f t="shared" si="104"/>
        <v>119.52</v>
      </c>
      <c r="L3053" s="221"/>
      <c r="M3053" s="221"/>
    </row>
    <row r="3054" spans="5:13">
      <c r="E3054" s="221"/>
      <c r="F3054" s="221">
        <v>3</v>
      </c>
      <c r="G3054" s="221" t="s">
        <v>1414</v>
      </c>
      <c r="H3054" s="221" t="s">
        <v>2662</v>
      </c>
      <c r="I3054" s="221">
        <f t="shared" si="103"/>
        <v>13.6</v>
      </c>
      <c r="J3054" s="221" t="s">
        <v>1414</v>
      </c>
      <c r="K3054" s="221">
        <f t="shared" si="104"/>
        <v>40.799999999999997</v>
      </c>
      <c r="L3054" s="221"/>
      <c r="M3054" s="221"/>
    </row>
    <row r="3055" spans="5:13">
      <c r="E3055" s="221"/>
      <c r="F3055" s="221">
        <v>3</v>
      </c>
      <c r="G3055" s="221" t="s">
        <v>1414</v>
      </c>
      <c r="H3055" s="221" t="s">
        <v>2664</v>
      </c>
      <c r="I3055" s="221">
        <f t="shared" si="103"/>
        <v>3.43</v>
      </c>
      <c r="J3055" s="221" t="s">
        <v>1414</v>
      </c>
      <c r="K3055" s="221">
        <f t="shared" si="104"/>
        <v>10.29</v>
      </c>
      <c r="L3055" s="221"/>
      <c r="M3055" s="221"/>
    </row>
    <row r="3056" spans="5:13">
      <c r="E3056" s="221"/>
      <c r="F3056" s="221">
        <v>3</v>
      </c>
      <c r="G3056" s="221" t="s">
        <v>1414</v>
      </c>
      <c r="H3056" s="221" t="s">
        <v>2477</v>
      </c>
      <c r="I3056" s="221">
        <f t="shared" si="103"/>
        <v>63.1</v>
      </c>
      <c r="J3056" s="221" t="s">
        <v>1414</v>
      </c>
      <c r="K3056" s="221">
        <f t="shared" si="104"/>
        <v>189.3</v>
      </c>
      <c r="L3056" s="221"/>
      <c r="M3056" s="221"/>
    </row>
    <row r="3057" spans="5:18">
      <c r="E3057" s="221"/>
      <c r="F3057" s="224">
        <v>5.3999999999999999E-2</v>
      </c>
      <c r="G3057" s="221" t="s">
        <v>2308</v>
      </c>
      <c r="H3057" s="221" t="s">
        <v>2585</v>
      </c>
      <c r="I3057" s="221">
        <f t="shared" si="103"/>
        <v>630</v>
      </c>
      <c r="J3057" s="221" t="s">
        <v>2308</v>
      </c>
      <c r="K3057" s="221">
        <f t="shared" si="104"/>
        <v>34.020000000000003</v>
      </c>
      <c r="L3057" s="221"/>
      <c r="M3057" s="221"/>
    </row>
    <row r="3058" spans="5:18">
      <c r="E3058" s="221"/>
      <c r="F3058" s="221">
        <v>1.25</v>
      </c>
      <c r="G3058" s="221" t="s">
        <v>2666</v>
      </c>
      <c r="H3058" s="221" t="s">
        <v>390</v>
      </c>
      <c r="I3058" s="221">
        <f t="shared" si="103"/>
        <v>298</v>
      </c>
      <c r="J3058" s="221" t="s">
        <v>2666</v>
      </c>
      <c r="K3058" s="221">
        <f t="shared" si="104"/>
        <v>372.5</v>
      </c>
      <c r="L3058" s="221"/>
      <c r="M3058" s="221"/>
    </row>
    <row r="3059" spans="5:18" ht="29.25" customHeight="1">
      <c r="E3059" s="221"/>
      <c r="F3059" s="221">
        <v>30</v>
      </c>
      <c r="G3059" s="221" t="s">
        <v>835</v>
      </c>
      <c r="H3059" s="142" t="s">
        <v>2672</v>
      </c>
      <c r="I3059" s="221">
        <f t="shared" si="103"/>
        <v>15.5</v>
      </c>
      <c r="J3059" s="221" t="s">
        <v>2573</v>
      </c>
      <c r="K3059" s="221">
        <f t="shared" si="104"/>
        <v>465</v>
      </c>
      <c r="L3059" s="221"/>
      <c r="M3059" s="221"/>
    </row>
    <row r="3060" spans="5:18">
      <c r="E3060" s="221"/>
      <c r="F3060" s="221"/>
      <c r="G3060" s="221"/>
      <c r="H3060" s="221" t="s">
        <v>924</v>
      </c>
      <c r="I3060" s="221"/>
      <c r="J3060" s="221"/>
      <c r="K3060" s="221">
        <f>K2942</f>
        <v>10421</v>
      </c>
      <c r="L3060" s="221"/>
      <c r="M3060" s="221"/>
    </row>
    <row r="3061" spans="5:18">
      <c r="E3061" s="221"/>
      <c r="F3061" s="221"/>
      <c r="G3061" s="221"/>
      <c r="H3061" s="221" t="s">
        <v>2296</v>
      </c>
      <c r="I3061" s="221"/>
      <c r="J3061" s="221"/>
      <c r="K3061" s="221">
        <v>18.27</v>
      </c>
      <c r="L3061" s="221"/>
      <c r="M3061" s="221"/>
    </row>
    <row r="3062" spans="5:18">
      <c r="E3062" s="221"/>
      <c r="F3062" s="221"/>
      <c r="G3062" s="221"/>
      <c r="H3062" s="226" t="s">
        <v>2995</v>
      </c>
      <c r="I3062" s="221"/>
      <c r="J3062" s="221"/>
      <c r="K3062" s="227">
        <f>SUM(K3049:K3061)</f>
        <v>13660.54</v>
      </c>
      <c r="L3062" s="221">
        <f>4070.5*3</f>
        <v>12211.5</v>
      </c>
      <c r="M3062" s="221"/>
    </row>
    <row r="3063" spans="5:18">
      <c r="E3063" s="221"/>
      <c r="F3063" s="221"/>
      <c r="G3063" s="221"/>
      <c r="H3063" s="228" t="s">
        <v>3204</v>
      </c>
      <c r="I3063" s="221"/>
      <c r="J3063" s="221"/>
      <c r="K3063" s="229">
        <f>K3062/3</f>
        <v>4553.51</v>
      </c>
      <c r="L3063" s="221">
        <f>L3062-K3062</f>
        <v>-1449.04</v>
      </c>
      <c r="M3063" s="221"/>
    </row>
    <row r="3064" spans="5:18">
      <c r="E3064" s="221"/>
      <c r="F3064" s="221"/>
      <c r="G3064" s="221"/>
      <c r="H3064" s="221"/>
      <c r="I3064" s="221"/>
      <c r="J3064" s="221"/>
      <c r="K3064" s="221"/>
      <c r="L3064" s="221"/>
      <c r="M3064" s="221"/>
    </row>
    <row r="3065" spans="5:18" ht="22.5" customHeight="1">
      <c r="E3065" s="221"/>
      <c r="F3065" s="221"/>
      <c r="G3065" s="221"/>
      <c r="H3065" s="237" t="s">
        <v>2996</v>
      </c>
      <c r="I3065" s="221"/>
      <c r="J3065" s="221"/>
      <c r="K3065" s="221"/>
      <c r="L3065" s="221"/>
      <c r="M3065" s="221"/>
    </row>
    <row r="3066" spans="5:18">
      <c r="E3066" s="221"/>
      <c r="F3066" s="221"/>
      <c r="G3066" s="221"/>
      <c r="H3066" s="221"/>
      <c r="I3066" s="221"/>
      <c r="J3066" s="221"/>
      <c r="K3066" s="221"/>
      <c r="L3066" s="221"/>
      <c r="M3066" s="221"/>
    </row>
    <row r="3067" spans="5:18" ht="24.75" customHeight="1">
      <c r="E3067" s="221"/>
      <c r="F3067" s="221"/>
      <c r="G3067" s="221"/>
      <c r="H3067" s="229" t="s">
        <v>2997</v>
      </c>
      <c r="I3067" s="221"/>
      <c r="J3067" s="221"/>
      <c r="K3067" s="221"/>
      <c r="L3067" s="221"/>
      <c r="M3067" s="221"/>
      <c r="N3067" s="221"/>
      <c r="O3067" s="229" t="s">
        <v>3001</v>
      </c>
      <c r="P3067" s="221"/>
      <c r="Q3067" s="221"/>
      <c r="R3067" s="221"/>
    </row>
    <row r="3068" spans="5:18" ht="23.25" customHeight="1">
      <c r="E3068" s="221"/>
      <c r="F3068" s="221"/>
      <c r="G3068" s="221"/>
      <c r="H3068" s="229" t="s">
        <v>2416</v>
      </c>
      <c r="I3068" s="221"/>
      <c r="J3068" s="221"/>
      <c r="K3068" s="221"/>
      <c r="L3068" s="221"/>
      <c r="M3068" s="221"/>
      <c r="N3068" s="221"/>
      <c r="O3068" s="229" t="s">
        <v>3673</v>
      </c>
      <c r="P3068" s="221"/>
      <c r="Q3068" s="221"/>
      <c r="R3068" s="221"/>
    </row>
    <row r="3069" spans="5:18">
      <c r="E3069" s="221"/>
      <c r="F3069" s="221"/>
      <c r="G3069" s="221"/>
      <c r="H3069" s="221"/>
      <c r="I3069" s="221"/>
      <c r="J3069" s="221"/>
      <c r="K3069" s="221"/>
      <c r="L3069" s="221"/>
      <c r="M3069" s="221"/>
      <c r="N3069" s="221"/>
      <c r="O3069" s="221"/>
      <c r="P3069" s="221"/>
      <c r="Q3069" s="221"/>
      <c r="R3069" s="221"/>
    </row>
    <row r="3070" spans="5:18" ht="122.25" customHeight="1">
      <c r="E3070" s="221"/>
      <c r="F3070" s="221"/>
      <c r="G3070" s="221"/>
      <c r="H3070" s="220" t="s">
        <v>2417</v>
      </c>
      <c r="I3070" s="221"/>
      <c r="J3070" s="221"/>
      <c r="K3070" s="221"/>
      <c r="L3070" s="221"/>
      <c r="M3070" s="221"/>
      <c r="N3070" s="221"/>
      <c r="O3070" s="220" t="s">
        <v>4841</v>
      </c>
      <c r="P3070" s="221"/>
      <c r="Q3070" s="221"/>
      <c r="R3070" s="221"/>
    </row>
    <row r="3071" spans="5:18" ht="31.5">
      <c r="E3071" s="221"/>
      <c r="F3071" s="221"/>
      <c r="G3071" s="221"/>
      <c r="H3071" s="221"/>
      <c r="I3071" s="221"/>
      <c r="J3071" s="221"/>
      <c r="K3071" s="221"/>
      <c r="L3071" s="221"/>
      <c r="M3071" s="221">
        <v>180</v>
      </c>
      <c r="N3071" s="221" t="s">
        <v>835</v>
      </c>
      <c r="O3071" s="142" t="s">
        <v>5081</v>
      </c>
      <c r="P3071" s="260">
        <v>56.7</v>
      </c>
      <c r="Q3071" s="221" t="s">
        <v>2573</v>
      </c>
      <c r="R3071" s="221">
        <f>M3071*P3071</f>
        <v>10206</v>
      </c>
    </row>
    <row r="3072" spans="5:18" ht="38.25" customHeight="1">
      <c r="E3072" s="221"/>
      <c r="F3072" s="221">
        <v>180</v>
      </c>
      <c r="G3072" s="221" t="s">
        <v>835</v>
      </c>
      <c r="H3072" s="278" t="s">
        <v>2572</v>
      </c>
      <c r="I3072" s="221">
        <f>I3049</f>
        <v>15.5</v>
      </c>
      <c r="J3072" s="221" t="s">
        <v>835</v>
      </c>
      <c r="K3072" s="221">
        <f>F3072*I3072</f>
        <v>2790</v>
      </c>
      <c r="L3072" s="221"/>
      <c r="M3072" s="221">
        <v>90</v>
      </c>
      <c r="N3072" s="221" t="s">
        <v>835</v>
      </c>
      <c r="O3072" s="220" t="s">
        <v>2389</v>
      </c>
      <c r="P3072" s="276">
        <f>I3099</f>
        <v>19.100000000000001</v>
      </c>
      <c r="Q3072" s="221" t="s">
        <v>835</v>
      </c>
      <c r="R3072" s="221">
        <f>M3072*P3072</f>
        <v>1719</v>
      </c>
    </row>
    <row r="3073" spans="5:20" ht="37.5" customHeight="1">
      <c r="E3073" s="221"/>
      <c r="F3073" s="221">
        <v>90</v>
      </c>
      <c r="G3073" s="221" t="s">
        <v>835</v>
      </c>
      <c r="H3073" s="220" t="s">
        <v>2389</v>
      </c>
      <c r="I3073" s="221">
        <f>I3050</f>
        <v>19.100000000000001</v>
      </c>
      <c r="J3073" s="221" t="s">
        <v>835</v>
      </c>
      <c r="K3073" s="221">
        <f>F3073*I3073</f>
        <v>1719</v>
      </c>
      <c r="L3073" s="221"/>
      <c r="M3073" s="221">
        <v>3</v>
      </c>
      <c r="N3073" s="221" t="s">
        <v>2666</v>
      </c>
      <c r="O3073" s="221" t="s">
        <v>390</v>
      </c>
      <c r="P3073" s="276">
        <f>I3100</f>
        <v>298</v>
      </c>
      <c r="Q3073" s="221" t="s">
        <v>2666</v>
      </c>
      <c r="R3073" s="221">
        <f>M3073*P3073</f>
        <v>894</v>
      </c>
    </row>
    <row r="3074" spans="5:20" ht="35.25" customHeight="1">
      <c r="E3074" s="221"/>
      <c r="F3074" s="221">
        <v>3</v>
      </c>
      <c r="G3074" s="221" t="s">
        <v>2666</v>
      </c>
      <c r="H3074" s="221" t="s">
        <v>390</v>
      </c>
      <c r="I3074" s="221">
        <f>I3058</f>
        <v>298</v>
      </c>
      <c r="J3074" s="221" t="s">
        <v>2666</v>
      </c>
      <c r="K3074" s="221">
        <f>F3074*I3074</f>
        <v>894</v>
      </c>
      <c r="L3074" s="221"/>
      <c r="M3074" s="221">
        <v>90</v>
      </c>
      <c r="N3074" s="221" t="s">
        <v>835</v>
      </c>
      <c r="O3074" s="142" t="s">
        <v>5082</v>
      </c>
      <c r="P3074" s="276">
        <v>38.299999999999997</v>
      </c>
      <c r="Q3074" s="221" t="s">
        <v>2573</v>
      </c>
      <c r="R3074" s="221">
        <f>M3074*P3074</f>
        <v>3447</v>
      </c>
    </row>
    <row r="3075" spans="5:20" ht="39.75" customHeight="1">
      <c r="E3075" s="221"/>
      <c r="F3075" s="221">
        <v>90</v>
      </c>
      <c r="G3075" s="221" t="s">
        <v>835</v>
      </c>
      <c r="H3075" s="278" t="s">
        <v>2672</v>
      </c>
      <c r="I3075" s="221">
        <f>I3072</f>
        <v>15.5</v>
      </c>
      <c r="J3075" s="221" t="s">
        <v>2573</v>
      </c>
      <c r="K3075" s="221">
        <f>F3075*I3075</f>
        <v>1395</v>
      </c>
      <c r="L3075" s="221"/>
      <c r="M3075" s="221"/>
      <c r="N3075" s="221"/>
      <c r="O3075" s="221" t="s">
        <v>924</v>
      </c>
      <c r="P3075" s="221"/>
      <c r="Q3075" s="221"/>
      <c r="R3075" s="221">
        <f>K3102</f>
        <v>10421</v>
      </c>
    </row>
    <row r="3076" spans="5:20" ht="20.25" customHeight="1">
      <c r="E3076" s="221"/>
      <c r="F3076" s="221"/>
      <c r="G3076" s="221"/>
      <c r="H3076" s="221" t="s">
        <v>924</v>
      </c>
      <c r="I3076" s="221"/>
      <c r="J3076" s="221"/>
      <c r="K3076" s="221">
        <f>K3060</f>
        <v>10421</v>
      </c>
      <c r="L3076" s="221"/>
      <c r="M3076" s="221"/>
      <c r="N3076" s="221"/>
      <c r="O3076" s="221" t="s">
        <v>2296</v>
      </c>
      <c r="P3076" s="221"/>
      <c r="Q3076" s="221"/>
      <c r="R3076" s="221">
        <v>77.400000000000006</v>
      </c>
    </row>
    <row r="3077" spans="5:20">
      <c r="E3077" s="221"/>
      <c r="F3077" s="221"/>
      <c r="G3077" s="221"/>
      <c r="H3077" s="221"/>
      <c r="I3077" s="221"/>
      <c r="J3077" s="221"/>
      <c r="K3077" s="221">
        <f>SUM(K3072:K3076)</f>
        <v>17219</v>
      </c>
      <c r="L3077" s="221"/>
      <c r="M3077" s="221"/>
      <c r="N3077" s="221"/>
      <c r="O3077" s="226" t="s">
        <v>2418</v>
      </c>
      <c r="P3077" s="221"/>
      <c r="Q3077" s="221"/>
      <c r="R3077" s="227">
        <f>SUM(R3071:R3076)</f>
        <v>26764.400000000001</v>
      </c>
    </row>
    <row r="3078" spans="5:20" ht="20.25" customHeight="1">
      <c r="E3078" s="221"/>
      <c r="F3078" s="221"/>
      <c r="G3078" s="221"/>
      <c r="H3078" s="221" t="s">
        <v>2296</v>
      </c>
      <c r="I3078" s="221"/>
      <c r="J3078" s="221"/>
      <c r="K3078" s="221">
        <v>113</v>
      </c>
      <c r="L3078" s="221"/>
      <c r="M3078" s="221"/>
      <c r="N3078" s="221"/>
      <c r="O3078" s="228" t="s">
        <v>2419</v>
      </c>
      <c r="P3078" s="221"/>
      <c r="Q3078" s="221"/>
      <c r="R3078" s="229">
        <f>R3077/90</f>
        <v>297.38</v>
      </c>
      <c r="S3078" s="87" t="s">
        <v>4423</v>
      </c>
      <c r="T3078" s="87">
        <f>S3078-R3077</f>
        <v>-26764.400000000001</v>
      </c>
    </row>
    <row r="3079" spans="5:20">
      <c r="E3079" s="221"/>
      <c r="F3079" s="221"/>
      <c r="G3079" s="221"/>
      <c r="H3079" s="226" t="s">
        <v>2418</v>
      </c>
      <c r="I3079" s="221"/>
      <c r="J3079" s="221"/>
      <c r="K3079" s="227">
        <f>SUM(K3077:K3078)</f>
        <v>17332</v>
      </c>
      <c r="L3079" s="221"/>
      <c r="M3079" s="221"/>
      <c r="N3079" s="221"/>
      <c r="O3079" s="221"/>
      <c r="P3079" s="221"/>
      <c r="Q3079" s="221"/>
      <c r="R3079" s="221"/>
      <c r="S3079" s="87">
        <f>S3078-R3077</f>
        <v>-26764.400000000001</v>
      </c>
    </row>
    <row r="3080" spans="5:20" ht="21.75" customHeight="1">
      <c r="E3080" s="221"/>
      <c r="F3080" s="221"/>
      <c r="G3080" s="221"/>
      <c r="H3080" s="228" t="s">
        <v>2419</v>
      </c>
      <c r="I3080" s="221"/>
      <c r="J3080" s="221"/>
      <c r="K3080" s="229">
        <f>K3079/90</f>
        <v>192.58</v>
      </c>
      <c r="L3080" s="221">
        <f>171.9*90</f>
        <v>15471</v>
      </c>
      <c r="M3080" s="221"/>
      <c r="S3080" s="87">
        <f>212.5*90</f>
        <v>19125</v>
      </c>
    </row>
    <row r="3081" spans="5:20">
      <c r="E3081" s="221"/>
      <c r="F3081" s="221"/>
      <c r="G3081" s="221"/>
      <c r="H3081" s="221"/>
      <c r="I3081" s="221"/>
      <c r="J3081" s="221"/>
      <c r="K3081" s="221"/>
      <c r="L3081" s="221">
        <f>L3080-K3079</f>
        <v>-1861</v>
      </c>
      <c r="M3081" s="221"/>
      <c r="S3081" s="87">
        <f>S3080-R3077</f>
        <v>-7639.4</v>
      </c>
    </row>
    <row r="3082" spans="5:20">
      <c r="E3082" s="221"/>
      <c r="F3082" s="221"/>
      <c r="G3082" s="221"/>
      <c r="H3082" s="229" t="s">
        <v>2420</v>
      </c>
      <c r="I3082" s="221"/>
      <c r="J3082" s="221"/>
      <c r="K3082" s="221"/>
      <c r="L3082" s="221"/>
      <c r="M3082" s="221"/>
    </row>
    <row r="3083" spans="5:20">
      <c r="E3083" s="221"/>
      <c r="F3083" s="221"/>
      <c r="G3083" s="221"/>
      <c r="H3083" s="229" t="s">
        <v>2421</v>
      </c>
      <c r="I3083" s="221"/>
      <c r="J3083" s="221"/>
      <c r="K3083" s="221"/>
      <c r="L3083" s="221"/>
      <c r="M3083" s="221"/>
    </row>
    <row r="3084" spans="5:20">
      <c r="E3084" s="221"/>
      <c r="F3084" s="221"/>
      <c r="G3084" s="221"/>
      <c r="H3084" s="221"/>
      <c r="I3084" s="221"/>
      <c r="J3084" s="221"/>
      <c r="K3084" s="221"/>
      <c r="L3084" s="221"/>
      <c r="M3084" s="221"/>
    </row>
    <row r="3085" spans="5:20" ht="113.25" customHeight="1">
      <c r="E3085" s="221"/>
      <c r="F3085" s="221"/>
      <c r="G3085" s="221"/>
      <c r="H3085" s="220" t="s">
        <v>3050</v>
      </c>
      <c r="I3085" s="221"/>
      <c r="J3085" s="221"/>
      <c r="K3085" s="221"/>
      <c r="L3085" s="221"/>
      <c r="M3085" s="221"/>
    </row>
    <row r="3086" spans="5:20">
      <c r="E3086" s="221"/>
      <c r="F3086" s="221"/>
      <c r="G3086" s="221"/>
      <c r="H3086" s="221"/>
      <c r="I3086" s="221"/>
      <c r="J3086" s="221"/>
      <c r="K3086" s="221"/>
      <c r="L3086" s="221"/>
      <c r="M3086" s="221"/>
    </row>
    <row r="3087" spans="5:20">
      <c r="E3087" s="221"/>
      <c r="F3087" s="221"/>
      <c r="G3087" s="221"/>
      <c r="H3087" s="221" t="s">
        <v>3051</v>
      </c>
      <c r="I3087" s="221"/>
      <c r="J3087" s="221"/>
      <c r="K3087" s="221">
        <f>K3077</f>
        <v>17219</v>
      </c>
      <c r="L3087" s="221"/>
      <c r="M3087" s="221"/>
    </row>
    <row r="3088" spans="5:20" ht="34.5" customHeight="1">
      <c r="E3088" s="221"/>
      <c r="F3088" s="221">
        <v>180</v>
      </c>
      <c r="G3088" s="221" t="s">
        <v>835</v>
      </c>
      <c r="H3088" s="220" t="s">
        <v>5020</v>
      </c>
      <c r="I3088" s="260">
        <v>24.1</v>
      </c>
      <c r="J3088" s="221" t="s">
        <v>835</v>
      </c>
      <c r="K3088" s="221">
        <f>F3088*I3088</f>
        <v>4338</v>
      </c>
      <c r="L3088" s="221"/>
      <c r="M3088" s="221"/>
    </row>
    <row r="3089" spans="5:18" ht="36.75" customHeight="1">
      <c r="E3089" s="221"/>
      <c r="F3089" s="221">
        <v>180</v>
      </c>
      <c r="G3089" s="221" t="s">
        <v>835</v>
      </c>
      <c r="H3089" s="220" t="s">
        <v>2999</v>
      </c>
      <c r="I3089" s="221">
        <f>I3075</f>
        <v>15.5</v>
      </c>
      <c r="J3089" s="221" t="s">
        <v>2573</v>
      </c>
      <c r="K3089" s="221">
        <f>F3089*I3089</f>
        <v>2790</v>
      </c>
      <c r="L3089" s="221"/>
      <c r="M3089" s="221"/>
    </row>
    <row r="3090" spans="5:18" ht="25.5" customHeight="1">
      <c r="E3090" s="221"/>
      <c r="F3090" s="221"/>
      <c r="G3090" s="221"/>
      <c r="H3090" s="221" t="s">
        <v>2296</v>
      </c>
      <c r="I3090" s="221"/>
      <c r="J3090" s="221"/>
      <c r="K3090" s="221">
        <v>113</v>
      </c>
      <c r="L3090" s="221"/>
      <c r="M3090" s="221"/>
    </row>
    <row r="3091" spans="5:18">
      <c r="E3091" s="221"/>
      <c r="F3091" s="221"/>
      <c r="G3091" s="221"/>
      <c r="H3091" s="226" t="s">
        <v>3000</v>
      </c>
      <c r="I3091" s="221"/>
      <c r="J3091" s="221"/>
      <c r="K3091" s="227">
        <f>K3087+K3088-K3089+K3090</f>
        <v>18880</v>
      </c>
      <c r="L3091" s="221"/>
      <c r="M3091" s="221"/>
    </row>
    <row r="3092" spans="5:18">
      <c r="E3092" s="221"/>
      <c r="F3092" s="221"/>
      <c r="G3092" s="221"/>
      <c r="H3092" s="228" t="s">
        <v>2419</v>
      </c>
      <c r="I3092" s="221"/>
      <c r="J3092" s="221"/>
      <c r="K3092" s="229">
        <f>K3091/90</f>
        <v>209.78</v>
      </c>
      <c r="M3092" s="221">
        <f>M3094-K3091</f>
        <v>-2095</v>
      </c>
    </row>
    <row r="3093" spans="5:18">
      <c r="E3093" s="221"/>
      <c r="F3093" s="221"/>
      <c r="G3093" s="221"/>
      <c r="H3093" s="221"/>
      <c r="I3093" s="221"/>
      <c r="J3093" s="221" t="s">
        <v>5390</v>
      </c>
      <c r="K3093" s="221"/>
      <c r="L3093" s="221">
        <f>M3094-K3091</f>
        <v>-2095</v>
      </c>
      <c r="M3093" s="221"/>
    </row>
    <row r="3094" spans="5:18">
      <c r="E3094" s="221"/>
      <c r="F3094" s="221"/>
      <c r="G3094" s="221"/>
      <c r="H3094" s="229" t="s">
        <v>3001</v>
      </c>
      <c r="I3094" s="221"/>
      <c r="J3094" s="221"/>
      <c r="K3094" s="221"/>
      <c r="L3094" s="221">
        <f>L3093-K3091</f>
        <v>-20975</v>
      </c>
      <c r="M3094" s="221">
        <f>186.5*90</f>
        <v>16785</v>
      </c>
    </row>
    <row r="3095" spans="5:18">
      <c r="E3095" s="221"/>
      <c r="F3095" s="221"/>
      <c r="G3095" s="221"/>
      <c r="H3095" s="229" t="s">
        <v>3002</v>
      </c>
      <c r="I3095" s="221"/>
      <c r="J3095" s="221"/>
      <c r="K3095" s="221"/>
      <c r="L3095" s="221"/>
      <c r="M3095" s="221"/>
    </row>
    <row r="3096" spans="5:18">
      <c r="E3096" s="221"/>
      <c r="F3096" s="221"/>
      <c r="G3096" s="221"/>
      <c r="H3096" s="221"/>
      <c r="I3096" s="221"/>
      <c r="J3096" s="221"/>
      <c r="K3096" s="221"/>
      <c r="L3096" s="221"/>
      <c r="M3096" s="221"/>
    </row>
    <row r="3097" spans="5:18" ht="111.75" customHeight="1">
      <c r="E3097" s="221"/>
      <c r="F3097" s="221"/>
      <c r="G3097" s="221"/>
      <c r="H3097" s="220" t="s">
        <v>3229</v>
      </c>
      <c r="I3097" s="221"/>
      <c r="J3097" s="221"/>
      <c r="K3097" s="221"/>
      <c r="L3097" s="221"/>
      <c r="M3097" s="221"/>
      <c r="N3097" s="221"/>
      <c r="O3097" s="220"/>
      <c r="P3097" s="221"/>
      <c r="Q3097" s="221"/>
      <c r="R3097" s="221"/>
    </row>
    <row r="3098" spans="5:18" ht="36" customHeight="1">
      <c r="E3098" s="221"/>
      <c r="F3098" s="221">
        <v>180</v>
      </c>
      <c r="G3098" s="221" t="s">
        <v>835</v>
      </c>
      <c r="H3098" s="278" t="s">
        <v>5021</v>
      </c>
      <c r="I3098" s="260">
        <v>38.299999999999997</v>
      </c>
      <c r="J3098" s="221" t="s">
        <v>2573</v>
      </c>
      <c r="K3098" s="221">
        <f>F3098*I3098</f>
        <v>6894</v>
      </c>
      <c r="L3098" s="221"/>
      <c r="M3098" s="221"/>
      <c r="N3098" s="221"/>
      <c r="O3098" s="142"/>
      <c r="P3098" s="221"/>
      <c r="Q3098" s="221"/>
      <c r="R3098" s="221"/>
    </row>
    <row r="3099" spans="5:18" ht="39" customHeight="1">
      <c r="E3099" s="221"/>
      <c r="F3099" s="221">
        <v>90</v>
      </c>
      <c r="G3099" s="221" t="s">
        <v>835</v>
      </c>
      <c r="H3099" s="220" t="s">
        <v>2389</v>
      </c>
      <c r="I3099" s="221">
        <f>I3073</f>
        <v>19.100000000000001</v>
      </c>
      <c r="J3099" s="221" t="s">
        <v>835</v>
      </c>
      <c r="K3099" s="221">
        <f>F3099*I3099</f>
        <v>1719</v>
      </c>
      <c r="L3099" s="221"/>
      <c r="M3099" s="221"/>
      <c r="N3099" s="221"/>
      <c r="O3099" s="220"/>
      <c r="P3099" s="221"/>
      <c r="Q3099" s="221"/>
      <c r="R3099" s="221"/>
    </row>
    <row r="3100" spans="5:18" ht="23.25" customHeight="1">
      <c r="E3100" s="221"/>
      <c r="F3100" s="221">
        <v>3</v>
      </c>
      <c r="G3100" s="221" t="s">
        <v>2666</v>
      </c>
      <c r="H3100" s="221" t="s">
        <v>390</v>
      </c>
      <c r="I3100" s="221">
        <f>I3074</f>
        <v>298</v>
      </c>
      <c r="J3100" s="221" t="s">
        <v>2666</v>
      </c>
      <c r="K3100" s="221">
        <f>F3100*I3100</f>
        <v>894</v>
      </c>
      <c r="L3100" s="221"/>
      <c r="M3100" s="221"/>
      <c r="N3100" s="221"/>
      <c r="O3100" s="221"/>
      <c r="P3100" s="221"/>
      <c r="Q3100" s="221"/>
      <c r="R3100" s="221"/>
    </row>
    <row r="3101" spans="5:18" ht="38.25" customHeight="1">
      <c r="E3101" s="221"/>
      <c r="F3101" s="221">
        <v>90</v>
      </c>
      <c r="G3101" s="221" t="s">
        <v>835</v>
      </c>
      <c r="H3101" s="278" t="s">
        <v>3949</v>
      </c>
      <c r="I3101" s="221">
        <f>I3088</f>
        <v>24.1</v>
      </c>
      <c r="J3101" s="221" t="s">
        <v>2573</v>
      </c>
      <c r="K3101" s="221">
        <f>F3101*I3101</f>
        <v>2169</v>
      </c>
      <c r="L3101" s="221"/>
      <c r="M3101" s="221"/>
      <c r="N3101" s="221"/>
      <c r="O3101" s="142"/>
      <c r="P3101" s="221"/>
      <c r="Q3101" s="221"/>
      <c r="R3101" s="221"/>
    </row>
    <row r="3102" spans="5:18">
      <c r="E3102" s="221"/>
      <c r="F3102" s="221"/>
      <c r="G3102" s="221"/>
      <c r="H3102" s="221" t="s">
        <v>924</v>
      </c>
      <c r="I3102" s="221"/>
      <c r="J3102" s="221"/>
      <c r="K3102" s="221">
        <f>K3076</f>
        <v>10421</v>
      </c>
      <c r="L3102" s="221"/>
      <c r="M3102" s="221"/>
      <c r="N3102" s="221"/>
      <c r="O3102" s="221"/>
      <c r="P3102" s="221"/>
      <c r="Q3102" s="221"/>
      <c r="R3102" s="221"/>
    </row>
    <row r="3103" spans="5:18">
      <c r="E3103" s="221"/>
      <c r="F3103" s="221"/>
      <c r="G3103" s="221"/>
      <c r="H3103" s="221" t="s">
        <v>2296</v>
      </c>
      <c r="I3103" s="221"/>
      <c r="J3103" s="221"/>
      <c r="K3103" s="221">
        <v>104</v>
      </c>
      <c r="L3103" s="221"/>
      <c r="M3103" s="221"/>
      <c r="N3103" s="221"/>
      <c r="O3103" s="221"/>
      <c r="P3103" s="221"/>
      <c r="Q3103" s="221"/>
      <c r="R3103" s="221"/>
    </row>
    <row r="3104" spans="5:18">
      <c r="E3104" s="221"/>
      <c r="F3104" s="221"/>
      <c r="G3104" s="221"/>
      <c r="H3104" s="226" t="s">
        <v>2418</v>
      </c>
      <c r="I3104" s="221"/>
      <c r="J3104" s="221"/>
      <c r="K3104" s="227">
        <f>SUM(K3098:K3103)</f>
        <v>22201</v>
      </c>
      <c r="L3104" s="221"/>
      <c r="M3104" s="221"/>
      <c r="N3104" s="221"/>
      <c r="O3104" s="226"/>
      <c r="P3104" s="221"/>
      <c r="Q3104" s="221"/>
      <c r="R3104" s="227"/>
    </row>
    <row r="3105" spans="5:21">
      <c r="E3105" s="221"/>
      <c r="F3105" s="221"/>
      <c r="G3105" s="221"/>
      <c r="H3105" s="228" t="s">
        <v>2419</v>
      </c>
      <c r="I3105" s="221"/>
      <c r="J3105" s="221"/>
      <c r="K3105" s="229">
        <f>K3104/90</f>
        <v>246.68</v>
      </c>
      <c r="L3105" s="221">
        <f>218.6*90</f>
        <v>19674</v>
      </c>
      <c r="M3105" s="221"/>
      <c r="N3105" s="221"/>
      <c r="O3105" s="228"/>
      <c r="P3105" s="221"/>
      <c r="Q3105" s="221"/>
      <c r="R3105" s="229"/>
    </row>
    <row r="3106" spans="5:21">
      <c r="E3106" s="221"/>
      <c r="F3106" s="221"/>
      <c r="G3106" s="221"/>
      <c r="H3106" s="221"/>
      <c r="I3106" s="221"/>
      <c r="J3106" s="221"/>
      <c r="K3106" s="221"/>
      <c r="L3106" s="221">
        <f>L3105-K3104</f>
        <v>-2527</v>
      </c>
      <c r="M3106" s="221"/>
    </row>
    <row r="3107" spans="5:21">
      <c r="E3107" s="221"/>
      <c r="F3107" s="221"/>
      <c r="G3107" s="221"/>
      <c r="H3107" s="221"/>
      <c r="I3107" s="221"/>
      <c r="J3107" s="221"/>
      <c r="K3107" s="221"/>
      <c r="L3107" s="221"/>
      <c r="M3107" s="221"/>
    </row>
    <row r="3108" spans="5:21">
      <c r="E3108" s="221"/>
      <c r="F3108" s="221"/>
      <c r="G3108" s="221"/>
      <c r="H3108" s="229" t="s">
        <v>3231</v>
      </c>
      <c r="I3108" s="221"/>
      <c r="J3108" s="221"/>
      <c r="K3108" s="221"/>
      <c r="L3108" s="221"/>
      <c r="M3108" s="221"/>
      <c r="N3108" s="221"/>
      <c r="O3108" s="229" t="s">
        <v>3231</v>
      </c>
      <c r="P3108" s="221"/>
      <c r="Q3108" s="221"/>
      <c r="R3108" s="221"/>
      <c r="S3108" s="221"/>
    </row>
    <row r="3109" spans="5:21">
      <c r="E3109" s="221"/>
      <c r="F3109" s="221"/>
      <c r="G3109" s="221"/>
      <c r="H3109" s="229" t="s">
        <v>2361</v>
      </c>
      <c r="I3109" s="221"/>
      <c r="J3109" s="221"/>
      <c r="K3109" s="221"/>
      <c r="L3109" s="221"/>
      <c r="M3109" s="221"/>
      <c r="N3109" s="221"/>
      <c r="O3109" s="229" t="s">
        <v>3664</v>
      </c>
      <c r="P3109" s="221"/>
      <c r="Q3109" s="221"/>
      <c r="R3109" s="221"/>
      <c r="S3109" s="221"/>
    </row>
    <row r="3110" spans="5:21">
      <c r="E3110" s="221"/>
      <c r="F3110" s="221"/>
      <c r="G3110" s="221"/>
      <c r="H3110" s="221"/>
      <c r="I3110" s="221"/>
      <c r="J3110" s="221"/>
      <c r="K3110" s="221"/>
      <c r="L3110" s="221"/>
      <c r="M3110" s="221"/>
      <c r="N3110" s="221"/>
      <c r="O3110" s="221"/>
      <c r="P3110" s="221"/>
      <c r="Q3110" s="221"/>
      <c r="R3110" s="221"/>
      <c r="S3110" s="221"/>
    </row>
    <row r="3111" spans="5:21" ht="115.5" customHeight="1">
      <c r="E3111" s="221"/>
      <c r="F3111" s="221"/>
      <c r="G3111" s="221"/>
      <c r="H3111" s="220" t="s">
        <v>2370</v>
      </c>
      <c r="I3111" s="221"/>
      <c r="J3111" s="221"/>
      <c r="K3111" s="221"/>
      <c r="L3111" s="221"/>
      <c r="M3111" s="221"/>
      <c r="N3111" s="221"/>
      <c r="O3111" s="1846" t="s">
        <v>3665</v>
      </c>
      <c r="P3111" s="1846"/>
      <c r="Q3111" s="221"/>
      <c r="R3111" s="221"/>
      <c r="S3111" s="221"/>
    </row>
    <row r="3112" spans="5:21" ht="34.5" customHeight="1">
      <c r="E3112" s="221"/>
      <c r="F3112" s="221">
        <v>360</v>
      </c>
      <c r="G3112" s="221"/>
      <c r="H3112" s="278" t="s">
        <v>4771</v>
      </c>
      <c r="I3112" s="260">
        <f>I3098</f>
        <v>38.299999999999997</v>
      </c>
      <c r="J3112" s="221" t="s">
        <v>2573</v>
      </c>
      <c r="K3112" s="221">
        <f>F3112*I3112</f>
        <v>13788</v>
      </c>
      <c r="L3112" s="221"/>
      <c r="M3112" s="221">
        <v>360</v>
      </c>
      <c r="N3112" s="221"/>
      <c r="O3112" s="142" t="s">
        <v>4785</v>
      </c>
      <c r="P3112" s="276">
        <f>P3071</f>
        <v>56.7</v>
      </c>
      <c r="Q3112" s="221" t="s">
        <v>2573</v>
      </c>
      <c r="R3112" s="221">
        <f>M3112*P3112</f>
        <v>20412</v>
      </c>
      <c r="S3112" s="221"/>
    </row>
    <row r="3113" spans="5:21" ht="36" customHeight="1">
      <c r="E3113" s="221"/>
      <c r="F3113" s="221">
        <v>90</v>
      </c>
      <c r="G3113" s="221"/>
      <c r="H3113" s="220" t="s">
        <v>5022</v>
      </c>
      <c r="I3113" s="260">
        <v>28.4</v>
      </c>
      <c r="J3113" s="221" t="s">
        <v>835</v>
      </c>
      <c r="K3113" s="221">
        <f>F3113*I3113</f>
        <v>2556</v>
      </c>
      <c r="L3113" s="221"/>
      <c r="M3113" s="221">
        <v>90</v>
      </c>
      <c r="N3113" s="221"/>
      <c r="O3113" s="220" t="s">
        <v>3948</v>
      </c>
      <c r="P3113" s="276">
        <f>I3113</f>
        <v>28.4</v>
      </c>
      <c r="Q3113" s="221" t="s">
        <v>835</v>
      </c>
      <c r="R3113" s="221">
        <f>M3113*P3113</f>
        <v>2556</v>
      </c>
      <c r="S3113" s="221"/>
    </row>
    <row r="3114" spans="5:21" ht="21" customHeight="1">
      <c r="E3114" s="221"/>
      <c r="F3114" s="221">
        <v>3</v>
      </c>
      <c r="G3114" s="221"/>
      <c r="H3114" s="221" t="s">
        <v>390</v>
      </c>
      <c r="I3114" s="221">
        <f>I3100</f>
        <v>298</v>
      </c>
      <c r="J3114" s="221" t="s">
        <v>2666</v>
      </c>
      <c r="K3114" s="221">
        <f>F3114*I3114</f>
        <v>894</v>
      </c>
      <c r="L3114" s="221"/>
      <c r="M3114" s="221">
        <v>3</v>
      </c>
      <c r="N3114" s="221"/>
      <c r="O3114" s="221" t="s">
        <v>390</v>
      </c>
      <c r="P3114" s="276">
        <f>I3114</f>
        <v>298</v>
      </c>
      <c r="Q3114" s="221" t="s">
        <v>2666</v>
      </c>
      <c r="R3114" s="221">
        <f>M3114*P3114</f>
        <v>894</v>
      </c>
      <c r="S3114" s="221"/>
    </row>
    <row r="3115" spans="5:21" ht="33.75" customHeight="1">
      <c r="E3115" s="221"/>
      <c r="F3115" s="221">
        <v>90</v>
      </c>
      <c r="G3115" s="221"/>
      <c r="H3115" s="278" t="s">
        <v>4398</v>
      </c>
      <c r="I3115" s="221">
        <f>I3101</f>
        <v>24.1</v>
      </c>
      <c r="J3115" s="221" t="s">
        <v>2573</v>
      </c>
      <c r="K3115" s="221">
        <f>F3115*I3115</f>
        <v>2169</v>
      </c>
      <c r="L3115" s="221"/>
      <c r="M3115" s="221">
        <v>90</v>
      </c>
      <c r="N3115" s="221"/>
      <c r="O3115" s="142" t="s">
        <v>5084</v>
      </c>
      <c r="P3115" s="276">
        <f>P3074</f>
        <v>38.299999999999997</v>
      </c>
      <c r="Q3115" s="221" t="s">
        <v>2573</v>
      </c>
      <c r="R3115" s="221">
        <f>M3115*P3115</f>
        <v>3447</v>
      </c>
      <c r="S3115" s="221"/>
    </row>
    <row r="3116" spans="5:21">
      <c r="E3116" s="221"/>
      <c r="F3116" s="221"/>
      <c r="G3116" s="221"/>
      <c r="H3116" s="221" t="s">
        <v>924</v>
      </c>
      <c r="I3116" s="221"/>
      <c r="J3116" s="221"/>
      <c r="K3116" s="221">
        <f>I3122</f>
        <v>13715.5</v>
      </c>
      <c r="L3116" s="221"/>
      <c r="M3116" s="221"/>
      <c r="N3116" s="221"/>
      <c r="O3116" s="221" t="s">
        <v>924</v>
      </c>
      <c r="P3116" s="221"/>
      <c r="Q3116" s="221"/>
      <c r="R3116" s="221">
        <f>K3116</f>
        <v>13715.5</v>
      </c>
      <c r="S3116" s="221"/>
    </row>
    <row r="3117" spans="5:21">
      <c r="E3117" s="221"/>
      <c r="F3117" s="221"/>
      <c r="G3117" s="221"/>
      <c r="H3117" s="221" t="s">
        <v>2296</v>
      </c>
      <c r="I3117" s="221"/>
      <c r="J3117" s="221"/>
      <c r="K3117" s="221">
        <v>48.5</v>
      </c>
      <c r="L3117" s="221"/>
      <c r="M3117" s="221"/>
      <c r="N3117" s="221"/>
      <c r="O3117" s="221" t="s">
        <v>2296</v>
      </c>
      <c r="P3117" s="221"/>
      <c r="Q3117" s="221"/>
      <c r="R3117" s="221">
        <f>111.6+83.67</f>
        <v>195.27</v>
      </c>
      <c r="S3117" s="221"/>
    </row>
    <row r="3118" spans="5:21">
      <c r="E3118" s="221"/>
      <c r="F3118" s="221"/>
      <c r="G3118" s="221"/>
      <c r="H3118" s="226" t="s">
        <v>2418</v>
      </c>
      <c r="I3118" s="221"/>
      <c r="J3118" s="221"/>
      <c r="K3118" s="227">
        <f>SUM(K3112:K3117)</f>
        <v>33171</v>
      </c>
      <c r="L3118" s="221"/>
      <c r="M3118" s="221"/>
      <c r="N3118" s="221"/>
      <c r="O3118" s="226" t="s">
        <v>2418</v>
      </c>
      <c r="P3118" s="221"/>
      <c r="Q3118" s="221"/>
      <c r="R3118" s="227">
        <f>SUM(R3112:R3117)</f>
        <v>41219.769999999997</v>
      </c>
      <c r="S3118" s="221">
        <f>217.3*90</f>
        <v>19557</v>
      </c>
    </row>
    <row r="3119" spans="5:21">
      <c r="E3119" s="221"/>
      <c r="F3119" s="221"/>
      <c r="G3119" s="221"/>
      <c r="H3119" s="228" t="s">
        <v>2419</v>
      </c>
      <c r="I3119" s="221"/>
      <c r="J3119" s="221"/>
      <c r="K3119" s="229">
        <f>K3118/90</f>
        <v>368.57</v>
      </c>
      <c r="L3119" s="221">
        <f>325.8*90</f>
        <v>29322</v>
      </c>
      <c r="M3119" s="221"/>
      <c r="N3119" s="221"/>
      <c r="O3119" s="228" t="s">
        <v>2419</v>
      </c>
      <c r="P3119" s="221"/>
      <c r="Q3119" s="221"/>
      <c r="R3119" s="229">
        <f>R3118/90</f>
        <v>458</v>
      </c>
      <c r="S3119" s="221">
        <f>336*90</f>
        <v>30240</v>
      </c>
      <c r="T3119" s="87">
        <f>375.8*90</f>
        <v>33822</v>
      </c>
      <c r="U3119" s="87">
        <f>T3119-R3118</f>
        <v>-7397.77</v>
      </c>
    </row>
    <row r="3120" spans="5:21">
      <c r="E3120" s="221"/>
      <c r="F3120" s="221"/>
      <c r="G3120" s="221"/>
      <c r="H3120" s="221"/>
      <c r="I3120" s="221"/>
      <c r="J3120" s="221"/>
      <c r="K3120" s="221"/>
      <c r="L3120" s="221">
        <f>L3119-K3118</f>
        <v>-3849</v>
      </c>
      <c r="M3120" s="221"/>
      <c r="S3120" s="87">
        <f>S3119-R3118</f>
        <v>-10979.77</v>
      </c>
    </row>
    <row r="3121" spans="5:19">
      <c r="E3121" s="221"/>
      <c r="F3121" s="221"/>
      <c r="G3121" s="221"/>
      <c r="H3121" s="229" t="s">
        <v>2372</v>
      </c>
      <c r="I3121" s="221"/>
      <c r="J3121" s="221"/>
      <c r="K3121" s="221"/>
      <c r="L3121" s="221"/>
      <c r="M3121" s="221"/>
    </row>
    <row r="3122" spans="5:19" s="266" customFormat="1">
      <c r="E3122" s="264"/>
      <c r="F3122" s="264"/>
      <c r="G3122" s="264"/>
      <c r="H3122" s="264" t="s">
        <v>5023</v>
      </c>
      <c r="I3122" s="265">
        <f>(1.5*K2873)-((K2871+K2872)/2)</f>
        <v>13715.5</v>
      </c>
      <c r="J3122" s="264"/>
      <c r="K3122" s="264"/>
      <c r="L3122" s="264">
        <f>(1.5*5914)-((888+1232)/2)</f>
        <v>7811</v>
      </c>
      <c r="M3122" s="221"/>
      <c r="N3122" s="221"/>
      <c r="O3122" s="229" t="s">
        <v>3231</v>
      </c>
      <c r="P3122" s="221"/>
      <c r="Q3122" s="221"/>
      <c r="R3122" s="221"/>
    </row>
    <row r="3123" spans="5:19">
      <c r="E3123" s="221"/>
      <c r="F3123" s="221"/>
      <c r="G3123" s="221"/>
      <c r="H3123" s="221">
        <f>1.5*K2873-(K2871+K2872)/2</f>
        <v>13715.5</v>
      </c>
      <c r="I3123" s="221"/>
      <c r="J3123" s="221"/>
      <c r="K3123" s="221"/>
      <c r="L3123" s="221"/>
      <c r="M3123" s="221"/>
      <c r="N3123" s="221"/>
      <c r="O3123" s="229" t="s">
        <v>3666</v>
      </c>
      <c r="P3123" s="221"/>
      <c r="Q3123" s="221"/>
      <c r="R3123" s="221"/>
    </row>
    <row r="3124" spans="5:19">
      <c r="E3124" s="221"/>
      <c r="F3124" s="221"/>
      <c r="G3124" s="221"/>
      <c r="H3124" s="221"/>
      <c r="I3124" s="221"/>
      <c r="J3124" s="221"/>
      <c r="K3124" s="221"/>
      <c r="L3124" s="221"/>
      <c r="M3124" s="221"/>
      <c r="N3124" s="221"/>
      <c r="O3124" s="221"/>
      <c r="P3124" s="221"/>
      <c r="Q3124" s="221"/>
      <c r="R3124" s="221"/>
    </row>
    <row r="3125" spans="5:19" ht="96" customHeight="1">
      <c r="E3125" s="221"/>
      <c r="F3125" s="221"/>
      <c r="G3125" s="221"/>
      <c r="I3125" s="221"/>
      <c r="J3125" s="221"/>
      <c r="K3125" s="221"/>
      <c r="L3125" s="221"/>
      <c r="M3125" s="221"/>
      <c r="N3125" s="221"/>
      <c r="O3125" s="220" t="s">
        <v>3667</v>
      </c>
      <c r="P3125" s="221"/>
      <c r="Q3125" s="221"/>
      <c r="R3125" s="221"/>
    </row>
    <row r="3126" spans="5:19" ht="31.5">
      <c r="E3126" s="221"/>
      <c r="F3126" s="221"/>
      <c r="G3126" s="221"/>
      <c r="H3126" s="237" t="s">
        <v>2373</v>
      </c>
      <c r="I3126" s="221"/>
      <c r="J3126" s="221"/>
      <c r="K3126" s="221"/>
      <c r="L3126" s="221"/>
      <c r="M3126" s="221">
        <v>360</v>
      </c>
      <c r="N3126" s="221"/>
      <c r="O3126" s="296" t="s">
        <v>5085</v>
      </c>
      <c r="P3126" s="260">
        <v>85.3</v>
      </c>
      <c r="Q3126" s="221" t="s">
        <v>2573</v>
      </c>
      <c r="R3126" s="221">
        <f>M3126*P3126</f>
        <v>30708</v>
      </c>
    </row>
    <row r="3127" spans="5:19" ht="18" customHeight="1">
      <c r="E3127" s="221"/>
      <c r="F3127" s="221"/>
      <c r="G3127" s="221"/>
      <c r="H3127" s="229" t="s">
        <v>2374</v>
      </c>
      <c r="I3127" s="221"/>
      <c r="J3127" s="221"/>
      <c r="K3127" s="221"/>
      <c r="L3127" s="221"/>
      <c r="M3127" s="221">
        <v>90</v>
      </c>
      <c r="N3127" s="221"/>
      <c r="O3127" s="220" t="s">
        <v>3950</v>
      </c>
      <c r="P3127" s="276">
        <f>P3113</f>
        <v>28.4</v>
      </c>
      <c r="Q3127" s="221" t="s">
        <v>835</v>
      </c>
      <c r="R3127" s="221">
        <f>M3127*P3127</f>
        <v>2556</v>
      </c>
    </row>
    <row r="3128" spans="5:19">
      <c r="E3128" s="221"/>
      <c r="F3128" s="221"/>
      <c r="G3128" s="221"/>
      <c r="H3128" s="221"/>
      <c r="I3128" s="221"/>
      <c r="J3128" s="221"/>
      <c r="K3128" s="221"/>
      <c r="L3128" s="221"/>
      <c r="M3128" s="221">
        <v>3</v>
      </c>
      <c r="N3128" s="221"/>
      <c r="O3128" s="221" t="s">
        <v>390</v>
      </c>
      <c r="P3128" s="276">
        <f>P3114</f>
        <v>298</v>
      </c>
      <c r="Q3128" s="221" t="s">
        <v>2666</v>
      </c>
      <c r="R3128" s="221">
        <f>M3128*P3128</f>
        <v>894</v>
      </c>
    </row>
    <row r="3129" spans="5:19" ht="33.75" customHeight="1">
      <c r="E3129" s="221"/>
      <c r="F3129" s="221"/>
      <c r="G3129" s="221"/>
      <c r="H3129" s="229" t="s">
        <v>4807</v>
      </c>
      <c r="I3129" s="221"/>
      <c r="J3129" s="221"/>
      <c r="K3129" s="221"/>
      <c r="L3129" s="221"/>
      <c r="M3129" s="221">
        <v>90</v>
      </c>
      <c r="N3129" s="221"/>
      <c r="O3129" s="142" t="s">
        <v>5086</v>
      </c>
      <c r="P3129" s="276">
        <f>P3112</f>
        <v>56.7</v>
      </c>
      <c r="Q3129" s="221" t="s">
        <v>2573</v>
      </c>
      <c r="R3129" s="221">
        <f>M3129*P3129</f>
        <v>5103</v>
      </c>
    </row>
    <row r="3130" spans="5:19">
      <c r="E3130" s="221"/>
      <c r="F3130" s="221"/>
      <c r="G3130" s="221"/>
      <c r="H3130" s="221"/>
      <c r="I3130" s="221"/>
      <c r="J3130" s="221"/>
      <c r="K3130" s="221"/>
      <c r="L3130" s="221"/>
      <c r="M3130" s="221"/>
      <c r="N3130" s="221"/>
      <c r="O3130" s="221" t="s">
        <v>924</v>
      </c>
      <c r="P3130" s="221"/>
      <c r="Q3130" s="221"/>
      <c r="R3130" s="221">
        <f>R3116</f>
        <v>13715.5</v>
      </c>
    </row>
    <row r="3131" spans="5:19" ht="47.25">
      <c r="E3131" s="221"/>
      <c r="F3131" s="221"/>
      <c r="G3131" s="221"/>
      <c r="H3131" s="220" t="s">
        <v>2376</v>
      </c>
      <c r="I3131" s="221"/>
      <c r="J3131" s="221"/>
      <c r="K3131" s="221"/>
      <c r="L3131" s="221"/>
      <c r="M3131" s="221"/>
      <c r="N3131" s="221"/>
      <c r="O3131" s="221" t="s">
        <v>2296</v>
      </c>
      <c r="P3131" s="221"/>
      <c r="Q3131" s="221"/>
      <c r="R3131" s="221">
        <v>57.6</v>
      </c>
    </row>
    <row r="3132" spans="5:19">
      <c r="E3132" s="221"/>
      <c r="F3132" s="221">
        <v>1</v>
      </c>
      <c r="G3132" s="221" t="s">
        <v>1414</v>
      </c>
      <c r="H3132" s="221" t="s">
        <v>5024</v>
      </c>
      <c r="I3132" s="260">
        <v>274.89999999999998</v>
      </c>
      <c r="J3132" s="221" t="s">
        <v>1414</v>
      </c>
      <c r="K3132" s="221">
        <f>F3132*I3132</f>
        <v>274.89999999999998</v>
      </c>
      <c r="L3132" s="221"/>
      <c r="M3132" s="221"/>
      <c r="N3132" s="221"/>
      <c r="O3132" s="226" t="s">
        <v>2418</v>
      </c>
      <c r="P3132" s="221"/>
      <c r="Q3132" s="221"/>
      <c r="R3132" s="227">
        <f>SUM(R3126:R3131)</f>
        <v>53034.1</v>
      </c>
    </row>
    <row r="3133" spans="5:19">
      <c r="E3133" s="221"/>
      <c r="F3133" s="221"/>
      <c r="G3133" s="221"/>
      <c r="H3133" s="221" t="s">
        <v>2296</v>
      </c>
      <c r="I3133" s="221"/>
      <c r="J3133" s="221"/>
      <c r="K3133" s="221">
        <v>6</v>
      </c>
      <c r="L3133" s="221">
        <f>K3132*5%</f>
        <v>13.75</v>
      </c>
      <c r="M3133" s="221"/>
      <c r="N3133" s="221"/>
      <c r="O3133" s="228" t="s">
        <v>2419</v>
      </c>
      <c r="P3133" s="221"/>
      <c r="Q3133" s="221"/>
      <c r="R3133" s="229">
        <f>R3132/90</f>
        <v>589.27</v>
      </c>
      <c r="S3133" s="87">
        <f>440*90</f>
        <v>39600</v>
      </c>
    </row>
    <row r="3134" spans="5:19">
      <c r="E3134" s="221"/>
      <c r="F3134" s="221"/>
      <c r="G3134" s="221"/>
      <c r="H3134" s="221" t="s">
        <v>924</v>
      </c>
      <c r="I3134" s="221"/>
      <c r="J3134" s="221"/>
      <c r="K3134" s="221">
        <f>K3142</f>
        <v>205.6</v>
      </c>
      <c r="L3134" s="221"/>
      <c r="M3134" s="221"/>
      <c r="S3134" s="87">
        <f>S3133-R3132</f>
        <v>-13434.1</v>
      </c>
    </row>
    <row r="3135" spans="5:19">
      <c r="E3135" s="221"/>
      <c r="F3135" s="221"/>
      <c r="G3135" s="221"/>
      <c r="H3135" s="228" t="s">
        <v>2377</v>
      </c>
      <c r="I3135" s="221"/>
      <c r="J3135" s="221"/>
      <c r="K3135" s="229">
        <f>SUM(K3132:K3134)</f>
        <v>486.5</v>
      </c>
      <c r="L3135" s="221">
        <f>K3135-401</f>
        <v>85.5</v>
      </c>
      <c r="M3135" s="221"/>
    </row>
    <row r="3136" spans="5:19">
      <c r="E3136" s="221"/>
      <c r="F3136" s="221"/>
      <c r="G3136" s="221"/>
      <c r="H3136" s="221"/>
      <c r="I3136" s="221"/>
      <c r="J3136" s="221"/>
      <c r="K3136" s="221"/>
      <c r="L3136" s="221"/>
      <c r="M3136" s="221"/>
    </row>
    <row r="3137" spans="5:13">
      <c r="E3137" s="221"/>
      <c r="F3137" s="221"/>
      <c r="G3137" s="221"/>
      <c r="H3137" s="221"/>
      <c r="I3137" s="221"/>
      <c r="J3137" s="221"/>
      <c r="K3137" s="221"/>
      <c r="L3137" s="221"/>
      <c r="M3137" s="221"/>
    </row>
    <row r="3138" spans="5:13">
      <c r="E3138" s="221"/>
      <c r="F3138" s="221"/>
      <c r="G3138" s="221"/>
      <c r="H3138" s="236" t="s">
        <v>2378</v>
      </c>
      <c r="I3138" s="221"/>
      <c r="J3138" s="221"/>
      <c r="K3138" s="221"/>
      <c r="L3138" s="221"/>
      <c r="M3138" s="221"/>
    </row>
    <row r="3139" spans="5:13" ht="19.5" customHeight="1">
      <c r="E3139" s="221"/>
      <c r="F3139" s="221">
        <v>2</v>
      </c>
      <c r="G3139" s="221" t="s">
        <v>1414</v>
      </c>
      <c r="H3139" s="221" t="s">
        <v>2619</v>
      </c>
      <c r="I3139" s="221">
        <f>I2868</f>
        <v>708</v>
      </c>
      <c r="J3139" s="221" t="s">
        <v>1414</v>
      </c>
      <c r="K3139" s="221">
        <f>F3139*I3139</f>
        <v>1416</v>
      </c>
      <c r="L3139" s="221"/>
      <c r="M3139" s="221"/>
    </row>
    <row r="3140" spans="5:13" ht="19.5" customHeight="1">
      <c r="E3140" s="221"/>
      <c r="F3140" s="221">
        <v>3</v>
      </c>
      <c r="G3140" s="221" t="s">
        <v>1414</v>
      </c>
      <c r="H3140" s="221" t="s">
        <v>2620</v>
      </c>
      <c r="I3140" s="221">
        <f>I2869</f>
        <v>556</v>
      </c>
      <c r="J3140" s="221" t="s">
        <v>1414</v>
      </c>
      <c r="K3140" s="221">
        <f>F3140*I3140</f>
        <v>1668</v>
      </c>
      <c r="L3140" s="221"/>
      <c r="M3140" s="221"/>
    </row>
    <row r="3141" spans="5:13" ht="19.5" customHeight="1">
      <c r="E3141" s="221"/>
      <c r="F3141" s="221"/>
      <c r="G3141" s="221"/>
      <c r="H3141" s="226" t="s">
        <v>3487</v>
      </c>
      <c r="I3141" s="221"/>
      <c r="J3141" s="221"/>
      <c r="K3141" s="227">
        <f>SUM(K3139:K3140)</f>
        <v>3084</v>
      </c>
      <c r="L3141" s="221"/>
      <c r="M3141" s="221"/>
    </row>
    <row r="3142" spans="5:13" ht="19.5" customHeight="1">
      <c r="E3142" s="221"/>
      <c r="F3142" s="221"/>
      <c r="G3142" s="221"/>
      <c r="H3142" s="228" t="s">
        <v>2826</v>
      </c>
      <c r="I3142" s="221"/>
      <c r="J3142" s="221"/>
      <c r="K3142" s="229">
        <f>K3141/15</f>
        <v>205.6</v>
      </c>
      <c r="L3142" s="221"/>
      <c r="M3142" s="221"/>
    </row>
    <row r="3143" spans="5:13">
      <c r="E3143" s="221"/>
      <c r="F3143" s="221"/>
      <c r="G3143" s="221"/>
      <c r="H3143" s="221"/>
      <c r="I3143" s="221"/>
      <c r="J3143" s="221"/>
      <c r="K3143" s="221"/>
      <c r="L3143" s="221"/>
      <c r="M3143" s="221"/>
    </row>
    <row r="3144" spans="5:13">
      <c r="E3144" s="221"/>
      <c r="F3144" s="221"/>
      <c r="G3144" s="221"/>
      <c r="H3144" s="229" t="s">
        <v>3488</v>
      </c>
      <c r="I3144" s="221"/>
      <c r="J3144" s="221"/>
      <c r="K3144" s="221"/>
      <c r="L3144" s="221"/>
      <c r="M3144" s="221"/>
    </row>
    <row r="3145" spans="5:13">
      <c r="E3145" s="221"/>
      <c r="F3145" s="221"/>
      <c r="G3145" s="221"/>
      <c r="H3145" s="221"/>
      <c r="I3145" s="221"/>
      <c r="J3145" s="221"/>
      <c r="K3145" s="221"/>
      <c r="L3145" s="221"/>
      <c r="M3145" s="221"/>
    </row>
    <row r="3146" spans="5:13" ht="65.25" customHeight="1">
      <c r="E3146" s="221"/>
      <c r="F3146" s="221"/>
      <c r="G3146" s="221"/>
      <c r="H3146" s="219" t="s">
        <v>3489</v>
      </c>
      <c r="I3146" s="221"/>
      <c r="J3146" s="221"/>
      <c r="K3146" s="221"/>
      <c r="L3146" s="221"/>
      <c r="M3146" s="221"/>
    </row>
    <row r="3147" spans="5:13">
      <c r="E3147" s="221"/>
      <c r="F3147" s="221"/>
      <c r="G3147" s="221"/>
      <c r="H3147" s="221"/>
      <c r="I3147" s="221"/>
      <c r="J3147" s="221"/>
      <c r="K3147" s="221"/>
      <c r="L3147" s="221"/>
      <c r="M3147" s="221"/>
    </row>
    <row r="3148" spans="5:13" ht="78" customHeight="1">
      <c r="E3148" s="221"/>
      <c r="F3148" s="221"/>
      <c r="G3148" s="221"/>
      <c r="H3148" s="220" t="s">
        <v>2796</v>
      </c>
      <c r="I3148" s="221"/>
      <c r="J3148" s="221"/>
      <c r="K3148" s="221"/>
      <c r="L3148" s="221"/>
      <c r="M3148" s="221"/>
    </row>
    <row r="3149" spans="5:13">
      <c r="E3149" s="221"/>
      <c r="F3149" s="221"/>
      <c r="G3149" s="221"/>
      <c r="H3149" s="221"/>
      <c r="I3149" s="221"/>
      <c r="J3149" s="221"/>
      <c r="K3149" s="221"/>
      <c r="L3149" s="221"/>
      <c r="M3149" s="221"/>
    </row>
    <row r="3150" spans="5:13" s="79" customFormat="1">
      <c r="E3150" s="233"/>
      <c r="F3150" s="233">
        <v>1</v>
      </c>
      <c r="G3150" s="233" t="s">
        <v>1414</v>
      </c>
      <c r="H3150" s="693" t="s">
        <v>4808</v>
      </c>
      <c r="I3150" s="694">
        <v>341</v>
      </c>
      <c r="J3150" s="233" t="s">
        <v>1414</v>
      </c>
      <c r="K3150" s="233">
        <f>F3150*I3150</f>
        <v>341</v>
      </c>
      <c r="L3150" s="233"/>
      <c r="M3150" s="233"/>
    </row>
    <row r="3151" spans="5:13" s="79" customFormat="1" ht="31.5">
      <c r="E3151" s="233"/>
      <c r="F3151" s="233">
        <v>1</v>
      </c>
      <c r="G3151" s="233" t="s">
        <v>1414</v>
      </c>
      <c r="H3151" s="693" t="s">
        <v>4809</v>
      </c>
      <c r="I3151" s="695">
        <v>59.9</v>
      </c>
      <c r="J3151" s="233" t="s">
        <v>1414</v>
      </c>
      <c r="K3151" s="233">
        <f>F3151*I3151</f>
        <v>59.9</v>
      </c>
      <c r="L3151" s="233"/>
      <c r="M3151" s="233"/>
    </row>
    <row r="3152" spans="5:13">
      <c r="E3152" s="221"/>
      <c r="F3152" s="221"/>
      <c r="G3152" s="221"/>
      <c r="H3152" s="220" t="s">
        <v>2799</v>
      </c>
      <c r="I3152" s="221"/>
      <c r="J3152" s="221"/>
      <c r="K3152" s="221">
        <f>24.1</f>
        <v>24.1</v>
      </c>
      <c r="L3152" s="221"/>
      <c r="M3152" s="221"/>
    </row>
    <row r="3153" spans="5:13">
      <c r="E3153" s="221"/>
      <c r="F3153" s="221"/>
      <c r="G3153" s="221"/>
      <c r="H3153" s="221" t="s">
        <v>924</v>
      </c>
      <c r="I3153" s="221"/>
      <c r="J3153" s="221"/>
      <c r="K3153" s="221">
        <f>K3161</f>
        <v>456</v>
      </c>
      <c r="L3153" s="221"/>
      <c r="M3153" s="221"/>
    </row>
    <row r="3154" spans="5:13" ht="19.5" customHeight="1">
      <c r="E3154" s="221"/>
      <c r="F3154" s="221"/>
      <c r="G3154" s="221"/>
      <c r="H3154" s="228" t="s">
        <v>2826</v>
      </c>
      <c r="I3154" s="221"/>
      <c r="J3154" s="221"/>
      <c r="K3154" s="229">
        <f>SUM(K3150:K3153)</f>
        <v>881</v>
      </c>
      <c r="L3154" s="221">
        <f>K3154-590</f>
        <v>291</v>
      </c>
      <c r="M3154" s="221">
        <f>577-576.75</f>
        <v>0.25</v>
      </c>
    </row>
    <row r="3155" spans="5:13">
      <c r="E3155" s="221"/>
      <c r="F3155" s="221"/>
      <c r="G3155" s="221"/>
      <c r="H3155" s="221"/>
      <c r="I3155" s="221"/>
      <c r="J3155" s="221"/>
      <c r="K3155" s="221"/>
      <c r="L3155" s="221"/>
      <c r="M3155" s="221"/>
    </row>
    <row r="3156" spans="5:13">
      <c r="E3156" s="221"/>
      <c r="F3156" s="221"/>
      <c r="G3156" s="221"/>
      <c r="H3156" s="221"/>
      <c r="I3156" s="221"/>
      <c r="J3156" s="221"/>
      <c r="K3156" s="221"/>
      <c r="L3156" s="221"/>
      <c r="M3156" s="221"/>
    </row>
    <row r="3157" spans="5:13">
      <c r="E3157" s="221"/>
      <c r="F3157" s="221"/>
      <c r="G3157" s="221"/>
      <c r="H3157" s="236" t="s">
        <v>924</v>
      </c>
      <c r="I3157" s="221"/>
      <c r="J3157" s="221"/>
      <c r="K3157" s="221"/>
      <c r="L3157" s="221"/>
      <c r="M3157" s="221"/>
    </row>
    <row r="3158" spans="5:13" ht="18.75" customHeight="1">
      <c r="E3158" s="221"/>
      <c r="F3158" s="221">
        <v>1</v>
      </c>
      <c r="G3158" s="221" t="s">
        <v>1414</v>
      </c>
      <c r="H3158" s="221" t="s">
        <v>2800</v>
      </c>
      <c r="I3158" s="221">
        <f>I2867</f>
        <v>712</v>
      </c>
      <c r="J3158" s="221" t="s">
        <v>1414</v>
      </c>
      <c r="K3158" s="221">
        <f>F3158*I3158</f>
        <v>712</v>
      </c>
      <c r="L3158" s="221"/>
      <c r="M3158" s="221"/>
    </row>
    <row r="3159" spans="5:13" ht="18.75" customHeight="1">
      <c r="E3159" s="221"/>
      <c r="F3159" s="221">
        <v>2</v>
      </c>
      <c r="G3159" s="221" t="s">
        <v>1414</v>
      </c>
      <c r="H3159" s="221" t="s">
        <v>2620</v>
      </c>
      <c r="I3159" s="221">
        <f>I3140</f>
        <v>556</v>
      </c>
      <c r="J3159" s="221" t="s">
        <v>1414</v>
      </c>
      <c r="K3159" s="221">
        <f>F3159*I3159</f>
        <v>1112</v>
      </c>
      <c r="L3159" s="221"/>
      <c r="M3159" s="221"/>
    </row>
    <row r="3160" spans="5:13" ht="15" customHeight="1">
      <c r="E3160" s="221"/>
      <c r="F3160" s="221"/>
      <c r="G3160" s="221"/>
      <c r="H3160" s="226" t="s">
        <v>2801</v>
      </c>
      <c r="I3160" s="221"/>
      <c r="J3160" s="221"/>
      <c r="K3160" s="227">
        <f>SUM(K3158:K3159)</f>
        <v>1824</v>
      </c>
      <c r="L3160" s="221"/>
      <c r="M3160" s="221"/>
    </row>
    <row r="3161" spans="5:13" ht="20.25" customHeight="1">
      <c r="E3161" s="221"/>
      <c r="F3161" s="221"/>
      <c r="G3161" s="221"/>
      <c r="H3161" s="228" t="s">
        <v>2926</v>
      </c>
      <c r="I3161" s="221"/>
      <c r="J3161" s="221"/>
      <c r="K3161" s="229">
        <f>K3160/4</f>
        <v>456</v>
      </c>
      <c r="L3161" s="221"/>
      <c r="M3161" s="221"/>
    </row>
    <row r="3162" spans="5:13">
      <c r="E3162" s="221"/>
      <c r="F3162" s="221"/>
      <c r="G3162" s="221"/>
      <c r="H3162" s="221"/>
      <c r="I3162" s="221"/>
      <c r="J3162" s="221"/>
      <c r="K3162" s="221"/>
      <c r="L3162" s="221"/>
      <c r="M3162" s="221"/>
    </row>
    <row r="3163" spans="5:13">
      <c r="E3163" s="221"/>
      <c r="F3163" s="221"/>
      <c r="G3163" s="221"/>
      <c r="H3163" s="229" t="s">
        <v>2802</v>
      </c>
      <c r="I3163" s="221"/>
      <c r="J3163" s="221"/>
      <c r="K3163" s="221"/>
      <c r="L3163" s="221"/>
      <c r="M3163" s="221"/>
    </row>
    <row r="3164" spans="5:13">
      <c r="E3164" s="221"/>
      <c r="F3164" s="221"/>
      <c r="G3164" s="221"/>
      <c r="H3164" s="221"/>
      <c r="I3164" s="221"/>
      <c r="J3164" s="221"/>
      <c r="K3164" s="221"/>
      <c r="L3164" s="221"/>
      <c r="M3164" s="221"/>
    </row>
    <row r="3165" spans="5:13" ht="47.25">
      <c r="E3165" s="221"/>
      <c r="F3165" s="221"/>
      <c r="G3165" s="221"/>
      <c r="H3165" s="219" t="s">
        <v>2803</v>
      </c>
      <c r="I3165" s="221"/>
      <c r="J3165" s="221"/>
      <c r="K3165" s="221"/>
      <c r="L3165" s="221"/>
      <c r="M3165" s="221"/>
    </row>
    <row r="3166" spans="5:13">
      <c r="E3166" s="221"/>
      <c r="F3166" s="221"/>
      <c r="G3166" s="221"/>
      <c r="H3166" s="221"/>
      <c r="I3166" s="221"/>
      <c r="J3166" s="221"/>
      <c r="K3166" s="221"/>
      <c r="L3166" s="221"/>
      <c r="M3166" s="221"/>
    </row>
    <row r="3167" spans="5:13" ht="63">
      <c r="E3167" s="221"/>
      <c r="F3167" s="221"/>
      <c r="G3167" s="221"/>
      <c r="H3167" s="220" t="s">
        <v>3260</v>
      </c>
      <c r="I3167" s="221"/>
      <c r="J3167" s="221"/>
      <c r="K3167" s="221"/>
      <c r="L3167" s="221"/>
      <c r="M3167" s="221"/>
    </row>
    <row r="3168" spans="5:13">
      <c r="E3168" s="221"/>
      <c r="F3168" s="221"/>
      <c r="G3168" s="221"/>
      <c r="H3168" s="221"/>
      <c r="I3168" s="221"/>
      <c r="J3168" s="221"/>
      <c r="K3168" s="221"/>
      <c r="L3168" s="221"/>
      <c r="M3168" s="221"/>
    </row>
    <row r="3169" spans="5:13" s="696" customFormat="1" ht="39.75" customHeight="1">
      <c r="E3169" s="695"/>
      <c r="F3169" s="695">
        <v>1</v>
      </c>
      <c r="G3169" s="695" t="s">
        <v>1414</v>
      </c>
      <c r="H3169" s="693" t="s">
        <v>4810</v>
      </c>
      <c r="I3169" s="694">
        <v>768</v>
      </c>
      <c r="J3169" s="695" t="s">
        <v>1414</v>
      </c>
      <c r="K3169" s="695">
        <f>F3169*I3169</f>
        <v>768</v>
      </c>
      <c r="L3169" s="695"/>
      <c r="M3169" s="695"/>
    </row>
    <row r="3170" spans="5:13" s="696" customFormat="1" ht="39" customHeight="1">
      <c r="E3170" s="695"/>
      <c r="F3170" s="695">
        <v>1</v>
      </c>
      <c r="G3170" s="695" t="s">
        <v>1414</v>
      </c>
      <c r="H3170" s="693" t="s">
        <v>2798</v>
      </c>
      <c r="I3170" s="695">
        <f>I3151</f>
        <v>59.9</v>
      </c>
      <c r="J3170" s="695" t="s">
        <v>1414</v>
      </c>
      <c r="K3170" s="695">
        <f>F3170*I3170</f>
        <v>59.9</v>
      </c>
      <c r="L3170" s="695"/>
      <c r="M3170" s="695"/>
    </row>
    <row r="3171" spans="5:13" ht="42.75" customHeight="1">
      <c r="E3171" s="221"/>
      <c r="F3171" s="221"/>
      <c r="G3171" s="221"/>
      <c r="H3171" s="220" t="s">
        <v>2799</v>
      </c>
      <c r="I3171" s="221"/>
      <c r="J3171" s="221"/>
      <c r="K3171" s="221">
        <f>K3152</f>
        <v>24.1</v>
      </c>
      <c r="L3171" s="221"/>
      <c r="M3171" s="221"/>
    </row>
    <row r="3172" spans="5:13" ht="20.100000000000001" customHeight="1">
      <c r="E3172" s="221"/>
      <c r="F3172" s="221"/>
      <c r="G3172" s="221"/>
      <c r="H3172" s="221" t="s">
        <v>924</v>
      </c>
      <c r="I3172" s="221"/>
      <c r="J3172" s="221"/>
      <c r="K3172" s="221">
        <f>K3161</f>
        <v>456</v>
      </c>
      <c r="L3172" s="221"/>
      <c r="M3172" s="221"/>
    </row>
    <row r="3173" spans="5:13" ht="30" customHeight="1">
      <c r="E3173" s="221"/>
      <c r="F3173" s="221"/>
      <c r="G3173" s="221"/>
      <c r="H3173" s="228" t="s">
        <v>2826</v>
      </c>
      <c r="I3173" s="221"/>
      <c r="J3173" s="221"/>
      <c r="K3173" s="229">
        <f>SUM(K3169:K3172)</f>
        <v>1308</v>
      </c>
      <c r="L3173" s="221"/>
      <c r="M3173" s="221">
        <f>K3173-817</f>
        <v>491</v>
      </c>
    </row>
    <row r="3174" spans="5:13">
      <c r="E3174" s="221"/>
      <c r="F3174" s="221"/>
      <c r="G3174" s="221"/>
      <c r="H3174" s="221"/>
      <c r="I3174" s="221"/>
      <c r="J3174" s="221"/>
      <c r="K3174" s="221"/>
      <c r="L3174" s="221"/>
      <c r="M3174" s="221"/>
    </row>
    <row r="3175" spans="5:13">
      <c r="E3175" s="221"/>
      <c r="F3175" s="221"/>
      <c r="G3175" s="221"/>
      <c r="H3175" s="221"/>
      <c r="I3175" s="221"/>
      <c r="J3175" s="221"/>
      <c r="K3175" s="221"/>
      <c r="L3175" s="221"/>
      <c r="M3175" s="221"/>
    </row>
    <row r="3176" spans="5:13" ht="20.100000000000001" customHeight="1">
      <c r="E3176" s="221"/>
      <c r="F3176" s="221"/>
      <c r="G3176" s="221"/>
      <c r="H3176" s="229" t="s">
        <v>3267</v>
      </c>
      <c r="I3176" s="221"/>
      <c r="J3176" s="221"/>
      <c r="K3176" s="221"/>
      <c r="L3176" s="221"/>
      <c r="M3176" s="221"/>
    </row>
    <row r="3177" spans="5:13">
      <c r="E3177" s="221"/>
      <c r="F3177" s="221"/>
      <c r="G3177" s="221"/>
      <c r="H3177" s="221"/>
      <c r="I3177" s="221"/>
      <c r="J3177" s="221"/>
      <c r="K3177" s="221"/>
      <c r="L3177" s="221"/>
      <c r="M3177" s="221"/>
    </row>
    <row r="3178" spans="5:13" ht="58.5" customHeight="1">
      <c r="E3178" s="221"/>
      <c r="F3178" s="221"/>
      <c r="G3178" s="221"/>
      <c r="H3178" s="220" t="s">
        <v>2431</v>
      </c>
      <c r="I3178" s="221"/>
      <c r="J3178" s="221"/>
      <c r="K3178" s="221"/>
      <c r="L3178" s="221"/>
      <c r="M3178" s="221"/>
    </row>
    <row r="3179" spans="5:13">
      <c r="E3179" s="221"/>
      <c r="F3179" s="221"/>
      <c r="G3179" s="221"/>
      <c r="H3179" s="221"/>
      <c r="I3179" s="221"/>
      <c r="J3179" s="221"/>
      <c r="K3179" s="221"/>
      <c r="L3179" s="221"/>
      <c r="M3179" s="221"/>
    </row>
    <row r="3180" spans="5:13" ht="40.5" customHeight="1">
      <c r="E3180" s="221"/>
      <c r="F3180" s="221">
        <v>1</v>
      </c>
      <c r="G3180" s="221" t="s">
        <v>1414</v>
      </c>
      <c r="H3180" s="220" t="s">
        <v>5025</v>
      </c>
      <c r="I3180" s="222">
        <v>458</v>
      </c>
      <c r="J3180" s="221" t="s">
        <v>1414</v>
      </c>
      <c r="K3180" s="221">
        <f>F3180*I3180</f>
        <v>458</v>
      </c>
      <c r="L3180" s="221"/>
      <c r="M3180" s="221"/>
    </row>
    <row r="3181" spans="5:13" ht="20.100000000000001" customHeight="1">
      <c r="E3181" s="221"/>
      <c r="F3181" s="221">
        <v>1</v>
      </c>
      <c r="G3181" s="221" t="s">
        <v>1414</v>
      </c>
      <c r="H3181" s="221" t="s">
        <v>4811</v>
      </c>
      <c r="I3181" s="221">
        <f>I3170</f>
        <v>59.9</v>
      </c>
      <c r="J3181" s="221" t="s">
        <v>1414</v>
      </c>
      <c r="K3181" s="221">
        <f>F3181*I3181</f>
        <v>59.9</v>
      </c>
      <c r="L3181" s="221"/>
      <c r="M3181" s="221"/>
    </row>
    <row r="3182" spans="5:13" ht="20.100000000000001" customHeight="1">
      <c r="E3182" s="221"/>
      <c r="F3182" s="221"/>
      <c r="G3182" s="221"/>
      <c r="H3182" s="221" t="s">
        <v>2296</v>
      </c>
      <c r="I3182" s="221"/>
      <c r="J3182" s="221"/>
      <c r="K3182" s="221">
        <v>25.1</v>
      </c>
      <c r="L3182" s="221"/>
      <c r="M3182" s="221"/>
    </row>
    <row r="3183" spans="5:13" ht="19.5" customHeight="1">
      <c r="E3183" s="221"/>
      <c r="F3183" s="221"/>
      <c r="G3183" s="221"/>
      <c r="H3183" s="221" t="s">
        <v>2433</v>
      </c>
      <c r="I3183" s="221"/>
      <c r="J3183" s="221"/>
      <c r="K3183" s="221">
        <f>K3161</f>
        <v>456</v>
      </c>
      <c r="L3183" s="221"/>
      <c r="M3183" s="221"/>
    </row>
    <row r="3184" spans="5:13" ht="30" customHeight="1">
      <c r="E3184" s="221"/>
      <c r="F3184" s="221"/>
      <c r="G3184" s="221"/>
      <c r="H3184" s="228" t="s">
        <v>1080</v>
      </c>
      <c r="I3184" s="221"/>
      <c r="J3184" s="221"/>
      <c r="K3184" s="229">
        <f>SUM(K3180:K3183)</f>
        <v>999</v>
      </c>
      <c r="L3184" s="221">
        <f>K3184-830</f>
        <v>169</v>
      </c>
      <c r="M3184" s="221">
        <f>917-K3184</f>
        <v>-82</v>
      </c>
    </row>
    <row r="3185" spans="5:13">
      <c r="E3185" s="221"/>
      <c r="F3185" s="221"/>
      <c r="G3185" s="221"/>
      <c r="H3185" s="221"/>
      <c r="I3185" s="221"/>
      <c r="J3185" s="221"/>
      <c r="K3185" s="221"/>
      <c r="L3185" s="221"/>
      <c r="M3185" s="221"/>
    </row>
    <row r="3186" spans="5:13" ht="20.100000000000001" customHeight="1">
      <c r="E3186" s="221"/>
      <c r="F3186" s="221"/>
      <c r="G3186" s="221"/>
      <c r="H3186" s="229" t="s">
        <v>2802</v>
      </c>
      <c r="I3186" s="221"/>
      <c r="J3186" s="221"/>
      <c r="K3186" s="221"/>
      <c r="L3186" s="221"/>
      <c r="M3186" s="221"/>
    </row>
    <row r="3187" spans="5:13" ht="28.5" customHeight="1">
      <c r="E3187" s="221"/>
      <c r="F3187" s="221"/>
      <c r="G3187" s="221"/>
      <c r="H3187" s="221"/>
      <c r="I3187" s="221"/>
      <c r="J3187" s="221"/>
      <c r="K3187" s="221"/>
      <c r="L3187" s="221"/>
      <c r="M3187" s="221"/>
    </row>
    <row r="3188" spans="5:13" ht="52.5" customHeight="1">
      <c r="E3188" s="221"/>
      <c r="F3188" s="221"/>
      <c r="G3188" s="221"/>
      <c r="H3188" s="219" t="s">
        <v>3475</v>
      </c>
      <c r="I3188" s="221"/>
      <c r="J3188" s="221"/>
      <c r="K3188" s="221"/>
      <c r="L3188" s="221"/>
      <c r="M3188" s="221"/>
    </row>
    <row r="3189" spans="5:13">
      <c r="E3189" s="221"/>
      <c r="F3189" s="221"/>
      <c r="G3189" s="221"/>
      <c r="H3189" s="221"/>
      <c r="I3189" s="221"/>
      <c r="J3189" s="221"/>
      <c r="K3189" s="221"/>
      <c r="L3189" s="221"/>
      <c r="M3189" s="221"/>
    </row>
    <row r="3190" spans="5:13" ht="88.5" customHeight="1">
      <c r="E3190" s="221"/>
      <c r="F3190" s="221"/>
      <c r="G3190" s="221"/>
      <c r="H3190" s="220" t="s">
        <v>3476</v>
      </c>
      <c r="I3190" s="221"/>
      <c r="J3190" s="221"/>
      <c r="K3190" s="221"/>
      <c r="L3190" s="221"/>
      <c r="M3190" s="221"/>
    </row>
    <row r="3191" spans="5:13" ht="38.25" customHeight="1">
      <c r="E3191" s="221"/>
      <c r="F3191" s="221">
        <v>1</v>
      </c>
      <c r="G3191" s="221" t="s">
        <v>1414</v>
      </c>
      <c r="H3191" s="297" t="s">
        <v>4812</v>
      </c>
      <c r="I3191" s="276">
        <v>881</v>
      </c>
      <c r="J3191" s="221" t="s">
        <v>1414</v>
      </c>
      <c r="K3191" s="221">
        <f>F3191*I3191</f>
        <v>881</v>
      </c>
      <c r="L3191" s="221"/>
      <c r="M3191" s="221"/>
    </row>
    <row r="3192" spans="5:13" ht="40.5" customHeight="1">
      <c r="E3192" s="221"/>
      <c r="F3192" s="221">
        <v>1</v>
      </c>
      <c r="G3192" s="221" t="s">
        <v>1414</v>
      </c>
      <c r="H3192" s="220" t="s">
        <v>4813</v>
      </c>
      <c r="I3192" s="221">
        <v>159.69999999999999</v>
      </c>
      <c r="J3192" s="221" t="s">
        <v>1414</v>
      </c>
      <c r="K3192" s="221">
        <f>F3192*I3192</f>
        <v>159.69999999999999</v>
      </c>
      <c r="L3192" s="221"/>
      <c r="M3192" s="221"/>
    </row>
    <row r="3193" spans="5:13" ht="38.25" customHeight="1">
      <c r="E3193" s="221"/>
      <c r="F3193" s="221"/>
      <c r="G3193" s="221"/>
      <c r="H3193" s="220" t="s">
        <v>2631</v>
      </c>
      <c r="I3193" s="221"/>
      <c r="J3193" s="221"/>
      <c r="K3193" s="221">
        <v>11.3</v>
      </c>
      <c r="L3193" s="221"/>
      <c r="M3193" s="221"/>
    </row>
    <row r="3194" spans="5:13" ht="23.25" customHeight="1">
      <c r="E3194" s="221"/>
      <c r="F3194" s="221"/>
      <c r="G3194" s="221"/>
      <c r="H3194" s="221" t="s">
        <v>924</v>
      </c>
      <c r="I3194" s="221"/>
      <c r="J3194" s="221"/>
      <c r="K3194" s="221">
        <f>K3201</f>
        <v>608</v>
      </c>
      <c r="L3194" s="221"/>
      <c r="M3194" s="221"/>
    </row>
    <row r="3195" spans="5:13" ht="30" customHeight="1">
      <c r="E3195" s="221"/>
      <c r="F3195" s="221"/>
      <c r="G3195" s="221"/>
      <c r="H3195" s="228" t="s">
        <v>1080</v>
      </c>
      <c r="I3195" s="221"/>
      <c r="J3195" s="221"/>
      <c r="K3195" s="229">
        <f>SUM(K3191:K3194)</f>
        <v>1660</v>
      </c>
      <c r="L3195" s="221">
        <f>1167-K3195</f>
        <v>-493</v>
      </c>
      <c r="M3195" s="221">
        <f>K3195-1003</f>
        <v>657</v>
      </c>
    </row>
    <row r="3196" spans="5:13">
      <c r="E3196" s="221"/>
      <c r="F3196" s="221"/>
      <c r="G3196" s="221"/>
      <c r="H3196" s="221"/>
      <c r="I3196" s="221"/>
      <c r="J3196" s="221"/>
      <c r="K3196" s="221"/>
      <c r="L3196" s="221"/>
      <c r="M3196" s="221"/>
    </row>
    <row r="3197" spans="5:13" ht="20.100000000000001" customHeight="1">
      <c r="E3197" s="221"/>
      <c r="F3197" s="221"/>
      <c r="G3197" s="221"/>
      <c r="H3197" s="227" t="s">
        <v>924</v>
      </c>
      <c r="I3197" s="221"/>
      <c r="J3197" s="221"/>
      <c r="K3197" s="221"/>
      <c r="L3197" s="221"/>
      <c r="M3197" s="221"/>
    </row>
    <row r="3198" spans="5:13">
      <c r="E3198" s="221"/>
      <c r="F3198" s="221">
        <v>1</v>
      </c>
      <c r="G3198" s="221" t="s">
        <v>1414</v>
      </c>
      <c r="H3198" s="221" t="s">
        <v>2632</v>
      </c>
      <c r="I3198" s="221">
        <f>I3158</f>
        <v>712</v>
      </c>
      <c r="J3198" s="221" t="s">
        <v>1414</v>
      </c>
      <c r="K3198" s="221">
        <f>F3198*I3198</f>
        <v>712</v>
      </c>
      <c r="L3198" s="221"/>
      <c r="M3198" s="221"/>
    </row>
    <row r="3199" spans="5:13">
      <c r="E3199" s="221"/>
      <c r="F3199" s="221">
        <v>2</v>
      </c>
      <c r="G3199" s="221" t="s">
        <v>1414</v>
      </c>
      <c r="H3199" s="221" t="s">
        <v>3121</v>
      </c>
      <c r="I3199" s="221">
        <f>I3159</f>
        <v>556</v>
      </c>
      <c r="J3199" s="221" t="s">
        <v>1414</v>
      </c>
      <c r="K3199" s="221">
        <f>F3199*I3199</f>
        <v>1112</v>
      </c>
      <c r="L3199" s="221"/>
      <c r="M3199" s="221"/>
    </row>
    <row r="3200" spans="5:13" ht="20.100000000000001" customHeight="1">
      <c r="E3200" s="221"/>
      <c r="F3200" s="221"/>
      <c r="G3200" s="221"/>
      <c r="H3200" s="226" t="s">
        <v>3123</v>
      </c>
      <c r="I3200" s="221"/>
      <c r="J3200" s="221"/>
      <c r="K3200" s="221">
        <f>SUM(K3198:K3199)</f>
        <v>1824</v>
      </c>
      <c r="L3200" s="221"/>
      <c r="M3200" s="221"/>
    </row>
    <row r="3201" spans="5:13" ht="20.100000000000001" customHeight="1">
      <c r="E3201" s="221"/>
      <c r="F3201" s="221"/>
      <c r="G3201" s="221"/>
      <c r="H3201" s="228" t="s">
        <v>2826</v>
      </c>
      <c r="I3201" s="221"/>
      <c r="J3201" s="221"/>
      <c r="K3201" s="229">
        <f>K3200/3</f>
        <v>608</v>
      </c>
      <c r="L3201" s="221"/>
      <c r="M3201" s="221"/>
    </row>
    <row r="3202" spans="5:13">
      <c r="E3202" s="221"/>
      <c r="F3202" s="221"/>
      <c r="G3202" s="221"/>
      <c r="H3202" s="221"/>
      <c r="I3202" s="221"/>
      <c r="J3202" s="221"/>
      <c r="K3202" s="221"/>
      <c r="L3202" s="221"/>
      <c r="M3202" s="221"/>
    </row>
    <row r="3203" spans="5:13" ht="30" customHeight="1">
      <c r="E3203" s="221"/>
      <c r="F3203" s="221"/>
      <c r="G3203" s="221"/>
      <c r="H3203" s="229" t="s">
        <v>2633</v>
      </c>
      <c r="I3203" s="221"/>
      <c r="J3203" s="221"/>
      <c r="K3203" s="221"/>
      <c r="L3203" s="221"/>
      <c r="M3203" s="221"/>
    </row>
    <row r="3204" spans="5:13">
      <c r="E3204" s="221"/>
      <c r="F3204" s="221"/>
      <c r="G3204" s="221"/>
      <c r="H3204" s="221"/>
      <c r="I3204" s="221"/>
      <c r="J3204" s="221"/>
      <c r="K3204" s="221"/>
      <c r="L3204" s="221"/>
      <c r="M3204" s="221"/>
    </row>
    <row r="3205" spans="5:13" ht="91.5" customHeight="1">
      <c r="E3205" s="221"/>
      <c r="F3205" s="221"/>
      <c r="G3205" s="221"/>
      <c r="H3205" s="219" t="s">
        <v>2880</v>
      </c>
      <c r="I3205" s="221"/>
      <c r="J3205" s="221"/>
      <c r="K3205" s="221"/>
      <c r="L3205" s="221"/>
      <c r="M3205" s="221"/>
    </row>
    <row r="3206" spans="5:13" ht="30" customHeight="1">
      <c r="E3206" s="221"/>
      <c r="F3206" s="221">
        <v>1</v>
      </c>
      <c r="G3206" s="221" t="s">
        <v>1414</v>
      </c>
      <c r="H3206" s="221" t="s">
        <v>4814</v>
      </c>
      <c r="I3206" s="276">
        <v>1302</v>
      </c>
      <c r="J3206" s="221" t="s">
        <v>1414</v>
      </c>
      <c r="K3206" s="221">
        <f>F3206*I3206</f>
        <v>1302</v>
      </c>
      <c r="L3206" s="221"/>
      <c r="M3206" s="221"/>
    </row>
    <row r="3207" spans="5:13" ht="43.5" customHeight="1">
      <c r="E3207" s="221"/>
      <c r="F3207" s="221">
        <v>1</v>
      </c>
      <c r="G3207" s="221" t="s">
        <v>1414</v>
      </c>
      <c r="H3207" s="220" t="s">
        <v>4813</v>
      </c>
      <c r="I3207" s="221">
        <f>I3192</f>
        <v>159.69999999999999</v>
      </c>
      <c r="J3207" s="221" t="s">
        <v>1414</v>
      </c>
      <c r="K3207" s="221">
        <f>F3207*I3207</f>
        <v>159.69999999999999</v>
      </c>
      <c r="L3207" s="221"/>
      <c r="M3207" s="221"/>
    </row>
    <row r="3208" spans="5:13" ht="41.25" customHeight="1">
      <c r="E3208" s="221"/>
      <c r="F3208" s="221"/>
      <c r="G3208" s="221"/>
      <c r="H3208" s="220" t="s">
        <v>2631</v>
      </c>
      <c r="I3208" s="221"/>
      <c r="J3208" s="221"/>
      <c r="K3208" s="221">
        <v>14.3</v>
      </c>
      <c r="L3208" s="221"/>
      <c r="M3208" s="221"/>
    </row>
    <row r="3209" spans="5:13" ht="30" customHeight="1">
      <c r="E3209" s="221"/>
      <c r="F3209" s="221"/>
      <c r="G3209" s="221"/>
      <c r="H3209" s="221" t="s">
        <v>924</v>
      </c>
      <c r="I3209" s="221"/>
      <c r="J3209" s="221"/>
      <c r="K3209" s="221">
        <f>K3201</f>
        <v>608</v>
      </c>
      <c r="L3209" s="221"/>
      <c r="M3209" s="221"/>
    </row>
    <row r="3210" spans="5:13" ht="30" customHeight="1">
      <c r="E3210" s="221"/>
      <c r="F3210" s="221"/>
      <c r="G3210" s="221"/>
      <c r="H3210" s="228" t="s">
        <v>1080</v>
      </c>
      <c r="I3210" s="221"/>
      <c r="J3210" s="221"/>
      <c r="K3210" s="229">
        <f>SUM(K3206:K3209)</f>
        <v>2084</v>
      </c>
      <c r="L3210" s="221">
        <f>1485-K3210</f>
        <v>-599</v>
      </c>
      <c r="M3210" s="221">
        <f>1322-K3210</f>
        <v>-762</v>
      </c>
    </row>
    <row r="3211" spans="5:13">
      <c r="E3211" s="221"/>
      <c r="F3211" s="221"/>
      <c r="G3211" s="221"/>
      <c r="H3211" s="221"/>
      <c r="I3211" s="221"/>
      <c r="J3211" s="221"/>
      <c r="K3211" s="221"/>
      <c r="L3211" s="221"/>
      <c r="M3211" s="221"/>
    </row>
    <row r="3212" spans="5:13" ht="30" customHeight="1">
      <c r="E3212" s="221"/>
      <c r="F3212" s="221"/>
      <c r="G3212" s="221"/>
      <c r="H3212" s="229" t="s">
        <v>2648</v>
      </c>
      <c r="I3212" s="221"/>
      <c r="J3212" s="221"/>
      <c r="K3212" s="221"/>
      <c r="L3212" s="221"/>
      <c r="M3212" s="221"/>
    </row>
    <row r="3213" spans="5:13" ht="30.75" customHeight="1">
      <c r="E3213" s="221"/>
      <c r="F3213" s="221"/>
      <c r="G3213" s="221"/>
      <c r="H3213" s="221"/>
      <c r="I3213" s="221"/>
      <c r="J3213" s="221"/>
      <c r="K3213" s="221"/>
      <c r="L3213" s="221"/>
      <c r="M3213" s="221"/>
    </row>
    <row r="3214" spans="5:13" ht="74.25" customHeight="1">
      <c r="E3214" s="221"/>
      <c r="F3214" s="221"/>
      <c r="G3214" s="221"/>
      <c r="H3214" s="219" t="s">
        <v>3180</v>
      </c>
      <c r="I3214" s="221"/>
      <c r="J3214" s="221"/>
      <c r="K3214" s="221"/>
      <c r="L3214" s="221"/>
      <c r="M3214" s="221"/>
    </row>
    <row r="3215" spans="5:13" ht="95.25" customHeight="1">
      <c r="E3215" s="221"/>
      <c r="F3215" s="221"/>
      <c r="G3215" s="221"/>
      <c r="H3215" s="220" t="s">
        <v>3446</v>
      </c>
      <c r="I3215" s="221"/>
      <c r="J3215" s="221"/>
      <c r="K3215" s="221"/>
      <c r="L3215" s="221"/>
      <c r="M3215" s="221"/>
    </row>
    <row r="3216" spans="5:13">
      <c r="E3216" s="221"/>
      <c r="F3216" s="221"/>
      <c r="G3216" s="221"/>
      <c r="H3216" s="221"/>
      <c r="I3216" s="221"/>
      <c r="J3216" s="221"/>
      <c r="K3216" s="221"/>
      <c r="L3216" s="221"/>
      <c r="M3216" s="221"/>
    </row>
    <row r="3217" spans="5:14" ht="45" customHeight="1">
      <c r="E3217" s="221"/>
      <c r="F3217" s="221">
        <v>1</v>
      </c>
      <c r="G3217" s="221" t="s">
        <v>1414</v>
      </c>
      <c r="H3217" s="220" t="s">
        <v>5026</v>
      </c>
      <c r="I3217" s="222">
        <v>2289</v>
      </c>
      <c r="J3217" s="221" t="s">
        <v>1414</v>
      </c>
      <c r="K3217" s="221">
        <f>F3217*I3217</f>
        <v>2289</v>
      </c>
      <c r="L3217" s="221"/>
      <c r="M3217" s="221"/>
    </row>
    <row r="3218" spans="5:14" ht="30" customHeight="1">
      <c r="E3218" s="221"/>
      <c r="F3218" s="221">
        <v>1</v>
      </c>
      <c r="G3218" s="221" t="s">
        <v>1414</v>
      </c>
      <c r="H3218" s="221" t="s">
        <v>3447</v>
      </c>
      <c r="I3218" s="222">
        <f>K3222</f>
        <v>417.56</v>
      </c>
      <c r="J3218" s="221" t="s">
        <v>1414</v>
      </c>
      <c r="K3218" s="221">
        <f>F3218*I3218</f>
        <v>417.56</v>
      </c>
      <c r="L3218" s="221"/>
      <c r="M3218" s="221"/>
    </row>
    <row r="3219" spans="5:14" ht="44.25" customHeight="1">
      <c r="E3219" s="221"/>
      <c r="F3219" s="221"/>
      <c r="G3219" s="221"/>
      <c r="H3219" s="220" t="s">
        <v>3448</v>
      </c>
      <c r="I3219" s="221"/>
      <c r="J3219" s="221"/>
      <c r="K3219" s="221">
        <v>28.29</v>
      </c>
      <c r="L3219" s="221"/>
      <c r="M3219" s="221"/>
    </row>
    <row r="3220" spans="5:14" ht="30" customHeight="1">
      <c r="E3220" s="221"/>
      <c r="F3220" s="221"/>
      <c r="G3220" s="221"/>
      <c r="H3220" s="221" t="s">
        <v>924</v>
      </c>
      <c r="I3220" s="221"/>
      <c r="J3220" s="221"/>
      <c r="K3220" s="221">
        <f>K3201</f>
        <v>608</v>
      </c>
      <c r="L3220" s="221"/>
      <c r="M3220" s="221"/>
    </row>
    <row r="3221" spans="5:14" ht="30" customHeight="1">
      <c r="E3221" s="221"/>
      <c r="F3221" s="221"/>
      <c r="G3221" s="221"/>
      <c r="H3221" s="228" t="s">
        <v>1080</v>
      </c>
      <c r="I3221" s="221"/>
      <c r="J3221" s="221"/>
      <c r="K3221" s="229">
        <f>SUM(K3217:K3220)</f>
        <v>3342.85</v>
      </c>
      <c r="L3221" s="221">
        <f>3000-K3221</f>
        <v>-342.85</v>
      </c>
      <c r="M3221" s="221">
        <f>3533-K3221</f>
        <v>190.15</v>
      </c>
    </row>
    <row r="3222" spans="5:14" ht="42.75" customHeight="1">
      <c r="E3222" s="221"/>
      <c r="F3222" s="221"/>
      <c r="G3222" s="221"/>
      <c r="H3222" s="220" t="s">
        <v>5027</v>
      </c>
      <c r="I3222" s="222">
        <f>N3222</f>
        <v>103100</v>
      </c>
      <c r="J3222" s="238">
        <f>0.75*0.45*0.012</f>
        <v>4.0499999999999998E-3</v>
      </c>
      <c r="K3222" s="221">
        <f>J3222*I3222</f>
        <v>417.56</v>
      </c>
      <c r="L3222" s="221"/>
      <c r="M3222" s="221">
        <f>10275+93100</f>
        <v>103375</v>
      </c>
      <c r="N3222" s="87">
        <f>11800 +91300</f>
        <v>103100</v>
      </c>
    </row>
    <row r="3223" spans="5:14" ht="30" customHeight="1">
      <c r="E3223" s="221"/>
      <c r="F3223" s="221"/>
      <c r="G3223" s="221"/>
      <c r="H3223" s="229" t="s">
        <v>3449</v>
      </c>
      <c r="I3223" s="221"/>
      <c r="J3223" s="221"/>
      <c r="K3223" s="221"/>
      <c r="L3223" s="221"/>
      <c r="M3223" s="221"/>
    </row>
    <row r="3224" spans="5:14">
      <c r="E3224" s="221"/>
      <c r="F3224" s="221"/>
      <c r="G3224" s="221"/>
      <c r="H3224" s="221"/>
      <c r="I3224" s="221"/>
      <c r="J3224" s="221"/>
      <c r="K3224" s="221"/>
      <c r="L3224" s="221"/>
      <c r="M3224" s="221"/>
    </row>
    <row r="3225" spans="5:14" ht="92.25" customHeight="1">
      <c r="E3225" s="221"/>
      <c r="F3225" s="221"/>
      <c r="G3225" s="221"/>
      <c r="H3225" s="219" t="s">
        <v>2616</v>
      </c>
      <c r="I3225" s="221"/>
      <c r="J3225" s="221"/>
      <c r="K3225" s="221"/>
      <c r="L3225" s="221"/>
      <c r="M3225" s="221"/>
    </row>
    <row r="3226" spans="5:14">
      <c r="E3226" s="221"/>
      <c r="F3226" s="221"/>
      <c r="G3226" s="221"/>
      <c r="H3226" s="221"/>
      <c r="I3226" s="221"/>
      <c r="J3226" s="221"/>
      <c r="K3226" s="221"/>
      <c r="L3226" s="221"/>
      <c r="M3226" s="221"/>
    </row>
    <row r="3227" spans="5:14" ht="30" customHeight="1">
      <c r="E3227" s="221"/>
      <c r="F3227" s="221"/>
      <c r="G3227" s="221"/>
      <c r="H3227" s="221" t="s">
        <v>2617</v>
      </c>
      <c r="I3227" s="221"/>
      <c r="J3227" s="221"/>
      <c r="K3227" s="221"/>
      <c r="L3227" s="221"/>
      <c r="M3227" s="221"/>
    </row>
    <row r="3228" spans="5:14">
      <c r="E3228" s="221"/>
      <c r="F3228" s="221"/>
      <c r="G3228" s="221"/>
      <c r="H3228" s="221"/>
      <c r="I3228" s="221"/>
      <c r="J3228" s="221"/>
      <c r="K3228" s="221"/>
      <c r="L3228" s="221"/>
      <c r="M3228" s="221"/>
    </row>
    <row r="3229" spans="5:14" ht="30" customHeight="1">
      <c r="E3229" s="221"/>
      <c r="F3229" s="221"/>
      <c r="G3229" s="221"/>
      <c r="H3229" s="221" t="s">
        <v>3004</v>
      </c>
      <c r="I3229" s="221"/>
      <c r="J3229" s="221"/>
      <c r="K3229" s="221">
        <f>K3221</f>
        <v>3342.85</v>
      </c>
      <c r="L3229" s="221"/>
      <c r="M3229" s="221"/>
    </row>
    <row r="3230" spans="5:14" ht="30" customHeight="1">
      <c r="E3230" s="221"/>
      <c r="F3230" s="221">
        <v>1</v>
      </c>
      <c r="G3230" s="221" t="s">
        <v>1414</v>
      </c>
      <c r="H3230" s="221" t="s">
        <v>5028</v>
      </c>
      <c r="I3230" s="222">
        <v>3063</v>
      </c>
      <c r="J3230" s="221" t="s">
        <v>1414</v>
      </c>
      <c r="K3230" s="221">
        <f>F3230*I3230</f>
        <v>3063</v>
      </c>
      <c r="L3230" s="221"/>
      <c r="M3230" s="221"/>
    </row>
    <row r="3231" spans="5:14" ht="30" customHeight="1">
      <c r="E3231" s="221"/>
      <c r="F3231" s="221">
        <v>1</v>
      </c>
      <c r="G3231" s="221" t="s">
        <v>1414</v>
      </c>
      <c r="H3231" s="221" t="s">
        <v>4772</v>
      </c>
      <c r="I3231" s="260">
        <f>I3217</f>
        <v>2289</v>
      </c>
      <c r="J3231" s="221" t="s">
        <v>1414</v>
      </c>
      <c r="K3231" s="221">
        <f>F3231*I3231</f>
        <v>2289</v>
      </c>
      <c r="L3231" s="221"/>
      <c r="M3231" s="221"/>
    </row>
    <row r="3232" spans="5:14" ht="30" customHeight="1">
      <c r="E3232" s="221"/>
      <c r="F3232" s="221"/>
      <c r="G3232" s="221"/>
      <c r="H3232" s="221" t="s">
        <v>2296</v>
      </c>
      <c r="I3232" s="221"/>
      <c r="J3232" s="221"/>
      <c r="K3232" s="221"/>
      <c r="L3232" s="221"/>
      <c r="M3232" s="221"/>
    </row>
    <row r="3233" spans="5:19" ht="30" customHeight="1">
      <c r="E3233" s="221"/>
      <c r="F3233" s="221"/>
      <c r="G3233" s="221"/>
      <c r="H3233" s="228" t="s">
        <v>1080</v>
      </c>
      <c r="I3233" s="221"/>
      <c r="J3233" s="221"/>
      <c r="K3233" s="229">
        <f>K3229+K3230-K3231+K3232</f>
        <v>4116.8500000000004</v>
      </c>
      <c r="L3233" s="221">
        <f>4017-K3233</f>
        <v>-99.85</v>
      </c>
      <c r="M3233" s="221"/>
    </row>
    <row r="3234" spans="5:19" ht="39.75" customHeight="1">
      <c r="E3234" s="221"/>
      <c r="F3234" s="221"/>
      <c r="G3234" s="221"/>
      <c r="H3234" s="221"/>
      <c r="I3234" s="221"/>
      <c r="J3234" s="221"/>
      <c r="K3234" s="221">
        <f>K3233*2</f>
        <v>8233.7000000000007</v>
      </c>
      <c r="L3234" s="221"/>
      <c r="M3234" s="221"/>
    </row>
    <row r="3235" spans="5:19" ht="24.95" customHeight="1">
      <c r="E3235" s="221"/>
      <c r="F3235" s="221"/>
      <c r="G3235" s="221"/>
      <c r="H3235" s="229" t="s">
        <v>2633</v>
      </c>
      <c r="I3235" s="221"/>
      <c r="J3235" s="221"/>
      <c r="K3235" s="221"/>
      <c r="L3235" s="221"/>
      <c r="M3235" s="221"/>
    </row>
    <row r="3236" spans="5:19">
      <c r="E3236" s="221"/>
      <c r="F3236" s="221"/>
      <c r="G3236" s="221"/>
      <c r="H3236" s="221"/>
      <c r="I3236" s="221"/>
      <c r="J3236" s="221"/>
      <c r="K3236" s="221"/>
      <c r="L3236" s="221"/>
      <c r="M3236" s="221"/>
      <c r="P3236" s="87" t="s">
        <v>4864</v>
      </c>
    </row>
    <row r="3237" spans="5:19" ht="39" customHeight="1">
      <c r="E3237" s="221"/>
      <c r="F3237" s="221"/>
      <c r="G3237" s="221"/>
      <c r="H3237" s="219" t="s">
        <v>3395</v>
      </c>
      <c r="I3237" s="221"/>
      <c r="J3237" s="221"/>
      <c r="K3237" s="221"/>
      <c r="L3237" s="221"/>
      <c r="M3237" s="221"/>
      <c r="O3237" s="219" t="s">
        <v>4859</v>
      </c>
    </row>
    <row r="3238" spans="5:19">
      <c r="E3238" s="221"/>
      <c r="F3238" s="221"/>
      <c r="G3238" s="221"/>
      <c r="H3238" s="221"/>
      <c r="I3238" s="221"/>
      <c r="J3238" s="221"/>
      <c r="K3238" s="221"/>
      <c r="L3238" s="221"/>
      <c r="M3238" s="221"/>
    </row>
    <row r="3239" spans="5:19" ht="95.25" customHeight="1">
      <c r="E3239" s="221"/>
      <c r="F3239" s="221"/>
      <c r="G3239" s="221"/>
      <c r="H3239" s="220" t="s">
        <v>2348</v>
      </c>
      <c r="I3239" s="221"/>
      <c r="J3239" s="221"/>
      <c r="K3239" s="221"/>
      <c r="L3239" s="221"/>
      <c r="M3239" s="221">
        <v>1</v>
      </c>
      <c r="N3239" s="221" t="s">
        <v>1414</v>
      </c>
      <c r="O3239" s="280" t="s">
        <v>4860</v>
      </c>
      <c r="P3239" s="221">
        <v>2487</v>
      </c>
      <c r="Q3239" s="221" t="s">
        <v>1414</v>
      </c>
      <c r="R3239" s="221">
        <f>P3239*M3239</f>
        <v>2487</v>
      </c>
    </row>
    <row r="3240" spans="5:19" ht="24.95" customHeight="1">
      <c r="E3240" s="221"/>
      <c r="F3240" s="221">
        <v>2</v>
      </c>
      <c r="G3240" s="221" t="s">
        <v>1414</v>
      </c>
      <c r="H3240" s="221" t="s">
        <v>5029</v>
      </c>
      <c r="I3240" s="222">
        <v>558</v>
      </c>
      <c r="J3240" s="221" t="s">
        <v>2919</v>
      </c>
      <c r="K3240" s="221">
        <f>F3240*(I3240/100)</f>
        <v>11.16</v>
      </c>
      <c r="L3240" s="221"/>
      <c r="M3240" s="221"/>
      <c r="N3240" s="221"/>
      <c r="O3240" s="221"/>
      <c r="P3240" s="222"/>
      <c r="Q3240" s="221"/>
      <c r="R3240" s="221"/>
    </row>
    <row r="3241" spans="5:19" ht="24.95" customHeight="1">
      <c r="E3241" s="221"/>
      <c r="F3241" s="221">
        <v>2</v>
      </c>
      <c r="G3241" s="221" t="s">
        <v>835</v>
      </c>
      <c r="H3241" s="221" t="s">
        <v>2349</v>
      </c>
      <c r="I3241" s="274">
        <v>980</v>
      </c>
      <c r="J3241" s="221" t="s">
        <v>2350</v>
      </c>
      <c r="K3241" s="221">
        <f>F3241*(I3241/100)</f>
        <v>19.600000000000001</v>
      </c>
      <c r="L3241" s="221"/>
      <c r="M3241" s="221">
        <v>1</v>
      </c>
      <c r="N3241" s="221" t="s">
        <v>835</v>
      </c>
      <c r="O3241" s="221" t="s">
        <v>4861</v>
      </c>
      <c r="P3241" s="274">
        <v>8.5500000000000007</v>
      </c>
      <c r="Q3241" s="221" t="s">
        <v>4862</v>
      </c>
      <c r="R3241" s="221">
        <f>P3241*M3241</f>
        <v>8.5500000000000007</v>
      </c>
      <c r="S3241" s="87">
        <f>R3239+R3241</f>
        <v>2495.5500000000002</v>
      </c>
    </row>
    <row r="3242" spans="5:19" ht="24.95" customHeight="1">
      <c r="E3242" s="221"/>
      <c r="F3242" s="221"/>
      <c r="G3242" s="221"/>
      <c r="H3242" s="221" t="s">
        <v>2351</v>
      </c>
      <c r="I3242" s="221"/>
      <c r="J3242" s="221"/>
      <c r="K3242" s="221">
        <v>8.5</v>
      </c>
      <c r="L3242" s="221"/>
      <c r="M3242" s="221"/>
      <c r="N3242" s="221"/>
      <c r="O3242" s="221" t="s">
        <v>4863</v>
      </c>
      <c r="P3242" s="221"/>
      <c r="Q3242" s="221"/>
      <c r="R3242" s="221">
        <f>24.71-0.32</f>
        <v>24.39</v>
      </c>
    </row>
    <row r="3243" spans="5:19" ht="24.95" customHeight="1">
      <c r="E3243" s="221"/>
      <c r="F3243" s="221"/>
      <c r="G3243" s="221"/>
      <c r="H3243" s="221" t="s">
        <v>3410</v>
      </c>
      <c r="I3243" s="221"/>
      <c r="J3243" s="221"/>
      <c r="K3243" s="221">
        <f>K3251</f>
        <v>237.25</v>
      </c>
      <c r="L3243" s="221"/>
      <c r="M3243" s="221"/>
      <c r="N3243" s="221"/>
      <c r="O3243" s="221" t="s">
        <v>3410</v>
      </c>
      <c r="P3243" s="221"/>
      <c r="Q3243" s="221"/>
      <c r="R3243" s="221">
        <f>K3243</f>
        <v>237.25</v>
      </c>
    </row>
    <row r="3244" spans="5:19" ht="24.95" customHeight="1">
      <c r="E3244" s="221"/>
      <c r="F3244" s="221"/>
      <c r="G3244" s="221"/>
      <c r="H3244" s="228" t="s">
        <v>1080</v>
      </c>
      <c r="I3244" s="221"/>
      <c r="J3244" s="221"/>
      <c r="K3244" s="229">
        <f>SUM(K3240:K3243)</f>
        <v>276.51</v>
      </c>
      <c r="L3244" s="221">
        <f>384.3+249</f>
        <v>633.29999999999995</v>
      </c>
      <c r="M3244" s="221"/>
      <c r="N3244" s="221"/>
      <c r="O3244" s="228" t="s">
        <v>1080</v>
      </c>
      <c r="P3244" s="221"/>
      <c r="Q3244" s="221"/>
      <c r="R3244" s="229">
        <f>SUM(R3239:R3243)</f>
        <v>2757.19</v>
      </c>
    </row>
    <row r="3245" spans="5:19">
      <c r="E3245" s="221"/>
      <c r="F3245" s="221"/>
      <c r="G3245" s="221"/>
      <c r="H3245" s="221"/>
      <c r="I3245" s="221"/>
      <c r="J3245" s="221"/>
      <c r="K3245" s="221"/>
      <c r="L3245" s="221"/>
      <c r="M3245" s="221"/>
    </row>
    <row r="3246" spans="5:19">
      <c r="E3246" s="221"/>
      <c r="F3246" s="221"/>
      <c r="H3246" s="227" t="s">
        <v>3411</v>
      </c>
      <c r="I3246" s="221"/>
      <c r="J3246" s="221"/>
      <c r="K3246" s="221"/>
      <c r="L3246" s="221"/>
      <c r="M3246" s="221"/>
    </row>
    <row r="3247" spans="5:19">
      <c r="E3247" s="221"/>
      <c r="F3247" s="221">
        <v>1</v>
      </c>
      <c r="G3247" s="221" t="s">
        <v>1414</v>
      </c>
      <c r="H3247" s="221" t="s">
        <v>2800</v>
      </c>
      <c r="I3247" s="221">
        <f>I2867</f>
        <v>712</v>
      </c>
      <c r="J3247" s="221" t="s">
        <v>1414</v>
      </c>
      <c r="K3247" s="221">
        <f>F3247*I3247</f>
        <v>712</v>
      </c>
      <c r="L3247" s="221"/>
      <c r="M3247" s="221"/>
    </row>
    <row r="3248" spans="5:19">
      <c r="E3248" s="221"/>
      <c r="F3248" s="221">
        <v>2</v>
      </c>
      <c r="G3248" s="221" t="s">
        <v>1414</v>
      </c>
      <c r="H3248" s="221" t="s">
        <v>2619</v>
      </c>
      <c r="I3248" s="221">
        <f>I2868</f>
        <v>708</v>
      </c>
      <c r="J3248" s="221" t="s">
        <v>1414</v>
      </c>
      <c r="K3248" s="221">
        <f>F3248*I3248</f>
        <v>1416</v>
      </c>
      <c r="L3248" s="221"/>
      <c r="M3248" s="221"/>
    </row>
    <row r="3249" spans="5:13">
      <c r="E3249" s="221"/>
      <c r="F3249" s="221">
        <v>3</v>
      </c>
      <c r="G3249" s="221" t="s">
        <v>1414</v>
      </c>
      <c r="H3249" s="221" t="s">
        <v>3121</v>
      </c>
      <c r="I3249" s="221">
        <f>I2869</f>
        <v>556</v>
      </c>
      <c r="J3249" s="221" t="s">
        <v>1414</v>
      </c>
      <c r="K3249" s="221">
        <f>F3249*I3249</f>
        <v>1668</v>
      </c>
      <c r="L3249" s="221"/>
      <c r="M3249" s="221"/>
    </row>
    <row r="3250" spans="5:13">
      <c r="E3250" s="221"/>
      <c r="F3250" s="221"/>
      <c r="G3250" s="221"/>
      <c r="H3250" s="226" t="s">
        <v>3412</v>
      </c>
      <c r="I3250" s="221"/>
      <c r="J3250" s="221"/>
      <c r="K3250" s="227">
        <f>SUM(K3247:K3249)</f>
        <v>3796</v>
      </c>
      <c r="L3250" s="221"/>
      <c r="M3250" s="221"/>
    </row>
    <row r="3251" spans="5:13">
      <c r="E3251" s="221"/>
      <c r="F3251" s="221"/>
      <c r="G3251" s="221"/>
      <c r="H3251" s="228" t="s">
        <v>2826</v>
      </c>
      <c r="I3251" s="221"/>
      <c r="J3251" s="221"/>
      <c r="K3251" s="229">
        <f>K3250/16</f>
        <v>237.25</v>
      </c>
      <c r="L3251" s="221"/>
      <c r="M3251" s="221"/>
    </row>
    <row r="3252" spans="5:13">
      <c r="E3252" s="221"/>
      <c r="F3252" s="221"/>
      <c r="G3252" s="221"/>
      <c r="H3252" s="221"/>
      <c r="I3252" s="221"/>
      <c r="J3252" s="221"/>
      <c r="K3252" s="221"/>
      <c r="L3252" s="221"/>
      <c r="M3252" s="221"/>
    </row>
    <row r="3253" spans="5:13">
      <c r="E3253" s="221"/>
      <c r="F3253" s="221"/>
      <c r="G3253" s="221"/>
      <c r="H3253" s="229" t="s">
        <v>3413</v>
      </c>
      <c r="I3253" s="221"/>
      <c r="J3253" s="221"/>
      <c r="K3253" s="221"/>
      <c r="L3253" s="221"/>
      <c r="M3253" s="221"/>
    </row>
    <row r="3254" spans="5:13" ht="36" customHeight="1">
      <c r="E3254" s="221"/>
      <c r="F3254" s="221"/>
      <c r="G3254" s="221"/>
      <c r="H3254" s="219" t="s">
        <v>3414</v>
      </c>
      <c r="I3254" s="221"/>
      <c r="J3254" s="221"/>
      <c r="K3254" s="221"/>
      <c r="L3254" s="221"/>
      <c r="M3254" s="221"/>
    </row>
    <row r="3255" spans="5:13">
      <c r="E3255" s="221"/>
      <c r="F3255" s="221"/>
      <c r="G3255" s="221"/>
      <c r="H3255" s="221"/>
      <c r="I3255" s="221"/>
      <c r="J3255" s="221"/>
      <c r="K3255" s="221"/>
      <c r="L3255" s="221"/>
      <c r="M3255" s="221"/>
    </row>
    <row r="3256" spans="5:13" ht="112.5" customHeight="1">
      <c r="E3256" s="221"/>
      <c r="F3256" s="221"/>
      <c r="G3256" s="221"/>
      <c r="H3256" s="220" t="s">
        <v>2775</v>
      </c>
      <c r="I3256" s="221"/>
      <c r="J3256" s="221"/>
      <c r="K3256" s="221"/>
      <c r="L3256" s="221"/>
      <c r="M3256" s="221"/>
    </row>
    <row r="3257" spans="5:13">
      <c r="E3257" s="221"/>
      <c r="F3257" s="221">
        <v>1.5</v>
      </c>
      <c r="G3257" s="221" t="s">
        <v>835</v>
      </c>
      <c r="H3257" s="221" t="s">
        <v>5030</v>
      </c>
      <c r="I3257" s="222">
        <v>32.299999999999997</v>
      </c>
      <c r="J3257" s="221" t="s">
        <v>835</v>
      </c>
      <c r="K3257" s="221">
        <f>F3257*I3257</f>
        <v>48.45</v>
      </c>
      <c r="L3257" s="221"/>
      <c r="M3257" s="221"/>
    </row>
    <row r="3258" spans="5:13">
      <c r="E3258" s="221"/>
      <c r="F3258" s="221">
        <v>2</v>
      </c>
      <c r="G3258" s="221" t="s">
        <v>1414</v>
      </c>
      <c r="H3258" s="221" t="s">
        <v>2776</v>
      </c>
      <c r="I3258" s="221">
        <f>I3240</f>
        <v>558</v>
      </c>
      <c r="J3258" s="221" t="s">
        <v>2919</v>
      </c>
      <c r="K3258" s="221">
        <f>F3258*(I3258/100)</f>
        <v>11.16</v>
      </c>
      <c r="L3258" s="221"/>
      <c r="M3258" s="221"/>
    </row>
    <row r="3259" spans="5:13">
      <c r="E3259" s="221"/>
      <c r="F3259" s="221">
        <v>2</v>
      </c>
      <c r="G3259" s="221" t="s">
        <v>835</v>
      </c>
      <c r="H3259" s="221" t="s">
        <v>2349</v>
      </c>
      <c r="I3259" s="221">
        <f>I3241</f>
        <v>980</v>
      </c>
      <c r="J3259" s="221" t="s">
        <v>835</v>
      </c>
      <c r="K3259" s="221">
        <f>F3259*(I3259/100)</f>
        <v>19.600000000000001</v>
      </c>
      <c r="L3259" s="221"/>
      <c r="M3259" s="221"/>
    </row>
    <row r="3260" spans="5:13" ht="31.5" customHeight="1">
      <c r="E3260" s="221"/>
      <c r="F3260" s="221"/>
      <c r="G3260" s="221"/>
      <c r="H3260" s="220" t="s">
        <v>2777</v>
      </c>
      <c r="I3260" s="221"/>
      <c r="J3260" s="221"/>
      <c r="K3260" s="221">
        <v>6.11</v>
      </c>
      <c r="L3260" s="221"/>
      <c r="M3260" s="221"/>
    </row>
    <row r="3261" spans="5:13">
      <c r="E3261" s="221"/>
      <c r="F3261" s="221"/>
      <c r="G3261" s="221"/>
      <c r="H3261" s="221" t="s">
        <v>924</v>
      </c>
      <c r="I3261" s="221"/>
      <c r="J3261" s="221"/>
      <c r="K3261" s="221">
        <f>K3269</f>
        <v>379.6</v>
      </c>
      <c r="L3261" s="221"/>
      <c r="M3261" s="221"/>
    </row>
    <row r="3262" spans="5:13" ht="24.95" customHeight="1">
      <c r="E3262" s="221"/>
      <c r="F3262" s="221"/>
      <c r="G3262" s="221"/>
      <c r="H3262" s="228" t="s">
        <v>1080</v>
      </c>
      <c r="I3262" s="221"/>
      <c r="J3262" s="221"/>
      <c r="K3262" s="229">
        <f>SUM(K3257:K3261)</f>
        <v>464.92</v>
      </c>
      <c r="L3262" s="221">
        <f>K3262-320</f>
        <v>144.91999999999999</v>
      </c>
      <c r="M3262" s="221"/>
    </row>
    <row r="3263" spans="5:13">
      <c r="E3263" s="221"/>
      <c r="F3263" s="221"/>
      <c r="G3263" s="221"/>
      <c r="H3263" s="221"/>
      <c r="I3263" s="221"/>
      <c r="J3263" s="221"/>
      <c r="K3263" s="221"/>
      <c r="L3263" s="221"/>
      <c r="M3263" s="221"/>
    </row>
    <row r="3264" spans="5:13">
      <c r="E3264" s="221"/>
      <c r="F3264" s="221"/>
      <c r="G3264" s="221"/>
      <c r="H3264" s="229" t="s">
        <v>142</v>
      </c>
      <c r="I3264" s="221"/>
      <c r="J3264" s="221"/>
      <c r="K3264" s="221"/>
      <c r="L3264" s="221"/>
      <c r="M3264" s="221"/>
    </row>
    <row r="3265" spans="5:13">
      <c r="E3265" s="221"/>
      <c r="F3265" s="221">
        <v>1</v>
      </c>
      <c r="G3265" s="221" t="s">
        <v>1414</v>
      </c>
      <c r="H3265" s="221" t="s">
        <v>2800</v>
      </c>
      <c r="I3265" s="221">
        <f>I3247</f>
        <v>712</v>
      </c>
      <c r="J3265" s="221" t="s">
        <v>1414</v>
      </c>
      <c r="K3265" s="221">
        <f>F3265*I3265</f>
        <v>712</v>
      </c>
      <c r="L3265" s="221"/>
      <c r="M3265" s="221"/>
    </row>
    <row r="3266" spans="5:13">
      <c r="E3266" s="221"/>
      <c r="F3266" s="221">
        <v>2</v>
      </c>
      <c r="G3266" s="221" t="s">
        <v>1414</v>
      </c>
      <c r="H3266" s="221" t="s">
        <v>2619</v>
      </c>
      <c r="I3266" s="221">
        <f>I3248</f>
        <v>708</v>
      </c>
      <c r="J3266" s="221" t="s">
        <v>1414</v>
      </c>
      <c r="K3266" s="221">
        <f>F3266*I3266</f>
        <v>1416</v>
      </c>
      <c r="L3266" s="221"/>
      <c r="M3266" s="221"/>
    </row>
    <row r="3267" spans="5:13">
      <c r="E3267" s="221"/>
      <c r="F3267" s="221">
        <v>3</v>
      </c>
      <c r="G3267" s="221" t="s">
        <v>1414</v>
      </c>
      <c r="H3267" s="221" t="s">
        <v>3121</v>
      </c>
      <c r="I3267" s="221">
        <f>I3249</f>
        <v>556</v>
      </c>
      <c r="J3267" s="221" t="s">
        <v>1414</v>
      </c>
      <c r="K3267" s="221">
        <f>F3267*I3267</f>
        <v>1668</v>
      </c>
      <c r="L3267" s="221"/>
      <c r="M3267" s="221"/>
    </row>
    <row r="3268" spans="5:13">
      <c r="E3268" s="221"/>
      <c r="F3268" s="221"/>
      <c r="G3268" s="221"/>
      <c r="H3268" s="226" t="s">
        <v>2778</v>
      </c>
      <c r="I3268" s="221"/>
      <c r="J3268" s="221"/>
      <c r="K3268" s="227">
        <f>SUM(K3265:K3267)</f>
        <v>3796</v>
      </c>
      <c r="L3268" s="221"/>
      <c r="M3268" s="221"/>
    </row>
    <row r="3269" spans="5:13">
      <c r="E3269" s="221"/>
      <c r="F3269" s="221"/>
      <c r="G3269" s="221"/>
      <c r="H3269" s="228" t="s">
        <v>2826</v>
      </c>
      <c r="I3269" s="221"/>
      <c r="J3269" s="221"/>
      <c r="K3269" s="229">
        <f>K3268/10</f>
        <v>379.6</v>
      </c>
      <c r="L3269" s="221"/>
      <c r="M3269" s="221"/>
    </row>
    <row r="3270" spans="5:13">
      <c r="E3270" s="221"/>
      <c r="F3270" s="221"/>
      <c r="G3270" s="221"/>
      <c r="H3270" s="221"/>
      <c r="I3270" s="221"/>
      <c r="J3270" s="221"/>
      <c r="K3270" s="221"/>
      <c r="L3270" s="221"/>
      <c r="M3270" s="221"/>
    </row>
    <row r="3271" spans="5:13">
      <c r="E3271" s="221"/>
      <c r="F3271" s="221"/>
      <c r="G3271" s="221"/>
      <c r="H3271" s="229" t="s">
        <v>3449</v>
      </c>
      <c r="I3271" s="221"/>
      <c r="J3271" s="221"/>
      <c r="K3271" s="221"/>
      <c r="L3271" s="221"/>
      <c r="M3271" s="221"/>
    </row>
    <row r="3272" spans="5:13" ht="83.25" customHeight="1">
      <c r="E3272" s="221"/>
      <c r="F3272" s="221"/>
      <c r="G3272" s="221"/>
      <c r="H3272" s="220" t="s">
        <v>3160</v>
      </c>
      <c r="I3272" s="221"/>
      <c r="J3272" s="221"/>
      <c r="K3272" s="221"/>
      <c r="L3272" s="221"/>
      <c r="M3272" s="221"/>
    </row>
    <row r="3273" spans="5:13">
      <c r="E3273" s="221"/>
      <c r="F3273" s="221"/>
      <c r="G3273" s="221"/>
      <c r="H3273" s="221"/>
      <c r="I3273" s="221"/>
      <c r="J3273" s="221"/>
      <c r="K3273" s="221"/>
      <c r="L3273" s="221"/>
      <c r="M3273" s="221"/>
    </row>
    <row r="3274" spans="5:13" ht="22.5" customHeight="1">
      <c r="E3274" s="221"/>
      <c r="F3274" s="221">
        <v>1</v>
      </c>
      <c r="G3274" s="221" t="s">
        <v>835</v>
      </c>
      <c r="H3274" s="221" t="s">
        <v>2349</v>
      </c>
      <c r="I3274" s="221">
        <f>I3259</f>
        <v>980</v>
      </c>
      <c r="J3274" s="221" t="s">
        <v>3161</v>
      </c>
      <c r="K3274" s="221">
        <f>F3274*(I3274/100)</f>
        <v>9.8000000000000007</v>
      </c>
      <c r="L3274" s="221"/>
      <c r="M3274" s="221"/>
    </row>
    <row r="3275" spans="5:13" ht="24.95" customHeight="1">
      <c r="E3275" s="221"/>
      <c r="F3275" s="221"/>
      <c r="G3275" s="221"/>
      <c r="H3275" s="221" t="s">
        <v>142</v>
      </c>
      <c r="I3275" s="221"/>
      <c r="J3275" s="221"/>
      <c r="K3275" s="221">
        <f>K3282</f>
        <v>506.4</v>
      </c>
      <c r="L3275" s="221"/>
      <c r="M3275" s="221"/>
    </row>
    <row r="3276" spans="5:13" ht="24.95" customHeight="1">
      <c r="E3276" s="221"/>
      <c r="F3276" s="221"/>
      <c r="G3276" s="221"/>
      <c r="H3276" s="221" t="s">
        <v>2352</v>
      </c>
      <c r="J3276" s="221"/>
      <c r="K3276" s="221">
        <v>5.26</v>
      </c>
      <c r="L3276" s="221"/>
      <c r="M3276" s="221"/>
    </row>
    <row r="3277" spans="5:13" ht="24.95" customHeight="1">
      <c r="E3277" s="221"/>
      <c r="F3277" s="221"/>
      <c r="G3277" s="221"/>
      <c r="H3277" s="227" t="s">
        <v>3162</v>
      </c>
      <c r="I3277" s="229" t="s">
        <v>1080</v>
      </c>
      <c r="J3277" s="221"/>
      <c r="K3277" s="229">
        <f>SUM(K3274:K3276)</f>
        <v>521.46</v>
      </c>
      <c r="L3277" s="221">
        <f>467-K3277</f>
        <v>-54.46</v>
      </c>
      <c r="M3277" s="221"/>
    </row>
    <row r="3278" spans="5:13" ht="21" customHeight="1">
      <c r="E3278" s="221"/>
      <c r="F3278" s="221">
        <v>1</v>
      </c>
      <c r="G3278" s="221" t="s">
        <v>1414</v>
      </c>
      <c r="H3278" s="221" t="s">
        <v>2800</v>
      </c>
      <c r="I3278" s="221">
        <f>I3265</f>
        <v>712</v>
      </c>
      <c r="J3278" s="221" t="s">
        <v>1414</v>
      </c>
      <c r="K3278" s="221">
        <f>F3278*I3278</f>
        <v>712</v>
      </c>
      <c r="L3278" s="221"/>
      <c r="M3278" s="221"/>
    </row>
    <row r="3279" spans="5:13" ht="21" customHeight="1">
      <c r="E3279" s="221"/>
      <c r="F3279" s="221">
        <v>1</v>
      </c>
      <c r="G3279" s="221" t="s">
        <v>1414</v>
      </c>
      <c r="H3279" s="221" t="s">
        <v>2619</v>
      </c>
      <c r="I3279" s="221">
        <f>I3266</f>
        <v>708</v>
      </c>
      <c r="J3279" s="221" t="s">
        <v>1414</v>
      </c>
      <c r="K3279" s="221">
        <f>F3279*I3279</f>
        <v>708</v>
      </c>
      <c r="L3279" s="221"/>
      <c r="M3279" s="221"/>
    </row>
    <row r="3280" spans="5:13" ht="21" customHeight="1">
      <c r="E3280" s="221"/>
      <c r="F3280" s="221">
        <v>2</v>
      </c>
      <c r="G3280" s="221" t="s">
        <v>1414</v>
      </c>
      <c r="H3280" s="221" t="s">
        <v>3121</v>
      </c>
      <c r="I3280" s="221">
        <f>I3267</f>
        <v>556</v>
      </c>
      <c r="J3280" s="221" t="s">
        <v>1414</v>
      </c>
      <c r="K3280" s="221">
        <f>F3280*I3280</f>
        <v>1112</v>
      </c>
      <c r="L3280" s="221"/>
      <c r="M3280" s="221"/>
    </row>
    <row r="3281" spans="5:13" ht="24.95" customHeight="1">
      <c r="E3281" s="221"/>
      <c r="F3281" s="221"/>
      <c r="G3281" s="221"/>
      <c r="H3281" s="226" t="s">
        <v>3163</v>
      </c>
      <c r="I3281" s="221"/>
      <c r="J3281" s="221"/>
      <c r="K3281" s="227">
        <f>SUM(K3278:K3280)</f>
        <v>2532</v>
      </c>
      <c r="L3281" s="221"/>
      <c r="M3281" s="221"/>
    </row>
    <row r="3282" spans="5:13" ht="19.5" customHeight="1">
      <c r="E3282" s="221"/>
      <c r="F3282" s="221"/>
      <c r="G3282" s="221"/>
      <c r="H3282" s="228" t="s">
        <v>1080</v>
      </c>
      <c r="I3282" s="221"/>
      <c r="J3282" s="221"/>
      <c r="K3282" s="229">
        <f>K3281/5</f>
        <v>506.4</v>
      </c>
      <c r="L3282" s="221"/>
      <c r="M3282" s="221"/>
    </row>
    <row r="3283" spans="5:13" ht="24.95" customHeight="1">
      <c r="E3283" s="221"/>
      <c r="F3283" s="221"/>
      <c r="G3283" s="221"/>
      <c r="H3283" s="239" t="s">
        <v>3164</v>
      </c>
      <c r="I3283" s="221"/>
      <c r="J3283" s="221"/>
      <c r="K3283" s="221"/>
      <c r="L3283" s="221"/>
      <c r="M3283" s="221"/>
    </row>
    <row r="3284" spans="5:13">
      <c r="E3284" s="221"/>
      <c r="F3284" s="221"/>
      <c r="G3284" s="221"/>
      <c r="H3284" s="229" t="s">
        <v>3165</v>
      </c>
      <c r="I3284" s="221"/>
      <c r="J3284" s="221"/>
      <c r="K3284" s="221"/>
      <c r="L3284" s="221"/>
      <c r="M3284" s="221"/>
    </row>
    <row r="3285" spans="5:13">
      <c r="E3285" s="221"/>
      <c r="F3285" s="221"/>
      <c r="G3285" s="221"/>
      <c r="H3285" s="229" t="s">
        <v>3166</v>
      </c>
      <c r="I3285" s="221"/>
      <c r="J3285" s="221"/>
      <c r="K3285" s="221"/>
      <c r="L3285" s="221"/>
      <c r="M3285" s="221"/>
    </row>
    <row r="3286" spans="5:13">
      <c r="E3286" s="221"/>
      <c r="F3286" s="221"/>
      <c r="G3286" s="221"/>
      <c r="H3286" s="230" t="s">
        <v>3167</v>
      </c>
      <c r="I3286" s="221"/>
      <c r="J3286" s="221"/>
      <c r="K3286" s="221"/>
      <c r="L3286" s="221"/>
      <c r="M3286" s="221"/>
    </row>
    <row r="3287" spans="5:13" ht="68.25" customHeight="1">
      <c r="E3287" s="221"/>
      <c r="F3287" s="221"/>
      <c r="G3287" s="221"/>
      <c r="H3287" s="220" t="s">
        <v>3501</v>
      </c>
      <c r="I3287" s="221"/>
      <c r="J3287" s="221"/>
      <c r="K3287" s="221"/>
      <c r="L3287" s="221"/>
      <c r="M3287" s="221"/>
    </row>
    <row r="3288" spans="5:13">
      <c r="E3288" s="221"/>
      <c r="F3288" s="221"/>
      <c r="G3288" s="221"/>
      <c r="H3288" s="221"/>
      <c r="I3288" s="221"/>
      <c r="J3288" s="221"/>
      <c r="K3288" s="221"/>
      <c r="L3288" s="221"/>
      <c r="M3288" s="221"/>
    </row>
    <row r="3289" spans="5:13">
      <c r="E3289" s="221"/>
      <c r="F3289" s="221">
        <v>9.5</v>
      </c>
      <c r="G3289" s="221" t="s">
        <v>1670</v>
      </c>
      <c r="H3289" s="221" t="s">
        <v>4773</v>
      </c>
      <c r="I3289" s="222">
        <v>94.9</v>
      </c>
      <c r="J3289" s="221" t="s">
        <v>1670</v>
      </c>
      <c r="K3289" s="221">
        <f>F3289*I3289</f>
        <v>901.55</v>
      </c>
      <c r="L3289" s="221"/>
      <c r="M3289" s="221"/>
    </row>
    <row r="3290" spans="5:13">
      <c r="E3290" s="221"/>
      <c r="F3290" s="221">
        <v>0.5</v>
      </c>
      <c r="G3290" s="221" t="s">
        <v>1670</v>
      </c>
      <c r="H3290" s="221" t="s">
        <v>4774</v>
      </c>
      <c r="I3290" s="303">
        <v>19.22</v>
      </c>
      <c r="J3290" s="221"/>
      <c r="K3290" s="221">
        <f>F3290*I3290</f>
        <v>9.61</v>
      </c>
      <c r="L3290" s="221"/>
      <c r="M3290" s="221"/>
    </row>
    <row r="3291" spans="5:13">
      <c r="E3291" s="221"/>
      <c r="F3291" s="221"/>
      <c r="G3291" s="221"/>
      <c r="H3291" s="221" t="s">
        <v>1847</v>
      </c>
      <c r="I3291" s="221"/>
      <c r="J3291" s="221"/>
      <c r="K3291" s="221">
        <f>K3299</f>
        <v>1264</v>
      </c>
      <c r="L3291" s="221"/>
      <c r="M3291" s="221"/>
    </row>
    <row r="3292" spans="5:13">
      <c r="E3292" s="221"/>
      <c r="F3292" s="221"/>
      <c r="G3292" s="221"/>
      <c r="H3292" s="221" t="s">
        <v>2296</v>
      </c>
      <c r="I3292" s="221"/>
      <c r="J3292" s="221"/>
      <c r="K3292" s="221">
        <v>7.95</v>
      </c>
      <c r="L3292" s="221"/>
      <c r="M3292" s="221"/>
    </row>
    <row r="3293" spans="5:13">
      <c r="E3293" s="221"/>
      <c r="F3293" s="221"/>
      <c r="G3293" s="221"/>
      <c r="H3293" s="226" t="s">
        <v>3417</v>
      </c>
      <c r="I3293" s="221"/>
      <c r="J3293" s="221"/>
      <c r="K3293" s="227">
        <f>SUM(K3289:K3292)</f>
        <v>2183.11</v>
      </c>
      <c r="L3293" s="221"/>
      <c r="M3293" s="221"/>
    </row>
    <row r="3294" spans="5:13">
      <c r="E3294" s="221"/>
      <c r="F3294" s="221"/>
      <c r="G3294" s="221"/>
      <c r="H3294" s="228" t="s">
        <v>2795</v>
      </c>
      <c r="I3294" s="221"/>
      <c r="J3294" s="221"/>
      <c r="K3294" s="229">
        <f>K3293/90-0.47</f>
        <v>23.79</v>
      </c>
      <c r="L3294" s="221">
        <f>18*90</f>
        <v>1620</v>
      </c>
      <c r="M3294" s="221">
        <f>L3294-K3293</f>
        <v>-563.11</v>
      </c>
    </row>
    <row r="3295" spans="5:13">
      <c r="E3295" s="221"/>
      <c r="F3295" s="221"/>
      <c r="G3295" s="221"/>
      <c r="H3295" s="221"/>
      <c r="I3295" s="221"/>
      <c r="J3295" s="221"/>
      <c r="K3295" s="229"/>
      <c r="L3295" s="221">
        <f>L3294-K3293</f>
        <v>-563.11</v>
      </c>
      <c r="M3295" s="221"/>
    </row>
    <row r="3296" spans="5:13">
      <c r="E3296" s="221"/>
      <c r="F3296" s="221"/>
      <c r="G3296" s="221"/>
      <c r="H3296" s="227" t="s">
        <v>2677</v>
      </c>
      <c r="I3296" s="221"/>
      <c r="J3296" s="221"/>
      <c r="K3296" s="221"/>
      <c r="L3296" s="221"/>
      <c r="M3296" s="221"/>
    </row>
    <row r="3297" spans="5:13">
      <c r="E3297" s="221"/>
      <c r="F3297" s="221">
        <v>1</v>
      </c>
      <c r="G3297" s="221"/>
      <c r="H3297" s="221" t="s">
        <v>2619</v>
      </c>
      <c r="I3297" s="221">
        <f>I3279</f>
        <v>708</v>
      </c>
      <c r="J3297" s="221" t="s">
        <v>1414</v>
      </c>
      <c r="K3297" s="221">
        <f>F3297*I3297</f>
        <v>708</v>
      </c>
      <c r="L3297" s="221"/>
      <c r="M3297" s="221"/>
    </row>
    <row r="3298" spans="5:13">
      <c r="E3298" s="221"/>
      <c r="F3298" s="221">
        <v>1</v>
      </c>
      <c r="G3298" s="221"/>
      <c r="H3298" s="221" t="s">
        <v>3121</v>
      </c>
      <c r="I3298" s="221">
        <f>I3280</f>
        <v>556</v>
      </c>
      <c r="J3298" s="221" t="s">
        <v>1414</v>
      </c>
      <c r="K3298" s="221">
        <f>F3298*I3298</f>
        <v>556</v>
      </c>
      <c r="L3298" s="221"/>
      <c r="M3298" s="221"/>
    </row>
    <row r="3299" spans="5:13" ht="24.75">
      <c r="E3299" s="221"/>
      <c r="F3299" s="221"/>
      <c r="G3299" s="221"/>
      <c r="H3299" s="221"/>
      <c r="I3299" s="221"/>
      <c r="J3299" s="221"/>
      <c r="K3299" s="229">
        <f>SUM(K3297:K3298)</f>
        <v>1264</v>
      </c>
      <c r="L3299" s="600" t="s">
        <v>4815</v>
      </c>
      <c r="M3299" s="221"/>
    </row>
    <row r="3300" spans="5:13">
      <c r="E3300" s="221"/>
      <c r="F3300" s="221" t="s">
        <v>2678</v>
      </c>
      <c r="G3300" s="221"/>
      <c r="H3300" s="221"/>
      <c r="I3300" s="221"/>
      <c r="J3300" s="221"/>
      <c r="K3300" s="221"/>
      <c r="L3300" s="221"/>
      <c r="M3300" s="221"/>
    </row>
    <row r="3301" spans="5:13">
      <c r="E3301" s="221"/>
      <c r="F3301" s="221"/>
      <c r="G3301" s="221"/>
      <c r="H3301" s="221"/>
      <c r="I3301" s="221"/>
      <c r="J3301" s="221"/>
      <c r="K3301" s="221"/>
      <c r="L3301" s="221"/>
      <c r="M3301" s="221"/>
    </row>
    <row r="3302" spans="5:13">
      <c r="E3302" s="221"/>
      <c r="F3302" s="221"/>
      <c r="G3302" s="221"/>
      <c r="H3302" s="229" t="s">
        <v>2679</v>
      </c>
      <c r="I3302" s="221"/>
      <c r="J3302" s="221"/>
      <c r="K3302" s="221"/>
      <c r="L3302" s="221"/>
      <c r="M3302" s="221"/>
    </row>
    <row r="3303" spans="5:13">
      <c r="E3303" s="221"/>
      <c r="F3303" s="221"/>
      <c r="G3303" s="221"/>
      <c r="H3303" s="229" t="s">
        <v>2680</v>
      </c>
      <c r="I3303" s="221"/>
      <c r="J3303" s="221"/>
      <c r="K3303" s="221"/>
      <c r="L3303" s="221"/>
      <c r="M3303" s="221"/>
    </row>
    <row r="3304" spans="5:13">
      <c r="E3304" s="221"/>
      <c r="F3304" s="221"/>
      <c r="G3304" s="221"/>
      <c r="H3304" s="221"/>
      <c r="I3304" s="221"/>
      <c r="J3304" s="221"/>
      <c r="K3304" s="221"/>
      <c r="L3304" s="221"/>
      <c r="M3304" s="221"/>
    </row>
    <row r="3305" spans="5:13" ht="57" customHeight="1">
      <c r="E3305" s="221"/>
      <c r="F3305" s="221"/>
      <c r="G3305" s="221"/>
      <c r="H3305" s="220" t="s">
        <v>2681</v>
      </c>
      <c r="I3305" s="221"/>
      <c r="J3305" s="221"/>
      <c r="K3305" s="221"/>
      <c r="L3305" s="221"/>
      <c r="M3305" s="221"/>
    </row>
    <row r="3306" spans="5:13">
      <c r="E3306" s="221"/>
      <c r="F3306" s="221">
        <v>2.5</v>
      </c>
      <c r="G3306" s="221" t="s">
        <v>835</v>
      </c>
      <c r="H3306" s="221" t="s">
        <v>5031</v>
      </c>
      <c r="I3306" s="222">
        <v>163</v>
      </c>
      <c r="J3306" s="221" t="s">
        <v>835</v>
      </c>
      <c r="K3306" s="221">
        <f>F3306*I3306</f>
        <v>407.5</v>
      </c>
      <c r="L3306" s="221"/>
      <c r="M3306" s="221"/>
    </row>
    <row r="3307" spans="5:13">
      <c r="E3307" s="221"/>
      <c r="F3307" s="221">
        <v>1</v>
      </c>
      <c r="G3307" s="221" t="s">
        <v>835</v>
      </c>
      <c r="H3307" s="221" t="s">
        <v>4775</v>
      </c>
      <c r="I3307" s="222">
        <v>98.6</v>
      </c>
      <c r="J3307" s="221" t="s">
        <v>835</v>
      </c>
      <c r="K3307" s="221">
        <f t="shared" ref="K3307:K3316" si="105">F3307*I3307</f>
        <v>98.6</v>
      </c>
      <c r="L3307" s="221"/>
      <c r="M3307" s="221"/>
    </row>
    <row r="3308" spans="5:13">
      <c r="E3308" s="221"/>
      <c r="F3308" s="221">
        <v>1</v>
      </c>
      <c r="G3308" s="221" t="s">
        <v>835</v>
      </c>
      <c r="H3308" s="221" t="s">
        <v>4776</v>
      </c>
      <c r="I3308" s="222">
        <v>69.8</v>
      </c>
      <c r="J3308" s="221" t="s">
        <v>835</v>
      </c>
      <c r="K3308" s="221">
        <f t="shared" si="105"/>
        <v>69.8</v>
      </c>
      <c r="L3308" s="221"/>
      <c r="M3308" s="221"/>
    </row>
    <row r="3309" spans="5:13">
      <c r="E3309" s="221"/>
      <c r="F3309" s="221">
        <v>1</v>
      </c>
      <c r="G3309" s="221" t="s">
        <v>1414</v>
      </c>
      <c r="H3309" s="221" t="s">
        <v>4777</v>
      </c>
      <c r="I3309" s="222">
        <v>52</v>
      </c>
      <c r="J3309" s="221" t="s">
        <v>1414</v>
      </c>
      <c r="K3309" s="221">
        <f t="shared" si="105"/>
        <v>52</v>
      </c>
      <c r="L3309" s="221"/>
      <c r="M3309" s="221"/>
    </row>
    <row r="3310" spans="5:13">
      <c r="E3310" s="221"/>
      <c r="F3310" s="221">
        <v>1</v>
      </c>
      <c r="G3310" s="221" t="s">
        <v>282</v>
      </c>
      <c r="H3310" s="221" t="s">
        <v>2685</v>
      </c>
      <c r="I3310" s="221" t="s">
        <v>663</v>
      </c>
      <c r="J3310" s="221" t="s">
        <v>282</v>
      </c>
      <c r="K3310" s="221">
        <v>15</v>
      </c>
      <c r="L3310" s="221"/>
      <c r="M3310" s="221"/>
    </row>
    <row r="3311" spans="5:13">
      <c r="E3311" s="221"/>
      <c r="F3311" s="221"/>
      <c r="G3311" s="221" t="s">
        <v>663</v>
      </c>
      <c r="H3311" s="221" t="s">
        <v>4843</v>
      </c>
      <c r="I3311" s="221" t="s">
        <v>663</v>
      </c>
      <c r="J3311" s="221" t="s">
        <v>663</v>
      </c>
      <c r="K3311" s="221">
        <v>383</v>
      </c>
      <c r="L3311" s="221"/>
      <c r="M3311" s="221"/>
    </row>
    <row r="3312" spans="5:13">
      <c r="E3312" s="221"/>
      <c r="F3312" s="221">
        <v>1</v>
      </c>
      <c r="G3312" s="221" t="s">
        <v>1414</v>
      </c>
      <c r="H3312" s="221" t="s">
        <v>2687</v>
      </c>
      <c r="I3312" s="303">
        <v>100</v>
      </c>
      <c r="J3312" s="221" t="s">
        <v>1414</v>
      </c>
      <c r="K3312" s="221">
        <f t="shared" si="105"/>
        <v>100</v>
      </c>
      <c r="L3312" s="221"/>
      <c r="M3312" s="221"/>
    </row>
    <row r="3313" spans="5:14">
      <c r="E3313" s="221"/>
      <c r="F3313" s="221">
        <v>40</v>
      </c>
      <c r="G3313" s="221" t="s">
        <v>1670</v>
      </c>
      <c r="H3313" s="221" t="s">
        <v>4467</v>
      </c>
      <c r="I3313" s="260">
        <v>4.96</v>
      </c>
      <c r="J3313" s="221" t="s">
        <v>1670</v>
      </c>
      <c r="K3313" s="221">
        <f t="shared" si="105"/>
        <v>198.4</v>
      </c>
      <c r="L3313" s="221">
        <f>100.7/20.32</f>
        <v>4.96</v>
      </c>
      <c r="M3313" s="221"/>
    </row>
    <row r="3314" spans="5:14">
      <c r="E3314" s="221"/>
      <c r="F3314" s="221">
        <v>2</v>
      </c>
      <c r="G3314" s="221" t="s">
        <v>1414</v>
      </c>
      <c r="H3314" s="221" t="s">
        <v>4778</v>
      </c>
      <c r="I3314" s="222">
        <v>13.6</v>
      </c>
      <c r="J3314" s="221" t="s">
        <v>1414</v>
      </c>
      <c r="K3314" s="221">
        <f t="shared" si="105"/>
        <v>27.2</v>
      </c>
      <c r="L3314" s="221"/>
      <c r="M3314" s="221"/>
      <c r="N3314" s="87">
        <f>97.15/20.32</f>
        <v>4.78</v>
      </c>
    </row>
    <row r="3315" spans="5:14">
      <c r="E3315" s="221"/>
      <c r="F3315" s="221">
        <v>4</v>
      </c>
      <c r="G3315" s="221" t="s">
        <v>1414</v>
      </c>
      <c r="H3315" s="221" t="s">
        <v>4779</v>
      </c>
      <c r="I3315" s="222">
        <v>13.6</v>
      </c>
      <c r="J3315" s="221" t="s">
        <v>1414</v>
      </c>
      <c r="K3315" s="221">
        <f t="shared" si="105"/>
        <v>54.4</v>
      </c>
      <c r="L3315" s="221"/>
      <c r="M3315" s="221"/>
    </row>
    <row r="3316" spans="5:14">
      <c r="E3316" s="221"/>
      <c r="F3316" s="221">
        <v>10</v>
      </c>
      <c r="G3316" s="221" t="s">
        <v>1670</v>
      </c>
      <c r="H3316" s="221" t="s">
        <v>4465</v>
      </c>
      <c r="I3316" s="222">
        <v>3.7</v>
      </c>
      <c r="J3316" s="221" t="s">
        <v>1670</v>
      </c>
      <c r="K3316" s="221">
        <f t="shared" si="105"/>
        <v>37</v>
      </c>
      <c r="L3316" s="221"/>
      <c r="M3316" s="221"/>
    </row>
    <row r="3317" spans="5:14">
      <c r="E3317" s="221"/>
      <c r="F3317" s="221"/>
      <c r="G3317" s="221"/>
      <c r="H3317" s="221" t="s">
        <v>2296</v>
      </c>
      <c r="I3317" s="221"/>
      <c r="J3317" s="221"/>
      <c r="K3317" s="221">
        <v>12.1</v>
      </c>
      <c r="L3317" s="221"/>
      <c r="M3317" s="221"/>
    </row>
    <row r="3318" spans="5:14">
      <c r="E3318" s="221"/>
      <c r="F3318" s="221"/>
      <c r="G3318" s="221"/>
      <c r="H3318" s="221" t="s">
        <v>924</v>
      </c>
      <c r="I3318" s="221"/>
      <c r="J3318" s="221"/>
      <c r="K3318" s="230">
        <f>K3324</f>
        <v>1268</v>
      </c>
      <c r="L3318" s="221"/>
      <c r="M3318" s="221"/>
    </row>
    <row r="3319" spans="5:14">
      <c r="E3319" s="221"/>
      <c r="F3319" s="221"/>
      <c r="G3319" s="221"/>
      <c r="H3319" s="228" t="s">
        <v>1080</v>
      </c>
      <c r="I3319" s="221"/>
      <c r="J3319" s="221"/>
      <c r="K3319" s="229">
        <f>SUM(K3306:K3318)</f>
        <v>2723</v>
      </c>
      <c r="L3319" s="221">
        <f>K3319-2020</f>
        <v>703</v>
      </c>
      <c r="M3319" s="221"/>
    </row>
    <row r="3320" spans="5:14">
      <c r="E3320" s="221"/>
      <c r="F3320" s="221"/>
      <c r="G3320" s="221"/>
      <c r="H3320" s="221"/>
      <c r="I3320" s="221"/>
      <c r="J3320" s="221"/>
      <c r="K3320" s="221"/>
      <c r="L3320" s="221"/>
      <c r="M3320" s="221"/>
    </row>
    <row r="3321" spans="5:14">
      <c r="E3321" s="221"/>
      <c r="F3321" s="221"/>
      <c r="G3321" s="221"/>
      <c r="H3321" s="227" t="s">
        <v>924</v>
      </c>
      <c r="I3321" s="221"/>
      <c r="J3321" s="221"/>
      <c r="K3321" s="221"/>
      <c r="L3321" s="221"/>
      <c r="M3321" s="221"/>
    </row>
    <row r="3322" spans="5:14">
      <c r="E3322" s="221"/>
      <c r="F3322" s="221">
        <v>1</v>
      </c>
      <c r="G3322" s="221" t="s">
        <v>1414</v>
      </c>
      <c r="H3322" s="221" t="s">
        <v>2800</v>
      </c>
      <c r="I3322" s="221">
        <f>I3278</f>
        <v>712</v>
      </c>
      <c r="J3322" s="221" t="s">
        <v>1414</v>
      </c>
      <c r="K3322" s="221">
        <f>F3322*I3322</f>
        <v>712</v>
      </c>
      <c r="L3322" s="221"/>
      <c r="M3322" s="221"/>
    </row>
    <row r="3323" spans="5:14">
      <c r="E3323" s="221"/>
      <c r="F3323" s="221">
        <v>1</v>
      </c>
      <c r="G3323" s="221" t="s">
        <v>1414</v>
      </c>
      <c r="H3323" s="221" t="s">
        <v>3121</v>
      </c>
      <c r="I3323" s="221">
        <f>I3298</f>
        <v>556</v>
      </c>
      <c r="J3323" s="221" t="s">
        <v>1414</v>
      </c>
      <c r="K3323" s="221">
        <f>F3323*I3323</f>
        <v>556</v>
      </c>
      <c r="L3323" s="221"/>
      <c r="M3323" s="221"/>
    </row>
    <row r="3324" spans="5:14">
      <c r="E3324" s="221"/>
      <c r="F3324" s="221"/>
      <c r="G3324" s="221"/>
      <c r="H3324" s="221"/>
      <c r="I3324" s="221"/>
      <c r="J3324" s="221"/>
      <c r="K3324" s="229">
        <f>SUM(K3322:K3323)</f>
        <v>1268</v>
      </c>
      <c r="L3324" s="221"/>
      <c r="M3324" s="221"/>
    </row>
    <row r="3325" spans="5:14">
      <c r="E3325" s="221"/>
      <c r="F3325" s="221"/>
      <c r="G3325" s="221"/>
      <c r="H3325" s="229" t="s">
        <v>2692</v>
      </c>
      <c r="I3325" s="221"/>
      <c r="J3325" s="221"/>
      <c r="K3325" s="221"/>
      <c r="L3325" s="221"/>
      <c r="M3325" s="221"/>
    </row>
    <row r="3326" spans="5:14">
      <c r="E3326" s="221"/>
      <c r="F3326" s="221"/>
      <c r="G3326" s="221"/>
      <c r="H3326" s="229" t="s">
        <v>2693</v>
      </c>
      <c r="I3326" s="221"/>
      <c r="J3326" s="221"/>
      <c r="K3326" s="221"/>
      <c r="L3326" s="221"/>
      <c r="M3326" s="221"/>
    </row>
    <row r="3327" spans="5:14">
      <c r="E3327" s="221"/>
      <c r="F3327" s="221"/>
      <c r="G3327" s="221"/>
      <c r="H3327" s="221"/>
      <c r="I3327" s="221"/>
      <c r="J3327" s="221"/>
      <c r="K3327" s="221"/>
      <c r="L3327" s="221"/>
      <c r="M3327" s="221"/>
    </row>
    <row r="3328" spans="5:14" ht="86.25" customHeight="1">
      <c r="E3328" s="221"/>
      <c r="F3328" s="221"/>
      <c r="G3328" s="221"/>
      <c r="H3328" s="220" t="s">
        <v>3359</v>
      </c>
      <c r="I3328" s="221"/>
      <c r="J3328" s="221"/>
      <c r="K3328" s="221"/>
      <c r="L3328" s="221"/>
      <c r="M3328" s="221"/>
    </row>
    <row r="3329" spans="5:13">
      <c r="E3329" s="221"/>
      <c r="F3329" s="221"/>
      <c r="G3329" s="221"/>
      <c r="H3329" s="221"/>
      <c r="I3329" s="221"/>
      <c r="J3329" s="221"/>
      <c r="K3329" s="221"/>
      <c r="L3329" s="221"/>
      <c r="M3329" s="221"/>
    </row>
    <row r="3330" spans="5:13">
      <c r="E3330" s="221"/>
      <c r="F3330" s="221">
        <v>1</v>
      </c>
      <c r="G3330" s="221" t="s">
        <v>1414</v>
      </c>
      <c r="H3330" s="221" t="s">
        <v>3232</v>
      </c>
      <c r="I3330" s="221">
        <f>K3335</f>
        <v>61.86</v>
      </c>
      <c r="J3330" s="221" t="s">
        <v>1418</v>
      </c>
      <c r="K3330" s="221">
        <f>F3330*I3330</f>
        <v>61.86</v>
      </c>
      <c r="L3330" s="221"/>
      <c r="M3330" s="221"/>
    </row>
    <row r="3331" spans="5:13" ht="56.25" customHeight="1">
      <c r="E3331" s="221"/>
      <c r="F3331" s="221"/>
      <c r="G3331" s="221"/>
      <c r="H3331" s="220" t="s">
        <v>3233</v>
      </c>
      <c r="I3331" s="221"/>
      <c r="J3331" s="221" t="s">
        <v>663</v>
      </c>
      <c r="K3331" s="221">
        <v>15.55</v>
      </c>
      <c r="L3331" s="221"/>
      <c r="M3331" s="221"/>
    </row>
    <row r="3332" spans="5:13">
      <c r="E3332" s="221"/>
      <c r="F3332" s="221"/>
      <c r="G3332" s="221"/>
      <c r="H3332" s="221" t="s">
        <v>142</v>
      </c>
      <c r="I3332" s="221"/>
      <c r="J3332" s="221"/>
      <c r="K3332" s="221">
        <f>K3340</f>
        <v>283.60000000000002</v>
      </c>
      <c r="L3332" s="221"/>
      <c r="M3332" s="221"/>
    </row>
    <row r="3333" spans="5:13">
      <c r="E3333" s="221"/>
      <c r="F3333" s="221"/>
      <c r="G3333" s="221"/>
      <c r="H3333" s="228" t="s">
        <v>1080</v>
      </c>
      <c r="I3333" s="221"/>
      <c r="J3333" s="221"/>
      <c r="K3333" s="229">
        <f>SUM(K3330:K3332)</f>
        <v>361.01</v>
      </c>
      <c r="L3333" s="221">
        <f>K3333-261</f>
        <v>100.01</v>
      </c>
      <c r="M3333" s="221"/>
    </row>
    <row r="3334" spans="5:13">
      <c r="E3334" s="221"/>
      <c r="F3334" s="221"/>
      <c r="G3334" s="221"/>
      <c r="H3334" s="221"/>
      <c r="I3334" s="221"/>
      <c r="J3334" s="221"/>
      <c r="K3334" s="221"/>
      <c r="L3334" s="221"/>
      <c r="M3334" s="221"/>
    </row>
    <row r="3335" spans="5:13">
      <c r="E3335" s="221"/>
      <c r="F3335" s="221"/>
      <c r="G3335" s="221"/>
      <c r="H3335" s="229" t="s">
        <v>3234</v>
      </c>
      <c r="I3335" s="276">
        <f>I3222</f>
        <v>103100</v>
      </c>
      <c r="J3335" s="277">
        <v>5.9999999999999995E-4</v>
      </c>
      <c r="K3335" s="276">
        <f>ROUND(I3335*J3335,2)</f>
        <v>61.86</v>
      </c>
      <c r="L3335" s="221"/>
      <c r="M3335" s="221"/>
    </row>
    <row r="3336" spans="5:13">
      <c r="E3336" s="221"/>
      <c r="F3336" s="221"/>
      <c r="G3336" s="221"/>
      <c r="H3336" s="221" t="s">
        <v>142</v>
      </c>
      <c r="I3336" s="221"/>
      <c r="J3336" s="221"/>
      <c r="K3336" s="221"/>
      <c r="L3336" s="221"/>
      <c r="M3336" s="221"/>
    </row>
    <row r="3337" spans="5:13">
      <c r="E3337" s="221"/>
      <c r="F3337" s="221">
        <v>1</v>
      </c>
      <c r="G3337" s="221" t="s">
        <v>1414</v>
      </c>
      <c r="H3337" s="221" t="s">
        <v>3235</v>
      </c>
      <c r="I3337" s="221">
        <f>I3278</f>
        <v>712</v>
      </c>
      <c r="J3337" s="221" t="s">
        <v>1418</v>
      </c>
      <c r="K3337" s="221">
        <f>F3337*I3337</f>
        <v>712</v>
      </c>
      <c r="L3337" s="221"/>
      <c r="M3337" s="221"/>
    </row>
    <row r="3338" spans="5:13">
      <c r="E3338" s="221"/>
      <c r="F3338" s="221">
        <v>3</v>
      </c>
      <c r="G3338" s="221" t="s">
        <v>1414</v>
      </c>
      <c r="H3338" s="221" t="s">
        <v>2619</v>
      </c>
      <c r="I3338" s="221">
        <f>I3279</f>
        <v>708</v>
      </c>
      <c r="J3338" s="221" t="s">
        <v>1418</v>
      </c>
      <c r="K3338" s="221">
        <f>F3338*I3338</f>
        <v>2124</v>
      </c>
      <c r="L3338" s="221"/>
      <c r="M3338" s="221"/>
    </row>
    <row r="3339" spans="5:13">
      <c r="E3339" s="221"/>
      <c r="F3339" s="221"/>
      <c r="G3339" s="221"/>
      <c r="H3339" s="226" t="s">
        <v>3236</v>
      </c>
      <c r="I3339" s="221"/>
      <c r="J3339" s="221"/>
      <c r="K3339" s="230">
        <f>SUM(K3337:K3338)</f>
        <v>2836</v>
      </c>
      <c r="L3339" s="221"/>
      <c r="M3339" s="221"/>
    </row>
    <row r="3340" spans="5:13">
      <c r="E3340" s="221"/>
      <c r="F3340" s="221"/>
      <c r="G3340" s="221"/>
      <c r="H3340" s="226" t="s">
        <v>3237</v>
      </c>
      <c r="I3340" s="221"/>
      <c r="J3340" s="221"/>
      <c r="K3340" s="229">
        <f>K3339/10</f>
        <v>283.60000000000002</v>
      </c>
      <c r="L3340" s="221"/>
      <c r="M3340" s="221"/>
    </row>
    <row r="3341" spans="5:13">
      <c r="E3341" s="221"/>
      <c r="F3341" s="221"/>
      <c r="G3341" s="221"/>
      <c r="H3341" s="221"/>
      <c r="I3341" s="221"/>
      <c r="J3341" s="221"/>
      <c r="K3341" s="221"/>
      <c r="L3341" s="221"/>
      <c r="M3341" s="221"/>
    </row>
    <row r="3342" spans="5:13">
      <c r="E3342" s="221"/>
      <c r="F3342" s="221"/>
      <c r="G3342" s="221"/>
      <c r="H3342" s="229" t="s">
        <v>3238</v>
      </c>
      <c r="I3342" s="221"/>
      <c r="J3342" s="221"/>
      <c r="K3342" s="221"/>
      <c r="L3342" s="221"/>
      <c r="M3342" s="221"/>
    </row>
    <row r="3343" spans="5:13" ht="103.5" customHeight="1">
      <c r="E3343" s="221"/>
      <c r="F3343" s="221"/>
      <c r="G3343" s="221"/>
      <c r="H3343" s="220" t="s">
        <v>3239</v>
      </c>
      <c r="I3343" s="221"/>
      <c r="J3343" s="221"/>
      <c r="K3343" s="221"/>
      <c r="L3343" s="221"/>
      <c r="M3343" s="221"/>
    </row>
    <row r="3344" spans="5:13">
      <c r="E3344" s="221"/>
      <c r="F3344" s="221"/>
      <c r="G3344" s="221"/>
      <c r="H3344" s="221"/>
      <c r="I3344" s="221"/>
      <c r="J3344" s="221"/>
      <c r="K3344" s="221"/>
      <c r="L3344" s="221"/>
      <c r="M3344" s="221"/>
    </row>
    <row r="3345" spans="5:13">
      <c r="E3345" s="221"/>
      <c r="F3345" s="221">
        <v>1</v>
      </c>
      <c r="G3345" s="221" t="s">
        <v>1414</v>
      </c>
      <c r="H3345" s="221" t="s">
        <v>5032</v>
      </c>
      <c r="I3345" s="222">
        <v>310</v>
      </c>
      <c r="J3345" s="221" t="s">
        <v>1414</v>
      </c>
      <c r="K3345" s="221">
        <f>F3345*I3345</f>
        <v>310</v>
      </c>
      <c r="L3345" s="221"/>
      <c r="M3345" s="221"/>
    </row>
    <row r="3346" spans="5:13" ht="52.5" customHeight="1">
      <c r="E3346" s="221"/>
      <c r="F3346" s="221"/>
      <c r="G3346" s="221"/>
      <c r="H3346" s="220" t="s">
        <v>3241</v>
      </c>
      <c r="I3346" s="221"/>
      <c r="J3346" s="221"/>
      <c r="K3346" s="221">
        <v>21.35</v>
      </c>
      <c r="L3346" s="221"/>
      <c r="M3346" s="221"/>
    </row>
    <row r="3347" spans="5:13">
      <c r="E3347" s="221"/>
      <c r="F3347" s="221"/>
      <c r="G3347" s="221"/>
      <c r="H3347" s="221" t="s">
        <v>924</v>
      </c>
      <c r="I3347" s="221"/>
      <c r="J3347" s="221"/>
      <c r="K3347" s="221">
        <f>K3356</f>
        <v>382.25</v>
      </c>
      <c r="L3347" s="221"/>
      <c r="M3347" s="221"/>
    </row>
    <row r="3348" spans="5:13">
      <c r="E3348" s="221"/>
      <c r="F3348" s="221"/>
      <c r="G3348" s="221"/>
      <c r="H3348" s="228" t="s">
        <v>1080</v>
      </c>
      <c r="I3348" s="221"/>
      <c r="J3348" s="221"/>
      <c r="K3348" s="229">
        <f>SUM(K3345:K3347)</f>
        <v>713.6</v>
      </c>
      <c r="L3348" s="221">
        <f>537-K3348</f>
        <v>-176.6</v>
      </c>
      <c r="M3348" s="221"/>
    </row>
    <row r="3349" spans="5:13">
      <c r="E3349" s="221"/>
      <c r="F3349" s="221"/>
      <c r="G3349" s="221"/>
      <c r="H3349" s="228"/>
      <c r="I3349" s="221"/>
      <c r="J3349" s="221"/>
      <c r="K3349" s="229"/>
      <c r="L3349" s="221"/>
      <c r="M3349" s="221"/>
    </row>
    <row r="3350" spans="5:13">
      <c r="E3350" s="221"/>
      <c r="F3350" s="221"/>
      <c r="G3350" s="221"/>
      <c r="H3350" s="221" t="s">
        <v>142</v>
      </c>
      <c r="I3350" s="221"/>
      <c r="J3350" s="221"/>
      <c r="K3350" s="221"/>
      <c r="L3350" s="221"/>
      <c r="M3350" s="221"/>
    </row>
    <row r="3351" spans="5:13">
      <c r="E3351" s="221"/>
      <c r="F3351" s="221">
        <v>1</v>
      </c>
      <c r="G3351" s="221"/>
      <c r="H3351" s="221" t="s">
        <v>2800</v>
      </c>
      <c r="I3351" s="221">
        <f>I2867</f>
        <v>712</v>
      </c>
      <c r="J3351" s="221" t="s">
        <v>1414</v>
      </c>
      <c r="K3351" s="221">
        <f>F3351*I3351</f>
        <v>712</v>
      </c>
      <c r="L3351" s="221"/>
      <c r="M3351" s="221"/>
    </row>
    <row r="3352" spans="5:13">
      <c r="E3352" s="221"/>
      <c r="F3352" s="221">
        <v>3</v>
      </c>
      <c r="G3352" s="221"/>
      <c r="H3352" s="221" t="s">
        <v>2619</v>
      </c>
      <c r="I3352" s="221">
        <f>I2868</f>
        <v>708</v>
      </c>
      <c r="J3352" s="221" t="s">
        <v>1414</v>
      </c>
      <c r="K3352" s="221">
        <f>F3352*I3352</f>
        <v>2124</v>
      </c>
      <c r="L3352" s="221"/>
      <c r="M3352" s="221"/>
    </row>
    <row r="3353" spans="5:13">
      <c r="E3353" s="221"/>
      <c r="F3353" s="221">
        <v>1</v>
      </c>
      <c r="G3353" s="221"/>
      <c r="H3353" s="221" t="s">
        <v>2356</v>
      </c>
      <c r="I3353" s="221">
        <f>I2869</f>
        <v>556</v>
      </c>
      <c r="J3353" s="221" t="s">
        <v>1414</v>
      </c>
      <c r="K3353" s="221">
        <f>F3353*I3353</f>
        <v>556</v>
      </c>
      <c r="L3353" s="221"/>
      <c r="M3353" s="221"/>
    </row>
    <row r="3354" spans="5:13">
      <c r="E3354" s="221"/>
      <c r="F3354" s="221">
        <v>0.5</v>
      </c>
      <c r="G3354" s="221"/>
      <c r="H3354" s="221" t="s">
        <v>5033</v>
      </c>
      <c r="I3354" s="222">
        <v>861</v>
      </c>
      <c r="J3354" s="221" t="s">
        <v>1414</v>
      </c>
      <c r="K3354" s="221">
        <f>F3354*I3354</f>
        <v>430.5</v>
      </c>
      <c r="L3354" s="221"/>
      <c r="M3354" s="221"/>
    </row>
    <row r="3355" spans="5:13">
      <c r="E3355" s="221"/>
      <c r="F3355" s="221"/>
      <c r="G3355" s="221"/>
      <c r="H3355" s="226" t="s">
        <v>3242</v>
      </c>
      <c r="I3355" s="221"/>
      <c r="J3355" s="221"/>
      <c r="K3355" s="227">
        <f>SUM(K3351:K3354)</f>
        <v>3822.5</v>
      </c>
      <c r="L3355" s="221"/>
      <c r="M3355" s="221"/>
    </row>
    <row r="3356" spans="5:13">
      <c r="E3356" s="221"/>
      <c r="F3356" s="221"/>
      <c r="G3356" s="221"/>
      <c r="H3356" s="228" t="s">
        <v>3243</v>
      </c>
      <c r="I3356" s="229"/>
      <c r="J3356" s="229"/>
      <c r="K3356" s="229">
        <f>K3355/10</f>
        <v>382.25</v>
      </c>
      <c r="L3356" s="221"/>
      <c r="M3356" s="221"/>
    </row>
    <row r="3357" spans="5:13">
      <c r="E3357" s="221"/>
      <c r="F3357" s="221"/>
      <c r="G3357" s="221"/>
      <c r="H3357" s="221"/>
      <c r="I3357" s="221"/>
      <c r="J3357" s="221"/>
      <c r="K3357" s="221"/>
      <c r="L3357" s="221"/>
      <c r="M3357" s="221"/>
    </row>
    <row r="3358" spans="5:13">
      <c r="E3358" s="221"/>
      <c r="F3358" s="221"/>
      <c r="G3358" s="221"/>
      <c r="H3358" s="229" t="s">
        <v>3244</v>
      </c>
      <c r="I3358" s="221"/>
      <c r="J3358" s="221"/>
      <c r="K3358" s="221"/>
      <c r="L3358" s="221"/>
      <c r="M3358" s="221"/>
    </row>
    <row r="3359" spans="5:13">
      <c r="E3359" s="221"/>
      <c r="F3359" s="221"/>
      <c r="G3359" s="221"/>
      <c r="H3359" s="229" t="s">
        <v>3245</v>
      </c>
      <c r="I3359" s="221"/>
      <c r="J3359" s="221"/>
      <c r="K3359" s="221"/>
      <c r="L3359" s="221"/>
      <c r="M3359" s="221"/>
    </row>
    <row r="3360" spans="5:13">
      <c r="E3360" s="221"/>
      <c r="F3360" s="221"/>
      <c r="G3360" s="221"/>
      <c r="H3360" s="221"/>
      <c r="I3360" s="221"/>
      <c r="J3360" s="221"/>
      <c r="K3360" s="221"/>
      <c r="L3360" s="221"/>
      <c r="M3360" s="221"/>
    </row>
    <row r="3361" spans="5:13" ht="103.5" customHeight="1">
      <c r="E3361" s="221"/>
      <c r="F3361" s="221"/>
      <c r="G3361" s="221"/>
      <c r="H3361" s="220" t="s">
        <v>3275</v>
      </c>
      <c r="I3361" s="221"/>
      <c r="J3361" s="221"/>
      <c r="K3361" s="221"/>
      <c r="L3361" s="221"/>
      <c r="M3361" s="221"/>
    </row>
    <row r="3362" spans="5:13">
      <c r="E3362" s="221"/>
      <c r="F3362" s="221"/>
      <c r="G3362" s="221"/>
      <c r="H3362" s="221"/>
      <c r="I3362" s="221"/>
      <c r="J3362" s="221"/>
      <c r="K3362" s="221"/>
      <c r="L3362" s="221"/>
      <c r="M3362" s="221"/>
    </row>
    <row r="3363" spans="5:13">
      <c r="E3363" s="221"/>
      <c r="F3363" s="221">
        <v>1</v>
      </c>
      <c r="G3363" s="221" t="s">
        <v>1414</v>
      </c>
      <c r="H3363" s="221" t="s">
        <v>3276</v>
      </c>
      <c r="I3363" s="221">
        <f>K3368</f>
        <v>123.72</v>
      </c>
      <c r="J3363" s="221" t="s">
        <v>1418</v>
      </c>
      <c r="K3363" s="221">
        <f>F3363*I3363</f>
        <v>123.72</v>
      </c>
      <c r="L3363" s="221"/>
      <c r="M3363" s="221"/>
    </row>
    <row r="3364" spans="5:13" ht="51" customHeight="1">
      <c r="E3364" s="221"/>
      <c r="F3364" s="221" t="s">
        <v>663</v>
      </c>
      <c r="G3364" s="221" t="s">
        <v>663</v>
      </c>
      <c r="H3364" s="220" t="s">
        <v>3277</v>
      </c>
      <c r="I3364" s="221" t="s">
        <v>663</v>
      </c>
      <c r="J3364" s="221" t="s">
        <v>663</v>
      </c>
      <c r="K3364" s="221">
        <v>42.61</v>
      </c>
      <c r="L3364" s="221"/>
      <c r="M3364" s="221"/>
    </row>
    <row r="3365" spans="5:13">
      <c r="E3365" s="221"/>
      <c r="F3365" s="221"/>
      <c r="G3365" s="221"/>
      <c r="H3365" s="221" t="s">
        <v>142</v>
      </c>
      <c r="I3365" s="221"/>
      <c r="J3365" s="221"/>
      <c r="K3365" s="221">
        <f>K3340</f>
        <v>283.60000000000002</v>
      </c>
      <c r="L3365" s="221"/>
      <c r="M3365" s="221"/>
    </row>
    <row r="3366" spans="5:13">
      <c r="E3366" s="221"/>
      <c r="F3366" s="221"/>
      <c r="G3366" s="221"/>
      <c r="H3366" s="228" t="s">
        <v>1080</v>
      </c>
      <c r="I3366" s="221"/>
      <c r="J3366" s="221"/>
      <c r="K3366" s="229">
        <f>SUM(K3363:K3365)</f>
        <v>449.93</v>
      </c>
      <c r="L3366" s="221">
        <f>K3366-345</f>
        <v>104.93</v>
      </c>
      <c r="M3366" s="221"/>
    </row>
    <row r="3367" spans="5:13">
      <c r="E3367" s="221"/>
      <c r="F3367" s="221"/>
      <c r="G3367" s="221"/>
      <c r="H3367" s="221"/>
      <c r="I3367" s="221"/>
      <c r="J3367" s="221"/>
      <c r="K3367" s="229"/>
      <c r="L3367" s="221"/>
      <c r="M3367" s="221"/>
    </row>
    <row r="3368" spans="5:13">
      <c r="E3368" s="221"/>
      <c r="F3368" s="221"/>
      <c r="G3368" s="221"/>
      <c r="H3368" s="229" t="s">
        <v>3276</v>
      </c>
      <c r="I3368" s="221">
        <f>I3335</f>
        <v>103100</v>
      </c>
      <c r="J3368" s="235">
        <f>0.0012</f>
        <v>1.1999999999999999E-3</v>
      </c>
      <c r="K3368" s="229">
        <f>I3368*J3368</f>
        <v>123.72</v>
      </c>
      <c r="L3368" s="221"/>
      <c r="M3368" s="221"/>
    </row>
    <row r="3369" spans="5:13">
      <c r="E3369" s="221"/>
      <c r="F3369" s="221"/>
      <c r="G3369" s="221"/>
      <c r="H3369" s="221"/>
      <c r="I3369" s="221"/>
      <c r="J3369" s="221"/>
      <c r="K3369" s="221"/>
      <c r="L3369" s="221"/>
      <c r="M3369" s="221"/>
    </row>
    <row r="3370" spans="5:13">
      <c r="E3370" s="221"/>
      <c r="F3370" s="221"/>
      <c r="G3370" s="221"/>
      <c r="H3370" s="229" t="s">
        <v>2692</v>
      </c>
      <c r="I3370" s="221"/>
      <c r="J3370" s="221"/>
      <c r="K3370" s="221"/>
      <c r="L3370" s="221"/>
      <c r="M3370" s="221"/>
    </row>
    <row r="3371" spans="5:13">
      <c r="E3371" s="221"/>
      <c r="F3371" s="221"/>
      <c r="G3371" s="221"/>
      <c r="H3371" s="221"/>
      <c r="I3371" s="221"/>
      <c r="J3371" s="221"/>
      <c r="K3371" s="221"/>
      <c r="L3371" s="221"/>
      <c r="M3371" s="221"/>
    </row>
    <row r="3372" spans="5:13">
      <c r="E3372" s="221"/>
      <c r="F3372" s="221"/>
      <c r="G3372" s="221"/>
      <c r="H3372" s="229" t="s">
        <v>2566</v>
      </c>
      <c r="I3372" s="221"/>
      <c r="J3372" s="221"/>
      <c r="K3372" s="221"/>
      <c r="L3372" s="221"/>
      <c r="M3372" s="221"/>
    </row>
    <row r="3373" spans="5:13">
      <c r="E3373" s="221"/>
      <c r="F3373" s="221"/>
      <c r="G3373" s="221"/>
      <c r="H3373" s="221"/>
      <c r="I3373" s="221"/>
      <c r="J3373" s="221"/>
      <c r="K3373" s="221"/>
      <c r="L3373" s="221"/>
      <c r="M3373" s="221"/>
    </row>
    <row r="3374" spans="5:13" ht="102" customHeight="1">
      <c r="E3374" s="221"/>
      <c r="F3374" s="221"/>
      <c r="G3374" s="221"/>
      <c r="H3374" s="220" t="s">
        <v>2437</v>
      </c>
      <c r="I3374" s="221"/>
      <c r="J3374" s="221"/>
      <c r="K3374" s="221"/>
      <c r="L3374" s="221"/>
      <c r="M3374" s="221"/>
    </row>
    <row r="3375" spans="5:13">
      <c r="E3375" s="221"/>
      <c r="F3375" s="221"/>
      <c r="G3375" s="221"/>
      <c r="H3375" s="221"/>
      <c r="I3375" s="221"/>
      <c r="J3375" s="221"/>
      <c r="K3375" s="221"/>
      <c r="L3375" s="221"/>
      <c r="M3375" s="221"/>
    </row>
    <row r="3376" spans="5:13">
      <c r="E3376" s="221"/>
      <c r="F3376" s="221">
        <v>1</v>
      </c>
      <c r="G3376" s="221" t="s">
        <v>1414</v>
      </c>
      <c r="H3376" s="221" t="s">
        <v>3240</v>
      </c>
      <c r="I3376" s="221">
        <f>I3345</f>
        <v>310</v>
      </c>
      <c r="J3376" s="221" t="s">
        <v>1414</v>
      </c>
      <c r="K3376" s="221">
        <f>F3376*I3376</f>
        <v>310</v>
      </c>
      <c r="L3376" s="221"/>
      <c r="M3376" s="221"/>
    </row>
    <row r="3377" spans="5:13" ht="31.5">
      <c r="E3377" s="221"/>
      <c r="F3377" s="221"/>
      <c r="G3377" s="221"/>
      <c r="H3377" s="220" t="s">
        <v>3241</v>
      </c>
      <c r="I3377" s="221"/>
      <c r="J3377" s="221"/>
      <c r="K3377" s="221">
        <v>35.35</v>
      </c>
      <c r="L3377" s="221"/>
      <c r="M3377" s="221"/>
    </row>
    <row r="3378" spans="5:13">
      <c r="E3378" s="221"/>
      <c r="F3378" s="221"/>
      <c r="G3378" s="221"/>
      <c r="H3378" s="221" t="s">
        <v>924</v>
      </c>
      <c r="I3378" s="221"/>
      <c r="J3378" s="221"/>
      <c r="K3378" s="221">
        <f>K3356</f>
        <v>382.25</v>
      </c>
      <c r="L3378" s="221"/>
      <c r="M3378" s="221"/>
    </row>
    <row r="3379" spans="5:13">
      <c r="E3379" s="221"/>
      <c r="F3379" s="221"/>
      <c r="G3379" s="221"/>
      <c r="H3379" s="228" t="s">
        <v>1080</v>
      </c>
      <c r="I3379" s="221"/>
      <c r="J3379" s="221"/>
      <c r="K3379" s="229">
        <f>SUM(K3376:K3378)</f>
        <v>727.6</v>
      </c>
      <c r="L3379" s="221">
        <f>K3379-551</f>
        <v>176.6</v>
      </c>
      <c r="M3379" s="221"/>
    </row>
    <row r="3380" spans="5:13">
      <c r="E3380" s="221"/>
      <c r="F3380" s="221"/>
      <c r="G3380" s="221"/>
      <c r="H3380" s="221"/>
      <c r="I3380" s="221"/>
      <c r="J3380" s="221"/>
      <c r="K3380" s="221"/>
      <c r="L3380" s="221"/>
      <c r="M3380" s="221"/>
    </row>
    <row r="3381" spans="5:13">
      <c r="E3381" s="221"/>
      <c r="F3381" s="221"/>
      <c r="G3381" s="221"/>
      <c r="H3381" s="229" t="s">
        <v>2438</v>
      </c>
      <c r="I3381" s="221"/>
      <c r="J3381" s="221"/>
      <c r="K3381" s="221"/>
      <c r="L3381" s="221"/>
      <c r="M3381" s="221"/>
    </row>
    <row r="3382" spans="5:13">
      <c r="E3382" s="221"/>
      <c r="F3382" s="221"/>
      <c r="G3382" s="221"/>
      <c r="H3382" s="229" t="s">
        <v>2439</v>
      </c>
      <c r="I3382" s="221"/>
      <c r="J3382" s="221"/>
      <c r="K3382" s="221"/>
      <c r="L3382" s="221"/>
      <c r="M3382" s="221"/>
    </row>
    <row r="3383" spans="5:13">
      <c r="E3383" s="221"/>
      <c r="F3383" s="221"/>
      <c r="G3383" s="221"/>
      <c r="H3383" s="221"/>
      <c r="I3383" s="221"/>
      <c r="J3383" s="221"/>
      <c r="K3383" s="221"/>
      <c r="L3383" s="221"/>
      <c r="M3383" s="221"/>
    </row>
    <row r="3384" spans="5:13" ht="39" customHeight="1">
      <c r="E3384" s="221"/>
      <c r="F3384" s="221">
        <v>1</v>
      </c>
      <c r="G3384" s="221" t="s">
        <v>1414</v>
      </c>
      <c r="H3384" s="220" t="s">
        <v>5034</v>
      </c>
      <c r="I3384" s="222">
        <v>1754</v>
      </c>
      <c r="J3384" s="221" t="s">
        <v>1414</v>
      </c>
      <c r="K3384" s="229">
        <f>F3384*I3384</f>
        <v>1754</v>
      </c>
      <c r="L3384" s="221"/>
      <c r="M3384" s="221"/>
    </row>
    <row r="3385" spans="5:13">
      <c r="E3385" s="221"/>
      <c r="F3385" s="221"/>
      <c r="G3385" s="221"/>
      <c r="H3385" s="221"/>
      <c r="I3385" s="221"/>
      <c r="J3385" s="221"/>
      <c r="K3385" s="221"/>
      <c r="L3385" s="221"/>
      <c r="M3385" s="221"/>
    </row>
    <row r="3386" spans="5:13">
      <c r="E3386" s="221"/>
      <c r="F3386" s="221"/>
      <c r="G3386" s="221"/>
      <c r="H3386" s="229" t="s">
        <v>2440</v>
      </c>
      <c r="I3386" s="221"/>
      <c r="J3386" s="221"/>
      <c r="K3386" s="221"/>
      <c r="L3386" s="221"/>
      <c r="M3386" s="221"/>
    </row>
    <row r="3387" spans="5:13">
      <c r="E3387" s="221"/>
      <c r="F3387" s="221"/>
      <c r="G3387" s="221"/>
      <c r="H3387" s="229" t="s">
        <v>2427</v>
      </c>
      <c r="I3387" s="221"/>
      <c r="J3387" s="221"/>
      <c r="K3387" s="221"/>
      <c r="L3387" s="221"/>
      <c r="M3387" s="221"/>
    </row>
    <row r="3388" spans="5:13">
      <c r="E3388" s="221"/>
      <c r="F3388" s="221"/>
      <c r="G3388" s="221"/>
      <c r="H3388" s="221"/>
      <c r="I3388" s="221"/>
      <c r="J3388" s="221"/>
      <c r="K3388" s="221"/>
      <c r="L3388" s="221"/>
      <c r="M3388" s="221"/>
    </row>
    <row r="3389" spans="5:13" ht="36.75" customHeight="1">
      <c r="E3389" s="221"/>
      <c r="F3389" s="221">
        <v>1</v>
      </c>
      <c r="G3389" s="221" t="s">
        <v>1414</v>
      </c>
      <c r="H3389" s="220" t="s">
        <v>5035</v>
      </c>
      <c r="I3389" s="222">
        <v>1858</v>
      </c>
      <c r="J3389" s="221" t="s">
        <v>1414</v>
      </c>
      <c r="K3389" s="229">
        <f>F3389*I3389</f>
        <v>1858</v>
      </c>
      <c r="L3389" s="221"/>
      <c r="M3389" s="221"/>
    </row>
    <row r="3390" spans="5:13" ht="7.5" customHeight="1">
      <c r="E3390" s="221"/>
      <c r="F3390" s="221"/>
      <c r="G3390" s="221"/>
      <c r="H3390" s="221"/>
      <c r="I3390" s="221"/>
      <c r="J3390" s="221"/>
      <c r="K3390" s="221"/>
      <c r="L3390" s="221"/>
      <c r="M3390" s="221"/>
    </row>
    <row r="3391" spans="5:13">
      <c r="E3391" s="221"/>
      <c r="F3391" s="221"/>
      <c r="G3391" s="221"/>
      <c r="H3391" s="229" t="s">
        <v>2428</v>
      </c>
      <c r="I3391" s="221"/>
      <c r="J3391" s="221"/>
      <c r="K3391" s="221"/>
      <c r="L3391" s="221"/>
      <c r="M3391" s="221"/>
    </row>
    <row r="3392" spans="5:13">
      <c r="E3392" s="221"/>
      <c r="F3392" s="221"/>
      <c r="G3392" s="221"/>
      <c r="H3392" s="229" t="s">
        <v>2429</v>
      </c>
      <c r="I3392" s="221"/>
      <c r="J3392" s="221"/>
      <c r="K3392" s="221"/>
      <c r="L3392" s="221"/>
      <c r="M3392" s="221"/>
    </row>
    <row r="3393" spans="5:16">
      <c r="E3393" s="221"/>
      <c r="F3393" s="221"/>
      <c r="G3393" s="221"/>
      <c r="H3393" s="227" t="s">
        <v>2430</v>
      </c>
      <c r="I3393" s="221"/>
      <c r="J3393" s="221"/>
      <c r="K3393" s="221"/>
      <c r="L3393" s="221"/>
      <c r="M3393" s="221"/>
    </row>
    <row r="3394" spans="5:16">
      <c r="E3394" s="221"/>
      <c r="F3394" s="221"/>
      <c r="G3394" s="221"/>
      <c r="H3394" s="221"/>
      <c r="I3394" s="221"/>
      <c r="J3394" s="221"/>
      <c r="K3394" s="221"/>
      <c r="L3394" s="221"/>
      <c r="M3394" s="221"/>
    </row>
    <row r="3395" spans="5:16" ht="63">
      <c r="E3395" s="221"/>
      <c r="F3395" s="221"/>
      <c r="G3395" s="221"/>
      <c r="H3395" s="220" t="s">
        <v>2741</v>
      </c>
      <c r="I3395" s="221"/>
      <c r="J3395" s="221"/>
      <c r="K3395" s="221"/>
      <c r="L3395" s="220" t="s">
        <v>3519</v>
      </c>
      <c r="M3395" s="220" t="s">
        <v>3520</v>
      </c>
      <c r="N3395" s="220" t="s">
        <v>3747</v>
      </c>
      <c r="O3395" s="220" t="s">
        <v>3915</v>
      </c>
    </row>
    <row r="3396" spans="5:16">
      <c r="E3396" s="221"/>
      <c r="F3396" s="221">
        <v>1</v>
      </c>
      <c r="G3396" s="221" t="s">
        <v>1414</v>
      </c>
      <c r="H3396" s="221" t="s">
        <v>5036</v>
      </c>
      <c r="I3396" s="222">
        <v>84.4</v>
      </c>
      <c r="J3396" s="221" t="s">
        <v>1414</v>
      </c>
      <c r="K3396" s="221">
        <f>F3396*I3396</f>
        <v>84.4</v>
      </c>
      <c r="L3396" s="221">
        <v>188.4</v>
      </c>
      <c r="M3396" s="221">
        <v>47.6</v>
      </c>
      <c r="N3396" s="221">
        <v>340.3</v>
      </c>
      <c r="O3396" s="233">
        <v>550</v>
      </c>
    </row>
    <row r="3397" spans="5:16">
      <c r="E3397" s="221"/>
      <c r="F3397" s="221">
        <v>1</v>
      </c>
      <c r="G3397" s="221" t="s">
        <v>1414</v>
      </c>
      <c r="H3397" s="221" t="s">
        <v>2743</v>
      </c>
      <c r="I3397" s="221">
        <f>K3402</f>
        <v>30.93</v>
      </c>
      <c r="J3397" s="221" t="s">
        <v>1414</v>
      </c>
      <c r="K3397" s="221">
        <f>F3397*I3397</f>
        <v>30.93</v>
      </c>
      <c r="L3397" s="221">
        <f t="shared" ref="L3397:M3399" si="106">K3397</f>
        <v>30.93</v>
      </c>
      <c r="M3397" s="221">
        <f t="shared" si="106"/>
        <v>30.93</v>
      </c>
      <c r="N3397" s="221">
        <f t="shared" ref="N3397:O3399" si="107">M3397</f>
        <v>30.93</v>
      </c>
      <c r="O3397" s="88">
        <f t="shared" si="107"/>
        <v>30.93</v>
      </c>
    </row>
    <row r="3398" spans="5:16">
      <c r="E3398" s="221"/>
      <c r="F3398" s="221"/>
      <c r="G3398" s="221"/>
      <c r="H3398" s="221" t="s">
        <v>924</v>
      </c>
      <c r="I3398" s="221"/>
      <c r="J3398" s="221"/>
      <c r="K3398" s="221">
        <f>K3409</f>
        <v>386</v>
      </c>
      <c r="L3398" s="221">
        <f t="shared" si="106"/>
        <v>386</v>
      </c>
      <c r="M3398" s="221">
        <f t="shared" si="106"/>
        <v>386</v>
      </c>
      <c r="N3398" s="221">
        <f t="shared" si="107"/>
        <v>386</v>
      </c>
      <c r="O3398" s="88">
        <f t="shared" si="107"/>
        <v>386</v>
      </c>
    </row>
    <row r="3399" spans="5:16">
      <c r="E3399" s="221"/>
      <c r="F3399" s="221"/>
      <c r="G3399" s="221"/>
      <c r="H3399" s="221" t="s">
        <v>2744</v>
      </c>
      <c r="I3399" s="221" t="s">
        <v>663</v>
      </c>
      <c r="J3399" s="221"/>
      <c r="K3399" s="221">
        <v>6.93</v>
      </c>
      <c r="L3399" s="221">
        <f t="shared" si="106"/>
        <v>6.93</v>
      </c>
      <c r="M3399" s="221">
        <f t="shared" si="106"/>
        <v>6.93</v>
      </c>
      <c r="N3399" s="221">
        <f t="shared" si="107"/>
        <v>6.93</v>
      </c>
      <c r="O3399" s="88">
        <f>N3399</f>
        <v>6.93</v>
      </c>
      <c r="P3399" s="233">
        <f>6.75+0.18</f>
        <v>6.93</v>
      </c>
    </row>
    <row r="3400" spans="5:16">
      <c r="E3400" s="221"/>
      <c r="F3400" s="221"/>
      <c r="G3400" s="221"/>
      <c r="H3400" s="228" t="s">
        <v>1080</v>
      </c>
      <c r="I3400" s="221"/>
      <c r="J3400" s="221"/>
      <c r="K3400" s="229">
        <f>SUM(K3396:K3399)</f>
        <v>508.26</v>
      </c>
      <c r="L3400" s="229">
        <f>SUM(L3396:L3399)</f>
        <v>612.26</v>
      </c>
      <c r="M3400" s="229">
        <f>SUM(M3396:M3399)</f>
        <v>471.46</v>
      </c>
      <c r="N3400" s="229">
        <f>SUM(N3396:N3399)</f>
        <v>764.16</v>
      </c>
      <c r="O3400" s="229">
        <f>SUM(O3396:O3399)</f>
        <v>973.86</v>
      </c>
    </row>
    <row r="3401" spans="5:16" ht="9.75" customHeight="1">
      <c r="E3401" s="221"/>
      <c r="F3401" s="221"/>
      <c r="G3401" s="221"/>
      <c r="H3401" s="221"/>
      <c r="I3401" s="221"/>
      <c r="J3401" s="221"/>
      <c r="K3401" s="221"/>
      <c r="L3401" s="221"/>
      <c r="M3401" s="221"/>
    </row>
    <row r="3402" spans="5:16">
      <c r="E3402" s="221"/>
      <c r="F3402" s="221"/>
      <c r="G3402" s="221"/>
      <c r="H3402" s="229" t="s">
        <v>2745</v>
      </c>
      <c r="I3402" s="221">
        <f>I3368</f>
        <v>103100</v>
      </c>
      <c r="J3402" s="235">
        <v>2.9999999999999997E-4</v>
      </c>
      <c r="K3402" s="229">
        <f>I3402*J3402</f>
        <v>30.93</v>
      </c>
      <c r="L3402" s="221">
        <f>K3400-368</f>
        <v>140.26</v>
      </c>
      <c r="M3402" s="221"/>
    </row>
    <row r="3403" spans="5:16">
      <c r="E3403" s="221"/>
      <c r="F3403" s="221"/>
      <c r="G3403" s="221"/>
      <c r="H3403" s="221"/>
      <c r="I3403" s="221"/>
      <c r="J3403" s="221"/>
      <c r="K3403" s="221"/>
      <c r="L3403" s="221"/>
      <c r="M3403" s="221"/>
    </row>
    <row r="3404" spans="5:16">
      <c r="E3404" s="221"/>
      <c r="F3404" s="221"/>
      <c r="G3404" s="221"/>
      <c r="H3404" s="227" t="s">
        <v>142</v>
      </c>
      <c r="I3404" s="221"/>
      <c r="J3404" s="221"/>
      <c r="K3404" s="221"/>
      <c r="L3404" s="221"/>
      <c r="M3404" s="221"/>
    </row>
    <row r="3405" spans="5:16">
      <c r="E3405" s="221"/>
      <c r="F3405" s="221">
        <v>1</v>
      </c>
      <c r="G3405" s="221" t="s">
        <v>1414</v>
      </c>
      <c r="H3405" s="221" t="s">
        <v>2800</v>
      </c>
      <c r="I3405" s="221">
        <f>I3351</f>
        <v>712</v>
      </c>
      <c r="J3405" s="221" t="s">
        <v>1414</v>
      </c>
      <c r="K3405" s="221">
        <f>F3405*I3405</f>
        <v>712</v>
      </c>
      <c r="L3405" s="221"/>
      <c r="M3405" s="221"/>
    </row>
    <row r="3406" spans="5:16">
      <c r="E3406" s="221"/>
      <c r="F3406" s="221">
        <v>1</v>
      </c>
      <c r="G3406" s="221" t="s">
        <v>1414</v>
      </c>
      <c r="H3406" s="221" t="s">
        <v>2619</v>
      </c>
      <c r="I3406" s="221">
        <f>I3352</f>
        <v>708</v>
      </c>
      <c r="J3406" s="221" t="s">
        <v>1414</v>
      </c>
      <c r="K3406" s="221">
        <f>F3406*I3406</f>
        <v>708</v>
      </c>
      <c r="L3406" s="221"/>
      <c r="M3406" s="221"/>
    </row>
    <row r="3407" spans="5:16">
      <c r="E3407" s="221"/>
      <c r="F3407" s="221">
        <v>3</v>
      </c>
      <c r="G3407" s="221" t="s">
        <v>1414</v>
      </c>
      <c r="H3407" s="221" t="s">
        <v>2356</v>
      </c>
      <c r="I3407" s="221">
        <f>I3353</f>
        <v>556</v>
      </c>
      <c r="J3407" s="221" t="s">
        <v>1414</v>
      </c>
      <c r="K3407" s="221">
        <f>F3407*I3407</f>
        <v>1668</v>
      </c>
      <c r="L3407" s="221"/>
      <c r="M3407" s="221"/>
    </row>
    <row r="3408" spans="5:16">
      <c r="E3408" s="221"/>
      <c r="F3408" s="221"/>
      <c r="G3408" s="221"/>
      <c r="H3408" s="226" t="s">
        <v>2694</v>
      </c>
      <c r="I3408" s="221"/>
      <c r="J3408" s="221"/>
      <c r="K3408" s="221">
        <f>SUM(K3405:K3407)</f>
        <v>3088</v>
      </c>
      <c r="L3408" s="221"/>
      <c r="M3408" s="221"/>
    </row>
    <row r="3409" spans="5:15">
      <c r="E3409" s="221"/>
      <c r="F3409" s="221"/>
      <c r="G3409" s="221"/>
      <c r="H3409" s="228" t="s">
        <v>2826</v>
      </c>
      <c r="I3409" s="221"/>
      <c r="J3409" s="221"/>
      <c r="K3409" s="229">
        <f>K3408/8</f>
        <v>386</v>
      </c>
      <c r="L3409" s="221"/>
      <c r="M3409" s="221"/>
    </row>
    <row r="3410" spans="5:15" ht="9" customHeight="1">
      <c r="E3410" s="221"/>
      <c r="F3410" s="221"/>
      <c r="G3410" s="221"/>
      <c r="H3410" s="221"/>
      <c r="I3410" s="221"/>
      <c r="J3410" s="221"/>
      <c r="K3410" s="221"/>
      <c r="L3410" s="221"/>
      <c r="M3410" s="221"/>
    </row>
    <row r="3411" spans="5:15">
      <c r="E3411" s="221"/>
      <c r="F3411" s="221"/>
      <c r="G3411" s="221"/>
      <c r="H3411" s="229" t="s">
        <v>2695</v>
      </c>
      <c r="I3411" s="221"/>
      <c r="J3411" s="221"/>
      <c r="K3411" s="221"/>
      <c r="L3411" s="221"/>
      <c r="M3411" s="221"/>
    </row>
    <row r="3412" spans="5:15">
      <c r="E3412" s="221"/>
      <c r="F3412" s="221"/>
      <c r="G3412" s="221"/>
      <c r="H3412" s="229" t="s">
        <v>2696</v>
      </c>
      <c r="I3412" s="221"/>
      <c r="J3412" s="221"/>
      <c r="K3412" s="221"/>
      <c r="L3412" s="221"/>
      <c r="M3412" s="221"/>
    </row>
    <row r="3413" spans="5:15">
      <c r="E3413" s="221"/>
      <c r="F3413" s="221"/>
      <c r="G3413" s="221"/>
      <c r="H3413" s="221"/>
      <c r="I3413" s="221"/>
      <c r="J3413" s="221"/>
      <c r="K3413" s="221"/>
      <c r="L3413" s="221"/>
      <c r="M3413" s="221"/>
    </row>
    <row r="3414" spans="5:15" ht="63">
      <c r="E3414" s="221"/>
      <c r="F3414" s="221"/>
      <c r="G3414" s="221"/>
      <c r="H3414" s="220" t="s">
        <v>2701</v>
      </c>
      <c r="I3414" s="221"/>
      <c r="J3414" s="221"/>
      <c r="K3414" s="221"/>
      <c r="L3414" s="221" t="s">
        <v>3572</v>
      </c>
      <c r="M3414" s="220" t="s">
        <v>3520</v>
      </c>
      <c r="N3414" s="220" t="s">
        <v>3747</v>
      </c>
      <c r="O3414" s="220" t="s">
        <v>3915</v>
      </c>
    </row>
    <row r="3415" spans="5:15">
      <c r="E3415" s="221"/>
      <c r="F3415" s="221">
        <v>3</v>
      </c>
      <c r="G3415" s="221" t="s">
        <v>1414</v>
      </c>
      <c r="H3415" s="221" t="str">
        <f>H3396</f>
        <v>32 Amps 500 V fuse units P-120 6-b</v>
      </c>
      <c r="I3415" s="260">
        <f>I3396</f>
        <v>84.4</v>
      </c>
      <c r="J3415" s="221" t="s">
        <v>1418</v>
      </c>
      <c r="K3415" s="221">
        <f>F3415*I3415</f>
        <v>253.2</v>
      </c>
      <c r="L3415" s="221">
        <f>L3396*3</f>
        <v>565.20000000000005</v>
      </c>
      <c r="M3415" s="221">
        <f>M3396*3</f>
        <v>142.80000000000001</v>
      </c>
      <c r="N3415" s="221">
        <f>N3396*3</f>
        <v>1020.9</v>
      </c>
    </row>
    <row r="3416" spans="5:15">
      <c r="E3416" s="221"/>
      <c r="F3416" s="221">
        <v>1</v>
      </c>
      <c r="G3416" s="221" t="s">
        <v>1414</v>
      </c>
      <c r="H3416" s="221" t="s">
        <v>3232</v>
      </c>
      <c r="I3416" s="221">
        <f>K3421</f>
        <v>61.86</v>
      </c>
      <c r="J3416" s="221" t="s">
        <v>1414</v>
      </c>
      <c r="K3416" s="221">
        <f>F3416*I3416</f>
        <v>61.86</v>
      </c>
      <c r="L3416" s="221">
        <f t="shared" ref="L3416:N3418" si="108">K3416</f>
        <v>61.86</v>
      </c>
      <c r="M3416" s="221">
        <f t="shared" si="108"/>
        <v>61.86</v>
      </c>
      <c r="N3416" s="221">
        <f t="shared" si="108"/>
        <v>61.86</v>
      </c>
    </row>
    <row r="3417" spans="5:15">
      <c r="E3417" s="221"/>
      <c r="F3417" s="221"/>
      <c r="G3417" s="221"/>
      <c r="H3417" s="221" t="s">
        <v>924</v>
      </c>
      <c r="I3417" s="221"/>
      <c r="J3417" s="221"/>
      <c r="K3417" s="221">
        <f>K3428</f>
        <v>455.5</v>
      </c>
      <c r="L3417" s="221">
        <f t="shared" si="108"/>
        <v>455.5</v>
      </c>
      <c r="M3417" s="221">
        <f t="shared" si="108"/>
        <v>455.5</v>
      </c>
      <c r="N3417" s="221">
        <f t="shared" si="108"/>
        <v>455.5</v>
      </c>
    </row>
    <row r="3418" spans="5:15">
      <c r="E3418" s="221"/>
      <c r="F3418" s="221"/>
      <c r="G3418" s="221"/>
      <c r="H3418" s="221" t="s">
        <v>2744</v>
      </c>
      <c r="I3418" s="221" t="s">
        <v>663</v>
      </c>
      <c r="J3418" s="221"/>
      <c r="K3418" s="221">
        <v>7.44</v>
      </c>
      <c r="L3418" s="221">
        <f t="shared" si="108"/>
        <v>7.44</v>
      </c>
      <c r="M3418" s="221">
        <f t="shared" si="108"/>
        <v>7.44</v>
      </c>
      <c r="N3418" s="221">
        <f t="shared" si="108"/>
        <v>7.44</v>
      </c>
    </row>
    <row r="3419" spans="5:15">
      <c r="E3419" s="221"/>
      <c r="F3419" s="221"/>
      <c r="G3419" s="221"/>
      <c r="H3419" s="228" t="s">
        <v>1080</v>
      </c>
      <c r="I3419" s="221"/>
      <c r="J3419" s="221"/>
      <c r="K3419" s="229">
        <f>SUM(K3415:K3418)</f>
        <v>778</v>
      </c>
      <c r="L3419" s="221">
        <f>SUM(L3415:L3418)</f>
        <v>1090</v>
      </c>
      <c r="M3419" s="221">
        <f>SUM(M3415:M3418)</f>
        <v>667.6</v>
      </c>
      <c r="N3419" s="221">
        <f>SUM(N3415:N3418)</f>
        <v>1545.7</v>
      </c>
    </row>
    <row r="3420" spans="5:15">
      <c r="E3420" s="221"/>
      <c r="F3420" s="221"/>
      <c r="G3420" s="221"/>
      <c r="H3420" s="228"/>
      <c r="I3420" s="221"/>
      <c r="J3420" s="221"/>
      <c r="K3420" s="229"/>
      <c r="L3420" s="221">
        <f>600-K3419</f>
        <v>-178</v>
      </c>
      <c r="M3420" s="221"/>
    </row>
    <row r="3421" spans="5:15">
      <c r="E3421" s="221"/>
      <c r="F3421" s="221"/>
      <c r="G3421" s="221"/>
      <c r="H3421" s="229" t="s">
        <v>3232</v>
      </c>
      <c r="I3421" s="221">
        <f>I3402</f>
        <v>103100</v>
      </c>
      <c r="J3421" s="235">
        <v>5.9999999999999995E-4</v>
      </c>
      <c r="K3421" s="229">
        <f>I3421*J3421</f>
        <v>61.86</v>
      </c>
      <c r="L3421" s="221"/>
      <c r="M3421" s="221"/>
    </row>
    <row r="3422" spans="5:15">
      <c r="E3422" s="221"/>
      <c r="F3422" s="221"/>
      <c r="G3422" s="221"/>
      <c r="H3422" s="228"/>
      <c r="I3422" s="221"/>
      <c r="J3422" s="221"/>
      <c r="K3422" s="221"/>
      <c r="L3422" s="221"/>
      <c r="M3422" s="221"/>
    </row>
    <row r="3423" spans="5:15">
      <c r="E3423" s="221"/>
      <c r="F3423" s="221"/>
      <c r="G3423" s="221"/>
      <c r="H3423" s="227" t="s">
        <v>142</v>
      </c>
      <c r="I3423" s="221"/>
      <c r="J3423" s="221"/>
      <c r="K3423" s="221"/>
      <c r="L3423" s="221"/>
      <c r="M3423" s="221"/>
    </row>
    <row r="3424" spans="5:15">
      <c r="E3424" s="221"/>
      <c r="F3424" s="221">
        <v>1</v>
      </c>
      <c r="G3424" s="221" t="s">
        <v>1414</v>
      </c>
      <c r="H3424" s="221" t="s">
        <v>2800</v>
      </c>
      <c r="I3424" s="221">
        <f>I3405</f>
        <v>712</v>
      </c>
      <c r="J3424" s="221" t="s">
        <v>1414</v>
      </c>
      <c r="K3424" s="221">
        <f>F3424*I3424</f>
        <v>712</v>
      </c>
      <c r="L3424" s="221"/>
      <c r="M3424" s="221"/>
    </row>
    <row r="3425" spans="5:13">
      <c r="E3425" s="221"/>
      <c r="F3425" s="221">
        <v>1</v>
      </c>
      <c r="G3425" s="221" t="s">
        <v>1414</v>
      </c>
      <c r="H3425" s="221" t="s">
        <v>2619</v>
      </c>
      <c r="I3425" s="221">
        <f>I3406</f>
        <v>708</v>
      </c>
      <c r="J3425" s="221" t="s">
        <v>1414</v>
      </c>
      <c r="K3425" s="221">
        <f>F3425*I3425</f>
        <v>708</v>
      </c>
      <c r="L3425" s="221"/>
      <c r="M3425" s="221"/>
    </row>
    <row r="3426" spans="5:13">
      <c r="E3426" s="221"/>
      <c r="F3426" s="221">
        <v>4</v>
      </c>
      <c r="G3426" s="221" t="s">
        <v>1414</v>
      </c>
      <c r="H3426" s="221" t="s">
        <v>2356</v>
      </c>
      <c r="I3426" s="221">
        <f>I3407</f>
        <v>556</v>
      </c>
      <c r="J3426" s="221" t="s">
        <v>1414</v>
      </c>
      <c r="K3426" s="221">
        <f>F3426*I3426</f>
        <v>2224</v>
      </c>
      <c r="L3426" s="221"/>
      <c r="M3426" s="221"/>
    </row>
    <row r="3427" spans="5:13">
      <c r="E3427" s="221"/>
      <c r="F3427" s="221"/>
      <c r="G3427" s="221"/>
      <c r="H3427" s="226" t="s">
        <v>2694</v>
      </c>
      <c r="I3427" s="221"/>
      <c r="J3427" s="221"/>
      <c r="K3427" s="221">
        <f>SUM(K3424:K3426)</f>
        <v>3644</v>
      </c>
      <c r="L3427" s="221"/>
      <c r="M3427" s="221"/>
    </row>
    <row r="3428" spans="5:13">
      <c r="E3428" s="221"/>
      <c r="F3428" s="221"/>
      <c r="G3428" s="221"/>
      <c r="H3428" s="228" t="s">
        <v>2926</v>
      </c>
      <c r="I3428" s="221"/>
      <c r="J3428" s="221"/>
      <c r="K3428" s="229">
        <f>K3427/8</f>
        <v>455.5</v>
      </c>
      <c r="L3428" s="221"/>
      <c r="M3428" s="221"/>
    </row>
    <row r="3429" spans="5:13">
      <c r="E3429" s="221"/>
      <c r="F3429" s="221"/>
      <c r="G3429" s="221"/>
      <c r="H3429" s="221"/>
      <c r="I3429" s="221"/>
      <c r="J3429" s="221"/>
      <c r="K3429" s="221"/>
      <c r="L3429" s="221"/>
      <c r="M3429" s="221"/>
    </row>
    <row r="3430" spans="5:13">
      <c r="E3430" s="221"/>
      <c r="F3430" s="221"/>
      <c r="G3430" s="221"/>
      <c r="H3430" s="229" t="s">
        <v>2702</v>
      </c>
      <c r="I3430" s="221"/>
      <c r="J3430" s="221"/>
      <c r="K3430" s="221"/>
      <c r="L3430" s="221"/>
      <c r="M3430" s="221"/>
    </row>
    <row r="3431" spans="5:13">
      <c r="E3431" s="221"/>
      <c r="F3431" s="221"/>
      <c r="G3431" s="221"/>
      <c r="H3431" s="221"/>
      <c r="I3431" s="221"/>
      <c r="J3431" s="221"/>
      <c r="K3431" s="221"/>
      <c r="L3431" s="221"/>
      <c r="M3431" s="221"/>
    </row>
    <row r="3432" spans="5:13">
      <c r="E3432" s="221"/>
      <c r="F3432" s="221"/>
      <c r="G3432" s="221"/>
      <c r="H3432" s="229" t="s">
        <v>2703</v>
      </c>
      <c r="I3432" s="221"/>
      <c r="J3432" s="221"/>
      <c r="K3432" s="221"/>
      <c r="L3432" s="221"/>
      <c r="M3432" s="221"/>
    </row>
    <row r="3433" spans="5:13">
      <c r="E3433" s="221"/>
      <c r="F3433" s="221"/>
      <c r="G3433" s="221"/>
      <c r="H3433" s="221"/>
      <c r="I3433" s="221"/>
      <c r="J3433" s="221"/>
      <c r="K3433" s="221"/>
      <c r="L3433" s="221"/>
      <c r="M3433" s="221"/>
    </row>
    <row r="3434" spans="5:13" ht="81" customHeight="1">
      <c r="E3434" s="221"/>
      <c r="F3434" s="221"/>
      <c r="G3434" s="221"/>
      <c r="H3434" s="220" t="s">
        <v>2392</v>
      </c>
      <c r="I3434" s="221"/>
      <c r="J3434" s="221"/>
      <c r="K3434" s="221"/>
      <c r="L3434" s="221"/>
      <c r="M3434" s="221"/>
    </row>
    <row r="3435" spans="5:13">
      <c r="E3435" s="221"/>
      <c r="F3435" s="221"/>
      <c r="G3435" s="221"/>
      <c r="H3435" s="221"/>
      <c r="I3435" s="221"/>
      <c r="J3435" s="221"/>
      <c r="K3435" s="221"/>
      <c r="L3435" s="221"/>
      <c r="M3435" s="221"/>
    </row>
    <row r="3436" spans="5:13">
      <c r="E3436" s="221"/>
      <c r="F3436" s="221">
        <v>1</v>
      </c>
      <c r="G3436" s="221" t="s">
        <v>1414</v>
      </c>
      <c r="H3436" s="221" t="s">
        <v>5037</v>
      </c>
      <c r="I3436" s="260">
        <v>47.6</v>
      </c>
      <c r="J3436" s="221" t="s">
        <v>1414</v>
      </c>
      <c r="K3436" s="221">
        <f>F3436*I3436</f>
        <v>47.6</v>
      </c>
      <c r="L3436" s="221"/>
      <c r="M3436" s="221"/>
    </row>
    <row r="3437" spans="5:13">
      <c r="E3437" s="221"/>
      <c r="F3437" s="221">
        <v>1</v>
      </c>
      <c r="G3437" s="221" t="s">
        <v>1414</v>
      </c>
      <c r="H3437" s="220" t="s">
        <v>2393</v>
      </c>
      <c r="I3437" s="221">
        <f>K3443</f>
        <v>231.98</v>
      </c>
      <c r="J3437" s="221" t="s">
        <v>1414</v>
      </c>
      <c r="K3437" s="221">
        <f>F3437*I3437</f>
        <v>231.98</v>
      </c>
      <c r="L3437" s="221"/>
      <c r="M3437" s="221"/>
    </row>
    <row r="3438" spans="5:13">
      <c r="E3438" s="221"/>
      <c r="F3438" s="221">
        <v>1</v>
      </c>
      <c r="G3438" s="221" t="s">
        <v>1414</v>
      </c>
      <c r="H3438" s="221" t="s">
        <v>2394</v>
      </c>
      <c r="I3438" s="274">
        <v>25</v>
      </c>
      <c r="J3438" s="221" t="s">
        <v>2395</v>
      </c>
      <c r="K3438" s="221">
        <f>F3438*I3438</f>
        <v>25</v>
      </c>
      <c r="L3438" s="221"/>
      <c r="M3438" s="221"/>
    </row>
    <row r="3439" spans="5:13">
      <c r="E3439" s="221"/>
      <c r="F3439" s="221"/>
      <c r="G3439" s="221"/>
      <c r="H3439" s="221" t="s">
        <v>142</v>
      </c>
      <c r="I3439" s="221"/>
      <c r="J3439" s="221"/>
      <c r="K3439" s="221">
        <f>K3449</f>
        <v>456</v>
      </c>
      <c r="L3439" s="221"/>
      <c r="M3439" s="221"/>
    </row>
    <row r="3440" spans="5:13">
      <c r="E3440" s="221"/>
      <c r="F3440" s="221"/>
      <c r="G3440" s="221"/>
      <c r="H3440" s="221" t="s">
        <v>2396</v>
      </c>
      <c r="I3440" s="221"/>
      <c r="J3440" s="221"/>
      <c r="K3440" s="221">
        <v>9.76</v>
      </c>
      <c r="L3440" s="221"/>
      <c r="M3440" s="221"/>
    </row>
    <row r="3441" spans="5:13">
      <c r="E3441" s="221"/>
      <c r="F3441" s="221"/>
      <c r="G3441" s="221"/>
      <c r="H3441" s="228" t="s">
        <v>2397</v>
      </c>
      <c r="I3441" s="221"/>
      <c r="J3441" s="221"/>
      <c r="K3441" s="229">
        <f>SUM(K3436:K3440)</f>
        <v>770.34</v>
      </c>
      <c r="L3441" s="221">
        <f>K3441-592</f>
        <v>178.34</v>
      </c>
      <c r="M3441" s="221"/>
    </row>
    <row r="3442" spans="5:13" ht="8.25" customHeight="1">
      <c r="E3442" s="221"/>
      <c r="F3442" s="221"/>
      <c r="G3442" s="221"/>
      <c r="H3442" s="221"/>
      <c r="I3442" s="221"/>
      <c r="J3442" s="221"/>
      <c r="K3442" s="221"/>
      <c r="L3442" s="221"/>
      <c r="M3442" s="221"/>
    </row>
    <row r="3443" spans="5:13">
      <c r="E3443" s="221"/>
      <c r="F3443" s="221"/>
      <c r="G3443" s="221"/>
      <c r="H3443" s="229" t="s">
        <v>2398</v>
      </c>
      <c r="I3443" s="221">
        <f>I3421</f>
        <v>103100</v>
      </c>
      <c r="J3443" s="241">
        <v>2.2499999999999998E-3</v>
      </c>
      <c r="K3443" s="221">
        <f>I3443*J3443</f>
        <v>231.98</v>
      </c>
      <c r="L3443" s="221"/>
      <c r="M3443" s="221"/>
    </row>
    <row r="3444" spans="5:13" ht="7.5" customHeight="1">
      <c r="E3444" s="221"/>
      <c r="F3444" s="221"/>
      <c r="G3444" s="221"/>
      <c r="H3444" s="221"/>
      <c r="I3444" s="221"/>
      <c r="J3444" s="221"/>
      <c r="K3444" s="221"/>
      <c r="L3444" s="221"/>
      <c r="M3444" s="221"/>
    </row>
    <row r="3445" spans="5:13">
      <c r="E3445" s="221"/>
      <c r="F3445" s="221"/>
      <c r="G3445" s="221"/>
      <c r="H3445" s="229" t="s">
        <v>924</v>
      </c>
      <c r="I3445" s="221"/>
      <c r="J3445" s="221"/>
      <c r="K3445" s="221"/>
      <c r="L3445" s="221"/>
      <c r="M3445" s="221"/>
    </row>
    <row r="3446" spans="5:13">
      <c r="E3446" s="221"/>
      <c r="F3446" s="221">
        <v>1</v>
      </c>
      <c r="G3446" s="221" t="s">
        <v>1414</v>
      </c>
      <c r="H3446" s="221" t="s">
        <v>2800</v>
      </c>
      <c r="I3446" s="88">
        <f>I3424</f>
        <v>712</v>
      </c>
      <c r="J3446" s="221" t="s">
        <v>1414</v>
      </c>
      <c r="K3446" s="221">
        <f>F3446*I3446</f>
        <v>712</v>
      </c>
      <c r="L3446" s="221"/>
      <c r="M3446" s="221"/>
    </row>
    <row r="3447" spans="5:13">
      <c r="E3447" s="221"/>
      <c r="F3447" s="221">
        <v>2</v>
      </c>
      <c r="G3447" s="221" t="s">
        <v>1414</v>
      </c>
      <c r="H3447" s="221" t="s">
        <v>2620</v>
      </c>
      <c r="I3447" s="88">
        <f>I3426</f>
        <v>556</v>
      </c>
      <c r="J3447" s="221" t="s">
        <v>1414</v>
      </c>
      <c r="K3447" s="221">
        <f>F3447*I3447</f>
        <v>1112</v>
      </c>
      <c r="L3447" s="221"/>
      <c r="M3447" s="221"/>
    </row>
    <row r="3448" spans="5:13">
      <c r="E3448" s="221"/>
      <c r="F3448" s="221"/>
      <c r="G3448" s="221"/>
      <c r="H3448" s="226" t="s">
        <v>2801</v>
      </c>
      <c r="I3448" s="221"/>
      <c r="J3448" s="221"/>
      <c r="K3448" s="221">
        <f>SUM(K3446:K3447)</f>
        <v>1824</v>
      </c>
      <c r="L3448" s="221"/>
      <c r="M3448" s="221"/>
    </row>
    <row r="3449" spans="5:13">
      <c r="E3449" s="221"/>
      <c r="F3449" s="221"/>
      <c r="G3449" s="221"/>
      <c r="H3449" s="228" t="s">
        <v>2826</v>
      </c>
      <c r="I3449" s="221"/>
      <c r="J3449" s="221"/>
      <c r="K3449" s="229">
        <f>K3448/4</f>
        <v>456</v>
      </c>
      <c r="L3449" s="221"/>
      <c r="M3449" s="221"/>
    </row>
    <row r="3450" spans="5:13">
      <c r="E3450" s="221"/>
      <c r="F3450" s="221"/>
      <c r="G3450" s="221"/>
      <c r="H3450" s="221"/>
      <c r="I3450" s="221"/>
      <c r="J3450" s="221"/>
      <c r="K3450" s="221"/>
      <c r="L3450" s="221"/>
      <c r="M3450" s="221"/>
    </row>
    <row r="3451" spans="5:13">
      <c r="E3451" s="221"/>
      <c r="F3451" s="221"/>
      <c r="G3451" s="221"/>
      <c r="H3451" s="229" t="s">
        <v>2399</v>
      </c>
      <c r="I3451" s="221"/>
      <c r="J3451" s="221"/>
      <c r="K3451" s="221"/>
      <c r="L3451" s="221"/>
      <c r="M3451" s="221"/>
    </row>
    <row r="3452" spans="5:13">
      <c r="E3452" s="221"/>
      <c r="F3452" s="221"/>
      <c r="G3452" s="221"/>
      <c r="H3452" s="229" t="s">
        <v>2400</v>
      </c>
      <c r="I3452" s="221"/>
      <c r="J3452" s="221"/>
      <c r="K3452" s="221"/>
      <c r="L3452" s="221"/>
      <c r="M3452" s="221"/>
    </row>
    <row r="3453" spans="5:13">
      <c r="E3453" s="221"/>
      <c r="F3453" s="221"/>
      <c r="G3453" s="221"/>
      <c r="H3453" s="221" t="s">
        <v>987</v>
      </c>
      <c r="I3453" s="221"/>
      <c r="J3453" s="221"/>
      <c r="K3453" s="221"/>
      <c r="L3453" s="221"/>
      <c r="M3453" s="221"/>
    </row>
    <row r="3454" spans="5:13">
      <c r="E3454" s="221"/>
      <c r="F3454" s="221">
        <v>1</v>
      </c>
      <c r="G3454" s="221" t="s">
        <v>1414</v>
      </c>
      <c r="H3454" s="221" t="s">
        <v>4402</v>
      </c>
      <c r="I3454" s="260">
        <f>I3384</f>
        <v>1754</v>
      </c>
      <c r="J3454" s="221" t="s">
        <v>1414</v>
      </c>
      <c r="K3454" s="221">
        <f>F3454*I3454</f>
        <v>1754</v>
      </c>
      <c r="L3454" s="221"/>
      <c r="M3454" s="221"/>
    </row>
    <row r="3455" spans="5:13">
      <c r="E3455" s="221"/>
      <c r="F3455" s="221">
        <v>3</v>
      </c>
      <c r="G3455" s="221" t="s">
        <v>1414</v>
      </c>
      <c r="H3455" s="221" t="s">
        <v>5038</v>
      </c>
      <c r="I3455" s="260">
        <v>127</v>
      </c>
      <c r="J3455" s="221" t="s">
        <v>1414</v>
      </c>
      <c r="K3455" s="221">
        <f>F3455*I3455</f>
        <v>381</v>
      </c>
      <c r="L3455" s="221"/>
      <c r="M3455" s="221"/>
    </row>
    <row r="3456" spans="5:13">
      <c r="E3456" s="221"/>
      <c r="F3456" s="221"/>
      <c r="G3456" s="221"/>
      <c r="H3456" s="221" t="s">
        <v>2528</v>
      </c>
      <c r="I3456" s="221"/>
      <c r="J3456" s="221"/>
      <c r="K3456" s="221">
        <f>K3348</f>
        <v>713.6</v>
      </c>
      <c r="L3456" s="221"/>
      <c r="M3456" s="221"/>
    </row>
    <row r="3457" spans="5:13">
      <c r="E3457" s="221"/>
      <c r="F3457" s="221"/>
      <c r="G3457" s="221"/>
      <c r="H3457" s="221" t="s">
        <v>2296</v>
      </c>
      <c r="I3457" s="221"/>
      <c r="J3457" s="221"/>
      <c r="K3457" s="221">
        <v>2</v>
      </c>
      <c r="L3457" s="221"/>
      <c r="M3457" s="221"/>
    </row>
    <row r="3458" spans="5:13">
      <c r="E3458" s="221"/>
      <c r="F3458" s="221"/>
      <c r="G3458" s="221"/>
      <c r="H3458" s="228" t="s">
        <v>2529</v>
      </c>
      <c r="I3458" s="221"/>
      <c r="J3458" s="221"/>
      <c r="K3458" s="229">
        <f>SUM(K3454:K3457)</f>
        <v>2850.6</v>
      </c>
      <c r="L3458" s="221"/>
      <c r="M3458" s="221"/>
    </row>
    <row r="3459" spans="5:13">
      <c r="E3459" s="221"/>
      <c r="F3459" s="221"/>
      <c r="G3459" s="221"/>
      <c r="H3459" s="221"/>
      <c r="I3459" s="221"/>
      <c r="J3459" s="221"/>
      <c r="K3459" s="221"/>
      <c r="L3459" s="221"/>
      <c r="M3459" s="221"/>
    </row>
    <row r="3460" spans="5:13">
      <c r="E3460" s="221"/>
      <c r="F3460" s="221"/>
      <c r="G3460" s="221"/>
      <c r="H3460" s="229" t="s">
        <v>2399</v>
      </c>
      <c r="I3460" s="221"/>
      <c r="J3460" s="221"/>
      <c r="K3460" s="221"/>
      <c r="L3460" s="221"/>
      <c r="M3460" s="221"/>
    </row>
    <row r="3461" spans="5:13">
      <c r="E3461" s="221"/>
      <c r="F3461" s="221"/>
      <c r="G3461" s="221"/>
      <c r="H3461" s="221"/>
      <c r="I3461" s="221"/>
      <c r="J3461" s="221"/>
      <c r="K3461" s="221"/>
      <c r="L3461" s="221"/>
      <c r="M3461" s="221"/>
    </row>
    <row r="3462" spans="5:13">
      <c r="E3462" s="221"/>
      <c r="F3462" s="221"/>
      <c r="G3462" s="221"/>
      <c r="H3462" s="229" t="s">
        <v>2530</v>
      </c>
      <c r="I3462" s="221"/>
      <c r="J3462" s="221"/>
      <c r="K3462" s="221"/>
      <c r="L3462" s="221"/>
      <c r="M3462" s="221"/>
    </row>
    <row r="3463" spans="5:13">
      <c r="E3463" s="221"/>
      <c r="F3463" s="221"/>
      <c r="G3463" s="221"/>
      <c r="H3463" s="221"/>
      <c r="I3463" s="221"/>
      <c r="J3463" s="221"/>
      <c r="K3463" s="221"/>
      <c r="L3463" s="221"/>
      <c r="M3463" s="221"/>
    </row>
    <row r="3464" spans="5:13">
      <c r="E3464" s="221"/>
      <c r="F3464" s="221">
        <v>1</v>
      </c>
      <c r="G3464" s="221" t="s">
        <v>1414</v>
      </c>
      <c r="H3464" s="221" t="s">
        <v>4404</v>
      </c>
      <c r="I3464" s="88">
        <f>I3389</f>
        <v>1858</v>
      </c>
      <c r="J3464" s="221" t="s">
        <v>1414</v>
      </c>
      <c r="K3464" s="221">
        <f>F3464*I3464</f>
        <v>1858</v>
      </c>
      <c r="L3464" s="221"/>
      <c r="M3464" s="221"/>
    </row>
    <row r="3465" spans="5:13">
      <c r="E3465" s="221"/>
      <c r="F3465" s="221">
        <v>3</v>
      </c>
      <c r="G3465" s="221" t="s">
        <v>1414</v>
      </c>
      <c r="H3465" s="221" t="s">
        <v>4403</v>
      </c>
      <c r="I3465" s="221">
        <f>I3455</f>
        <v>127</v>
      </c>
      <c r="J3465" s="221" t="s">
        <v>1414</v>
      </c>
      <c r="K3465" s="221">
        <f>F3465*I3465</f>
        <v>381</v>
      </c>
      <c r="L3465" s="221"/>
      <c r="M3465" s="221"/>
    </row>
    <row r="3466" spans="5:13">
      <c r="E3466" s="221"/>
      <c r="F3466" s="221"/>
      <c r="G3466" s="221"/>
      <c r="H3466" s="221" t="s">
        <v>2894</v>
      </c>
      <c r="I3466" s="221"/>
      <c r="J3466" s="221"/>
      <c r="K3466" s="221">
        <f>K3379</f>
        <v>727.6</v>
      </c>
      <c r="L3466" s="221"/>
      <c r="M3466" s="221"/>
    </row>
    <row r="3467" spans="5:13">
      <c r="E3467" s="221"/>
      <c r="F3467" s="221"/>
      <c r="G3467" s="221"/>
      <c r="H3467" s="221" t="s">
        <v>2296</v>
      </c>
      <c r="I3467" s="221"/>
      <c r="J3467" s="221"/>
      <c r="K3467" s="221">
        <f>5</f>
        <v>5</v>
      </c>
      <c r="L3467" s="221"/>
      <c r="M3467" s="221"/>
    </row>
    <row r="3468" spans="5:13">
      <c r="E3468" s="221"/>
      <c r="F3468" s="221"/>
      <c r="G3468" s="221"/>
      <c r="H3468" s="228" t="s">
        <v>2895</v>
      </c>
      <c r="I3468" s="221"/>
      <c r="J3468" s="221"/>
      <c r="K3468" s="229">
        <f>SUM(K3464:K3467)</f>
        <v>2971.6</v>
      </c>
      <c r="L3468" s="221">
        <f>K3468-2695</f>
        <v>276.60000000000002</v>
      </c>
      <c r="M3468" s="221"/>
    </row>
    <row r="3469" spans="5:13">
      <c r="E3469" s="221"/>
      <c r="F3469" s="221"/>
      <c r="G3469" s="221"/>
      <c r="H3469" s="221"/>
      <c r="I3469" s="221"/>
      <c r="J3469" s="221"/>
      <c r="K3469" s="221"/>
      <c r="L3469" s="221"/>
      <c r="M3469" s="221"/>
    </row>
    <row r="3470" spans="5:13">
      <c r="E3470" s="221"/>
      <c r="F3470" s="221"/>
      <c r="G3470" s="221"/>
      <c r="H3470" s="229" t="s">
        <v>2896</v>
      </c>
      <c r="I3470" s="221"/>
      <c r="J3470" s="221"/>
      <c r="K3470" s="221"/>
      <c r="L3470" s="221"/>
      <c r="M3470" s="221"/>
    </row>
    <row r="3471" spans="5:13">
      <c r="E3471" s="221"/>
      <c r="F3471" s="221"/>
      <c r="G3471" s="221"/>
      <c r="H3471" s="221"/>
      <c r="I3471" s="221"/>
      <c r="J3471" s="221"/>
      <c r="K3471" s="221"/>
      <c r="L3471" s="221"/>
      <c r="M3471" s="221"/>
    </row>
    <row r="3472" spans="5:13">
      <c r="E3472" s="221"/>
      <c r="F3472" s="221"/>
      <c r="G3472" s="221"/>
      <c r="H3472" s="229" t="s">
        <v>2897</v>
      </c>
      <c r="I3472" s="221"/>
      <c r="J3472" s="221"/>
      <c r="K3472" s="221"/>
      <c r="L3472" s="221"/>
      <c r="M3472" s="221"/>
    </row>
    <row r="3473" spans="5:13">
      <c r="E3473" s="221"/>
      <c r="F3473" s="221"/>
      <c r="G3473" s="221"/>
      <c r="H3473" s="221"/>
      <c r="I3473" s="221"/>
      <c r="J3473" s="221"/>
      <c r="K3473" s="221"/>
      <c r="L3473" s="221"/>
      <c r="M3473" s="221"/>
    </row>
    <row r="3474" spans="5:13" ht="63">
      <c r="E3474" s="221"/>
      <c r="F3474" s="221"/>
      <c r="G3474" s="221"/>
      <c r="H3474" s="220" t="s">
        <v>3436</v>
      </c>
      <c r="I3474" s="221"/>
      <c r="J3474" s="221"/>
      <c r="K3474" s="221"/>
      <c r="L3474" s="221"/>
      <c r="M3474" s="221"/>
    </row>
    <row r="3475" spans="5:13">
      <c r="E3475" s="221"/>
      <c r="F3475" s="221"/>
      <c r="G3475" s="221"/>
      <c r="H3475" s="221"/>
      <c r="I3475" s="221"/>
      <c r="J3475" s="221"/>
      <c r="K3475" s="221"/>
      <c r="L3475" s="221"/>
      <c r="M3475" s="221"/>
    </row>
    <row r="3476" spans="5:13" ht="24.95" customHeight="1">
      <c r="E3476" s="221"/>
      <c r="F3476" s="221">
        <v>3</v>
      </c>
      <c r="G3476" s="221" t="s">
        <v>1414</v>
      </c>
      <c r="H3476" s="221" t="s">
        <v>2898</v>
      </c>
      <c r="I3476" s="221">
        <f>I3396</f>
        <v>84.4</v>
      </c>
      <c r="J3476" s="221" t="s">
        <v>1414</v>
      </c>
      <c r="K3476" s="221">
        <f>F3476*I3476</f>
        <v>253.2</v>
      </c>
      <c r="L3476" s="221"/>
      <c r="M3476" s="221"/>
    </row>
    <row r="3477" spans="5:13" ht="24.95" customHeight="1">
      <c r="E3477" s="221"/>
      <c r="F3477" s="221">
        <v>1</v>
      </c>
      <c r="G3477" s="221" t="s">
        <v>1414</v>
      </c>
      <c r="H3477" s="220" t="s">
        <v>2899</v>
      </c>
      <c r="I3477" s="221">
        <f>K3483</f>
        <v>347.96</v>
      </c>
      <c r="J3477" s="221" t="s">
        <v>1414</v>
      </c>
      <c r="K3477" s="221">
        <f>F3477*I3477</f>
        <v>347.96</v>
      </c>
      <c r="L3477" s="221"/>
      <c r="M3477" s="221"/>
    </row>
    <row r="3478" spans="5:13" ht="24.95" customHeight="1">
      <c r="E3478" s="221"/>
      <c r="F3478" s="221">
        <v>1</v>
      </c>
      <c r="G3478" s="221" t="s">
        <v>1414</v>
      </c>
      <c r="H3478" s="221" t="s">
        <v>2394</v>
      </c>
      <c r="I3478" s="221">
        <f>I3438</f>
        <v>25</v>
      </c>
      <c r="J3478" s="221" t="s">
        <v>2395</v>
      </c>
      <c r="K3478" s="221">
        <f>F3478*I3478</f>
        <v>25</v>
      </c>
      <c r="L3478" s="221"/>
      <c r="M3478" s="221"/>
    </row>
    <row r="3479" spans="5:13" ht="24.95" customHeight="1">
      <c r="E3479" s="221"/>
      <c r="F3479" s="221"/>
      <c r="G3479" s="221"/>
      <c r="H3479" s="221" t="s">
        <v>142</v>
      </c>
      <c r="I3479" s="221"/>
      <c r="J3479" s="221"/>
      <c r="K3479" s="221">
        <f>K3489</f>
        <v>608</v>
      </c>
      <c r="L3479" s="221"/>
      <c r="M3479" s="221"/>
    </row>
    <row r="3480" spans="5:13">
      <c r="E3480" s="221"/>
      <c r="F3480" s="221"/>
      <c r="G3480" s="221"/>
      <c r="H3480" s="221" t="s">
        <v>2396</v>
      </c>
      <c r="I3480" s="221"/>
      <c r="J3480" s="221"/>
      <c r="K3480" s="221">
        <v>8.0500000000000007</v>
      </c>
      <c r="L3480" s="221"/>
      <c r="M3480" s="221"/>
    </row>
    <row r="3481" spans="5:13" ht="24.95" customHeight="1">
      <c r="E3481" s="221"/>
      <c r="F3481" s="221"/>
      <c r="G3481" s="221"/>
      <c r="H3481" s="228" t="s">
        <v>2397</v>
      </c>
      <c r="I3481" s="221"/>
      <c r="J3481" s="221"/>
      <c r="K3481" s="229">
        <f>SUM(K3476:K3480)</f>
        <v>1242.21</v>
      </c>
      <c r="L3481" s="221">
        <f>990-K3481</f>
        <v>-252.21</v>
      </c>
      <c r="M3481" s="221"/>
    </row>
    <row r="3482" spans="5:13">
      <c r="E3482" s="221"/>
      <c r="F3482" s="221"/>
      <c r="G3482" s="221"/>
      <c r="H3482" s="221"/>
      <c r="I3482" s="221"/>
      <c r="J3482" s="221"/>
      <c r="K3482" s="221"/>
      <c r="L3482" s="221"/>
      <c r="M3482" s="221"/>
    </row>
    <row r="3483" spans="5:13">
      <c r="E3483" s="221"/>
      <c r="F3483" s="221"/>
      <c r="G3483" s="221"/>
      <c r="H3483" s="229" t="s">
        <v>2900</v>
      </c>
      <c r="I3483" s="221">
        <f>I3443</f>
        <v>103100</v>
      </c>
      <c r="J3483" s="241">
        <v>3.375E-3</v>
      </c>
      <c r="K3483" s="221">
        <f>I3483*J3483</f>
        <v>347.96</v>
      </c>
      <c r="L3483" s="221"/>
      <c r="M3483" s="221"/>
    </row>
    <row r="3484" spans="5:13">
      <c r="E3484" s="221"/>
      <c r="F3484" s="221"/>
      <c r="G3484" s="221"/>
      <c r="H3484" s="221"/>
      <c r="I3484" s="221"/>
      <c r="J3484" s="221"/>
      <c r="K3484" s="221"/>
      <c r="L3484" s="221"/>
      <c r="M3484" s="221"/>
    </row>
    <row r="3485" spans="5:13" ht="21.75" customHeight="1">
      <c r="E3485" s="221"/>
      <c r="F3485" s="221"/>
      <c r="G3485" s="221"/>
      <c r="H3485" s="227" t="s">
        <v>924</v>
      </c>
      <c r="I3485" s="221"/>
      <c r="J3485" s="221"/>
      <c r="K3485" s="221"/>
      <c r="L3485" s="221"/>
      <c r="M3485" s="221"/>
    </row>
    <row r="3486" spans="5:13" ht="21.75" customHeight="1">
      <c r="E3486" s="221"/>
      <c r="F3486" s="221">
        <v>1</v>
      </c>
      <c r="G3486" s="221" t="s">
        <v>1414</v>
      </c>
      <c r="H3486" s="221" t="s">
        <v>2800</v>
      </c>
      <c r="I3486" s="221">
        <f>I3446</f>
        <v>712</v>
      </c>
      <c r="J3486" s="221" t="s">
        <v>1414</v>
      </c>
      <c r="K3486" s="221">
        <f>F3486*I3486</f>
        <v>712</v>
      </c>
      <c r="L3486" s="221"/>
      <c r="M3486" s="221"/>
    </row>
    <row r="3487" spans="5:13" ht="21.75" customHeight="1">
      <c r="E3487" s="221"/>
      <c r="F3487" s="221">
        <v>2</v>
      </c>
      <c r="G3487" s="221" t="s">
        <v>1414</v>
      </c>
      <c r="H3487" s="221" t="s">
        <v>2620</v>
      </c>
      <c r="I3487" s="221">
        <f>I3447</f>
        <v>556</v>
      </c>
      <c r="J3487" s="221" t="s">
        <v>1414</v>
      </c>
      <c r="K3487" s="221">
        <f>F3487*I3487</f>
        <v>1112</v>
      </c>
      <c r="L3487" s="221"/>
      <c r="M3487" s="221"/>
    </row>
    <row r="3488" spans="5:13" ht="21.75" customHeight="1">
      <c r="E3488" s="221"/>
      <c r="F3488" s="221"/>
      <c r="G3488" s="221"/>
      <c r="H3488" s="226" t="s">
        <v>2901</v>
      </c>
      <c r="I3488" s="221"/>
      <c r="J3488" s="229"/>
      <c r="K3488" s="230">
        <f>SUM(K3486:K3487)</f>
        <v>1824</v>
      </c>
      <c r="L3488" s="221"/>
      <c r="M3488" s="221"/>
    </row>
    <row r="3489" spans="5:20" ht="21.75" customHeight="1">
      <c r="E3489" s="221"/>
      <c r="F3489" s="221"/>
      <c r="G3489" s="221"/>
      <c r="H3489" s="228" t="s">
        <v>2826</v>
      </c>
      <c r="I3489" s="221"/>
      <c r="J3489" s="229"/>
      <c r="K3489" s="229">
        <f>K3488/3</f>
        <v>608</v>
      </c>
      <c r="L3489" s="221"/>
      <c r="M3489" s="221"/>
    </row>
    <row r="3490" spans="5:20">
      <c r="E3490" s="221"/>
      <c r="F3490" s="221"/>
      <c r="G3490" s="221"/>
      <c r="H3490" s="221"/>
      <c r="I3490" s="221"/>
      <c r="J3490" s="221"/>
      <c r="K3490" s="221"/>
      <c r="L3490" s="221"/>
      <c r="M3490" s="221"/>
    </row>
    <row r="3491" spans="5:20">
      <c r="E3491" s="221"/>
      <c r="F3491" s="221"/>
      <c r="G3491" s="221"/>
      <c r="H3491" s="229" t="s">
        <v>2902</v>
      </c>
      <c r="I3491" s="221"/>
      <c r="J3491" s="221"/>
      <c r="K3491" s="221"/>
      <c r="L3491" s="221"/>
      <c r="M3491" s="221"/>
    </row>
    <row r="3492" spans="5:20">
      <c r="E3492" s="221"/>
      <c r="F3492" s="221"/>
      <c r="G3492" s="221"/>
      <c r="H3492" s="221"/>
      <c r="I3492" s="221"/>
      <c r="J3492" s="221"/>
      <c r="K3492" s="221"/>
      <c r="L3492" s="221"/>
      <c r="M3492" s="221"/>
    </row>
    <row r="3493" spans="5:20" ht="61.5" customHeight="1">
      <c r="E3493" s="221"/>
      <c r="F3493" s="221"/>
      <c r="G3493" s="221"/>
      <c r="H3493" s="219" t="s">
        <v>2733</v>
      </c>
      <c r="I3493" s="221"/>
      <c r="J3493" s="221"/>
      <c r="K3493" s="221"/>
      <c r="L3493" s="221"/>
      <c r="M3493" s="221"/>
      <c r="N3493" s="221"/>
      <c r="O3493" s="219" t="s">
        <v>304</v>
      </c>
      <c r="P3493" s="221"/>
      <c r="Q3493" s="221"/>
      <c r="R3493" s="221"/>
    </row>
    <row r="3494" spans="5:20" ht="36" customHeight="1">
      <c r="E3494" s="221"/>
      <c r="F3494" s="221">
        <v>180</v>
      </c>
      <c r="G3494" s="221" t="s">
        <v>835</v>
      </c>
      <c r="H3494" s="220" t="s">
        <v>3953</v>
      </c>
      <c r="I3494" s="276">
        <f>I3112</f>
        <v>38.299999999999997</v>
      </c>
      <c r="J3494" s="221" t="s">
        <v>835</v>
      </c>
      <c r="K3494" s="221">
        <f>F3494*I3494</f>
        <v>6894</v>
      </c>
      <c r="L3494" s="221"/>
      <c r="M3494" s="221">
        <v>180</v>
      </c>
      <c r="N3494" s="221" t="s">
        <v>835</v>
      </c>
      <c r="O3494" s="220" t="s">
        <v>3952</v>
      </c>
      <c r="P3494" s="222">
        <f>I3101</f>
        <v>24.1</v>
      </c>
      <c r="Q3494" s="221" t="s">
        <v>835</v>
      </c>
      <c r="R3494" s="221">
        <f>M3494*P3494</f>
        <v>4338</v>
      </c>
    </row>
    <row r="3495" spans="5:20" ht="24.95" customHeight="1">
      <c r="E3495" s="221"/>
      <c r="F3495" s="221">
        <v>4</v>
      </c>
      <c r="G3495" s="221" t="s">
        <v>1670</v>
      </c>
      <c r="H3495" s="221" t="s">
        <v>4816</v>
      </c>
      <c r="I3495" s="222">
        <v>82.6</v>
      </c>
      <c r="J3495" s="221" t="s">
        <v>1670</v>
      </c>
      <c r="K3495" s="221">
        <f>F3495*I3495</f>
        <v>330.4</v>
      </c>
      <c r="L3495" s="221"/>
      <c r="M3495" s="221">
        <v>4</v>
      </c>
      <c r="N3495" s="221" t="s">
        <v>1670</v>
      </c>
      <c r="O3495" s="221" t="s">
        <v>3381</v>
      </c>
      <c r="P3495" s="222">
        <f>I3495</f>
        <v>82.6</v>
      </c>
      <c r="Q3495" s="221" t="s">
        <v>1670</v>
      </c>
      <c r="R3495" s="221">
        <f>M3495*P3495</f>
        <v>330.4</v>
      </c>
    </row>
    <row r="3496" spans="5:20" ht="24.95" customHeight="1">
      <c r="E3496" s="221"/>
      <c r="F3496" s="221">
        <v>180</v>
      </c>
      <c r="G3496" s="221" t="s">
        <v>1418</v>
      </c>
      <c r="H3496" s="221" t="s">
        <v>4817</v>
      </c>
      <c r="I3496" s="222">
        <f>ROUND(6.3/12,2)</f>
        <v>0.53</v>
      </c>
      <c r="J3496" s="221" t="s">
        <v>1418</v>
      </c>
      <c r="K3496" s="221">
        <f>F3496*I3496</f>
        <v>95.4</v>
      </c>
      <c r="L3496" s="221"/>
      <c r="M3496" s="221">
        <v>180</v>
      </c>
      <c r="N3496" s="221" t="s">
        <v>1418</v>
      </c>
      <c r="O3496" s="221" t="s">
        <v>2735</v>
      </c>
      <c r="P3496" s="222">
        <f>I3496</f>
        <v>0.53</v>
      </c>
      <c r="Q3496" s="221" t="s">
        <v>1418</v>
      </c>
      <c r="R3496" s="221">
        <f>M3496*P3496</f>
        <v>95.4</v>
      </c>
    </row>
    <row r="3497" spans="5:20" ht="24.95" customHeight="1">
      <c r="E3497" s="221"/>
      <c r="F3497" s="221">
        <v>1</v>
      </c>
      <c r="G3497" s="221" t="s">
        <v>1670</v>
      </c>
      <c r="H3497" s="221" t="s">
        <v>2736</v>
      </c>
      <c r="I3497" s="276">
        <f>I3495</f>
        <v>82.6</v>
      </c>
      <c r="J3497" s="221" t="s">
        <v>1670</v>
      </c>
      <c r="K3497" s="221">
        <f>F3497*I3497</f>
        <v>82.6</v>
      </c>
      <c r="L3497" s="221"/>
      <c r="M3497" s="221">
        <v>1</v>
      </c>
      <c r="N3497" s="221" t="s">
        <v>1670</v>
      </c>
      <c r="O3497" s="221" t="s">
        <v>2736</v>
      </c>
      <c r="P3497" s="222">
        <f>I3497</f>
        <v>82.6</v>
      </c>
      <c r="Q3497" s="221" t="s">
        <v>1670</v>
      </c>
      <c r="R3497" s="221">
        <f>M3497*P3497</f>
        <v>82.6</v>
      </c>
    </row>
    <row r="3498" spans="5:20" ht="24.95" customHeight="1">
      <c r="E3498" s="221"/>
      <c r="F3498" s="221"/>
      <c r="G3498" s="221"/>
      <c r="H3498" s="221" t="s">
        <v>924</v>
      </c>
      <c r="I3498" s="221"/>
      <c r="J3498" s="221"/>
      <c r="K3498" s="221">
        <f>K3507</f>
        <v>5325</v>
      </c>
      <c r="L3498" s="221"/>
      <c r="M3498" s="221"/>
      <c r="N3498" s="221"/>
      <c r="O3498" s="221" t="s">
        <v>924</v>
      </c>
      <c r="P3498" s="221"/>
      <c r="Q3498" s="221"/>
      <c r="R3498" s="221">
        <f>R3507</f>
        <v>5325</v>
      </c>
    </row>
    <row r="3499" spans="5:20" ht="24.95" customHeight="1">
      <c r="E3499" s="221"/>
      <c r="F3499" s="221"/>
      <c r="G3499" s="221"/>
      <c r="H3499" s="221" t="s">
        <v>2737</v>
      </c>
      <c r="I3499" s="221"/>
      <c r="J3499" s="221"/>
      <c r="K3499" s="221">
        <v>79</v>
      </c>
      <c r="L3499" s="221"/>
      <c r="M3499" s="221"/>
      <c r="N3499" s="221"/>
      <c r="O3499" s="221" t="s">
        <v>2737</v>
      </c>
      <c r="P3499" s="221"/>
      <c r="Q3499" s="221"/>
      <c r="R3499" s="221">
        <v>42.5</v>
      </c>
    </row>
    <row r="3500" spans="5:20" ht="24.95" customHeight="1">
      <c r="E3500" s="221"/>
      <c r="F3500" s="221"/>
      <c r="G3500" s="221"/>
      <c r="H3500" s="226" t="s">
        <v>2738</v>
      </c>
      <c r="I3500" s="221"/>
      <c r="J3500" s="221"/>
      <c r="K3500" s="221">
        <f>SUM(K3494:K3499)</f>
        <v>12806.4</v>
      </c>
      <c r="L3500" s="221">
        <f>K3500-L3502</f>
        <v>13</v>
      </c>
      <c r="M3500" s="221"/>
      <c r="N3500" s="221"/>
      <c r="O3500" s="226" t="s">
        <v>2738</v>
      </c>
      <c r="P3500" s="221"/>
      <c r="Q3500" s="221"/>
      <c r="R3500" s="221">
        <f>SUM(R3494:R3499)</f>
        <v>10213.9</v>
      </c>
    </row>
    <row r="3501" spans="5:20" ht="24.95" customHeight="1">
      <c r="E3501" s="221"/>
      <c r="F3501" s="221"/>
      <c r="G3501" s="221"/>
      <c r="H3501" s="228" t="s">
        <v>2419</v>
      </c>
      <c r="I3501" s="221"/>
      <c r="J3501" s="221"/>
      <c r="K3501" s="229">
        <f>K3500/90</f>
        <v>142.29</v>
      </c>
      <c r="L3501" s="221">
        <f>K3501-110</f>
        <v>32.29</v>
      </c>
      <c r="M3501" s="221"/>
      <c r="N3501" s="221"/>
      <c r="O3501" s="228" t="s">
        <v>2419</v>
      </c>
      <c r="P3501" s="221"/>
      <c r="Q3501" s="221"/>
      <c r="R3501" s="229">
        <f>R3500/90</f>
        <v>113.49</v>
      </c>
      <c r="S3501" s="87">
        <f>86.5*90</f>
        <v>7785</v>
      </c>
      <c r="T3501" s="87">
        <f>S3501-R3500</f>
        <v>-2428.9</v>
      </c>
    </row>
    <row r="3502" spans="5:20">
      <c r="E3502" s="221"/>
      <c r="F3502" s="221"/>
      <c r="G3502" s="221"/>
      <c r="H3502" s="227" t="s">
        <v>2677</v>
      </c>
      <c r="I3502" s="221"/>
      <c r="J3502" s="221"/>
      <c r="K3502" s="221"/>
      <c r="L3502" s="221">
        <f>K3500-13</f>
        <v>12793.4</v>
      </c>
      <c r="M3502" s="221"/>
      <c r="N3502" s="221"/>
      <c r="O3502" s="227" t="s">
        <v>2677</v>
      </c>
      <c r="P3502" s="221"/>
      <c r="Q3502" s="221"/>
      <c r="R3502" s="221"/>
    </row>
    <row r="3503" spans="5:20">
      <c r="E3503" s="221"/>
      <c r="F3503" s="221">
        <v>1</v>
      </c>
      <c r="G3503" s="221" t="s">
        <v>1414</v>
      </c>
      <c r="H3503" s="230" t="s">
        <v>2739</v>
      </c>
      <c r="I3503" s="221">
        <f>I2866</f>
        <v>817</v>
      </c>
      <c r="J3503" s="221" t="s">
        <v>1414</v>
      </c>
      <c r="K3503" s="221">
        <f>F3503*I3503</f>
        <v>817</v>
      </c>
      <c r="L3503" s="221"/>
      <c r="M3503" s="221">
        <v>1</v>
      </c>
      <c r="N3503" s="221" t="s">
        <v>1414</v>
      </c>
      <c r="O3503" s="230" t="s">
        <v>2739</v>
      </c>
      <c r="P3503" s="221">
        <f>I3503</f>
        <v>817</v>
      </c>
      <c r="Q3503" s="221" t="s">
        <v>1414</v>
      </c>
      <c r="R3503" s="221">
        <f>M3503*P3503</f>
        <v>817</v>
      </c>
    </row>
    <row r="3504" spans="5:20">
      <c r="E3504" s="221"/>
      <c r="F3504" s="221">
        <v>2</v>
      </c>
      <c r="G3504" s="221" t="s">
        <v>1414</v>
      </c>
      <c r="H3504" s="221" t="s">
        <v>2800</v>
      </c>
      <c r="I3504" s="221">
        <f>I2867</f>
        <v>712</v>
      </c>
      <c r="J3504" s="221" t="s">
        <v>1414</v>
      </c>
      <c r="K3504" s="221">
        <f>F3504*I3504</f>
        <v>1424</v>
      </c>
      <c r="L3504" s="221"/>
      <c r="M3504" s="221">
        <v>2</v>
      </c>
      <c r="N3504" s="221" t="s">
        <v>1414</v>
      </c>
      <c r="O3504" s="221" t="s">
        <v>2800</v>
      </c>
      <c r="P3504" s="221">
        <f>I3504</f>
        <v>712</v>
      </c>
      <c r="Q3504" s="221" t="s">
        <v>1414</v>
      </c>
      <c r="R3504" s="221">
        <f>M3504*P3504</f>
        <v>1424</v>
      </c>
    </row>
    <row r="3505" spans="5:18">
      <c r="E3505" s="221"/>
      <c r="F3505" s="221">
        <v>2</v>
      </c>
      <c r="G3505" s="221" t="s">
        <v>1414</v>
      </c>
      <c r="H3505" s="221" t="s">
        <v>2619</v>
      </c>
      <c r="I3505" s="221">
        <f>I2868</f>
        <v>708</v>
      </c>
      <c r="J3505" s="221" t="s">
        <v>1414</v>
      </c>
      <c r="K3505" s="221">
        <f>F3505*I3505</f>
        <v>1416</v>
      </c>
      <c r="L3505" s="221"/>
      <c r="M3505" s="221">
        <v>2</v>
      </c>
      <c r="N3505" s="221" t="s">
        <v>1414</v>
      </c>
      <c r="O3505" s="221" t="s">
        <v>2619</v>
      </c>
      <c r="P3505" s="221">
        <f>I3505</f>
        <v>708</v>
      </c>
      <c r="Q3505" s="221" t="s">
        <v>1414</v>
      </c>
      <c r="R3505" s="221">
        <f>M3505*P3505</f>
        <v>1416</v>
      </c>
    </row>
    <row r="3506" spans="5:18">
      <c r="E3506" s="221"/>
      <c r="F3506" s="221">
        <v>3</v>
      </c>
      <c r="G3506" s="221" t="s">
        <v>1414</v>
      </c>
      <c r="H3506" s="221" t="s">
        <v>2356</v>
      </c>
      <c r="I3506" s="221">
        <f>I2869</f>
        <v>556</v>
      </c>
      <c r="J3506" s="221" t="s">
        <v>1414</v>
      </c>
      <c r="K3506" s="221">
        <f>F3506*I3506</f>
        <v>1668</v>
      </c>
      <c r="L3506" s="221"/>
      <c r="M3506" s="221">
        <v>3</v>
      </c>
      <c r="N3506" s="221" t="s">
        <v>1414</v>
      </c>
      <c r="O3506" s="221" t="s">
        <v>2356</v>
      </c>
      <c r="P3506" s="221">
        <f>I3506</f>
        <v>556</v>
      </c>
      <c r="Q3506" s="221" t="s">
        <v>1414</v>
      </c>
      <c r="R3506" s="221">
        <f>M3506*P3506</f>
        <v>1668</v>
      </c>
    </row>
    <row r="3507" spans="5:18" ht="24.95" customHeight="1">
      <c r="E3507" s="221"/>
      <c r="F3507" s="221"/>
      <c r="G3507" s="221"/>
      <c r="H3507" s="221"/>
      <c r="I3507" s="221"/>
      <c r="J3507" s="221"/>
      <c r="K3507" s="229">
        <f>SUM(K3503:K3506)</f>
        <v>5325</v>
      </c>
      <c r="L3507" s="221"/>
      <c r="M3507" s="221"/>
      <c r="N3507" s="221"/>
      <c r="O3507" s="221"/>
      <c r="P3507" s="221"/>
      <c r="Q3507" s="221"/>
      <c r="R3507" s="229">
        <f>SUM(R3503:R3506)</f>
        <v>5325</v>
      </c>
    </row>
    <row r="3508" spans="5:18" ht="4.5" customHeight="1">
      <c r="E3508" s="221"/>
      <c r="F3508" s="221"/>
      <c r="G3508" s="221"/>
      <c r="H3508" s="221"/>
      <c r="I3508" s="221"/>
      <c r="J3508" s="221"/>
      <c r="K3508" s="221"/>
      <c r="L3508" s="221"/>
      <c r="M3508" s="221"/>
    </row>
    <row r="3509" spans="5:18" ht="4.5" customHeight="1">
      <c r="E3509" s="221"/>
      <c r="F3509" s="221"/>
      <c r="G3509" s="221"/>
      <c r="H3509" s="229" t="s">
        <v>2740</v>
      </c>
      <c r="I3509" s="221"/>
      <c r="J3509" s="221"/>
      <c r="K3509" s="221"/>
      <c r="L3509" s="221"/>
      <c r="M3509" s="221"/>
    </row>
    <row r="3510" spans="5:18" ht="29.25" customHeight="1">
      <c r="E3510" s="221"/>
      <c r="F3510" s="221"/>
      <c r="G3510" s="221"/>
      <c r="H3510" s="219" t="s">
        <v>2331</v>
      </c>
      <c r="I3510" s="221"/>
      <c r="J3510" s="221"/>
      <c r="K3510" s="221"/>
      <c r="L3510" s="221"/>
      <c r="M3510" s="221"/>
    </row>
    <row r="3511" spans="5:18" ht="18" customHeight="1">
      <c r="E3511" s="221"/>
      <c r="F3511" s="221"/>
      <c r="G3511" s="221"/>
      <c r="H3511" s="221"/>
      <c r="I3511" s="221"/>
      <c r="J3511" s="221"/>
      <c r="K3511" s="221"/>
      <c r="L3511" s="221"/>
      <c r="M3511" s="221"/>
    </row>
    <row r="3512" spans="5:18" ht="47.25" customHeight="1">
      <c r="E3512" s="221"/>
      <c r="F3512" s="221"/>
      <c r="G3512" s="221"/>
      <c r="H3512" s="220" t="s">
        <v>3954</v>
      </c>
      <c r="I3512" s="221"/>
      <c r="J3512" s="221"/>
      <c r="K3512" s="221"/>
      <c r="L3512" s="221"/>
      <c r="M3512" s="221"/>
    </row>
    <row r="3513" spans="5:18">
      <c r="E3513" s="221"/>
      <c r="F3513" s="221">
        <v>1</v>
      </c>
      <c r="G3513" s="221" t="s">
        <v>835</v>
      </c>
      <c r="H3513" s="221" t="s">
        <v>5039</v>
      </c>
      <c r="I3513" s="222">
        <v>128</v>
      </c>
      <c r="J3513" s="221" t="s">
        <v>835</v>
      </c>
      <c r="K3513" s="226">
        <f>F3513*I3513</f>
        <v>128</v>
      </c>
      <c r="L3513" s="221"/>
      <c r="M3513" s="221"/>
    </row>
    <row r="3514" spans="5:18">
      <c r="E3514" s="221"/>
      <c r="F3514" s="221"/>
      <c r="G3514" s="221"/>
      <c r="H3514" s="221" t="s">
        <v>2296</v>
      </c>
      <c r="I3514" s="221"/>
      <c r="J3514" s="221"/>
      <c r="K3514" s="226">
        <v>2</v>
      </c>
      <c r="L3514" s="221"/>
      <c r="M3514" s="221"/>
    </row>
    <row r="3515" spans="5:18">
      <c r="E3515" s="221"/>
      <c r="F3515" s="221"/>
      <c r="G3515" s="221"/>
      <c r="H3515" s="228" t="s">
        <v>3420</v>
      </c>
      <c r="I3515" s="221"/>
      <c r="J3515" s="221"/>
      <c r="K3515" s="228">
        <f>SUM(K3513:K3514)</f>
        <v>130</v>
      </c>
      <c r="L3515" s="221"/>
      <c r="M3515" s="221">
        <f>K3515-123</f>
        <v>7</v>
      </c>
    </row>
    <row r="3516" spans="5:18" ht="9.75" customHeight="1">
      <c r="E3516" s="221"/>
      <c r="F3516" s="221"/>
      <c r="G3516" s="221"/>
      <c r="H3516" s="221"/>
      <c r="I3516" s="221"/>
      <c r="J3516" s="221"/>
      <c r="K3516" s="221"/>
      <c r="L3516" s="221"/>
      <c r="M3516" s="221"/>
    </row>
    <row r="3517" spans="5:18">
      <c r="E3517" s="221"/>
      <c r="F3517" s="221"/>
      <c r="G3517" s="221"/>
      <c r="H3517" s="229" t="s">
        <v>3421</v>
      </c>
      <c r="I3517" s="221"/>
      <c r="J3517" s="221"/>
      <c r="K3517" s="221"/>
      <c r="L3517" s="221"/>
      <c r="M3517" s="221"/>
    </row>
    <row r="3518" spans="5:18">
      <c r="E3518" s="221"/>
      <c r="F3518" s="221"/>
      <c r="G3518" s="221"/>
      <c r="H3518" s="229" t="s">
        <v>3422</v>
      </c>
      <c r="I3518" s="221"/>
      <c r="J3518" s="221"/>
      <c r="K3518" s="221"/>
      <c r="L3518" s="221"/>
      <c r="M3518" s="221"/>
    </row>
    <row r="3519" spans="5:18">
      <c r="E3519" s="221"/>
      <c r="F3519" s="221"/>
      <c r="G3519" s="221"/>
      <c r="H3519" s="221"/>
      <c r="I3519" s="221"/>
      <c r="J3519" s="221"/>
      <c r="K3519" s="221"/>
      <c r="L3519" s="221"/>
      <c r="M3519" s="221"/>
    </row>
    <row r="3520" spans="5:18" ht="49.5" customHeight="1">
      <c r="E3520" s="221"/>
      <c r="F3520" s="221"/>
      <c r="G3520" s="221"/>
      <c r="H3520" s="242" t="s">
        <v>3423</v>
      </c>
      <c r="I3520" s="221"/>
      <c r="J3520" s="221"/>
      <c r="K3520" s="221"/>
      <c r="L3520" s="221"/>
      <c r="M3520" s="221"/>
    </row>
    <row r="3521" spans="5:13">
      <c r="E3521" s="221"/>
      <c r="F3521" s="221">
        <v>1</v>
      </c>
      <c r="G3521" s="221" t="s">
        <v>835</v>
      </c>
      <c r="H3521" s="221" t="s">
        <v>5040</v>
      </c>
      <c r="I3521" s="222">
        <v>51.4</v>
      </c>
      <c r="J3521" s="221" t="s">
        <v>359</v>
      </c>
      <c r="K3521" s="221">
        <f>F3522*I3521</f>
        <v>167.05</v>
      </c>
      <c r="L3521" s="221"/>
      <c r="M3521" s="221"/>
    </row>
    <row r="3522" spans="5:13">
      <c r="E3522" s="221"/>
      <c r="F3522" s="221">
        <v>3.25</v>
      </c>
      <c r="G3522" s="221" t="s">
        <v>3424</v>
      </c>
      <c r="H3522" s="221"/>
      <c r="I3522" s="221"/>
      <c r="J3522" s="221"/>
      <c r="K3522" s="221"/>
      <c r="L3522" s="221"/>
      <c r="M3522" s="221"/>
    </row>
    <row r="3523" spans="5:13">
      <c r="E3523" s="221"/>
      <c r="F3523" s="221"/>
      <c r="G3523" s="221"/>
      <c r="H3523" s="221" t="s">
        <v>2296</v>
      </c>
      <c r="I3523" s="221"/>
      <c r="J3523" s="221"/>
      <c r="K3523" s="221">
        <v>2.72</v>
      </c>
      <c r="L3523" s="221"/>
      <c r="M3523" s="221"/>
    </row>
    <row r="3524" spans="5:13">
      <c r="E3524" s="221"/>
      <c r="F3524" s="221"/>
      <c r="G3524" s="221"/>
      <c r="H3524" s="228" t="s">
        <v>2795</v>
      </c>
      <c r="I3524" s="221"/>
      <c r="J3524" s="221"/>
      <c r="K3524" s="229">
        <f>SUM(K3521:K3523)</f>
        <v>169.77</v>
      </c>
      <c r="L3524" s="221">
        <f>K3524-145</f>
        <v>24.77</v>
      </c>
      <c r="M3524" s="221"/>
    </row>
    <row r="3525" spans="5:13">
      <c r="E3525" s="221"/>
      <c r="F3525" s="221"/>
      <c r="G3525" s="221"/>
      <c r="H3525" s="228"/>
      <c r="I3525" s="221"/>
      <c r="J3525" s="221"/>
      <c r="K3525" s="229"/>
      <c r="L3525" s="221"/>
      <c r="M3525" s="221"/>
    </row>
    <row r="3526" spans="5:13">
      <c r="E3526" s="221"/>
      <c r="F3526" s="221"/>
      <c r="G3526" s="221"/>
      <c r="H3526" s="229" t="s">
        <v>3425</v>
      </c>
      <c r="I3526" s="221"/>
      <c r="J3526" s="221"/>
      <c r="K3526" s="221"/>
      <c r="L3526" s="221"/>
      <c r="M3526" s="221"/>
    </row>
    <row r="3527" spans="5:13">
      <c r="E3527" s="221"/>
      <c r="F3527" s="221"/>
      <c r="G3527" s="221"/>
      <c r="H3527" s="221"/>
      <c r="I3527" s="221"/>
      <c r="J3527" s="221"/>
      <c r="K3527" s="221"/>
      <c r="L3527" s="221"/>
      <c r="M3527" s="221"/>
    </row>
    <row r="3528" spans="5:13" ht="45" customHeight="1">
      <c r="E3528" s="221"/>
      <c r="F3528" s="221"/>
      <c r="G3528" s="221"/>
      <c r="H3528" s="219" t="s">
        <v>3426</v>
      </c>
      <c r="I3528" s="221"/>
      <c r="J3528" s="221"/>
      <c r="K3528" s="221"/>
      <c r="L3528" s="221"/>
      <c r="M3528" s="221"/>
    </row>
    <row r="3529" spans="5:13">
      <c r="E3529" s="221"/>
      <c r="F3529" s="221"/>
      <c r="G3529" s="221"/>
      <c r="H3529" s="221"/>
      <c r="I3529" s="221"/>
      <c r="J3529" s="221"/>
      <c r="K3529" s="221"/>
      <c r="L3529" s="221"/>
      <c r="M3529" s="221"/>
    </row>
    <row r="3530" spans="5:13" ht="135.75" customHeight="1">
      <c r="E3530" s="221"/>
      <c r="F3530" s="221"/>
      <c r="G3530" s="221"/>
      <c r="H3530" s="242" t="s">
        <v>2956</v>
      </c>
      <c r="I3530" s="221"/>
      <c r="J3530" s="221"/>
      <c r="K3530" s="221"/>
      <c r="L3530" s="221"/>
      <c r="M3530" s="221"/>
    </row>
    <row r="3531" spans="5:13">
      <c r="E3531" s="221"/>
      <c r="F3531" s="221"/>
      <c r="G3531" s="221"/>
      <c r="H3531" s="221"/>
      <c r="I3531" s="221"/>
      <c r="J3531" s="221"/>
      <c r="K3531" s="221"/>
      <c r="L3531" s="221"/>
      <c r="M3531" s="221"/>
    </row>
    <row r="3532" spans="5:13" ht="37.5" customHeight="1">
      <c r="E3532" s="221"/>
      <c r="F3532" s="221">
        <v>360</v>
      </c>
      <c r="G3532" s="221" t="s">
        <v>835</v>
      </c>
      <c r="H3532" s="220" t="s">
        <v>3953</v>
      </c>
      <c r="I3532" s="221">
        <f>I3494</f>
        <v>38.299999999999997</v>
      </c>
      <c r="J3532" s="221" t="s">
        <v>835</v>
      </c>
      <c r="K3532" s="221">
        <f>F3532*I3532</f>
        <v>13788</v>
      </c>
      <c r="L3532" s="221"/>
      <c r="M3532" s="221"/>
    </row>
    <row r="3533" spans="5:13" ht="15.75" customHeight="1">
      <c r="E3533" s="221"/>
      <c r="F3533" s="221">
        <v>4</v>
      </c>
      <c r="G3533" s="221" t="s">
        <v>1670</v>
      </c>
      <c r="H3533" s="221" t="s">
        <v>3381</v>
      </c>
      <c r="I3533" s="221">
        <f>I3495</f>
        <v>82.6</v>
      </c>
      <c r="J3533" s="221" t="s">
        <v>1670</v>
      </c>
      <c r="K3533" s="221">
        <f>F3533*I3533</f>
        <v>330.4</v>
      </c>
      <c r="L3533" s="221"/>
      <c r="M3533" s="221"/>
    </row>
    <row r="3534" spans="5:13">
      <c r="E3534" s="221"/>
      <c r="F3534" s="221">
        <v>360</v>
      </c>
      <c r="G3534" s="221" t="s">
        <v>1418</v>
      </c>
      <c r="H3534" s="221" t="s">
        <v>2735</v>
      </c>
      <c r="I3534" s="221">
        <f>I3496</f>
        <v>0.53</v>
      </c>
      <c r="J3534" s="221" t="s">
        <v>1418</v>
      </c>
      <c r="K3534" s="221">
        <f>F3534*I3534</f>
        <v>190.8</v>
      </c>
      <c r="L3534" s="221"/>
      <c r="M3534" s="221"/>
    </row>
    <row r="3535" spans="5:13">
      <c r="E3535" s="221"/>
      <c r="F3535" s="221">
        <v>1.5</v>
      </c>
      <c r="G3535" s="221" t="s">
        <v>1670</v>
      </c>
      <c r="H3535" s="221" t="s">
        <v>2736</v>
      </c>
      <c r="I3535" s="221">
        <f>I3497</f>
        <v>82.6</v>
      </c>
      <c r="J3535" s="221" t="s">
        <v>1670</v>
      </c>
      <c r="K3535" s="221">
        <f>F3535*I3535</f>
        <v>123.9</v>
      </c>
      <c r="L3535" s="221"/>
      <c r="M3535" s="221"/>
    </row>
    <row r="3536" spans="5:13">
      <c r="E3536" s="221"/>
      <c r="F3536" s="221"/>
      <c r="G3536" s="221"/>
      <c r="H3536" s="221" t="s">
        <v>4818</v>
      </c>
      <c r="I3536" s="221"/>
      <c r="J3536" s="221"/>
      <c r="K3536" s="221">
        <f>K3507*1.5</f>
        <v>7987.5</v>
      </c>
      <c r="L3536" s="221"/>
      <c r="M3536" s="221"/>
    </row>
    <row r="3537" spans="5:13">
      <c r="E3537" s="221"/>
      <c r="F3537" s="221"/>
      <c r="G3537" s="221"/>
      <c r="H3537" s="221" t="s">
        <v>2737</v>
      </c>
      <c r="I3537" s="221"/>
      <c r="J3537" s="221"/>
      <c r="K3537" s="221">
        <v>118</v>
      </c>
      <c r="L3537" s="221"/>
      <c r="M3537" s="221"/>
    </row>
    <row r="3538" spans="5:13">
      <c r="E3538" s="221"/>
      <c r="F3538" s="221"/>
      <c r="G3538" s="221"/>
      <c r="H3538" s="226" t="s">
        <v>2738</v>
      </c>
      <c r="I3538" s="221"/>
      <c r="J3538" s="221"/>
      <c r="K3538" s="221">
        <f>SUM(K3532:K3537)</f>
        <v>22538.6</v>
      </c>
      <c r="L3538" s="221"/>
      <c r="M3538" s="221"/>
    </row>
    <row r="3539" spans="5:13">
      <c r="E3539" s="221"/>
      <c r="F3539" s="221"/>
      <c r="G3539" s="221"/>
      <c r="H3539" s="228" t="s">
        <v>2419</v>
      </c>
      <c r="I3539" s="221"/>
      <c r="J3539" s="221"/>
      <c r="K3539" s="229">
        <f>K3538/90</f>
        <v>250.43</v>
      </c>
      <c r="L3539" s="221">
        <f>197*90</f>
        <v>17730</v>
      </c>
      <c r="M3539" s="221"/>
    </row>
    <row r="3540" spans="5:13" ht="20.25" customHeight="1">
      <c r="E3540" s="221"/>
      <c r="F3540" s="221"/>
      <c r="G3540" s="221"/>
      <c r="H3540" s="221"/>
      <c r="I3540" s="221"/>
      <c r="J3540" s="221"/>
      <c r="K3540" s="221"/>
      <c r="L3540" s="221">
        <f>L3539-K3538</f>
        <v>-4808.6000000000004</v>
      </c>
      <c r="M3540" s="221"/>
    </row>
    <row r="3541" spans="5:13">
      <c r="E3541" s="221"/>
      <c r="F3541" s="221"/>
      <c r="G3541" s="221"/>
      <c r="H3541" s="229" t="s">
        <v>2958</v>
      </c>
      <c r="I3541" s="221"/>
      <c r="J3541" s="221"/>
      <c r="K3541" s="221"/>
      <c r="L3541" s="221"/>
      <c r="M3541" s="221"/>
    </row>
    <row r="3542" spans="5:13" ht="32.25" customHeight="1">
      <c r="E3542" s="221"/>
      <c r="F3542" s="221"/>
      <c r="G3542" s="221"/>
      <c r="H3542" s="219" t="s">
        <v>2401</v>
      </c>
      <c r="I3542" s="221"/>
      <c r="J3542" s="221"/>
      <c r="K3542" s="221"/>
      <c r="L3542" s="221"/>
      <c r="M3542" s="221"/>
    </row>
    <row r="3543" spans="5:13">
      <c r="E3543" s="221"/>
      <c r="F3543" s="221"/>
      <c r="G3543" s="221"/>
      <c r="H3543" s="221"/>
      <c r="I3543" s="221"/>
      <c r="J3543" s="221"/>
      <c r="K3543" s="221"/>
      <c r="L3543" s="221"/>
      <c r="M3543" s="221"/>
    </row>
    <row r="3544" spans="5:13" ht="47.25" customHeight="1">
      <c r="E3544" s="221"/>
      <c r="F3544" s="221"/>
      <c r="G3544" s="221"/>
      <c r="H3544" s="242" t="s">
        <v>2332</v>
      </c>
      <c r="I3544" s="221"/>
      <c r="J3544" s="221"/>
      <c r="K3544" s="221"/>
      <c r="L3544" s="221"/>
      <c r="M3544" s="221"/>
    </row>
    <row r="3545" spans="5:13">
      <c r="E3545" s="221"/>
      <c r="F3545" s="221">
        <v>1</v>
      </c>
      <c r="G3545" s="221" t="s">
        <v>835</v>
      </c>
      <c r="H3545" s="221" t="s">
        <v>5041</v>
      </c>
      <c r="I3545" s="260">
        <v>163</v>
      </c>
      <c r="J3545" s="221" t="s">
        <v>835</v>
      </c>
      <c r="K3545" s="226">
        <f>F3545*I3545</f>
        <v>163</v>
      </c>
      <c r="L3545" s="221"/>
      <c r="M3545" s="221"/>
    </row>
    <row r="3546" spans="5:13">
      <c r="E3546" s="221"/>
      <c r="F3546" s="221"/>
      <c r="G3546" s="221"/>
      <c r="H3546" s="221" t="s">
        <v>2296</v>
      </c>
      <c r="I3546" s="221"/>
      <c r="J3546" s="221"/>
      <c r="K3546" s="226">
        <v>2</v>
      </c>
      <c r="L3546" s="221"/>
      <c r="M3546" s="221"/>
    </row>
    <row r="3547" spans="5:13">
      <c r="E3547" s="221"/>
      <c r="F3547" s="221"/>
      <c r="G3547" s="221"/>
      <c r="H3547" s="228" t="s">
        <v>3420</v>
      </c>
      <c r="I3547" s="221"/>
      <c r="J3547" s="221"/>
      <c r="K3547" s="228">
        <f>SUM(K3545:K3546)</f>
        <v>165</v>
      </c>
      <c r="L3547" s="221"/>
      <c r="M3547" s="221">
        <f>K3547-154</f>
        <v>11</v>
      </c>
    </row>
    <row r="3548" spans="5:13" ht="7.5" customHeight="1">
      <c r="E3548" s="221"/>
      <c r="F3548" s="221"/>
      <c r="G3548" s="221"/>
      <c r="H3548" s="221"/>
      <c r="I3548" s="221"/>
      <c r="J3548" s="221"/>
      <c r="K3548" s="221"/>
      <c r="L3548" s="221"/>
      <c r="M3548" s="221"/>
    </row>
    <row r="3549" spans="5:13">
      <c r="E3549" s="221"/>
      <c r="F3549" s="221"/>
      <c r="G3549" s="221"/>
      <c r="H3549" s="229" t="s">
        <v>2333</v>
      </c>
      <c r="I3549" s="221"/>
      <c r="J3549" s="221"/>
      <c r="K3549" s="221"/>
      <c r="L3549" s="221"/>
      <c r="M3549" s="221"/>
    </row>
    <row r="3550" spans="5:13">
      <c r="E3550" s="221"/>
      <c r="F3550" s="221"/>
      <c r="G3550" s="221"/>
      <c r="H3550" s="229" t="s">
        <v>3422</v>
      </c>
      <c r="I3550" s="221"/>
      <c r="J3550" s="221"/>
      <c r="K3550" s="221"/>
      <c r="L3550" s="221"/>
      <c r="M3550" s="221"/>
    </row>
    <row r="3551" spans="5:13">
      <c r="E3551" s="221"/>
      <c r="F3551" s="221"/>
      <c r="G3551" s="221"/>
      <c r="H3551" s="221"/>
      <c r="I3551" s="221"/>
      <c r="J3551" s="221"/>
      <c r="K3551" s="221"/>
      <c r="L3551" s="221"/>
      <c r="M3551" s="221"/>
    </row>
    <row r="3552" spans="5:13" ht="47.25">
      <c r="E3552" s="221"/>
      <c r="F3552" s="221"/>
      <c r="G3552" s="221"/>
      <c r="H3552" s="242" t="s">
        <v>3423</v>
      </c>
      <c r="I3552" s="221"/>
      <c r="J3552" s="221"/>
      <c r="K3552" s="221"/>
      <c r="L3552" s="221"/>
      <c r="M3552" s="221"/>
    </row>
    <row r="3553" spans="5:15">
      <c r="E3553" s="221"/>
      <c r="F3553" s="221">
        <v>1</v>
      </c>
      <c r="G3553" s="221" t="s">
        <v>835</v>
      </c>
      <c r="H3553" s="221" t="str">
        <f>H3521</f>
        <v>40 x 40 x 6 mm MS angle (P-126  part -G)</v>
      </c>
      <c r="I3553" s="221">
        <f>I3521</f>
        <v>51.4</v>
      </c>
      <c r="J3553" s="221" t="s">
        <v>359</v>
      </c>
      <c r="K3553" s="221">
        <f>F3554*I3553</f>
        <v>167.05</v>
      </c>
      <c r="L3553" s="221"/>
      <c r="M3553" s="221"/>
    </row>
    <row r="3554" spans="5:15">
      <c r="E3554" s="221"/>
      <c r="F3554" s="221">
        <v>3.25</v>
      </c>
      <c r="G3554" s="221" t="s">
        <v>3424</v>
      </c>
      <c r="H3554" s="221"/>
      <c r="I3554" s="221"/>
      <c r="J3554" s="221"/>
      <c r="K3554" s="221"/>
      <c r="L3554" s="221"/>
      <c r="M3554" s="221"/>
    </row>
    <row r="3555" spans="5:15">
      <c r="E3555" s="221"/>
      <c r="F3555" s="221"/>
      <c r="G3555" s="221"/>
      <c r="H3555" s="221" t="s">
        <v>2296</v>
      </c>
      <c r="I3555" s="221"/>
      <c r="J3555" s="221"/>
      <c r="K3555" s="221">
        <v>2.72</v>
      </c>
      <c r="L3555" s="221"/>
      <c r="M3555" s="221"/>
    </row>
    <row r="3556" spans="5:15">
      <c r="E3556" s="221"/>
      <c r="F3556" s="221"/>
      <c r="G3556" s="221"/>
      <c r="H3556" s="228" t="s">
        <v>2795</v>
      </c>
      <c r="I3556" s="221"/>
      <c r="J3556" s="221"/>
      <c r="K3556" s="229">
        <f>SUM(K3553:K3555)</f>
        <v>169.77</v>
      </c>
      <c r="L3556" s="221">
        <f>K3556-146</f>
        <v>23.77</v>
      </c>
      <c r="M3556" s="221">
        <f>147.6-148.6</f>
        <v>-1</v>
      </c>
    </row>
    <row r="3557" spans="5:15">
      <c r="E3557" s="221"/>
      <c r="F3557" s="221"/>
      <c r="G3557" s="221"/>
      <c r="H3557" s="221"/>
      <c r="I3557" s="221"/>
      <c r="J3557" s="221"/>
      <c r="K3557" s="221"/>
      <c r="L3557" s="221"/>
      <c r="M3557" s="221"/>
    </row>
    <row r="3558" spans="5:15">
      <c r="E3558" s="221"/>
      <c r="F3558" s="221"/>
      <c r="G3558" s="221"/>
      <c r="H3558" s="229" t="s">
        <v>2334</v>
      </c>
      <c r="I3558" s="221"/>
      <c r="J3558" s="221"/>
      <c r="K3558" s="221"/>
      <c r="L3558" s="221"/>
      <c r="M3558" s="221"/>
    </row>
    <row r="3559" spans="5:15">
      <c r="E3559" s="221"/>
      <c r="F3559" s="221"/>
      <c r="G3559" s="221"/>
      <c r="H3559" s="221"/>
      <c r="I3559" s="221"/>
      <c r="J3559" s="221"/>
      <c r="K3559" s="221"/>
      <c r="L3559" s="221"/>
      <c r="M3559" s="221"/>
    </row>
    <row r="3560" spans="5:15" ht="80.25" customHeight="1">
      <c r="E3560" s="221"/>
      <c r="F3560" s="221"/>
      <c r="G3560" s="221"/>
      <c r="H3560" s="242" t="s">
        <v>3437</v>
      </c>
      <c r="I3560" s="221"/>
      <c r="J3560" s="221"/>
      <c r="K3560" s="221"/>
      <c r="L3560" s="221"/>
      <c r="M3560" s="221"/>
    </row>
    <row r="3561" spans="5:15" ht="15.75" customHeight="1">
      <c r="E3561" s="221"/>
      <c r="F3561" s="221">
        <v>30.42</v>
      </c>
      <c r="G3561" s="221" t="s">
        <v>2176</v>
      </c>
      <c r="H3561" s="221" t="s">
        <v>5042</v>
      </c>
      <c r="I3561" s="269">
        <f>96.6+96.6+(33.6/3)</f>
        <v>204.4</v>
      </c>
      <c r="J3561" s="221" t="s">
        <v>2176</v>
      </c>
      <c r="K3561" s="221">
        <f>F3561*I3561</f>
        <v>6217.85</v>
      </c>
      <c r="L3561" s="221">
        <f>61.1*2</f>
        <v>122.2</v>
      </c>
      <c r="M3561" s="221">
        <f>21.4/3</f>
        <v>7.13</v>
      </c>
      <c r="N3561" s="87">
        <f>73.1+73.1</f>
        <v>146.19999999999999</v>
      </c>
      <c r="O3561" s="87">
        <f>M3561+N3561</f>
        <v>153.33000000000001</v>
      </c>
    </row>
    <row r="3562" spans="5:15" ht="15.75" customHeight="1">
      <c r="E3562" s="221"/>
      <c r="F3562" s="221">
        <v>6.1</v>
      </c>
      <c r="G3562" s="221" t="s">
        <v>2176</v>
      </c>
      <c r="H3562" s="1" t="s">
        <v>4366</v>
      </c>
      <c r="I3562" s="221">
        <f>Data!Y14</f>
        <v>1280</v>
      </c>
      <c r="J3562" s="221" t="s">
        <v>2176</v>
      </c>
      <c r="K3562" s="221">
        <f>F3562*I3562</f>
        <v>7808</v>
      </c>
      <c r="L3562" s="221">
        <f>L3561+M3561</f>
        <v>129.33000000000001</v>
      </c>
      <c r="M3562" s="221"/>
      <c r="N3562" s="87">
        <f>25.5/3</f>
        <v>8.5</v>
      </c>
    </row>
    <row r="3563" spans="5:15" ht="15.75" customHeight="1">
      <c r="E3563" s="221"/>
      <c r="F3563" s="221">
        <v>750</v>
      </c>
      <c r="G3563" s="221" t="s">
        <v>1414</v>
      </c>
      <c r="H3563" s="221" t="s">
        <v>4780</v>
      </c>
      <c r="I3563" s="221">
        <f>Data!Y16</f>
        <v>5570</v>
      </c>
      <c r="J3563" s="221" t="s">
        <v>1503</v>
      </c>
      <c r="K3563" s="221">
        <f>F3563*I3563/1000</f>
        <v>4177.5</v>
      </c>
      <c r="L3563" s="221"/>
      <c r="M3563" s="221"/>
      <c r="N3563" s="87">
        <f>SUM(N3561:N3562)</f>
        <v>154.69999999999999</v>
      </c>
    </row>
    <row r="3564" spans="5:15" ht="15.75" customHeight="1">
      <c r="E3564" s="221"/>
      <c r="F3564" s="221"/>
      <c r="G3564" s="221"/>
      <c r="H3564" s="221" t="s">
        <v>924</v>
      </c>
      <c r="I3564" s="221"/>
      <c r="J3564" s="221"/>
      <c r="K3564" s="221">
        <f>K3573</f>
        <v>3753</v>
      </c>
      <c r="L3564" s="221"/>
      <c r="M3564" s="221"/>
    </row>
    <row r="3565" spans="5:15" ht="15.75" customHeight="1">
      <c r="E3565" s="221"/>
      <c r="F3565" s="221"/>
      <c r="G3565" s="221"/>
      <c r="H3565" s="221" t="s">
        <v>2296</v>
      </c>
      <c r="I3565" s="221"/>
      <c r="J3565" s="221"/>
      <c r="K3565" s="221">
        <f>138-2.7</f>
        <v>135.30000000000001</v>
      </c>
      <c r="L3565" s="221">
        <f>112.2-K3565</f>
        <v>-23.1</v>
      </c>
      <c r="M3565" s="221"/>
    </row>
    <row r="3566" spans="5:15" ht="15.75" customHeight="1">
      <c r="E3566" s="221"/>
      <c r="F3566" s="221"/>
      <c r="G3566" s="221"/>
      <c r="H3566" s="226" t="s">
        <v>2738</v>
      </c>
      <c r="I3566" s="221"/>
      <c r="J3566" s="221"/>
      <c r="K3566" s="221">
        <f>SUM(K3561:K3565)</f>
        <v>22091.65</v>
      </c>
      <c r="L3566" s="221">
        <f>K3566-14460</f>
        <v>7631.65</v>
      </c>
      <c r="M3566" s="221"/>
    </row>
    <row r="3567" spans="5:15" ht="37.5" customHeight="1">
      <c r="E3567" s="221"/>
      <c r="F3567" s="221"/>
      <c r="G3567" s="221"/>
      <c r="H3567" s="228" t="s">
        <v>2419</v>
      </c>
      <c r="I3567" s="221"/>
      <c r="J3567" s="221"/>
      <c r="K3567" s="229">
        <f>K3566/90</f>
        <v>245.46</v>
      </c>
      <c r="L3567" s="221"/>
      <c r="M3567" s="221">
        <f>128*90</f>
        <v>11520</v>
      </c>
    </row>
    <row r="3568" spans="5:15" ht="25.5" customHeight="1">
      <c r="E3568" s="221"/>
      <c r="F3568" s="221"/>
      <c r="G3568" s="221"/>
      <c r="H3568" s="221"/>
      <c r="I3568" s="221"/>
      <c r="J3568" s="221"/>
      <c r="K3568" s="221"/>
      <c r="L3568" s="221"/>
      <c r="M3568" s="221">
        <f>M3567-K3566</f>
        <v>-10571.65</v>
      </c>
    </row>
    <row r="3569" spans="5:13" ht="15.75" customHeight="1">
      <c r="E3569" s="221"/>
      <c r="F3569" s="221"/>
      <c r="G3569" s="221"/>
      <c r="H3569" s="227" t="s">
        <v>142</v>
      </c>
      <c r="K3569" s="221"/>
      <c r="L3569" s="221"/>
      <c r="M3569" s="221"/>
    </row>
    <row r="3570" spans="5:13" ht="15.75" customHeight="1">
      <c r="E3570" s="221"/>
      <c r="F3570" s="221">
        <v>1</v>
      </c>
      <c r="G3570" s="221" t="s">
        <v>1414</v>
      </c>
      <c r="H3570" s="230" t="s">
        <v>2739</v>
      </c>
      <c r="I3570" s="88">
        <f>I3503</f>
        <v>817</v>
      </c>
      <c r="J3570" s="221" t="s">
        <v>1414</v>
      </c>
      <c r="K3570" s="221">
        <f>F3570*I3570</f>
        <v>817</v>
      </c>
      <c r="L3570" s="221"/>
      <c r="M3570" s="221"/>
    </row>
    <row r="3571" spans="5:13" ht="15.75" customHeight="1">
      <c r="E3571" s="221"/>
      <c r="F3571" s="221">
        <v>1</v>
      </c>
      <c r="G3571" s="221" t="s">
        <v>1414</v>
      </c>
      <c r="H3571" s="221" t="s">
        <v>2800</v>
      </c>
      <c r="I3571" s="88">
        <f>I3504</f>
        <v>712</v>
      </c>
      <c r="J3571" s="221" t="s">
        <v>1414</v>
      </c>
      <c r="K3571" s="221">
        <f>F3571*I3571</f>
        <v>712</v>
      </c>
      <c r="L3571" s="221"/>
      <c r="M3571" s="221"/>
    </row>
    <row r="3572" spans="5:13" ht="15.75" customHeight="1">
      <c r="E3572" s="221"/>
      <c r="F3572" s="221">
        <v>4</v>
      </c>
      <c r="G3572" s="221" t="s">
        <v>1414</v>
      </c>
      <c r="H3572" s="221" t="s">
        <v>2356</v>
      </c>
      <c r="I3572" s="221">
        <f>I3506</f>
        <v>556</v>
      </c>
      <c r="J3572" s="221" t="s">
        <v>1414</v>
      </c>
      <c r="K3572" s="221">
        <f>F3572*I3572</f>
        <v>2224</v>
      </c>
      <c r="L3572" s="221"/>
      <c r="M3572" s="221"/>
    </row>
    <row r="3573" spans="5:13" ht="15.75" customHeight="1">
      <c r="E3573" s="221"/>
      <c r="F3573" s="221"/>
      <c r="G3573" s="221"/>
      <c r="H3573" s="221"/>
      <c r="I3573" s="221"/>
      <c r="J3573" s="221"/>
      <c r="K3573" s="229">
        <f>SUM(K3570:K3572)</f>
        <v>3753</v>
      </c>
      <c r="L3573" s="221"/>
      <c r="M3573" s="221"/>
    </row>
    <row r="3574" spans="5:13">
      <c r="E3574" s="221"/>
      <c r="F3574" s="221"/>
      <c r="G3574" s="221"/>
      <c r="H3574" s="229" t="s">
        <v>2402</v>
      </c>
      <c r="I3574" s="221"/>
      <c r="J3574" s="221"/>
      <c r="K3574" s="221"/>
      <c r="L3574" s="221"/>
      <c r="M3574" s="221"/>
    </row>
    <row r="3575" spans="5:13">
      <c r="E3575" s="221"/>
      <c r="F3575" s="221"/>
      <c r="G3575" s="221"/>
      <c r="H3575" s="221"/>
      <c r="I3575" s="221"/>
      <c r="J3575" s="221"/>
      <c r="K3575" s="221"/>
      <c r="L3575" s="221"/>
      <c r="M3575" s="221"/>
    </row>
    <row r="3576" spans="5:13" ht="29.25" customHeight="1">
      <c r="E3576" s="221"/>
      <c r="F3576" s="221"/>
      <c r="G3576" s="221"/>
      <c r="H3576" s="229" t="s">
        <v>3363</v>
      </c>
      <c r="I3576" s="221"/>
      <c r="J3576" s="221"/>
      <c r="K3576" s="221"/>
      <c r="L3576" s="221"/>
      <c r="M3576" s="221"/>
    </row>
    <row r="3577" spans="5:13" ht="75" customHeight="1">
      <c r="E3577" s="221"/>
      <c r="F3577" s="221"/>
      <c r="G3577" s="221"/>
      <c r="H3577" s="242" t="s">
        <v>2783</v>
      </c>
      <c r="I3577" s="221"/>
      <c r="J3577" s="221"/>
      <c r="K3577" s="221"/>
      <c r="L3577" s="221"/>
      <c r="M3577" s="221"/>
    </row>
    <row r="3578" spans="5:13" ht="26.25" customHeight="1">
      <c r="E3578" s="221"/>
      <c r="F3578" s="221">
        <v>1</v>
      </c>
      <c r="G3578" s="221" t="s">
        <v>2670</v>
      </c>
      <c r="H3578" s="221" t="s">
        <v>5043</v>
      </c>
      <c r="I3578" s="222">
        <v>59.6</v>
      </c>
      <c r="J3578" s="221" t="s">
        <v>2670</v>
      </c>
      <c r="K3578" s="221">
        <f>F3578*I3578</f>
        <v>59.6</v>
      </c>
      <c r="L3578" s="221"/>
      <c r="M3578" s="221"/>
    </row>
    <row r="3579" spans="5:13" ht="26.25" customHeight="1">
      <c r="E3579" s="221"/>
      <c r="F3579" s="221">
        <v>300</v>
      </c>
      <c r="G3579" s="221" t="s">
        <v>1414</v>
      </c>
      <c r="H3579" s="221" t="s">
        <v>5044</v>
      </c>
      <c r="I3579" s="222">
        <v>68.8</v>
      </c>
      <c r="J3579" s="221" t="s">
        <v>2670</v>
      </c>
      <c r="K3579" s="221">
        <f>F3579*(I3579/144)</f>
        <v>143.33000000000001</v>
      </c>
      <c r="L3579" s="221"/>
      <c r="M3579" s="221"/>
    </row>
    <row r="3580" spans="5:13" ht="26.25" customHeight="1">
      <c r="E3580" s="221"/>
      <c r="F3580" s="221">
        <v>300</v>
      </c>
      <c r="G3580" s="221" t="s">
        <v>1414</v>
      </c>
      <c r="H3580" s="221" t="s">
        <v>5045</v>
      </c>
      <c r="I3580" s="222">
        <v>287</v>
      </c>
      <c r="J3580" s="221" t="s">
        <v>1503</v>
      </c>
      <c r="K3580" s="221">
        <f>F3580*(I3580/1000)</f>
        <v>86.1</v>
      </c>
      <c r="L3580" s="221"/>
      <c r="M3580" s="221"/>
    </row>
    <row r="3581" spans="5:13" ht="26.25" customHeight="1">
      <c r="E3581" s="221"/>
      <c r="F3581" s="221"/>
      <c r="G3581" s="221"/>
      <c r="H3581" s="221" t="s">
        <v>2784</v>
      </c>
      <c r="I3581" s="221"/>
      <c r="J3581" s="221"/>
      <c r="K3581" s="221">
        <v>6.72</v>
      </c>
      <c r="L3581" s="221"/>
      <c r="M3581" s="221"/>
    </row>
    <row r="3582" spans="5:13" ht="26.25" customHeight="1">
      <c r="E3582" s="221"/>
      <c r="F3582" s="221"/>
      <c r="G3582" s="221"/>
      <c r="H3582" s="221" t="s">
        <v>924</v>
      </c>
      <c r="I3582" s="221"/>
      <c r="J3582" s="221"/>
      <c r="K3582" s="221">
        <f>K3592</f>
        <v>13266</v>
      </c>
      <c r="L3582" s="221"/>
      <c r="M3582" s="221"/>
    </row>
    <row r="3583" spans="5:13" ht="26.25" customHeight="1">
      <c r="E3583" s="221"/>
      <c r="F3583" s="221"/>
      <c r="G3583" s="221"/>
      <c r="H3583" s="226" t="s">
        <v>2785</v>
      </c>
      <c r="I3583" s="221"/>
      <c r="J3583" s="221"/>
      <c r="K3583" s="227">
        <f>SUM(K3578:K3582)</f>
        <v>13561.75</v>
      </c>
      <c r="L3583" s="221"/>
      <c r="M3583" s="221"/>
    </row>
    <row r="3584" spans="5:13" ht="26.25" customHeight="1">
      <c r="E3584" s="221"/>
      <c r="F3584" s="221"/>
      <c r="G3584" s="221"/>
      <c r="H3584" s="228" t="s">
        <v>2795</v>
      </c>
      <c r="I3584" s="221"/>
      <c r="J3584" s="221"/>
      <c r="K3584" s="229">
        <f>K3583/90</f>
        <v>150.69</v>
      </c>
      <c r="L3584" s="221">
        <f>100*90</f>
        <v>9000</v>
      </c>
      <c r="M3584" s="221">
        <f>L3584-K3583</f>
        <v>-4561.75</v>
      </c>
    </row>
    <row r="3585" spans="5:13">
      <c r="E3585" s="221"/>
      <c r="F3585" s="221"/>
      <c r="G3585" s="221"/>
      <c r="H3585" s="221"/>
      <c r="I3585" s="221"/>
      <c r="J3585" s="221"/>
      <c r="K3585" s="221"/>
      <c r="L3585" s="221"/>
      <c r="M3585" s="221"/>
    </row>
    <row r="3586" spans="5:13" ht="24.95" customHeight="1">
      <c r="E3586" s="221"/>
      <c r="F3586" s="221"/>
      <c r="G3586" s="221"/>
      <c r="H3586" s="227" t="s">
        <v>2677</v>
      </c>
      <c r="I3586" s="221"/>
      <c r="J3586" s="221"/>
      <c r="K3586" s="221"/>
      <c r="L3586" s="221"/>
      <c r="M3586" s="221"/>
    </row>
    <row r="3587" spans="5:13" ht="24.95" customHeight="1">
      <c r="E3587" s="221"/>
      <c r="F3587" s="221">
        <v>1</v>
      </c>
      <c r="G3587" s="221" t="s">
        <v>1414</v>
      </c>
      <c r="H3587" s="230" t="s">
        <v>2786</v>
      </c>
      <c r="I3587" s="221">
        <f>I3354</f>
        <v>861</v>
      </c>
      <c r="J3587" s="221" t="s">
        <v>1414</v>
      </c>
      <c r="K3587" s="221">
        <f>F3587*I3587</f>
        <v>861</v>
      </c>
      <c r="L3587" s="221"/>
      <c r="M3587" s="221"/>
    </row>
    <row r="3588" spans="5:13" ht="24.95" customHeight="1">
      <c r="E3588" s="221"/>
      <c r="F3588" s="221">
        <v>2</v>
      </c>
      <c r="G3588" s="221" t="s">
        <v>1414</v>
      </c>
      <c r="H3588" s="221" t="s">
        <v>2800</v>
      </c>
      <c r="I3588" s="221">
        <f>I3504</f>
        <v>712</v>
      </c>
      <c r="J3588" s="221" t="s">
        <v>1414</v>
      </c>
      <c r="K3588" s="221">
        <f>F3588*I3588</f>
        <v>1424</v>
      </c>
      <c r="L3588" s="221"/>
      <c r="M3588" s="221"/>
    </row>
    <row r="3589" spans="5:13" ht="24.95" customHeight="1">
      <c r="E3589" s="221"/>
      <c r="F3589" s="221">
        <v>3</v>
      </c>
      <c r="G3589" s="221" t="s">
        <v>1414</v>
      </c>
      <c r="H3589" s="221" t="s">
        <v>2619</v>
      </c>
      <c r="I3589" s="221">
        <f>I3505</f>
        <v>708</v>
      </c>
      <c r="J3589" s="221" t="s">
        <v>1414</v>
      </c>
      <c r="K3589" s="221">
        <f>F3589*I3589</f>
        <v>2124</v>
      </c>
      <c r="L3589" s="221"/>
      <c r="M3589" s="221"/>
    </row>
    <row r="3590" spans="5:13" ht="24.95" customHeight="1">
      <c r="E3590" s="221"/>
      <c r="F3590" s="221">
        <v>4</v>
      </c>
      <c r="G3590" s="221" t="s">
        <v>1414</v>
      </c>
      <c r="H3590" s="221" t="s">
        <v>2356</v>
      </c>
      <c r="I3590" s="221">
        <f>I3506</f>
        <v>556</v>
      </c>
      <c r="J3590" s="221" t="s">
        <v>1414</v>
      </c>
      <c r="K3590" s="221">
        <f>F3590*I3590</f>
        <v>2224</v>
      </c>
      <c r="L3590" s="221"/>
      <c r="M3590" s="221"/>
    </row>
    <row r="3591" spans="5:13" ht="24.95" customHeight="1">
      <c r="E3591" s="221"/>
      <c r="F3591" s="221"/>
      <c r="G3591" s="221"/>
      <c r="H3591" s="226" t="s">
        <v>2787</v>
      </c>
      <c r="I3591" s="221"/>
      <c r="J3591" s="221"/>
      <c r="K3591" s="221">
        <f>SUM(K3587:K3590)</f>
        <v>6633</v>
      </c>
      <c r="L3591" s="221"/>
      <c r="M3591" s="221"/>
    </row>
    <row r="3592" spans="5:13" ht="24.95" customHeight="1">
      <c r="E3592" s="221"/>
      <c r="F3592" s="221"/>
      <c r="G3592" s="221"/>
      <c r="H3592" s="228" t="s">
        <v>2788</v>
      </c>
      <c r="I3592" s="221"/>
      <c r="J3592" s="221"/>
      <c r="K3592" s="229">
        <f>K3591*2</f>
        <v>13266</v>
      </c>
      <c r="L3592" s="221"/>
      <c r="M3592" s="221"/>
    </row>
    <row r="3593" spans="5:13">
      <c r="E3593" s="221"/>
      <c r="F3593" s="221"/>
      <c r="G3593" s="221"/>
      <c r="H3593" s="221"/>
      <c r="I3593" s="221"/>
      <c r="J3593" s="221"/>
      <c r="K3593" s="221"/>
      <c r="L3593" s="221"/>
      <c r="M3593" s="221"/>
    </row>
    <row r="3594" spans="5:13" ht="21" customHeight="1">
      <c r="E3594" s="221"/>
      <c r="F3594" s="221"/>
      <c r="G3594" s="221"/>
      <c r="H3594" s="229" t="s">
        <v>2789</v>
      </c>
      <c r="I3594" s="221"/>
      <c r="J3594" s="221"/>
      <c r="K3594" s="221"/>
      <c r="L3594" s="221"/>
      <c r="M3594" s="221"/>
    </row>
    <row r="3595" spans="5:13">
      <c r="E3595" s="221"/>
      <c r="F3595" s="221"/>
      <c r="G3595" s="221"/>
      <c r="H3595" s="221"/>
      <c r="I3595" s="221"/>
      <c r="J3595" s="221"/>
      <c r="K3595" s="221"/>
      <c r="L3595" s="221"/>
      <c r="M3595" s="221"/>
    </row>
    <row r="3596" spans="5:13" ht="27" customHeight="1">
      <c r="E3596" s="221"/>
      <c r="F3596" s="221"/>
      <c r="G3596" s="221"/>
      <c r="H3596" s="229" t="s">
        <v>2790</v>
      </c>
      <c r="I3596" s="221"/>
      <c r="J3596" s="221"/>
      <c r="K3596" s="221"/>
      <c r="L3596" s="221"/>
      <c r="M3596" s="221"/>
    </row>
    <row r="3597" spans="5:13">
      <c r="E3597" s="221"/>
      <c r="F3597" s="221"/>
      <c r="G3597" s="221"/>
      <c r="H3597" s="221"/>
      <c r="I3597" s="221"/>
      <c r="J3597" s="221"/>
      <c r="K3597" s="221"/>
      <c r="L3597" s="221"/>
      <c r="M3597" s="221"/>
    </row>
    <row r="3598" spans="5:13" ht="182.25" customHeight="1">
      <c r="E3598" s="221"/>
      <c r="F3598" s="221"/>
      <c r="G3598" s="221"/>
      <c r="H3598" s="242" t="s">
        <v>3151</v>
      </c>
      <c r="I3598" s="221"/>
      <c r="J3598" s="221"/>
      <c r="K3598" s="221"/>
      <c r="L3598" s="221"/>
      <c r="M3598" s="221"/>
    </row>
    <row r="3599" spans="5:13" ht="26.25" customHeight="1">
      <c r="E3599" s="221"/>
      <c r="F3599" s="221"/>
      <c r="G3599" s="221"/>
      <c r="H3599" s="229" t="s">
        <v>3141</v>
      </c>
      <c r="I3599" s="221"/>
      <c r="J3599" s="221"/>
      <c r="K3599" s="221"/>
      <c r="L3599" s="221"/>
      <c r="M3599" s="221"/>
    </row>
    <row r="3600" spans="5:13">
      <c r="E3600" s="221"/>
      <c r="F3600" s="221"/>
      <c r="G3600" s="221"/>
      <c r="H3600" s="221"/>
      <c r="I3600" s="221"/>
      <c r="J3600" s="221"/>
      <c r="K3600" s="221"/>
      <c r="L3600" s="221"/>
      <c r="M3600" s="221"/>
    </row>
    <row r="3601" spans="5:18" ht="225" customHeight="1">
      <c r="E3601" s="221"/>
      <c r="F3601" s="221"/>
      <c r="G3601" s="221"/>
      <c r="H3601" s="242" t="s">
        <v>2849</v>
      </c>
      <c r="I3601" s="221"/>
      <c r="J3601" s="221"/>
      <c r="K3601" s="221"/>
      <c r="L3601" s="221"/>
      <c r="M3601" s="221"/>
    </row>
    <row r="3602" spans="5:18" ht="22.5" customHeight="1">
      <c r="E3602" s="221"/>
      <c r="F3602" s="221"/>
      <c r="G3602" s="221"/>
      <c r="H3602" s="227" t="s">
        <v>2850</v>
      </c>
      <c r="I3602" s="227" t="s">
        <v>2851</v>
      </c>
      <c r="J3602" s="227" t="s">
        <v>2852</v>
      </c>
      <c r="K3602" s="227" t="s">
        <v>2853</v>
      </c>
      <c r="L3602" s="227" t="s">
        <v>2854</v>
      </c>
      <c r="M3602" s="221"/>
    </row>
    <row r="3603" spans="5:18" ht="22.5" customHeight="1">
      <c r="E3603" s="221"/>
      <c r="F3603" s="221"/>
      <c r="G3603" s="221"/>
      <c r="H3603" s="221" t="s">
        <v>4409</v>
      </c>
      <c r="I3603" s="222">
        <v>3110</v>
      </c>
      <c r="J3603" s="303">
        <v>2970</v>
      </c>
      <c r="K3603" s="222">
        <v>2983</v>
      </c>
      <c r="L3603" s="222">
        <v>3025</v>
      </c>
      <c r="M3603" s="221"/>
    </row>
    <row r="3604" spans="5:18" ht="22.5" customHeight="1">
      <c r="E3604" s="221"/>
      <c r="F3604" s="221"/>
      <c r="G3604" s="221"/>
      <c r="H3604" s="221" t="s">
        <v>5046</v>
      </c>
      <c r="I3604" s="260">
        <v>173.7</v>
      </c>
      <c r="J3604" s="260">
        <v>424</v>
      </c>
      <c r="K3604" s="243">
        <v>572</v>
      </c>
      <c r="L3604" s="243">
        <v>668</v>
      </c>
      <c r="M3604" s="221"/>
    </row>
    <row r="3605" spans="5:18" ht="29.25" customHeight="1">
      <c r="E3605" s="221"/>
      <c r="F3605" s="221"/>
      <c r="G3605" s="221"/>
      <c r="H3605" s="228" t="s">
        <v>2855</v>
      </c>
      <c r="I3605" s="229">
        <f>SUM(I3603:I3604)</f>
        <v>3283.7</v>
      </c>
      <c r="J3605" s="229">
        <f>SUM(J3603:J3604)</f>
        <v>3394</v>
      </c>
      <c r="K3605" s="240">
        <f>SUM(K3603:K3604)</f>
        <v>3555</v>
      </c>
      <c r="L3605" s="240">
        <f>SUM(L3603:L3604)</f>
        <v>3693</v>
      </c>
      <c r="M3605" s="221"/>
    </row>
    <row r="3606" spans="5:18">
      <c r="E3606" s="221"/>
      <c r="F3606" s="221"/>
      <c r="G3606" s="221"/>
      <c r="H3606" s="221"/>
      <c r="I3606" s="221"/>
      <c r="J3606" s="221"/>
      <c r="K3606" s="221"/>
      <c r="L3606" s="221"/>
      <c r="M3606" s="221"/>
    </row>
    <row r="3607" spans="5:18">
      <c r="E3607" s="221"/>
      <c r="F3607" s="221"/>
      <c r="G3607" s="221"/>
      <c r="H3607" s="229" t="s">
        <v>2856</v>
      </c>
      <c r="I3607" s="221"/>
      <c r="J3607" s="221"/>
      <c r="K3607" s="221"/>
      <c r="L3607" s="221"/>
      <c r="M3607" s="221"/>
    </row>
    <row r="3608" spans="5:18" ht="15.75" customHeight="1">
      <c r="E3608" s="221"/>
      <c r="F3608" s="221"/>
      <c r="G3608" s="221"/>
      <c r="H3608" s="221"/>
      <c r="I3608" s="221"/>
      <c r="J3608" s="221"/>
      <c r="K3608" s="221"/>
      <c r="L3608" s="221"/>
      <c r="M3608" s="221"/>
    </row>
    <row r="3609" spans="5:18">
      <c r="E3609" s="221"/>
      <c r="F3609" s="221"/>
      <c r="G3609" s="221"/>
      <c r="H3609" s="229" t="s">
        <v>2857</v>
      </c>
      <c r="I3609" s="221"/>
      <c r="J3609" s="221"/>
      <c r="K3609" s="221"/>
      <c r="L3609" s="221"/>
      <c r="M3609" s="221"/>
    </row>
    <row r="3610" spans="5:18" ht="69" customHeight="1">
      <c r="E3610" s="221"/>
      <c r="F3610" s="221"/>
      <c r="G3610" s="221"/>
      <c r="H3610" s="242" t="s">
        <v>2911</v>
      </c>
      <c r="I3610" s="221"/>
      <c r="J3610" s="221"/>
      <c r="K3610" s="221"/>
      <c r="L3610" s="221"/>
      <c r="M3610" s="1847" t="s">
        <v>4832</v>
      </c>
      <c r="N3610" s="1847"/>
      <c r="O3610" s="1847"/>
      <c r="P3610" s="1847"/>
      <c r="Q3610" s="1847"/>
      <c r="R3610" s="1847"/>
    </row>
    <row r="3611" spans="5:18" ht="15.75" customHeight="1">
      <c r="E3611" s="221"/>
      <c r="F3611" s="221"/>
      <c r="G3611" s="221"/>
      <c r="H3611" s="221"/>
      <c r="I3611" s="221"/>
      <c r="J3611" s="221"/>
      <c r="K3611" s="221"/>
      <c r="L3611" s="221"/>
      <c r="M3611" s="1848" t="s">
        <v>4833</v>
      </c>
      <c r="N3611" s="1848"/>
      <c r="O3611" s="1848"/>
      <c r="P3611" s="1848"/>
      <c r="Q3611" s="1848"/>
      <c r="R3611" s="1848"/>
    </row>
    <row r="3612" spans="5:18" ht="26.25" customHeight="1">
      <c r="E3612" s="221"/>
      <c r="F3612" s="221">
        <v>2</v>
      </c>
      <c r="G3612" s="221" t="s">
        <v>835</v>
      </c>
      <c r="H3612" s="221" t="s">
        <v>5047</v>
      </c>
      <c r="I3612" s="222">
        <v>98.6</v>
      </c>
      <c r="J3612" s="221" t="s">
        <v>835</v>
      </c>
      <c r="K3612" s="221">
        <f>F3612*I3612</f>
        <v>197.2</v>
      </c>
      <c r="L3612" s="221"/>
      <c r="M3612" s="285"/>
      <c r="N3612" s="285"/>
      <c r="O3612" s="285"/>
      <c r="P3612" s="285"/>
      <c r="Q3612" s="285"/>
      <c r="R3612" s="285"/>
    </row>
    <row r="3613" spans="5:18" ht="26.25" customHeight="1">
      <c r="E3613" s="221"/>
      <c r="F3613" s="221">
        <v>2</v>
      </c>
      <c r="G3613" s="221" t="s">
        <v>2020</v>
      </c>
      <c r="H3613" s="221" t="s">
        <v>2912</v>
      </c>
      <c r="I3613" s="221">
        <v>35</v>
      </c>
      <c r="J3613" s="221" t="s">
        <v>2020</v>
      </c>
      <c r="K3613" s="221">
        <f>F3613*I3613</f>
        <v>70</v>
      </c>
      <c r="L3613" s="221"/>
      <c r="M3613" s="287">
        <v>1.5</v>
      </c>
      <c r="N3613" s="285" t="s">
        <v>835</v>
      </c>
      <c r="O3613" s="285" t="s">
        <v>4421</v>
      </c>
      <c r="P3613" s="287">
        <f>I3513</f>
        <v>128</v>
      </c>
      <c r="Q3613" s="285" t="s">
        <v>835</v>
      </c>
      <c r="R3613" s="287">
        <f>P3613*M3613</f>
        <v>192</v>
      </c>
    </row>
    <row r="3614" spans="5:18" ht="26.25" customHeight="1">
      <c r="E3614" s="221"/>
      <c r="F3614" s="221">
        <v>1</v>
      </c>
      <c r="G3614" s="221" t="s">
        <v>1414</v>
      </c>
      <c r="H3614" s="221" t="s">
        <v>4410</v>
      </c>
      <c r="I3614" s="221">
        <f>M3396</f>
        <v>47.6</v>
      </c>
      <c r="J3614" s="221" t="s">
        <v>1418</v>
      </c>
      <c r="K3614" s="221">
        <f>F3614*I3614</f>
        <v>47.6</v>
      </c>
      <c r="L3614" s="221"/>
      <c r="M3614" s="287">
        <v>2</v>
      </c>
      <c r="N3614" s="285" t="s">
        <v>2020</v>
      </c>
      <c r="O3614" s="285" t="s">
        <v>2912</v>
      </c>
      <c r="P3614" s="287">
        <f>I3613</f>
        <v>35</v>
      </c>
      <c r="Q3614" s="285" t="s">
        <v>2020</v>
      </c>
      <c r="R3614" s="287">
        <f>M3614*P3614</f>
        <v>70</v>
      </c>
    </row>
    <row r="3615" spans="5:18" ht="26.25" customHeight="1">
      <c r="E3615" s="221"/>
      <c r="F3615" s="221">
        <v>1</v>
      </c>
      <c r="G3615" s="221" t="s">
        <v>1414</v>
      </c>
      <c r="H3615" s="221" t="s">
        <v>2913</v>
      </c>
      <c r="I3615" s="221">
        <f>K3628</f>
        <v>30.93</v>
      </c>
      <c r="J3615" s="221" t="s">
        <v>1418</v>
      </c>
      <c r="K3615" s="221">
        <f>F3615*I3615</f>
        <v>30.93</v>
      </c>
      <c r="L3615" s="221"/>
      <c r="M3615" s="287"/>
      <c r="N3615" s="285"/>
      <c r="O3615" s="285"/>
      <c r="P3615" s="288"/>
      <c r="Q3615" s="285"/>
      <c r="R3615" s="287"/>
    </row>
    <row r="3616" spans="5:18" ht="26.25" customHeight="1">
      <c r="E3616" s="221"/>
      <c r="F3616" s="221">
        <v>8</v>
      </c>
      <c r="G3616" s="221" t="s">
        <v>835</v>
      </c>
      <c r="H3616" s="221" t="s">
        <v>2914</v>
      </c>
      <c r="I3616" s="221">
        <f>I3101</f>
        <v>24.1</v>
      </c>
      <c r="J3616" s="221" t="s">
        <v>3347</v>
      </c>
      <c r="K3616" s="221">
        <f>F3616*I3616</f>
        <v>192.8</v>
      </c>
      <c r="L3616" s="221"/>
      <c r="M3616" s="287"/>
      <c r="N3616" s="285"/>
      <c r="O3616" s="285"/>
      <c r="P3616" s="287"/>
      <c r="Q3616" s="285"/>
      <c r="R3616" s="287"/>
    </row>
    <row r="3617" spans="5:18" ht="25.5" customHeight="1">
      <c r="E3617" s="221"/>
      <c r="F3617" s="221">
        <v>1</v>
      </c>
      <c r="G3617" s="221" t="s">
        <v>1414</v>
      </c>
      <c r="H3617" s="242" t="s">
        <v>2915</v>
      </c>
      <c r="I3617" s="221"/>
      <c r="J3617" s="221"/>
      <c r="K3617" s="221">
        <f>K3627</f>
        <v>1537.67</v>
      </c>
      <c r="L3617" s="221"/>
      <c r="M3617" s="287">
        <v>8</v>
      </c>
      <c r="N3617" s="285" t="s">
        <v>835</v>
      </c>
      <c r="O3617" s="289" t="s">
        <v>2914</v>
      </c>
      <c r="P3617" s="287">
        <f>I3616</f>
        <v>24.1</v>
      </c>
      <c r="Q3617" s="285" t="s">
        <v>3347</v>
      </c>
      <c r="R3617" s="287">
        <f>M3617*P3617</f>
        <v>192.8</v>
      </c>
    </row>
    <row r="3618" spans="5:18" ht="49.5" customHeight="1">
      <c r="E3618" s="221"/>
      <c r="F3618" s="221"/>
      <c r="G3618" s="221"/>
      <c r="H3618" s="242" t="s">
        <v>2524</v>
      </c>
      <c r="I3618" s="221" t="s">
        <v>663</v>
      </c>
      <c r="J3618" s="221"/>
      <c r="K3618" s="221">
        <v>15.8</v>
      </c>
      <c r="L3618" s="221"/>
      <c r="M3618" s="287">
        <v>1</v>
      </c>
      <c r="N3618" s="285" t="s">
        <v>1414</v>
      </c>
      <c r="O3618" s="289" t="s">
        <v>2915</v>
      </c>
      <c r="P3618" s="287">
        <f>R3628</f>
        <v>1537.67</v>
      </c>
      <c r="Q3618" s="285" t="s">
        <v>1418</v>
      </c>
      <c r="R3618" s="287">
        <f>R3628</f>
        <v>1537.67</v>
      </c>
    </row>
    <row r="3619" spans="5:18" ht="29.25" customHeight="1">
      <c r="E3619" s="221"/>
      <c r="F3619" s="221"/>
      <c r="G3619" s="221"/>
      <c r="H3619" s="228" t="s">
        <v>2397</v>
      </c>
      <c r="I3619" s="221"/>
      <c r="J3619" s="221"/>
      <c r="K3619" s="229">
        <f>SUM(K3612:K3618)</f>
        <v>2092</v>
      </c>
      <c r="L3619" s="221">
        <f>K3619-1616</f>
        <v>476</v>
      </c>
      <c r="M3619" s="287"/>
      <c r="N3619" s="285"/>
      <c r="O3619" s="289" t="s">
        <v>2524</v>
      </c>
      <c r="P3619" s="1849" t="s">
        <v>663</v>
      </c>
      <c r="Q3619" s="1849"/>
      <c r="R3619" s="287">
        <v>15.67</v>
      </c>
    </row>
    <row r="3620" spans="5:18">
      <c r="E3620" s="221"/>
      <c r="F3620" s="221"/>
      <c r="G3620" s="221"/>
      <c r="H3620" s="221"/>
      <c r="I3620" s="221"/>
      <c r="J3620" s="221"/>
      <c r="K3620" s="221"/>
      <c r="L3620" s="221"/>
      <c r="M3620" s="287"/>
      <c r="N3620" s="285"/>
      <c r="O3620" s="290" t="s">
        <v>2397</v>
      </c>
      <c r="P3620" s="285"/>
      <c r="Q3620" s="285"/>
      <c r="R3620" s="290">
        <f>SUM(R3613:R3619)</f>
        <v>2008.14</v>
      </c>
    </row>
    <row r="3621" spans="5:18">
      <c r="E3621" s="221"/>
      <c r="F3621" s="221"/>
      <c r="G3621" s="221"/>
      <c r="H3621" s="227" t="s">
        <v>2525</v>
      </c>
      <c r="I3621" s="221"/>
      <c r="J3621" s="221"/>
      <c r="K3621" s="221"/>
      <c r="L3621" s="221"/>
      <c r="M3621" s="287"/>
      <c r="N3621" s="285"/>
      <c r="O3621" s="285"/>
      <c r="P3621" s="285"/>
      <c r="Q3621" s="285"/>
      <c r="R3621" s="285"/>
    </row>
    <row r="3622" spans="5:18">
      <c r="E3622" s="221"/>
      <c r="F3622" s="221">
        <v>1</v>
      </c>
      <c r="G3622" s="221" t="s">
        <v>1414</v>
      </c>
      <c r="H3622" s="230" t="s">
        <v>2739</v>
      </c>
      <c r="I3622" s="221">
        <f>I3503</f>
        <v>817</v>
      </c>
      <c r="J3622" s="221" t="s">
        <v>1414</v>
      </c>
      <c r="K3622" s="221">
        <f>F3622*I3622</f>
        <v>817</v>
      </c>
      <c r="L3622" s="221"/>
      <c r="M3622" s="287"/>
      <c r="N3622" s="285"/>
      <c r="O3622" s="291" t="s">
        <v>2525</v>
      </c>
      <c r="P3622" s="285"/>
      <c r="Q3622" s="285"/>
      <c r="R3622" s="285"/>
    </row>
    <row r="3623" spans="5:18">
      <c r="E3623" s="221"/>
      <c r="F3623" s="221">
        <v>1</v>
      </c>
      <c r="G3623" s="221" t="s">
        <v>1414</v>
      </c>
      <c r="H3623" s="221" t="s">
        <v>2800</v>
      </c>
      <c r="I3623" s="221">
        <f>I3504</f>
        <v>712</v>
      </c>
      <c r="J3623" s="221" t="s">
        <v>1414</v>
      </c>
      <c r="K3623" s="221">
        <f>F3623*I3623</f>
        <v>712</v>
      </c>
      <c r="L3623" s="221"/>
      <c r="M3623" s="287">
        <v>1</v>
      </c>
      <c r="N3623" s="285" t="s">
        <v>1414</v>
      </c>
      <c r="O3623" s="285" t="s">
        <v>2739</v>
      </c>
      <c r="P3623" s="287">
        <f>I3622</f>
        <v>817</v>
      </c>
      <c r="Q3623" s="285" t="s">
        <v>1414</v>
      </c>
      <c r="R3623" s="285">
        <f>M3623*P3623</f>
        <v>817</v>
      </c>
    </row>
    <row r="3624" spans="5:18">
      <c r="E3624" s="221"/>
      <c r="F3624" s="221">
        <v>2</v>
      </c>
      <c r="G3624" s="221" t="s">
        <v>1414</v>
      </c>
      <c r="H3624" s="221" t="s">
        <v>2619</v>
      </c>
      <c r="I3624" s="221">
        <f>I3505</f>
        <v>708</v>
      </c>
      <c r="J3624" s="221" t="s">
        <v>1414</v>
      </c>
      <c r="K3624" s="221">
        <f>F3624*I3624</f>
        <v>1416</v>
      </c>
      <c r="L3624" s="221"/>
      <c r="M3624" s="287">
        <v>1</v>
      </c>
      <c r="N3624" s="285" t="s">
        <v>1414</v>
      </c>
      <c r="O3624" s="285" t="s">
        <v>2800</v>
      </c>
      <c r="P3624" s="287">
        <f>I3623</f>
        <v>712</v>
      </c>
      <c r="Q3624" s="285" t="s">
        <v>1414</v>
      </c>
      <c r="R3624" s="285">
        <f>M3624*P3624</f>
        <v>712</v>
      </c>
    </row>
    <row r="3625" spans="5:18">
      <c r="E3625" s="221"/>
      <c r="F3625" s="221">
        <v>3</v>
      </c>
      <c r="G3625" s="221" t="s">
        <v>1414</v>
      </c>
      <c r="H3625" s="221" t="s">
        <v>2356</v>
      </c>
      <c r="I3625" s="221">
        <f>I3506</f>
        <v>556</v>
      </c>
      <c r="J3625" s="221" t="s">
        <v>1414</v>
      </c>
      <c r="K3625" s="221">
        <f>F3625*I3625</f>
        <v>1668</v>
      </c>
      <c r="L3625" s="221"/>
      <c r="M3625" s="287">
        <v>2</v>
      </c>
      <c r="N3625" s="285" t="s">
        <v>1414</v>
      </c>
      <c r="O3625" s="285" t="s">
        <v>2619</v>
      </c>
      <c r="P3625" s="287">
        <f>I3624</f>
        <v>708</v>
      </c>
      <c r="Q3625" s="285" t="s">
        <v>1414</v>
      </c>
      <c r="R3625" s="285">
        <f>M3625*P3625</f>
        <v>1416</v>
      </c>
    </row>
    <row r="3626" spans="5:18">
      <c r="E3626" s="221"/>
      <c r="F3626" s="221"/>
      <c r="G3626" s="221"/>
      <c r="H3626" s="226" t="s">
        <v>2901</v>
      </c>
      <c r="I3626" s="221"/>
      <c r="J3626" s="221"/>
      <c r="K3626" s="227">
        <f>SUM(K3622:K3625)</f>
        <v>4613</v>
      </c>
      <c r="L3626" s="221"/>
      <c r="M3626" s="287">
        <v>3</v>
      </c>
      <c r="N3626" s="285" t="s">
        <v>1414</v>
      </c>
      <c r="O3626" s="285" t="s">
        <v>2356</v>
      </c>
      <c r="P3626" s="287">
        <f>I3625</f>
        <v>556</v>
      </c>
      <c r="Q3626" s="285" t="s">
        <v>1414</v>
      </c>
      <c r="R3626" s="285">
        <f>M3626*P3626</f>
        <v>1668</v>
      </c>
    </row>
    <row r="3627" spans="5:18">
      <c r="E3627" s="221"/>
      <c r="F3627" s="221"/>
      <c r="G3627" s="221"/>
      <c r="H3627" s="228" t="s">
        <v>2826</v>
      </c>
      <c r="I3627" s="221"/>
      <c r="J3627" s="221"/>
      <c r="K3627" s="229">
        <f>K3626/3</f>
        <v>1537.67</v>
      </c>
      <c r="L3627" s="221"/>
      <c r="M3627" s="285"/>
      <c r="N3627" s="285"/>
      <c r="O3627" s="287" t="s">
        <v>2901</v>
      </c>
      <c r="P3627" s="285"/>
      <c r="Q3627" s="285"/>
      <c r="R3627" s="291">
        <f>SUM(R3623:R3626)</f>
        <v>4613</v>
      </c>
    </row>
    <row r="3628" spans="5:18">
      <c r="E3628" s="221"/>
      <c r="F3628" s="221"/>
      <c r="G3628" s="221"/>
      <c r="H3628" s="229" t="s">
        <v>2526</v>
      </c>
      <c r="I3628" s="221">
        <f>I3483</f>
        <v>103100</v>
      </c>
      <c r="J3628" s="235">
        <v>2.9999999999999997E-4</v>
      </c>
      <c r="K3628" s="229">
        <f>I3628*J3628</f>
        <v>30.93</v>
      </c>
      <c r="L3628" s="221"/>
      <c r="M3628" s="285"/>
      <c r="N3628" s="285"/>
      <c r="O3628" s="290" t="s">
        <v>2826</v>
      </c>
      <c r="P3628" s="285"/>
      <c r="Q3628" s="285"/>
      <c r="R3628" s="286">
        <f>R3627/3</f>
        <v>1537.67</v>
      </c>
    </row>
    <row r="3629" spans="5:18">
      <c r="E3629" s="221"/>
      <c r="F3629" s="221"/>
      <c r="G3629" s="221"/>
      <c r="H3629" s="221"/>
      <c r="I3629" s="221"/>
      <c r="J3629" s="221"/>
      <c r="K3629" s="221"/>
      <c r="L3629" s="221"/>
      <c r="M3629" s="285"/>
      <c r="N3629" s="285"/>
      <c r="O3629" s="292"/>
      <c r="P3629" s="293"/>
      <c r="Q3629" s="294"/>
      <c r="R3629" s="292"/>
    </row>
    <row r="3630" spans="5:18" ht="23.25" customHeight="1">
      <c r="E3630" s="221"/>
      <c r="F3630" s="221"/>
      <c r="G3630" s="221"/>
      <c r="H3630" s="229" t="s">
        <v>2399</v>
      </c>
      <c r="I3630" s="221"/>
      <c r="J3630" s="221"/>
      <c r="K3630" s="221"/>
      <c r="L3630" s="221"/>
      <c r="M3630" s="285"/>
      <c r="N3630" s="285"/>
      <c r="O3630" s="285"/>
      <c r="P3630" s="285"/>
      <c r="Q3630" s="285"/>
      <c r="R3630" s="285"/>
    </row>
    <row r="3631" spans="5:18" ht="15.75" customHeight="1">
      <c r="E3631" s="221"/>
      <c r="F3631" s="221"/>
      <c r="G3631" s="221"/>
      <c r="H3631" s="221"/>
      <c r="I3631" s="221"/>
      <c r="J3631" s="221"/>
      <c r="K3631" s="221"/>
      <c r="L3631" s="221"/>
      <c r="M3631" s="285"/>
      <c r="N3631" s="285"/>
      <c r="O3631" s="286" t="s">
        <v>2399</v>
      </c>
      <c r="P3631" s="285"/>
      <c r="Q3631" s="285"/>
      <c r="R3631" s="285"/>
    </row>
    <row r="3632" spans="5:18" ht="24.95" customHeight="1">
      <c r="E3632" s="221"/>
      <c r="F3632" s="221"/>
      <c r="G3632" s="221"/>
      <c r="H3632" s="229" t="s">
        <v>3149</v>
      </c>
      <c r="I3632" s="221"/>
      <c r="J3632" s="221"/>
      <c r="K3632" s="221"/>
      <c r="L3632" s="221"/>
      <c r="M3632" s="285"/>
      <c r="N3632" s="285"/>
      <c r="O3632" s="286"/>
      <c r="P3632" s="285"/>
      <c r="Q3632" s="285"/>
      <c r="R3632" s="285"/>
    </row>
    <row r="3633" spans="5:19" ht="15.75" customHeight="1">
      <c r="E3633" s="221"/>
      <c r="F3633" s="221"/>
      <c r="G3633" s="221"/>
      <c r="H3633" s="221"/>
      <c r="I3633" s="221"/>
      <c r="J3633" s="221"/>
      <c r="K3633" s="221"/>
      <c r="L3633" s="221"/>
      <c r="M3633" s="285"/>
      <c r="N3633" s="285"/>
      <c r="O3633" s="286" t="s">
        <v>4834</v>
      </c>
      <c r="P3633" s="285"/>
      <c r="Q3633" s="285"/>
      <c r="R3633" s="285"/>
    </row>
    <row r="3634" spans="5:19" ht="24.95" customHeight="1">
      <c r="E3634" s="221"/>
      <c r="F3634" s="221">
        <v>1</v>
      </c>
      <c r="G3634" s="221" t="s">
        <v>1414</v>
      </c>
      <c r="H3634" s="220" t="s">
        <v>5048</v>
      </c>
      <c r="I3634" s="260">
        <v>642</v>
      </c>
      <c r="J3634" s="221" t="s">
        <v>1414</v>
      </c>
      <c r="K3634" s="221">
        <f>F3634*I3634</f>
        <v>642</v>
      </c>
      <c r="L3634" s="221"/>
      <c r="M3634" s="285"/>
      <c r="N3634" s="285"/>
      <c r="O3634" s="286"/>
      <c r="P3634" s="285"/>
      <c r="Q3634" s="285"/>
      <c r="R3634" s="285"/>
    </row>
    <row r="3635" spans="5:19" ht="45" customHeight="1">
      <c r="E3635" s="221"/>
      <c r="F3635" s="221">
        <v>1</v>
      </c>
      <c r="G3635" s="221" t="s">
        <v>1414</v>
      </c>
      <c r="H3635" s="220" t="s">
        <v>5049</v>
      </c>
      <c r="I3635" s="260">
        <v>35.9</v>
      </c>
      <c r="J3635" s="221" t="s">
        <v>1414</v>
      </c>
      <c r="K3635" s="221">
        <f>F3635*I3635</f>
        <v>35.9</v>
      </c>
      <c r="L3635" s="221"/>
      <c r="M3635" s="285">
        <v>1</v>
      </c>
      <c r="N3635" s="285" t="s">
        <v>1414</v>
      </c>
      <c r="O3635" s="289" t="s">
        <v>4835</v>
      </c>
      <c r="P3635" s="295">
        <v>1182</v>
      </c>
      <c r="Q3635" s="285" t="s">
        <v>1414</v>
      </c>
      <c r="R3635" s="285">
        <f>M3635*P3635</f>
        <v>1182</v>
      </c>
    </row>
    <row r="3636" spans="5:19" ht="39.75" customHeight="1">
      <c r="E3636" s="221"/>
      <c r="F3636" s="221">
        <v>1</v>
      </c>
      <c r="G3636" s="221" t="s">
        <v>1414</v>
      </c>
      <c r="H3636" s="242" t="s">
        <v>924</v>
      </c>
      <c r="I3636" s="221">
        <f>K3619</f>
        <v>2092</v>
      </c>
      <c r="J3636" s="221" t="s">
        <v>1414</v>
      </c>
      <c r="K3636" s="221">
        <f>F3636*I3636</f>
        <v>2092</v>
      </c>
      <c r="L3636" s="221"/>
      <c r="M3636" s="285">
        <v>1</v>
      </c>
      <c r="N3636" s="285" t="s">
        <v>1414</v>
      </c>
      <c r="O3636" s="289" t="s">
        <v>924</v>
      </c>
      <c r="P3636" s="295">
        <f>R3620</f>
        <v>2008.14</v>
      </c>
      <c r="Q3636" s="285" t="s">
        <v>1414</v>
      </c>
      <c r="R3636" s="285">
        <f>M3636*P3636</f>
        <v>2008.14</v>
      </c>
    </row>
    <row r="3637" spans="5:19" ht="24.95" customHeight="1">
      <c r="E3637" s="221"/>
      <c r="F3637" s="221"/>
      <c r="G3637" s="221"/>
      <c r="H3637" s="220" t="s">
        <v>2296</v>
      </c>
      <c r="I3637" s="221"/>
      <c r="J3637" s="221"/>
      <c r="K3637" s="221">
        <v>4.4000000000000004</v>
      </c>
      <c r="L3637" s="221"/>
      <c r="M3637" s="285"/>
      <c r="N3637" s="285"/>
      <c r="O3637" s="289" t="s">
        <v>2296</v>
      </c>
      <c r="P3637" s="285"/>
      <c r="Q3637" s="285"/>
      <c r="R3637" s="285"/>
    </row>
    <row r="3638" spans="5:19" ht="24.95" customHeight="1">
      <c r="E3638" s="221"/>
      <c r="F3638" s="221"/>
      <c r="G3638" s="221"/>
      <c r="H3638" s="228" t="s">
        <v>1080</v>
      </c>
      <c r="I3638" s="221"/>
      <c r="J3638" s="221"/>
      <c r="K3638" s="229">
        <f>SUM(K3634:K3637)</f>
        <v>2774.3</v>
      </c>
      <c r="L3638" s="221">
        <f>K3638-2268</f>
        <v>506.3</v>
      </c>
      <c r="M3638" s="285"/>
      <c r="N3638" s="285"/>
      <c r="O3638" s="290" t="s">
        <v>1080</v>
      </c>
      <c r="P3638" s="285"/>
      <c r="Q3638" s="285"/>
      <c r="R3638" s="286">
        <f>SUM(R3635:R3637)</f>
        <v>3190.14</v>
      </c>
      <c r="S3638" s="87">
        <f>R3638-2219</f>
        <v>971.14</v>
      </c>
    </row>
    <row r="3639" spans="5:19">
      <c r="E3639" s="221"/>
      <c r="F3639" s="221"/>
      <c r="G3639" s="221"/>
      <c r="H3639" s="221"/>
      <c r="I3639" s="221"/>
      <c r="J3639" s="221"/>
      <c r="K3639" s="221"/>
      <c r="L3639" s="221"/>
      <c r="M3639" s="285"/>
      <c r="N3639" s="285"/>
      <c r="P3639" s="285"/>
      <c r="Q3639" s="285"/>
      <c r="R3639" s="286"/>
    </row>
    <row r="3640" spans="5:19" ht="24.75" customHeight="1">
      <c r="E3640" s="221"/>
      <c r="F3640" s="221"/>
      <c r="G3640" s="221"/>
      <c r="H3640" s="229" t="s">
        <v>3136</v>
      </c>
      <c r="I3640" s="221"/>
      <c r="J3640" s="221"/>
      <c r="K3640" s="221"/>
      <c r="L3640" s="221"/>
      <c r="M3640" s="221"/>
    </row>
    <row r="3641" spans="5:19" ht="63">
      <c r="E3641" s="221"/>
      <c r="F3641" s="221"/>
      <c r="G3641" s="221"/>
      <c r="H3641" s="242" t="s">
        <v>3137</v>
      </c>
      <c r="I3641" s="221"/>
      <c r="J3641" s="221"/>
      <c r="K3641" s="221"/>
      <c r="L3641" s="221"/>
      <c r="M3641" s="1847" t="s">
        <v>4245</v>
      </c>
      <c r="N3641" s="1847"/>
      <c r="O3641" s="1847"/>
      <c r="P3641" s="1847"/>
      <c r="Q3641" s="1847"/>
      <c r="R3641" s="1847"/>
    </row>
    <row r="3642" spans="5:19">
      <c r="E3642" s="221"/>
      <c r="F3642" s="221"/>
      <c r="G3642" s="221"/>
      <c r="H3642" s="221"/>
      <c r="I3642" s="221"/>
      <c r="J3642" s="221"/>
      <c r="K3642" s="221"/>
      <c r="L3642" s="221"/>
      <c r="M3642" s="401">
        <v>1</v>
      </c>
      <c r="N3642" s="401" t="s">
        <v>1414</v>
      </c>
      <c r="O3642" s="401" t="s">
        <v>4246</v>
      </c>
      <c r="P3642" s="688">
        <v>7000</v>
      </c>
      <c r="Q3642" s="401" t="s">
        <v>4247</v>
      </c>
      <c r="R3642" s="401">
        <f>P3642*M3642</f>
        <v>7000</v>
      </c>
    </row>
    <row r="3643" spans="5:19" ht="24.75" customHeight="1">
      <c r="E3643" s="221"/>
      <c r="F3643" s="221">
        <v>1.5</v>
      </c>
      <c r="G3643" s="221" t="s">
        <v>835</v>
      </c>
      <c r="H3643" s="221" t="s">
        <v>5050</v>
      </c>
      <c r="I3643" s="222">
        <v>209</v>
      </c>
      <c r="J3643" s="221" t="s">
        <v>835</v>
      </c>
      <c r="K3643" s="221">
        <f>F3643*I3643</f>
        <v>313.5</v>
      </c>
      <c r="L3643" s="221"/>
      <c r="M3643" s="287">
        <v>2</v>
      </c>
      <c r="N3643" s="285" t="s">
        <v>2020</v>
      </c>
      <c r="O3643" s="285" t="s">
        <v>2912</v>
      </c>
      <c r="P3643" s="689">
        <f>I3613</f>
        <v>35</v>
      </c>
      <c r="Q3643" s="285" t="s">
        <v>2020</v>
      </c>
      <c r="R3643" s="401">
        <f>P3643*M3643</f>
        <v>70</v>
      </c>
    </row>
    <row r="3644" spans="5:19" ht="24.75" customHeight="1">
      <c r="E3644" s="221"/>
      <c r="F3644" s="221">
        <v>2</v>
      </c>
      <c r="G3644" s="221" t="s">
        <v>3147</v>
      </c>
      <c r="H3644" s="221" t="s">
        <v>3148</v>
      </c>
      <c r="I3644" s="221">
        <f>I3613</f>
        <v>35</v>
      </c>
      <c r="J3644" s="221" t="s">
        <v>3147</v>
      </c>
      <c r="K3644" s="221">
        <f>F3644*I3644</f>
        <v>70</v>
      </c>
      <c r="L3644" s="221"/>
      <c r="M3644" s="287">
        <v>1</v>
      </c>
      <c r="N3644" s="285" t="s">
        <v>1414</v>
      </c>
      <c r="O3644" s="289" t="s">
        <v>2915</v>
      </c>
      <c r="P3644" s="287">
        <f>R3653</f>
        <v>1537.67</v>
      </c>
      <c r="Q3644" s="285" t="s">
        <v>1418</v>
      </c>
      <c r="R3644" s="401">
        <f>P3644*M3644</f>
        <v>1537.67</v>
      </c>
    </row>
    <row r="3645" spans="5:19" ht="24.75" customHeight="1">
      <c r="E3645" s="221"/>
      <c r="F3645" s="221">
        <v>1</v>
      </c>
      <c r="G3645" s="221" t="s">
        <v>1414</v>
      </c>
      <c r="H3645" s="221" t="s">
        <v>4118</v>
      </c>
      <c r="I3645" s="221">
        <f>I3614</f>
        <v>47.6</v>
      </c>
      <c r="J3645" s="221" t="s">
        <v>1414</v>
      </c>
      <c r="K3645" s="221">
        <f>F3645*I3645</f>
        <v>47.6</v>
      </c>
      <c r="L3645" s="221"/>
      <c r="M3645" s="280"/>
      <c r="N3645" s="280"/>
      <c r="O3645" s="289" t="s">
        <v>2524</v>
      </c>
      <c r="P3645" s="1849" t="s">
        <v>663</v>
      </c>
      <c r="Q3645" s="1849"/>
      <c r="R3645" s="287">
        <v>16.670000000000002</v>
      </c>
    </row>
    <row r="3646" spans="5:19" ht="24.75" customHeight="1">
      <c r="E3646" s="221"/>
      <c r="F3646" s="221">
        <v>1</v>
      </c>
      <c r="G3646" s="221" t="s">
        <v>1414</v>
      </c>
      <c r="H3646" s="221" t="s">
        <v>3272</v>
      </c>
      <c r="I3646" s="221">
        <f>I3615</f>
        <v>30.93</v>
      </c>
      <c r="J3646" s="221" t="s">
        <v>1414</v>
      </c>
      <c r="K3646" s="221">
        <f>F3646*I3646</f>
        <v>30.93</v>
      </c>
      <c r="L3646" s="221"/>
      <c r="M3646" s="287"/>
      <c r="N3646" s="285"/>
      <c r="O3646" s="286" t="s">
        <v>2826</v>
      </c>
      <c r="P3646" s="402"/>
      <c r="Q3646" s="286"/>
      <c r="R3646" s="290">
        <f>SUM(R3642:R3645)</f>
        <v>8624.34</v>
      </c>
      <c r="S3646" s="87">
        <f>R3646-8095</f>
        <v>529.34</v>
      </c>
    </row>
    <row r="3647" spans="5:19" ht="24.75" customHeight="1">
      <c r="E3647" s="221"/>
      <c r="F3647" s="221">
        <v>8</v>
      </c>
      <c r="G3647" s="221" t="s">
        <v>835</v>
      </c>
      <c r="H3647" s="221" t="s">
        <v>2914</v>
      </c>
      <c r="I3647" s="221">
        <f>I3616</f>
        <v>24.1</v>
      </c>
      <c r="J3647" s="221" t="s">
        <v>3347</v>
      </c>
      <c r="K3647" s="221">
        <f>F3647*I3647</f>
        <v>192.8</v>
      </c>
      <c r="L3647" s="221"/>
      <c r="M3647" s="287"/>
      <c r="N3647" s="285"/>
      <c r="O3647" s="291" t="s">
        <v>2525</v>
      </c>
      <c r="P3647" s="285"/>
      <c r="Q3647" s="285"/>
      <c r="R3647" s="285"/>
    </row>
    <row r="3648" spans="5:19" ht="61.5" customHeight="1">
      <c r="E3648" s="221"/>
      <c r="F3648" s="221"/>
      <c r="G3648" s="221"/>
      <c r="H3648" s="242" t="s">
        <v>2915</v>
      </c>
      <c r="I3648" s="221"/>
      <c r="J3648" s="221"/>
      <c r="K3648" s="221">
        <f>K3627</f>
        <v>1537.67</v>
      </c>
      <c r="L3648" s="221"/>
      <c r="M3648" s="287">
        <v>1</v>
      </c>
      <c r="N3648" s="285" t="s">
        <v>1414</v>
      </c>
      <c r="O3648" s="285" t="s">
        <v>2739</v>
      </c>
      <c r="P3648" s="287">
        <f>P3623</f>
        <v>817</v>
      </c>
      <c r="Q3648" s="285" t="s">
        <v>1414</v>
      </c>
      <c r="R3648" s="285">
        <f>M3648*P3648</f>
        <v>817</v>
      </c>
    </row>
    <row r="3649" spans="5:18" ht="52.5" customHeight="1">
      <c r="E3649" s="221"/>
      <c r="F3649" s="221"/>
      <c r="G3649" s="221"/>
      <c r="H3649" s="242" t="s">
        <v>2524</v>
      </c>
      <c r="I3649" s="221"/>
      <c r="J3649" s="221" t="s">
        <v>663</v>
      </c>
      <c r="K3649" s="221">
        <v>14.5</v>
      </c>
      <c r="L3649" s="221"/>
      <c r="M3649" s="287">
        <v>1</v>
      </c>
      <c r="N3649" s="285" t="s">
        <v>1414</v>
      </c>
      <c r="O3649" s="285" t="s">
        <v>2800</v>
      </c>
      <c r="P3649" s="287">
        <f>P3624</f>
        <v>712</v>
      </c>
      <c r="Q3649" s="285" t="s">
        <v>1414</v>
      </c>
      <c r="R3649" s="285">
        <f>M3649*P3649</f>
        <v>712</v>
      </c>
    </row>
    <row r="3650" spans="5:18" ht="24" customHeight="1">
      <c r="E3650" s="221"/>
      <c r="F3650" s="221"/>
      <c r="G3650" s="221"/>
      <c r="H3650" s="228" t="s">
        <v>2397</v>
      </c>
      <c r="I3650" s="221"/>
      <c r="J3650" s="221"/>
      <c r="K3650" s="229">
        <f>SUM(K3643:K3649)</f>
        <v>2207</v>
      </c>
      <c r="L3650" s="221">
        <f>1625-K3650</f>
        <v>-582</v>
      </c>
      <c r="M3650" s="287">
        <v>2</v>
      </c>
      <c r="N3650" s="285" t="s">
        <v>1414</v>
      </c>
      <c r="O3650" s="285" t="s">
        <v>2619</v>
      </c>
      <c r="P3650" s="287">
        <f>P3625</f>
        <v>708</v>
      </c>
      <c r="Q3650" s="285" t="s">
        <v>1414</v>
      </c>
      <c r="R3650" s="285">
        <f>M3650*P3650</f>
        <v>1416</v>
      </c>
    </row>
    <row r="3651" spans="5:18">
      <c r="E3651" s="221"/>
      <c r="F3651" s="221"/>
      <c r="G3651" s="221"/>
      <c r="H3651" s="221"/>
      <c r="I3651" s="221"/>
      <c r="J3651" s="221"/>
      <c r="K3651" s="221"/>
      <c r="L3651" s="221"/>
      <c r="M3651" s="287">
        <v>3</v>
      </c>
      <c r="N3651" s="285" t="s">
        <v>1414</v>
      </c>
      <c r="O3651" s="285" t="s">
        <v>2356</v>
      </c>
      <c r="P3651" s="287">
        <f>P3626</f>
        <v>556</v>
      </c>
      <c r="Q3651" s="285" t="s">
        <v>1414</v>
      </c>
      <c r="R3651" s="285">
        <f>M3651*P3651</f>
        <v>1668</v>
      </c>
    </row>
    <row r="3652" spans="5:18">
      <c r="E3652" s="221"/>
      <c r="F3652" s="221"/>
      <c r="G3652" s="221"/>
      <c r="H3652" s="221"/>
      <c r="I3652" s="221"/>
      <c r="J3652" s="221"/>
      <c r="K3652" s="221"/>
      <c r="L3652" s="221"/>
      <c r="M3652" s="285"/>
      <c r="N3652" s="285"/>
      <c r="O3652" s="287" t="s">
        <v>2901</v>
      </c>
      <c r="P3652" s="285"/>
      <c r="Q3652" s="285"/>
      <c r="R3652" s="291">
        <f>SUM(R3648:R3651)</f>
        <v>4613</v>
      </c>
    </row>
    <row r="3653" spans="5:18">
      <c r="E3653" s="221"/>
      <c r="F3653" s="221"/>
      <c r="G3653" s="221"/>
      <c r="H3653" s="221"/>
      <c r="I3653" s="221"/>
      <c r="J3653" s="221"/>
      <c r="K3653" s="221"/>
      <c r="L3653" s="221"/>
      <c r="M3653" s="285"/>
      <c r="N3653" s="285"/>
      <c r="O3653" s="290" t="s">
        <v>2826</v>
      </c>
      <c r="P3653" s="285"/>
      <c r="Q3653" s="285"/>
      <c r="R3653" s="286">
        <f>R3652/3</f>
        <v>1537.67</v>
      </c>
    </row>
    <row r="3654" spans="5:18">
      <c r="E3654" s="221"/>
      <c r="F3654" s="221"/>
      <c r="G3654" s="221"/>
      <c r="H3654" s="221"/>
      <c r="I3654" s="221"/>
      <c r="J3654" s="221"/>
      <c r="K3654" s="221"/>
      <c r="L3654" s="221"/>
      <c r="M3654" s="221"/>
    </row>
    <row r="3655" spans="5:18">
      <c r="E3655" s="221"/>
      <c r="F3655" s="221"/>
      <c r="G3655" s="221"/>
      <c r="H3655" s="240" t="s">
        <v>2856</v>
      </c>
      <c r="I3655" s="221"/>
      <c r="J3655" s="221"/>
      <c r="K3655" s="221"/>
      <c r="L3655" s="221"/>
      <c r="M3655" s="221"/>
    </row>
    <row r="3656" spans="5:18">
      <c r="E3656" s="221"/>
      <c r="F3656" s="221"/>
      <c r="G3656" s="221"/>
      <c r="H3656" s="221"/>
      <c r="I3656" s="221"/>
      <c r="J3656" s="221"/>
      <c r="K3656" s="221"/>
      <c r="L3656" s="221"/>
      <c r="M3656" s="221"/>
    </row>
    <row r="3657" spans="5:18">
      <c r="E3657" s="221"/>
      <c r="F3657" s="221"/>
      <c r="G3657" s="221"/>
      <c r="H3657" s="240" t="s">
        <v>3054</v>
      </c>
      <c r="I3657" s="221"/>
      <c r="J3657" s="221"/>
      <c r="K3657" s="221"/>
      <c r="L3657" s="221"/>
      <c r="M3657" s="221"/>
    </row>
    <row r="3658" spans="5:18">
      <c r="E3658" s="221"/>
      <c r="F3658" s="221"/>
      <c r="G3658" s="221"/>
      <c r="H3658" s="221"/>
      <c r="I3658" s="221"/>
      <c r="J3658" s="221"/>
      <c r="K3658" s="221"/>
      <c r="L3658" s="221"/>
      <c r="M3658" s="221"/>
    </row>
    <row r="3659" spans="5:18" ht="267.75">
      <c r="E3659" s="221"/>
      <c r="F3659" s="221"/>
      <c r="G3659" s="221"/>
      <c r="H3659" s="242" t="s">
        <v>2567</v>
      </c>
      <c r="I3659" s="221"/>
      <c r="J3659" s="221"/>
      <c r="K3659" s="221"/>
      <c r="L3659" s="221"/>
      <c r="M3659" s="1854" t="s">
        <v>4871</v>
      </c>
      <c r="N3659" s="1854"/>
      <c r="O3659" s="1854"/>
      <c r="P3659" s="1854"/>
      <c r="Q3659" s="1854"/>
      <c r="R3659" s="1854"/>
    </row>
    <row r="3660" spans="5:18">
      <c r="E3660" s="221"/>
      <c r="F3660" s="221"/>
      <c r="G3660" s="221"/>
      <c r="H3660" s="221"/>
      <c r="I3660" s="221"/>
      <c r="J3660" s="221"/>
      <c r="K3660" s="221"/>
      <c r="L3660" s="221"/>
      <c r="M3660" s="285"/>
      <c r="N3660" s="285"/>
      <c r="O3660" s="285"/>
      <c r="P3660" s="285"/>
      <c r="Q3660" s="285"/>
      <c r="R3660" s="285"/>
    </row>
    <row r="3661" spans="5:18">
      <c r="E3661" s="221"/>
      <c r="F3661" s="221"/>
      <c r="G3661" s="221"/>
      <c r="H3661" s="229" t="s">
        <v>2871</v>
      </c>
      <c r="I3661" s="221"/>
      <c r="K3661" s="221"/>
      <c r="L3661" s="221"/>
      <c r="M3661" s="287">
        <v>1</v>
      </c>
      <c r="N3661" s="285" t="s">
        <v>564</v>
      </c>
      <c r="O3661" s="285" t="s">
        <v>5087</v>
      </c>
      <c r="P3661" s="690">
        <v>5310</v>
      </c>
      <c r="Q3661" s="285" t="s">
        <v>564</v>
      </c>
      <c r="R3661" s="287">
        <f>P3661*M3661</f>
        <v>5310</v>
      </c>
    </row>
    <row r="3662" spans="5:18" ht="47.25">
      <c r="E3662" s="221"/>
      <c r="F3662" s="221">
        <v>1</v>
      </c>
      <c r="G3662" s="221" t="s">
        <v>1414</v>
      </c>
      <c r="H3662" s="220" t="s">
        <v>4411</v>
      </c>
      <c r="I3662" s="276">
        <f>I3376</f>
        <v>310</v>
      </c>
      <c r="J3662" s="221" t="s">
        <v>1414</v>
      </c>
      <c r="K3662" s="221">
        <f>F3662*I3662</f>
        <v>310</v>
      </c>
      <c r="L3662" s="221"/>
      <c r="M3662" s="645">
        <v>1</v>
      </c>
      <c r="N3662" s="646" t="s">
        <v>564</v>
      </c>
      <c r="O3662" s="646" t="s">
        <v>5088</v>
      </c>
      <c r="P3662" s="691">
        <v>1287</v>
      </c>
      <c r="Q3662" s="646" t="s">
        <v>564</v>
      </c>
      <c r="R3662" s="645">
        <f>M3662*P3662</f>
        <v>1287</v>
      </c>
    </row>
    <row r="3663" spans="5:18" ht="20.100000000000001" customHeight="1">
      <c r="E3663" s="221"/>
      <c r="F3663" s="221">
        <v>1</v>
      </c>
      <c r="G3663" s="221" t="s">
        <v>1414</v>
      </c>
      <c r="H3663" s="221" t="s">
        <v>2872</v>
      </c>
      <c r="I3663" s="221">
        <f>K3677</f>
        <v>278.37</v>
      </c>
      <c r="J3663" s="221" t="s">
        <v>1414</v>
      </c>
      <c r="K3663" s="221">
        <f t="shared" ref="K3663:K3673" si="109">F3663*I3663</f>
        <v>278.37</v>
      </c>
      <c r="L3663" s="221"/>
      <c r="M3663" s="645">
        <v>3</v>
      </c>
      <c r="N3663" s="646" t="s">
        <v>564</v>
      </c>
      <c r="O3663" s="646" t="s">
        <v>5089</v>
      </c>
      <c r="P3663" s="691">
        <v>1591</v>
      </c>
      <c r="Q3663" s="646" t="s">
        <v>564</v>
      </c>
      <c r="R3663" s="645">
        <f>M3663*P3663</f>
        <v>4773</v>
      </c>
    </row>
    <row r="3664" spans="5:18" ht="20.100000000000001" customHeight="1">
      <c r="E3664" s="221"/>
      <c r="F3664" s="221">
        <v>1</v>
      </c>
      <c r="G3664" s="221" t="s">
        <v>1414</v>
      </c>
      <c r="H3664" s="221" t="s">
        <v>3917</v>
      </c>
      <c r="I3664" s="276">
        <f>I3415</f>
        <v>84.4</v>
      </c>
      <c r="J3664" s="221" t="s">
        <v>1414</v>
      </c>
      <c r="K3664" s="221">
        <f t="shared" si="109"/>
        <v>84.4</v>
      </c>
      <c r="L3664" s="221"/>
      <c r="M3664" s="645">
        <v>3</v>
      </c>
      <c r="N3664" s="646" t="s">
        <v>564</v>
      </c>
      <c r="O3664" s="646" t="s">
        <v>4872</v>
      </c>
      <c r="P3664" s="691">
        <v>581</v>
      </c>
      <c r="Q3664" s="646" t="s">
        <v>564</v>
      </c>
      <c r="R3664" s="645">
        <f>M3664*P3664</f>
        <v>1743</v>
      </c>
    </row>
    <row r="3665" spans="4:18" ht="20.100000000000001" customHeight="1">
      <c r="E3665" s="221"/>
      <c r="F3665" s="221">
        <v>1</v>
      </c>
      <c r="G3665" s="221" t="s">
        <v>1414</v>
      </c>
      <c r="H3665" s="221" t="s">
        <v>2874</v>
      </c>
      <c r="I3665" s="221">
        <f>I3478</f>
        <v>25</v>
      </c>
      <c r="J3665" s="221" t="s">
        <v>1414</v>
      </c>
      <c r="K3665" s="221">
        <f t="shared" si="109"/>
        <v>25</v>
      </c>
      <c r="L3665" s="221"/>
      <c r="M3665" s="287">
        <v>12</v>
      </c>
      <c r="N3665" s="646" t="s">
        <v>564</v>
      </c>
      <c r="O3665" s="289" t="s">
        <v>4873</v>
      </c>
      <c r="P3665" s="287">
        <v>127</v>
      </c>
      <c r="Q3665" s="646" t="s">
        <v>564</v>
      </c>
      <c r="R3665" s="287">
        <f>M3665*P3665</f>
        <v>1524</v>
      </c>
    </row>
    <row r="3666" spans="4:18" ht="20.100000000000001" customHeight="1">
      <c r="E3666" s="221"/>
      <c r="F3666" s="221">
        <v>5</v>
      </c>
      <c r="G3666" s="221" t="s">
        <v>835</v>
      </c>
      <c r="H3666" s="221" t="s">
        <v>4781</v>
      </c>
      <c r="I3666" s="222">
        <f>I3612</f>
        <v>98.6</v>
      </c>
      <c r="J3666" s="221" t="s">
        <v>835</v>
      </c>
      <c r="K3666" s="221">
        <f t="shared" si="109"/>
        <v>493</v>
      </c>
      <c r="L3666" s="221"/>
      <c r="M3666" s="287"/>
      <c r="N3666" s="285" t="s">
        <v>663</v>
      </c>
      <c r="O3666" s="289" t="s">
        <v>4874</v>
      </c>
      <c r="P3666" s="287"/>
      <c r="Q3666" s="285" t="s">
        <v>663</v>
      </c>
      <c r="R3666" s="287">
        <v>52.7</v>
      </c>
    </row>
    <row r="3667" spans="4:18">
      <c r="E3667" s="221"/>
      <c r="F3667" s="221">
        <v>20</v>
      </c>
      <c r="G3667" s="221" t="s">
        <v>835</v>
      </c>
      <c r="H3667" s="242" t="s">
        <v>2734</v>
      </c>
      <c r="I3667" s="221">
        <f>I3098</f>
        <v>38.299999999999997</v>
      </c>
      <c r="J3667" s="221" t="s">
        <v>835</v>
      </c>
      <c r="K3667" s="221">
        <f t="shared" si="109"/>
        <v>766</v>
      </c>
      <c r="L3667" s="221"/>
      <c r="M3667" s="287"/>
      <c r="N3667" s="285" t="s">
        <v>663</v>
      </c>
      <c r="O3667" s="289" t="s">
        <v>4875</v>
      </c>
      <c r="P3667" s="1849" t="s">
        <v>663</v>
      </c>
      <c r="Q3667" s="1849"/>
      <c r="R3667" s="287">
        <v>21</v>
      </c>
    </row>
    <row r="3668" spans="4:18" ht="20.100000000000001" customHeight="1">
      <c r="E3668" s="221"/>
      <c r="F3668" s="221"/>
      <c r="G3668" s="221"/>
      <c r="H3668" s="229" t="s">
        <v>3266</v>
      </c>
      <c r="I3668" s="221"/>
      <c r="J3668" s="221"/>
      <c r="K3668" s="221"/>
      <c r="L3668" s="221"/>
      <c r="M3668" s="287"/>
      <c r="N3668" s="285"/>
      <c r="P3668" s="285"/>
      <c r="Q3668" s="285"/>
      <c r="R3668" s="290">
        <f>SUM(R3661:R3667)</f>
        <v>14710.7</v>
      </c>
    </row>
    <row r="3669" spans="4:18" ht="56.25" customHeight="1">
      <c r="E3669" s="221"/>
      <c r="F3669" s="221">
        <v>1</v>
      </c>
      <c r="G3669" s="221" t="s">
        <v>1414</v>
      </c>
      <c r="H3669" s="242" t="s">
        <v>3300</v>
      </c>
      <c r="I3669" s="221">
        <f>I3662</f>
        <v>310</v>
      </c>
      <c r="J3669" s="221" t="s">
        <v>1414</v>
      </c>
      <c r="K3669" s="221">
        <f t="shared" si="109"/>
        <v>310</v>
      </c>
      <c r="L3669" s="221"/>
      <c r="M3669" s="287"/>
      <c r="N3669" s="285"/>
      <c r="O3669" s="646" t="s">
        <v>2532</v>
      </c>
      <c r="P3669" s="646"/>
      <c r="Q3669" s="646"/>
      <c r="R3669" s="645">
        <f>R3668*1%</f>
        <v>147.11000000000001</v>
      </c>
    </row>
    <row r="3670" spans="4:18">
      <c r="E3670" s="221"/>
      <c r="F3670" s="221">
        <v>1</v>
      </c>
      <c r="G3670" s="221" t="s">
        <v>1414</v>
      </c>
      <c r="H3670" s="221" t="s">
        <v>5051</v>
      </c>
      <c r="I3670" s="260">
        <v>768</v>
      </c>
      <c r="J3670" s="221" t="s">
        <v>1414</v>
      </c>
      <c r="K3670" s="221">
        <f t="shared" si="109"/>
        <v>768</v>
      </c>
      <c r="L3670" s="221"/>
      <c r="M3670" s="221"/>
      <c r="O3670" s="647" t="s">
        <v>4876</v>
      </c>
      <c r="R3670" s="87">
        <v>1696.5</v>
      </c>
    </row>
    <row r="3671" spans="4:18">
      <c r="E3671" s="221"/>
      <c r="F3671" s="221">
        <v>1</v>
      </c>
      <c r="G3671" s="221" t="s">
        <v>1414</v>
      </c>
      <c r="H3671" s="221" t="s">
        <v>3301</v>
      </c>
      <c r="I3671" s="502">
        <v>93.5</v>
      </c>
      <c r="J3671" s="221" t="s">
        <v>1414</v>
      </c>
      <c r="K3671" s="221">
        <f t="shared" si="109"/>
        <v>93.5</v>
      </c>
      <c r="L3671" s="221"/>
      <c r="M3671" s="221"/>
      <c r="O3671" s="290" t="s">
        <v>2397</v>
      </c>
      <c r="R3671" s="87">
        <f>R3670+R3669+R3668</f>
        <v>16554.310000000001</v>
      </c>
    </row>
    <row r="3672" spans="4:18">
      <c r="E3672" s="221"/>
      <c r="F3672" s="221">
        <v>1</v>
      </c>
      <c r="G3672" s="221" t="s">
        <v>1414</v>
      </c>
      <c r="H3672" s="221" t="s">
        <v>3302</v>
      </c>
      <c r="I3672" s="502">
        <v>89.6</v>
      </c>
      <c r="J3672" s="221" t="s">
        <v>1414</v>
      </c>
      <c r="K3672" s="221">
        <f t="shared" si="109"/>
        <v>89.6</v>
      </c>
      <c r="L3672" s="221"/>
      <c r="M3672" s="221"/>
      <c r="O3672" s="290" t="s">
        <v>4322</v>
      </c>
      <c r="R3672" s="93">
        <v>16417</v>
      </c>
    </row>
    <row r="3673" spans="4:18">
      <c r="E3673" s="221"/>
      <c r="F3673" s="221">
        <v>1</v>
      </c>
      <c r="G3673" s="221" t="s">
        <v>1414</v>
      </c>
      <c r="H3673" s="221" t="s">
        <v>2872</v>
      </c>
      <c r="I3673" s="221">
        <f>K3677</f>
        <v>278.37</v>
      </c>
      <c r="J3673" s="221" t="s">
        <v>1414</v>
      </c>
      <c r="K3673" s="221">
        <f t="shared" si="109"/>
        <v>278.37</v>
      </c>
      <c r="L3673" s="221"/>
      <c r="M3673" s="221"/>
    </row>
    <row r="3674" spans="4:18">
      <c r="D3674" s="244">
        <f>0.6*0.225*0.02</f>
        <v>2.7000000000000001E-3</v>
      </c>
      <c r="E3674" s="221"/>
      <c r="F3674" s="221"/>
      <c r="G3674" s="221"/>
      <c r="H3674" s="221" t="s">
        <v>2654</v>
      </c>
      <c r="I3674" s="221"/>
      <c r="J3674" s="221"/>
      <c r="K3674" s="221">
        <f>K3627</f>
        <v>1537.67</v>
      </c>
      <c r="L3674" s="221"/>
      <c r="M3674" s="221"/>
    </row>
    <row r="3675" spans="4:18" ht="41.25" customHeight="1">
      <c r="E3675" s="221"/>
      <c r="F3675" s="221"/>
      <c r="G3675" s="221"/>
      <c r="H3675" s="242" t="s">
        <v>2655</v>
      </c>
      <c r="I3675" s="221"/>
      <c r="J3675" s="221"/>
      <c r="K3675" s="221">
        <v>10.47</v>
      </c>
      <c r="L3675" s="221"/>
      <c r="M3675" s="221">
        <f>4685-K3676</f>
        <v>-359.38</v>
      </c>
    </row>
    <row r="3676" spans="4:18" ht="24.95" customHeight="1">
      <c r="E3676" s="221"/>
      <c r="F3676" s="221"/>
      <c r="G3676" s="221"/>
      <c r="H3676" s="226" t="s">
        <v>1080</v>
      </c>
      <c r="I3676" s="221"/>
      <c r="J3676" s="221"/>
      <c r="K3676" s="229">
        <f>SUM(K3662:K3675)</f>
        <v>5044.38</v>
      </c>
      <c r="L3676" s="221"/>
      <c r="M3676" s="221">
        <f>K3676-4190</f>
        <v>854.38</v>
      </c>
    </row>
    <row r="3677" spans="4:18" ht="20.100000000000001" customHeight="1">
      <c r="E3677" s="221"/>
      <c r="F3677" s="221"/>
      <c r="G3677" s="221"/>
      <c r="H3677" s="229" t="s">
        <v>4819</v>
      </c>
      <c r="I3677" s="221">
        <f>I3628</f>
        <v>103100</v>
      </c>
      <c r="J3677" s="235">
        <v>2.7000000000000001E-3</v>
      </c>
      <c r="K3677" s="229">
        <f>I3677*J3677</f>
        <v>278.37</v>
      </c>
      <c r="L3677" s="221"/>
      <c r="M3677" s="221"/>
    </row>
    <row r="3678" spans="4:18">
      <c r="E3678" s="221"/>
      <c r="F3678" s="221"/>
      <c r="G3678" s="221"/>
      <c r="H3678" s="229" t="s">
        <v>2656</v>
      </c>
      <c r="I3678" s="221"/>
      <c r="J3678" s="221"/>
      <c r="K3678" s="221"/>
      <c r="L3678" s="221"/>
      <c r="M3678" s="221"/>
    </row>
    <row r="3679" spans="4:18">
      <c r="E3679" s="221"/>
      <c r="F3679" s="221"/>
      <c r="G3679" s="221"/>
      <c r="H3679" s="229"/>
      <c r="I3679" s="221"/>
      <c r="J3679" s="221"/>
      <c r="K3679" s="221"/>
      <c r="L3679" s="221"/>
      <c r="M3679" s="221"/>
    </row>
    <row r="3680" spans="4:18" ht="31.5">
      <c r="E3680" s="221"/>
      <c r="F3680" s="221"/>
      <c r="G3680" s="221"/>
      <c r="H3680" s="219" t="s">
        <v>1747</v>
      </c>
      <c r="I3680" s="221"/>
      <c r="J3680" s="221"/>
      <c r="K3680" s="221"/>
      <c r="L3680" s="221"/>
      <c r="M3680" s="221"/>
    </row>
    <row r="3681" spans="5:13">
      <c r="E3681" s="221"/>
      <c r="F3681" s="221"/>
      <c r="G3681" s="221"/>
      <c r="H3681" s="221" t="s">
        <v>806</v>
      </c>
      <c r="I3681" s="221"/>
      <c r="J3681" s="221"/>
      <c r="K3681" s="221"/>
      <c r="L3681" s="221"/>
      <c r="M3681" s="221"/>
    </row>
    <row r="3682" spans="5:13" ht="35.25" customHeight="1">
      <c r="E3682" s="221"/>
      <c r="F3682" s="221">
        <v>90</v>
      </c>
      <c r="G3682" s="221" t="s">
        <v>372</v>
      </c>
      <c r="H3682" s="220" t="s">
        <v>2239</v>
      </c>
      <c r="I3682" s="276">
        <f>I2996</f>
        <v>19.100000000000001</v>
      </c>
      <c r="J3682" s="221" t="s">
        <v>372</v>
      </c>
      <c r="K3682" s="221">
        <f>F3682*I3682</f>
        <v>1719</v>
      </c>
      <c r="L3682" s="221"/>
      <c r="M3682" s="221"/>
    </row>
    <row r="3683" spans="5:13">
      <c r="E3683" s="221"/>
      <c r="F3683" s="221">
        <v>0.15</v>
      </c>
      <c r="G3683" s="221" t="s">
        <v>530</v>
      </c>
      <c r="H3683" s="221" t="s">
        <v>871</v>
      </c>
      <c r="I3683" s="276">
        <f>Data!Y29</f>
        <v>5960</v>
      </c>
      <c r="J3683" s="221" t="s">
        <v>530</v>
      </c>
      <c r="K3683" s="221">
        <f>F3683*I3683</f>
        <v>894</v>
      </c>
      <c r="L3683" s="221"/>
      <c r="M3683" s="221"/>
    </row>
    <row r="3684" spans="5:13">
      <c r="E3684" s="221"/>
      <c r="F3684" s="221">
        <v>1</v>
      </c>
      <c r="G3684" s="221" t="s">
        <v>778</v>
      </c>
      <c r="H3684" s="221" t="s">
        <v>371</v>
      </c>
      <c r="I3684" s="221">
        <f>I3623</f>
        <v>712</v>
      </c>
      <c r="J3684" s="221" t="s">
        <v>778</v>
      </c>
      <c r="K3684" s="221">
        <f>F3684*I3684</f>
        <v>712</v>
      </c>
      <c r="L3684" s="221"/>
      <c r="M3684" s="221"/>
    </row>
    <row r="3685" spans="5:13">
      <c r="E3685" s="221"/>
      <c r="F3685" s="221">
        <v>2</v>
      </c>
      <c r="G3685" s="221" t="s">
        <v>778</v>
      </c>
      <c r="H3685" s="221" t="s">
        <v>1737</v>
      </c>
      <c r="I3685" s="276">
        <f>I2871</f>
        <v>804</v>
      </c>
      <c r="J3685" s="221" t="s">
        <v>778</v>
      </c>
      <c r="K3685" s="221">
        <f>F3685*I3685</f>
        <v>1608</v>
      </c>
      <c r="L3685" s="221"/>
      <c r="M3685" s="221"/>
    </row>
    <row r="3686" spans="5:13">
      <c r="E3686" s="221"/>
      <c r="F3686" s="221">
        <v>4</v>
      </c>
      <c r="G3686" s="221" t="s">
        <v>778</v>
      </c>
      <c r="H3686" s="221" t="s">
        <v>1304</v>
      </c>
      <c r="I3686" s="221">
        <f>I3590</f>
        <v>556</v>
      </c>
      <c r="J3686" s="221" t="s">
        <v>778</v>
      </c>
      <c r="K3686" s="221">
        <f>F3686*I3686</f>
        <v>2224</v>
      </c>
      <c r="L3686" s="221"/>
      <c r="M3686" s="221"/>
    </row>
    <row r="3687" spans="5:13" ht="30" customHeight="1">
      <c r="E3687" s="221"/>
      <c r="F3687" s="221"/>
      <c r="G3687" s="221"/>
      <c r="H3687" s="220" t="s">
        <v>373</v>
      </c>
      <c r="I3687" s="221"/>
      <c r="J3687" s="221"/>
      <c r="K3687" s="221">
        <v>101</v>
      </c>
      <c r="L3687" s="221"/>
      <c r="M3687" s="221"/>
    </row>
    <row r="3688" spans="5:13" ht="18.75" customHeight="1">
      <c r="E3688" s="221"/>
      <c r="F3688" s="221"/>
      <c r="G3688" s="221"/>
      <c r="H3688" s="226" t="s">
        <v>2292</v>
      </c>
      <c r="I3688" s="221"/>
      <c r="J3688" s="221"/>
      <c r="K3688" s="221">
        <f>SUM(K3682:K3687)</f>
        <v>7258</v>
      </c>
      <c r="L3688" s="221"/>
      <c r="M3688" s="221">
        <f>K3688-M3689</f>
        <v>1534</v>
      </c>
    </row>
    <row r="3689" spans="5:13" ht="18.75" customHeight="1">
      <c r="E3689" s="221"/>
      <c r="F3689" s="221"/>
      <c r="G3689" s="221"/>
      <c r="H3689" s="228" t="s">
        <v>1141</v>
      </c>
      <c r="I3689" s="221"/>
      <c r="J3689" s="221"/>
      <c r="K3689" s="245">
        <f>K3688/90</f>
        <v>80.64</v>
      </c>
      <c r="L3689" s="221">
        <f>58.5*90</f>
        <v>5265</v>
      </c>
      <c r="M3689" s="221">
        <f>63.6*90</f>
        <v>5724</v>
      </c>
    </row>
    <row r="3690" spans="5:13">
      <c r="E3690" s="221"/>
      <c r="F3690" s="221"/>
      <c r="G3690" s="221"/>
      <c r="H3690" s="221"/>
      <c r="I3690" s="221"/>
      <c r="J3690" s="221"/>
      <c r="K3690" s="221"/>
      <c r="L3690" s="221">
        <f>L3689-K3688</f>
        <v>-1993</v>
      </c>
      <c r="M3690" s="221"/>
    </row>
    <row r="3691" spans="5:13" ht="20.25" customHeight="1">
      <c r="E3691" s="221"/>
      <c r="F3691" s="221"/>
      <c r="G3691" s="221"/>
      <c r="H3691" s="229" t="s">
        <v>2657</v>
      </c>
      <c r="I3691" s="221"/>
      <c r="J3691" s="221"/>
      <c r="K3691" s="221"/>
      <c r="L3691" s="221"/>
      <c r="M3691" s="221"/>
    </row>
    <row r="3692" spans="5:13" ht="20.25" customHeight="1">
      <c r="E3692" s="221"/>
      <c r="F3692" s="221"/>
      <c r="G3692" s="221"/>
      <c r="H3692" s="221" t="s">
        <v>2658</v>
      </c>
      <c r="I3692" s="221"/>
      <c r="J3692" s="221"/>
      <c r="K3692" s="221">
        <f>K3689</f>
        <v>80.64</v>
      </c>
      <c r="L3692" s="221"/>
      <c r="M3692" s="221"/>
    </row>
    <row r="3693" spans="5:13" ht="20.25" customHeight="1">
      <c r="E3693" s="221"/>
      <c r="F3693" s="221">
        <v>1</v>
      </c>
      <c r="G3693" s="221" t="s">
        <v>835</v>
      </c>
      <c r="H3693" s="221" t="s">
        <v>4119</v>
      </c>
      <c r="I3693" s="221">
        <f>I3682</f>
        <v>19.100000000000001</v>
      </c>
      <c r="J3693" s="221" t="s">
        <v>835</v>
      </c>
      <c r="K3693" s="221">
        <f>F3693*I3693</f>
        <v>19.100000000000001</v>
      </c>
      <c r="L3693" s="221"/>
      <c r="M3693" s="221"/>
    </row>
    <row r="3694" spans="5:13" ht="20.25" customHeight="1">
      <c r="E3694" s="221"/>
      <c r="F3694" s="221">
        <v>1</v>
      </c>
      <c r="G3694" s="221" t="s">
        <v>835</v>
      </c>
      <c r="H3694" s="221" t="s">
        <v>4412</v>
      </c>
      <c r="I3694" s="221">
        <f>I3113</f>
        <v>28.4</v>
      </c>
      <c r="J3694" s="221" t="s">
        <v>835</v>
      </c>
      <c r="K3694" s="221">
        <f>F3694*I3694</f>
        <v>28.4</v>
      </c>
      <c r="L3694" s="221"/>
      <c r="M3694" s="221"/>
    </row>
    <row r="3695" spans="5:13" ht="20.25" customHeight="1">
      <c r="E3695" s="221"/>
      <c r="F3695" s="221"/>
      <c r="G3695" s="221"/>
      <c r="H3695" s="221"/>
      <c r="I3695" s="221"/>
      <c r="J3695" s="221"/>
      <c r="K3695" s="229">
        <f>(K3692-K3693)+K3694</f>
        <v>89.94</v>
      </c>
      <c r="L3695" s="221"/>
      <c r="M3695" s="221"/>
    </row>
    <row r="3696" spans="5:13" ht="20.25" customHeight="1">
      <c r="E3696" s="221"/>
      <c r="F3696" s="221"/>
      <c r="G3696" s="221"/>
      <c r="H3696" s="229" t="s">
        <v>2660</v>
      </c>
      <c r="I3696" s="221"/>
      <c r="J3696" s="221"/>
      <c r="K3696" s="221"/>
      <c r="L3696" s="221"/>
      <c r="M3696" s="221"/>
    </row>
    <row r="3697" spans="5:13">
      <c r="E3697" s="221"/>
      <c r="F3697" s="221"/>
      <c r="G3697" s="221"/>
      <c r="H3697" s="229"/>
      <c r="I3697" s="221"/>
      <c r="J3697" s="221"/>
      <c r="K3697" s="221"/>
      <c r="L3697" s="221"/>
      <c r="M3697" s="221"/>
    </row>
    <row r="3698" spans="5:13" ht="19.5" customHeight="1">
      <c r="E3698" s="221"/>
      <c r="F3698" s="221"/>
      <c r="G3698" s="221"/>
      <c r="H3698" s="229" t="s">
        <v>2661</v>
      </c>
      <c r="I3698" s="221"/>
      <c r="J3698" s="221"/>
      <c r="K3698" s="221"/>
      <c r="L3698" s="221"/>
      <c r="M3698" s="221"/>
    </row>
    <row r="3699" spans="5:13" ht="21.75" customHeight="1">
      <c r="E3699" s="221"/>
      <c r="F3699" s="221">
        <v>1</v>
      </c>
      <c r="G3699" s="221" t="s">
        <v>1414</v>
      </c>
      <c r="H3699" s="221" t="s">
        <v>5052</v>
      </c>
      <c r="I3699" s="222">
        <v>37.1</v>
      </c>
      <c r="J3699" s="221" t="s">
        <v>1414</v>
      </c>
      <c r="K3699" s="221">
        <f>F3699*I3699</f>
        <v>37.1</v>
      </c>
      <c r="L3699" s="221"/>
      <c r="M3699" s="221"/>
    </row>
    <row r="3700" spans="5:13" ht="21.75" customHeight="1">
      <c r="E3700" s="221"/>
      <c r="F3700" s="224">
        <v>1.4999999999999999E-2</v>
      </c>
      <c r="G3700" s="221" t="s">
        <v>2308</v>
      </c>
      <c r="H3700" s="242" t="s">
        <v>3517</v>
      </c>
      <c r="I3700" s="221">
        <f>I3000</f>
        <v>630</v>
      </c>
      <c r="J3700" s="221" t="s">
        <v>2308</v>
      </c>
      <c r="K3700" s="221">
        <f>F3700*I3700</f>
        <v>9.4499999999999993</v>
      </c>
      <c r="L3700" s="221"/>
      <c r="M3700" s="221"/>
    </row>
    <row r="3701" spans="5:13" ht="21.75" customHeight="1">
      <c r="E3701" s="221"/>
      <c r="F3701" s="221"/>
      <c r="G3701" s="221"/>
      <c r="H3701" s="221" t="s">
        <v>3507</v>
      </c>
      <c r="I3701" s="221"/>
      <c r="J3701" s="221" t="s">
        <v>663</v>
      </c>
      <c r="K3701" s="221">
        <v>7.45</v>
      </c>
      <c r="L3701" s="221"/>
      <c r="M3701" s="221"/>
    </row>
    <row r="3702" spans="5:13" ht="21.75" customHeight="1">
      <c r="E3702" s="221"/>
      <c r="F3702" s="221"/>
      <c r="G3702" s="221"/>
      <c r="H3702" s="228" t="s">
        <v>1080</v>
      </c>
      <c r="I3702" s="221"/>
      <c r="J3702" s="221"/>
      <c r="K3702" s="229">
        <f>SUM(K3699:K3701)</f>
        <v>54</v>
      </c>
      <c r="L3702" s="221">
        <f>K3702-49</f>
        <v>5</v>
      </c>
      <c r="M3702" s="221"/>
    </row>
    <row r="3703" spans="5:13">
      <c r="E3703" s="221"/>
      <c r="F3703" s="221"/>
      <c r="G3703" s="221"/>
      <c r="H3703" s="221"/>
      <c r="I3703" s="221"/>
      <c r="J3703" s="221"/>
      <c r="K3703" s="221"/>
      <c r="L3703" s="221"/>
      <c r="M3703" s="221"/>
    </row>
    <row r="3704" spans="5:13">
      <c r="E3704" s="221"/>
      <c r="F3704" s="221"/>
      <c r="G3704" s="221"/>
      <c r="H3704" s="229" t="s">
        <v>3508</v>
      </c>
      <c r="I3704" s="221"/>
      <c r="J3704" s="221"/>
      <c r="K3704" s="221"/>
      <c r="L3704" s="221"/>
      <c r="M3704" s="221"/>
    </row>
    <row r="3705" spans="5:13">
      <c r="E3705" s="221"/>
      <c r="F3705" s="221"/>
      <c r="G3705" s="221"/>
      <c r="H3705" s="221"/>
      <c r="I3705" s="221"/>
      <c r="J3705" s="221"/>
      <c r="K3705" s="221"/>
      <c r="L3705" s="221"/>
      <c r="M3705" s="221"/>
    </row>
    <row r="3706" spans="5:13" ht="57.75" customHeight="1">
      <c r="E3706" s="221"/>
      <c r="F3706" s="221"/>
      <c r="G3706" s="221"/>
      <c r="H3706" s="297" t="s">
        <v>3438</v>
      </c>
      <c r="I3706" s="221"/>
      <c r="J3706" s="221"/>
      <c r="K3706" s="221"/>
      <c r="L3706" s="221"/>
      <c r="M3706" s="221"/>
    </row>
    <row r="3707" spans="5:13">
      <c r="E3707" s="221"/>
      <c r="F3707" s="221"/>
      <c r="G3707" s="221"/>
      <c r="H3707" s="221"/>
      <c r="I3707" s="221"/>
      <c r="J3707" s="221"/>
      <c r="K3707" s="221"/>
      <c r="L3707" s="221"/>
      <c r="M3707" s="221"/>
    </row>
    <row r="3708" spans="5:13" ht="21.75" customHeight="1">
      <c r="E3708" s="221"/>
      <c r="F3708" s="221">
        <v>1</v>
      </c>
      <c r="G3708" s="221" t="s">
        <v>1414</v>
      </c>
      <c r="H3708" s="221" t="s">
        <v>5053</v>
      </c>
      <c r="I3708" s="222">
        <v>13.8</v>
      </c>
      <c r="J3708" s="221" t="s">
        <v>1414</v>
      </c>
      <c r="K3708" s="221">
        <f>F3708*I3708</f>
        <v>13.8</v>
      </c>
      <c r="L3708" s="221"/>
      <c r="M3708" s="221"/>
    </row>
    <row r="3709" spans="5:13" ht="21.75" customHeight="1">
      <c r="E3709" s="221"/>
      <c r="F3709" s="221">
        <v>0.01</v>
      </c>
      <c r="G3709" s="221" t="s">
        <v>3509</v>
      </c>
      <c r="H3709" s="221" t="s">
        <v>3517</v>
      </c>
      <c r="I3709" s="221">
        <f>I3700</f>
        <v>630</v>
      </c>
      <c r="J3709" s="221" t="s">
        <v>2308</v>
      </c>
      <c r="K3709" s="221">
        <f>F3709*I3709</f>
        <v>6.3</v>
      </c>
      <c r="L3709" s="221"/>
      <c r="M3709" s="221"/>
    </row>
    <row r="3710" spans="5:13" ht="21.75" customHeight="1">
      <c r="E3710" s="221"/>
      <c r="F3710" s="221">
        <v>1</v>
      </c>
      <c r="G3710" s="221" t="s">
        <v>1414</v>
      </c>
      <c r="H3710" s="221" t="s">
        <v>3510</v>
      </c>
      <c r="I3710" s="303">
        <v>49.5</v>
      </c>
      <c r="J3710" s="221" t="s">
        <v>1414</v>
      </c>
      <c r="K3710" s="221">
        <f>F3710*I3710</f>
        <v>49.5</v>
      </c>
      <c r="L3710" s="221"/>
      <c r="M3710" s="221"/>
    </row>
    <row r="3711" spans="5:13" ht="21.75" customHeight="1">
      <c r="E3711" s="221"/>
      <c r="F3711" s="221"/>
      <c r="G3711" s="221"/>
      <c r="H3711" s="221" t="s">
        <v>3511</v>
      </c>
      <c r="I3711" s="221" t="s">
        <v>663</v>
      </c>
      <c r="J3711" s="221"/>
      <c r="K3711" s="221">
        <v>7.07</v>
      </c>
      <c r="L3711" s="221"/>
      <c r="M3711" s="221"/>
    </row>
    <row r="3712" spans="5:13" ht="21.75" customHeight="1">
      <c r="E3712" s="221"/>
      <c r="F3712" s="221"/>
      <c r="G3712" s="221"/>
      <c r="H3712" s="228" t="s">
        <v>3512</v>
      </c>
      <c r="I3712" s="221"/>
      <c r="J3712" s="221"/>
      <c r="K3712" s="229">
        <f>SUM(K3708:K3711)</f>
        <v>76.67</v>
      </c>
      <c r="L3712" s="221"/>
      <c r="M3712" s="221">
        <f>K3712-75</f>
        <v>1.67</v>
      </c>
    </row>
    <row r="3713" spans="5:13">
      <c r="E3713" s="221"/>
      <c r="F3713" s="221"/>
      <c r="G3713" s="221"/>
      <c r="H3713" s="221"/>
      <c r="I3713" s="221"/>
      <c r="J3713" s="221"/>
      <c r="K3713" s="221"/>
      <c r="L3713" s="221"/>
      <c r="M3713" s="221"/>
    </row>
    <row r="3714" spans="5:13">
      <c r="E3714" s="221"/>
      <c r="F3714" s="221"/>
      <c r="G3714" s="221"/>
      <c r="H3714" s="229" t="s">
        <v>3513</v>
      </c>
      <c r="I3714" s="221"/>
      <c r="J3714" s="221"/>
      <c r="K3714" s="221"/>
      <c r="L3714" s="221"/>
      <c r="M3714" s="221"/>
    </row>
    <row r="3715" spans="5:13">
      <c r="E3715" s="221"/>
      <c r="F3715" s="221"/>
      <c r="G3715" s="221"/>
      <c r="H3715" s="221"/>
      <c r="I3715" s="221"/>
      <c r="J3715" s="221"/>
      <c r="K3715" s="221"/>
      <c r="L3715" s="221"/>
      <c r="M3715" s="221"/>
    </row>
    <row r="3716" spans="5:13" ht="287.25" customHeight="1">
      <c r="E3716" s="221"/>
      <c r="F3716" s="221"/>
      <c r="G3716" s="221"/>
      <c r="H3716" s="284" t="s">
        <v>3020</v>
      </c>
      <c r="I3716" s="221"/>
      <c r="J3716" s="221"/>
      <c r="K3716" s="221"/>
      <c r="L3716" s="221"/>
      <c r="M3716" s="221"/>
    </row>
    <row r="3717" spans="5:13">
      <c r="E3717" s="221"/>
      <c r="F3717" s="221"/>
      <c r="G3717" s="221"/>
      <c r="H3717" s="221"/>
      <c r="I3717" s="221"/>
      <c r="J3717" s="221"/>
      <c r="K3717" s="221"/>
      <c r="L3717" s="221"/>
      <c r="M3717" s="221"/>
    </row>
    <row r="3718" spans="5:13" ht="22.5" customHeight="1">
      <c r="F3718" s="221">
        <v>6</v>
      </c>
      <c r="G3718" s="221" t="s">
        <v>835</v>
      </c>
      <c r="H3718" s="221" t="s">
        <v>5054</v>
      </c>
      <c r="I3718" s="222">
        <v>244.4</v>
      </c>
      <c r="J3718" s="221" t="s">
        <v>835</v>
      </c>
      <c r="K3718" s="221">
        <f>F3718*I3718</f>
        <v>1466.4</v>
      </c>
      <c r="L3718" s="221"/>
      <c r="M3718" s="221"/>
    </row>
    <row r="3719" spans="5:13" ht="22.5" customHeight="1">
      <c r="F3719" s="221">
        <v>2</v>
      </c>
      <c r="G3719" s="221" t="s">
        <v>835</v>
      </c>
      <c r="H3719" s="221" t="str">
        <f>H3666</f>
        <v>20 mm dia 'B' class GI pipe p- 50 it-142 iv</v>
      </c>
      <c r="I3719" s="221">
        <f>I3666</f>
        <v>98.6</v>
      </c>
      <c r="J3719" s="221" t="s">
        <v>835</v>
      </c>
      <c r="K3719" s="221">
        <f>F3719*I3719</f>
        <v>197.2</v>
      </c>
      <c r="L3719" s="221"/>
      <c r="M3719" s="221"/>
    </row>
    <row r="3720" spans="5:13" ht="22.5" customHeight="1">
      <c r="F3720" s="221">
        <v>1</v>
      </c>
      <c r="G3720" s="221" t="s">
        <v>1414</v>
      </c>
      <c r="H3720" s="221" t="s">
        <v>4820</v>
      </c>
      <c r="I3720" s="260">
        <v>194.1</v>
      </c>
      <c r="J3720" s="221" t="s">
        <v>1414</v>
      </c>
      <c r="K3720" s="221">
        <f>F3720*I3720</f>
        <v>194.1</v>
      </c>
      <c r="L3720" s="221"/>
      <c r="M3720" s="221"/>
    </row>
    <row r="3721" spans="5:13" ht="22.5" customHeight="1">
      <c r="F3721" s="221">
        <v>1</v>
      </c>
      <c r="G3721" s="221" t="s">
        <v>1414</v>
      </c>
      <c r="H3721" s="221" t="s">
        <v>5055</v>
      </c>
      <c r="I3721" s="260">
        <v>102.7</v>
      </c>
      <c r="J3721" s="221" t="s">
        <v>1414</v>
      </c>
      <c r="K3721" s="221">
        <f>F3721*I3721</f>
        <v>102.7</v>
      </c>
      <c r="L3721" s="221"/>
      <c r="M3721" s="221"/>
    </row>
    <row r="3722" spans="5:13" ht="22.5" customHeight="1">
      <c r="F3722" s="224">
        <v>0.23799999999999999</v>
      </c>
      <c r="G3722" s="221" t="s">
        <v>2176</v>
      </c>
      <c r="H3722" s="221" t="s">
        <v>4821</v>
      </c>
      <c r="I3722" s="303">
        <v>6400</v>
      </c>
      <c r="J3722" s="221" t="s">
        <v>2176</v>
      </c>
      <c r="K3722" s="221">
        <f>F3722*I3722</f>
        <v>1523.2</v>
      </c>
      <c r="L3722" s="221"/>
      <c r="M3722" s="221"/>
    </row>
    <row r="3723" spans="5:13" ht="43.5" customHeight="1">
      <c r="F3723" s="221"/>
      <c r="G3723" s="221" t="s">
        <v>663</v>
      </c>
      <c r="H3723" s="242" t="s">
        <v>3102</v>
      </c>
      <c r="I3723" s="221" t="s">
        <v>663</v>
      </c>
      <c r="J3723" s="221"/>
      <c r="K3723" s="221">
        <v>250</v>
      </c>
      <c r="L3723" s="221"/>
      <c r="M3723" s="221"/>
    </row>
    <row r="3724" spans="5:13" ht="60.75" customHeight="1">
      <c r="F3724" s="221">
        <v>1</v>
      </c>
      <c r="G3724" s="221" t="s">
        <v>1414</v>
      </c>
      <c r="H3724" s="220" t="s">
        <v>2746</v>
      </c>
      <c r="I3724" s="221" t="s">
        <v>663</v>
      </c>
      <c r="J3724" s="221"/>
      <c r="K3724" s="221">
        <v>97.7</v>
      </c>
      <c r="L3724" s="221"/>
      <c r="M3724" s="221"/>
    </row>
    <row r="3725" spans="5:13" ht="37.5" customHeight="1">
      <c r="F3725" s="221">
        <v>8</v>
      </c>
      <c r="G3725" s="221" t="s">
        <v>835</v>
      </c>
      <c r="H3725" s="242" t="s">
        <v>2747</v>
      </c>
      <c r="I3725" s="221">
        <f>I2843</f>
        <v>15.5</v>
      </c>
      <c r="J3725" s="221"/>
      <c r="K3725" s="221">
        <f>F3725*I3725</f>
        <v>124</v>
      </c>
      <c r="L3725" s="221"/>
      <c r="M3725" s="221"/>
    </row>
    <row r="3726" spans="5:13">
      <c r="E3726" s="221"/>
      <c r="F3726" s="221"/>
      <c r="G3726" s="221"/>
      <c r="H3726" s="221" t="s">
        <v>924</v>
      </c>
      <c r="I3726" s="221"/>
      <c r="J3726" s="221"/>
      <c r="K3726" s="221">
        <f>K3733</f>
        <v>2884</v>
      </c>
      <c r="L3726" s="221"/>
      <c r="M3726" s="221"/>
    </row>
    <row r="3727" spans="5:13">
      <c r="E3727" s="221"/>
      <c r="F3727" s="221"/>
      <c r="G3727" s="221"/>
      <c r="H3727" s="228" t="s">
        <v>1080</v>
      </c>
      <c r="I3727" s="221"/>
      <c r="J3727" s="221"/>
      <c r="K3727" s="229">
        <f>SUM(K3718:K3726)+1.1</f>
        <v>6840.4</v>
      </c>
      <c r="L3727" s="221"/>
      <c r="M3727" s="221">
        <f>K3727-5160</f>
        <v>1680.4</v>
      </c>
    </row>
    <row r="3728" spans="5:13" ht="3.75" customHeight="1">
      <c r="E3728" s="221"/>
      <c r="F3728" s="221"/>
      <c r="G3728" s="221"/>
      <c r="H3728" s="221"/>
      <c r="I3728" s="221"/>
      <c r="J3728" s="221"/>
      <c r="K3728" s="221"/>
      <c r="L3728" s="221"/>
      <c r="M3728" s="221"/>
    </row>
    <row r="3729" spans="5:13">
      <c r="E3729" s="221"/>
      <c r="F3729" s="221"/>
      <c r="G3729" s="221"/>
      <c r="H3729" s="227" t="s">
        <v>142</v>
      </c>
      <c r="I3729" s="221"/>
      <c r="J3729" s="221"/>
      <c r="K3729" s="221"/>
      <c r="L3729" s="221"/>
      <c r="M3729" s="221"/>
    </row>
    <row r="3730" spans="5:13">
      <c r="E3730" s="221"/>
      <c r="F3730" s="221">
        <v>0.5</v>
      </c>
      <c r="G3730" s="221" t="s">
        <v>1414</v>
      </c>
      <c r="H3730" s="221" t="s">
        <v>2800</v>
      </c>
      <c r="I3730" s="221">
        <f>I3623</f>
        <v>712</v>
      </c>
      <c r="J3730" s="221" t="s">
        <v>1414</v>
      </c>
      <c r="K3730" s="221">
        <f>F3730*I3730</f>
        <v>356</v>
      </c>
      <c r="L3730" s="221"/>
      <c r="M3730" s="221"/>
    </row>
    <row r="3731" spans="5:13">
      <c r="E3731" s="221"/>
      <c r="F3731" s="221">
        <v>2</v>
      </c>
      <c r="G3731" s="221" t="s">
        <v>1414</v>
      </c>
      <c r="H3731" s="221" t="s">
        <v>2619</v>
      </c>
      <c r="I3731" s="221">
        <f>I3624</f>
        <v>708</v>
      </c>
      <c r="J3731" s="221" t="s">
        <v>1414</v>
      </c>
      <c r="K3731" s="221">
        <f>F3731*I3731</f>
        <v>1416</v>
      </c>
      <c r="L3731" s="221"/>
      <c r="M3731" s="221"/>
    </row>
    <row r="3732" spans="5:13">
      <c r="E3732" s="221"/>
      <c r="F3732" s="221">
        <v>2</v>
      </c>
      <c r="G3732" s="221" t="s">
        <v>1414</v>
      </c>
      <c r="H3732" s="221" t="s">
        <v>2356</v>
      </c>
      <c r="I3732" s="221">
        <f>I3625</f>
        <v>556</v>
      </c>
      <c r="J3732" s="221" t="s">
        <v>1414</v>
      </c>
      <c r="K3732" s="221">
        <f>F3732*I3732</f>
        <v>1112</v>
      </c>
      <c r="L3732" s="221"/>
      <c r="M3732" s="221"/>
    </row>
    <row r="3733" spans="5:13">
      <c r="E3733" s="221"/>
      <c r="F3733" s="221"/>
      <c r="G3733" s="221"/>
      <c r="H3733" s="221"/>
      <c r="I3733" s="221"/>
      <c r="J3733" s="221"/>
      <c r="K3733" s="227">
        <f>SUM(K3730:K3732)</f>
        <v>2884</v>
      </c>
      <c r="L3733" s="221"/>
      <c r="M3733" s="221"/>
    </row>
    <row r="3734" spans="5:13">
      <c r="E3734" s="221"/>
      <c r="F3734" s="221"/>
      <c r="G3734" s="221"/>
      <c r="H3734" s="221"/>
      <c r="I3734" s="221"/>
      <c r="J3734" s="221"/>
      <c r="K3734" s="221"/>
      <c r="L3734" s="221"/>
      <c r="M3734" s="221"/>
    </row>
    <row r="3735" spans="5:13" ht="24.95" customHeight="1">
      <c r="E3735" s="221"/>
      <c r="F3735" s="221"/>
      <c r="G3735" s="221"/>
      <c r="H3735" s="229" t="s">
        <v>2748</v>
      </c>
      <c r="I3735" s="221"/>
      <c r="J3735" s="221"/>
      <c r="K3735" s="221"/>
      <c r="L3735" s="221"/>
      <c r="M3735" s="221"/>
    </row>
    <row r="3736" spans="5:13">
      <c r="E3736" s="221"/>
      <c r="F3736" s="221"/>
      <c r="G3736" s="221"/>
      <c r="H3736" s="221"/>
      <c r="I3736" s="221"/>
      <c r="J3736" s="221"/>
      <c r="K3736" s="221"/>
      <c r="L3736" s="221"/>
      <c r="M3736" s="221"/>
    </row>
    <row r="3737" spans="5:13" ht="24.95" customHeight="1">
      <c r="E3737" s="221"/>
      <c r="F3737" s="221"/>
      <c r="G3737" s="221"/>
      <c r="H3737" s="229" t="s">
        <v>4822</v>
      </c>
      <c r="I3737" s="221"/>
      <c r="J3737" s="221"/>
      <c r="K3737" s="221"/>
      <c r="L3737" s="221"/>
      <c r="M3737" s="221"/>
    </row>
    <row r="3738" spans="5:13">
      <c r="E3738" s="221"/>
      <c r="F3738" s="221"/>
      <c r="G3738" s="221"/>
      <c r="H3738" s="221"/>
      <c r="I3738" s="221"/>
      <c r="J3738" s="221"/>
      <c r="K3738" s="221"/>
      <c r="L3738" s="221"/>
      <c r="M3738" s="221"/>
    </row>
    <row r="3739" spans="5:13">
      <c r="E3739" s="221"/>
      <c r="F3739" s="221">
        <v>1</v>
      </c>
      <c r="G3739" s="221" t="s">
        <v>1414</v>
      </c>
      <c r="H3739" s="221" t="s">
        <v>5056</v>
      </c>
      <c r="I3739" s="243">
        <v>1340</v>
      </c>
      <c r="J3739" s="221" t="s">
        <v>1414</v>
      </c>
      <c r="K3739" s="221">
        <f>F3739*I3739</f>
        <v>1340</v>
      </c>
      <c r="L3739" s="221"/>
      <c r="M3739" s="221"/>
    </row>
    <row r="3740" spans="5:13">
      <c r="E3740" s="221"/>
      <c r="F3740" s="221"/>
      <c r="G3740" s="221"/>
      <c r="H3740" s="221" t="s">
        <v>2496</v>
      </c>
      <c r="I3740" s="222">
        <v>274.10000000000002</v>
      </c>
      <c r="J3740" s="221" t="s">
        <v>1414</v>
      </c>
      <c r="K3740" s="221">
        <f>I3740</f>
        <v>274.10000000000002</v>
      </c>
      <c r="L3740" s="221"/>
      <c r="M3740" s="221"/>
    </row>
    <row r="3741" spans="5:13" ht="39" customHeight="1">
      <c r="E3741" s="221"/>
      <c r="F3741" s="221"/>
      <c r="G3741" s="221"/>
      <c r="H3741" s="220" t="s">
        <v>4782</v>
      </c>
      <c r="I3741" s="221"/>
      <c r="J3741" s="221"/>
      <c r="K3741" s="222">
        <v>25.7</v>
      </c>
      <c r="L3741" s="221"/>
      <c r="M3741" s="221">
        <f>K3739+K3740+K3741</f>
        <v>1639.8</v>
      </c>
    </row>
    <row r="3742" spans="5:13">
      <c r="E3742" s="221"/>
      <c r="F3742" s="221"/>
      <c r="G3742" s="221"/>
      <c r="H3742" s="221" t="s">
        <v>2904</v>
      </c>
      <c r="I3742" s="221"/>
      <c r="J3742" s="230">
        <f>SUM(K3739:K3741)</f>
        <v>1639.8</v>
      </c>
      <c r="K3742" s="221">
        <v>14.7</v>
      </c>
      <c r="L3742" s="221"/>
      <c r="M3742" s="221"/>
    </row>
    <row r="3743" spans="5:13">
      <c r="E3743" s="221"/>
      <c r="F3743" s="221"/>
      <c r="G3743" s="221"/>
      <c r="H3743" s="221" t="s">
        <v>2905</v>
      </c>
      <c r="I3743" s="221"/>
      <c r="J3743" s="221"/>
      <c r="K3743" s="221">
        <f>K3750</f>
        <v>456</v>
      </c>
      <c r="L3743" s="221"/>
      <c r="M3743" s="221"/>
    </row>
    <row r="3744" spans="5:13" ht="24.95" customHeight="1">
      <c r="E3744" s="221"/>
      <c r="F3744" s="221"/>
      <c r="G3744" s="221"/>
      <c r="H3744" s="228" t="s">
        <v>2906</v>
      </c>
      <c r="I3744" s="221"/>
      <c r="J3744" s="221"/>
      <c r="K3744" s="229">
        <f>SUM(K3739:K3743)</f>
        <v>2110.5</v>
      </c>
      <c r="L3744" s="221">
        <f>14.97-0.27</f>
        <v>14.7</v>
      </c>
      <c r="M3744" s="221">
        <f>1883-K3744</f>
        <v>-227.5</v>
      </c>
    </row>
    <row r="3745" spans="5:13">
      <c r="E3745" s="221"/>
      <c r="F3745" s="221"/>
      <c r="G3745" s="221"/>
      <c r="H3745" s="221"/>
      <c r="I3745" s="221"/>
      <c r="J3745" s="221"/>
      <c r="K3745" s="221"/>
      <c r="L3745" s="221"/>
      <c r="M3745" s="221"/>
    </row>
    <row r="3746" spans="5:13">
      <c r="E3746" s="221"/>
      <c r="F3746" s="221"/>
      <c r="G3746" s="221"/>
      <c r="H3746" s="227" t="s">
        <v>924</v>
      </c>
      <c r="I3746" s="221"/>
      <c r="J3746" s="221"/>
      <c r="K3746" s="221"/>
      <c r="L3746" s="221"/>
      <c r="M3746" s="221"/>
    </row>
    <row r="3747" spans="5:13">
      <c r="E3747" s="221"/>
      <c r="F3747" s="221">
        <v>1</v>
      </c>
      <c r="G3747" s="221" t="s">
        <v>1414</v>
      </c>
      <c r="H3747" s="221" t="s">
        <v>2800</v>
      </c>
      <c r="I3747" s="221">
        <f>I3730</f>
        <v>712</v>
      </c>
      <c r="J3747" s="221" t="s">
        <v>1414</v>
      </c>
      <c r="K3747" s="221">
        <f>F3747*I3747</f>
        <v>712</v>
      </c>
      <c r="L3747" s="221"/>
      <c r="M3747" s="221"/>
    </row>
    <row r="3748" spans="5:13">
      <c r="E3748" s="221"/>
      <c r="F3748" s="221">
        <v>2</v>
      </c>
      <c r="G3748" s="221" t="s">
        <v>1414</v>
      </c>
      <c r="H3748" s="221" t="s">
        <v>2356</v>
      </c>
      <c r="I3748" s="221">
        <f>I3732</f>
        <v>556</v>
      </c>
      <c r="J3748" s="221" t="s">
        <v>1414</v>
      </c>
      <c r="K3748" s="221">
        <f>F3748*I3748</f>
        <v>1112</v>
      </c>
      <c r="L3748" s="221"/>
      <c r="M3748" s="221"/>
    </row>
    <row r="3749" spans="5:13">
      <c r="E3749" s="221"/>
      <c r="F3749" s="221"/>
      <c r="G3749" s="221"/>
      <c r="H3749" s="226" t="s">
        <v>2907</v>
      </c>
      <c r="I3749" s="221"/>
      <c r="J3749" s="221"/>
      <c r="K3749" s="227">
        <f>SUM(K3747:K3748)</f>
        <v>1824</v>
      </c>
      <c r="L3749" s="221"/>
      <c r="M3749" s="221"/>
    </row>
    <row r="3750" spans="5:13" ht="24.95" customHeight="1">
      <c r="E3750" s="221"/>
      <c r="F3750" s="221"/>
      <c r="G3750" s="221"/>
      <c r="H3750" s="228" t="s">
        <v>2826</v>
      </c>
      <c r="I3750" s="221"/>
      <c r="J3750" s="221"/>
      <c r="K3750" s="229">
        <f>K3749/4</f>
        <v>456</v>
      </c>
      <c r="L3750" s="221"/>
      <c r="M3750" s="221"/>
    </row>
    <row r="3751" spans="5:13">
      <c r="E3751" s="221"/>
      <c r="F3751" s="221"/>
      <c r="G3751" s="221"/>
      <c r="H3751" s="221"/>
      <c r="I3751" s="221"/>
      <c r="J3751" s="221"/>
      <c r="K3751" s="221"/>
      <c r="L3751" s="221"/>
      <c r="M3751" s="221"/>
    </row>
    <row r="3752" spans="5:13">
      <c r="E3752" s="221"/>
      <c r="F3752" s="221"/>
      <c r="G3752" s="221"/>
      <c r="H3752" s="221"/>
      <c r="I3752" s="221"/>
      <c r="J3752" s="221"/>
      <c r="K3752" s="221"/>
      <c r="L3752" s="221"/>
      <c r="M3752" s="221"/>
    </row>
    <row r="3753" spans="5:13" ht="24.95" customHeight="1">
      <c r="E3753" s="221"/>
      <c r="F3753" s="221"/>
      <c r="G3753" s="221"/>
      <c r="H3753" s="229" t="s">
        <v>2908</v>
      </c>
      <c r="I3753" s="221"/>
      <c r="J3753" s="221"/>
      <c r="K3753" s="221"/>
      <c r="L3753" s="221"/>
      <c r="M3753" s="221"/>
    </row>
    <row r="3754" spans="5:13">
      <c r="E3754" s="221"/>
      <c r="F3754" s="221"/>
      <c r="G3754" s="221"/>
      <c r="H3754" s="221"/>
      <c r="I3754" s="221"/>
      <c r="J3754" s="221"/>
      <c r="K3754" s="221"/>
      <c r="L3754" s="221"/>
      <c r="M3754" s="221"/>
    </row>
    <row r="3755" spans="5:13" ht="24.95" customHeight="1">
      <c r="E3755" s="221"/>
      <c r="F3755" s="221"/>
      <c r="G3755" s="221"/>
      <c r="H3755" s="229" t="s">
        <v>2909</v>
      </c>
      <c r="I3755" s="221"/>
      <c r="J3755" s="221"/>
      <c r="K3755" s="221"/>
      <c r="L3755" s="221"/>
      <c r="M3755" s="221"/>
    </row>
    <row r="3756" spans="5:13">
      <c r="E3756" s="221"/>
      <c r="F3756" s="221"/>
      <c r="G3756" s="221"/>
      <c r="H3756" s="221"/>
      <c r="I3756" s="221"/>
      <c r="J3756" s="221"/>
      <c r="K3756" s="221"/>
      <c r="L3756" s="221"/>
      <c r="M3756" s="221"/>
    </row>
    <row r="3757" spans="5:13">
      <c r="E3757" s="221"/>
      <c r="F3757" s="221"/>
      <c r="G3757" s="221"/>
      <c r="H3757" s="221" t="s">
        <v>5057</v>
      </c>
      <c r="I3757" s="243">
        <v>1172</v>
      </c>
      <c r="J3757" s="221" t="s">
        <v>1414</v>
      </c>
      <c r="K3757" s="221">
        <f>I3757</f>
        <v>1172</v>
      </c>
      <c r="L3757" s="221"/>
      <c r="M3757" s="221"/>
    </row>
    <row r="3758" spans="5:13">
      <c r="E3758" s="221"/>
      <c r="F3758" s="221"/>
      <c r="G3758" s="221"/>
      <c r="H3758" s="221" t="s">
        <v>2496</v>
      </c>
      <c r="I3758" s="221">
        <f>I3740</f>
        <v>274.10000000000002</v>
      </c>
      <c r="J3758" s="221" t="s">
        <v>1414</v>
      </c>
      <c r="K3758" s="221">
        <f>I3758</f>
        <v>274.10000000000002</v>
      </c>
      <c r="L3758" s="221"/>
      <c r="M3758" s="221"/>
    </row>
    <row r="3759" spans="5:13" ht="31.5">
      <c r="E3759" s="221"/>
      <c r="F3759" s="221"/>
      <c r="G3759" s="221"/>
      <c r="H3759" s="242" t="str">
        <f>H3741</f>
        <v>Clamp fixing by cheche screws bolts and nuts including connections ( as per SD-114, Elec Data 2018-19)</v>
      </c>
      <c r="I3759" s="221"/>
      <c r="J3759" s="221"/>
      <c r="K3759" s="260">
        <f>K3741</f>
        <v>25.7</v>
      </c>
      <c r="L3759" s="221">
        <f>K3757+K3758+K3759</f>
        <v>1471.8</v>
      </c>
      <c r="M3759" s="221"/>
    </row>
    <row r="3760" spans="5:13">
      <c r="E3760" s="221"/>
      <c r="F3760" s="221"/>
      <c r="G3760" s="221"/>
      <c r="H3760" s="221" t="s">
        <v>2904</v>
      </c>
      <c r="I3760" s="221"/>
      <c r="J3760" s="221"/>
      <c r="K3760" s="221">
        <v>13.7</v>
      </c>
      <c r="L3760" s="221"/>
      <c r="M3760" s="221"/>
    </row>
    <row r="3761" spans="5:13">
      <c r="E3761" s="221"/>
      <c r="F3761" s="221"/>
      <c r="G3761" s="221"/>
      <c r="H3761" s="221" t="s">
        <v>2905</v>
      </c>
      <c r="I3761" s="221"/>
      <c r="J3761" s="221"/>
      <c r="K3761" s="221">
        <f>K3743</f>
        <v>456</v>
      </c>
      <c r="L3761" s="221"/>
      <c r="M3761" s="221"/>
    </row>
    <row r="3762" spans="5:13" ht="24.95" customHeight="1">
      <c r="E3762" s="221"/>
      <c r="F3762" s="221"/>
      <c r="G3762" s="221"/>
      <c r="H3762" s="228" t="s">
        <v>2906</v>
      </c>
      <c r="I3762" s="221"/>
      <c r="J3762" s="221"/>
      <c r="K3762" s="229">
        <f>SUM(K3757:K3761)</f>
        <v>1941.5</v>
      </c>
      <c r="L3762" s="221">
        <f>K3762*2</f>
        <v>3883</v>
      </c>
      <c r="M3762" s="221"/>
    </row>
    <row r="3763" spans="5:13">
      <c r="E3763" s="221"/>
      <c r="F3763" s="221"/>
      <c r="G3763" s="221"/>
      <c r="H3763" s="221"/>
      <c r="I3763" s="221"/>
      <c r="J3763" s="221"/>
      <c r="K3763" s="221"/>
      <c r="L3763" s="221"/>
      <c r="M3763" s="221"/>
    </row>
    <row r="3764" spans="5:13" ht="24.95" customHeight="1">
      <c r="E3764" s="221"/>
      <c r="F3764" s="221"/>
      <c r="G3764" s="221"/>
      <c r="H3764" s="229" t="s">
        <v>2910</v>
      </c>
      <c r="I3764" s="221"/>
      <c r="J3764" s="221"/>
      <c r="K3764" s="221"/>
      <c r="L3764" s="221"/>
      <c r="M3764" s="221"/>
    </row>
    <row r="3765" spans="5:13" ht="24.95" customHeight="1">
      <c r="E3765" s="221"/>
      <c r="F3765" s="221">
        <v>1</v>
      </c>
      <c r="G3765" s="221" t="s">
        <v>1414</v>
      </c>
      <c r="H3765" s="221" t="s">
        <v>5058</v>
      </c>
      <c r="I3765" s="222">
        <v>1265</v>
      </c>
      <c r="J3765" s="221" t="s">
        <v>1414</v>
      </c>
      <c r="K3765" s="221">
        <f>F3765*I3765</f>
        <v>1265</v>
      </c>
      <c r="L3765" s="221"/>
      <c r="M3765" s="221"/>
    </row>
    <row r="3766" spans="5:13" ht="24.95" customHeight="1">
      <c r="E3766" s="221"/>
      <c r="F3766" s="221">
        <v>1</v>
      </c>
      <c r="G3766" s="221" t="s">
        <v>1414</v>
      </c>
      <c r="H3766" s="221" t="s">
        <v>5059</v>
      </c>
      <c r="I3766" s="260">
        <v>172.2</v>
      </c>
      <c r="J3766" s="221" t="s">
        <v>1414</v>
      </c>
      <c r="K3766" s="221">
        <f>F3766*I3766</f>
        <v>172.2</v>
      </c>
      <c r="L3766" s="221"/>
      <c r="M3766" s="221"/>
    </row>
    <row r="3767" spans="5:13" ht="24.95" customHeight="1">
      <c r="E3767" s="221"/>
      <c r="F3767" s="221"/>
      <c r="G3767" s="221"/>
      <c r="H3767" s="228" t="s">
        <v>2906</v>
      </c>
      <c r="I3767" s="221"/>
      <c r="J3767" s="221"/>
      <c r="K3767" s="229">
        <f>SUM(K3765:K3766)+0.2</f>
        <v>1437.4</v>
      </c>
      <c r="L3767" s="221"/>
      <c r="M3767" s="221"/>
    </row>
    <row r="3768" spans="5:13" ht="23.25" customHeight="1">
      <c r="E3768" s="221"/>
      <c r="F3768" s="221"/>
      <c r="G3768" s="221"/>
      <c r="H3768" s="228"/>
      <c r="I3768" s="221"/>
      <c r="J3768" s="221"/>
      <c r="K3768" s="229"/>
      <c r="L3768" s="221"/>
      <c r="M3768" s="221"/>
    </row>
    <row r="3769" spans="5:13" ht="24.95" customHeight="1">
      <c r="E3769" s="221"/>
      <c r="F3769" s="221"/>
      <c r="G3769" s="221"/>
      <c r="H3769" s="298" t="s">
        <v>2464</v>
      </c>
      <c r="I3769" s="221"/>
      <c r="J3769" s="221"/>
      <c r="K3769" s="221"/>
      <c r="L3769" s="221"/>
      <c r="M3769" s="221"/>
    </row>
    <row r="3770" spans="5:13" ht="24.95" customHeight="1">
      <c r="E3770" s="221"/>
      <c r="F3770" s="221">
        <v>1</v>
      </c>
      <c r="G3770" s="221" t="s">
        <v>1414</v>
      </c>
      <c r="H3770" s="221" t="s">
        <v>5060</v>
      </c>
      <c r="I3770" s="260">
        <v>306</v>
      </c>
      <c r="J3770" s="221" t="s">
        <v>1414</v>
      </c>
      <c r="K3770" s="221">
        <f>F3770*I3770</f>
        <v>306</v>
      </c>
      <c r="L3770" s="221"/>
      <c r="M3770" s="221"/>
    </row>
    <row r="3771" spans="5:13" ht="24.95" customHeight="1">
      <c r="E3771" s="221"/>
      <c r="F3771" s="221">
        <v>1</v>
      </c>
      <c r="G3771" s="221" t="s">
        <v>1414</v>
      </c>
      <c r="H3771" s="221" t="s">
        <v>5061</v>
      </c>
      <c r="I3771" s="260">
        <v>35.9</v>
      </c>
      <c r="J3771" s="221" t="s">
        <v>1414</v>
      </c>
      <c r="K3771" s="221">
        <f>F3771*I3771</f>
        <v>35.9</v>
      </c>
      <c r="L3771" s="221"/>
      <c r="M3771" s="221"/>
    </row>
    <row r="3772" spans="5:13" ht="24.95" customHeight="1">
      <c r="E3772" s="221"/>
      <c r="F3772" s="221"/>
      <c r="G3772" s="221"/>
      <c r="H3772" s="221" t="s">
        <v>2467</v>
      </c>
      <c r="I3772" s="221"/>
      <c r="J3772" s="221"/>
      <c r="K3772" s="221">
        <f>K3243</f>
        <v>237.25</v>
      </c>
      <c r="L3772" s="221"/>
      <c r="M3772" s="221"/>
    </row>
    <row r="3773" spans="5:13" ht="24.95" customHeight="1">
      <c r="E3773" s="221"/>
      <c r="F3773" s="221"/>
      <c r="G3773" s="221"/>
      <c r="H3773" s="221" t="s">
        <v>2296</v>
      </c>
      <c r="I3773" s="221"/>
      <c r="J3773" s="221"/>
      <c r="K3773" s="221">
        <v>3.34</v>
      </c>
      <c r="L3773" s="221"/>
      <c r="M3773" s="221"/>
    </row>
    <row r="3774" spans="5:13" ht="24.95" customHeight="1">
      <c r="E3774" s="221"/>
      <c r="F3774" s="221"/>
      <c r="G3774" s="221"/>
      <c r="H3774" s="228" t="s">
        <v>2906</v>
      </c>
      <c r="I3774" s="221"/>
      <c r="J3774" s="221"/>
      <c r="K3774" s="229">
        <f>SUM(K3770:K3773)</f>
        <v>582.49</v>
      </c>
      <c r="L3774" s="221">
        <f>K3774-697</f>
        <v>-114.51</v>
      </c>
      <c r="M3774" s="221"/>
    </row>
    <row r="3775" spans="5:13">
      <c r="E3775" s="221"/>
      <c r="F3775" s="221"/>
      <c r="G3775" s="221"/>
      <c r="H3775" s="221"/>
      <c r="I3775" s="221"/>
      <c r="J3775" s="221"/>
      <c r="K3775" s="221"/>
      <c r="L3775" s="221"/>
      <c r="M3775" s="221"/>
    </row>
    <row r="3776" spans="5:13" ht="24.95" customHeight="1">
      <c r="E3776" s="221"/>
      <c r="F3776" s="221"/>
      <c r="G3776" s="221"/>
      <c r="H3776" s="298" t="s">
        <v>2468</v>
      </c>
      <c r="I3776" s="221"/>
      <c r="J3776" s="221"/>
      <c r="K3776" s="221"/>
      <c r="L3776" s="221"/>
      <c r="M3776" s="221"/>
    </row>
    <row r="3777" spans="5:13" ht="24.95" customHeight="1">
      <c r="E3777" s="221"/>
      <c r="F3777" s="221">
        <v>1</v>
      </c>
      <c r="G3777" s="221" t="s">
        <v>1414</v>
      </c>
      <c r="H3777" s="221" t="s">
        <v>5062</v>
      </c>
      <c r="I3777" s="260">
        <v>261</v>
      </c>
      <c r="J3777" s="221" t="s">
        <v>1414</v>
      </c>
      <c r="K3777" s="221">
        <f>F3777*I3777</f>
        <v>261</v>
      </c>
      <c r="L3777" s="221"/>
      <c r="M3777" s="221"/>
    </row>
    <row r="3778" spans="5:13" ht="24.95" customHeight="1">
      <c r="E3778" s="221"/>
      <c r="F3778" s="221">
        <v>1</v>
      </c>
      <c r="G3778" s="221" t="s">
        <v>1414</v>
      </c>
      <c r="H3778" s="221" t="s">
        <v>5063</v>
      </c>
      <c r="I3778" s="260">
        <v>35.1</v>
      </c>
      <c r="J3778" s="221" t="s">
        <v>1414</v>
      </c>
      <c r="K3778" s="221">
        <f>F3778*I3778</f>
        <v>35.1</v>
      </c>
      <c r="L3778" s="221"/>
      <c r="M3778" s="221"/>
    </row>
    <row r="3779" spans="5:13" ht="24.95" customHeight="1">
      <c r="E3779" s="221"/>
      <c r="F3779" s="221"/>
      <c r="G3779" s="221"/>
      <c r="H3779" s="221" t="s">
        <v>2467</v>
      </c>
      <c r="I3779" s="221"/>
      <c r="J3779" s="221"/>
      <c r="K3779" s="221">
        <f>K3772</f>
        <v>237.25</v>
      </c>
      <c r="L3779" s="221"/>
      <c r="M3779" s="221"/>
    </row>
    <row r="3780" spans="5:13" ht="24.95" customHeight="1">
      <c r="E3780" s="221"/>
      <c r="F3780" s="221"/>
      <c r="G3780" s="221"/>
      <c r="H3780" s="221" t="s">
        <v>2296</v>
      </c>
      <c r="I3780" s="221"/>
      <c r="J3780" s="221"/>
      <c r="K3780" s="221">
        <v>2.14</v>
      </c>
      <c r="L3780" s="221"/>
      <c r="M3780" s="221"/>
    </row>
    <row r="3781" spans="5:13" ht="24.95" customHeight="1">
      <c r="E3781" s="221"/>
      <c r="F3781" s="221"/>
      <c r="G3781" s="221"/>
      <c r="H3781" s="228" t="s">
        <v>2906</v>
      </c>
      <c r="I3781" s="221"/>
      <c r="J3781" s="221"/>
      <c r="K3781" s="229">
        <f>SUM(K3777:K3780)</f>
        <v>535.49</v>
      </c>
      <c r="L3781" s="221">
        <f>K3781-496</f>
        <v>39.49</v>
      </c>
      <c r="M3781" s="221"/>
    </row>
    <row r="3782" spans="5:13">
      <c r="E3782" s="221"/>
      <c r="F3782" s="221"/>
      <c r="G3782" s="221"/>
      <c r="H3782" s="221"/>
      <c r="I3782" s="221"/>
      <c r="J3782" s="221"/>
      <c r="K3782" s="221"/>
      <c r="L3782" s="221"/>
      <c r="M3782" s="221"/>
    </row>
    <row r="3783" spans="5:13">
      <c r="E3783" s="221"/>
      <c r="F3783" s="221"/>
      <c r="G3783" s="221"/>
      <c r="H3783" s="221"/>
      <c r="I3783" s="221"/>
      <c r="J3783" s="221"/>
      <c r="K3783" s="221"/>
      <c r="L3783" s="221"/>
      <c r="M3783" s="221"/>
    </row>
    <row r="3784" spans="5:13">
      <c r="E3784" s="221"/>
      <c r="F3784" s="221"/>
      <c r="G3784" s="221"/>
      <c r="H3784" s="221"/>
      <c r="I3784" s="221"/>
      <c r="J3784" s="221"/>
      <c r="K3784" s="221"/>
      <c r="L3784" s="221"/>
      <c r="M3784" s="221"/>
    </row>
    <row r="3785" spans="5:13" ht="30" customHeight="1">
      <c r="E3785" s="221"/>
      <c r="F3785" s="221"/>
      <c r="G3785" s="221"/>
      <c r="H3785" s="601" t="s">
        <v>4789</v>
      </c>
      <c r="I3785" s="221"/>
      <c r="J3785" s="221"/>
      <c r="K3785" s="221"/>
      <c r="L3785" s="221"/>
      <c r="M3785" s="221"/>
    </row>
    <row r="3786" spans="5:13">
      <c r="E3786" s="221"/>
      <c r="F3786" s="221">
        <v>1</v>
      </c>
      <c r="G3786" s="221" t="s">
        <v>1414</v>
      </c>
      <c r="H3786" s="221" t="s">
        <v>4783</v>
      </c>
      <c r="I3786" s="260">
        <v>388</v>
      </c>
      <c r="J3786" s="221" t="s">
        <v>1414</v>
      </c>
      <c r="K3786" s="221">
        <f>F3786*I3786</f>
        <v>388</v>
      </c>
      <c r="L3786" s="221"/>
      <c r="M3786" s="221"/>
    </row>
    <row r="3787" spans="5:13">
      <c r="E3787" s="221"/>
      <c r="F3787" s="221"/>
      <c r="G3787" s="221"/>
      <c r="H3787" s="221"/>
      <c r="I3787" s="260"/>
      <c r="J3787" s="221" t="s">
        <v>1414</v>
      </c>
      <c r="K3787" s="221">
        <f>F3787*I3787</f>
        <v>0</v>
      </c>
      <c r="L3787" s="221"/>
      <c r="M3787" s="221"/>
    </row>
    <row r="3788" spans="5:13">
      <c r="E3788" s="221"/>
      <c r="F3788" s="221"/>
      <c r="G3788" s="221"/>
      <c r="H3788" s="221" t="s">
        <v>4823</v>
      </c>
      <c r="I3788" s="221"/>
      <c r="J3788" s="221"/>
      <c r="K3788" s="221">
        <f>K3244</f>
        <v>276.51</v>
      </c>
      <c r="L3788" s="221"/>
      <c r="M3788" s="221"/>
    </row>
    <row r="3789" spans="5:13">
      <c r="E3789" s="221"/>
      <c r="F3789" s="221"/>
      <c r="G3789" s="221"/>
      <c r="H3789" s="221" t="s">
        <v>2296</v>
      </c>
      <c r="I3789" s="221"/>
      <c r="J3789" s="221"/>
      <c r="K3789" s="221">
        <v>0.7</v>
      </c>
      <c r="L3789" s="221"/>
      <c r="M3789" s="221"/>
    </row>
    <row r="3790" spans="5:13">
      <c r="E3790" s="221"/>
      <c r="F3790" s="221"/>
      <c r="G3790" s="221"/>
      <c r="H3790" s="228" t="s">
        <v>2906</v>
      </c>
      <c r="I3790" s="221"/>
      <c r="J3790" s="221"/>
      <c r="K3790" s="229">
        <f>SUM(K3786:K3789)</f>
        <v>665.21</v>
      </c>
      <c r="L3790" s="221">
        <f>635-K3790</f>
        <v>-30.21</v>
      </c>
      <c r="M3790" s="221"/>
    </row>
    <row r="3791" spans="5:13">
      <c r="E3791" s="221"/>
      <c r="F3791" s="221"/>
      <c r="G3791" s="221"/>
      <c r="H3791" s="221"/>
      <c r="I3791" s="221"/>
      <c r="J3791" s="221"/>
      <c r="K3791" s="221"/>
      <c r="L3791" s="221"/>
      <c r="M3791" s="221"/>
    </row>
    <row r="3792" spans="5:13">
      <c r="E3792" s="221"/>
      <c r="F3792" s="221"/>
      <c r="G3792" s="221"/>
      <c r="H3792" s="221"/>
      <c r="I3792" s="221"/>
      <c r="J3792" s="221"/>
      <c r="K3792" s="221"/>
      <c r="L3792" s="221"/>
      <c r="M3792" s="221"/>
    </row>
    <row r="3793" spans="5:13">
      <c r="E3793" s="221"/>
      <c r="F3793" s="221"/>
      <c r="G3793" s="221"/>
      <c r="H3793" s="221"/>
      <c r="I3793" s="221"/>
      <c r="J3793" s="221"/>
      <c r="K3793" s="221"/>
      <c r="L3793" s="221"/>
      <c r="M3793" s="221"/>
    </row>
    <row r="3794" spans="5:13">
      <c r="E3794" s="221"/>
      <c r="F3794" s="221"/>
      <c r="G3794" s="221"/>
      <c r="H3794" s="221"/>
      <c r="I3794" s="221"/>
      <c r="J3794" s="221"/>
      <c r="K3794" s="221"/>
      <c r="L3794" s="221"/>
      <c r="M3794" s="221"/>
    </row>
    <row r="3795" spans="5:13">
      <c r="E3795" s="221"/>
      <c r="F3795" s="221"/>
      <c r="G3795" s="221"/>
      <c r="H3795" s="221"/>
      <c r="I3795" s="221"/>
      <c r="J3795" s="221"/>
      <c r="K3795" s="221"/>
      <c r="L3795" s="221"/>
      <c r="M3795" s="221"/>
    </row>
    <row r="3796" spans="5:13">
      <c r="E3796" s="221"/>
      <c r="F3796" s="221"/>
      <c r="G3796" s="221"/>
      <c r="J3796" s="87"/>
      <c r="L3796" s="221"/>
      <c r="M3796" s="221"/>
    </row>
    <row r="3797" spans="5:13">
      <c r="E3797" s="221"/>
      <c r="F3797" s="221"/>
      <c r="G3797" s="221"/>
      <c r="H3797" s="221"/>
      <c r="I3797" s="221"/>
      <c r="J3797" s="221"/>
      <c r="K3797" s="229"/>
      <c r="L3797" s="221"/>
      <c r="M3797" s="221"/>
    </row>
    <row r="3798" spans="5:13">
      <c r="E3798" s="221"/>
      <c r="F3798" s="221"/>
      <c r="G3798" s="221"/>
      <c r="H3798" s="221"/>
      <c r="I3798" s="221"/>
      <c r="J3798" s="221"/>
      <c r="K3798" s="221"/>
      <c r="L3798" s="221"/>
      <c r="M3798" s="221"/>
    </row>
    <row r="3799" spans="5:13">
      <c r="E3799" s="221"/>
      <c r="H3799" s="93" t="s">
        <v>2474</v>
      </c>
      <c r="L3799" s="221"/>
      <c r="M3799" s="221"/>
    </row>
    <row r="3800" spans="5:13">
      <c r="E3800" s="221"/>
      <c r="L3800" s="221"/>
      <c r="M3800" s="221"/>
    </row>
    <row r="3801" spans="5:13">
      <c r="E3801" s="221"/>
      <c r="H3801" s="93" t="s">
        <v>2316</v>
      </c>
      <c r="L3801" s="221"/>
      <c r="M3801" s="221"/>
    </row>
    <row r="3802" spans="5:13">
      <c r="E3802" s="221"/>
      <c r="L3802" s="221"/>
      <c r="M3802" s="221"/>
    </row>
    <row r="3803" spans="5:13" ht="141.75">
      <c r="E3803" s="221"/>
      <c r="H3803" s="220" t="s">
        <v>2707</v>
      </c>
      <c r="L3803" s="221"/>
      <c r="M3803" s="221"/>
    </row>
    <row r="3804" spans="5:13">
      <c r="E3804" s="221"/>
      <c r="F3804" s="221">
        <v>90</v>
      </c>
      <c r="G3804" s="221" t="s">
        <v>835</v>
      </c>
      <c r="H3804" s="142" t="s">
        <v>2572</v>
      </c>
      <c r="I3804" s="221">
        <f>I2843</f>
        <v>15.5</v>
      </c>
      <c r="J3804" s="221" t="s">
        <v>2573</v>
      </c>
      <c r="K3804" s="221">
        <f>F3804*I3804</f>
        <v>1395</v>
      </c>
      <c r="L3804" s="221"/>
      <c r="M3804" s="221"/>
    </row>
    <row r="3805" spans="5:13">
      <c r="E3805" s="221"/>
      <c r="F3805" s="221">
        <v>45</v>
      </c>
      <c r="G3805" s="221" t="s">
        <v>835</v>
      </c>
      <c r="H3805" s="220" t="s">
        <v>2389</v>
      </c>
      <c r="I3805" s="221">
        <f>I2844</f>
        <v>19.100000000000001</v>
      </c>
      <c r="J3805" s="221" t="s">
        <v>2390</v>
      </c>
      <c r="K3805" s="221">
        <f>F3805*I3805</f>
        <v>859.5</v>
      </c>
      <c r="L3805" s="221"/>
      <c r="M3805" s="221"/>
    </row>
    <row r="3806" spans="5:13">
      <c r="E3806" s="221"/>
      <c r="F3806" s="221">
        <v>20</v>
      </c>
      <c r="G3806" s="221" t="s">
        <v>1414</v>
      </c>
      <c r="H3806" s="221" t="s">
        <v>2391</v>
      </c>
      <c r="I3806" s="221">
        <f>I2845</f>
        <v>3</v>
      </c>
      <c r="J3806" s="221" t="s">
        <v>1414</v>
      </c>
      <c r="K3806" s="221">
        <f>F3806*I3806</f>
        <v>60</v>
      </c>
      <c r="L3806" s="221"/>
      <c r="M3806" s="221"/>
    </row>
    <row r="3807" spans="5:13">
      <c r="E3807" s="221"/>
      <c r="F3807" s="221">
        <v>150</v>
      </c>
      <c r="G3807" s="221" t="s">
        <v>1414</v>
      </c>
      <c r="H3807" s="221" t="s">
        <v>4416</v>
      </c>
      <c r="I3807" s="222">
        <f>I3943</f>
        <v>287</v>
      </c>
      <c r="J3807" s="221" t="s">
        <v>2709</v>
      </c>
      <c r="K3807" s="221">
        <f>(F3807*I3807)/1000</f>
        <v>43.05</v>
      </c>
      <c r="L3807" s="221"/>
      <c r="M3807" s="221"/>
    </row>
    <row r="3808" spans="5:13">
      <c r="E3808" s="221"/>
      <c r="F3808" s="221">
        <v>10</v>
      </c>
      <c r="G3808" s="221" t="s">
        <v>1414</v>
      </c>
      <c r="H3808" s="221" t="s">
        <v>3432</v>
      </c>
      <c r="I3808" s="221">
        <f>I2846</f>
        <v>1.28</v>
      </c>
      <c r="J3808" s="221" t="s">
        <v>1414</v>
      </c>
      <c r="K3808" s="221">
        <f>F3808*I3808</f>
        <v>12.8</v>
      </c>
      <c r="L3808" s="221"/>
      <c r="M3808" s="221"/>
    </row>
    <row r="3809" spans="5:13">
      <c r="E3809" s="221"/>
      <c r="F3809" s="221">
        <v>10</v>
      </c>
      <c r="G3809" s="221" t="s">
        <v>1414</v>
      </c>
      <c r="H3809" s="221" t="s">
        <v>5064</v>
      </c>
      <c r="I3809" s="260">
        <v>41.2</v>
      </c>
      <c r="J3809" s="221" t="s">
        <v>3435</v>
      </c>
      <c r="K3809" s="221">
        <f>(F3809*I3809)/12</f>
        <v>34.33</v>
      </c>
      <c r="L3809" s="221"/>
      <c r="M3809" s="221"/>
    </row>
    <row r="3810" spans="5:13">
      <c r="E3810" s="221"/>
      <c r="F3810" s="224">
        <v>1.4999999999999999E-2</v>
      </c>
      <c r="G3810" s="221" t="s">
        <v>2308</v>
      </c>
      <c r="H3810" s="221" t="s">
        <v>3303</v>
      </c>
      <c r="I3810" s="221">
        <f>I2849</f>
        <v>630</v>
      </c>
      <c r="J3810" s="221" t="s">
        <v>2308</v>
      </c>
      <c r="K3810" s="221">
        <f t="shared" ref="K3810:K3820" si="110">F3810*I3810</f>
        <v>9.4499999999999993</v>
      </c>
      <c r="L3810" s="221"/>
      <c r="M3810" s="221"/>
    </row>
    <row r="3811" spans="5:13">
      <c r="E3811" s="221"/>
      <c r="F3811" s="221">
        <v>10</v>
      </c>
      <c r="G3811" s="221" t="s">
        <v>1414</v>
      </c>
      <c r="H3811" s="221" t="s">
        <v>3304</v>
      </c>
      <c r="I3811" s="221">
        <f>I2850</f>
        <v>16.05</v>
      </c>
      <c r="J3811" s="221" t="s">
        <v>1414</v>
      </c>
      <c r="K3811" s="221">
        <f>(F3811*I3811)</f>
        <v>160.5</v>
      </c>
      <c r="L3811" s="221"/>
      <c r="M3811" s="221"/>
    </row>
    <row r="3812" spans="5:13">
      <c r="E3812" s="221"/>
      <c r="F3812" s="221">
        <v>10</v>
      </c>
      <c r="G3812" s="221" t="s">
        <v>1414</v>
      </c>
      <c r="H3812" s="221" t="s">
        <v>2662</v>
      </c>
      <c r="I3812" s="221">
        <f>I2851</f>
        <v>13.6</v>
      </c>
      <c r="J3812" s="221" t="s">
        <v>1414</v>
      </c>
      <c r="K3812" s="221">
        <f t="shared" si="110"/>
        <v>136</v>
      </c>
      <c r="L3812" s="221"/>
      <c r="M3812" s="221"/>
    </row>
    <row r="3813" spans="5:13">
      <c r="E3813" s="221"/>
      <c r="F3813" s="221">
        <v>1</v>
      </c>
      <c r="G3813" s="221" t="s">
        <v>2670</v>
      </c>
      <c r="H3813" s="221" t="s">
        <v>4784</v>
      </c>
      <c r="I3813" s="221">
        <f>I3579</f>
        <v>68.8</v>
      </c>
      <c r="J3813" s="221" t="s">
        <v>2670</v>
      </c>
      <c r="K3813" s="221">
        <f>F3813*I3813</f>
        <v>68.8</v>
      </c>
      <c r="L3813" s="221"/>
      <c r="M3813" s="221"/>
    </row>
    <row r="3814" spans="5:13">
      <c r="E3814" s="221"/>
      <c r="F3814" s="221">
        <v>72</v>
      </c>
      <c r="G3814" s="221" t="s">
        <v>1414</v>
      </c>
      <c r="H3814" s="221" t="s">
        <v>2711</v>
      </c>
      <c r="I3814" s="380">
        <v>47.7</v>
      </c>
      <c r="J3814" s="221" t="s">
        <v>2670</v>
      </c>
      <c r="K3814" s="221">
        <f>(F3814*I3814)/144</f>
        <v>23.85</v>
      </c>
      <c r="L3814" s="221"/>
      <c r="M3814" s="221"/>
    </row>
    <row r="3815" spans="5:13">
      <c r="E3815" s="221"/>
      <c r="F3815" s="225">
        <v>0.16666666666666666</v>
      </c>
      <c r="G3815" s="221" t="s">
        <v>2666</v>
      </c>
      <c r="H3815" s="221" t="s">
        <v>390</v>
      </c>
      <c r="I3815" s="306">
        <f>I3100</f>
        <v>298</v>
      </c>
      <c r="J3815" s="221" t="s">
        <v>2666</v>
      </c>
      <c r="K3815" s="221">
        <f t="shared" si="110"/>
        <v>49.67</v>
      </c>
      <c r="L3815" s="221"/>
      <c r="M3815" s="221"/>
    </row>
    <row r="3816" spans="5:13">
      <c r="E3816" s="221"/>
      <c r="F3816" s="221">
        <v>10</v>
      </c>
      <c r="G3816" s="221" t="s">
        <v>1414</v>
      </c>
      <c r="H3816" s="221" t="s">
        <v>5065</v>
      </c>
      <c r="I3816" s="260">
        <v>13.8</v>
      </c>
      <c r="J3816" s="221" t="s">
        <v>1414</v>
      </c>
      <c r="K3816" s="221">
        <f t="shared" si="110"/>
        <v>138</v>
      </c>
      <c r="L3816" s="221"/>
      <c r="M3816" s="221"/>
    </row>
    <row r="3817" spans="5:13">
      <c r="E3817" s="221"/>
      <c r="F3817" s="221">
        <v>1</v>
      </c>
      <c r="G3817" s="221" t="s">
        <v>1414</v>
      </c>
      <c r="H3817" s="221" t="s">
        <v>5066</v>
      </c>
      <c r="I3817" s="260">
        <v>16.5</v>
      </c>
      <c r="J3817" s="221" t="s">
        <v>1414</v>
      </c>
      <c r="K3817" s="221">
        <f t="shared" si="110"/>
        <v>16.5</v>
      </c>
      <c r="L3817" s="221"/>
      <c r="M3817" s="221"/>
    </row>
    <row r="3818" spans="5:13">
      <c r="E3818" s="221"/>
      <c r="F3818" s="221">
        <v>0.1</v>
      </c>
      <c r="G3818" s="221" t="s">
        <v>2308</v>
      </c>
      <c r="H3818" s="221" t="s">
        <v>3069</v>
      </c>
      <c r="I3818" s="221">
        <f>I2855</f>
        <v>630</v>
      </c>
      <c r="J3818" s="221" t="s">
        <v>2308</v>
      </c>
      <c r="K3818" s="221">
        <f t="shared" si="110"/>
        <v>63</v>
      </c>
      <c r="L3818" s="221"/>
      <c r="M3818" s="221"/>
    </row>
    <row r="3819" spans="5:13" ht="31.5">
      <c r="E3819" s="221"/>
      <c r="F3819" s="221">
        <v>45</v>
      </c>
      <c r="G3819" s="221" t="s">
        <v>835</v>
      </c>
      <c r="H3819" s="142" t="s">
        <v>2672</v>
      </c>
      <c r="I3819" s="221">
        <f>I2856</f>
        <v>15.5</v>
      </c>
      <c r="J3819" s="221" t="s">
        <v>3347</v>
      </c>
      <c r="K3819" s="221">
        <f t="shared" si="110"/>
        <v>697.5</v>
      </c>
      <c r="L3819" s="221"/>
      <c r="M3819" s="221"/>
    </row>
    <row r="3820" spans="5:13">
      <c r="E3820" s="221"/>
      <c r="F3820" s="225">
        <v>0.5</v>
      </c>
      <c r="G3820" s="221" t="s">
        <v>55</v>
      </c>
      <c r="H3820" s="142" t="s">
        <v>3956</v>
      </c>
      <c r="I3820" s="221">
        <f>Data!I3238</f>
        <v>225.4</v>
      </c>
      <c r="J3820" s="221" t="s">
        <v>55</v>
      </c>
      <c r="K3820" s="221">
        <f t="shared" si="110"/>
        <v>112.7</v>
      </c>
      <c r="L3820" s="221"/>
      <c r="M3820" s="221"/>
    </row>
    <row r="3821" spans="5:13">
      <c r="E3821" s="221"/>
      <c r="F3821" s="221">
        <v>10</v>
      </c>
      <c r="G3821" s="221" t="s">
        <v>3351</v>
      </c>
      <c r="H3821" s="221" t="s">
        <v>924</v>
      </c>
      <c r="I3821" s="221"/>
      <c r="J3821" s="221" t="s">
        <v>663</v>
      </c>
      <c r="K3821" s="221">
        <f>K3840</f>
        <v>4392.67</v>
      </c>
      <c r="L3821" s="221"/>
      <c r="M3821" s="221"/>
    </row>
    <row r="3822" spans="5:13">
      <c r="E3822" s="221"/>
      <c r="F3822" s="221" t="s">
        <v>663</v>
      </c>
      <c r="G3822" s="221"/>
      <c r="H3822" s="221" t="s">
        <v>3070</v>
      </c>
      <c r="I3822" s="221"/>
      <c r="J3822" s="221" t="s">
        <v>663</v>
      </c>
      <c r="K3822" s="221">
        <v>26.75</v>
      </c>
      <c r="L3822" s="221"/>
      <c r="M3822" s="221"/>
    </row>
    <row r="3823" spans="5:13">
      <c r="E3823" s="221"/>
      <c r="F3823" s="221"/>
      <c r="G3823" s="221"/>
      <c r="H3823" s="226" t="s">
        <v>3350</v>
      </c>
      <c r="I3823" s="221"/>
      <c r="J3823" s="221"/>
      <c r="K3823" s="227">
        <f>SUM(K3804:K3822)</f>
        <v>8300.07</v>
      </c>
      <c r="L3823" s="221"/>
      <c r="M3823" s="221"/>
    </row>
    <row r="3824" spans="5:13">
      <c r="E3824" s="221"/>
      <c r="F3824" s="221"/>
      <c r="G3824" s="221"/>
      <c r="H3824" s="228" t="s">
        <v>3352</v>
      </c>
      <c r="I3824" s="221"/>
      <c r="J3824" s="221"/>
      <c r="K3824" s="229">
        <f>K3823/10</f>
        <v>830.01</v>
      </c>
      <c r="L3824" s="221">
        <f>628*10</f>
        <v>6280</v>
      </c>
      <c r="M3824" s="221">
        <f>L3824-K3823</f>
        <v>-2020.07</v>
      </c>
    </row>
    <row r="3825" spans="5:13">
      <c r="E3825" s="221"/>
      <c r="F3825" s="221"/>
      <c r="G3825" s="221"/>
      <c r="H3825" s="221"/>
      <c r="I3825" s="221"/>
      <c r="J3825" s="221"/>
      <c r="K3825" s="221"/>
      <c r="L3825" s="221"/>
      <c r="M3825" s="221"/>
    </row>
    <row r="3826" spans="5:13">
      <c r="E3826" s="221"/>
      <c r="F3826" s="221"/>
      <c r="G3826" s="221"/>
      <c r="H3826" s="221"/>
      <c r="I3826" s="221"/>
      <c r="J3826" s="221"/>
      <c r="K3826" s="221"/>
      <c r="L3826" s="221"/>
      <c r="M3826" s="221"/>
    </row>
    <row r="3827" spans="5:13">
      <c r="E3827" s="221"/>
      <c r="F3827" s="221"/>
      <c r="G3827" s="221"/>
      <c r="H3827" s="221"/>
      <c r="I3827" s="221"/>
      <c r="J3827" s="221"/>
      <c r="K3827" s="221"/>
      <c r="L3827" s="221"/>
      <c r="M3827" s="221"/>
    </row>
    <row r="3828" spans="5:13">
      <c r="E3828" s="221"/>
      <c r="F3828" s="221"/>
      <c r="G3828" s="221"/>
      <c r="H3828" s="221"/>
      <c r="I3828" s="221"/>
      <c r="J3828" s="221"/>
      <c r="K3828" s="221"/>
      <c r="L3828" s="221"/>
      <c r="M3828" s="221"/>
    </row>
    <row r="3829" spans="5:13">
      <c r="E3829" s="221"/>
      <c r="F3829" s="221"/>
      <c r="G3829" s="229" t="s">
        <v>3354</v>
      </c>
      <c r="H3829" s="221"/>
      <c r="I3829" s="221"/>
      <c r="J3829" s="221"/>
      <c r="M3829" s="221"/>
    </row>
    <row r="3830" spans="5:13">
      <c r="E3830" s="221"/>
      <c r="F3830" s="221"/>
      <c r="G3830" s="221"/>
      <c r="H3830" s="221"/>
      <c r="I3830" s="221"/>
      <c r="J3830" s="221"/>
      <c r="M3830" s="221"/>
    </row>
    <row r="3831" spans="5:13">
      <c r="E3831" s="221"/>
      <c r="F3831" s="221"/>
      <c r="G3831" s="229" t="s">
        <v>3430</v>
      </c>
      <c r="H3831" s="221"/>
      <c r="I3831" s="221"/>
      <c r="J3831" s="221"/>
      <c r="M3831" s="221"/>
    </row>
    <row r="3832" spans="5:13">
      <c r="E3832" s="221"/>
      <c r="F3832" s="221"/>
      <c r="G3832" s="221"/>
      <c r="H3832" s="221"/>
      <c r="I3832" s="221"/>
      <c r="J3832" s="221"/>
      <c r="M3832" s="221"/>
    </row>
    <row r="3833" spans="5:13">
      <c r="F3833" s="221">
        <v>1</v>
      </c>
      <c r="G3833" s="221" t="s">
        <v>1414</v>
      </c>
      <c r="H3833" s="221" t="s">
        <v>3356</v>
      </c>
      <c r="I3833" s="221">
        <f>I2866</f>
        <v>817</v>
      </c>
      <c r="J3833" s="221" t="s">
        <v>1414</v>
      </c>
      <c r="K3833" s="221">
        <f>F3833*I3833</f>
        <v>817</v>
      </c>
      <c r="L3833" s="221"/>
      <c r="M3833" s="221"/>
    </row>
    <row r="3834" spans="5:13">
      <c r="F3834" s="221">
        <v>2</v>
      </c>
      <c r="G3834" s="221" t="s">
        <v>1414</v>
      </c>
      <c r="H3834" s="221" t="s">
        <v>3357</v>
      </c>
      <c r="I3834" s="221">
        <f>I2867</f>
        <v>712</v>
      </c>
      <c r="J3834" s="221" t="s">
        <v>1414</v>
      </c>
      <c r="K3834" s="221">
        <f>F3834*I3834</f>
        <v>1424</v>
      </c>
      <c r="L3834" s="221"/>
      <c r="M3834" s="221"/>
    </row>
    <row r="3835" spans="5:13">
      <c r="F3835" s="221">
        <v>3</v>
      </c>
      <c r="G3835" s="221" t="s">
        <v>1414</v>
      </c>
      <c r="H3835" s="221" t="s">
        <v>3358</v>
      </c>
      <c r="I3835" s="221">
        <f>I2868</f>
        <v>708</v>
      </c>
      <c r="J3835" s="221" t="s">
        <v>1414</v>
      </c>
      <c r="K3835" s="221">
        <f>F3835*I3835</f>
        <v>2124</v>
      </c>
      <c r="L3835" s="221"/>
      <c r="M3835" s="221"/>
    </row>
    <row r="3836" spans="5:13">
      <c r="F3836" s="221">
        <v>4</v>
      </c>
      <c r="G3836" s="221" t="s">
        <v>1414</v>
      </c>
      <c r="H3836" s="221" t="s">
        <v>2356</v>
      </c>
      <c r="I3836" s="221">
        <f>I2869</f>
        <v>556</v>
      </c>
      <c r="J3836" s="221" t="s">
        <v>1414</v>
      </c>
      <c r="K3836" s="221">
        <f>F3836*I3836</f>
        <v>2224</v>
      </c>
      <c r="L3836" s="221"/>
      <c r="M3836" s="221"/>
    </row>
    <row r="3837" spans="5:13">
      <c r="F3837" s="221"/>
      <c r="G3837" s="221"/>
      <c r="H3837" s="221"/>
      <c r="I3837" s="221"/>
      <c r="J3837" s="221"/>
      <c r="K3837" s="221"/>
      <c r="L3837" s="221"/>
      <c r="M3837" s="221"/>
    </row>
    <row r="3838" spans="5:13">
      <c r="E3838" s="221"/>
      <c r="F3838" s="221"/>
      <c r="G3838" s="87"/>
      <c r="H3838" s="231"/>
      <c r="J3838" s="87"/>
      <c r="K3838" s="232">
        <f>SUM(K3833:K3836)</f>
        <v>6589</v>
      </c>
      <c r="L3838" s="232"/>
      <c r="M3838" s="221"/>
    </row>
    <row r="3839" spans="5:13">
      <c r="E3839" s="221"/>
      <c r="F3839" s="221"/>
      <c r="G3839" s="87"/>
      <c r="H3839" s="231"/>
      <c r="J3839" s="87"/>
      <c r="M3839" s="221"/>
    </row>
    <row r="3840" spans="5:13" ht="51">
      <c r="E3840" s="221"/>
      <c r="F3840" s="221"/>
      <c r="G3840" s="87"/>
      <c r="H3840" s="231" t="s">
        <v>2877</v>
      </c>
      <c r="J3840" s="233"/>
      <c r="K3840" s="94">
        <f>K3838*2/3</f>
        <v>4392.67</v>
      </c>
      <c r="L3840" s="94"/>
      <c r="M3840" s="221"/>
    </row>
    <row r="3841" spans="5:13">
      <c r="E3841" s="221"/>
      <c r="F3841" s="221"/>
      <c r="G3841" s="221"/>
      <c r="H3841" s="221"/>
      <c r="I3841" s="221"/>
      <c r="J3841" s="221"/>
      <c r="K3841" s="221"/>
      <c r="L3841" s="221"/>
      <c r="M3841" s="221"/>
    </row>
    <row r="3842" spans="5:13">
      <c r="E3842" s="221"/>
      <c r="F3842" s="221"/>
      <c r="G3842" s="221"/>
      <c r="H3842" s="93" t="s">
        <v>3071</v>
      </c>
      <c r="I3842" s="221"/>
      <c r="J3842" s="221"/>
      <c r="K3842" s="221"/>
      <c r="L3842" s="221"/>
      <c r="M3842" s="221"/>
    </row>
    <row r="3843" spans="5:13">
      <c r="E3843" s="221"/>
      <c r="F3843" s="221"/>
      <c r="G3843" s="221"/>
      <c r="H3843" s="221"/>
      <c r="I3843" s="221"/>
      <c r="J3843" s="221"/>
      <c r="K3843" s="221"/>
      <c r="L3843" s="221"/>
      <c r="M3843" s="221"/>
    </row>
    <row r="3844" spans="5:13" ht="141.75">
      <c r="E3844" s="221"/>
      <c r="F3844" s="221"/>
      <c r="G3844" s="221"/>
      <c r="H3844" s="220" t="s">
        <v>3089</v>
      </c>
      <c r="I3844" s="221"/>
      <c r="J3844" s="221"/>
      <c r="K3844" s="221"/>
      <c r="L3844" s="221"/>
      <c r="M3844" s="221"/>
    </row>
    <row r="3845" spans="5:13">
      <c r="E3845" s="221"/>
      <c r="F3845" s="221"/>
      <c r="G3845" s="221"/>
      <c r="H3845" s="221" t="s">
        <v>2479</v>
      </c>
      <c r="I3845" s="221"/>
      <c r="J3845" s="221"/>
      <c r="K3845" s="221">
        <f>K3823-K3822</f>
        <v>8273.32</v>
      </c>
      <c r="L3845" s="221"/>
      <c r="M3845" s="221"/>
    </row>
    <row r="3846" spans="5:13">
      <c r="E3846" s="221"/>
      <c r="F3846" s="221"/>
      <c r="G3846" s="221"/>
      <c r="H3846" s="221" t="s">
        <v>2480</v>
      </c>
      <c r="I3846" s="221"/>
      <c r="J3846" s="221"/>
      <c r="K3846" s="221">
        <f>K3812</f>
        <v>136</v>
      </c>
      <c r="L3846" s="221"/>
      <c r="M3846" s="221"/>
    </row>
    <row r="3847" spans="5:13">
      <c r="E3847" s="221"/>
      <c r="F3847" s="221"/>
      <c r="G3847" s="221"/>
      <c r="H3847" s="221" t="str">
        <f>H2881</f>
        <v>Add cost of Bakelite battern type holders 10 Nos @ Rs 16.50 / Each p-116,  it-25</v>
      </c>
      <c r="I3847" s="221"/>
      <c r="J3847" s="221"/>
      <c r="K3847" s="221">
        <f>K2881</f>
        <v>165</v>
      </c>
      <c r="L3847" s="221"/>
      <c r="M3847" s="221"/>
    </row>
    <row r="3848" spans="5:13">
      <c r="E3848" s="221"/>
      <c r="F3848" s="221"/>
      <c r="G3848" s="221"/>
      <c r="H3848" s="221" t="s">
        <v>2296</v>
      </c>
      <c r="I3848" s="221"/>
      <c r="J3848" s="221"/>
      <c r="K3848" s="221">
        <v>29.25</v>
      </c>
      <c r="L3848" s="221"/>
      <c r="M3848" s="221"/>
    </row>
    <row r="3849" spans="5:13">
      <c r="E3849" s="221"/>
      <c r="F3849" s="221"/>
      <c r="G3849" s="221"/>
      <c r="H3849" s="226" t="s">
        <v>2458</v>
      </c>
      <c r="I3849" s="221"/>
      <c r="J3849" s="221"/>
      <c r="K3849" s="227">
        <f>K3845-K3846+K3847+K3848</f>
        <v>8331.57</v>
      </c>
      <c r="L3849" s="221">
        <f>L3850-K3849</f>
        <v>-2031.57</v>
      </c>
      <c r="M3849" s="221"/>
    </row>
    <row r="3850" spans="5:13">
      <c r="E3850" s="221"/>
      <c r="F3850" s="221"/>
      <c r="G3850" s="221"/>
      <c r="H3850" s="228" t="s">
        <v>2459</v>
      </c>
      <c r="I3850" s="221"/>
      <c r="J3850" s="221"/>
      <c r="K3850" s="229">
        <f>K3849/10</f>
        <v>833.16</v>
      </c>
      <c r="L3850" s="221">
        <f>630*10</f>
        <v>6300</v>
      </c>
      <c r="M3850" s="221"/>
    </row>
    <row r="3851" spans="5:13">
      <c r="E3851" s="221"/>
      <c r="F3851" s="221"/>
      <c r="G3851" s="221"/>
      <c r="H3851" s="221"/>
      <c r="I3851" s="221"/>
      <c r="J3851" s="221"/>
      <c r="K3851" s="221"/>
      <c r="L3851" s="221">
        <f>L3850-K3849</f>
        <v>-2031.57</v>
      </c>
      <c r="M3851" s="221"/>
    </row>
    <row r="3852" spans="5:13">
      <c r="E3852" s="221"/>
      <c r="F3852" s="221"/>
      <c r="G3852" s="221"/>
      <c r="H3852" s="221"/>
      <c r="I3852" s="221"/>
      <c r="J3852" s="221"/>
      <c r="K3852" s="221"/>
      <c r="L3852" s="221"/>
      <c r="M3852" s="221"/>
    </row>
    <row r="3853" spans="5:13">
      <c r="E3853" s="221"/>
      <c r="F3853" s="221"/>
      <c r="G3853" s="221"/>
      <c r="H3853" s="221"/>
      <c r="I3853" s="221"/>
      <c r="J3853" s="221"/>
      <c r="K3853" s="221"/>
      <c r="L3853" s="221"/>
      <c r="M3853" s="221"/>
    </row>
    <row r="3854" spans="5:13" ht="47.25">
      <c r="E3854" s="221"/>
      <c r="F3854" s="221"/>
      <c r="G3854" s="221"/>
      <c r="H3854" s="219" t="s">
        <v>3431</v>
      </c>
      <c r="I3854" s="221"/>
      <c r="J3854" s="221"/>
      <c r="K3854" s="221"/>
      <c r="L3854" s="221"/>
      <c r="M3854" s="221"/>
    </row>
    <row r="3855" spans="5:13">
      <c r="E3855" s="221"/>
      <c r="F3855" s="221"/>
      <c r="G3855" s="221"/>
      <c r="H3855" s="221"/>
      <c r="I3855" s="221"/>
      <c r="J3855" s="221"/>
      <c r="K3855" s="221"/>
      <c r="L3855" s="221"/>
      <c r="M3855" s="221"/>
    </row>
    <row r="3856" spans="5:13" ht="157.5">
      <c r="E3856" s="221"/>
      <c r="F3856" s="221"/>
      <c r="G3856" s="221"/>
      <c r="H3856" s="220" t="s">
        <v>3418</v>
      </c>
      <c r="I3856" s="221"/>
      <c r="J3856" s="221"/>
      <c r="K3856" s="221"/>
      <c r="L3856" s="221"/>
      <c r="M3856" s="221"/>
    </row>
    <row r="3857" spans="5:13">
      <c r="E3857" s="221"/>
      <c r="F3857" s="221"/>
      <c r="G3857" s="221"/>
      <c r="H3857" s="221" t="s">
        <v>3440</v>
      </c>
      <c r="I3857" s="221"/>
      <c r="J3857" s="221"/>
      <c r="K3857" s="221">
        <f>K3845</f>
        <v>8273.32</v>
      </c>
      <c r="L3857" s="221"/>
      <c r="M3857" s="221"/>
    </row>
    <row r="3858" spans="5:13">
      <c r="E3858" s="221"/>
      <c r="F3858" s="221"/>
      <c r="G3858" s="221"/>
      <c r="H3858" s="221" t="s">
        <v>3027</v>
      </c>
      <c r="I3858" s="221"/>
      <c r="J3858" s="221"/>
      <c r="K3858" s="221">
        <f>K3846</f>
        <v>136</v>
      </c>
      <c r="L3858" s="221"/>
      <c r="M3858" s="221"/>
    </row>
    <row r="3859" spans="5:13">
      <c r="E3859" s="221"/>
      <c r="F3859" s="221"/>
      <c r="G3859" s="221"/>
      <c r="H3859" s="221" t="s">
        <v>3028</v>
      </c>
      <c r="I3859" s="221"/>
      <c r="J3859" s="221"/>
      <c r="K3859" s="221">
        <f>K3809</f>
        <v>34.33</v>
      </c>
      <c r="L3859" s="221"/>
      <c r="M3859" s="221"/>
    </row>
    <row r="3860" spans="5:13">
      <c r="E3860" s="221"/>
      <c r="F3860" s="221"/>
      <c r="G3860" s="221"/>
      <c r="H3860" s="221" t="s">
        <v>3029</v>
      </c>
      <c r="I3860" s="221"/>
      <c r="J3860" s="221"/>
      <c r="K3860" s="221">
        <f>K2893</f>
        <v>160.5</v>
      </c>
      <c r="L3860" s="221"/>
      <c r="M3860" s="221"/>
    </row>
    <row r="3861" spans="5:13">
      <c r="E3861" s="221"/>
      <c r="F3861" s="221"/>
      <c r="G3861" s="221"/>
      <c r="H3861" s="221" t="s">
        <v>4417</v>
      </c>
      <c r="I3861" s="221"/>
      <c r="J3861" s="221"/>
      <c r="K3861" s="260">
        <f>K2894</f>
        <v>413</v>
      </c>
      <c r="L3861" s="221"/>
      <c r="M3861" s="221"/>
    </row>
    <row r="3862" spans="5:13">
      <c r="E3862" s="221"/>
      <c r="F3862" s="221"/>
      <c r="H3862" s="221" t="s">
        <v>5067</v>
      </c>
      <c r="I3862" s="221"/>
      <c r="J3862" s="221"/>
      <c r="K3862" s="260">
        <f>10*16.05</f>
        <v>160.5</v>
      </c>
      <c r="L3862" s="221"/>
      <c r="M3862" s="221"/>
    </row>
    <row r="3863" spans="5:13">
      <c r="E3863" s="221"/>
      <c r="F3863" s="221"/>
      <c r="G3863" s="221"/>
      <c r="H3863" s="221" t="s">
        <v>5068</v>
      </c>
      <c r="I3863" s="221"/>
      <c r="J3863" s="221"/>
      <c r="K3863" s="260">
        <f>16.5*10</f>
        <v>165</v>
      </c>
      <c r="L3863" s="221"/>
      <c r="M3863" s="221"/>
    </row>
    <row r="3864" spans="5:13">
      <c r="E3864" s="221"/>
      <c r="F3864" s="221"/>
      <c r="G3864" s="221"/>
      <c r="H3864" s="221" t="s">
        <v>2296</v>
      </c>
      <c r="I3864" s="221"/>
      <c r="J3864" s="221"/>
      <c r="K3864" s="221">
        <v>31.92</v>
      </c>
      <c r="L3864" s="221"/>
      <c r="M3864" s="221"/>
    </row>
    <row r="3865" spans="5:13">
      <c r="E3865" s="221"/>
      <c r="F3865" s="221"/>
      <c r="G3865" s="221"/>
      <c r="H3865" s="226" t="s">
        <v>2458</v>
      </c>
      <c r="I3865" s="221"/>
      <c r="J3865" s="221"/>
      <c r="K3865" s="227">
        <f>(K3857-K3858-K3859-K3860)+(K3861+K3862+K3863+K3864)</f>
        <v>8712.91</v>
      </c>
      <c r="L3865" s="221"/>
      <c r="M3865" s="221"/>
    </row>
    <row r="3866" spans="5:13">
      <c r="E3866" s="221"/>
      <c r="F3866" s="221"/>
      <c r="G3866" s="221"/>
      <c r="H3866" s="228" t="s">
        <v>3204</v>
      </c>
      <c r="I3866" s="221"/>
      <c r="J3866" s="221"/>
      <c r="K3866" s="229">
        <f>K3865/10</f>
        <v>871.29</v>
      </c>
      <c r="L3866" s="221">
        <f>669*10</f>
        <v>6690</v>
      </c>
      <c r="M3866" s="221">
        <f>L3866-K3865</f>
        <v>-2022.91</v>
      </c>
    </row>
    <row r="3867" spans="5:13">
      <c r="E3867" s="221"/>
      <c r="F3867" s="221"/>
      <c r="G3867" s="221"/>
      <c r="H3867" s="221"/>
      <c r="I3867" s="221"/>
      <c r="J3867" s="221"/>
      <c r="K3867" s="221"/>
      <c r="L3867" s="221"/>
      <c r="M3867" s="221"/>
    </row>
    <row r="3868" spans="5:13">
      <c r="E3868" s="221"/>
      <c r="F3868" s="221"/>
      <c r="G3868" s="221"/>
      <c r="H3868" s="221"/>
      <c r="I3868" s="221"/>
      <c r="J3868" s="221"/>
      <c r="K3868" s="221"/>
      <c r="L3868" s="221"/>
      <c r="M3868" s="221"/>
    </row>
    <row r="3869" spans="5:13">
      <c r="E3869" s="221"/>
      <c r="F3869" s="221"/>
      <c r="G3869" s="221"/>
      <c r="H3869" s="221"/>
      <c r="I3869" s="221"/>
      <c r="J3869" s="221"/>
      <c r="K3869" s="221"/>
      <c r="L3869" s="221"/>
      <c r="M3869" s="221"/>
    </row>
    <row r="3870" spans="5:13">
      <c r="E3870" s="221"/>
      <c r="F3870" s="221"/>
      <c r="G3870" s="221"/>
      <c r="H3870" s="221"/>
      <c r="I3870" s="221"/>
      <c r="J3870" s="221"/>
      <c r="K3870" s="221"/>
      <c r="L3870" s="221"/>
      <c r="M3870" s="221"/>
    </row>
    <row r="3871" spans="5:13">
      <c r="E3871" s="221"/>
      <c r="F3871" s="221"/>
      <c r="G3871" s="221"/>
      <c r="H3871" s="221"/>
      <c r="I3871" s="221"/>
      <c r="J3871" s="221"/>
      <c r="K3871" s="221"/>
      <c r="L3871" s="221"/>
      <c r="M3871" s="221"/>
    </row>
    <row r="3872" spans="5:13">
      <c r="E3872" s="221"/>
      <c r="F3872" s="221"/>
      <c r="G3872" s="221"/>
      <c r="H3872" s="219" t="s">
        <v>4829</v>
      </c>
      <c r="I3872" s="221"/>
      <c r="J3872" s="221"/>
      <c r="K3872" s="221"/>
      <c r="L3872" s="221"/>
      <c r="M3872" s="221"/>
    </row>
    <row r="3873" spans="5:13">
      <c r="E3873" s="221"/>
      <c r="F3873" s="221"/>
      <c r="G3873" s="221"/>
      <c r="I3873" s="221"/>
      <c r="J3873" s="221"/>
      <c r="K3873" s="221"/>
      <c r="L3873" s="221"/>
      <c r="M3873" s="221"/>
    </row>
    <row r="3874" spans="5:13">
      <c r="E3874" s="221"/>
      <c r="F3874" s="221"/>
      <c r="G3874" s="221"/>
      <c r="I3874" s="221"/>
      <c r="J3874" s="221"/>
      <c r="K3874" s="221"/>
      <c r="L3874" s="221"/>
      <c r="M3874" s="221"/>
    </row>
    <row r="3875" spans="5:13">
      <c r="E3875" s="221"/>
      <c r="F3875" s="221"/>
      <c r="G3875" s="221"/>
      <c r="I3875" s="221"/>
      <c r="J3875" s="221"/>
      <c r="K3875" s="221"/>
      <c r="L3875" s="221"/>
      <c r="M3875" s="221"/>
    </row>
    <row r="3876" spans="5:13">
      <c r="E3876" s="221"/>
      <c r="F3876" s="221"/>
      <c r="G3876" s="221"/>
      <c r="I3876" s="221"/>
      <c r="J3876" s="221"/>
      <c r="K3876" s="221"/>
      <c r="L3876" s="221"/>
      <c r="M3876" s="221"/>
    </row>
    <row r="3877" spans="5:13" ht="141.75">
      <c r="E3877" s="221"/>
      <c r="F3877" s="221"/>
      <c r="G3877" s="221"/>
      <c r="H3877" s="220" t="s">
        <v>4825</v>
      </c>
      <c r="I3877" s="221"/>
      <c r="J3877" s="221"/>
      <c r="K3877" s="221"/>
      <c r="L3877" s="221"/>
      <c r="M3877" s="221"/>
    </row>
    <row r="3878" spans="5:13">
      <c r="E3878" s="221"/>
      <c r="F3878" s="221"/>
      <c r="G3878" s="221"/>
      <c r="H3878" s="221"/>
      <c r="I3878" s="221"/>
      <c r="J3878" s="221"/>
      <c r="K3878" s="221"/>
      <c r="L3878" s="221"/>
      <c r="M3878" s="221"/>
    </row>
    <row r="3879" spans="5:13">
      <c r="E3879" s="221"/>
      <c r="F3879" s="221"/>
      <c r="G3879" s="221"/>
      <c r="H3879" s="221"/>
      <c r="I3879" s="221"/>
      <c r="J3879" s="221"/>
      <c r="K3879" s="221"/>
      <c r="L3879" s="221"/>
      <c r="M3879" s="221"/>
    </row>
    <row r="3880" spans="5:13">
      <c r="E3880" s="221"/>
      <c r="F3880" s="221"/>
      <c r="G3880" s="221"/>
      <c r="H3880" s="221"/>
      <c r="I3880" s="221"/>
      <c r="J3880" s="221"/>
      <c r="K3880" s="221"/>
      <c r="L3880" s="221"/>
      <c r="M3880" s="221"/>
    </row>
    <row r="3881" spans="5:13">
      <c r="E3881" s="221"/>
      <c r="F3881" s="221"/>
      <c r="G3881" s="221"/>
      <c r="H3881" s="221" t="s">
        <v>2479</v>
      </c>
      <c r="I3881" s="221"/>
      <c r="J3881" s="221"/>
      <c r="K3881" s="221">
        <f>K3857</f>
        <v>8273.32</v>
      </c>
      <c r="L3881" s="221"/>
      <c r="M3881" s="221"/>
    </row>
    <row r="3882" spans="5:13">
      <c r="E3882" s="221"/>
      <c r="F3882" s="221"/>
      <c r="G3882" s="221"/>
      <c r="H3882" s="221" t="s">
        <v>4826</v>
      </c>
      <c r="I3882" s="221"/>
      <c r="J3882" s="221"/>
      <c r="K3882" s="221">
        <f>K3816</f>
        <v>138</v>
      </c>
      <c r="L3882" s="221"/>
      <c r="M3882" s="221"/>
    </row>
    <row r="3883" spans="5:13">
      <c r="E3883" s="221"/>
      <c r="F3883" s="221"/>
      <c r="G3883" s="221"/>
      <c r="H3883" s="221" t="s">
        <v>2848</v>
      </c>
      <c r="I3883" s="221"/>
      <c r="J3883" s="221"/>
      <c r="K3883" s="221">
        <f>K3818</f>
        <v>63</v>
      </c>
      <c r="L3883" s="221"/>
      <c r="M3883" s="221"/>
    </row>
    <row r="3884" spans="5:13" ht="33.75" customHeight="1">
      <c r="E3884" s="221"/>
      <c r="F3884" s="221"/>
      <c r="G3884" s="221"/>
      <c r="H3884" s="220" t="s">
        <v>5069</v>
      </c>
      <c r="I3884" s="221"/>
      <c r="J3884" s="221"/>
      <c r="K3884" s="260">
        <f>69.9*10</f>
        <v>699</v>
      </c>
      <c r="L3884" s="221"/>
      <c r="M3884" s="221"/>
    </row>
    <row r="3885" spans="5:13">
      <c r="E3885" s="221"/>
      <c r="F3885" s="221"/>
      <c r="G3885" s="221"/>
      <c r="H3885" s="221" t="s">
        <v>5070</v>
      </c>
      <c r="I3885" s="221"/>
      <c r="J3885" s="221"/>
      <c r="K3885" s="260">
        <f>0.6*630</f>
        <v>378</v>
      </c>
      <c r="L3885" s="221"/>
      <c r="M3885" s="221"/>
    </row>
    <row r="3886" spans="5:13">
      <c r="E3886" s="221"/>
      <c r="F3886" s="221"/>
      <c r="G3886" s="221"/>
      <c r="H3886" s="221" t="s">
        <v>3072</v>
      </c>
      <c r="I3886" s="221"/>
      <c r="J3886" s="221"/>
      <c r="K3886" s="221">
        <v>24.25</v>
      </c>
      <c r="L3886" s="221"/>
      <c r="M3886" s="221"/>
    </row>
    <row r="3887" spans="5:13">
      <c r="E3887" s="221"/>
      <c r="F3887" s="221"/>
      <c r="G3887" s="221"/>
      <c r="H3887" s="226" t="s">
        <v>2458</v>
      </c>
      <c r="I3887" s="221"/>
      <c r="J3887" s="221"/>
      <c r="K3887" s="227">
        <f>K3881-K3882-K3883+K3884+K3885+K3886</f>
        <v>9173.57</v>
      </c>
      <c r="L3887" s="221"/>
      <c r="M3887" s="221"/>
    </row>
    <row r="3888" spans="5:13">
      <c r="E3888" s="221"/>
      <c r="F3888" s="221"/>
      <c r="G3888" s="221"/>
      <c r="H3888" s="228" t="s">
        <v>2459</v>
      </c>
      <c r="I3888" s="221"/>
      <c r="J3888" s="221"/>
      <c r="K3888" s="229">
        <f>K3887/10</f>
        <v>917.36</v>
      </c>
      <c r="L3888" s="221">
        <f>670*10</f>
        <v>6700</v>
      </c>
      <c r="M3888" s="221"/>
    </row>
    <row r="3889" spans="5:13">
      <c r="E3889" s="221"/>
      <c r="F3889" s="221"/>
      <c r="G3889" s="221"/>
      <c r="H3889" s="221"/>
      <c r="I3889" s="221"/>
      <c r="J3889" s="221"/>
      <c r="K3889" s="221"/>
      <c r="L3889" s="221">
        <f>L3888-K3887</f>
        <v>-2473.5700000000002</v>
      </c>
      <c r="M3889" s="221"/>
    </row>
    <row r="3890" spans="5:13">
      <c r="E3890" s="221"/>
      <c r="F3890" s="221"/>
      <c r="G3890" s="221"/>
      <c r="H3890" s="221"/>
      <c r="I3890" s="221"/>
      <c r="J3890" s="221"/>
      <c r="K3890" s="221">
        <f>K3888*6</f>
        <v>5504.16</v>
      </c>
      <c r="L3890" s="221"/>
      <c r="M3890" s="221"/>
    </row>
    <row r="3891" spans="5:13">
      <c r="E3891" s="221"/>
      <c r="F3891" s="221"/>
      <c r="G3891" s="221"/>
      <c r="H3891" s="221"/>
      <c r="I3891" s="221"/>
      <c r="J3891" s="221"/>
      <c r="K3891" s="221"/>
      <c r="L3891" s="221"/>
      <c r="M3891" s="221"/>
    </row>
    <row r="3892" spans="5:13">
      <c r="E3892" s="221"/>
      <c r="F3892" s="221"/>
      <c r="G3892" s="221"/>
      <c r="H3892" s="219" t="s">
        <v>4828</v>
      </c>
      <c r="I3892" s="221"/>
      <c r="J3892" s="221"/>
      <c r="K3892" s="221"/>
      <c r="L3892" s="221"/>
      <c r="M3892" s="221"/>
    </row>
    <row r="3893" spans="5:13" ht="189" customHeight="1">
      <c r="E3893" s="221"/>
      <c r="F3893" s="221"/>
      <c r="G3893" s="221"/>
      <c r="H3893" s="220" t="s">
        <v>4827</v>
      </c>
      <c r="I3893" s="221"/>
      <c r="J3893" s="221"/>
      <c r="K3893" s="221"/>
      <c r="L3893" s="221"/>
      <c r="M3893" s="221"/>
    </row>
    <row r="3894" spans="5:13">
      <c r="E3894" s="221"/>
      <c r="F3894" s="221">
        <v>90</v>
      </c>
      <c r="G3894" s="221" t="s">
        <v>835</v>
      </c>
      <c r="H3894" s="142" t="s">
        <v>2572</v>
      </c>
      <c r="I3894" s="221">
        <f>I3049</f>
        <v>15.5</v>
      </c>
      <c r="J3894" s="221" t="s">
        <v>2573</v>
      </c>
      <c r="K3894" s="221">
        <f>F3894*I3894</f>
        <v>1395</v>
      </c>
      <c r="L3894" s="221"/>
      <c r="M3894" s="221"/>
    </row>
    <row r="3895" spans="5:13">
      <c r="E3895" s="221"/>
      <c r="F3895" s="221">
        <v>30</v>
      </c>
      <c r="G3895" s="221" t="s">
        <v>835</v>
      </c>
      <c r="H3895" s="220" t="s">
        <v>2389</v>
      </c>
      <c r="I3895" s="221">
        <f>I3050</f>
        <v>19.100000000000001</v>
      </c>
      <c r="J3895" s="221" t="s">
        <v>835</v>
      </c>
      <c r="K3895" s="221">
        <f t="shared" ref="K3895:K3904" si="111">F3895*I3895</f>
        <v>573</v>
      </c>
      <c r="L3895" s="221"/>
      <c r="M3895" s="221"/>
    </row>
    <row r="3896" spans="5:13">
      <c r="E3896" s="221"/>
      <c r="F3896" s="221">
        <v>10</v>
      </c>
      <c r="G3896" s="221" t="s">
        <v>1414</v>
      </c>
      <c r="H3896" s="221" t="s">
        <v>2391</v>
      </c>
      <c r="I3896" s="221">
        <f>I3051</f>
        <v>3</v>
      </c>
      <c r="J3896" s="221" t="s">
        <v>1414</v>
      </c>
      <c r="K3896" s="221">
        <f t="shared" si="111"/>
        <v>30</v>
      </c>
      <c r="L3896" s="221"/>
      <c r="M3896" s="221"/>
    </row>
    <row r="3897" spans="5:13">
      <c r="E3897" s="221"/>
      <c r="F3897" s="221">
        <v>5</v>
      </c>
      <c r="G3897" s="221" t="s">
        <v>1414</v>
      </c>
      <c r="H3897" s="221" t="s">
        <v>3432</v>
      </c>
      <c r="I3897" s="221">
        <f>I3052</f>
        <v>1.28</v>
      </c>
      <c r="J3897" s="221" t="s">
        <v>1414</v>
      </c>
      <c r="K3897" s="221">
        <f t="shared" si="111"/>
        <v>6.4</v>
      </c>
      <c r="L3897" s="221"/>
      <c r="M3897" s="221"/>
    </row>
    <row r="3898" spans="5:13">
      <c r="E3898" s="221"/>
      <c r="F3898" s="221">
        <v>10</v>
      </c>
      <c r="G3898" s="221" t="s">
        <v>1414</v>
      </c>
      <c r="H3898" s="221" t="s">
        <v>2476</v>
      </c>
      <c r="I3898" s="221">
        <f>I3053</f>
        <v>19.920000000000002</v>
      </c>
      <c r="J3898" s="221" t="s">
        <v>1414</v>
      </c>
      <c r="K3898" s="221">
        <f t="shared" si="111"/>
        <v>199.2</v>
      </c>
      <c r="L3898" s="221"/>
      <c r="M3898" s="221"/>
    </row>
    <row r="3899" spans="5:13">
      <c r="E3899" s="221"/>
      <c r="F3899" s="221">
        <v>5</v>
      </c>
      <c r="G3899" s="221" t="s">
        <v>1414</v>
      </c>
      <c r="H3899" s="221" t="s">
        <v>4831</v>
      </c>
      <c r="I3899" s="503">
        <v>5.58</v>
      </c>
      <c r="J3899" s="221" t="s">
        <v>1418</v>
      </c>
      <c r="K3899" s="221">
        <f t="shared" si="111"/>
        <v>27.9</v>
      </c>
      <c r="L3899" s="221"/>
      <c r="M3899" s="221"/>
    </row>
    <row r="3900" spans="5:13">
      <c r="E3900" s="221"/>
      <c r="F3900" s="221">
        <v>5</v>
      </c>
      <c r="G3900" s="221" t="s">
        <v>1414</v>
      </c>
      <c r="H3900" s="221" t="s">
        <v>2662</v>
      </c>
      <c r="I3900" s="221">
        <f>I3054</f>
        <v>13.6</v>
      </c>
      <c r="J3900" s="221" t="s">
        <v>1414</v>
      </c>
      <c r="K3900" s="221">
        <f t="shared" si="111"/>
        <v>68</v>
      </c>
      <c r="L3900" s="221"/>
      <c r="M3900" s="221"/>
    </row>
    <row r="3901" spans="5:13">
      <c r="E3901" s="221"/>
      <c r="F3901" s="224">
        <v>0.09</v>
      </c>
      <c r="G3901" s="221" t="s">
        <v>2308</v>
      </c>
      <c r="H3901" s="221" t="s">
        <v>2585</v>
      </c>
      <c r="I3901" s="221">
        <f>I3057</f>
        <v>630</v>
      </c>
      <c r="J3901" s="221" t="s">
        <v>2308</v>
      </c>
      <c r="K3901" s="221">
        <f t="shared" si="111"/>
        <v>56.7</v>
      </c>
      <c r="L3901" s="221"/>
      <c r="M3901" s="221"/>
    </row>
    <row r="3902" spans="5:13">
      <c r="E3902" s="221"/>
      <c r="F3902" s="221">
        <v>1</v>
      </c>
      <c r="G3902" s="221" t="s">
        <v>2666</v>
      </c>
      <c r="H3902" s="221" t="s">
        <v>390</v>
      </c>
      <c r="I3902" s="221">
        <f>Data!Y29/20</f>
        <v>298</v>
      </c>
      <c r="J3902" s="221" t="s">
        <v>2666</v>
      </c>
      <c r="K3902" s="221">
        <f t="shared" si="111"/>
        <v>298</v>
      </c>
      <c r="L3902" s="221"/>
      <c r="M3902" s="221"/>
    </row>
    <row r="3903" spans="5:13">
      <c r="E3903" s="221"/>
      <c r="F3903" s="221">
        <v>6</v>
      </c>
      <c r="G3903" s="221" t="s">
        <v>1414</v>
      </c>
      <c r="H3903" s="221" t="s">
        <v>4830</v>
      </c>
      <c r="I3903" s="221">
        <f>I3817</f>
        <v>16.5</v>
      </c>
      <c r="J3903" s="221" t="s">
        <v>1418</v>
      </c>
      <c r="K3903" s="221">
        <f t="shared" si="111"/>
        <v>99</v>
      </c>
      <c r="L3903" s="221"/>
      <c r="M3903" s="221"/>
    </row>
    <row r="3904" spans="5:13" ht="31.5">
      <c r="E3904" s="221"/>
      <c r="F3904" s="221">
        <v>30</v>
      </c>
      <c r="G3904" s="221" t="s">
        <v>835</v>
      </c>
      <c r="H3904" s="142" t="s">
        <v>2672</v>
      </c>
      <c r="I3904" s="221">
        <f>I3894</f>
        <v>15.5</v>
      </c>
      <c r="J3904" s="221" t="s">
        <v>2573</v>
      </c>
      <c r="K3904" s="221">
        <f t="shared" si="111"/>
        <v>465</v>
      </c>
      <c r="L3904" s="221"/>
      <c r="M3904" s="221"/>
    </row>
    <row r="3905" spans="5:13">
      <c r="E3905" s="221"/>
      <c r="F3905" s="221"/>
      <c r="G3905" s="221"/>
      <c r="H3905" s="221" t="s">
        <v>924</v>
      </c>
      <c r="I3905" s="221"/>
      <c r="J3905" s="221"/>
      <c r="K3905" s="221">
        <f>K3838</f>
        <v>6589</v>
      </c>
      <c r="L3905" s="221"/>
      <c r="M3905" s="221"/>
    </row>
    <row r="3906" spans="5:13">
      <c r="E3906" s="221"/>
      <c r="F3906" s="221"/>
      <c r="G3906" s="221"/>
      <c r="H3906" s="221" t="s">
        <v>2296</v>
      </c>
      <c r="I3906" s="221"/>
      <c r="J3906" s="221"/>
      <c r="K3906" s="221">
        <v>12.25</v>
      </c>
      <c r="L3906" s="221"/>
      <c r="M3906" s="221"/>
    </row>
    <row r="3907" spans="5:13">
      <c r="E3907" s="221"/>
      <c r="F3907" s="221"/>
      <c r="G3907" s="221"/>
      <c r="H3907" s="226" t="s">
        <v>2586</v>
      </c>
      <c r="I3907" s="221"/>
      <c r="J3907" s="221"/>
      <c r="K3907" s="227">
        <f>SUM(K3894:K3906)</f>
        <v>9819.4500000000007</v>
      </c>
      <c r="L3907" s="221"/>
      <c r="M3907" s="221"/>
    </row>
    <row r="3908" spans="5:13">
      <c r="E3908" s="221"/>
      <c r="F3908" s="221"/>
      <c r="G3908" s="221"/>
      <c r="H3908" s="228" t="s">
        <v>3204</v>
      </c>
      <c r="I3908" s="221"/>
      <c r="J3908" s="221"/>
      <c r="K3908" s="229">
        <f>K3907/5</f>
        <v>1963.89</v>
      </c>
      <c r="L3908" s="221">
        <f>1425*5</f>
        <v>7125</v>
      </c>
      <c r="M3908" s="221">
        <f>K3907/5</f>
        <v>1963.89</v>
      </c>
    </row>
    <row r="3909" spans="5:13">
      <c r="E3909" s="221"/>
      <c r="F3909" s="221"/>
      <c r="G3909" s="221"/>
      <c r="H3909" s="229"/>
      <c r="I3909" s="221"/>
      <c r="J3909" s="221"/>
      <c r="K3909" s="221"/>
      <c r="L3909" s="221">
        <f>L3908-K3907</f>
        <v>-2694.45</v>
      </c>
      <c r="M3909" s="221"/>
    </row>
    <row r="3910" spans="5:13">
      <c r="E3910" s="221"/>
      <c r="F3910" s="221"/>
      <c r="G3910" s="221"/>
      <c r="H3910" s="229" t="s">
        <v>1541</v>
      </c>
      <c r="I3910" s="221"/>
      <c r="J3910" s="221"/>
      <c r="K3910" s="221"/>
      <c r="L3910" s="221"/>
      <c r="M3910" s="221"/>
    </row>
    <row r="3911" spans="5:13">
      <c r="E3911" s="221"/>
      <c r="F3911" s="221"/>
      <c r="G3911" s="221"/>
      <c r="H3911" s="221"/>
      <c r="I3911" s="221"/>
      <c r="J3911" s="221"/>
      <c r="K3911" s="221"/>
      <c r="L3911" s="221"/>
      <c r="M3911" s="221"/>
    </row>
    <row r="3912" spans="5:13" ht="141.75">
      <c r="E3912" s="221"/>
      <c r="F3912" s="221"/>
      <c r="G3912" s="221"/>
      <c r="H3912" s="220" t="s">
        <v>2756</v>
      </c>
      <c r="I3912" s="221"/>
      <c r="J3912" s="221"/>
      <c r="K3912" s="221"/>
      <c r="L3912" s="221"/>
      <c r="M3912" s="221"/>
    </row>
    <row r="3913" spans="5:13">
      <c r="E3913" s="221"/>
      <c r="F3913" s="221">
        <v>90</v>
      </c>
      <c r="G3913" s="221" t="s">
        <v>835</v>
      </c>
      <c r="H3913" s="142" t="s">
        <v>2572</v>
      </c>
      <c r="I3913" s="221">
        <f>I2951</f>
        <v>15.5</v>
      </c>
      <c r="J3913" s="221" t="s">
        <v>835</v>
      </c>
      <c r="K3913" s="221">
        <f>F3913*I3913</f>
        <v>1395</v>
      </c>
      <c r="L3913" s="221"/>
      <c r="M3913" s="221"/>
    </row>
    <row r="3914" spans="5:13">
      <c r="E3914" s="221"/>
      <c r="F3914" s="221">
        <v>45</v>
      </c>
      <c r="G3914" s="221" t="s">
        <v>835</v>
      </c>
      <c r="H3914" s="220" t="s">
        <v>2389</v>
      </c>
      <c r="I3914" s="221">
        <f t="shared" ref="I3914:I3923" si="112">I2952</f>
        <v>19.100000000000001</v>
      </c>
      <c r="J3914" s="221" t="s">
        <v>835</v>
      </c>
      <c r="K3914" s="221">
        <f t="shared" ref="K3914:K3923" si="113">F3914*I3914</f>
        <v>859.5</v>
      </c>
      <c r="L3914" s="221"/>
      <c r="M3914" s="221"/>
    </row>
    <row r="3915" spans="5:13">
      <c r="E3915" s="221"/>
      <c r="F3915" s="221">
        <v>20</v>
      </c>
      <c r="G3915" s="221" t="s">
        <v>1414</v>
      </c>
      <c r="H3915" s="221" t="s">
        <v>2391</v>
      </c>
      <c r="I3915" s="221">
        <f t="shared" si="112"/>
        <v>3</v>
      </c>
      <c r="J3915" s="221" t="s">
        <v>3435</v>
      </c>
      <c r="K3915" s="221">
        <f t="shared" si="113"/>
        <v>60</v>
      </c>
      <c r="L3915" s="221"/>
      <c r="M3915" s="221"/>
    </row>
    <row r="3916" spans="5:13">
      <c r="E3916" s="221"/>
      <c r="F3916" s="221">
        <v>10</v>
      </c>
      <c r="G3916" s="221" t="s">
        <v>1414</v>
      </c>
      <c r="H3916" s="221" t="s">
        <v>3432</v>
      </c>
      <c r="I3916" s="221">
        <f t="shared" si="112"/>
        <v>1.28</v>
      </c>
      <c r="J3916" s="221" t="s">
        <v>3435</v>
      </c>
      <c r="K3916" s="221">
        <f t="shared" si="113"/>
        <v>12.8</v>
      </c>
      <c r="L3916" s="221"/>
      <c r="M3916" s="221"/>
    </row>
    <row r="3917" spans="5:13">
      <c r="E3917" s="221"/>
      <c r="F3917" s="221">
        <v>1</v>
      </c>
      <c r="G3917" s="221" t="s">
        <v>1414</v>
      </c>
      <c r="H3917" s="221" t="s">
        <v>2477</v>
      </c>
      <c r="I3917" s="221">
        <f t="shared" si="112"/>
        <v>63.1</v>
      </c>
      <c r="J3917" s="221" t="s">
        <v>1414</v>
      </c>
      <c r="K3917" s="221">
        <f t="shared" si="113"/>
        <v>63.1</v>
      </c>
      <c r="L3917" s="221"/>
      <c r="M3917" s="221"/>
    </row>
    <row r="3918" spans="5:13">
      <c r="E3918" s="221"/>
      <c r="F3918" s="224">
        <v>1.4999999999999999E-2</v>
      </c>
      <c r="G3918" s="221" t="s">
        <v>2308</v>
      </c>
      <c r="H3918" s="221" t="s">
        <v>2585</v>
      </c>
      <c r="I3918" s="221">
        <f t="shared" si="112"/>
        <v>630</v>
      </c>
      <c r="J3918" s="221" t="s">
        <v>2308</v>
      </c>
      <c r="K3918" s="221">
        <f t="shared" si="113"/>
        <v>9.4499999999999993</v>
      </c>
      <c r="L3918" s="221"/>
      <c r="M3918" s="221"/>
    </row>
    <row r="3919" spans="5:13">
      <c r="E3919" s="221"/>
      <c r="F3919" s="221">
        <v>15</v>
      </c>
      <c r="G3919" s="221" t="s">
        <v>1414</v>
      </c>
      <c r="H3919" s="221" t="s">
        <v>2757</v>
      </c>
      <c r="I3919" s="221">
        <f t="shared" si="112"/>
        <v>39.950000000000003</v>
      </c>
      <c r="J3919" s="221" t="s">
        <v>1414</v>
      </c>
      <c r="K3919" s="221">
        <f t="shared" si="113"/>
        <v>599.25</v>
      </c>
      <c r="L3919" s="221"/>
      <c r="M3919" s="221"/>
    </row>
    <row r="3920" spans="5:13">
      <c r="E3920" s="221"/>
      <c r="F3920" s="221">
        <v>15</v>
      </c>
      <c r="G3920" s="221" t="s">
        <v>1414</v>
      </c>
      <c r="H3920" s="221" t="s">
        <v>2477</v>
      </c>
      <c r="I3920" s="221">
        <f t="shared" si="112"/>
        <v>63.1</v>
      </c>
      <c r="J3920" s="221" t="s">
        <v>1414</v>
      </c>
      <c r="K3920" s="221">
        <f t="shared" si="113"/>
        <v>946.5</v>
      </c>
      <c r="L3920" s="221"/>
      <c r="M3920" s="221"/>
    </row>
    <row r="3921" spans="5:13">
      <c r="E3921" s="221"/>
      <c r="F3921" s="224">
        <v>0.22500000000000001</v>
      </c>
      <c r="G3921" s="221" t="s">
        <v>2308</v>
      </c>
      <c r="H3921" s="221" t="s">
        <v>2585</v>
      </c>
      <c r="I3921" s="221">
        <f t="shared" si="112"/>
        <v>630</v>
      </c>
      <c r="J3921" s="221" t="s">
        <v>2758</v>
      </c>
      <c r="K3921" s="221">
        <f t="shared" si="113"/>
        <v>141.75</v>
      </c>
      <c r="L3921" s="221"/>
      <c r="M3921" s="221"/>
    </row>
    <row r="3922" spans="5:13">
      <c r="E3922" s="221"/>
      <c r="F3922" s="221">
        <v>1.25</v>
      </c>
      <c r="G3922" s="221" t="s">
        <v>2666</v>
      </c>
      <c r="H3922" s="221" t="s">
        <v>390</v>
      </c>
      <c r="I3922" s="221">
        <f t="shared" si="112"/>
        <v>298</v>
      </c>
      <c r="J3922" s="221" t="s">
        <v>2666</v>
      </c>
      <c r="K3922" s="221">
        <f t="shared" si="113"/>
        <v>372.5</v>
      </c>
      <c r="L3922" s="221"/>
      <c r="M3922" s="221"/>
    </row>
    <row r="3923" spans="5:13" ht="31.5">
      <c r="E3923" s="221"/>
      <c r="F3923" s="221">
        <v>45</v>
      </c>
      <c r="G3923" s="221" t="s">
        <v>2308</v>
      </c>
      <c r="H3923" s="142" t="s">
        <v>2672</v>
      </c>
      <c r="I3923" s="221">
        <f t="shared" si="112"/>
        <v>15.5</v>
      </c>
      <c r="J3923" s="221" t="s">
        <v>835</v>
      </c>
      <c r="K3923" s="221">
        <f t="shared" si="113"/>
        <v>697.5</v>
      </c>
      <c r="L3923" s="221"/>
      <c r="M3923" s="221"/>
    </row>
    <row r="3924" spans="5:13">
      <c r="E3924" s="221"/>
      <c r="F3924" s="221"/>
      <c r="G3924" s="221"/>
      <c r="H3924" s="221" t="s">
        <v>924</v>
      </c>
      <c r="I3924" s="221"/>
      <c r="J3924" s="221"/>
      <c r="K3924" s="221">
        <f>K3840</f>
        <v>4392.67</v>
      </c>
      <c r="L3924" s="221"/>
      <c r="M3924" s="221"/>
    </row>
    <row r="3925" spans="5:13">
      <c r="E3925" s="221"/>
      <c r="F3925" s="221"/>
      <c r="G3925" s="221"/>
      <c r="H3925" s="221" t="s">
        <v>2296</v>
      </c>
      <c r="I3925" s="221"/>
      <c r="J3925" s="221"/>
      <c r="K3925" s="221">
        <v>26.7</v>
      </c>
      <c r="L3925" s="221"/>
      <c r="M3925" s="221"/>
    </row>
    <row r="3926" spans="5:13">
      <c r="E3926" s="221"/>
      <c r="F3926" s="221"/>
      <c r="G3926" s="221"/>
      <c r="H3926" s="226" t="s">
        <v>2759</v>
      </c>
      <c r="I3926" s="221"/>
      <c r="J3926" s="221"/>
      <c r="K3926" s="227">
        <f>SUM(K3913:K3925)</f>
        <v>9576.7199999999993</v>
      </c>
      <c r="L3926" s="221"/>
      <c r="M3926" s="221"/>
    </row>
    <row r="3927" spans="5:13">
      <c r="E3927" s="221"/>
      <c r="F3927" s="221"/>
      <c r="G3927" s="221"/>
      <c r="H3927" s="228" t="s">
        <v>3204</v>
      </c>
      <c r="I3927" s="221"/>
      <c r="J3927" s="221"/>
      <c r="K3927" s="229">
        <f>K3926/15</f>
        <v>638.45000000000005</v>
      </c>
      <c r="L3927" s="221">
        <f>K3927-492</f>
        <v>146.44999999999999</v>
      </c>
      <c r="M3927" s="221">
        <f>L3927-K3926</f>
        <v>-9430.27</v>
      </c>
    </row>
    <row r="3928" spans="5:13">
      <c r="E3928" s="221"/>
      <c r="F3928" s="221"/>
      <c r="G3928" s="221"/>
      <c r="H3928" s="229" t="s">
        <v>924</v>
      </c>
      <c r="I3928" s="221"/>
      <c r="J3928" s="221"/>
      <c r="K3928" s="229"/>
      <c r="L3928" s="221">
        <f>L3927*15</f>
        <v>2196.75</v>
      </c>
      <c r="M3928" s="221"/>
    </row>
    <row r="3929" spans="5:13">
      <c r="E3929" s="221"/>
      <c r="F3929" s="221">
        <v>1</v>
      </c>
      <c r="G3929" s="221" t="s">
        <v>1414</v>
      </c>
      <c r="H3929" s="221" t="s">
        <v>3356</v>
      </c>
      <c r="I3929" s="221">
        <f>I2866</f>
        <v>817</v>
      </c>
      <c r="J3929" s="221" t="s">
        <v>1414</v>
      </c>
      <c r="K3929" s="221">
        <f>F3929*I3929</f>
        <v>817</v>
      </c>
      <c r="L3929" s="221"/>
      <c r="M3929" s="221"/>
    </row>
    <row r="3930" spans="5:13">
      <c r="E3930" s="221"/>
      <c r="F3930" s="221">
        <v>2</v>
      </c>
      <c r="G3930" s="221" t="s">
        <v>1414</v>
      </c>
      <c r="H3930" s="221" t="s">
        <v>3357</v>
      </c>
      <c r="I3930" s="221">
        <f>I2867</f>
        <v>712</v>
      </c>
      <c r="J3930" s="221" t="s">
        <v>1414</v>
      </c>
      <c r="K3930" s="221">
        <f>F3930*I3930</f>
        <v>1424</v>
      </c>
      <c r="L3930" s="221"/>
      <c r="M3930" s="221"/>
    </row>
    <row r="3931" spans="5:13">
      <c r="E3931" s="221"/>
      <c r="F3931" s="221">
        <v>3</v>
      </c>
      <c r="G3931" s="221" t="s">
        <v>1414</v>
      </c>
      <c r="H3931" s="221" t="s">
        <v>3358</v>
      </c>
      <c r="I3931" s="221">
        <f>I2868</f>
        <v>708</v>
      </c>
      <c r="J3931" s="221" t="s">
        <v>1414</v>
      </c>
      <c r="K3931" s="221">
        <f>F3931*I3931</f>
        <v>2124</v>
      </c>
      <c r="L3931" s="221"/>
      <c r="M3931" s="221"/>
    </row>
    <row r="3932" spans="5:13">
      <c r="E3932" s="221"/>
      <c r="F3932" s="221">
        <v>4</v>
      </c>
      <c r="G3932" s="221" t="s">
        <v>1414</v>
      </c>
      <c r="H3932" s="221" t="s">
        <v>2356</v>
      </c>
      <c r="I3932" s="221">
        <f>I2869</f>
        <v>556</v>
      </c>
      <c r="J3932" s="221" t="s">
        <v>1414</v>
      </c>
      <c r="K3932" s="221">
        <f>F3932*I3932</f>
        <v>2224</v>
      </c>
      <c r="L3932" s="221"/>
      <c r="M3932" s="221"/>
    </row>
    <row r="3933" spans="5:13">
      <c r="E3933" s="221"/>
      <c r="F3933" s="221"/>
      <c r="G3933" s="221"/>
      <c r="H3933" s="228"/>
      <c r="I3933" s="221"/>
      <c r="J3933" s="221"/>
      <c r="K3933" s="229">
        <f>SUM(K3929:K3932)</f>
        <v>6589</v>
      </c>
      <c r="L3933" s="221"/>
      <c r="M3933" s="221"/>
    </row>
    <row r="3934" spans="5:13">
      <c r="E3934" s="221"/>
      <c r="F3934" s="221"/>
      <c r="G3934" s="221"/>
      <c r="H3934" s="228"/>
      <c r="I3934" s="221"/>
      <c r="J3934" s="221"/>
      <c r="K3934" s="229"/>
      <c r="L3934" s="221"/>
      <c r="M3934" s="221"/>
    </row>
    <row r="3935" spans="5:13">
      <c r="E3935" s="221"/>
      <c r="F3935" s="221"/>
      <c r="G3935" s="221"/>
      <c r="H3935" s="228"/>
      <c r="I3935" s="221"/>
      <c r="J3935" s="221"/>
      <c r="K3935" s="229"/>
      <c r="L3935" s="221"/>
      <c r="M3935" s="221"/>
    </row>
    <row r="3936" spans="5:13">
      <c r="E3936" s="221"/>
      <c r="F3936" s="221"/>
      <c r="G3936" s="221"/>
      <c r="H3936" s="229" t="s">
        <v>2416</v>
      </c>
      <c r="I3936" s="221"/>
      <c r="J3936" s="221"/>
      <c r="K3936" s="221"/>
      <c r="L3936" s="221"/>
      <c r="M3936" s="221"/>
    </row>
    <row r="3937" spans="5:13">
      <c r="E3937" s="221"/>
      <c r="F3937" s="221"/>
      <c r="G3937" s="221"/>
      <c r="H3937" s="221"/>
      <c r="I3937" s="221"/>
      <c r="J3937" s="221"/>
      <c r="K3937" s="221"/>
      <c r="L3937" s="221"/>
      <c r="M3937" s="221"/>
    </row>
    <row r="3938" spans="5:13" ht="94.5">
      <c r="E3938" s="221"/>
      <c r="F3938" s="221"/>
      <c r="G3938" s="221"/>
      <c r="H3938" s="220" t="s">
        <v>3571</v>
      </c>
      <c r="I3938" s="221"/>
      <c r="J3938" s="221"/>
      <c r="K3938" s="221"/>
      <c r="L3938" s="221"/>
      <c r="M3938" s="221"/>
    </row>
    <row r="3939" spans="5:13">
      <c r="E3939" s="221"/>
      <c r="F3939" s="221"/>
      <c r="G3939" s="221"/>
      <c r="H3939" s="221"/>
      <c r="I3939" s="221"/>
      <c r="J3939" s="221"/>
      <c r="K3939" s="221"/>
      <c r="L3939" s="221"/>
      <c r="M3939" s="221"/>
    </row>
    <row r="3940" spans="5:13">
      <c r="E3940" s="221"/>
      <c r="F3940" s="221">
        <v>180</v>
      </c>
      <c r="G3940" s="221" t="s">
        <v>835</v>
      </c>
      <c r="H3940" s="142" t="s">
        <v>2572</v>
      </c>
      <c r="I3940" s="221">
        <f>I3072</f>
        <v>15.5</v>
      </c>
      <c r="J3940" s="221" t="s">
        <v>835</v>
      </c>
      <c r="K3940" s="221">
        <f>I3940*F3940</f>
        <v>2790</v>
      </c>
      <c r="L3940" s="221"/>
      <c r="M3940" s="221"/>
    </row>
    <row r="3941" spans="5:13">
      <c r="E3941" s="221"/>
      <c r="F3941" s="221">
        <v>90</v>
      </c>
      <c r="G3941" s="221" t="s">
        <v>835</v>
      </c>
      <c r="H3941" s="220" t="s">
        <v>2389</v>
      </c>
      <c r="I3941" s="221">
        <f>I3073</f>
        <v>19.100000000000001</v>
      </c>
      <c r="J3941" s="221" t="s">
        <v>835</v>
      </c>
      <c r="K3941" s="221">
        <f t="shared" ref="K3941:K3946" si="114">I3941*F3941</f>
        <v>1719</v>
      </c>
      <c r="L3941" s="221"/>
      <c r="M3941" s="221"/>
    </row>
    <row r="3942" spans="5:13">
      <c r="E3942" s="221"/>
      <c r="F3942" s="221">
        <v>1</v>
      </c>
      <c r="G3942" s="221" t="s">
        <v>3172</v>
      </c>
      <c r="H3942" s="220" t="s">
        <v>4836</v>
      </c>
      <c r="I3942" s="260">
        <v>39</v>
      </c>
      <c r="J3942" s="221" t="s">
        <v>3172</v>
      </c>
      <c r="K3942" s="221">
        <f t="shared" si="114"/>
        <v>39</v>
      </c>
      <c r="L3942" s="221"/>
      <c r="M3942" s="221"/>
    </row>
    <row r="3943" spans="5:13">
      <c r="E3943" s="221"/>
      <c r="F3943" s="221">
        <v>300</v>
      </c>
      <c r="G3943" s="221" t="s">
        <v>1452</v>
      </c>
      <c r="H3943" s="220" t="s">
        <v>4837</v>
      </c>
      <c r="I3943" s="221">
        <f>I3580</f>
        <v>287</v>
      </c>
      <c r="J3943" s="221" t="s">
        <v>3176</v>
      </c>
      <c r="K3943" s="221">
        <f>(I3943*F3943)/1000</f>
        <v>86.1</v>
      </c>
      <c r="L3943" s="221"/>
      <c r="M3943" s="221"/>
    </row>
    <row r="3944" spans="5:13">
      <c r="E3944" s="221"/>
      <c r="F3944" s="221">
        <v>2</v>
      </c>
      <c r="G3944" s="221" t="s">
        <v>2670</v>
      </c>
      <c r="H3944" s="220" t="s">
        <v>3175</v>
      </c>
      <c r="I3944" s="221">
        <f>I3813</f>
        <v>68.8</v>
      </c>
      <c r="J3944" s="221" t="s">
        <v>3172</v>
      </c>
      <c r="K3944" s="221">
        <f t="shared" si="114"/>
        <v>137.6</v>
      </c>
      <c r="L3944" s="221"/>
      <c r="M3944" s="221"/>
    </row>
    <row r="3945" spans="5:13">
      <c r="E3945" s="221"/>
      <c r="F3945" s="221">
        <v>0.33</v>
      </c>
      <c r="G3945" s="221" t="s">
        <v>2666</v>
      </c>
      <c r="H3945" s="221" t="s">
        <v>390</v>
      </c>
      <c r="I3945" s="221">
        <f>I3074</f>
        <v>298</v>
      </c>
      <c r="J3945" s="221" t="s">
        <v>2666</v>
      </c>
      <c r="K3945" s="221">
        <f t="shared" si="114"/>
        <v>98.34</v>
      </c>
      <c r="L3945" s="221"/>
      <c r="M3945" s="221"/>
    </row>
    <row r="3946" spans="5:13" ht="31.5">
      <c r="E3946" s="221"/>
      <c r="F3946" s="221">
        <v>90</v>
      </c>
      <c r="G3946" s="221" t="s">
        <v>835</v>
      </c>
      <c r="H3946" s="142" t="s">
        <v>2672</v>
      </c>
      <c r="I3946" s="221">
        <f>I3075</f>
        <v>15.5</v>
      </c>
      <c r="J3946" s="221" t="s">
        <v>2573</v>
      </c>
      <c r="K3946" s="221">
        <f t="shared" si="114"/>
        <v>1395</v>
      </c>
      <c r="L3946" s="221"/>
      <c r="M3946" s="221"/>
    </row>
    <row r="3947" spans="5:13">
      <c r="E3947" s="221"/>
      <c r="F3947" s="253" t="s">
        <v>3179</v>
      </c>
      <c r="G3947" s="221"/>
      <c r="H3947" s="221" t="s">
        <v>924</v>
      </c>
      <c r="I3947" s="221">
        <f>K3933</f>
        <v>6589</v>
      </c>
      <c r="J3947" s="221"/>
      <c r="K3947" s="221">
        <f>2/3*I3947</f>
        <v>4392.67</v>
      </c>
      <c r="L3947" s="221"/>
      <c r="M3947" s="221"/>
    </row>
    <row r="3948" spans="5:13">
      <c r="E3948" s="221"/>
      <c r="F3948" s="221"/>
      <c r="G3948" s="221"/>
      <c r="H3948" s="221"/>
      <c r="I3948" s="221"/>
      <c r="J3948" s="221"/>
      <c r="K3948" s="221">
        <f>SUM(K3940:K3947)</f>
        <v>10657.71</v>
      </c>
      <c r="L3948" s="221"/>
      <c r="M3948" s="221"/>
    </row>
    <row r="3949" spans="5:13">
      <c r="E3949" s="221"/>
      <c r="F3949" s="221"/>
      <c r="G3949" s="221"/>
      <c r="H3949" s="221" t="s">
        <v>2296</v>
      </c>
      <c r="I3949" s="221"/>
      <c r="J3949" s="221"/>
      <c r="K3949" s="221">
        <v>73</v>
      </c>
      <c r="L3949" s="221"/>
      <c r="M3949" s="221"/>
    </row>
    <row r="3950" spans="5:13">
      <c r="E3950" s="221"/>
      <c r="F3950" s="221"/>
      <c r="G3950" s="221"/>
      <c r="H3950" s="226" t="s">
        <v>2418</v>
      </c>
      <c r="I3950" s="221"/>
      <c r="J3950" s="221"/>
      <c r="K3950" s="227">
        <f>SUM(K3948:K3949)</f>
        <v>10730.71</v>
      </c>
      <c r="L3950" s="221">
        <f>93*90</f>
        <v>8370</v>
      </c>
      <c r="M3950" s="221">
        <f>L3950-K3950</f>
        <v>-2360.71</v>
      </c>
    </row>
    <row r="3951" spans="5:13">
      <c r="E3951" s="221"/>
      <c r="F3951" s="221"/>
      <c r="G3951" s="221"/>
      <c r="H3951" s="228" t="s">
        <v>2419</v>
      </c>
      <c r="I3951" s="221"/>
      <c r="J3951" s="221"/>
      <c r="K3951" s="229">
        <f>K3950/90</f>
        <v>119.23</v>
      </c>
      <c r="L3951" s="221">
        <f>93*90</f>
        <v>8370</v>
      </c>
      <c r="M3951" s="221"/>
    </row>
    <row r="3952" spans="5:13">
      <c r="E3952" s="221"/>
      <c r="F3952" s="221"/>
      <c r="G3952" s="221"/>
      <c r="H3952" s="221"/>
      <c r="I3952" s="221"/>
      <c r="J3952" s="221"/>
      <c r="K3952" s="221"/>
      <c r="L3952" s="221">
        <f>L3951-K3950</f>
        <v>-2360.71</v>
      </c>
      <c r="M3952" s="221"/>
    </row>
    <row r="3953" spans="5:13">
      <c r="E3953" s="221"/>
      <c r="F3953" s="221"/>
      <c r="G3953" s="221"/>
      <c r="H3953" s="229" t="s">
        <v>3177</v>
      </c>
      <c r="I3953" s="221"/>
      <c r="J3953" s="221"/>
      <c r="K3953" s="221"/>
      <c r="L3953" s="221"/>
      <c r="M3953" s="221"/>
    </row>
    <row r="3954" spans="5:13">
      <c r="E3954" s="221"/>
      <c r="F3954" s="221"/>
      <c r="G3954" s="221"/>
      <c r="H3954" s="221"/>
      <c r="I3954" s="221"/>
      <c r="J3954" s="221"/>
      <c r="K3954" s="221"/>
      <c r="L3954" s="221"/>
      <c r="M3954" s="221"/>
    </row>
    <row r="3955" spans="5:13" ht="94.5">
      <c r="E3955" s="221"/>
      <c r="F3955" s="221"/>
      <c r="G3955" s="221"/>
      <c r="H3955" s="220" t="s">
        <v>3050</v>
      </c>
      <c r="I3955" s="221"/>
      <c r="J3955" s="221"/>
      <c r="K3955" s="221"/>
      <c r="L3955" s="221"/>
      <c r="M3955" s="221"/>
    </row>
    <row r="3956" spans="5:13">
      <c r="E3956" s="221"/>
      <c r="F3956" s="221"/>
      <c r="G3956" s="221"/>
      <c r="H3956" s="221"/>
      <c r="I3956" s="221"/>
      <c r="J3956" s="221"/>
      <c r="K3956" s="221"/>
      <c r="L3956" s="221"/>
      <c r="M3956" s="221"/>
    </row>
    <row r="3957" spans="5:13">
      <c r="E3957" s="221"/>
      <c r="F3957" s="221"/>
      <c r="G3957" s="221"/>
      <c r="H3957" s="221" t="s">
        <v>3178</v>
      </c>
      <c r="I3957" s="221"/>
      <c r="J3957" s="221"/>
      <c r="K3957" s="221">
        <f>K3950</f>
        <v>10730.71</v>
      </c>
      <c r="L3957" s="221"/>
      <c r="M3957" s="221"/>
    </row>
    <row r="3958" spans="5:13">
      <c r="E3958" s="221"/>
      <c r="F3958" s="221">
        <v>180</v>
      </c>
      <c r="G3958" s="221" t="s">
        <v>835</v>
      </c>
      <c r="H3958" s="220" t="s">
        <v>3283</v>
      </c>
      <c r="I3958" s="221">
        <f>I3088</f>
        <v>24.1</v>
      </c>
      <c r="J3958" s="221" t="s">
        <v>835</v>
      </c>
      <c r="K3958" s="221">
        <f>F3958*I3958</f>
        <v>4338</v>
      </c>
      <c r="L3958" s="221"/>
      <c r="M3958" s="221"/>
    </row>
    <row r="3959" spans="5:13">
      <c r="E3959" s="221"/>
      <c r="F3959" s="221">
        <v>180</v>
      </c>
      <c r="G3959" s="221" t="s">
        <v>835</v>
      </c>
      <c r="H3959" s="220" t="s">
        <v>2999</v>
      </c>
      <c r="I3959" s="221">
        <f>I3940</f>
        <v>15.5</v>
      </c>
      <c r="J3959" s="221" t="s">
        <v>2573</v>
      </c>
      <c r="K3959" s="221">
        <f>F3959*I3959</f>
        <v>2790</v>
      </c>
      <c r="L3959" s="221"/>
      <c r="M3959" s="221"/>
    </row>
    <row r="3960" spans="5:13">
      <c r="E3960" s="221"/>
      <c r="F3960" s="221"/>
      <c r="G3960" s="221"/>
      <c r="H3960" s="221" t="s">
        <v>2296</v>
      </c>
      <c r="I3960" s="221"/>
      <c r="J3960" s="221"/>
      <c r="K3960" s="221"/>
      <c r="L3960" s="221"/>
      <c r="M3960" s="221"/>
    </row>
    <row r="3961" spans="5:13">
      <c r="E3961" s="221"/>
      <c r="F3961" s="221"/>
      <c r="G3961" s="221"/>
      <c r="H3961" s="226" t="s">
        <v>3000</v>
      </c>
      <c r="I3961" s="221"/>
      <c r="J3961" s="221"/>
      <c r="K3961" s="227">
        <f>K3957+K3958-K3959+K3960</f>
        <v>12278.71</v>
      </c>
      <c r="L3961" s="221"/>
      <c r="M3961" s="221"/>
    </row>
    <row r="3962" spans="5:13">
      <c r="E3962" s="221"/>
      <c r="F3962" s="221"/>
      <c r="G3962" s="221"/>
      <c r="H3962" s="228" t="s">
        <v>2419</v>
      </c>
      <c r="I3962" s="221"/>
      <c r="J3962" s="221"/>
      <c r="K3962" s="229">
        <f>K3961/90</f>
        <v>136.43</v>
      </c>
      <c r="L3962" s="221">
        <f>K3962*30</f>
        <v>4092.9</v>
      </c>
      <c r="M3962" s="221"/>
    </row>
    <row r="3963" spans="5:13">
      <c r="E3963" s="221"/>
      <c r="F3963" s="221"/>
      <c r="G3963" s="221"/>
      <c r="H3963" s="221"/>
      <c r="I3963" s="221"/>
      <c r="J3963" s="221"/>
      <c r="K3963" s="221"/>
      <c r="L3963" s="221"/>
      <c r="M3963" s="221"/>
    </row>
    <row r="3964" spans="5:13">
      <c r="E3964" s="221"/>
      <c r="F3964" s="221"/>
      <c r="G3964" s="221"/>
      <c r="H3964" s="221"/>
      <c r="I3964" s="221"/>
      <c r="J3964" s="221"/>
      <c r="K3964" s="221"/>
      <c r="L3964" s="221"/>
      <c r="M3964" s="221"/>
    </row>
    <row r="3965" spans="5:13">
      <c r="E3965" s="221"/>
      <c r="F3965" s="221"/>
      <c r="G3965" s="221"/>
      <c r="H3965" s="229"/>
      <c r="I3965" s="221"/>
      <c r="J3965" s="221"/>
      <c r="K3965" s="221"/>
      <c r="L3965" s="221"/>
      <c r="M3965" s="221"/>
    </row>
    <row r="3966" spans="5:13">
      <c r="E3966" s="221"/>
      <c r="F3966" s="221"/>
      <c r="G3966" s="221"/>
      <c r="H3966" s="229" t="s">
        <v>4121</v>
      </c>
      <c r="I3966" s="221"/>
      <c r="J3966" s="221"/>
      <c r="K3966" s="221"/>
      <c r="L3966" s="221"/>
      <c r="M3966" s="221"/>
    </row>
    <row r="3967" spans="5:13">
      <c r="E3967" s="221"/>
      <c r="F3967" s="221"/>
      <c r="G3967" s="221"/>
      <c r="H3967" s="221"/>
      <c r="I3967" s="221"/>
      <c r="J3967" s="221"/>
      <c r="K3967" s="221"/>
      <c r="L3967" s="221"/>
      <c r="M3967" s="221"/>
    </row>
    <row r="3968" spans="5:13" ht="94.5">
      <c r="E3968" s="221"/>
      <c r="F3968" s="221"/>
      <c r="G3968" s="221"/>
      <c r="H3968" s="220" t="s">
        <v>3050</v>
      </c>
      <c r="I3968" s="221"/>
      <c r="J3968" s="221"/>
      <c r="K3968" s="221"/>
      <c r="L3968" s="221"/>
      <c r="M3968" s="221"/>
    </row>
    <row r="3969" spans="5:13">
      <c r="E3969" s="221"/>
      <c r="F3969" s="221"/>
      <c r="G3969" s="221"/>
      <c r="H3969" s="221"/>
      <c r="I3969" s="221"/>
      <c r="J3969" s="221"/>
      <c r="K3969" s="221"/>
      <c r="L3969" s="221"/>
      <c r="M3969" s="221"/>
    </row>
    <row r="3970" spans="5:13">
      <c r="E3970" s="221"/>
      <c r="F3970" s="221"/>
      <c r="G3970" s="221"/>
      <c r="H3970" s="221" t="s">
        <v>3178</v>
      </c>
      <c r="I3970" s="221"/>
      <c r="J3970" s="221"/>
      <c r="K3970" s="221">
        <f>K3957</f>
        <v>10730.71</v>
      </c>
      <c r="L3970" s="221"/>
      <c r="M3970" s="221"/>
    </row>
    <row r="3971" spans="5:13" ht="31.5">
      <c r="E3971" s="221"/>
      <c r="F3971" s="221">
        <v>180</v>
      </c>
      <c r="G3971" s="221" t="s">
        <v>835</v>
      </c>
      <c r="H3971" s="220" t="s">
        <v>4418</v>
      </c>
      <c r="I3971" s="221">
        <f>I3532</f>
        <v>38.299999999999997</v>
      </c>
      <c r="J3971" s="221" t="s">
        <v>835</v>
      </c>
      <c r="K3971" s="221">
        <f>F3971*I3971</f>
        <v>6894</v>
      </c>
      <c r="L3971" s="221"/>
      <c r="M3971" s="221"/>
    </row>
    <row r="3972" spans="5:13">
      <c r="E3972" s="221"/>
      <c r="F3972" s="221">
        <v>180</v>
      </c>
      <c r="G3972" s="221" t="s">
        <v>835</v>
      </c>
      <c r="H3972" s="220" t="s">
        <v>2999</v>
      </c>
      <c r="I3972" s="221">
        <f>I3959</f>
        <v>15.5</v>
      </c>
      <c r="J3972" s="221" t="s">
        <v>2573</v>
      </c>
      <c r="K3972" s="221">
        <f>F3972*I3972</f>
        <v>2790</v>
      </c>
      <c r="L3972" s="221"/>
      <c r="M3972" s="221"/>
    </row>
    <row r="3973" spans="5:13">
      <c r="E3973" s="221"/>
      <c r="F3973" s="221"/>
      <c r="G3973" s="221"/>
      <c r="H3973" s="221" t="s">
        <v>2296</v>
      </c>
      <c r="I3973" s="221"/>
      <c r="J3973" s="221"/>
      <c r="K3973" s="221"/>
      <c r="L3973" s="221"/>
      <c r="M3973" s="221"/>
    </row>
    <row r="3974" spans="5:13">
      <c r="E3974" s="221"/>
      <c r="F3974" s="221"/>
      <c r="G3974" s="221"/>
      <c r="H3974" s="226" t="s">
        <v>3000</v>
      </c>
      <c r="I3974" s="221"/>
      <c r="J3974" s="221"/>
      <c r="K3974" s="227">
        <f>K3970+K3971-K3972+K3973</f>
        <v>14834.71</v>
      </c>
      <c r="L3974" s="221"/>
      <c r="M3974" s="221"/>
    </row>
    <row r="3975" spans="5:13">
      <c r="E3975" s="221"/>
      <c r="F3975" s="221"/>
      <c r="G3975" s="221"/>
      <c r="H3975" s="228" t="s">
        <v>2419</v>
      </c>
      <c r="I3975" s="221"/>
      <c r="J3975" s="221"/>
      <c r="K3975" s="229">
        <f>K3974/90</f>
        <v>164.83</v>
      </c>
      <c r="L3975" s="221"/>
      <c r="M3975" s="221"/>
    </row>
    <row r="3976" spans="5:13">
      <c r="E3976" s="221"/>
      <c r="F3976" s="221"/>
      <c r="G3976" s="221"/>
      <c r="H3976" s="221"/>
      <c r="I3976" s="221"/>
      <c r="J3976" s="221"/>
      <c r="K3976" s="221"/>
      <c r="L3976" s="221"/>
      <c r="M3976" s="221"/>
    </row>
    <row r="3977" spans="5:13">
      <c r="E3977" s="221"/>
      <c r="F3977" s="221"/>
      <c r="G3977" s="221"/>
      <c r="H3977" s="142"/>
      <c r="I3977" s="221"/>
      <c r="J3977" s="221"/>
      <c r="K3977" s="221"/>
      <c r="L3977" s="221"/>
      <c r="M3977" s="221"/>
    </row>
    <row r="3978" spans="5:13">
      <c r="E3978" s="221"/>
      <c r="F3978" s="221"/>
      <c r="G3978" s="221"/>
      <c r="H3978" s="229" t="s">
        <v>4122</v>
      </c>
      <c r="I3978" s="221"/>
      <c r="J3978" s="221"/>
      <c r="K3978" s="221"/>
      <c r="L3978" s="221"/>
      <c r="M3978" s="221"/>
    </row>
    <row r="3979" spans="5:13">
      <c r="E3979" s="221"/>
      <c r="F3979" s="221"/>
      <c r="G3979" s="221"/>
      <c r="H3979" s="221"/>
      <c r="I3979" s="221"/>
      <c r="J3979" s="221"/>
      <c r="K3979" s="221"/>
      <c r="L3979" s="221"/>
      <c r="M3979" s="221"/>
    </row>
    <row r="3980" spans="5:13" ht="94.5">
      <c r="E3980" s="221"/>
      <c r="F3980" s="221"/>
      <c r="G3980" s="221"/>
      <c r="H3980" s="220" t="s">
        <v>3050</v>
      </c>
      <c r="I3980" s="221"/>
      <c r="J3980" s="221"/>
      <c r="K3980" s="221"/>
      <c r="L3980" s="221"/>
      <c r="M3980" s="221"/>
    </row>
    <row r="3981" spans="5:13">
      <c r="E3981" s="221"/>
      <c r="F3981" s="221"/>
      <c r="G3981" s="221"/>
      <c r="H3981" s="221"/>
      <c r="I3981" s="221"/>
      <c r="J3981" s="221"/>
      <c r="K3981" s="221"/>
      <c r="L3981" s="221"/>
      <c r="M3981" s="221"/>
    </row>
    <row r="3982" spans="5:13">
      <c r="E3982" s="221"/>
      <c r="F3982" s="221"/>
      <c r="G3982" s="221"/>
      <c r="H3982" s="221" t="s">
        <v>3178</v>
      </c>
      <c r="I3982" s="221"/>
      <c r="J3982" s="221"/>
      <c r="K3982" s="221">
        <f>K3970</f>
        <v>10730.71</v>
      </c>
      <c r="L3982" s="221"/>
      <c r="M3982" s="221"/>
    </row>
    <row r="3983" spans="5:13" ht="31.5">
      <c r="E3983" s="221"/>
      <c r="F3983" s="221">
        <v>360</v>
      </c>
      <c r="G3983" s="221" t="s">
        <v>835</v>
      </c>
      <c r="H3983" s="220" t="s">
        <v>4419</v>
      </c>
      <c r="I3983" s="260">
        <v>85.3</v>
      </c>
      <c r="J3983" s="221" t="s">
        <v>835</v>
      </c>
      <c r="K3983" s="221">
        <f>F3983*I3983</f>
        <v>30708</v>
      </c>
      <c r="L3983" s="221"/>
      <c r="M3983" s="221"/>
    </row>
    <row r="3984" spans="5:13">
      <c r="E3984" s="221"/>
      <c r="F3984" s="221">
        <v>180</v>
      </c>
      <c r="G3984" s="221" t="s">
        <v>835</v>
      </c>
      <c r="H3984" s="220" t="s">
        <v>2999</v>
      </c>
      <c r="I3984" s="221">
        <v>15.5</v>
      </c>
      <c r="J3984" s="221" t="s">
        <v>2573</v>
      </c>
      <c r="K3984" s="221">
        <f>F3984*I3984</f>
        <v>2790</v>
      </c>
      <c r="L3984" s="221"/>
      <c r="M3984" s="221"/>
    </row>
    <row r="3985" spans="5:13">
      <c r="E3985" s="221"/>
      <c r="F3985" s="221"/>
      <c r="G3985" s="221"/>
      <c r="H3985" s="221" t="s">
        <v>2296</v>
      </c>
      <c r="I3985" s="221"/>
      <c r="J3985" s="221"/>
      <c r="K3985" s="221"/>
      <c r="L3985" s="221"/>
      <c r="M3985" s="221"/>
    </row>
    <row r="3986" spans="5:13">
      <c r="E3986" s="221"/>
      <c r="F3986" s="221"/>
      <c r="G3986" s="221"/>
      <c r="H3986" s="226" t="s">
        <v>3000</v>
      </c>
      <c r="I3986" s="221"/>
      <c r="J3986" s="221"/>
      <c r="K3986" s="227">
        <f>K3982+K3983-K3984+K3985</f>
        <v>38648.71</v>
      </c>
      <c r="L3986" s="221"/>
      <c r="M3986" s="221"/>
    </row>
    <row r="3987" spans="5:13">
      <c r="E3987" s="221"/>
      <c r="F3987" s="221"/>
      <c r="G3987" s="221"/>
      <c r="H3987" s="228" t="s">
        <v>2419</v>
      </c>
      <c r="I3987" s="221"/>
      <c r="J3987" s="221"/>
      <c r="K3987" s="229">
        <f>K3986/90</f>
        <v>429.43</v>
      </c>
      <c r="L3987" s="221">
        <f>K3987-163</f>
        <v>266.43</v>
      </c>
      <c r="M3987" s="221"/>
    </row>
    <row r="3988" spans="5:13">
      <c r="E3988" s="221"/>
      <c r="F3988" s="221"/>
      <c r="G3988" s="221"/>
      <c r="H3988" s="221"/>
      <c r="I3988" s="221"/>
      <c r="J3988" s="221"/>
      <c r="K3988" s="221"/>
      <c r="L3988" s="221">
        <f>163*90</f>
        <v>14670</v>
      </c>
      <c r="M3988" s="221"/>
    </row>
    <row r="3989" spans="5:13">
      <c r="E3989" s="221"/>
      <c r="F3989" s="221"/>
      <c r="G3989" s="221"/>
      <c r="H3989" s="221"/>
      <c r="I3989" s="221"/>
      <c r="J3989" s="221"/>
      <c r="K3989" s="221"/>
      <c r="L3989" s="221">
        <f>K3986-L3988</f>
        <v>23978.71</v>
      </c>
      <c r="M3989" s="221"/>
    </row>
    <row r="3990" spans="5:13">
      <c r="E3990" s="221"/>
      <c r="F3990" s="221"/>
      <c r="G3990" s="221"/>
      <c r="H3990" s="221"/>
      <c r="I3990" s="221"/>
      <c r="J3990" s="221"/>
      <c r="K3990" s="221"/>
      <c r="L3990" s="221"/>
      <c r="M3990" s="221"/>
    </row>
    <row r="3991" spans="5:13">
      <c r="E3991" s="221"/>
      <c r="F3991" s="221"/>
      <c r="G3991" s="221"/>
      <c r="H3991" s="221"/>
      <c r="I3991" s="221"/>
      <c r="J3991" s="221"/>
      <c r="K3991" s="221"/>
      <c r="L3991" s="221"/>
      <c r="M3991" s="221"/>
    </row>
    <row r="3992" spans="5:13">
      <c r="E3992" s="221"/>
      <c r="F3992" s="221"/>
      <c r="G3992" s="221"/>
      <c r="H3992" s="221"/>
      <c r="I3992" s="221"/>
      <c r="J3992" s="221"/>
      <c r="K3992" s="221"/>
      <c r="L3992" s="221"/>
      <c r="M3992" s="221"/>
    </row>
    <row r="3993" spans="5:13">
      <c r="E3993" s="221"/>
      <c r="F3993" s="221"/>
      <c r="G3993" s="221"/>
      <c r="H3993" s="221"/>
      <c r="I3993" s="221"/>
      <c r="J3993" s="221"/>
      <c r="K3993" s="221"/>
      <c r="L3993" s="221"/>
      <c r="M3993" s="221"/>
    </row>
    <row r="3994" spans="5:13">
      <c r="E3994" s="221"/>
      <c r="F3994" s="221"/>
      <c r="G3994" s="221"/>
      <c r="H3994" s="221"/>
      <c r="I3994" s="221"/>
      <c r="J3994" s="221"/>
      <c r="K3994" s="221"/>
      <c r="L3994" s="221"/>
      <c r="M3994" s="221"/>
    </row>
    <row r="3995" spans="5:13">
      <c r="E3995" s="221"/>
      <c r="F3995" s="221"/>
      <c r="G3995" s="221"/>
      <c r="H3995" s="221"/>
      <c r="I3995" s="221"/>
      <c r="J3995" s="221"/>
      <c r="K3995" s="221"/>
      <c r="L3995" s="221"/>
      <c r="M3995" s="221"/>
    </row>
    <row r="3996" spans="5:13">
      <c r="E3996" s="221"/>
      <c r="F3996" s="221"/>
      <c r="G3996" s="221"/>
      <c r="H3996" s="221"/>
      <c r="I3996" s="221"/>
      <c r="J3996" s="221"/>
      <c r="K3996" s="221"/>
      <c r="L3996" s="221"/>
      <c r="M3996" s="221"/>
    </row>
    <row r="3997" spans="5:13">
      <c r="E3997" s="221"/>
      <c r="F3997" s="221"/>
      <c r="G3997" s="221"/>
      <c r="H3997" s="221"/>
      <c r="I3997" s="221"/>
      <c r="J3997" s="221"/>
      <c r="K3997" s="221"/>
      <c r="L3997" s="221"/>
      <c r="M3997" s="221"/>
    </row>
    <row r="3998" spans="5:13">
      <c r="E3998" s="221"/>
      <c r="F3998" s="221"/>
      <c r="G3998" s="221"/>
      <c r="H3998" s="221"/>
      <c r="I3998" s="221"/>
      <c r="J3998" s="221"/>
      <c r="K3998" s="221"/>
      <c r="L3998" s="221"/>
      <c r="M3998" s="221"/>
    </row>
    <row r="3999" spans="5:13">
      <c r="E3999" s="221"/>
      <c r="F3999" s="221"/>
      <c r="G3999" s="221"/>
      <c r="H3999" s="229" t="s">
        <v>4480</v>
      </c>
      <c r="I3999" s="221"/>
      <c r="J3999" s="221"/>
      <c r="K3999" s="221"/>
      <c r="L3999" s="221"/>
      <c r="M3999" s="221"/>
    </row>
    <row r="4000" spans="5:13">
      <c r="E4000" s="221"/>
      <c r="F4000" s="221"/>
      <c r="G4000" s="221"/>
      <c r="H4000" s="221"/>
      <c r="I4000" s="221"/>
      <c r="J4000" s="221"/>
      <c r="K4000" s="221"/>
      <c r="L4000" s="221"/>
      <c r="M4000" s="221"/>
    </row>
    <row r="4001" spans="5:13" ht="94.5">
      <c r="E4001" s="221"/>
      <c r="F4001" s="221"/>
      <c r="G4001" s="221"/>
      <c r="H4001" s="220" t="s">
        <v>3050</v>
      </c>
      <c r="I4001" s="221"/>
      <c r="J4001" s="221"/>
      <c r="K4001" s="221"/>
      <c r="L4001" s="221"/>
      <c r="M4001" s="221"/>
    </row>
    <row r="4002" spans="5:13">
      <c r="E4002" s="221"/>
      <c r="F4002" s="221"/>
      <c r="G4002" s="221"/>
      <c r="H4002" s="221"/>
      <c r="I4002" s="221"/>
      <c r="J4002" s="221"/>
      <c r="K4002" s="221"/>
      <c r="L4002" s="221"/>
      <c r="M4002" s="221"/>
    </row>
    <row r="4003" spans="5:13">
      <c r="E4003" s="221"/>
      <c r="F4003" s="221"/>
      <c r="G4003" s="221"/>
      <c r="H4003" s="221" t="s">
        <v>3178</v>
      </c>
      <c r="I4003" s="221"/>
      <c r="J4003" s="221"/>
      <c r="K4003" s="221">
        <f>K3982</f>
        <v>10730.71</v>
      </c>
      <c r="L4003" s="221"/>
      <c r="M4003" s="221"/>
    </row>
    <row r="4004" spans="5:13" ht="31.5">
      <c r="E4004" s="221"/>
      <c r="F4004" s="221">
        <v>360</v>
      </c>
      <c r="G4004" s="221" t="s">
        <v>835</v>
      </c>
      <c r="H4004" s="220" t="s">
        <v>4481</v>
      </c>
      <c r="I4004" s="260">
        <v>56.7</v>
      </c>
      <c r="J4004" s="221" t="s">
        <v>835</v>
      </c>
      <c r="K4004" s="221">
        <f>F4004*I4004</f>
        <v>20412</v>
      </c>
      <c r="L4004" s="221"/>
      <c r="M4004" s="221"/>
    </row>
    <row r="4005" spans="5:13">
      <c r="E4005" s="221"/>
      <c r="F4005" s="221">
        <v>180</v>
      </c>
      <c r="G4005" s="221" t="s">
        <v>835</v>
      </c>
      <c r="H4005" s="220" t="s">
        <v>2999</v>
      </c>
      <c r="I4005" s="221">
        <f>I3972</f>
        <v>15.5</v>
      </c>
      <c r="J4005" s="221" t="s">
        <v>2573</v>
      </c>
      <c r="K4005" s="221">
        <f>F4005*I4005</f>
        <v>2790</v>
      </c>
      <c r="L4005" s="221"/>
      <c r="M4005" s="221"/>
    </row>
    <row r="4006" spans="5:13">
      <c r="E4006" s="221"/>
      <c r="F4006" s="221"/>
      <c r="G4006" s="221"/>
      <c r="H4006" s="221" t="s">
        <v>2296</v>
      </c>
      <c r="I4006" s="221"/>
      <c r="J4006" s="221"/>
      <c r="K4006" s="221"/>
      <c r="L4006" s="221"/>
      <c r="M4006" s="221"/>
    </row>
    <row r="4007" spans="5:13">
      <c r="E4007" s="221"/>
      <c r="F4007" s="221"/>
      <c r="G4007" s="221"/>
      <c r="H4007" s="226" t="s">
        <v>3000</v>
      </c>
      <c r="I4007" s="221"/>
      <c r="J4007" s="221"/>
      <c r="K4007" s="227">
        <f>K4003+K4004-K4005+K4006</f>
        <v>28352.71</v>
      </c>
      <c r="L4007" s="221"/>
      <c r="M4007" s="221"/>
    </row>
    <row r="4008" spans="5:13">
      <c r="E4008" s="221"/>
      <c r="F4008" s="221"/>
      <c r="G4008" s="221"/>
      <c r="H4008" s="228" t="s">
        <v>2419</v>
      </c>
      <c r="I4008" s="221"/>
      <c r="J4008" s="221"/>
      <c r="K4008" s="229">
        <f>K4007/90</f>
        <v>315.02999999999997</v>
      </c>
      <c r="L4008" s="221"/>
      <c r="M4008" s="221"/>
    </row>
    <row r="4009" spans="5:13">
      <c r="E4009" s="221"/>
      <c r="F4009" s="221"/>
      <c r="G4009" s="221"/>
      <c r="H4009" s="221"/>
      <c r="I4009" s="221"/>
      <c r="J4009" s="221"/>
      <c r="K4009" s="221"/>
      <c r="L4009" s="221"/>
      <c r="M4009" s="221"/>
    </row>
    <row r="4010" spans="5:13">
      <c r="E4010" s="221"/>
      <c r="F4010" s="221"/>
      <c r="G4010" s="221"/>
      <c r="H4010" s="221"/>
      <c r="I4010" s="221"/>
      <c r="J4010" s="221"/>
      <c r="K4010" s="221"/>
      <c r="L4010" s="221"/>
      <c r="M4010" s="221"/>
    </row>
    <row r="4011" spans="5:13">
      <c r="E4011" s="221"/>
      <c r="F4011" s="221"/>
      <c r="G4011" s="221"/>
      <c r="H4011" s="221"/>
      <c r="I4011" s="221"/>
      <c r="J4011" s="221"/>
      <c r="K4011" s="221"/>
      <c r="L4011" s="221"/>
      <c r="M4011" s="221"/>
    </row>
    <row r="4012" spans="5:13">
      <c r="E4012" s="221"/>
      <c r="F4012" s="221"/>
      <c r="G4012" s="221"/>
      <c r="H4012" s="221"/>
      <c r="I4012" s="221"/>
      <c r="J4012" s="221"/>
      <c r="K4012" s="221"/>
      <c r="L4012" s="221"/>
      <c r="M4012" s="221"/>
    </row>
    <row r="4013" spans="5:13">
      <c r="E4013" s="221"/>
      <c r="F4013" s="221"/>
      <c r="G4013" s="221"/>
      <c r="H4013" s="221"/>
      <c r="I4013" s="221"/>
      <c r="J4013" s="221"/>
      <c r="K4013" s="221"/>
      <c r="L4013" s="221"/>
      <c r="M4013" s="221"/>
    </row>
    <row r="4014" spans="5:13">
      <c r="E4014" s="221"/>
      <c r="F4014" s="221"/>
      <c r="G4014" s="221"/>
      <c r="H4014" s="229" t="s">
        <v>4482</v>
      </c>
      <c r="I4014" s="221"/>
      <c r="J4014" s="221"/>
      <c r="K4014" s="221"/>
      <c r="L4014" s="221"/>
      <c r="M4014" s="221"/>
    </row>
    <row r="4015" spans="5:13">
      <c r="E4015" s="221"/>
      <c r="F4015" s="221"/>
      <c r="G4015" s="221"/>
      <c r="H4015" s="221"/>
      <c r="I4015" s="221"/>
      <c r="J4015" s="221"/>
      <c r="K4015" s="221"/>
      <c r="L4015" s="221"/>
      <c r="M4015" s="221"/>
    </row>
    <row r="4016" spans="5:13" ht="94.5">
      <c r="E4016" s="221"/>
      <c r="F4016" s="221"/>
      <c r="G4016" s="221"/>
      <c r="H4016" s="220" t="s">
        <v>3050</v>
      </c>
      <c r="I4016" s="221"/>
      <c r="J4016" s="221"/>
      <c r="K4016" s="221"/>
      <c r="L4016" s="221"/>
      <c r="M4016" s="221"/>
    </row>
    <row r="4017" spans="5:13">
      <c r="E4017" s="221"/>
      <c r="F4017" s="221"/>
      <c r="G4017" s="221"/>
      <c r="H4017" s="221"/>
      <c r="I4017" s="221"/>
      <c r="J4017" s="221"/>
      <c r="K4017" s="221"/>
      <c r="L4017" s="221"/>
      <c r="M4017" s="221"/>
    </row>
    <row r="4018" spans="5:13">
      <c r="E4018" s="221"/>
      <c r="F4018" s="221"/>
      <c r="G4018" s="221"/>
      <c r="H4018" s="221" t="s">
        <v>3178</v>
      </c>
      <c r="I4018" s="221"/>
      <c r="J4018" s="221"/>
      <c r="K4018" s="221">
        <f>K4003</f>
        <v>10730.71</v>
      </c>
      <c r="L4018" s="221"/>
      <c r="M4018" s="221"/>
    </row>
    <row r="4019" spans="5:13" ht="31.5">
      <c r="E4019" s="221"/>
      <c r="F4019" s="221">
        <v>360</v>
      </c>
      <c r="G4019" s="221" t="s">
        <v>835</v>
      </c>
      <c r="H4019" s="220" t="s">
        <v>4483</v>
      </c>
      <c r="I4019" s="260">
        <v>38.299999999999997</v>
      </c>
      <c r="J4019" s="221" t="s">
        <v>835</v>
      </c>
      <c r="K4019" s="221">
        <f>F4019*I4019</f>
        <v>13788</v>
      </c>
      <c r="L4019" s="221"/>
      <c r="M4019" s="221"/>
    </row>
    <row r="4020" spans="5:13">
      <c r="E4020" s="221"/>
      <c r="F4020" s="221">
        <v>180</v>
      </c>
      <c r="G4020" s="221" t="s">
        <v>835</v>
      </c>
      <c r="H4020" s="220" t="s">
        <v>2999</v>
      </c>
      <c r="I4020" s="221">
        <f>I4005</f>
        <v>15.5</v>
      </c>
      <c r="J4020" s="221" t="s">
        <v>2573</v>
      </c>
      <c r="K4020" s="221">
        <f>F4020*I4020</f>
        <v>2790</v>
      </c>
      <c r="L4020" s="221"/>
      <c r="M4020" s="221"/>
    </row>
    <row r="4021" spans="5:13">
      <c r="E4021" s="221"/>
      <c r="F4021" s="221"/>
      <c r="G4021" s="221"/>
      <c r="H4021" s="221" t="s">
        <v>2296</v>
      </c>
      <c r="I4021" s="221"/>
      <c r="J4021" s="221"/>
      <c r="K4021" s="221"/>
      <c r="L4021" s="221"/>
      <c r="M4021" s="221"/>
    </row>
    <row r="4022" spans="5:13">
      <c r="E4022" s="221"/>
      <c r="F4022" s="221"/>
      <c r="G4022" s="221"/>
      <c r="H4022" s="226" t="s">
        <v>3000</v>
      </c>
      <c r="I4022" s="221"/>
      <c r="J4022" s="221"/>
      <c r="K4022" s="227">
        <f>K4018+K4019-K4020+K4021</f>
        <v>21728.71</v>
      </c>
      <c r="L4022" s="221"/>
      <c r="M4022" s="221"/>
    </row>
    <row r="4023" spans="5:13">
      <c r="E4023" s="221"/>
      <c r="F4023" s="221"/>
      <c r="G4023" s="221"/>
      <c r="H4023" s="228" t="s">
        <v>2419</v>
      </c>
      <c r="I4023" s="221"/>
      <c r="J4023" s="221"/>
      <c r="K4023" s="229">
        <f>K4022/90</f>
        <v>241.43</v>
      </c>
      <c r="L4023" s="221"/>
      <c r="M4023" s="221"/>
    </row>
    <row r="4024" spans="5:13">
      <c r="E4024" s="221"/>
      <c r="F4024" s="221"/>
      <c r="G4024" s="221"/>
      <c r="H4024" s="221"/>
      <c r="I4024" s="221"/>
      <c r="J4024" s="221"/>
      <c r="K4024" s="221"/>
      <c r="L4024" s="221"/>
      <c r="M4024" s="221"/>
    </row>
    <row r="4025" spans="5:13">
      <c r="E4025" s="221"/>
      <c r="F4025" s="221"/>
      <c r="G4025" s="221"/>
      <c r="H4025" s="221"/>
      <c r="I4025" s="221"/>
      <c r="J4025" s="221"/>
      <c r="K4025" s="221"/>
      <c r="L4025" s="221"/>
      <c r="M4025" s="221"/>
    </row>
    <row r="4026" spans="5:13">
      <c r="E4026" s="221"/>
      <c r="F4026" s="221"/>
      <c r="G4026" s="221"/>
      <c r="H4026" s="221"/>
      <c r="I4026" s="221"/>
      <c r="J4026" s="221"/>
      <c r="K4026" s="221"/>
      <c r="L4026" s="221"/>
      <c r="M4026" s="221"/>
    </row>
    <row r="4027" spans="5:13">
      <c r="E4027" s="221"/>
      <c r="F4027" s="403"/>
      <c r="G4027" s="404"/>
      <c r="H4027" s="405" t="s">
        <v>4248</v>
      </c>
      <c r="I4027" s="403"/>
      <c r="J4027" s="406"/>
      <c r="K4027" s="407"/>
      <c r="L4027" s="221"/>
      <c r="M4027" s="221"/>
    </row>
    <row r="4028" spans="5:13">
      <c r="E4028" s="221"/>
      <c r="F4028" s="403"/>
      <c r="G4028" s="404"/>
      <c r="H4028" s="408" t="s">
        <v>4249</v>
      </c>
      <c r="I4028" s="403"/>
      <c r="J4028" s="406"/>
      <c r="K4028" s="403"/>
      <c r="L4028" s="221"/>
      <c r="M4028" s="221"/>
    </row>
    <row r="4029" spans="5:13">
      <c r="E4029" s="221"/>
      <c r="F4029" s="403"/>
      <c r="G4029" s="404"/>
      <c r="H4029" s="409" t="s">
        <v>4250</v>
      </c>
      <c r="I4029" s="403"/>
      <c r="J4029" s="406"/>
      <c r="K4029" s="403"/>
      <c r="L4029" s="221"/>
      <c r="M4029" s="221"/>
    </row>
    <row r="4030" spans="5:13">
      <c r="E4030" s="221"/>
      <c r="F4030" s="403"/>
      <c r="G4030" s="404"/>
      <c r="H4030" s="408" t="s">
        <v>4251</v>
      </c>
      <c r="I4030" s="403"/>
      <c r="J4030" s="406">
        <f>3.3*3.3*2+6.6+6.6+6.6</f>
        <v>41.58</v>
      </c>
      <c r="K4030" s="403"/>
      <c r="L4030" s="221"/>
      <c r="M4030" s="221"/>
    </row>
    <row r="4031" spans="5:13">
      <c r="E4031" s="221"/>
      <c r="F4031" s="403"/>
      <c r="G4031" s="404"/>
      <c r="H4031" s="408" t="s">
        <v>4252</v>
      </c>
      <c r="I4031" s="403"/>
      <c r="J4031" s="406"/>
      <c r="K4031" s="403"/>
      <c r="L4031" s="221"/>
      <c r="M4031" s="221"/>
    </row>
    <row r="4032" spans="5:13">
      <c r="E4032" s="221"/>
      <c r="F4032" s="403"/>
      <c r="G4032" s="404"/>
      <c r="H4032" s="408" t="s">
        <v>4253</v>
      </c>
      <c r="I4032" s="403"/>
      <c r="J4032" s="406"/>
      <c r="K4032" s="403"/>
      <c r="L4032" s="221"/>
      <c r="M4032" s="221"/>
    </row>
    <row r="4033" spans="5:13">
      <c r="E4033" s="221"/>
      <c r="F4033" s="403"/>
      <c r="G4033" s="404"/>
      <c r="H4033" s="408" t="s">
        <v>4254</v>
      </c>
      <c r="I4033" s="403"/>
      <c r="J4033" s="406"/>
      <c r="K4033" s="403"/>
      <c r="L4033" s="221"/>
      <c r="M4033" s="221"/>
    </row>
    <row r="4034" spans="5:13">
      <c r="E4034" s="221"/>
      <c r="F4034" s="403"/>
      <c r="G4034" s="404"/>
      <c r="H4034" s="408" t="s">
        <v>4255</v>
      </c>
      <c r="I4034" s="403"/>
      <c r="J4034" s="406"/>
      <c r="K4034" s="403"/>
      <c r="L4034" s="221"/>
      <c r="M4034" s="221"/>
    </row>
    <row r="4035" spans="5:13">
      <c r="E4035" s="221"/>
      <c r="F4035" s="403"/>
      <c r="G4035" s="404"/>
      <c r="H4035" s="409"/>
      <c r="I4035" s="403"/>
      <c r="J4035" s="406"/>
      <c r="K4035" s="403"/>
      <c r="L4035" s="221"/>
      <c r="M4035" s="221"/>
    </row>
    <row r="4036" spans="5:13">
      <c r="E4036" s="221"/>
      <c r="F4036" s="403"/>
      <c r="G4036" s="404"/>
      <c r="H4036" s="408" t="s">
        <v>4256</v>
      </c>
      <c r="I4036" s="403"/>
      <c r="J4036" s="406"/>
      <c r="K4036" s="403"/>
      <c r="L4036" s="221"/>
      <c r="M4036" s="221"/>
    </row>
    <row r="4037" spans="5:13">
      <c r="E4037" s="221"/>
      <c r="F4037" s="410"/>
      <c r="G4037" s="404"/>
      <c r="H4037" s="409" t="s">
        <v>4257</v>
      </c>
      <c r="I4037" s="403"/>
      <c r="J4037" s="406"/>
      <c r="K4037" s="403"/>
      <c r="L4037" s="221"/>
      <c r="M4037" s="221"/>
    </row>
    <row r="4038" spans="5:13">
      <c r="E4038" s="221"/>
      <c r="F4038" s="403"/>
      <c r="G4038" s="404"/>
      <c r="H4038" s="408" t="s">
        <v>4258</v>
      </c>
      <c r="I4038" s="403"/>
      <c r="J4038" s="406"/>
      <c r="K4038" s="403"/>
      <c r="L4038" s="221"/>
      <c r="M4038" s="221"/>
    </row>
    <row r="4039" spans="5:13">
      <c r="E4039" s="221"/>
      <c r="F4039" s="411">
        <v>53.512999999999998</v>
      </c>
      <c r="G4039" s="404" t="s">
        <v>922</v>
      </c>
      <c r="H4039" s="408" t="s">
        <v>4420</v>
      </c>
      <c r="I4039" s="686">
        <v>47.3</v>
      </c>
      <c r="J4039" s="406" t="s">
        <v>922</v>
      </c>
      <c r="K4039" s="403">
        <f>I4039*F4039</f>
        <v>2531.16</v>
      </c>
      <c r="L4039" s="221"/>
      <c r="M4039" s="221"/>
    </row>
    <row r="4040" spans="5:13">
      <c r="E4040" s="221"/>
      <c r="F4040" s="410"/>
      <c r="G4040" s="404"/>
      <c r="H4040" s="409" t="s">
        <v>4259</v>
      </c>
      <c r="I4040" s="403"/>
      <c r="J4040" s="406"/>
      <c r="K4040" s="403"/>
      <c r="L4040" s="221"/>
      <c r="M4040" s="221"/>
    </row>
    <row r="4041" spans="5:13">
      <c r="E4041" s="221"/>
      <c r="F4041" s="403"/>
      <c r="G4041" s="404"/>
      <c r="H4041" s="408" t="s">
        <v>4260</v>
      </c>
      <c r="I4041" s="403"/>
      <c r="J4041" s="406"/>
      <c r="K4041" s="403"/>
      <c r="L4041" s="221"/>
      <c r="M4041" s="221"/>
    </row>
    <row r="4042" spans="5:13">
      <c r="E4042" s="221"/>
      <c r="F4042" s="403"/>
      <c r="G4042" s="404"/>
      <c r="H4042" s="408" t="s">
        <v>4261</v>
      </c>
      <c r="I4042" s="403"/>
      <c r="J4042" s="406"/>
      <c r="K4042" s="403"/>
      <c r="L4042" s="221"/>
      <c r="M4042" s="221"/>
    </row>
    <row r="4043" spans="5:13">
      <c r="E4043" s="221"/>
      <c r="F4043" s="403"/>
      <c r="G4043" s="404"/>
      <c r="H4043" s="408" t="s">
        <v>4262</v>
      </c>
      <c r="I4043" s="403"/>
      <c r="J4043" s="406"/>
      <c r="K4043" s="403"/>
      <c r="L4043" s="221"/>
      <c r="M4043" s="221"/>
    </row>
    <row r="4044" spans="5:13">
      <c r="E4044" s="221"/>
      <c r="F4044" s="403"/>
      <c r="G4044" s="404"/>
      <c r="H4044" s="408" t="s">
        <v>4263</v>
      </c>
      <c r="I4044" s="403"/>
      <c r="J4044" s="406"/>
      <c r="K4044" s="403"/>
      <c r="L4044" s="221"/>
      <c r="M4044" s="221"/>
    </row>
    <row r="4045" spans="5:13" ht="25.5">
      <c r="E4045" s="221"/>
      <c r="F4045" s="403"/>
      <c r="G4045" s="404"/>
      <c r="H4045" s="408" t="s">
        <v>4264</v>
      </c>
      <c r="I4045" s="403"/>
      <c r="J4045" s="406"/>
      <c r="K4045" s="403"/>
      <c r="L4045" s="221"/>
      <c r="M4045" s="221"/>
    </row>
    <row r="4046" spans="5:13">
      <c r="E4046" s="221"/>
      <c r="F4046" s="403"/>
      <c r="G4046" s="404"/>
      <c r="H4046" s="408" t="s">
        <v>4265</v>
      </c>
      <c r="I4046" s="403"/>
      <c r="J4046" s="406"/>
      <c r="K4046" s="403"/>
      <c r="L4046" s="221"/>
      <c r="M4046" s="221"/>
    </row>
    <row r="4047" spans="5:13">
      <c r="E4047" s="221"/>
      <c r="F4047" s="403"/>
      <c r="G4047" s="404"/>
      <c r="H4047" s="408" t="s">
        <v>4266</v>
      </c>
      <c r="I4047" s="403"/>
      <c r="J4047" s="406"/>
      <c r="K4047" s="403"/>
      <c r="L4047" s="221"/>
      <c r="M4047" s="221"/>
    </row>
    <row r="4048" spans="5:13">
      <c r="E4048" s="221"/>
      <c r="F4048" s="403">
        <v>18.600000000000001</v>
      </c>
      <c r="G4048" s="404" t="s">
        <v>922</v>
      </c>
      <c r="H4048" s="408" t="s">
        <v>4267</v>
      </c>
      <c r="I4048" s="403">
        <f>I4039</f>
        <v>47.3</v>
      </c>
      <c r="J4048" s="406" t="s">
        <v>922</v>
      </c>
      <c r="K4048" s="403">
        <f>SUM(F4048*I4048)</f>
        <v>879.78</v>
      </c>
      <c r="L4048" s="221"/>
      <c r="M4048" s="221"/>
    </row>
    <row r="4049" spans="5:13">
      <c r="E4049" s="221"/>
      <c r="F4049" s="403"/>
      <c r="G4049" s="404"/>
      <c r="H4049" s="409" t="s">
        <v>4268</v>
      </c>
      <c r="I4049" s="403"/>
      <c r="J4049" s="406"/>
      <c r="K4049" s="403"/>
      <c r="L4049" s="221"/>
      <c r="M4049" s="221"/>
    </row>
    <row r="4050" spans="5:13">
      <c r="E4050" s="221"/>
      <c r="F4050" s="403"/>
      <c r="G4050" s="404"/>
      <c r="H4050" s="408" t="s">
        <v>4269</v>
      </c>
      <c r="I4050" s="403"/>
      <c r="J4050" s="406"/>
      <c r="K4050" s="403"/>
      <c r="L4050" s="221"/>
      <c r="M4050" s="221"/>
    </row>
    <row r="4051" spans="5:13">
      <c r="E4051" s="221"/>
      <c r="F4051" s="403"/>
      <c r="G4051" s="404"/>
      <c r="H4051" s="408" t="s">
        <v>4270</v>
      </c>
      <c r="I4051" s="403"/>
      <c r="J4051" s="406"/>
      <c r="K4051" s="403"/>
      <c r="L4051" s="221"/>
      <c r="M4051" s="221"/>
    </row>
    <row r="4052" spans="5:13">
      <c r="E4052" s="221"/>
      <c r="F4052" s="403"/>
      <c r="G4052" s="404"/>
      <c r="H4052" s="408" t="s">
        <v>4271</v>
      </c>
      <c r="I4052" s="403"/>
      <c r="J4052" s="406"/>
      <c r="K4052" s="403"/>
      <c r="L4052" s="221"/>
      <c r="M4052" s="221"/>
    </row>
    <row r="4053" spans="5:13">
      <c r="E4053" s="221"/>
      <c r="F4053" s="403"/>
      <c r="G4053" s="404"/>
      <c r="H4053" s="408" t="s">
        <v>4272</v>
      </c>
      <c r="I4053" s="403"/>
      <c r="J4053" s="406"/>
      <c r="K4053" s="403"/>
      <c r="L4053" s="221"/>
      <c r="M4053" s="221"/>
    </row>
    <row r="4054" spans="5:13">
      <c r="E4054" s="221"/>
      <c r="F4054" s="403"/>
      <c r="G4054" s="404"/>
      <c r="H4054" s="408" t="s">
        <v>4273</v>
      </c>
      <c r="I4054" s="403"/>
      <c r="J4054" s="406"/>
      <c r="K4054" s="403"/>
      <c r="L4054" s="221"/>
      <c r="M4054" s="221"/>
    </row>
    <row r="4055" spans="5:13" ht="25.5">
      <c r="E4055" s="221"/>
      <c r="F4055" s="403"/>
      <c r="G4055" s="404"/>
      <c r="H4055" s="408" t="s">
        <v>4274</v>
      </c>
      <c r="I4055" s="403"/>
      <c r="J4055" s="406"/>
      <c r="K4055" s="403"/>
      <c r="L4055" s="221"/>
      <c r="M4055" s="221"/>
    </row>
    <row r="4056" spans="5:13">
      <c r="E4056" s="221"/>
      <c r="F4056" s="403"/>
      <c r="G4056" s="404"/>
      <c r="H4056" s="408" t="s">
        <v>4275</v>
      </c>
      <c r="I4056" s="403"/>
      <c r="J4056" s="406"/>
      <c r="K4056" s="403"/>
      <c r="L4056" s="221"/>
      <c r="M4056" s="221"/>
    </row>
    <row r="4057" spans="5:13">
      <c r="E4057" s="221"/>
      <c r="F4057" s="403"/>
      <c r="G4057" s="404"/>
      <c r="H4057" s="408" t="s">
        <v>4276</v>
      </c>
      <c r="I4057" s="403"/>
      <c r="J4057" s="406"/>
      <c r="K4057" s="403"/>
      <c r="L4057" s="221"/>
      <c r="M4057" s="221"/>
    </row>
    <row r="4058" spans="5:13" ht="25.5">
      <c r="E4058" s="221"/>
      <c r="F4058" s="403"/>
      <c r="G4058" s="404"/>
      <c r="H4058" s="408" t="s">
        <v>4277</v>
      </c>
      <c r="I4058" s="403"/>
      <c r="J4058" s="406"/>
      <c r="K4058" s="403"/>
      <c r="L4058" s="221"/>
      <c r="M4058" s="221"/>
    </row>
    <row r="4059" spans="5:13">
      <c r="E4059" s="221"/>
      <c r="F4059" s="403"/>
      <c r="G4059" s="404"/>
      <c r="H4059" s="408" t="s">
        <v>4278</v>
      </c>
      <c r="I4059" s="403"/>
      <c r="J4059" s="406"/>
      <c r="K4059" s="403"/>
      <c r="L4059" s="221"/>
      <c r="M4059" s="221"/>
    </row>
    <row r="4060" spans="5:13">
      <c r="E4060" s="221"/>
      <c r="F4060" s="403"/>
      <c r="G4060" s="404"/>
      <c r="H4060" s="408"/>
      <c r="I4060" s="403"/>
      <c r="J4060" s="406"/>
      <c r="K4060" s="403"/>
      <c r="L4060" s="221"/>
      <c r="M4060" s="221"/>
    </row>
    <row r="4061" spans="5:13">
      <c r="E4061" s="221"/>
      <c r="F4061" s="403"/>
      <c r="G4061" s="404"/>
      <c r="H4061" s="408" t="s">
        <v>4279</v>
      </c>
      <c r="I4061" s="403"/>
      <c r="J4061" s="406"/>
      <c r="K4061" s="403"/>
      <c r="L4061" s="221"/>
      <c r="M4061" s="221"/>
    </row>
    <row r="4062" spans="5:13">
      <c r="E4062" s="221"/>
      <c r="F4062" s="403"/>
      <c r="G4062" s="404"/>
      <c r="H4062" s="408"/>
      <c r="I4062" s="403"/>
      <c r="J4062" s="406"/>
      <c r="K4062" s="403"/>
      <c r="L4062" s="221"/>
      <c r="M4062" s="221"/>
    </row>
    <row r="4063" spans="5:13">
      <c r="E4063" s="221"/>
      <c r="F4063" s="403">
        <v>5.92</v>
      </c>
      <c r="G4063" s="404" t="s">
        <v>922</v>
      </c>
      <c r="H4063" s="408" t="s">
        <v>5071</v>
      </c>
      <c r="I4063" s="686">
        <v>526</v>
      </c>
      <c r="J4063" s="406" t="s">
        <v>922</v>
      </c>
      <c r="K4063" s="403">
        <f>SUM(F4063*I4063)</f>
        <v>3113.92</v>
      </c>
      <c r="L4063" s="221"/>
      <c r="M4063" s="221"/>
    </row>
    <row r="4064" spans="5:13">
      <c r="E4064" s="221"/>
      <c r="F4064" s="403">
        <f>F4063</f>
        <v>5.92</v>
      </c>
      <c r="G4064" s="404" t="s">
        <v>922</v>
      </c>
      <c r="H4064" s="408" t="s">
        <v>4280</v>
      </c>
      <c r="I4064" s="687">
        <v>10</v>
      </c>
      <c r="J4064" s="406" t="s">
        <v>922</v>
      </c>
      <c r="K4064" s="403">
        <f>SUM(F4064*I4064)</f>
        <v>59.2</v>
      </c>
      <c r="L4064" s="221"/>
      <c r="M4064" s="221"/>
    </row>
    <row r="4065" spans="5:13">
      <c r="E4065" s="221"/>
      <c r="F4065" s="403"/>
      <c r="G4065" s="404"/>
      <c r="H4065" s="408"/>
      <c r="I4065" s="403"/>
      <c r="J4065" s="406"/>
      <c r="K4065" s="403"/>
      <c r="L4065" s="221"/>
      <c r="M4065" s="221"/>
    </row>
    <row r="4066" spans="5:13">
      <c r="E4066" s="221"/>
      <c r="F4066" s="403"/>
      <c r="G4066" s="404"/>
      <c r="H4066" s="409" t="s">
        <v>4281</v>
      </c>
      <c r="I4066" s="403"/>
      <c r="J4066" s="406"/>
      <c r="K4066" s="403"/>
      <c r="L4066" s="221"/>
      <c r="M4066" s="221"/>
    </row>
    <row r="4067" spans="5:13">
      <c r="E4067" s="221"/>
      <c r="F4067" s="403"/>
      <c r="G4067" s="404"/>
      <c r="H4067" s="408" t="s">
        <v>4282</v>
      </c>
      <c r="I4067" s="403"/>
      <c r="J4067" s="406"/>
      <c r="K4067" s="403"/>
      <c r="L4067" s="221"/>
      <c r="M4067" s="221"/>
    </row>
    <row r="4068" spans="5:13">
      <c r="E4068" s="221"/>
      <c r="F4068" s="403"/>
      <c r="G4068" s="404"/>
      <c r="H4068" s="408" t="s">
        <v>4283</v>
      </c>
      <c r="I4068" s="403"/>
      <c r="J4068" s="406"/>
      <c r="K4068" s="403"/>
      <c r="L4068" s="221"/>
      <c r="M4068" s="221"/>
    </row>
    <row r="4069" spans="5:13">
      <c r="E4069" s="221"/>
      <c r="F4069" s="403"/>
      <c r="G4069" s="404"/>
      <c r="H4069" s="408" t="s">
        <v>4284</v>
      </c>
      <c r="I4069" s="403"/>
      <c r="J4069" s="406"/>
      <c r="K4069" s="403"/>
      <c r="L4069" s="221"/>
      <c r="M4069" s="221"/>
    </row>
    <row r="4070" spans="5:13">
      <c r="E4070" s="221"/>
      <c r="F4070" s="403">
        <v>3.6</v>
      </c>
      <c r="G4070" s="404" t="s">
        <v>922</v>
      </c>
      <c r="H4070" s="408" t="s">
        <v>5072</v>
      </c>
      <c r="I4070" s="686">
        <v>94.9</v>
      </c>
      <c r="J4070" s="406" t="s">
        <v>922</v>
      </c>
      <c r="K4070" s="403">
        <f>I4070*F4070</f>
        <v>341.64</v>
      </c>
      <c r="L4070" s="221"/>
      <c r="M4070" s="221"/>
    </row>
    <row r="4071" spans="5:13">
      <c r="E4071" s="221"/>
      <c r="F4071" s="403"/>
      <c r="G4071" s="404"/>
      <c r="H4071" s="409" t="s">
        <v>4285</v>
      </c>
      <c r="I4071" s="403"/>
      <c r="J4071" s="406"/>
      <c r="K4071" s="403"/>
      <c r="L4071" s="221"/>
      <c r="M4071" s="221"/>
    </row>
    <row r="4072" spans="5:13">
      <c r="E4072" s="221"/>
      <c r="F4072" s="403">
        <v>3</v>
      </c>
      <c r="G4072" s="404" t="s">
        <v>1046</v>
      </c>
      <c r="H4072" s="408" t="s">
        <v>5073</v>
      </c>
      <c r="I4072" s="686">
        <v>550</v>
      </c>
      <c r="J4072" s="406" t="s">
        <v>1418</v>
      </c>
      <c r="K4072" s="403">
        <f>I4072*F4072</f>
        <v>1650</v>
      </c>
      <c r="L4072" s="221"/>
      <c r="M4072" s="221"/>
    </row>
    <row r="4073" spans="5:13">
      <c r="E4073" s="221"/>
      <c r="F4073" s="403">
        <v>1</v>
      </c>
      <c r="G4073" s="404" t="s">
        <v>1046</v>
      </c>
      <c r="H4073" s="408" t="s">
        <v>5074</v>
      </c>
      <c r="I4073" s="686">
        <v>340.3</v>
      </c>
      <c r="J4073" s="406" t="s">
        <v>1418</v>
      </c>
      <c r="K4073" s="403">
        <f>I4073*F4073</f>
        <v>340.3</v>
      </c>
      <c r="L4073" s="221"/>
      <c r="M4073" s="221"/>
    </row>
    <row r="4074" spans="5:13">
      <c r="E4074" s="221"/>
      <c r="F4074" s="403">
        <v>1</v>
      </c>
      <c r="G4074" s="404" t="s">
        <v>1046</v>
      </c>
      <c r="H4074" s="408" t="s">
        <v>4286</v>
      </c>
      <c r="I4074" s="687">
        <f>I4073</f>
        <v>340.3</v>
      </c>
      <c r="J4074" s="406" t="s">
        <v>1418</v>
      </c>
      <c r="K4074" s="403">
        <f>I4074*F4074</f>
        <v>340.3</v>
      </c>
      <c r="L4074" s="221"/>
      <c r="M4074" s="221"/>
    </row>
    <row r="4075" spans="5:13">
      <c r="E4075" s="221"/>
      <c r="F4075" s="412">
        <v>800</v>
      </c>
      <c r="G4075" s="406" t="s">
        <v>4287</v>
      </c>
      <c r="H4075" s="408" t="s">
        <v>4288</v>
      </c>
      <c r="I4075" s="403">
        <v>1</v>
      </c>
      <c r="J4075" s="406" t="s">
        <v>4287</v>
      </c>
      <c r="K4075" s="403">
        <f>SUM(F4075*I4075)</f>
        <v>800</v>
      </c>
      <c r="L4075" s="221"/>
      <c r="M4075" s="221"/>
    </row>
    <row r="4076" spans="5:13">
      <c r="E4076" s="221"/>
      <c r="F4076" s="403"/>
      <c r="G4076" s="404"/>
      <c r="H4076" s="408" t="s">
        <v>4289</v>
      </c>
      <c r="I4076" s="403"/>
      <c r="J4076" s="406"/>
      <c r="K4076" s="403"/>
      <c r="L4076" s="221"/>
      <c r="M4076" s="221"/>
    </row>
    <row r="4077" spans="5:13">
      <c r="E4077" s="221"/>
      <c r="F4077" s="403"/>
      <c r="G4077" s="404"/>
      <c r="H4077" s="408" t="s">
        <v>4290</v>
      </c>
      <c r="I4077" s="403"/>
      <c r="J4077" s="406"/>
      <c r="K4077" s="403"/>
      <c r="L4077" s="221"/>
      <c r="M4077" s="221"/>
    </row>
    <row r="4078" spans="5:13">
      <c r="E4078" s="221"/>
      <c r="F4078" s="413">
        <v>0.27</v>
      </c>
      <c r="G4078" s="404" t="s">
        <v>4291</v>
      </c>
      <c r="H4078" s="408" t="s">
        <v>5075</v>
      </c>
      <c r="I4078" s="403">
        <f>630*2</f>
        <v>1260</v>
      </c>
      <c r="J4078" s="414" t="s">
        <v>4291</v>
      </c>
      <c r="K4078" s="403">
        <f t="shared" ref="K4078:K4085" si="115">SUM(F4078*I4078)</f>
        <v>340.2</v>
      </c>
      <c r="L4078" s="221"/>
      <c r="M4078" s="221"/>
    </row>
    <row r="4079" spans="5:13">
      <c r="E4079" s="221"/>
      <c r="F4079" s="403">
        <v>9</v>
      </c>
      <c r="G4079" s="404" t="s">
        <v>1452</v>
      </c>
      <c r="H4079" s="408" t="s">
        <v>4292</v>
      </c>
      <c r="I4079" s="687">
        <v>20</v>
      </c>
      <c r="J4079" s="406" t="s">
        <v>1739</v>
      </c>
      <c r="K4079" s="403">
        <f t="shared" si="115"/>
        <v>180</v>
      </c>
      <c r="L4079" s="221"/>
      <c r="M4079" s="221"/>
    </row>
    <row r="4080" spans="5:13">
      <c r="E4080" s="221"/>
      <c r="F4080" s="403">
        <v>2</v>
      </c>
      <c r="G4080" s="404" t="s">
        <v>147</v>
      </c>
      <c r="H4080" s="408" t="s">
        <v>4293</v>
      </c>
      <c r="I4080" s="687">
        <v>280</v>
      </c>
      <c r="J4080" s="406" t="s">
        <v>147</v>
      </c>
      <c r="K4080" s="403">
        <f t="shared" si="115"/>
        <v>560</v>
      </c>
      <c r="L4080" s="221"/>
      <c r="M4080" s="221"/>
    </row>
    <row r="4081" spans="5:13">
      <c r="E4081" s="221"/>
      <c r="F4081" s="403">
        <v>5</v>
      </c>
      <c r="G4081" s="404" t="s">
        <v>3500</v>
      </c>
      <c r="H4081" s="408" t="s">
        <v>5076</v>
      </c>
      <c r="I4081" s="686">
        <v>9.8000000000000007</v>
      </c>
      <c r="J4081" s="414" t="s">
        <v>3500</v>
      </c>
      <c r="K4081" s="403">
        <f t="shared" si="115"/>
        <v>49</v>
      </c>
      <c r="L4081" s="221"/>
      <c r="M4081" s="221"/>
    </row>
    <row r="4082" spans="5:13">
      <c r="E4082" s="221"/>
      <c r="F4082" s="415">
        <v>53.512999999999998</v>
      </c>
      <c r="G4082" s="416" t="s">
        <v>922</v>
      </c>
      <c r="H4082" s="408" t="s">
        <v>5077</v>
      </c>
      <c r="I4082" s="417">
        <v>47.8</v>
      </c>
      <c r="J4082" s="418" t="s">
        <v>922</v>
      </c>
      <c r="K4082" s="417">
        <f t="shared" si="115"/>
        <v>2557.92</v>
      </c>
      <c r="L4082" s="221"/>
      <c r="M4082" s="221"/>
    </row>
    <row r="4083" spans="5:13">
      <c r="E4083" s="221"/>
      <c r="F4083" s="415">
        <v>18.600000000000001</v>
      </c>
      <c r="G4083" s="416" t="s">
        <v>922</v>
      </c>
      <c r="H4083" s="408" t="s">
        <v>5078</v>
      </c>
      <c r="I4083" s="417">
        <v>47.8</v>
      </c>
      <c r="J4083" s="418" t="s">
        <v>922</v>
      </c>
      <c r="K4083" s="417">
        <f>SUM(F4083*I4083)</f>
        <v>889.08</v>
      </c>
      <c r="L4083" s="221"/>
      <c r="M4083" s="221"/>
    </row>
    <row r="4084" spans="5:13">
      <c r="E4084" s="221"/>
      <c r="F4084" s="403">
        <v>12</v>
      </c>
      <c r="G4084" s="404" t="s">
        <v>1452</v>
      </c>
      <c r="H4084" s="408" t="s">
        <v>4294</v>
      </c>
      <c r="I4084" s="403">
        <v>1696.5</v>
      </c>
      <c r="J4084" s="414" t="s">
        <v>1418</v>
      </c>
      <c r="K4084" s="403">
        <f t="shared" si="115"/>
        <v>20358</v>
      </c>
      <c r="L4084" s="221"/>
      <c r="M4084" s="221"/>
    </row>
    <row r="4085" spans="5:13">
      <c r="E4085" s="221"/>
      <c r="F4085" s="403">
        <v>83.16</v>
      </c>
      <c r="G4085" s="404" t="s">
        <v>4295</v>
      </c>
      <c r="H4085" s="408" t="s">
        <v>4296</v>
      </c>
      <c r="I4085" s="403">
        <v>10</v>
      </c>
      <c r="J4085" s="414" t="s">
        <v>4297</v>
      </c>
      <c r="K4085" s="403">
        <f t="shared" si="115"/>
        <v>831.6</v>
      </c>
      <c r="L4085" s="221"/>
      <c r="M4085" s="221"/>
    </row>
    <row r="4086" spans="5:13" ht="25.5">
      <c r="E4086" s="221"/>
      <c r="F4086" s="410">
        <v>24</v>
      </c>
      <c r="G4086" s="404" t="s">
        <v>4298</v>
      </c>
      <c r="H4086" s="419" t="s">
        <v>5079</v>
      </c>
      <c r="I4086" s="403">
        <v>56.7</v>
      </c>
      <c r="J4086" s="420" t="s">
        <v>4299</v>
      </c>
      <c r="K4086" s="403">
        <f>I4086*F4086</f>
        <v>1360.8</v>
      </c>
      <c r="L4086" s="221"/>
      <c r="M4086" s="221"/>
    </row>
    <row r="4087" spans="5:13">
      <c r="E4087" s="221"/>
      <c r="F4087" s="403"/>
      <c r="G4087" s="404"/>
      <c r="H4087" s="408" t="s">
        <v>4300</v>
      </c>
      <c r="I4087" s="403"/>
      <c r="J4087" s="406"/>
      <c r="K4087" s="403">
        <v>200</v>
      </c>
      <c r="L4087" s="221"/>
      <c r="M4087" s="221"/>
    </row>
    <row r="4088" spans="5:13">
      <c r="E4088" s="221"/>
      <c r="F4088" s="403"/>
      <c r="G4088" s="404"/>
      <c r="H4088" s="408"/>
      <c r="I4088" s="403" t="s">
        <v>2270</v>
      </c>
      <c r="J4088" s="406"/>
      <c r="K4088" s="407">
        <f>SUM(K4039:K4087)</f>
        <v>37382.9</v>
      </c>
      <c r="L4088" s="221"/>
      <c r="M4088" s="221"/>
    </row>
    <row r="4089" spans="5:13">
      <c r="E4089" s="221"/>
      <c r="F4089" s="403"/>
      <c r="G4089" s="404"/>
      <c r="H4089" s="408" t="s">
        <v>4301</v>
      </c>
      <c r="I4089" s="403"/>
      <c r="J4089" s="406"/>
      <c r="K4089" s="403">
        <f>K4088*2/100</f>
        <v>747.66</v>
      </c>
      <c r="L4089" s="221"/>
      <c r="M4089" s="221"/>
    </row>
    <row r="4090" spans="5:13">
      <c r="E4090" s="221"/>
      <c r="F4090" s="403"/>
      <c r="G4090" s="404"/>
      <c r="H4090" s="408"/>
      <c r="I4090" s="403"/>
      <c r="J4090" s="406"/>
      <c r="K4090" s="407">
        <f>SUM(K4088:K4089)</f>
        <v>38130.559999999998</v>
      </c>
      <c r="L4090" s="221"/>
      <c r="M4090" s="221"/>
    </row>
    <row r="4091" spans="5:13">
      <c r="E4091" s="221"/>
      <c r="F4091" s="403"/>
      <c r="G4091" s="404"/>
      <c r="H4091" s="409" t="s">
        <v>4302</v>
      </c>
      <c r="I4091" s="403"/>
      <c r="J4091" s="406"/>
      <c r="K4091" s="403"/>
      <c r="L4091" s="221"/>
      <c r="M4091" s="221"/>
    </row>
    <row r="4092" spans="5:13">
      <c r="E4092" s="221"/>
      <c r="F4092" s="403"/>
      <c r="G4092" s="404"/>
      <c r="H4092" s="408" t="s">
        <v>4303</v>
      </c>
      <c r="I4092" s="403"/>
      <c r="J4092" s="406"/>
      <c r="K4092" s="403">
        <v>1500</v>
      </c>
      <c r="L4092" s="221"/>
      <c r="M4092" s="221"/>
    </row>
    <row r="4093" spans="5:13">
      <c r="E4093" s="221"/>
      <c r="F4093" s="403"/>
      <c r="G4093" s="404"/>
      <c r="H4093" s="408" t="s">
        <v>4304</v>
      </c>
      <c r="I4093" s="403"/>
      <c r="J4093" s="406"/>
      <c r="K4093" s="403">
        <v>4000</v>
      </c>
      <c r="L4093" s="221"/>
      <c r="M4093" s="221"/>
    </row>
    <row r="4094" spans="5:13">
      <c r="E4094" s="221"/>
      <c r="F4094" s="403"/>
      <c r="G4094" s="404"/>
      <c r="H4094" s="408"/>
      <c r="I4094" s="403"/>
      <c r="J4094" s="406"/>
      <c r="K4094" s="407">
        <f>SUM(K4090:K4093)</f>
        <v>43630.559999999998</v>
      </c>
      <c r="L4094" s="221"/>
      <c r="M4094" s="221"/>
    </row>
    <row r="4095" spans="5:13">
      <c r="E4095" s="221"/>
      <c r="F4095" s="403"/>
      <c r="G4095" s="404"/>
      <c r="H4095" s="408"/>
      <c r="I4095" s="403"/>
      <c r="J4095" s="406"/>
      <c r="K4095" s="403" t="s">
        <v>4305</v>
      </c>
      <c r="L4095" s="221"/>
      <c r="M4095" s="221"/>
    </row>
    <row r="4096" spans="5:13">
      <c r="E4096" s="221"/>
      <c r="F4096" s="403"/>
      <c r="G4096" s="404"/>
      <c r="H4096" s="408"/>
      <c r="I4096" s="403"/>
      <c r="J4096" s="406"/>
      <c r="K4096" s="421">
        <v>34310</v>
      </c>
      <c r="L4096" s="221"/>
      <c r="M4096" s="221"/>
    </row>
    <row r="4097" spans="5:13">
      <c r="E4097" s="221"/>
      <c r="F4097" s="221"/>
      <c r="G4097" s="221"/>
      <c r="H4097" s="221"/>
      <c r="I4097" s="221"/>
      <c r="J4097" s="221"/>
      <c r="K4097" s="221"/>
      <c r="L4097" s="221"/>
      <c r="M4097" s="221"/>
    </row>
    <row r="4098" spans="5:13">
      <c r="E4098" s="221"/>
      <c r="F4098" s="221"/>
      <c r="G4098" s="221"/>
      <c r="H4098" s="221"/>
      <c r="I4098" s="221"/>
      <c r="J4098" s="221"/>
      <c r="K4098" s="221"/>
      <c r="L4098" s="221"/>
      <c r="M4098" s="221"/>
    </row>
    <row r="4099" spans="5:13">
      <c r="E4099" s="221"/>
      <c r="F4099" s="221"/>
      <c r="G4099" s="221"/>
      <c r="H4099" s="221"/>
      <c r="I4099" s="221"/>
      <c r="J4099" s="221"/>
      <c r="K4099" s="221"/>
      <c r="L4099" s="221"/>
      <c r="M4099" s="221"/>
    </row>
    <row r="4100" spans="5:13">
      <c r="E4100" s="221"/>
      <c r="F4100" s="221"/>
      <c r="G4100" s="221"/>
      <c r="H4100" s="221"/>
      <c r="I4100" s="221"/>
      <c r="J4100" s="221"/>
      <c r="K4100" s="221"/>
      <c r="L4100" s="221"/>
      <c r="M4100" s="221"/>
    </row>
    <row r="4101" spans="5:13">
      <c r="E4101" s="221"/>
      <c r="F4101" s="221"/>
      <c r="G4101" s="221"/>
      <c r="H4101" s="221"/>
      <c r="I4101" s="221"/>
      <c r="J4101" s="221"/>
      <c r="K4101" s="221"/>
      <c r="L4101" s="221"/>
      <c r="M4101" s="221"/>
    </row>
    <row r="4102" spans="5:13">
      <c r="E4102" s="221"/>
      <c r="F4102" s="221"/>
      <c r="G4102" s="221"/>
      <c r="H4102" s="221"/>
      <c r="I4102" s="221"/>
      <c r="J4102" s="221"/>
      <c r="K4102" s="221"/>
      <c r="L4102" s="221"/>
      <c r="M4102" s="221"/>
    </row>
    <row r="4103" spans="5:13">
      <c r="E4103" s="221"/>
      <c r="F4103" s="221"/>
      <c r="G4103" s="221"/>
      <c r="H4103" s="221"/>
      <c r="I4103" s="221"/>
      <c r="J4103" s="221"/>
      <c r="K4103" s="221"/>
      <c r="L4103" s="221"/>
      <c r="M4103" s="221"/>
    </row>
    <row r="4104" spans="5:13">
      <c r="E4104" s="221"/>
      <c r="F4104" s="221"/>
      <c r="G4104" s="221"/>
      <c r="H4104" s="221"/>
      <c r="I4104" s="221"/>
      <c r="J4104" s="221"/>
      <c r="K4104" s="221"/>
      <c r="L4104" s="221"/>
      <c r="M4104" s="221"/>
    </row>
    <row r="4105" spans="5:13">
      <c r="E4105" s="221"/>
      <c r="F4105" s="221"/>
      <c r="G4105" s="221"/>
      <c r="H4105" s="221"/>
      <c r="I4105" s="221"/>
      <c r="J4105" s="221"/>
      <c r="K4105" s="221"/>
      <c r="L4105" s="221"/>
      <c r="M4105" s="221"/>
    </row>
    <row r="4106" spans="5:13">
      <c r="E4106" s="221"/>
      <c r="F4106" s="221"/>
      <c r="G4106" s="221"/>
      <c r="H4106" s="221"/>
      <c r="I4106" s="221"/>
      <c r="J4106" s="221"/>
      <c r="K4106" s="221"/>
      <c r="L4106" s="221"/>
      <c r="M4106" s="221"/>
    </row>
    <row r="4107" spans="5:13">
      <c r="E4107" s="221"/>
      <c r="F4107" s="221"/>
      <c r="G4107" s="221"/>
      <c r="H4107" s="221"/>
      <c r="I4107" s="221"/>
      <c r="J4107" s="221"/>
      <c r="K4107" s="221"/>
      <c r="L4107" s="221"/>
      <c r="M4107" s="221"/>
    </row>
    <row r="4108" spans="5:13">
      <c r="E4108" s="221"/>
      <c r="F4108" s="221"/>
      <c r="G4108" s="221"/>
      <c r="H4108" s="221"/>
      <c r="I4108" s="221"/>
      <c r="J4108" s="221"/>
      <c r="K4108" s="221"/>
      <c r="L4108" s="221"/>
      <c r="M4108" s="221"/>
    </row>
    <row r="4109" spans="5:13">
      <c r="E4109" s="221"/>
      <c r="F4109" s="221"/>
      <c r="G4109" s="221"/>
      <c r="H4109" s="221"/>
      <c r="I4109" s="221"/>
      <c r="J4109" s="221"/>
      <c r="K4109" s="221"/>
      <c r="L4109" s="221"/>
      <c r="M4109" s="221"/>
    </row>
    <row r="4110" spans="5:13">
      <c r="E4110" s="221"/>
      <c r="F4110" s="221"/>
      <c r="G4110" s="221"/>
      <c r="H4110" s="221"/>
      <c r="I4110" s="221"/>
      <c r="J4110" s="221"/>
      <c r="K4110" s="221"/>
      <c r="L4110" s="221"/>
      <c r="M4110" s="221"/>
    </row>
    <row r="4111" spans="5:13">
      <c r="E4111" s="221"/>
      <c r="F4111" s="221"/>
      <c r="G4111" s="221"/>
      <c r="H4111" s="221"/>
      <c r="I4111" s="221"/>
      <c r="J4111" s="221"/>
      <c r="K4111" s="221"/>
      <c r="L4111" s="221"/>
      <c r="M4111" s="221"/>
    </row>
    <row r="4112" spans="5:13">
      <c r="E4112" s="221"/>
      <c r="F4112" s="221"/>
      <c r="G4112" s="221"/>
      <c r="H4112" s="221"/>
      <c r="I4112" s="221"/>
      <c r="J4112" s="221"/>
      <c r="K4112" s="221"/>
      <c r="L4112" s="221"/>
      <c r="M4112" s="221"/>
    </row>
    <row r="4113" spans="5:13">
      <c r="E4113" s="221"/>
      <c r="F4113" s="221"/>
      <c r="G4113" s="221"/>
      <c r="H4113" s="221"/>
      <c r="I4113" s="221"/>
      <c r="J4113" s="221"/>
      <c r="K4113" s="221"/>
      <c r="L4113" s="221"/>
      <c r="M4113" s="221"/>
    </row>
    <row r="4114" spans="5:13">
      <c r="E4114" s="221"/>
      <c r="F4114" s="221"/>
      <c r="G4114" s="221"/>
      <c r="H4114" s="221"/>
      <c r="I4114" s="221"/>
      <c r="J4114" s="221"/>
      <c r="K4114" s="221"/>
      <c r="L4114" s="221"/>
      <c r="M4114" s="221"/>
    </row>
    <row r="4115" spans="5:13">
      <c r="E4115" s="221"/>
      <c r="F4115" s="221"/>
      <c r="G4115" s="221"/>
      <c r="H4115" s="221"/>
      <c r="I4115" s="221"/>
      <c r="J4115" s="221"/>
      <c r="K4115" s="221"/>
      <c r="L4115" s="221"/>
      <c r="M4115" s="221"/>
    </row>
    <row r="4116" spans="5:13">
      <c r="E4116" s="221"/>
      <c r="F4116" s="221"/>
      <c r="G4116" s="221"/>
      <c r="H4116" s="221"/>
      <c r="I4116" s="221"/>
      <c r="J4116" s="221"/>
      <c r="K4116" s="221"/>
      <c r="L4116" s="221"/>
      <c r="M4116" s="221"/>
    </row>
    <row r="4117" spans="5:13">
      <c r="E4117" s="221"/>
      <c r="F4117" s="221"/>
      <c r="G4117" s="221"/>
      <c r="H4117" s="221"/>
      <c r="I4117" s="221"/>
      <c r="J4117" s="221"/>
      <c r="K4117" s="221"/>
      <c r="L4117" s="221"/>
      <c r="M4117" s="221"/>
    </row>
    <row r="4118" spans="5:13">
      <c r="E4118" s="221"/>
      <c r="F4118" s="221"/>
      <c r="G4118" s="221"/>
      <c r="H4118" s="221"/>
      <c r="I4118" s="221"/>
      <c r="J4118" s="221"/>
      <c r="K4118" s="221"/>
      <c r="L4118" s="221"/>
      <c r="M4118" s="221"/>
    </row>
    <row r="4119" spans="5:13">
      <c r="E4119" s="221"/>
      <c r="F4119" s="221"/>
      <c r="G4119" s="221"/>
      <c r="H4119" s="221"/>
      <c r="I4119" s="221"/>
      <c r="J4119" s="221"/>
      <c r="K4119" s="221"/>
      <c r="L4119" s="221"/>
      <c r="M4119" s="221"/>
    </row>
    <row r="4120" spans="5:13">
      <c r="E4120" s="221"/>
      <c r="F4120" s="221"/>
      <c r="G4120" s="221"/>
      <c r="H4120" s="221"/>
      <c r="I4120" s="221"/>
      <c r="J4120" s="221"/>
      <c r="K4120" s="221"/>
      <c r="L4120" s="221"/>
      <c r="M4120" s="221"/>
    </row>
    <row r="4121" spans="5:13">
      <c r="E4121" s="221"/>
      <c r="F4121" s="221"/>
      <c r="G4121" s="221"/>
      <c r="H4121" s="221"/>
      <c r="I4121" s="221"/>
      <c r="J4121" s="221"/>
      <c r="K4121" s="221"/>
      <c r="L4121" s="221"/>
      <c r="M4121" s="221"/>
    </row>
    <row r="4122" spans="5:13">
      <c r="E4122" s="221"/>
      <c r="F4122" s="221"/>
      <c r="G4122" s="221"/>
      <c r="H4122" s="221"/>
      <c r="I4122" s="221"/>
      <c r="J4122" s="221"/>
      <c r="K4122" s="221"/>
      <c r="L4122" s="221"/>
      <c r="M4122" s="221"/>
    </row>
    <row r="4123" spans="5:13">
      <c r="E4123" s="221"/>
      <c r="F4123" s="221"/>
      <c r="G4123" s="221"/>
      <c r="H4123" s="221"/>
      <c r="I4123" s="221"/>
      <c r="J4123" s="221"/>
      <c r="K4123" s="221"/>
      <c r="L4123" s="221"/>
      <c r="M4123" s="221"/>
    </row>
    <row r="4124" spans="5:13">
      <c r="E4124" s="221"/>
      <c r="F4124" s="221"/>
      <c r="G4124" s="221"/>
      <c r="H4124" s="221"/>
      <c r="I4124" s="221"/>
      <c r="J4124" s="221"/>
      <c r="K4124" s="221"/>
      <c r="L4124" s="221"/>
      <c r="M4124" s="221"/>
    </row>
    <row r="4125" spans="5:13">
      <c r="E4125" s="221"/>
      <c r="F4125" s="221"/>
      <c r="G4125" s="221"/>
      <c r="H4125" s="221"/>
      <c r="I4125" s="221"/>
      <c r="J4125" s="221"/>
      <c r="K4125" s="221"/>
      <c r="L4125" s="221"/>
      <c r="M4125" s="221"/>
    </row>
    <row r="4126" spans="5:13">
      <c r="E4126" s="221"/>
      <c r="F4126" s="221"/>
      <c r="G4126" s="221"/>
      <c r="H4126" s="221"/>
      <c r="I4126" s="221"/>
      <c r="J4126" s="221"/>
      <c r="K4126" s="221"/>
      <c r="L4126" s="221"/>
      <c r="M4126" s="221"/>
    </row>
    <row r="4127" spans="5:13">
      <c r="E4127" s="221"/>
      <c r="F4127" s="221"/>
      <c r="G4127" s="221"/>
      <c r="H4127" s="221"/>
      <c r="I4127" s="221"/>
      <c r="J4127" s="221"/>
      <c r="K4127" s="221"/>
      <c r="L4127" s="221"/>
      <c r="M4127" s="221"/>
    </row>
    <row r="4128" spans="5:13">
      <c r="E4128" s="221"/>
      <c r="F4128" s="221"/>
      <c r="G4128" s="221"/>
      <c r="H4128" s="221"/>
      <c r="I4128" s="221"/>
      <c r="J4128" s="221"/>
      <c r="K4128" s="221"/>
      <c r="L4128" s="221"/>
      <c r="M4128" s="221"/>
    </row>
    <row r="4129" spans="5:13">
      <c r="E4129" s="221"/>
      <c r="F4129" s="221"/>
      <c r="G4129" s="221"/>
      <c r="H4129" s="221"/>
      <c r="I4129" s="221"/>
      <c r="J4129" s="221"/>
      <c r="K4129" s="221"/>
      <c r="L4129" s="221"/>
      <c r="M4129" s="221"/>
    </row>
    <row r="4130" spans="5:13">
      <c r="E4130" s="221"/>
      <c r="F4130" s="221"/>
      <c r="G4130" s="221"/>
      <c r="H4130" s="221"/>
      <c r="I4130" s="221"/>
      <c r="J4130" s="221"/>
      <c r="K4130" s="221"/>
      <c r="L4130" s="221"/>
      <c r="M4130" s="221"/>
    </row>
    <row r="4131" spans="5:13">
      <c r="E4131" s="221"/>
      <c r="F4131" s="221"/>
      <c r="G4131" s="221"/>
      <c r="H4131" s="221"/>
      <c r="I4131" s="221"/>
      <c r="J4131" s="221"/>
      <c r="K4131" s="221"/>
      <c r="L4131" s="221"/>
      <c r="M4131" s="221"/>
    </row>
    <row r="4132" spans="5:13">
      <c r="E4132" s="221"/>
      <c r="F4132" s="221"/>
      <c r="G4132" s="221"/>
      <c r="H4132" s="221"/>
      <c r="I4132" s="221"/>
      <c r="J4132" s="221"/>
      <c r="K4132" s="221"/>
      <c r="L4132" s="221"/>
      <c r="M4132" s="221"/>
    </row>
    <row r="4133" spans="5:13">
      <c r="E4133" s="221"/>
      <c r="F4133" s="221"/>
      <c r="G4133" s="221"/>
      <c r="H4133" s="221"/>
      <c r="I4133" s="221"/>
      <c r="J4133" s="221"/>
      <c r="K4133" s="221"/>
      <c r="L4133" s="221"/>
      <c r="M4133" s="221"/>
    </row>
    <row r="4134" spans="5:13">
      <c r="E4134" s="221"/>
      <c r="F4134" s="221"/>
      <c r="G4134" s="221"/>
      <c r="H4134" s="221"/>
      <c r="I4134" s="221"/>
      <c r="J4134" s="221"/>
      <c r="K4134" s="221"/>
      <c r="L4134" s="221"/>
      <c r="M4134" s="221"/>
    </row>
    <row r="4135" spans="5:13">
      <c r="E4135" s="221"/>
      <c r="F4135" s="221"/>
      <c r="G4135" s="221"/>
      <c r="H4135" s="221"/>
      <c r="I4135" s="221"/>
      <c r="J4135" s="221"/>
      <c r="K4135" s="221"/>
      <c r="L4135" s="221"/>
      <c r="M4135" s="221"/>
    </row>
    <row r="4136" spans="5:13">
      <c r="E4136" s="221"/>
      <c r="F4136" s="221"/>
      <c r="G4136" s="221"/>
      <c r="H4136" s="221"/>
      <c r="I4136" s="221"/>
      <c r="J4136" s="221"/>
      <c r="K4136" s="221"/>
      <c r="L4136" s="221"/>
      <c r="M4136" s="221"/>
    </row>
    <row r="4137" spans="5:13">
      <c r="E4137" s="221"/>
      <c r="F4137" s="221"/>
      <c r="G4137" s="221"/>
      <c r="H4137" s="221"/>
      <c r="I4137" s="221"/>
      <c r="J4137" s="221"/>
      <c r="K4137" s="221"/>
      <c r="L4137" s="221"/>
      <c r="M4137" s="221"/>
    </row>
    <row r="4138" spans="5:13">
      <c r="E4138" s="221"/>
      <c r="F4138" s="221"/>
      <c r="G4138" s="221"/>
      <c r="H4138" s="221"/>
      <c r="I4138" s="221"/>
      <c r="J4138" s="221"/>
      <c r="K4138" s="221"/>
      <c r="L4138" s="221"/>
      <c r="M4138" s="221"/>
    </row>
    <row r="4139" spans="5:13">
      <c r="E4139" s="221"/>
      <c r="F4139" s="221"/>
      <c r="G4139" s="221"/>
      <c r="H4139" s="221"/>
      <c r="I4139" s="221"/>
      <c r="J4139" s="221"/>
      <c r="K4139" s="221"/>
      <c r="L4139" s="221"/>
      <c r="M4139" s="221"/>
    </row>
    <row r="4140" spans="5:13">
      <c r="E4140" s="221"/>
      <c r="F4140" s="221"/>
      <c r="G4140" s="221"/>
      <c r="H4140" s="221"/>
      <c r="I4140" s="221"/>
      <c r="J4140" s="221"/>
      <c r="K4140" s="221"/>
      <c r="L4140" s="221"/>
      <c r="M4140" s="221"/>
    </row>
    <row r="4141" spans="5:13">
      <c r="E4141" s="221"/>
      <c r="F4141" s="221"/>
      <c r="G4141" s="221"/>
      <c r="H4141" s="221"/>
      <c r="I4141" s="221"/>
      <c r="J4141" s="221"/>
      <c r="K4141" s="221"/>
      <c r="L4141" s="221"/>
      <c r="M4141" s="221"/>
    </row>
    <row r="4142" spans="5:13">
      <c r="E4142" s="221"/>
      <c r="F4142" s="221"/>
      <c r="G4142" s="221"/>
      <c r="H4142" s="221"/>
      <c r="I4142" s="221"/>
      <c r="J4142" s="221"/>
      <c r="K4142" s="221"/>
      <c r="L4142" s="221"/>
      <c r="M4142" s="221"/>
    </row>
    <row r="4143" spans="5:13">
      <c r="E4143" s="221"/>
      <c r="F4143" s="221"/>
      <c r="G4143" s="221"/>
      <c r="H4143" s="221"/>
      <c r="I4143" s="221"/>
      <c r="J4143" s="221"/>
      <c r="K4143" s="221"/>
      <c r="L4143" s="221"/>
      <c r="M4143" s="221"/>
    </row>
    <row r="4144" spans="5:13">
      <c r="E4144" s="221"/>
      <c r="F4144" s="221"/>
      <c r="G4144" s="221"/>
      <c r="H4144" s="221"/>
      <c r="I4144" s="221"/>
      <c r="J4144" s="221"/>
      <c r="K4144" s="221"/>
      <c r="L4144" s="221"/>
      <c r="M4144" s="221"/>
    </row>
    <row r="4145" spans="5:13">
      <c r="E4145" s="221"/>
      <c r="F4145" s="221"/>
      <c r="G4145" s="221"/>
      <c r="H4145" s="221"/>
      <c r="I4145" s="221"/>
      <c r="J4145" s="221"/>
      <c r="K4145" s="221"/>
      <c r="L4145" s="221"/>
      <c r="M4145" s="221"/>
    </row>
    <row r="4146" spans="5:13">
      <c r="E4146" s="221"/>
      <c r="F4146" s="221"/>
      <c r="G4146" s="221"/>
      <c r="H4146" s="221"/>
      <c r="I4146" s="221"/>
      <c r="J4146" s="221"/>
      <c r="K4146" s="221"/>
      <c r="L4146" s="221"/>
      <c r="M4146" s="221"/>
    </row>
    <row r="4147" spans="5:13">
      <c r="E4147" s="221"/>
      <c r="F4147" s="221"/>
      <c r="G4147" s="221"/>
      <c r="H4147" s="221"/>
      <c r="I4147" s="221"/>
      <c r="J4147" s="221"/>
      <c r="K4147" s="221"/>
      <c r="L4147" s="221"/>
      <c r="M4147" s="221"/>
    </row>
    <row r="4148" spans="5:13">
      <c r="E4148" s="221"/>
      <c r="F4148" s="221"/>
      <c r="G4148" s="221"/>
      <c r="H4148" s="221"/>
      <c r="I4148" s="221"/>
      <c r="J4148" s="221"/>
      <c r="K4148" s="221"/>
      <c r="L4148" s="221"/>
      <c r="M4148" s="221"/>
    </row>
    <row r="4149" spans="5:13">
      <c r="E4149" s="221"/>
      <c r="F4149" s="221"/>
      <c r="G4149" s="221"/>
      <c r="H4149" s="221"/>
      <c r="I4149" s="221"/>
      <c r="J4149" s="221"/>
      <c r="K4149" s="221"/>
      <c r="L4149" s="221"/>
      <c r="M4149" s="221"/>
    </row>
    <row r="4150" spans="5:13">
      <c r="E4150" s="221"/>
      <c r="F4150" s="221"/>
      <c r="G4150" s="221"/>
      <c r="H4150" s="221"/>
      <c r="I4150" s="221"/>
      <c r="J4150" s="221"/>
      <c r="K4150" s="221"/>
      <c r="L4150" s="221"/>
      <c r="M4150" s="221"/>
    </row>
    <row r="4151" spans="5:13">
      <c r="E4151" s="221"/>
      <c r="F4151" s="221"/>
      <c r="G4151" s="221"/>
      <c r="H4151" s="221"/>
      <c r="I4151" s="221"/>
      <c r="J4151" s="221"/>
      <c r="K4151" s="221"/>
      <c r="L4151" s="221"/>
      <c r="M4151" s="221"/>
    </row>
    <row r="4152" spans="5:13">
      <c r="E4152" s="221"/>
      <c r="F4152" s="221"/>
      <c r="G4152" s="221"/>
      <c r="H4152" s="221"/>
      <c r="I4152" s="221"/>
      <c r="J4152" s="221"/>
      <c r="K4152" s="221"/>
      <c r="L4152" s="221"/>
      <c r="M4152" s="221"/>
    </row>
    <row r="4153" spans="5:13">
      <c r="E4153" s="221"/>
      <c r="F4153" s="221"/>
      <c r="G4153" s="221"/>
      <c r="H4153" s="221"/>
      <c r="I4153" s="221"/>
      <c r="J4153" s="221"/>
      <c r="K4153" s="221"/>
      <c r="L4153" s="221"/>
      <c r="M4153" s="221"/>
    </row>
    <row r="4154" spans="5:13">
      <c r="E4154" s="221"/>
      <c r="F4154" s="221"/>
      <c r="G4154" s="221"/>
      <c r="H4154" s="221"/>
      <c r="I4154" s="221"/>
      <c r="J4154" s="221"/>
      <c r="K4154" s="221"/>
      <c r="L4154" s="221"/>
      <c r="M4154" s="221"/>
    </row>
    <row r="4155" spans="5:13">
      <c r="E4155" s="221"/>
      <c r="F4155" s="221"/>
      <c r="G4155" s="221"/>
      <c r="H4155" s="221"/>
      <c r="I4155" s="221"/>
      <c r="J4155" s="221"/>
      <c r="K4155" s="221"/>
      <c r="L4155" s="221"/>
      <c r="M4155" s="221"/>
    </row>
    <row r="4156" spans="5:13">
      <c r="E4156" s="221"/>
      <c r="F4156" s="221"/>
      <c r="G4156" s="221"/>
      <c r="H4156" s="221"/>
      <c r="I4156" s="221"/>
      <c r="J4156" s="221"/>
      <c r="K4156" s="221"/>
      <c r="L4156" s="221"/>
      <c r="M4156" s="221"/>
    </row>
    <row r="4157" spans="5:13">
      <c r="E4157" s="221"/>
      <c r="F4157" s="221"/>
      <c r="G4157" s="221"/>
      <c r="H4157" s="221"/>
      <c r="I4157" s="221"/>
      <c r="J4157" s="221"/>
      <c r="K4157" s="221"/>
      <c r="L4157" s="221"/>
      <c r="M4157" s="221"/>
    </row>
    <row r="4158" spans="5:13">
      <c r="E4158" s="221"/>
      <c r="F4158" s="221"/>
      <c r="G4158" s="221"/>
      <c r="H4158" s="221"/>
      <c r="I4158" s="221"/>
      <c r="J4158" s="221"/>
      <c r="K4158" s="221"/>
      <c r="L4158" s="221"/>
      <c r="M4158" s="221"/>
    </row>
    <row r="4159" spans="5:13">
      <c r="E4159" s="221"/>
      <c r="F4159" s="221"/>
      <c r="G4159" s="221"/>
      <c r="H4159" s="221"/>
      <c r="I4159" s="221"/>
      <c r="J4159" s="221"/>
      <c r="K4159" s="221"/>
      <c r="L4159" s="221"/>
      <c r="M4159" s="221"/>
    </row>
    <row r="4160" spans="5:13">
      <c r="E4160" s="221"/>
      <c r="F4160" s="221"/>
      <c r="G4160" s="221"/>
      <c r="H4160" s="221"/>
      <c r="I4160" s="221"/>
      <c r="J4160" s="221"/>
      <c r="K4160" s="221"/>
      <c r="L4160" s="221"/>
      <c r="M4160" s="221"/>
    </row>
    <row r="4161" spans="5:13">
      <c r="E4161" s="221"/>
      <c r="F4161" s="221"/>
      <c r="G4161" s="221"/>
      <c r="H4161" s="221"/>
      <c r="I4161" s="221"/>
      <c r="J4161" s="221"/>
      <c r="K4161" s="221"/>
      <c r="L4161" s="221"/>
      <c r="M4161" s="221"/>
    </row>
    <row r="4162" spans="5:13">
      <c r="E4162" s="221"/>
      <c r="F4162" s="221"/>
      <c r="G4162" s="221"/>
      <c r="H4162" s="221"/>
      <c r="I4162" s="221"/>
      <c r="J4162" s="221"/>
      <c r="K4162" s="221"/>
      <c r="L4162" s="221"/>
      <c r="M4162" s="221"/>
    </row>
    <row r="4163" spans="5:13">
      <c r="E4163" s="221"/>
      <c r="F4163" s="221"/>
      <c r="G4163" s="221"/>
      <c r="H4163" s="221"/>
      <c r="I4163" s="221"/>
      <c r="J4163" s="221"/>
      <c r="K4163" s="221"/>
      <c r="L4163" s="221"/>
      <c r="M4163" s="221"/>
    </row>
    <row r="4164" spans="5:13">
      <c r="E4164" s="221"/>
      <c r="F4164" s="221"/>
      <c r="G4164" s="221"/>
      <c r="H4164" s="221"/>
      <c r="I4164" s="221"/>
      <c r="J4164" s="221"/>
      <c r="K4164" s="221"/>
      <c r="L4164" s="221"/>
      <c r="M4164" s="221"/>
    </row>
    <row r="4165" spans="5:13">
      <c r="E4165" s="221"/>
      <c r="F4165" s="221"/>
      <c r="G4165" s="221"/>
      <c r="H4165" s="221"/>
      <c r="I4165" s="221"/>
      <c r="J4165" s="221"/>
      <c r="K4165" s="221"/>
      <c r="L4165" s="221"/>
      <c r="M4165" s="221"/>
    </row>
    <row r="4166" spans="5:13">
      <c r="E4166" s="221"/>
      <c r="F4166" s="221"/>
      <c r="G4166" s="221"/>
      <c r="H4166" s="221"/>
      <c r="I4166" s="221"/>
      <c r="J4166" s="221"/>
      <c r="K4166" s="221"/>
      <c r="L4166" s="221"/>
      <c r="M4166" s="221"/>
    </row>
    <row r="4167" spans="5:13">
      <c r="E4167" s="221"/>
      <c r="F4167" s="221"/>
      <c r="G4167" s="221"/>
      <c r="H4167" s="221"/>
      <c r="I4167" s="221"/>
      <c r="J4167" s="221"/>
      <c r="K4167" s="221"/>
      <c r="L4167" s="221"/>
      <c r="M4167" s="221"/>
    </row>
    <row r="4168" spans="5:13">
      <c r="E4168" s="221"/>
      <c r="F4168" s="221"/>
      <c r="G4168" s="221"/>
      <c r="H4168" s="221"/>
      <c r="I4168" s="221"/>
      <c r="J4168" s="221"/>
      <c r="K4168" s="221"/>
      <c r="L4168" s="221"/>
      <c r="M4168" s="221"/>
    </row>
    <row r="4169" spans="5:13">
      <c r="E4169" s="221"/>
      <c r="F4169" s="221"/>
      <c r="G4169" s="221"/>
      <c r="H4169" s="221"/>
      <c r="I4169" s="221"/>
      <c r="J4169" s="221"/>
      <c r="K4169" s="221"/>
      <c r="L4169" s="221"/>
      <c r="M4169" s="221"/>
    </row>
    <row r="4170" spans="5:13">
      <c r="E4170" s="221"/>
      <c r="F4170" s="221"/>
      <c r="G4170" s="221"/>
      <c r="H4170" s="221"/>
      <c r="I4170" s="221"/>
      <c r="J4170" s="221"/>
      <c r="K4170" s="221"/>
      <c r="L4170" s="221"/>
      <c r="M4170" s="221"/>
    </row>
    <row r="4171" spans="5:13">
      <c r="E4171" s="221"/>
      <c r="F4171" s="221"/>
      <c r="G4171" s="221"/>
      <c r="H4171" s="221"/>
      <c r="I4171" s="221"/>
      <c r="J4171" s="221"/>
      <c r="K4171" s="221"/>
      <c r="L4171" s="221"/>
      <c r="M4171" s="221"/>
    </row>
    <row r="4172" spans="5:13">
      <c r="E4172" s="221"/>
      <c r="F4172" s="221"/>
      <c r="G4172" s="221"/>
      <c r="H4172" s="221"/>
      <c r="I4172" s="221"/>
      <c r="J4172" s="221"/>
      <c r="K4172" s="221"/>
      <c r="L4172" s="221"/>
      <c r="M4172" s="221"/>
    </row>
    <row r="4173" spans="5:13">
      <c r="E4173" s="221"/>
      <c r="F4173" s="221"/>
      <c r="G4173" s="221"/>
      <c r="H4173" s="221"/>
      <c r="I4173" s="221"/>
      <c r="J4173" s="221"/>
      <c r="K4173" s="221"/>
      <c r="L4173" s="221"/>
      <c r="M4173" s="221"/>
    </row>
    <row r="4174" spans="5:13">
      <c r="E4174" s="221"/>
      <c r="F4174" s="221"/>
      <c r="G4174" s="221"/>
      <c r="H4174" s="221"/>
      <c r="I4174" s="221"/>
      <c r="J4174" s="221"/>
      <c r="K4174" s="221"/>
      <c r="L4174" s="221"/>
      <c r="M4174" s="221"/>
    </row>
    <row r="4175" spans="5:13">
      <c r="E4175" s="221"/>
      <c r="F4175" s="221"/>
      <c r="G4175" s="221"/>
      <c r="H4175" s="221"/>
      <c r="I4175" s="221"/>
      <c r="J4175" s="221"/>
      <c r="K4175" s="221"/>
      <c r="L4175" s="221"/>
      <c r="M4175" s="221"/>
    </row>
    <row r="4176" spans="5:13">
      <c r="E4176" s="221"/>
      <c r="F4176" s="221"/>
      <c r="G4176" s="221"/>
      <c r="H4176" s="221"/>
      <c r="I4176" s="221"/>
      <c r="J4176" s="221"/>
      <c r="K4176" s="221"/>
      <c r="L4176" s="221"/>
      <c r="M4176" s="221"/>
    </row>
    <row r="4177" spans="5:13">
      <c r="E4177" s="221"/>
      <c r="F4177" s="221"/>
      <c r="G4177" s="221"/>
      <c r="H4177" s="221"/>
      <c r="I4177" s="221"/>
      <c r="J4177" s="221"/>
      <c r="K4177" s="221"/>
      <c r="L4177" s="221"/>
      <c r="M4177" s="221"/>
    </row>
    <row r="4178" spans="5:13">
      <c r="E4178" s="221"/>
      <c r="F4178" s="221"/>
      <c r="G4178" s="221"/>
      <c r="H4178" s="221"/>
      <c r="I4178" s="221"/>
      <c r="J4178" s="221"/>
      <c r="K4178" s="221"/>
      <c r="L4178" s="221"/>
      <c r="M4178" s="221"/>
    </row>
    <row r="4179" spans="5:13">
      <c r="E4179" s="221"/>
      <c r="F4179" s="221"/>
      <c r="G4179" s="221"/>
      <c r="H4179" s="221"/>
      <c r="I4179" s="221"/>
      <c r="J4179" s="221"/>
      <c r="K4179" s="221"/>
      <c r="L4179" s="221"/>
      <c r="M4179" s="221"/>
    </row>
    <row r="4180" spans="5:13">
      <c r="E4180" s="221"/>
      <c r="F4180" s="221"/>
      <c r="G4180" s="221"/>
      <c r="H4180" s="221"/>
      <c r="I4180" s="221"/>
      <c r="J4180" s="221"/>
      <c r="K4180" s="221"/>
      <c r="L4180" s="221"/>
      <c r="M4180" s="221"/>
    </row>
    <row r="4181" spans="5:13">
      <c r="E4181" s="221"/>
      <c r="F4181" s="221"/>
      <c r="G4181" s="221"/>
      <c r="H4181" s="221"/>
      <c r="I4181" s="221"/>
      <c r="J4181" s="221"/>
      <c r="K4181" s="221"/>
      <c r="L4181" s="221"/>
      <c r="M4181" s="221"/>
    </row>
    <row r="4182" spans="5:13">
      <c r="E4182" s="221"/>
      <c r="F4182" s="221"/>
      <c r="G4182" s="221"/>
      <c r="H4182" s="221"/>
      <c r="I4182" s="221"/>
      <c r="J4182" s="221"/>
      <c r="K4182" s="221"/>
      <c r="L4182" s="221"/>
      <c r="M4182" s="221"/>
    </row>
    <row r="4183" spans="5:13">
      <c r="E4183" s="221"/>
      <c r="F4183" s="221"/>
      <c r="G4183" s="221"/>
      <c r="H4183" s="221"/>
      <c r="I4183" s="221"/>
      <c r="J4183" s="221"/>
      <c r="K4183" s="221"/>
      <c r="L4183" s="221"/>
      <c r="M4183" s="221"/>
    </row>
    <row r="4184" spans="5:13">
      <c r="E4184" s="221"/>
      <c r="F4184" s="221"/>
      <c r="G4184" s="221"/>
      <c r="H4184" s="221"/>
      <c r="I4184" s="221"/>
      <c r="J4184" s="221"/>
      <c r="K4184" s="221"/>
      <c r="L4184" s="221"/>
      <c r="M4184" s="221"/>
    </row>
    <row r="4185" spans="5:13">
      <c r="E4185" s="221"/>
      <c r="F4185" s="221"/>
      <c r="G4185" s="221"/>
      <c r="H4185" s="221"/>
      <c r="I4185" s="221"/>
      <c r="J4185" s="221"/>
      <c r="K4185" s="221"/>
      <c r="L4185" s="221"/>
      <c r="M4185" s="221"/>
    </row>
    <row r="4186" spans="5:13">
      <c r="E4186" s="221"/>
      <c r="F4186" s="221"/>
      <c r="G4186" s="221"/>
      <c r="H4186" s="221"/>
      <c r="I4186" s="221"/>
      <c r="J4186" s="221"/>
      <c r="K4186" s="221"/>
      <c r="L4186" s="221"/>
      <c r="M4186" s="221"/>
    </row>
    <row r="4187" spans="5:13">
      <c r="E4187" s="221"/>
      <c r="F4187" s="221"/>
      <c r="G4187" s="221"/>
      <c r="H4187" s="221"/>
      <c r="I4187" s="221"/>
      <c r="J4187" s="221"/>
      <c r="K4187" s="221"/>
      <c r="L4187" s="221"/>
      <c r="M4187" s="221"/>
    </row>
    <row r="4188" spans="5:13">
      <c r="E4188" s="221"/>
      <c r="F4188" s="221"/>
      <c r="G4188" s="221"/>
      <c r="H4188" s="221"/>
      <c r="I4188" s="221"/>
      <c r="J4188" s="221"/>
      <c r="K4188" s="221"/>
      <c r="L4188" s="221"/>
      <c r="M4188" s="221"/>
    </row>
    <row r="4189" spans="5:13">
      <c r="E4189" s="221"/>
      <c r="F4189" s="221"/>
      <c r="G4189" s="221"/>
      <c r="H4189" s="221"/>
      <c r="I4189" s="221"/>
      <c r="J4189" s="221"/>
      <c r="K4189" s="221"/>
      <c r="L4189" s="221"/>
      <c r="M4189" s="221"/>
    </row>
    <row r="4190" spans="5:13">
      <c r="E4190" s="221"/>
      <c r="F4190" s="221"/>
      <c r="G4190" s="221"/>
      <c r="H4190" s="221"/>
      <c r="I4190" s="221"/>
      <c r="J4190" s="221"/>
      <c r="K4190" s="221"/>
      <c r="L4190" s="221"/>
      <c r="M4190" s="221"/>
    </row>
    <row r="4191" spans="5:13">
      <c r="E4191" s="221"/>
      <c r="F4191" s="221"/>
      <c r="G4191" s="221"/>
      <c r="H4191" s="221"/>
      <c r="I4191" s="221"/>
      <c r="J4191" s="221"/>
      <c r="K4191" s="221"/>
      <c r="L4191" s="221"/>
      <c r="M4191" s="221"/>
    </row>
    <row r="4192" spans="5:13">
      <c r="E4192" s="221"/>
      <c r="F4192" s="221"/>
      <c r="G4192" s="221"/>
      <c r="H4192" s="221"/>
      <c r="I4192" s="221"/>
      <c r="J4192" s="221"/>
      <c r="K4192" s="221"/>
      <c r="L4192" s="221"/>
      <c r="M4192" s="221"/>
    </row>
    <row r="4193" spans="5:13">
      <c r="E4193" s="221"/>
      <c r="F4193" s="221"/>
      <c r="G4193" s="221"/>
      <c r="H4193" s="221"/>
      <c r="I4193" s="221"/>
      <c r="J4193" s="221"/>
      <c r="K4193" s="221"/>
      <c r="L4193" s="221"/>
      <c r="M4193" s="221"/>
    </row>
    <row r="4194" spans="5:13">
      <c r="E4194" s="221"/>
      <c r="F4194" s="221"/>
      <c r="G4194" s="221"/>
      <c r="H4194" s="221"/>
      <c r="I4194" s="221"/>
      <c r="J4194" s="221"/>
      <c r="K4194" s="221"/>
      <c r="L4194" s="221"/>
      <c r="M4194" s="221"/>
    </row>
    <row r="4195" spans="5:13">
      <c r="E4195" s="221"/>
      <c r="F4195" s="221"/>
      <c r="G4195" s="221"/>
      <c r="H4195" s="221"/>
      <c r="I4195" s="221"/>
      <c r="J4195" s="221"/>
      <c r="K4195" s="221"/>
      <c r="L4195" s="221"/>
      <c r="M4195" s="221"/>
    </row>
    <row r="4196" spans="5:13">
      <c r="E4196" s="221"/>
      <c r="F4196" s="221"/>
      <c r="G4196" s="221"/>
      <c r="H4196" s="221"/>
      <c r="I4196" s="221"/>
      <c r="J4196" s="221"/>
      <c r="K4196" s="221"/>
      <c r="L4196" s="221"/>
      <c r="M4196" s="221"/>
    </row>
    <row r="4197" spans="5:13">
      <c r="E4197" s="221"/>
      <c r="F4197" s="221"/>
      <c r="G4197" s="221"/>
      <c r="H4197" s="221"/>
      <c r="I4197" s="221"/>
      <c r="J4197" s="221"/>
      <c r="K4197" s="221"/>
      <c r="L4197" s="221"/>
      <c r="M4197" s="221"/>
    </row>
    <row r="4198" spans="5:13">
      <c r="E4198" s="221"/>
      <c r="F4198" s="221"/>
      <c r="G4198" s="221"/>
      <c r="H4198" s="221"/>
      <c r="I4198" s="221"/>
      <c r="J4198" s="221"/>
      <c r="K4198" s="221"/>
      <c r="L4198" s="221"/>
      <c r="M4198" s="221"/>
    </row>
    <row r="4199" spans="5:13">
      <c r="E4199" s="221"/>
      <c r="F4199" s="221"/>
      <c r="G4199" s="221"/>
      <c r="H4199" s="221"/>
      <c r="I4199" s="221"/>
      <c r="J4199" s="221"/>
      <c r="K4199" s="221"/>
      <c r="L4199" s="221"/>
      <c r="M4199" s="221"/>
    </row>
    <row r="4200" spans="5:13">
      <c r="E4200" s="221"/>
      <c r="F4200" s="221"/>
      <c r="G4200" s="221"/>
      <c r="H4200" s="221"/>
      <c r="I4200" s="221"/>
      <c r="J4200" s="221"/>
      <c r="K4200" s="221"/>
      <c r="L4200" s="221"/>
      <c r="M4200" s="221"/>
    </row>
    <row r="4201" spans="5:13">
      <c r="E4201" s="221"/>
      <c r="F4201" s="221"/>
      <c r="G4201" s="221"/>
      <c r="H4201" s="221"/>
      <c r="I4201" s="221"/>
      <c r="J4201" s="221"/>
      <c r="K4201" s="221"/>
      <c r="L4201" s="221"/>
      <c r="M4201" s="221"/>
    </row>
    <row r="4202" spans="5:13">
      <c r="E4202" s="221"/>
      <c r="F4202" s="221"/>
      <c r="G4202" s="221"/>
      <c r="H4202" s="221"/>
      <c r="I4202" s="221"/>
      <c r="J4202" s="221"/>
      <c r="K4202" s="221"/>
      <c r="L4202" s="221"/>
      <c r="M4202" s="221"/>
    </row>
    <row r="4203" spans="5:13">
      <c r="E4203" s="221"/>
      <c r="F4203" s="221"/>
      <c r="G4203" s="221"/>
      <c r="H4203" s="221"/>
      <c r="I4203" s="221"/>
      <c r="J4203" s="221"/>
      <c r="K4203" s="221"/>
      <c r="L4203" s="221"/>
      <c r="M4203" s="221"/>
    </row>
    <row r="4204" spans="5:13">
      <c r="E4204" s="221"/>
      <c r="F4204" s="221"/>
      <c r="G4204" s="221"/>
      <c r="H4204" s="221"/>
      <c r="I4204" s="221"/>
      <c r="J4204" s="221"/>
      <c r="K4204" s="221"/>
      <c r="L4204" s="221"/>
      <c r="M4204" s="221"/>
    </row>
    <row r="4205" spans="5:13">
      <c r="E4205" s="221"/>
      <c r="F4205" s="221"/>
      <c r="G4205" s="221"/>
      <c r="H4205" s="221"/>
      <c r="I4205" s="221"/>
      <c r="J4205" s="221"/>
      <c r="K4205" s="221"/>
      <c r="L4205" s="221"/>
      <c r="M4205" s="221"/>
    </row>
    <row r="4206" spans="5:13">
      <c r="E4206" s="221"/>
      <c r="F4206" s="221"/>
      <c r="G4206" s="221"/>
      <c r="H4206" s="221"/>
      <c r="I4206" s="221"/>
      <c r="J4206" s="221"/>
      <c r="K4206" s="221"/>
      <c r="L4206" s="221"/>
      <c r="M4206" s="221"/>
    </row>
    <row r="4207" spans="5:13">
      <c r="E4207" s="221"/>
      <c r="F4207" s="221"/>
      <c r="G4207" s="221"/>
      <c r="H4207" s="221"/>
      <c r="I4207" s="221"/>
      <c r="J4207" s="221"/>
      <c r="K4207" s="221"/>
      <c r="L4207" s="221"/>
      <c r="M4207" s="221"/>
    </row>
    <row r="4208" spans="5:13">
      <c r="E4208" s="221"/>
      <c r="F4208" s="221"/>
      <c r="G4208" s="221"/>
      <c r="H4208" s="221"/>
      <c r="I4208" s="221"/>
      <c r="J4208" s="221"/>
      <c r="K4208" s="221"/>
      <c r="L4208" s="221"/>
      <c r="M4208" s="221"/>
    </row>
    <row r="4209" spans="5:13">
      <c r="E4209" s="221"/>
      <c r="F4209" s="221"/>
      <c r="G4209" s="221"/>
      <c r="H4209" s="221"/>
      <c r="I4209" s="221"/>
      <c r="J4209" s="221"/>
      <c r="K4209" s="221"/>
      <c r="L4209" s="221"/>
      <c r="M4209" s="221"/>
    </row>
    <row r="4210" spans="5:13">
      <c r="E4210" s="221"/>
      <c r="F4210" s="221"/>
      <c r="G4210" s="221"/>
      <c r="H4210" s="221"/>
      <c r="I4210" s="221"/>
      <c r="J4210" s="221"/>
      <c r="K4210" s="221"/>
      <c r="L4210" s="221"/>
      <c r="M4210" s="221"/>
    </row>
    <row r="4211" spans="5:13">
      <c r="E4211" s="221"/>
      <c r="F4211" s="221"/>
      <c r="G4211" s="221"/>
      <c r="H4211" s="221"/>
      <c r="I4211" s="221"/>
      <c r="J4211" s="221"/>
      <c r="K4211" s="221"/>
      <c r="L4211" s="221"/>
      <c r="M4211" s="221"/>
    </row>
    <row r="4212" spans="5:13">
      <c r="E4212" s="221"/>
      <c r="F4212" s="221"/>
      <c r="G4212" s="221"/>
      <c r="H4212" s="221"/>
      <c r="I4212" s="221"/>
      <c r="J4212" s="221"/>
      <c r="K4212" s="221"/>
      <c r="L4212" s="221"/>
      <c r="M4212" s="221"/>
    </row>
    <row r="4213" spans="5:13">
      <c r="E4213" s="221"/>
      <c r="F4213" s="221"/>
      <c r="G4213" s="221"/>
      <c r="H4213" s="221"/>
      <c r="I4213" s="221"/>
      <c r="J4213" s="221"/>
      <c r="K4213" s="221"/>
      <c r="L4213" s="221"/>
      <c r="M4213" s="221"/>
    </row>
    <row r="4214" spans="5:13">
      <c r="E4214" s="221"/>
      <c r="F4214" s="221"/>
      <c r="G4214" s="221"/>
      <c r="H4214" s="221"/>
      <c r="I4214" s="221"/>
      <c r="J4214" s="221"/>
      <c r="K4214" s="221"/>
      <c r="L4214" s="221"/>
      <c r="M4214" s="221"/>
    </row>
    <row r="4215" spans="5:13">
      <c r="E4215" s="221"/>
      <c r="F4215" s="221"/>
      <c r="G4215" s="221"/>
      <c r="H4215" s="221"/>
      <c r="I4215" s="221"/>
      <c r="J4215" s="221"/>
      <c r="K4215" s="221"/>
      <c r="L4215" s="221"/>
      <c r="M4215" s="221"/>
    </row>
    <row r="4216" spans="5:13">
      <c r="E4216" s="221"/>
      <c r="F4216" s="221"/>
      <c r="G4216" s="221"/>
      <c r="H4216" s="221"/>
      <c r="I4216" s="221"/>
      <c r="J4216" s="221"/>
      <c r="K4216" s="221"/>
      <c r="L4216" s="221"/>
      <c r="M4216" s="221"/>
    </row>
    <row r="4217" spans="5:13">
      <c r="E4217" s="221"/>
      <c r="F4217" s="221"/>
      <c r="G4217" s="221"/>
      <c r="H4217" s="221"/>
      <c r="I4217" s="221"/>
      <c r="J4217" s="221"/>
      <c r="K4217" s="221"/>
      <c r="L4217" s="221"/>
      <c r="M4217" s="221"/>
    </row>
    <row r="4218" spans="5:13">
      <c r="E4218" s="221"/>
      <c r="F4218" s="221"/>
      <c r="G4218" s="221"/>
      <c r="H4218" s="221"/>
      <c r="I4218" s="221"/>
      <c r="J4218" s="221"/>
      <c r="K4218" s="221"/>
      <c r="L4218" s="221"/>
      <c r="M4218" s="221"/>
    </row>
    <row r="4219" spans="5:13">
      <c r="E4219" s="221"/>
      <c r="F4219" s="221"/>
      <c r="G4219" s="221"/>
      <c r="H4219" s="221"/>
      <c r="I4219" s="221"/>
      <c r="J4219" s="221"/>
      <c r="K4219" s="221"/>
      <c r="L4219" s="221"/>
      <c r="M4219" s="221"/>
    </row>
    <row r="4220" spans="5:13">
      <c r="E4220" s="221"/>
      <c r="F4220" s="221"/>
      <c r="G4220" s="221"/>
      <c r="H4220" s="221"/>
      <c r="I4220" s="221"/>
      <c r="J4220" s="221"/>
      <c r="K4220" s="221"/>
      <c r="L4220" s="221"/>
      <c r="M4220" s="221"/>
    </row>
    <row r="4221" spans="5:13">
      <c r="E4221" s="221"/>
      <c r="F4221" s="221"/>
      <c r="G4221" s="221"/>
      <c r="H4221" s="221"/>
      <c r="I4221" s="221"/>
      <c r="J4221" s="221"/>
      <c r="K4221" s="221"/>
      <c r="L4221" s="221"/>
      <c r="M4221" s="221"/>
    </row>
    <row r="4222" spans="5:13">
      <c r="E4222" s="221"/>
      <c r="F4222" s="221"/>
      <c r="G4222" s="221"/>
      <c r="H4222" s="221"/>
      <c r="I4222" s="221"/>
      <c r="J4222" s="221"/>
      <c r="K4222" s="221"/>
      <c r="L4222" s="221"/>
      <c r="M4222" s="221"/>
    </row>
    <row r="4223" spans="5:13">
      <c r="E4223" s="221"/>
      <c r="F4223" s="221"/>
      <c r="G4223" s="221"/>
      <c r="H4223" s="221"/>
      <c r="I4223" s="221"/>
      <c r="J4223" s="221"/>
      <c r="K4223" s="221"/>
      <c r="L4223" s="221"/>
      <c r="M4223" s="221"/>
    </row>
    <row r="4224" spans="5:13">
      <c r="E4224" s="221"/>
      <c r="F4224" s="221"/>
      <c r="G4224" s="221"/>
      <c r="H4224" s="221"/>
      <c r="I4224" s="221"/>
      <c r="J4224" s="221"/>
      <c r="K4224" s="221"/>
      <c r="L4224" s="221"/>
      <c r="M4224" s="221"/>
    </row>
    <row r="4225" spans="5:13">
      <c r="E4225" s="221"/>
      <c r="F4225" s="221"/>
      <c r="G4225" s="221"/>
      <c r="H4225" s="221"/>
      <c r="I4225" s="221"/>
      <c r="J4225" s="221"/>
      <c r="K4225" s="221"/>
      <c r="L4225" s="221"/>
      <c r="M4225" s="221"/>
    </row>
    <row r="4226" spans="5:13">
      <c r="E4226" s="221"/>
      <c r="F4226" s="221"/>
      <c r="G4226" s="221"/>
      <c r="H4226" s="221"/>
      <c r="I4226" s="221"/>
      <c r="J4226" s="221"/>
      <c r="K4226" s="221"/>
      <c r="L4226" s="221"/>
      <c r="M4226" s="221"/>
    </row>
    <row r="4227" spans="5:13">
      <c r="E4227" s="221"/>
      <c r="F4227" s="221"/>
      <c r="G4227" s="221"/>
      <c r="H4227" s="221"/>
      <c r="I4227" s="221"/>
      <c r="J4227" s="221"/>
      <c r="K4227" s="221"/>
      <c r="L4227" s="221"/>
      <c r="M4227" s="221"/>
    </row>
    <row r="4228" spans="5:13">
      <c r="E4228" s="221"/>
      <c r="F4228" s="221"/>
      <c r="G4228" s="221"/>
      <c r="H4228" s="221"/>
      <c r="I4228" s="221"/>
      <c r="J4228" s="221"/>
      <c r="K4228" s="221"/>
      <c r="L4228" s="221"/>
      <c r="M4228" s="221"/>
    </row>
    <row r="4229" spans="5:13">
      <c r="E4229" s="221"/>
      <c r="F4229" s="221"/>
      <c r="G4229" s="221"/>
      <c r="H4229" s="221"/>
      <c r="I4229" s="221"/>
      <c r="J4229" s="221"/>
      <c r="K4229" s="221"/>
      <c r="L4229" s="221"/>
      <c r="M4229" s="221"/>
    </row>
    <row r="4230" spans="5:13">
      <c r="E4230" s="221"/>
      <c r="F4230" s="221"/>
      <c r="G4230" s="221"/>
      <c r="H4230" s="221"/>
      <c r="I4230" s="221"/>
      <c r="J4230" s="221"/>
      <c r="K4230" s="221"/>
      <c r="L4230" s="221"/>
      <c r="M4230" s="221"/>
    </row>
    <row r="4231" spans="5:13">
      <c r="E4231" s="221"/>
      <c r="F4231" s="221"/>
      <c r="G4231" s="221"/>
      <c r="H4231" s="221"/>
      <c r="I4231" s="221"/>
      <c r="J4231" s="221"/>
      <c r="K4231" s="221"/>
      <c r="L4231" s="221"/>
      <c r="M4231" s="221"/>
    </row>
    <row r="4232" spans="5:13">
      <c r="E4232" s="221"/>
      <c r="F4232" s="221"/>
      <c r="G4232" s="221"/>
      <c r="H4232" s="221"/>
      <c r="I4232" s="221"/>
      <c r="J4232" s="221"/>
      <c r="K4232" s="221"/>
      <c r="L4232" s="221"/>
      <c r="M4232" s="221"/>
    </row>
    <row r="4233" spans="5:13">
      <c r="E4233" s="221"/>
      <c r="F4233" s="221"/>
      <c r="G4233" s="221"/>
      <c r="H4233" s="221"/>
      <c r="I4233" s="221"/>
      <c r="J4233" s="221"/>
      <c r="K4233" s="221"/>
      <c r="L4233" s="221"/>
      <c r="M4233" s="221"/>
    </row>
    <row r="4234" spans="5:13">
      <c r="E4234" s="221"/>
      <c r="F4234" s="221"/>
      <c r="G4234" s="221"/>
      <c r="H4234" s="221"/>
      <c r="I4234" s="221"/>
      <c r="J4234" s="221"/>
      <c r="K4234" s="221"/>
      <c r="L4234" s="221"/>
      <c r="M4234" s="221"/>
    </row>
    <row r="4235" spans="5:13">
      <c r="E4235" s="221"/>
      <c r="F4235" s="221"/>
      <c r="G4235" s="221"/>
      <c r="H4235" s="221"/>
      <c r="I4235" s="221"/>
      <c r="J4235" s="221"/>
      <c r="K4235" s="221"/>
      <c r="L4235" s="221"/>
      <c r="M4235" s="221"/>
    </row>
    <row r="4236" spans="5:13">
      <c r="E4236" s="221"/>
      <c r="F4236" s="221"/>
      <c r="G4236" s="221"/>
      <c r="H4236" s="221"/>
      <c r="I4236" s="221"/>
      <c r="J4236" s="221"/>
      <c r="K4236" s="221"/>
      <c r="L4236" s="221"/>
      <c r="M4236" s="221"/>
    </row>
    <row r="4237" spans="5:13">
      <c r="E4237" s="221"/>
      <c r="F4237" s="221"/>
      <c r="G4237" s="221"/>
      <c r="H4237" s="221"/>
      <c r="I4237" s="221"/>
      <c r="J4237" s="221"/>
      <c r="K4237" s="221"/>
      <c r="L4237" s="221"/>
      <c r="M4237" s="221"/>
    </row>
    <row r="4238" spans="5:13">
      <c r="E4238" s="221"/>
      <c r="F4238" s="221"/>
      <c r="G4238" s="221"/>
      <c r="H4238" s="221"/>
      <c r="I4238" s="221"/>
      <c r="J4238" s="221"/>
      <c r="K4238" s="221"/>
      <c r="L4238" s="221"/>
      <c r="M4238" s="221"/>
    </row>
    <row r="4239" spans="5:13">
      <c r="E4239" s="221"/>
      <c r="F4239" s="221"/>
      <c r="G4239" s="221"/>
      <c r="H4239" s="221"/>
      <c r="I4239" s="221"/>
      <c r="J4239" s="221"/>
      <c r="K4239" s="221"/>
      <c r="L4239" s="221"/>
      <c r="M4239" s="221"/>
    </row>
    <row r="4240" spans="5:13">
      <c r="E4240" s="221"/>
      <c r="F4240" s="221"/>
      <c r="G4240" s="221"/>
      <c r="H4240" s="221"/>
      <c r="I4240" s="221"/>
      <c r="J4240" s="221"/>
      <c r="K4240" s="221"/>
      <c r="L4240" s="221"/>
      <c r="M4240" s="221"/>
    </row>
    <row r="4241" spans="5:13">
      <c r="E4241" s="221"/>
      <c r="F4241" s="221"/>
      <c r="G4241" s="221"/>
      <c r="H4241" s="221"/>
      <c r="I4241" s="221"/>
      <c r="J4241" s="221"/>
      <c r="K4241" s="221"/>
      <c r="L4241" s="221"/>
      <c r="M4241" s="221"/>
    </row>
    <row r="4242" spans="5:13">
      <c r="E4242" s="221"/>
      <c r="F4242" s="221"/>
      <c r="G4242" s="221"/>
      <c r="H4242" s="221"/>
      <c r="I4242" s="221"/>
      <c r="J4242" s="221"/>
      <c r="K4242" s="221"/>
      <c r="L4242" s="221"/>
      <c r="M4242" s="221"/>
    </row>
    <row r="4243" spans="5:13">
      <c r="E4243" s="221"/>
      <c r="F4243" s="221"/>
      <c r="G4243" s="221"/>
      <c r="H4243" s="221"/>
      <c r="I4243" s="221"/>
      <c r="J4243" s="221"/>
      <c r="K4243" s="221"/>
      <c r="L4243" s="221"/>
      <c r="M4243" s="221"/>
    </row>
    <row r="4244" spans="5:13">
      <c r="E4244" s="221"/>
      <c r="F4244" s="221"/>
      <c r="G4244" s="221"/>
      <c r="H4244" s="221"/>
      <c r="I4244" s="221"/>
      <c r="J4244" s="221"/>
      <c r="K4244" s="221"/>
      <c r="L4244" s="221"/>
      <c r="M4244" s="221"/>
    </row>
    <row r="4245" spans="5:13">
      <c r="E4245" s="221"/>
      <c r="F4245" s="221"/>
      <c r="G4245" s="221"/>
      <c r="H4245" s="221"/>
      <c r="I4245" s="221"/>
      <c r="J4245" s="221"/>
      <c r="K4245" s="221"/>
      <c r="L4245" s="221"/>
      <c r="M4245" s="221"/>
    </row>
    <row r="4246" spans="5:13">
      <c r="E4246" s="221"/>
      <c r="F4246" s="221"/>
      <c r="G4246" s="221"/>
      <c r="H4246" s="221"/>
      <c r="I4246" s="221"/>
      <c r="J4246" s="221"/>
      <c r="K4246" s="221"/>
      <c r="L4246" s="221"/>
      <c r="M4246" s="221"/>
    </row>
    <row r="4247" spans="5:13">
      <c r="E4247" s="221"/>
      <c r="F4247" s="221"/>
      <c r="G4247" s="221"/>
      <c r="H4247" s="221"/>
      <c r="I4247" s="221"/>
      <c r="J4247" s="221"/>
      <c r="K4247" s="221"/>
      <c r="L4247" s="221"/>
      <c r="M4247" s="221"/>
    </row>
    <row r="4248" spans="5:13">
      <c r="E4248" s="221"/>
      <c r="F4248" s="221"/>
      <c r="G4248" s="221"/>
      <c r="H4248" s="221"/>
      <c r="I4248" s="221"/>
      <c r="J4248" s="221"/>
      <c r="K4248" s="221"/>
      <c r="L4248" s="221"/>
      <c r="M4248" s="221"/>
    </row>
    <row r="4249" spans="5:13">
      <c r="E4249" s="221"/>
      <c r="F4249" s="221"/>
      <c r="G4249" s="221"/>
      <c r="H4249" s="221"/>
      <c r="I4249" s="221"/>
      <c r="J4249" s="221"/>
      <c r="K4249" s="221"/>
      <c r="L4249" s="221"/>
      <c r="M4249" s="221"/>
    </row>
    <row r="4250" spans="5:13">
      <c r="E4250" s="221"/>
      <c r="F4250" s="221"/>
      <c r="G4250" s="221"/>
      <c r="H4250" s="221"/>
      <c r="I4250" s="221"/>
      <c r="J4250" s="221"/>
      <c r="K4250" s="221"/>
      <c r="L4250" s="221"/>
      <c r="M4250" s="221"/>
    </row>
    <row r="4251" spans="5:13">
      <c r="E4251" s="221"/>
      <c r="F4251" s="221"/>
      <c r="G4251" s="221"/>
      <c r="H4251" s="221"/>
      <c r="I4251" s="221"/>
      <c r="J4251" s="221"/>
      <c r="K4251" s="221"/>
      <c r="L4251" s="221"/>
      <c r="M4251" s="221"/>
    </row>
    <row r="4252" spans="5:13">
      <c r="E4252" s="221"/>
      <c r="F4252" s="221"/>
      <c r="G4252" s="221"/>
      <c r="H4252" s="221"/>
      <c r="I4252" s="221"/>
      <c r="J4252" s="221"/>
      <c r="K4252" s="221"/>
      <c r="L4252" s="221"/>
      <c r="M4252" s="221"/>
    </row>
    <row r="4253" spans="5:13">
      <c r="E4253" s="221"/>
      <c r="F4253" s="221"/>
      <c r="G4253" s="221"/>
      <c r="H4253" s="221"/>
      <c r="I4253" s="221"/>
      <c r="J4253" s="221"/>
      <c r="K4253" s="221"/>
      <c r="L4253" s="221"/>
      <c r="M4253" s="221"/>
    </row>
    <row r="4254" spans="5:13">
      <c r="E4254" s="221"/>
      <c r="F4254" s="221"/>
      <c r="G4254" s="221"/>
      <c r="H4254" s="221"/>
      <c r="I4254" s="221"/>
      <c r="J4254" s="221"/>
      <c r="K4254" s="221"/>
      <c r="L4254" s="221"/>
      <c r="M4254" s="221"/>
    </row>
    <row r="4255" spans="5:13">
      <c r="E4255" s="221"/>
      <c r="F4255" s="221"/>
      <c r="G4255" s="221"/>
      <c r="H4255" s="221"/>
      <c r="I4255" s="221"/>
      <c r="J4255" s="221"/>
      <c r="K4255" s="221"/>
      <c r="L4255" s="221"/>
      <c r="M4255" s="221"/>
    </row>
    <row r="4256" spans="5:13">
      <c r="E4256" s="221"/>
      <c r="F4256" s="221"/>
      <c r="G4256" s="221"/>
      <c r="H4256" s="221"/>
      <c r="I4256" s="221"/>
      <c r="J4256" s="221"/>
      <c r="K4256" s="221"/>
      <c r="L4256" s="221"/>
      <c r="M4256" s="221"/>
    </row>
    <row r="4257" spans="5:13">
      <c r="E4257" s="221"/>
      <c r="F4257" s="221"/>
      <c r="G4257" s="221"/>
      <c r="H4257" s="221"/>
      <c r="I4257" s="221"/>
      <c r="J4257" s="221"/>
      <c r="K4257" s="221"/>
      <c r="L4257" s="221"/>
      <c r="M4257" s="221"/>
    </row>
    <row r="4258" spans="5:13">
      <c r="E4258" s="221"/>
      <c r="F4258" s="221"/>
      <c r="G4258" s="221"/>
      <c r="H4258" s="221"/>
      <c r="I4258" s="221"/>
      <c r="J4258" s="221"/>
      <c r="K4258" s="221"/>
      <c r="L4258" s="221"/>
      <c r="M4258" s="221"/>
    </row>
    <row r="4259" spans="5:13">
      <c r="E4259" s="221"/>
      <c r="F4259" s="221"/>
      <c r="G4259" s="221"/>
      <c r="H4259" s="221"/>
      <c r="I4259" s="221"/>
      <c r="J4259" s="221"/>
      <c r="K4259" s="221"/>
      <c r="L4259" s="221"/>
      <c r="M4259" s="221"/>
    </row>
    <row r="4260" spans="5:13">
      <c r="E4260" s="221"/>
      <c r="F4260" s="221"/>
      <c r="G4260" s="221"/>
      <c r="H4260" s="221"/>
      <c r="I4260" s="221"/>
      <c r="J4260" s="221"/>
      <c r="K4260" s="221"/>
      <c r="L4260" s="221"/>
      <c r="M4260" s="221"/>
    </row>
    <row r="4261" spans="5:13">
      <c r="E4261" s="221"/>
      <c r="F4261" s="221"/>
      <c r="G4261" s="221"/>
      <c r="H4261" s="221"/>
      <c r="I4261" s="221"/>
      <c r="J4261" s="221"/>
      <c r="K4261" s="221"/>
      <c r="L4261" s="221"/>
      <c r="M4261" s="221"/>
    </row>
    <row r="4262" spans="5:13">
      <c r="E4262" s="221"/>
      <c r="F4262" s="221"/>
      <c r="G4262" s="221"/>
      <c r="H4262" s="221"/>
      <c r="I4262" s="221"/>
      <c r="J4262" s="221"/>
      <c r="K4262" s="221"/>
      <c r="L4262" s="221"/>
      <c r="M4262" s="221"/>
    </row>
    <row r="4263" spans="5:13">
      <c r="E4263" s="221"/>
      <c r="F4263" s="221"/>
      <c r="G4263" s="221"/>
      <c r="H4263" s="221"/>
      <c r="I4263" s="221"/>
      <c r="J4263" s="221"/>
      <c r="K4263" s="221"/>
      <c r="L4263" s="221"/>
      <c r="M4263" s="221"/>
    </row>
    <row r="4264" spans="5:13">
      <c r="E4264" s="221"/>
      <c r="F4264" s="221"/>
      <c r="G4264" s="221"/>
      <c r="H4264" s="221"/>
      <c r="I4264" s="221"/>
      <c r="J4264" s="221"/>
      <c r="K4264" s="221"/>
      <c r="L4264" s="221"/>
      <c r="M4264" s="221"/>
    </row>
    <row r="4265" spans="5:13">
      <c r="E4265" s="221"/>
      <c r="F4265" s="221"/>
      <c r="G4265" s="221"/>
      <c r="H4265" s="221"/>
      <c r="I4265" s="221"/>
      <c r="J4265" s="221"/>
      <c r="K4265" s="221"/>
      <c r="L4265" s="221"/>
      <c r="M4265" s="221"/>
    </row>
    <row r="4266" spans="5:13">
      <c r="E4266" s="221"/>
      <c r="F4266" s="221"/>
      <c r="G4266" s="221"/>
      <c r="H4266" s="221"/>
      <c r="I4266" s="221"/>
      <c r="J4266" s="221"/>
      <c r="K4266" s="221"/>
      <c r="L4266" s="221"/>
      <c r="M4266" s="221"/>
    </row>
    <row r="4267" spans="5:13">
      <c r="E4267" s="221"/>
      <c r="F4267" s="221"/>
      <c r="G4267" s="221"/>
      <c r="H4267" s="221"/>
      <c r="I4267" s="221"/>
      <c r="J4267" s="221"/>
      <c r="K4267" s="221"/>
      <c r="L4267" s="221"/>
      <c r="M4267" s="221"/>
    </row>
    <row r="4268" spans="5:13">
      <c r="E4268" s="221"/>
      <c r="F4268" s="221"/>
      <c r="G4268" s="221"/>
      <c r="H4268" s="221"/>
      <c r="I4268" s="221"/>
      <c r="J4268" s="221"/>
      <c r="K4268" s="221"/>
      <c r="L4268" s="221"/>
      <c r="M4268" s="221"/>
    </row>
    <row r="4269" spans="5:13">
      <c r="E4269" s="221"/>
      <c r="F4269" s="221"/>
      <c r="G4269" s="221"/>
      <c r="H4269" s="221"/>
      <c r="I4269" s="221"/>
      <c r="J4269" s="221"/>
      <c r="K4269" s="221"/>
      <c r="L4269" s="221"/>
      <c r="M4269" s="221"/>
    </row>
    <row r="4270" spans="5:13">
      <c r="E4270" s="221"/>
      <c r="F4270" s="221"/>
      <c r="G4270" s="221"/>
      <c r="H4270" s="221"/>
      <c r="I4270" s="221"/>
      <c r="J4270" s="221"/>
      <c r="K4270" s="221"/>
      <c r="L4270" s="221"/>
      <c r="M4270" s="221"/>
    </row>
    <row r="4271" spans="5:13">
      <c r="E4271" s="221"/>
      <c r="F4271" s="221"/>
      <c r="G4271" s="221"/>
      <c r="H4271" s="221"/>
      <c r="I4271" s="221"/>
      <c r="J4271" s="221"/>
      <c r="K4271" s="221"/>
      <c r="L4271" s="221"/>
      <c r="M4271" s="221"/>
    </row>
    <row r="4272" spans="5:13">
      <c r="E4272" s="221"/>
      <c r="F4272" s="221"/>
      <c r="G4272" s="221"/>
      <c r="H4272" s="221"/>
      <c r="I4272" s="221"/>
      <c r="J4272" s="221"/>
      <c r="K4272" s="221"/>
      <c r="L4272" s="221"/>
      <c r="M4272" s="221"/>
    </row>
    <row r="4273" spans="5:13">
      <c r="E4273" s="221"/>
      <c r="F4273" s="221"/>
      <c r="G4273" s="221"/>
      <c r="H4273" s="221"/>
      <c r="I4273" s="221"/>
      <c r="J4273" s="221"/>
      <c r="K4273" s="221"/>
      <c r="L4273" s="221"/>
      <c r="M4273" s="221"/>
    </row>
    <row r="4274" spans="5:13">
      <c r="E4274" s="221"/>
      <c r="F4274" s="221"/>
      <c r="G4274" s="221"/>
      <c r="H4274" s="221"/>
      <c r="I4274" s="221"/>
      <c r="J4274" s="221"/>
      <c r="K4274" s="221"/>
      <c r="L4274" s="221"/>
      <c r="M4274" s="221"/>
    </row>
    <row r="4275" spans="5:13">
      <c r="E4275" s="221"/>
      <c r="F4275" s="221"/>
      <c r="G4275" s="221"/>
      <c r="H4275" s="221"/>
      <c r="I4275" s="221"/>
      <c r="J4275" s="221"/>
      <c r="K4275" s="221"/>
      <c r="L4275" s="221"/>
      <c r="M4275" s="221"/>
    </row>
    <row r="4276" spans="5:13">
      <c r="E4276" s="221"/>
      <c r="F4276" s="221"/>
      <c r="G4276" s="221"/>
      <c r="H4276" s="221"/>
      <c r="I4276" s="221"/>
      <c r="J4276" s="221"/>
      <c r="K4276" s="221"/>
      <c r="L4276" s="221"/>
      <c r="M4276" s="221"/>
    </row>
    <row r="4277" spans="5:13">
      <c r="E4277" s="221"/>
      <c r="F4277" s="221"/>
      <c r="G4277" s="221"/>
      <c r="H4277" s="221"/>
      <c r="I4277" s="221"/>
      <c r="J4277" s="221"/>
      <c r="K4277" s="221"/>
      <c r="L4277" s="221"/>
      <c r="M4277" s="221"/>
    </row>
    <row r="4278" spans="5:13">
      <c r="E4278" s="221"/>
      <c r="F4278" s="221"/>
      <c r="G4278" s="221"/>
      <c r="H4278" s="221"/>
      <c r="I4278" s="221"/>
      <c r="J4278" s="221"/>
      <c r="K4278" s="221"/>
      <c r="L4278" s="221"/>
      <c r="M4278" s="221"/>
    </row>
    <row r="4279" spans="5:13">
      <c r="E4279" s="221"/>
      <c r="F4279" s="221"/>
      <c r="G4279" s="221"/>
      <c r="H4279" s="221"/>
      <c r="I4279" s="221"/>
      <c r="J4279" s="221"/>
      <c r="K4279" s="221"/>
      <c r="L4279" s="221"/>
      <c r="M4279" s="221"/>
    </row>
    <row r="4280" spans="5:13">
      <c r="E4280" s="221"/>
      <c r="F4280" s="221"/>
      <c r="G4280" s="221"/>
      <c r="H4280" s="221"/>
      <c r="I4280" s="221"/>
      <c r="J4280" s="221"/>
      <c r="K4280" s="221"/>
      <c r="L4280" s="221"/>
      <c r="M4280" s="221"/>
    </row>
    <row r="4281" spans="5:13">
      <c r="E4281" s="221"/>
      <c r="F4281" s="221"/>
      <c r="G4281" s="221"/>
      <c r="H4281" s="221"/>
      <c r="I4281" s="221"/>
      <c r="J4281" s="221"/>
      <c r="K4281" s="221"/>
      <c r="L4281" s="221"/>
      <c r="M4281" s="221"/>
    </row>
    <row r="4282" spans="5:13">
      <c r="E4282" s="221"/>
      <c r="F4282" s="221"/>
      <c r="G4282" s="221"/>
      <c r="H4282" s="221"/>
      <c r="I4282" s="221"/>
      <c r="J4282" s="221"/>
      <c r="K4282" s="221"/>
      <c r="L4282" s="221"/>
      <c r="M4282" s="221"/>
    </row>
    <row r="4283" spans="5:13">
      <c r="E4283" s="221"/>
      <c r="F4283" s="221"/>
      <c r="G4283" s="221"/>
      <c r="H4283" s="221"/>
      <c r="I4283" s="221"/>
      <c r="J4283" s="221"/>
      <c r="K4283" s="221"/>
      <c r="L4283" s="221"/>
      <c r="M4283" s="221"/>
    </row>
    <row r="4284" spans="5:13">
      <c r="E4284" s="221"/>
      <c r="F4284" s="221"/>
      <c r="G4284" s="221"/>
      <c r="H4284" s="221"/>
      <c r="I4284" s="221"/>
      <c r="J4284" s="221"/>
      <c r="K4284" s="221"/>
      <c r="L4284" s="221"/>
      <c r="M4284" s="221"/>
    </row>
    <row r="4285" spans="5:13">
      <c r="E4285" s="221"/>
      <c r="F4285" s="221"/>
      <c r="G4285" s="221"/>
      <c r="H4285" s="221"/>
      <c r="I4285" s="221"/>
      <c r="J4285" s="221"/>
      <c r="K4285" s="221"/>
      <c r="L4285" s="221"/>
      <c r="M4285" s="221"/>
    </row>
    <row r="4286" spans="5:13">
      <c r="E4286" s="221"/>
      <c r="F4286" s="221"/>
      <c r="G4286" s="221"/>
      <c r="H4286" s="221"/>
      <c r="I4286" s="221"/>
      <c r="J4286" s="221"/>
      <c r="K4286" s="221"/>
      <c r="L4286" s="221"/>
      <c r="M4286" s="221"/>
    </row>
    <row r="4287" spans="5:13">
      <c r="E4287" s="221"/>
      <c r="F4287" s="221"/>
      <c r="G4287" s="221"/>
      <c r="H4287" s="221"/>
      <c r="I4287" s="221"/>
      <c r="J4287" s="221"/>
      <c r="K4287" s="221"/>
      <c r="L4287" s="221"/>
      <c r="M4287" s="221"/>
    </row>
    <row r="4288" spans="5:13">
      <c r="E4288" s="221"/>
      <c r="F4288" s="221"/>
      <c r="G4288" s="221"/>
      <c r="H4288" s="221"/>
      <c r="I4288" s="221"/>
      <c r="J4288" s="221"/>
      <c r="K4288" s="221"/>
      <c r="L4288" s="221"/>
      <c r="M4288" s="221"/>
    </row>
    <row r="4289" spans="5:13">
      <c r="E4289" s="221"/>
      <c r="F4289" s="221"/>
      <c r="G4289" s="221"/>
      <c r="H4289" s="221"/>
      <c r="I4289" s="221"/>
      <c r="J4289" s="221"/>
      <c r="K4289" s="221"/>
      <c r="L4289" s="221"/>
      <c r="M4289" s="221"/>
    </row>
    <row r="4290" spans="5:13">
      <c r="E4290" s="221"/>
      <c r="F4290" s="221"/>
      <c r="G4290" s="221"/>
      <c r="H4290" s="221"/>
      <c r="I4290" s="221"/>
      <c r="J4290" s="221"/>
      <c r="K4290" s="221"/>
      <c r="L4290" s="221"/>
      <c r="M4290" s="221"/>
    </row>
    <row r="4291" spans="5:13">
      <c r="E4291" s="221"/>
      <c r="F4291" s="221"/>
      <c r="G4291" s="221"/>
      <c r="H4291" s="221"/>
      <c r="I4291" s="221"/>
      <c r="J4291" s="221"/>
      <c r="K4291" s="221"/>
      <c r="L4291" s="221"/>
      <c r="M4291" s="221"/>
    </row>
    <row r="4292" spans="5:13">
      <c r="E4292" s="221"/>
      <c r="F4292" s="221"/>
      <c r="G4292" s="221"/>
      <c r="H4292" s="221"/>
      <c r="I4292" s="221"/>
      <c r="J4292" s="221"/>
      <c r="K4292" s="221"/>
      <c r="L4292" s="221"/>
      <c r="M4292" s="221"/>
    </row>
    <row r="4293" spans="5:13">
      <c r="E4293" s="221"/>
      <c r="F4293" s="221"/>
      <c r="G4293" s="221"/>
      <c r="H4293" s="221"/>
      <c r="I4293" s="221"/>
      <c r="J4293" s="221"/>
      <c r="K4293" s="221"/>
      <c r="L4293" s="221"/>
      <c r="M4293" s="221"/>
    </row>
    <row r="4294" spans="5:13">
      <c r="E4294" s="221"/>
      <c r="F4294" s="221"/>
      <c r="G4294" s="221"/>
      <c r="H4294" s="221"/>
      <c r="I4294" s="221"/>
      <c r="J4294" s="221"/>
      <c r="K4294" s="221"/>
      <c r="L4294" s="221"/>
      <c r="M4294" s="221"/>
    </row>
    <row r="4295" spans="5:13">
      <c r="E4295" s="221"/>
      <c r="F4295" s="221"/>
      <c r="G4295" s="221"/>
      <c r="H4295" s="221"/>
      <c r="I4295" s="221"/>
      <c r="J4295" s="221"/>
      <c r="K4295" s="221"/>
      <c r="L4295" s="221"/>
      <c r="M4295" s="221"/>
    </row>
    <row r="4296" spans="5:13">
      <c r="E4296" s="221"/>
      <c r="F4296" s="221"/>
      <c r="G4296" s="221"/>
      <c r="H4296" s="221"/>
      <c r="I4296" s="221"/>
      <c r="J4296" s="221"/>
      <c r="K4296" s="221"/>
      <c r="L4296" s="221"/>
      <c r="M4296" s="221"/>
    </row>
    <row r="4297" spans="5:13">
      <c r="E4297" s="221"/>
      <c r="F4297" s="221"/>
      <c r="G4297" s="221"/>
      <c r="H4297" s="221"/>
      <c r="I4297" s="221"/>
      <c r="J4297" s="221"/>
      <c r="K4297" s="221"/>
      <c r="L4297" s="221"/>
      <c r="M4297" s="221"/>
    </row>
    <row r="4298" spans="5:13">
      <c r="E4298" s="221"/>
      <c r="F4298" s="221"/>
      <c r="G4298" s="221"/>
      <c r="H4298" s="221"/>
      <c r="I4298" s="221"/>
      <c r="J4298" s="221"/>
      <c r="K4298" s="221"/>
      <c r="L4298" s="221"/>
      <c r="M4298" s="221"/>
    </row>
    <row r="4299" spans="5:13">
      <c r="E4299" s="221"/>
      <c r="F4299" s="221"/>
      <c r="G4299" s="221"/>
      <c r="H4299" s="221"/>
      <c r="I4299" s="221"/>
      <c r="J4299" s="221"/>
      <c r="K4299" s="221"/>
      <c r="L4299" s="221"/>
      <c r="M4299" s="221"/>
    </row>
    <row r="4300" spans="5:13">
      <c r="E4300" s="221"/>
      <c r="F4300" s="221"/>
      <c r="G4300" s="221"/>
      <c r="H4300" s="221"/>
      <c r="I4300" s="221"/>
      <c r="J4300" s="221"/>
      <c r="K4300" s="221"/>
      <c r="L4300" s="221"/>
      <c r="M4300" s="221"/>
    </row>
    <row r="4301" spans="5:13">
      <c r="E4301" s="221"/>
      <c r="F4301" s="221"/>
      <c r="G4301" s="221"/>
      <c r="H4301" s="221"/>
      <c r="I4301" s="221"/>
      <c r="J4301" s="221"/>
      <c r="K4301" s="221"/>
      <c r="L4301" s="221"/>
      <c r="M4301" s="221"/>
    </row>
    <row r="4302" spans="5:13">
      <c r="E4302" s="221"/>
      <c r="F4302" s="221"/>
      <c r="G4302" s="221"/>
      <c r="H4302" s="221"/>
      <c r="I4302" s="221"/>
      <c r="J4302" s="221"/>
      <c r="K4302" s="221"/>
      <c r="L4302" s="221"/>
      <c r="M4302" s="221"/>
    </row>
    <row r="4303" spans="5:13">
      <c r="E4303" s="221"/>
      <c r="F4303" s="221"/>
      <c r="G4303" s="221"/>
      <c r="H4303" s="221"/>
      <c r="I4303" s="221"/>
      <c r="J4303" s="221"/>
      <c r="K4303" s="221"/>
      <c r="L4303" s="221"/>
      <c r="M4303" s="221"/>
    </row>
    <row r="4304" spans="5:13">
      <c r="E4304" s="221"/>
      <c r="F4304" s="221"/>
      <c r="G4304" s="221"/>
      <c r="H4304" s="221"/>
      <c r="I4304" s="221"/>
      <c r="J4304" s="221"/>
      <c r="K4304" s="221"/>
      <c r="L4304" s="221"/>
      <c r="M4304" s="221"/>
    </row>
    <row r="4305" spans="5:13">
      <c r="E4305" s="221"/>
      <c r="F4305" s="221"/>
      <c r="G4305" s="221"/>
      <c r="H4305" s="221"/>
      <c r="I4305" s="221"/>
      <c r="J4305" s="221"/>
      <c r="K4305" s="221"/>
      <c r="L4305" s="221"/>
      <c r="M4305" s="221"/>
    </row>
    <row r="4306" spans="5:13">
      <c r="E4306" s="221"/>
      <c r="F4306" s="221"/>
      <c r="G4306" s="221"/>
      <c r="H4306" s="221"/>
      <c r="I4306" s="221"/>
      <c r="J4306" s="221"/>
      <c r="K4306" s="221"/>
      <c r="L4306" s="221"/>
      <c r="M4306" s="221"/>
    </row>
    <row r="4307" spans="5:13">
      <c r="E4307" s="221"/>
      <c r="F4307" s="221"/>
      <c r="G4307" s="221"/>
      <c r="H4307" s="221"/>
      <c r="I4307" s="221"/>
      <c r="J4307" s="221"/>
      <c r="K4307" s="221"/>
      <c r="L4307" s="221"/>
      <c r="M4307" s="221"/>
    </row>
    <row r="4308" spans="5:13">
      <c r="E4308" s="221"/>
      <c r="F4308" s="221"/>
      <c r="G4308" s="221"/>
      <c r="H4308" s="221"/>
      <c r="I4308" s="221"/>
      <c r="J4308" s="221"/>
      <c r="K4308" s="221"/>
      <c r="L4308" s="221"/>
      <c r="M4308" s="221"/>
    </row>
    <row r="4309" spans="5:13">
      <c r="E4309" s="221"/>
      <c r="F4309" s="221"/>
      <c r="G4309" s="221"/>
      <c r="H4309" s="221"/>
      <c r="I4309" s="221"/>
      <c r="J4309" s="221"/>
      <c r="K4309" s="221"/>
      <c r="L4309" s="221"/>
      <c r="M4309" s="221"/>
    </row>
    <row r="4310" spans="5:13">
      <c r="E4310" s="221"/>
      <c r="F4310" s="221"/>
      <c r="G4310" s="221"/>
      <c r="H4310" s="221"/>
      <c r="I4310" s="221"/>
      <c r="J4310" s="221"/>
      <c r="K4310" s="221"/>
      <c r="L4310" s="221"/>
      <c r="M4310" s="221"/>
    </row>
    <row r="4311" spans="5:13">
      <c r="E4311" s="221"/>
      <c r="F4311" s="221"/>
      <c r="G4311" s="221"/>
      <c r="H4311" s="221"/>
      <c r="I4311" s="221"/>
      <c r="J4311" s="221"/>
      <c r="K4311" s="221"/>
      <c r="L4311" s="221"/>
      <c r="M4311" s="221"/>
    </row>
    <row r="4312" spans="5:13">
      <c r="E4312" s="221"/>
      <c r="F4312" s="221"/>
      <c r="G4312" s="221"/>
      <c r="H4312" s="221"/>
      <c r="I4312" s="221"/>
      <c r="J4312" s="221"/>
      <c r="K4312" s="221"/>
      <c r="L4312" s="221"/>
      <c r="M4312" s="221"/>
    </row>
    <row r="4313" spans="5:13">
      <c r="E4313" s="221"/>
      <c r="F4313" s="221"/>
      <c r="G4313" s="221"/>
      <c r="H4313" s="221"/>
      <c r="I4313" s="221"/>
      <c r="J4313" s="221"/>
      <c r="K4313" s="221"/>
      <c r="L4313" s="221"/>
      <c r="M4313" s="221"/>
    </row>
    <row r="4314" spans="5:13">
      <c r="E4314" s="221"/>
      <c r="F4314" s="221"/>
      <c r="G4314" s="221"/>
      <c r="H4314" s="221"/>
      <c r="I4314" s="221"/>
      <c r="J4314" s="221"/>
      <c r="K4314" s="221"/>
      <c r="L4314" s="221"/>
      <c r="M4314" s="221"/>
    </row>
    <row r="4315" spans="5:13">
      <c r="E4315" s="221"/>
      <c r="F4315" s="221"/>
      <c r="G4315" s="221"/>
      <c r="H4315" s="221"/>
      <c r="I4315" s="221"/>
      <c r="J4315" s="221"/>
      <c r="K4315" s="221"/>
      <c r="L4315" s="221"/>
      <c r="M4315" s="221"/>
    </row>
    <row r="4316" spans="5:13">
      <c r="E4316" s="221"/>
      <c r="F4316" s="221"/>
      <c r="G4316" s="221"/>
      <c r="H4316" s="221"/>
      <c r="I4316" s="221"/>
      <c r="J4316" s="221"/>
      <c r="K4316" s="221"/>
      <c r="L4316" s="221"/>
      <c r="M4316" s="221"/>
    </row>
    <row r="4317" spans="5:13">
      <c r="E4317" s="221"/>
      <c r="F4317" s="221"/>
      <c r="G4317" s="221"/>
      <c r="H4317" s="221"/>
      <c r="I4317" s="221"/>
      <c r="J4317" s="221"/>
      <c r="K4317" s="221"/>
      <c r="L4317" s="221"/>
      <c r="M4317" s="221"/>
    </row>
    <row r="4318" spans="5:13">
      <c r="E4318" s="221"/>
      <c r="F4318" s="221"/>
      <c r="G4318" s="221"/>
      <c r="H4318" s="221"/>
      <c r="I4318" s="221"/>
      <c r="J4318" s="221"/>
      <c r="K4318" s="221"/>
      <c r="L4318" s="221"/>
      <c r="M4318" s="221"/>
    </row>
    <row r="4319" spans="5:13">
      <c r="E4319" s="221"/>
      <c r="F4319" s="221"/>
      <c r="G4319" s="221"/>
      <c r="H4319" s="221"/>
      <c r="I4319" s="221"/>
      <c r="J4319" s="221"/>
      <c r="K4319" s="221"/>
      <c r="L4319" s="221"/>
      <c r="M4319" s="221"/>
    </row>
    <row r="4320" spans="5:13">
      <c r="E4320" s="221"/>
      <c r="F4320" s="221"/>
      <c r="G4320" s="221"/>
      <c r="H4320" s="221"/>
      <c r="I4320" s="221"/>
      <c r="J4320" s="221"/>
      <c r="K4320" s="221"/>
      <c r="L4320" s="221"/>
      <c r="M4320" s="221"/>
    </row>
    <row r="4321" spans="5:13">
      <c r="E4321" s="221"/>
      <c r="F4321" s="221"/>
      <c r="G4321" s="221"/>
      <c r="H4321" s="221"/>
      <c r="I4321" s="221"/>
      <c r="J4321" s="221"/>
      <c r="K4321" s="221"/>
      <c r="L4321" s="221"/>
      <c r="M4321" s="221"/>
    </row>
    <row r="4322" spans="5:13">
      <c r="E4322" s="221"/>
      <c r="F4322" s="221"/>
      <c r="G4322" s="221"/>
      <c r="H4322" s="221"/>
      <c r="I4322" s="221"/>
      <c r="J4322" s="221"/>
      <c r="K4322" s="221"/>
      <c r="L4322" s="221"/>
      <c r="M4322" s="221"/>
    </row>
    <row r="4323" spans="5:13">
      <c r="E4323" s="221"/>
      <c r="F4323" s="221"/>
      <c r="G4323" s="221"/>
      <c r="H4323" s="221"/>
      <c r="I4323" s="221"/>
      <c r="J4323" s="221"/>
      <c r="K4323" s="221"/>
      <c r="L4323" s="221"/>
      <c r="M4323" s="221"/>
    </row>
    <row r="4324" spans="5:13">
      <c r="E4324" s="221"/>
      <c r="F4324" s="221"/>
      <c r="G4324" s="221"/>
      <c r="H4324" s="221"/>
      <c r="I4324" s="221"/>
      <c r="J4324" s="221"/>
      <c r="K4324" s="221"/>
      <c r="L4324" s="221"/>
      <c r="M4324" s="221"/>
    </row>
    <row r="4325" spans="5:13">
      <c r="E4325" s="221"/>
      <c r="F4325" s="221"/>
      <c r="G4325" s="221"/>
      <c r="H4325" s="221"/>
      <c r="I4325" s="221"/>
      <c r="J4325" s="221"/>
      <c r="K4325" s="221"/>
      <c r="L4325" s="221"/>
      <c r="M4325" s="221"/>
    </row>
    <row r="4326" spans="5:13">
      <c r="E4326" s="221"/>
      <c r="F4326" s="221"/>
      <c r="G4326" s="221"/>
      <c r="H4326" s="221"/>
      <c r="I4326" s="221"/>
      <c r="J4326" s="221"/>
      <c r="K4326" s="221"/>
      <c r="L4326" s="221"/>
      <c r="M4326" s="221"/>
    </row>
    <row r="4327" spans="5:13">
      <c r="E4327" s="221"/>
      <c r="F4327" s="221"/>
      <c r="G4327" s="221"/>
      <c r="H4327" s="221"/>
      <c r="I4327" s="221"/>
      <c r="J4327" s="221"/>
      <c r="K4327" s="221"/>
      <c r="L4327" s="221"/>
      <c r="M4327" s="221"/>
    </row>
    <row r="4328" spans="5:13">
      <c r="E4328" s="221"/>
      <c r="F4328" s="221"/>
      <c r="G4328" s="221"/>
      <c r="H4328" s="221"/>
      <c r="I4328" s="221"/>
      <c r="J4328" s="221"/>
      <c r="K4328" s="221"/>
      <c r="L4328" s="221"/>
      <c r="M4328" s="221"/>
    </row>
    <row r="4329" spans="5:13">
      <c r="E4329" s="221"/>
      <c r="F4329" s="221"/>
      <c r="G4329" s="221"/>
      <c r="H4329" s="221"/>
      <c r="I4329" s="221"/>
      <c r="J4329" s="221"/>
      <c r="K4329" s="221"/>
      <c r="L4329" s="221"/>
      <c r="M4329" s="221"/>
    </row>
    <row r="4330" spans="5:13">
      <c r="E4330" s="221"/>
      <c r="F4330" s="221"/>
      <c r="G4330" s="221"/>
      <c r="H4330" s="221"/>
      <c r="I4330" s="221"/>
      <c r="J4330" s="221"/>
      <c r="K4330" s="221"/>
      <c r="L4330" s="221"/>
      <c r="M4330" s="221"/>
    </row>
    <row r="4331" spans="5:13">
      <c r="E4331" s="221"/>
      <c r="F4331" s="221"/>
      <c r="G4331" s="221"/>
      <c r="H4331" s="221"/>
      <c r="I4331" s="221"/>
      <c r="J4331" s="221"/>
      <c r="K4331" s="221"/>
      <c r="L4331" s="221"/>
      <c r="M4331" s="221"/>
    </row>
    <row r="4332" spans="5:13">
      <c r="E4332" s="221"/>
      <c r="F4332" s="221"/>
      <c r="G4332" s="221"/>
      <c r="H4332" s="221"/>
      <c r="I4332" s="221"/>
      <c r="J4332" s="221"/>
      <c r="K4332" s="221"/>
      <c r="L4332" s="221"/>
      <c r="M4332" s="221"/>
    </row>
    <row r="4333" spans="5:13">
      <c r="E4333" s="221"/>
      <c r="F4333" s="221"/>
      <c r="G4333" s="221"/>
      <c r="H4333" s="221"/>
      <c r="I4333" s="221"/>
      <c r="J4333" s="221"/>
      <c r="K4333" s="221"/>
      <c r="L4333" s="221"/>
      <c r="M4333" s="221"/>
    </row>
    <row r="4334" spans="5:13">
      <c r="E4334" s="221"/>
      <c r="F4334" s="221"/>
      <c r="G4334" s="221"/>
      <c r="H4334" s="221"/>
      <c r="I4334" s="221"/>
      <c r="J4334" s="221"/>
      <c r="K4334" s="221"/>
      <c r="L4334" s="221"/>
      <c r="M4334" s="221"/>
    </row>
    <row r="4335" spans="5:13">
      <c r="E4335" s="221"/>
      <c r="F4335" s="221"/>
      <c r="G4335" s="221"/>
      <c r="H4335" s="221"/>
      <c r="I4335" s="221"/>
      <c r="J4335" s="221"/>
      <c r="K4335" s="221"/>
      <c r="L4335" s="221"/>
      <c r="M4335" s="221"/>
    </row>
    <row r="4336" spans="5:13">
      <c r="E4336" s="221"/>
      <c r="F4336" s="221"/>
      <c r="G4336" s="221"/>
      <c r="H4336" s="221"/>
      <c r="I4336" s="221"/>
      <c r="J4336" s="221"/>
      <c r="K4336" s="221"/>
      <c r="L4336" s="221"/>
      <c r="M4336" s="221"/>
    </row>
    <row r="4337" spans="5:13">
      <c r="E4337" s="221"/>
      <c r="F4337" s="221"/>
      <c r="G4337" s="221"/>
      <c r="H4337" s="221"/>
      <c r="I4337" s="221"/>
      <c r="J4337" s="221"/>
      <c r="K4337" s="221"/>
      <c r="L4337" s="221"/>
      <c r="M4337" s="221"/>
    </row>
    <row r="4338" spans="5:13">
      <c r="E4338" s="221"/>
      <c r="F4338" s="221"/>
      <c r="G4338" s="221"/>
      <c r="H4338" s="221"/>
      <c r="I4338" s="221"/>
      <c r="J4338" s="221"/>
      <c r="K4338" s="221"/>
      <c r="L4338" s="221"/>
      <c r="M4338" s="221"/>
    </row>
    <row r="4339" spans="5:13">
      <c r="E4339" s="221"/>
      <c r="F4339" s="221"/>
      <c r="G4339" s="221"/>
      <c r="H4339" s="221"/>
      <c r="I4339" s="221"/>
      <c r="J4339" s="221"/>
      <c r="K4339" s="221"/>
      <c r="L4339" s="221"/>
      <c r="M4339" s="221"/>
    </row>
    <row r="4340" spans="5:13">
      <c r="E4340" s="221"/>
      <c r="F4340" s="221"/>
      <c r="G4340" s="221"/>
      <c r="H4340" s="221"/>
      <c r="I4340" s="221"/>
      <c r="J4340" s="221"/>
      <c r="K4340" s="221"/>
      <c r="L4340" s="221"/>
      <c r="M4340" s="221"/>
    </row>
    <row r="4341" spans="5:13">
      <c r="E4341" s="221"/>
      <c r="F4341" s="221"/>
      <c r="G4341" s="221"/>
      <c r="H4341" s="221"/>
      <c r="I4341" s="221"/>
      <c r="J4341" s="221"/>
      <c r="K4341" s="221"/>
      <c r="L4341" s="221"/>
      <c r="M4341" s="221"/>
    </row>
    <row r="4342" spans="5:13">
      <c r="E4342" s="221"/>
      <c r="F4342" s="221"/>
      <c r="G4342" s="221"/>
      <c r="H4342" s="221"/>
      <c r="I4342" s="221"/>
      <c r="J4342" s="221"/>
      <c r="K4342" s="221"/>
      <c r="L4342" s="221"/>
      <c r="M4342" s="221"/>
    </row>
    <row r="4343" spans="5:13">
      <c r="E4343" s="221"/>
      <c r="F4343" s="221"/>
      <c r="G4343" s="221"/>
      <c r="H4343" s="221"/>
      <c r="I4343" s="221"/>
      <c r="J4343" s="221"/>
      <c r="K4343" s="221"/>
      <c r="L4343" s="221"/>
      <c r="M4343" s="221"/>
    </row>
    <row r="4344" spans="5:13">
      <c r="E4344" s="221"/>
      <c r="F4344" s="221"/>
      <c r="G4344" s="221"/>
      <c r="H4344" s="221"/>
      <c r="I4344" s="221"/>
      <c r="J4344" s="221"/>
      <c r="K4344" s="221"/>
      <c r="L4344" s="221"/>
      <c r="M4344" s="221"/>
    </row>
    <row r="4345" spans="5:13">
      <c r="E4345" s="221"/>
      <c r="F4345" s="221"/>
      <c r="G4345" s="221"/>
      <c r="H4345" s="221"/>
      <c r="I4345" s="221"/>
      <c r="J4345" s="221"/>
      <c r="K4345" s="221"/>
      <c r="L4345" s="221"/>
      <c r="M4345" s="221"/>
    </row>
    <row r="4346" spans="5:13">
      <c r="E4346" s="221"/>
      <c r="F4346" s="221"/>
      <c r="G4346" s="221"/>
      <c r="H4346" s="221"/>
      <c r="I4346" s="221"/>
      <c r="J4346" s="221"/>
      <c r="K4346" s="221"/>
      <c r="L4346" s="221"/>
      <c r="M4346" s="221"/>
    </row>
    <row r="4347" spans="5:13">
      <c r="E4347" s="221"/>
      <c r="F4347" s="221"/>
      <c r="G4347" s="221"/>
      <c r="H4347" s="221"/>
      <c r="I4347" s="221"/>
      <c r="J4347" s="221"/>
      <c r="K4347" s="221"/>
      <c r="L4347" s="221"/>
      <c r="M4347" s="221"/>
    </row>
    <row r="4348" spans="5:13">
      <c r="E4348" s="221"/>
      <c r="F4348" s="221"/>
      <c r="G4348" s="221"/>
      <c r="H4348" s="221"/>
      <c r="I4348" s="221"/>
      <c r="J4348" s="221"/>
      <c r="K4348" s="221"/>
      <c r="L4348" s="221"/>
      <c r="M4348" s="221"/>
    </row>
    <row r="4349" spans="5:13">
      <c r="E4349" s="221"/>
      <c r="F4349" s="221"/>
      <c r="G4349" s="221"/>
      <c r="H4349" s="221"/>
      <c r="I4349" s="221"/>
      <c r="J4349" s="221"/>
      <c r="K4349" s="221"/>
      <c r="L4349" s="221"/>
      <c r="M4349" s="221"/>
    </row>
    <row r="4350" spans="5:13">
      <c r="E4350" s="221"/>
      <c r="F4350" s="221"/>
      <c r="G4350" s="221"/>
      <c r="H4350" s="221"/>
      <c r="I4350" s="221"/>
      <c r="J4350" s="221"/>
      <c r="K4350" s="221"/>
      <c r="L4350" s="221"/>
      <c r="M4350" s="221"/>
    </row>
    <row r="4351" spans="5:13">
      <c r="E4351" s="221"/>
      <c r="F4351" s="221"/>
      <c r="G4351" s="221"/>
      <c r="H4351" s="221"/>
      <c r="I4351" s="221"/>
      <c r="J4351" s="221"/>
      <c r="K4351" s="221"/>
      <c r="L4351" s="221"/>
      <c r="M4351" s="221"/>
    </row>
    <row r="4352" spans="5:13">
      <c r="E4352" s="221"/>
      <c r="F4352" s="221"/>
      <c r="G4352" s="221"/>
      <c r="H4352" s="221"/>
      <c r="I4352" s="221"/>
      <c r="J4352" s="221"/>
      <c r="K4352" s="221"/>
      <c r="L4352" s="221"/>
      <c r="M4352" s="221"/>
    </row>
    <row r="4353" spans="5:13">
      <c r="E4353" s="221"/>
      <c r="F4353" s="221"/>
      <c r="G4353" s="221"/>
      <c r="H4353" s="221"/>
      <c r="I4353" s="221"/>
      <c r="J4353" s="221"/>
      <c r="K4353" s="221"/>
      <c r="L4353" s="221"/>
      <c r="M4353" s="221"/>
    </row>
    <row r="4354" spans="5:13">
      <c r="E4354" s="221"/>
      <c r="F4354" s="221"/>
      <c r="G4354" s="221"/>
      <c r="H4354" s="221"/>
      <c r="I4354" s="221"/>
      <c r="J4354" s="221"/>
      <c r="K4354" s="221"/>
      <c r="L4354" s="221"/>
      <c r="M4354" s="221"/>
    </row>
    <row r="4355" spans="5:13">
      <c r="E4355" s="221"/>
      <c r="F4355" s="221"/>
      <c r="G4355" s="221"/>
      <c r="H4355" s="221"/>
      <c r="I4355" s="221"/>
      <c r="J4355" s="221"/>
      <c r="K4355" s="221"/>
      <c r="L4355" s="221"/>
      <c r="M4355" s="221"/>
    </row>
    <row r="4356" spans="5:13">
      <c r="E4356" s="221"/>
      <c r="F4356" s="221"/>
      <c r="G4356" s="221"/>
      <c r="H4356" s="221"/>
      <c r="I4356" s="221"/>
      <c r="J4356" s="221"/>
      <c r="K4356" s="221"/>
      <c r="L4356" s="221"/>
      <c r="M4356" s="221"/>
    </row>
    <row r="4357" spans="5:13">
      <c r="E4357" s="221"/>
      <c r="F4357" s="221"/>
      <c r="G4357" s="221"/>
      <c r="H4357" s="221"/>
      <c r="I4357" s="221"/>
      <c r="J4357" s="221"/>
      <c r="K4357" s="221"/>
      <c r="L4357" s="221"/>
      <c r="M4357" s="221"/>
    </row>
    <row r="4358" spans="5:13">
      <c r="E4358" s="221"/>
      <c r="F4358" s="221"/>
      <c r="G4358" s="221"/>
      <c r="H4358" s="221"/>
      <c r="I4358" s="221"/>
      <c r="J4358" s="221"/>
      <c r="K4358" s="221"/>
      <c r="L4358" s="221"/>
      <c r="M4358" s="221"/>
    </row>
    <row r="4359" spans="5:13">
      <c r="E4359" s="221"/>
      <c r="F4359" s="221"/>
      <c r="G4359" s="221"/>
      <c r="H4359" s="221"/>
      <c r="I4359" s="221"/>
      <c r="J4359" s="221"/>
      <c r="K4359" s="221"/>
      <c r="L4359" s="221"/>
      <c r="M4359" s="221"/>
    </row>
    <row r="4360" spans="5:13">
      <c r="E4360" s="221"/>
      <c r="F4360" s="221"/>
      <c r="G4360" s="221"/>
      <c r="H4360" s="221"/>
      <c r="I4360" s="221"/>
      <c r="J4360" s="221"/>
      <c r="K4360" s="221"/>
      <c r="L4360" s="221"/>
      <c r="M4360" s="221"/>
    </row>
    <row r="4361" spans="5:13">
      <c r="E4361" s="221"/>
      <c r="F4361" s="221"/>
      <c r="G4361" s="221"/>
      <c r="H4361" s="221"/>
      <c r="I4361" s="221"/>
      <c r="J4361" s="221"/>
      <c r="K4361" s="221"/>
      <c r="L4361" s="221"/>
      <c r="M4361" s="221"/>
    </row>
    <row r="4362" spans="5:13">
      <c r="E4362" s="221"/>
      <c r="F4362" s="221"/>
      <c r="G4362" s="221"/>
      <c r="H4362" s="221"/>
      <c r="I4362" s="221"/>
      <c r="J4362" s="221"/>
      <c r="K4362" s="221"/>
      <c r="L4362" s="221"/>
      <c r="M4362" s="221"/>
    </row>
    <row r="4363" spans="5:13">
      <c r="E4363" s="221"/>
      <c r="F4363" s="221"/>
      <c r="G4363" s="221"/>
      <c r="H4363" s="221"/>
      <c r="I4363" s="221"/>
      <c r="J4363" s="221"/>
      <c r="K4363" s="221"/>
      <c r="L4363" s="221"/>
      <c r="M4363" s="221"/>
    </row>
    <row r="4364" spans="5:13">
      <c r="E4364" s="221"/>
      <c r="F4364" s="221"/>
      <c r="G4364" s="221"/>
      <c r="H4364" s="221"/>
      <c r="I4364" s="221"/>
      <c r="J4364" s="221"/>
      <c r="K4364" s="221"/>
      <c r="L4364" s="221"/>
      <c r="M4364" s="221"/>
    </row>
    <row r="4365" spans="5:13">
      <c r="E4365" s="221"/>
      <c r="F4365" s="221"/>
      <c r="G4365" s="221"/>
      <c r="H4365" s="221"/>
      <c r="I4365" s="221"/>
      <c r="J4365" s="221"/>
      <c r="K4365" s="221"/>
      <c r="L4365" s="221"/>
      <c r="M4365" s="221"/>
    </row>
    <row r="4366" spans="5:13">
      <c r="E4366" s="221"/>
      <c r="F4366" s="221"/>
      <c r="G4366" s="221"/>
      <c r="H4366" s="221"/>
      <c r="I4366" s="221"/>
      <c r="J4366" s="221"/>
      <c r="K4366" s="221"/>
      <c r="L4366" s="221"/>
      <c r="M4366" s="221"/>
    </row>
    <row r="4367" spans="5:13">
      <c r="E4367" s="221"/>
      <c r="F4367" s="221"/>
      <c r="G4367" s="221"/>
      <c r="H4367" s="221"/>
      <c r="I4367" s="221"/>
      <c r="J4367" s="221"/>
      <c r="K4367" s="221"/>
      <c r="L4367" s="221"/>
      <c r="M4367" s="221"/>
    </row>
    <row r="4368" spans="5:13">
      <c r="E4368" s="221"/>
      <c r="F4368" s="221"/>
      <c r="G4368" s="221"/>
      <c r="H4368" s="221"/>
      <c r="I4368" s="221"/>
      <c r="J4368" s="221"/>
      <c r="K4368" s="221"/>
      <c r="L4368" s="221"/>
      <c r="M4368" s="221"/>
    </row>
    <row r="4369" spans="5:13">
      <c r="E4369" s="221"/>
      <c r="F4369" s="221"/>
      <c r="G4369" s="221"/>
      <c r="H4369" s="221"/>
      <c r="I4369" s="221"/>
      <c r="J4369" s="221"/>
      <c r="K4369" s="221"/>
      <c r="L4369" s="221"/>
      <c r="M4369" s="221"/>
    </row>
    <row r="4370" spans="5:13">
      <c r="E4370" s="221"/>
      <c r="F4370" s="221"/>
      <c r="G4370" s="221"/>
      <c r="H4370" s="221"/>
      <c r="I4370" s="221"/>
      <c r="J4370" s="221"/>
      <c r="K4370" s="221"/>
      <c r="L4370" s="221"/>
      <c r="M4370" s="221"/>
    </row>
    <row r="4371" spans="5:13">
      <c r="E4371" s="221"/>
      <c r="F4371" s="221"/>
      <c r="G4371" s="221"/>
      <c r="H4371" s="221"/>
      <c r="I4371" s="221"/>
      <c r="J4371" s="221"/>
      <c r="K4371" s="221"/>
      <c r="L4371" s="221"/>
      <c r="M4371" s="221"/>
    </row>
    <row r="4372" spans="5:13">
      <c r="E4372" s="221"/>
      <c r="F4372" s="221"/>
      <c r="G4372" s="221"/>
      <c r="H4372" s="221"/>
      <c r="I4372" s="221"/>
      <c r="J4372" s="221"/>
      <c r="K4372" s="221"/>
      <c r="L4372" s="221"/>
      <c r="M4372" s="221"/>
    </row>
    <row r="4373" spans="5:13">
      <c r="E4373" s="221"/>
      <c r="F4373" s="221"/>
      <c r="G4373" s="221"/>
      <c r="H4373" s="221"/>
      <c r="I4373" s="221"/>
      <c r="J4373" s="221"/>
      <c r="K4373" s="221"/>
      <c r="L4373" s="221"/>
      <c r="M4373" s="221"/>
    </row>
    <row r="4374" spans="5:13">
      <c r="E4374" s="221"/>
      <c r="F4374" s="221"/>
      <c r="G4374" s="221"/>
      <c r="H4374" s="221"/>
      <c r="I4374" s="221"/>
      <c r="J4374" s="221"/>
      <c r="K4374" s="221"/>
      <c r="L4374" s="221"/>
      <c r="M4374" s="221"/>
    </row>
    <row r="4375" spans="5:13">
      <c r="E4375" s="221"/>
      <c r="F4375" s="221"/>
      <c r="G4375" s="221"/>
      <c r="H4375" s="221"/>
      <c r="I4375" s="221"/>
      <c r="J4375" s="221"/>
      <c r="K4375" s="221"/>
      <c r="L4375" s="221"/>
      <c r="M4375" s="221"/>
    </row>
    <row r="4376" spans="5:13">
      <c r="E4376" s="221"/>
      <c r="F4376" s="221"/>
      <c r="G4376" s="221"/>
      <c r="H4376" s="221"/>
      <c r="I4376" s="221"/>
      <c r="J4376" s="221"/>
      <c r="K4376" s="221"/>
      <c r="L4376" s="221"/>
      <c r="M4376" s="221"/>
    </row>
    <row r="4377" spans="5:13">
      <c r="E4377" s="221"/>
      <c r="F4377" s="221"/>
      <c r="G4377" s="221"/>
      <c r="H4377" s="221"/>
      <c r="I4377" s="221"/>
      <c r="J4377" s="221"/>
      <c r="K4377" s="221"/>
      <c r="L4377" s="221"/>
      <c r="M4377" s="221"/>
    </row>
    <row r="4378" spans="5:13">
      <c r="E4378" s="221"/>
      <c r="F4378" s="221"/>
      <c r="G4378" s="221"/>
      <c r="H4378" s="221"/>
      <c r="I4378" s="221"/>
      <c r="J4378" s="221"/>
      <c r="K4378" s="221"/>
      <c r="L4378" s="221"/>
      <c r="M4378" s="221"/>
    </row>
    <row r="4379" spans="5:13">
      <c r="E4379" s="221"/>
      <c r="F4379" s="221"/>
      <c r="G4379" s="221"/>
      <c r="H4379" s="221"/>
      <c r="I4379" s="221"/>
      <c r="J4379" s="221"/>
      <c r="K4379" s="221"/>
      <c r="L4379" s="221"/>
      <c r="M4379" s="221"/>
    </row>
    <row r="4380" spans="5:13">
      <c r="E4380" s="221"/>
      <c r="F4380" s="221"/>
      <c r="G4380" s="221"/>
      <c r="H4380" s="221"/>
      <c r="I4380" s="221"/>
      <c r="J4380" s="221"/>
      <c r="K4380" s="221"/>
      <c r="L4380" s="221"/>
      <c r="M4380" s="221"/>
    </row>
    <row r="4381" spans="5:13">
      <c r="E4381" s="221"/>
      <c r="F4381" s="221"/>
      <c r="G4381" s="221"/>
      <c r="H4381" s="221"/>
      <c r="I4381" s="221"/>
      <c r="J4381" s="221"/>
      <c r="K4381" s="221"/>
      <c r="L4381" s="221"/>
      <c r="M4381" s="221"/>
    </row>
    <row r="4382" spans="5:13">
      <c r="E4382" s="221"/>
      <c r="F4382" s="221"/>
      <c r="G4382" s="221"/>
      <c r="H4382" s="221"/>
      <c r="I4382" s="221"/>
      <c r="J4382" s="221"/>
      <c r="K4382" s="221"/>
      <c r="L4382" s="221"/>
      <c r="M4382" s="221"/>
    </row>
    <row r="4383" spans="5:13">
      <c r="E4383" s="221"/>
      <c r="F4383" s="221"/>
      <c r="G4383" s="221"/>
      <c r="H4383" s="221"/>
      <c r="I4383" s="221"/>
      <c r="J4383" s="221"/>
      <c r="K4383" s="221"/>
      <c r="L4383" s="221"/>
      <c r="M4383" s="221"/>
    </row>
    <row r="4384" spans="5:13">
      <c r="E4384" s="221"/>
      <c r="F4384" s="221"/>
      <c r="G4384" s="221"/>
      <c r="H4384" s="221"/>
      <c r="I4384" s="221"/>
      <c r="J4384" s="221"/>
      <c r="K4384" s="221"/>
      <c r="L4384" s="221"/>
      <c r="M4384" s="221"/>
    </row>
    <row r="4385" spans="5:13">
      <c r="E4385" s="221"/>
      <c r="F4385" s="221"/>
      <c r="G4385" s="221"/>
      <c r="H4385" s="221"/>
      <c r="I4385" s="221"/>
      <c r="J4385" s="221"/>
      <c r="K4385" s="221"/>
      <c r="L4385" s="221"/>
      <c r="M4385" s="221"/>
    </row>
    <row r="4386" spans="5:13">
      <c r="E4386" s="221"/>
      <c r="F4386" s="221"/>
      <c r="G4386" s="221"/>
      <c r="H4386" s="221"/>
      <c r="I4386" s="221"/>
      <c r="J4386" s="221"/>
      <c r="K4386" s="221"/>
      <c r="L4386" s="221"/>
      <c r="M4386" s="221"/>
    </row>
    <row r="4387" spans="5:13">
      <c r="E4387" s="221"/>
      <c r="F4387" s="221"/>
      <c r="G4387" s="221"/>
      <c r="H4387" s="221"/>
      <c r="I4387" s="221"/>
      <c r="J4387" s="221"/>
      <c r="K4387" s="221"/>
      <c r="L4387" s="221"/>
      <c r="M4387" s="221"/>
    </row>
    <row r="4388" spans="5:13">
      <c r="E4388" s="221"/>
      <c r="F4388" s="221"/>
      <c r="G4388" s="221"/>
      <c r="H4388" s="221"/>
      <c r="I4388" s="221"/>
      <c r="J4388" s="221"/>
      <c r="K4388" s="221"/>
      <c r="L4388" s="221"/>
      <c r="M4388" s="221"/>
    </row>
    <row r="4389" spans="5:13">
      <c r="E4389" s="221"/>
      <c r="F4389" s="221"/>
      <c r="G4389" s="221"/>
      <c r="H4389" s="221"/>
      <c r="I4389" s="221"/>
      <c r="J4389" s="221"/>
      <c r="K4389" s="221"/>
      <c r="L4389" s="221"/>
      <c r="M4389" s="221"/>
    </row>
    <row r="4390" spans="5:13">
      <c r="E4390" s="221"/>
      <c r="F4390" s="221"/>
      <c r="G4390" s="221"/>
      <c r="H4390" s="221"/>
      <c r="I4390" s="221"/>
      <c r="J4390" s="221"/>
      <c r="K4390" s="221"/>
      <c r="L4390" s="221"/>
      <c r="M4390" s="221"/>
    </row>
    <row r="4391" spans="5:13">
      <c r="E4391" s="221"/>
      <c r="F4391" s="221"/>
      <c r="G4391" s="221"/>
      <c r="H4391" s="221"/>
      <c r="I4391" s="221"/>
      <c r="J4391" s="221"/>
      <c r="K4391" s="221"/>
      <c r="L4391" s="221"/>
      <c r="M4391" s="221"/>
    </row>
    <row r="4392" spans="5:13">
      <c r="E4392" s="221"/>
      <c r="F4392" s="221"/>
      <c r="G4392" s="221"/>
      <c r="H4392" s="221"/>
      <c r="I4392" s="221"/>
      <c r="J4392" s="221"/>
      <c r="K4392" s="221"/>
      <c r="L4392" s="221"/>
      <c r="M4392" s="221"/>
    </row>
    <row r="4393" spans="5:13">
      <c r="E4393" s="221"/>
      <c r="F4393" s="221"/>
      <c r="G4393" s="221"/>
      <c r="H4393" s="221"/>
      <c r="I4393" s="221"/>
      <c r="J4393" s="221"/>
      <c r="K4393" s="221"/>
      <c r="L4393" s="221"/>
      <c r="M4393" s="221"/>
    </row>
    <row r="4394" spans="5:13">
      <c r="E4394" s="221"/>
      <c r="F4394" s="221"/>
      <c r="G4394" s="221"/>
      <c r="H4394" s="221"/>
      <c r="I4394" s="221"/>
      <c r="J4394" s="221"/>
      <c r="K4394" s="221"/>
      <c r="L4394" s="221"/>
      <c r="M4394" s="221"/>
    </row>
    <row r="4395" spans="5:13">
      <c r="E4395" s="221"/>
      <c r="F4395" s="221"/>
      <c r="G4395" s="221"/>
      <c r="H4395" s="221"/>
      <c r="I4395" s="221"/>
      <c r="J4395" s="221"/>
      <c r="K4395" s="221"/>
      <c r="L4395" s="221"/>
      <c r="M4395" s="221"/>
    </row>
    <row r="4396" spans="5:13">
      <c r="E4396" s="221"/>
      <c r="F4396" s="221"/>
      <c r="G4396" s="221"/>
      <c r="H4396" s="221"/>
      <c r="I4396" s="221"/>
      <c r="J4396" s="221"/>
      <c r="K4396" s="221"/>
      <c r="L4396" s="221"/>
      <c r="M4396" s="221"/>
    </row>
    <row r="4397" spans="5:13">
      <c r="E4397" s="221"/>
      <c r="F4397" s="221"/>
      <c r="G4397" s="221"/>
      <c r="H4397" s="221"/>
      <c r="I4397" s="221"/>
      <c r="J4397" s="221"/>
      <c r="K4397" s="221"/>
      <c r="L4397" s="221"/>
      <c r="M4397" s="221"/>
    </row>
    <row r="4398" spans="5:13">
      <c r="E4398" s="221"/>
      <c r="F4398" s="221"/>
      <c r="G4398" s="221"/>
      <c r="H4398" s="221"/>
      <c r="I4398" s="221"/>
      <c r="J4398" s="221"/>
      <c r="K4398" s="221"/>
      <c r="L4398" s="221"/>
      <c r="M4398" s="221"/>
    </row>
    <row r="4399" spans="5:13">
      <c r="E4399" s="221"/>
      <c r="F4399" s="221"/>
      <c r="G4399" s="221"/>
      <c r="H4399" s="221"/>
      <c r="I4399" s="221"/>
      <c r="J4399" s="221"/>
      <c r="K4399" s="221"/>
      <c r="L4399" s="221"/>
      <c r="M4399" s="221"/>
    </row>
    <row r="4400" spans="5:13">
      <c r="E4400" s="221"/>
      <c r="F4400" s="221"/>
      <c r="G4400" s="221"/>
      <c r="H4400" s="221"/>
      <c r="I4400" s="221"/>
      <c r="J4400" s="221"/>
      <c r="K4400" s="221"/>
      <c r="L4400" s="221"/>
      <c r="M4400" s="221"/>
    </row>
    <row r="4401" spans="5:13">
      <c r="E4401" s="221"/>
      <c r="F4401" s="221"/>
      <c r="G4401" s="221"/>
      <c r="H4401" s="221"/>
      <c r="I4401" s="221"/>
      <c r="J4401" s="221"/>
      <c r="K4401" s="221"/>
      <c r="L4401" s="221"/>
      <c r="M4401" s="221"/>
    </row>
    <row r="4402" spans="5:13">
      <c r="E4402" s="221"/>
      <c r="F4402" s="221"/>
      <c r="G4402" s="221"/>
      <c r="H4402" s="221"/>
      <c r="I4402" s="221"/>
      <c r="J4402" s="221"/>
      <c r="K4402" s="221"/>
      <c r="L4402" s="221"/>
      <c r="M4402" s="221"/>
    </row>
    <row r="4403" spans="5:13">
      <c r="E4403" s="221"/>
      <c r="F4403" s="221"/>
      <c r="G4403" s="221"/>
      <c r="H4403" s="221"/>
      <c r="I4403" s="221"/>
      <c r="J4403" s="221"/>
      <c r="K4403" s="221"/>
      <c r="L4403" s="221"/>
      <c r="M4403" s="221"/>
    </row>
    <row r="4404" spans="5:13">
      <c r="E4404" s="221"/>
      <c r="F4404" s="221"/>
      <c r="G4404" s="221"/>
      <c r="H4404" s="221"/>
      <c r="I4404" s="221"/>
      <c r="J4404" s="221"/>
      <c r="K4404" s="221"/>
      <c r="L4404" s="221"/>
      <c r="M4404" s="221"/>
    </row>
    <row r="4405" spans="5:13">
      <c r="E4405" s="221"/>
      <c r="F4405" s="221"/>
      <c r="G4405" s="221"/>
      <c r="H4405" s="221"/>
      <c r="I4405" s="221"/>
      <c r="J4405" s="221"/>
      <c r="K4405" s="221"/>
      <c r="L4405" s="221"/>
      <c r="M4405" s="221"/>
    </row>
    <row r="4406" spans="5:13">
      <c r="E4406" s="221"/>
      <c r="F4406" s="221"/>
      <c r="G4406" s="221"/>
      <c r="H4406" s="221"/>
      <c r="I4406" s="221"/>
      <c r="J4406" s="221"/>
      <c r="K4406" s="221"/>
      <c r="L4406" s="221"/>
      <c r="M4406" s="221"/>
    </row>
    <row r="4407" spans="5:13">
      <c r="E4407" s="221"/>
      <c r="F4407" s="221"/>
      <c r="G4407" s="221"/>
      <c r="H4407" s="221"/>
      <c r="I4407" s="221"/>
      <c r="J4407" s="221"/>
      <c r="K4407" s="221"/>
      <c r="L4407" s="221"/>
      <c r="M4407" s="221"/>
    </row>
    <row r="4408" spans="5:13">
      <c r="E4408" s="221"/>
      <c r="F4408" s="221"/>
      <c r="G4408" s="221"/>
      <c r="H4408" s="221"/>
      <c r="I4408" s="221"/>
      <c r="J4408" s="221"/>
      <c r="K4408" s="221"/>
      <c r="L4408" s="221"/>
      <c r="M4408" s="221"/>
    </row>
    <row r="4409" spans="5:13">
      <c r="E4409" s="221"/>
      <c r="F4409" s="221"/>
      <c r="G4409" s="221"/>
      <c r="H4409" s="221"/>
      <c r="I4409" s="221"/>
      <c r="J4409" s="221"/>
      <c r="K4409" s="221"/>
      <c r="L4409" s="221"/>
      <c r="M4409" s="221"/>
    </row>
    <row r="4410" spans="5:13">
      <c r="E4410" s="221"/>
      <c r="F4410" s="221"/>
      <c r="G4410" s="221"/>
      <c r="H4410" s="221"/>
      <c r="I4410" s="221"/>
      <c r="J4410" s="221"/>
      <c r="K4410" s="221"/>
      <c r="L4410" s="221"/>
      <c r="M4410" s="221"/>
    </row>
    <row r="4411" spans="5:13">
      <c r="E4411" s="221"/>
      <c r="F4411" s="221"/>
      <c r="G4411" s="221"/>
      <c r="H4411" s="221"/>
      <c r="I4411" s="221"/>
      <c r="J4411" s="221"/>
      <c r="K4411" s="221"/>
      <c r="L4411" s="221"/>
      <c r="M4411" s="221"/>
    </row>
    <row r="4412" spans="5:13">
      <c r="E4412" s="221"/>
      <c r="F4412" s="221"/>
      <c r="G4412" s="221"/>
      <c r="H4412" s="221"/>
      <c r="I4412" s="221"/>
      <c r="J4412" s="221"/>
      <c r="K4412" s="221"/>
      <c r="L4412" s="221"/>
      <c r="M4412" s="221"/>
    </row>
    <row r="4413" spans="5:13">
      <c r="E4413" s="221"/>
      <c r="F4413" s="221"/>
      <c r="G4413" s="221"/>
      <c r="H4413" s="221"/>
      <c r="I4413" s="221"/>
      <c r="J4413" s="221"/>
      <c r="K4413" s="221"/>
      <c r="L4413" s="221"/>
      <c r="M4413" s="221"/>
    </row>
    <row r="4414" spans="5:13">
      <c r="E4414" s="221"/>
      <c r="F4414" s="221"/>
      <c r="G4414" s="221"/>
      <c r="H4414" s="221"/>
      <c r="I4414" s="221"/>
      <c r="J4414" s="221"/>
      <c r="K4414" s="221"/>
      <c r="L4414" s="221"/>
      <c r="M4414" s="221"/>
    </row>
    <row r="4415" spans="5:13">
      <c r="E4415" s="221"/>
      <c r="F4415" s="221"/>
      <c r="G4415" s="221"/>
      <c r="H4415" s="221"/>
      <c r="I4415" s="221"/>
      <c r="J4415" s="221"/>
      <c r="K4415" s="221"/>
      <c r="L4415" s="221"/>
      <c r="M4415" s="221"/>
    </row>
    <row r="4416" spans="5:13">
      <c r="E4416" s="221"/>
      <c r="F4416" s="221"/>
      <c r="G4416" s="221"/>
      <c r="H4416" s="221"/>
      <c r="I4416" s="221"/>
      <c r="J4416" s="221"/>
      <c r="K4416" s="221"/>
      <c r="L4416" s="221"/>
      <c r="M4416" s="221"/>
    </row>
    <row r="4417" spans="5:13">
      <c r="E4417" s="221"/>
      <c r="F4417" s="221"/>
      <c r="G4417" s="221"/>
      <c r="H4417" s="221"/>
      <c r="I4417" s="221"/>
      <c r="J4417" s="221"/>
      <c r="K4417" s="221"/>
      <c r="L4417" s="221"/>
      <c r="M4417" s="221"/>
    </row>
    <row r="4418" spans="5:13">
      <c r="E4418" s="221"/>
      <c r="F4418" s="221"/>
      <c r="G4418" s="221"/>
      <c r="H4418" s="221"/>
      <c r="I4418" s="221"/>
      <c r="J4418" s="221"/>
      <c r="K4418" s="221"/>
      <c r="L4418" s="221"/>
      <c r="M4418" s="221"/>
    </row>
    <row r="4419" spans="5:13">
      <c r="E4419" s="221"/>
      <c r="F4419" s="221"/>
      <c r="G4419" s="221"/>
      <c r="H4419" s="221"/>
      <c r="I4419" s="221"/>
      <c r="J4419" s="221"/>
      <c r="K4419" s="221"/>
      <c r="L4419" s="221"/>
      <c r="M4419" s="221"/>
    </row>
    <row r="4420" spans="5:13">
      <c r="E4420" s="221"/>
      <c r="F4420" s="221"/>
      <c r="G4420" s="221"/>
      <c r="H4420" s="221"/>
      <c r="I4420" s="221"/>
      <c r="J4420" s="221"/>
      <c r="K4420" s="221"/>
      <c r="L4420" s="221"/>
      <c r="M4420" s="221"/>
    </row>
    <row r="4421" spans="5:13">
      <c r="E4421" s="221"/>
      <c r="F4421" s="221"/>
      <c r="G4421" s="221"/>
      <c r="H4421" s="221"/>
      <c r="I4421" s="221"/>
      <c r="J4421" s="221"/>
      <c r="K4421" s="221"/>
      <c r="L4421" s="221"/>
      <c r="M4421" s="221"/>
    </row>
    <row r="4422" spans="5:13">
      <c r="E4422" s="221"/>
      <c r="F4422" s="221"/>
      <c r="G4422" s="221"/>
      <c r="H4422" s="221"/>
      <c r="I4422" s="221"/>
      <c r="J4422" s="221"/>
      <c r="K4422" s="221"/>
      <c r="L4422" s="221"/>
      <c r="M4422" s="221"/>
    </row>
    <row r="4423" spans="5:13">
      <c r="E4423" s="221"/>
      <c r="F4423" s="221"/>
      <c r="G4423" s="221"/>
      <c r="H4423" s="221"/>
      <c r="I4423" s="221"/>
      <c r="J4423" s="221"/>
      <c r="K4423" s="221"/>
      <c r="L4423" s="221"/>
      <c r="M4423" s="221"/>
    </row>
    <row r="4424" spans="5:13">
      <c r="E4424" s="221"/>
      <c r="F4424" s="221"/>
      <c r="G4424" s="221"/>
      <c r="H4424" s="221"/>
      <c r="I4424" s="221"/>
      <c r="J4424" s="221"/>
      <c r="K4424" s="221"/>
      <c r="L4424" s="221"/>
      <c r="M4424" s="221"/>
    </row>
    <row r="4425" spans="5:13">
      <c r="E4425" s="221"/>
      <c r="F4425" s="221"/>
      <c r="G4425" s="221"/>
      <c r="H4425" s="221"/>
      <c r="I4425" s="221"/>
      <c r="J4425" s="221"/>
      <c r="K4425" s="221"/>
      <c r="L4425" s="221"/>
      <c r="M4425" s="221"/>
    </row>
    <row r="4426" spans="5:13">
      <c r="E4426" s="221"/>
      <c r="F4426" s="221"/>
      <c r="G4426" s="221"/>
      <c r="H4426" s="221"/>
      <c r="I4426" s="221"/>
      <c r="J4426" s="221"/>
      <c r="K4426" s="221"/>
      <c r="L4426" s="221"/>
      <c r="M4426" s="221"/>
    </row>
    <row r="4427" spans="5:13">
      <c r="E4427" s="221"/>
      <c r="F4427" s="221"/>
      <c r="G4427" s="221"/>
      <c r="H4427" s="221"/>
      <c r="I4427" s="221"/>
      <c r="J4427" s="221"/>
      <c r="K4427" s="221"/>
      <c r="L4427" s="221"/>
      <c r="M4427" s="221"/>
    </row>
    <row r="4428" spans="5:13">
      <c r="E4428" s="221"/>
      <c r="F4428" s="221"/>
      <c r="G4428" s="221"/>
      <c r="H4428" s="221"/>
      <c r="I4428" s="221"/>
      <c r="J4428" s="221"/>
      <c r="K4428" s="221"/>
      <c r="L4428" s="221"/>
      <c r="M4428" s="221"/>
    </row>
    <row r="4429" spans="5:13">
      <c r="E4429" s="221"/>
      <c r="F4429" s="221"/>
      <c r="G4429" s="221"/>
      <c r="H4429" s="221"/>
      <c r="I4429" s="221"/>
      <c r="J4429" s="221"/>
      <c r="K4429" s="221"/>
      <c r="L4429" s="221"/>
      <c r="M4429" s="221"/>
    </row>
    <row r="4430" spans="5:13">
      <c r="E4430" s="221"/>
      <c r="F4430" s="221"/>
      <c r="G4430" s="221"/>
      <c r="H4430" s="221"/>
      <c r="I4430" s="221"/>
      <c r="J4430" s="221"/>
      <c r="K4430" s="221"/>
      <c r="L4430" s="221"/>
      <c r="M4430" s="221"/>
    </row>
    <row r="4431" spans="5:13">
      <c r="E4431" s="221"/>
      <c r="F4431" s="221"/>
      <c r="G4431" s="221"/>
      <c r="H4431" s="221"/>
      <c r="I4431" s="221"/>
      <c r="J4431" s="221"/>
      <c r="K4431" s="221"/>
      <c r="L4431" s="221"/>
      <c r="M4431" s="221"/>
    </row>
    <row r="4432" spans="5:13">
      <c r="E4432" s="221"/>
      <c r="F4432" s="221"/>
      <c r="G4432" s="221"/>
      <c r="H4432" s="221"/>
      <c r="I4432" s="221"/>
      <c r="J4432" s="221"/>
      <c r="K4432" s="221"/>
      <c r="L4432" s="221"/>
      <c r="M4432" s="221"/>
    </row>
    <row r="4433" spans="5:13">
      <c r="E4433" s="221"/>
      <c r="F4433" s="221"/>
      <c r="G4433" s="221"/>
      <c r="H4433" s="221"/>
      <c r="I4433" s="221"/>
      <c r="J4433" s="221"/>
      <c r="K4433" s="221"/>
      <c r="L4433" s="221"/>
      <c r="M4433" s="221"/>
    </row>
    <row r="4434" spans="5:13">
      <c r="E4434" s="221"/>
      <c r="F4434" s="221"/>
      <c r="G4434" s="221"/>
      <c r="H4434" s="221"/>
      <c r="I4434" s="221"/>
      <c r="J4434" s="221"/>
      <c r="K4434" s="221"/>
      <c r="L4434" s="221"/>
      <c r="M4434" s="221"/>
    </row>
    <row r="4435" spans="5:13">
      <c r="E4435" s="221"/>
      <c r="F4435" s="221"/>
      <c r="G4435" s="221"/>
      <c r="H4435" s="221"/>
      <c r="I4435" s="221"/>
      <c r="J4435" s="221"/>
      <c r="K4435" s="221"/>
      <c r="L4435" s="221"/>
      <c r="M4435" s="221"/>
    </row>
    <row r="4436" spans="5:13">
      <c r="E4436" s="221"/>
      <c r="F4436" s="221"/>
      <c r="G4436" s="221"/>
      <c r="H4436" s="221"/>
      <c r="I4436" s="221"/>
      <c r="J4436" s="221"/>
      <c r="K4436" s="221"/>
      <c r="L4436" s="221"/>
      <c r="M4436" s="221"/>
    </row>
    <row r="4437" spans="5:13">
      <c r="E4437" s="221"/>
      <c r="F4437" s="221"/>
      <c r="G4437" s="221"/>
      <c r="H4437" s="221"/>
      <c r="I4437" s="221"/>
      <c r="J4437" s="221"/>
      <c r="K4437" s="221"/>
      <c r="L4437" s="221"/>
      <c r="M4437" s="221"/>
    </row>
    <row r="4438" spans="5:13">
      <c r="E4438" s="221"/>
      <c r="F4438" s="221"/>
      <c r="G4438" s="221"/>
      <c r="H4438" s="221"/>
      <c r="I4438" s="221"/>
      <c r="J4438" s="221"/>
      <c r="K4438" s="221"/>
      <c r="L4438" s="221"/>
      <c r="M4438" s="221"/>
    </row>
    <row r="4439" spans="5:13">
      <c r="E4439" s="221"/>
      <c r="F4439" s="221"/>
      <c r="G4439" s="221"/>
      <c r="H4439" s="221"/>
      <c r="I4439" s="221"/>
      <c r="J4439" s="221"/>
      <c r="K4439" s="221"/>
      <c r="L4439" s="221"/>
      <c r="M4439" s="221"/>
    </row>
    <row r="4440" spans="5:13">
      <c r="E4440" s="221"/>
      <c r="F4440" s="221"/>
      <c r="G4440" s="221"/>
      <c r="H4440" s="221"/>
      <c r="I4440" s="221"/>
      <c r="J4440" s="221"/>
      <c r="K4440" s="221"/>
      <c r="L4440" s="221"/>
      <c r="M4440" s="221"/>
    </row>
    <row r="4441" spans="5:13">
      <c r="E4441" s="221"/>
      <c r="F4441" s="221"/>
      <c r="G4441" s="221"/>
      <c r="H4441" s="221"/>
      <c r="I4441" s="221"/>
      <c r="J4441" s="221"/>
      <c r="K4441" s="221"/>
      <c r="L4441" s="221"/>
      <c r="M4441" s="221"/>
    </row>
    <row r="4442" spans="5:13">
      <c r="E4442" s="221"/>
      <c r="F4442" s="221"/>
      <c r="G4442" s="221"/>
      <c r="H4442" s="221"/>
      <c r="I4442" s="221"/>
      <c r="J4442" s="221"/>
      <c r="K4442" s="221"/>
      <c r="L4442" s="221"/>
      <c r="M4442" s="221"/>
    </row>
    <row r="4443" spans="5:13">
      <c r="E4443" s="221"/>
      <c r="F4443" s="221"/>
      <c r="G4443" s="221"/>
      <c r="H4443" s="221"/>
      <c r="I4443" s="221"/>
      <c r="J4443" s="221"/>
      <c r="K4443" s="221"/>
      <c r="L4443" s="221"/>
      <c r="M4443" s="221"/>
    </row>
    <row r="4444" spans="5:13">
      <c r="E4444" s="221"/>
      <c r="F4444" s="221"/>
      <c r="G4444" s="221"/>
      <c r="H4444" s="221"/>
      <c r="I4444" s="221"/>
      <c r="J4444" s="221"/>
      <c r="K4444" s="221"/>
      <c r="L4444" s="221"/>
      <c r="M4444" s="221"/>
    </row>
    <row r="4445" spans="5:13">
      <c r="E4445" s="221"/>
      <c r="F4445" s="221"/>
      <c r="G4445" s="221"/>
      <c r="H4445" s="221"/>
      <c r="I4445" s="221"/>
      <c r="J4445" s="221"/>
      <c r="K4445" s="221"/>
      <c r="L4445" s="221"/>
      <c r="M4445" s="221"/>
    </row>
    <row r="4446" spans="5:13">
      <c r="E4446" s="221"/>
      <c r="F4446" s="221"/>
      <c r="G4446" s="221"/>
      <c r="H4446" s="221"/>
      <c r="I4446" s="221"/>
      <c r="J4446" s="221"/>
      <c r="K4446" s="221"/>
      <c r="L4446" s="221"/>
      <c r="M4446" s="221"/>
    </row>
    <row r="4447" spans="5:13">
      <c r="E4447" s="221"/>
      <c r="F4447" s="221"/>
      <c r="G4447" s="221"/>
      <c r="H4447" s="221"/>
      <c r="I4447" s="221"/>
      <c r="J4447" s="221"/>
      <c r="K4447" s="221"/>
      <c r="L4447" s="221"/>
      <c r="M4447" s="221"/>
    </row>
    <row r="4448" spans="5:13">
      <c r="E4448" s="221"/>
      <c r="F4448" s="221"/>
      <c r="G4448" s="221"/>
      <c r="H4448" s="221"/>
      <c r="I4448" s="221"/>
      <c r="J4448" s="221"/>
      <c r="K4448" s="221"/>
      <c r="L4448" s="221"/>
      <c r="M4448" s="221"/>
    </row>
    <row r="4449" spans="5:13">
      <c r="E4449" s="221"/>
      <c r="F4449" s="221"/>
      <c r="G4449" s="221"/>
      <c r="H4449" s="221"/>
      <c r="I4449" s="221"/>
      <c r="J4449" s="221"/>
      <c r="K4449" s="221"/>
      <c r="L4449" s="221"/>
      <c r="M4449" s="221"/>
    </row>
    <row r="4450" spans="5:13">
      <c r="E4450" s="221"/>
      <c r="F4450" s="221"/>
      <c r="G4450" s="221"/>
      <c r="H4450" s="221"/>
      <c r="I4450" s="221"/>
      <c r="J4450" s="221"/>
      <c r="K4450" s="221"/>
      <c r="L4450" s="221"/>
      <c r="M4450" s="221"/>
    </row>
    <row r="4451" spans="5:13">
      <c r="E4451" s="221"/>
      <c r="F4451" s="221"/>
      <c r="G4451" s="221"/>
      <c r="H4451" s="221"/>
      <c r="I4451" s="221"/>
      <c r="J4451" s="221"/>
      <c r="K4451" s="221"/>
      <c r="L4451" s="221"/>
      <c r="M4451" s="221"/>
    </row>
    <row r="4452" spans="5:13">
      <c r="E4452" s="221"/>
      <c r="F4452" s="221"/>
      <c r="G4452" s="221"/>
      <c r="H4452" s="221"/>
      <c r="I4452" s="221"/>
      <c r="J4452" s="221"/>
      <c r="K4452" s="221"/>
      <c r="L4452" s="221"/>
      <c r="M4452" s="221"/>
    </row>
    <row r="4453" spans="5:13">
      <c r="E4453" s="221"/>
      <c r="F4453" s="221"/>
      <c r="G4453" s="221"/>
      <c r="H4453" s="221"/>
      <c r="I4453" s="221"/>
      <c r="J4453" s="221"/>
      <c r="K4453" s="221"/>
      <c r="L4453" s="221"/>
      <c r="M4453" s="221"/>
    </row>
    <row r="4454" spans="5:13">
      <c r="E4454" s="221"/>
      <c r="F4454" s="221"/>
      <c r="G4454" s="221"/>
      <c r="H4454" s="221"/>
      <c r="I4454" s="221"/>
      <c r="J4454" s="221"/>
      <c r="K4454" s="221"/>
      <c r="L4454" s="221"/>
      <c r="M4454" s="221"/>
    </row>
    <row r="4455" spans="5:13">
      <c r="E4455" s="221"/>
      <c r="F4455" s="221"/>
      <c r="G4455" s="221"/>
      <c r="H4455" s="221"/>
      <c r="I4455" s="221"/>
      <c r="J4455" s="221"/>
      <c r="K4455" s="221"/>
      <c r="L4455" s="221"/>
      <c r="M4455" s="221"/>
    </row>
    <row r="4456" spans="5:13">
      <c r="E4456" s="221"/>
      <c r="F4456" s="221"/>
      <c r="G4456" s="221"/>
      <c r="H4456" s="221"/>
      <c r="I4456" s="221"/>
      <c r="J4456" s="221"/>
      <c r="K4456" s="221"/>
      <c r="L4456" s="221"/>
      <c r="M4456" s="221"/>
    </row>
    <row r="4457" spans="5:13">
      <c r="E4457" s="221"/>
      <c r="F4457" s="221"/>
      <c r="G4457" s="221"/>
      <c r="H4457" s="221"/>
      <c r="I4457" s="221"/>
      <c r="J4457" s="221"/>
      <c r="K4457" s="221"/>
      <c r="L4457" s="221"/>
      <c r="M4457" s="221"/>
    </row>
    <row r="4458" spans="5:13">
      <c r="E4458" s="221"/>
      <c r="F4458" s="221"/>
      <c r="G4458" s="221"/>
      <c r="H4458" s="221"/>
      <c r="I4458" s="221"/>
      <c r="J4458" s="221"/>
      <c r="K4458" s="221"/>
      <c r="L4458" s="221"/>
      <c r="M4458" s="221"/>
    </row>
    <row r="4459" spans="5:13">
      <c r="E4459" s="221"/>
      <c r="F4459" s="221"/>
      <c r="G4459" s="221"/>
      <c r="H4459" s="221"/>
      <c r="I4459" s="221"/>
      <c r="J4459" s="221"/>
      <c r="K4459" s="221"/>
      <c r="L4459" s="221"/>
      <c r="M4459" s="221"/>
    </row>
    <row r="4460" spans="5:13">
      <c r="E4460" s="221"/>
      <c r="F4460" s="221"/>
      <c r="G4460" s="221"/>
      <c r="H4460" s="221"/>
      <c r="I4460" s="221"/>
      <c r="J4460" s="221"/>
      <c r="K4460" s="221"/>
      <c r="L4460" s="221"/>
      <c r="M4460" s="221"/>
    </row>
    <row r="4461" spans="5:13">
      <c r="E4461" s="221"/>
      <c r="F4461" s="221"/>
      <c r="G4461" s="221"/>
      <c r="H4461" s="221"/>
      <c r="I4461" s="221"/>
      <c r="J4461" s="221"/>
      <c r="K4461" s="221"/>
      <c r="L4461" s="221"/>
      <c r="M4461" s="221"/>
    </row>
    <row r="4462" spans="5:13">
      <c r="E4462" s="221"/>
      <c r="F4462" s="221"/>
      <c r="G4462" s="221"/>
      <c r="H4462" s="221"/>
      <c r="I4462" s="221"/>
      <c r="J4462" s="221"/>
      <c r="K4462" s="221"/>
      <c r="L4462" s="221"/>
      <c r="M4462" s="221"/>
    </row>
    <row r="4463" spans="5:13">
      <c r="E4463" s="221"/>
      <c r="F4463" s="221"/>
      <c r="G4463" s="221"/>
      <c r="H4463" s="221"/>
      <c r="I4463" s="221"/>
      <c r="J4463" s="221"/>
      <c r="K4463" s="221"/>
      <c r="L4463" s="221"/>
      <c r="M4463" s="221"/>
    </row>
    <row r="4464" spans="5:13">
      <c r="E4464" s="221"/>
      <c r="F4464" s="221"/>
      <c r="G4464" s="221"/>
      <c r="H4464" s="221"/>
      <c r="I4464" s="221"/>
      <c r="J4464" s="221"/>
      <c r="K4464" s="221"/>
      <c r="L4464" s="221"/>
      <c r="M4464" s="221"/>
    </row>
    <row r="4465" spans="5:13">
      <c r="E4465" s="221"/>
      <c r="F4465" s="221"/>
      <c r="G4465" s="221"/>
      <c r="H4465" s="221"/>
      <c r="I4465" s="221"/>
      <c r="J4465" s="221"/>
      <c r="K4465" s="221"/>
      <c r="L4465" s="221"/>
      <c r="M4465" s="221"/>
    </row>
    <row r="4466" spans="5:13">
      <c r="E4466" s="221"/>
      <c r="F4466" s="221"/>
      <c r="G4466" s="221"/>
      <c r="H4466" s="221"/>
      <c r="I4466" s="221"/>
      <c r="J4466" s="221"/>
      <c r="K4466" s="221"/>
      <c r="L4466" s="221"/>
      <c r="M4466" s="221"/>
    </row>
    <row r="4467" spans="5:13">
      <c r="E4467" s="221"/>
      <c r="F4467" s="221"/>
      <c r="G4467" s="221"/>
      <c r="H4467" s="221"/>
      <c r="I4467" s="221"/>
      <c r="J4467" s="221"/>
      <c r="K4467" s="221"/>
      <c r="L4467" s="221"/>
      <c r="M4467" s="221"/>
    </row>
    <row r="4468" spans="5:13">
      <c r="E4468" s="221"/>
      <c r="F4468" s="221"/>
      <c r="G4468" s="221"/>
      <c r="H4468" s="221"/>
      <c r="I4468" s="221"/>
      <c r="J4468" s="221"/>
      <c r="K4468" s="221"/>
      <c r="L4468" s="221"/>
      <c r="M4468" s="221"/>
    </row>
    <row r="4469" spans="5:13">
      <c r="E4469" s="221"/>
      <c r="F4469" s="221"/>
      <c r="G4469" s="221"/>
      <c r="H4469" s="221"/>
      <c r="I4469" s="221"/>
      <c r="J4469" s="221"/>
      <c r="K4469" s="221"/>
      <c r="L4469" s="221"/>
      <c r="M4469" s="221"/>
    </row>
    <row r="4470" spans="5:13">
      <c r="E4470" s="221"/>
      <c r="F4470" s="221"/>
      <c r="G4470" s="221"/>
      <c r="H4470" s="221"/>
      <c r="I4470" s="221"/>
      <c r="J4470" s="221"/>
      <c r="K4470" s="221"/>
      <c r="L4470" s="221"/>
      <c r="M4470" s="221"/>
    </row>
    <row r="4471" spans="5:13">
      <c r="E4471" s="221"/>
      <c r="F4471" s="221"/>
      <c r="G4471" s="221"/>
      <c r="H4471" s="221"/>
      <c r="I4471" s="221"/>
      <c r="J4471" s="221"/>
      <c r="K4471" s="221"/>
      <c r="L4471" s="221"/>
      <c r="M4471" s="221"/>
    </row>
    <row r="4472" spans="5:13">
      <c r="E4472" s="221"/>
      <c r="F4472" s="221"/>
      <c r="G4472" s="221"/>
      <c r="H4472" s="221"/>
      <c r="I4472" s="221"/>
      <c r="J4472" s="221"/>
      <c r="K4472" s="221"/>
      <c r="L4472" s="221"/>
      <c r="M4472" s="221"/>
    </row>
    <row r="4473" spans="5:13">
      <c r="E4473" s="221"/>
      <c r="F4473" s="221"/>
      <c r="G4473" s="221"/>
      <c r="H4473" s="221"/>
      <c r="I4473" s="221"/>
      <c r="J4473" s="221"/>
      <c r="K4473" s="221"/>
      <c r="L4473" s="221"/>
      <c r="M4473" s="221"/>
    </row>
    <row r="4474" spans="5:13">
      <c r="E4474" s="221"/>
      <c r="F4474" s="221"/>
      <c r="G4474" s="221"/>
      <c r="H4474" s="221"/>
      <c r="I4474" s="221"/>
      <c r="J4474" s="221"/>
      <c r="K4474" s="221"/>
      <c r="L4474" s="221"/>
      <c r="M4474" s="221"/>
    </row>
    <row r="4475" spans="5:13">
      <c r="E4475" s="221"/>
      <c r="F4475" s="221"/>
      <c r="G4475" s="221"/>
      <c r="H4475" s="221"/>
      <c r="I4475" s="221"/>
      <c r="J4475" s="221"/>
      <c r="K4475" s="221"/>
      <c r="L4475" s="221"/>
      <c r="M4475" s="221"/>
    </row>
    <row r="4476" spans="5:13">
      <c r="E4476" s="221"/>
      <c r="F4476" s="221"/>
      <c r="G4476" s="221"/>
      <c r="H4476" s="221"/>
      <c r="I4476" s="221"/>
      <c r="J4476" s="221"/>
      <c r="K4476" s="221"/>
      <c r="L4476" s="221"/>
      <c r="M4476" s="221"/>
    </row>
    <row r="4477" spans="5:13">
      <c r="E4477" s="221"/>
      <c r="F4477" s="221"/>
      <c r="G4477" s="221"/>
      <c r="H4477" s="221"/>
      <c r="I4477" s="221"/>
      <c r="J4477" s="221"/>
      <c r="K4477" s="221"/>
      <c r="L4477" s="221"/>
      <c r="M4477" s="221"/>
    </row>
    <row r="4478" spans="5:13">
      <c r="E4478" s="221"/>
      <c r="F4478" s="221"/>
      <c r="G4478" s="221"/>
      <c r="H4478" s="221"/>
      <c r="I4478" s="221"/>
      <c r="J4478" s="221"/>
      <c r="K4478" s="221"/>
      <c r="L4478" s="221"/>
      <c r="M4478" s="221"/>
    </row>
    <row r="4479" spans="5:13">
      <c r="E4479" s="221"/>
      <c r="F4479" s="221"/>
      <c r="G4479" s="221"/>
      <c r="H4479" s="221"/>
      <c r="I4479" s="221"/>
      <c r="J4479" s="221"/>
      <c r="K4479" s="221"/>
      <c r="L4479" s="221"/>
      <c r="M4479" s="221"/>
    </row>
    <row r="4480" spans="5:13">
      <c r="E4480" s="221"/>
      <c r="F4480" s="221"/>
      <c r="G4480" s="221"/>
      <c r="H4480" s="221"/>
      <c r="I4480" s="221"/>
      <c r="J4480" s="221"/>
      <c r="K4480" s="221"/>
      <c r="L4480" s="221"/>
      <c r="M4480" s="221"/>
    </row>
    <row r="4481" spans="5:13">
      <c r="E4481" s="221"/>
      <c r="F4481" s="221"/>
      <c r="G4481" s="221"/>
      <c r="H4481" s="221"/>
      <c r="I4481" s="221"/>
      <c r="J4481" s="221"/>
      <c r="K4481" s="221"/>
      <c r="L4481" s="221"/>
      <c r="M4481" s="221"/>
    </row>
    <row r="4482" spans="5:13">
      <c r="E4482" s="221"/>
      <c r="F4482" s="221"/>
      <c r="G4482" s="221"/>
      <c r="H4482" s="221"/>
      <c r="I4482" s="221"/>
      <c r="J4482" s="221"/>
      <c r="K4482" s="221"/>
      <c r="L4482" s="221"/>
      <c r="M4482" s="221"/>
    </row>
    <row r="4483" spans="5:13">
      <c r="E4483" s="221"/>
      <c r="F4483" s="221"/>
      <c r="G4483" s="221"/>
      <c r="H4483" s="221"/>
      <c r="I4483" s="221"/>
      <c r="J4483" s="221"/>
      <c r="K4483" s="221"/>
      <c r="L4483" s="221"/>
      <c r="M4483" s="221"/>
    </row>
    <row r="4484" spans="5:13">
      <c r="E4484" s="221"/>
      <c r="F4484" s="221"/>
      <c r="G4484" s="221"/>
      <c r="H4484" s="221"/>
      <c r="I4484" s="221"/>
      <c r="J4484" s="221"/>
      <c r="K4484" s="221"/>
      <c r="L4484" s="221"/>
      <c r="M4484" s="221"/>
    </row>
    <row r="4485" spans="5:13">
      <c r="E4485" s="221"/>
      <c r="F4485" s="221"/>
      <c r="G4485" s="221"/>
      <c r="H4485" s="221"/>
      <c r="I4485" s="221"/>
      <c r="J4485" s="221"/>
      <c r="K4485" s="221"/>
      <c r="L4485" s="221"/>
      <c r="M4485" s="221"/>
    </row>
    <row r="4486" spans="5:13">
      <c r="E4486" s="221"/>
      <c r="F4486" s="221"/>
      <c r="G4486" s="221"/>
      <c r="H4486" s="221"/>
      <c r="I4486" s="221"/>
      <c r="J4486" s="221"/>
      <c r="K4486" s="221"/>
      <c r="L4486" s="221"/>
      <c r="M4486" s="221"/>
    </row>
    <row r="4487" spans="5:13">
      <c r="E4487" s="221"/>
      <c r="F4487" s="221"/>
      <c r="G4487" s="221"/>
      <c r="H4487" s="221"/>
      <c r="I4487" s="221"/>
      <c r="J4487" s="221"/>
      <c r="K4487" s="221"/>
      <c r="L4487" s="221"/>
      <c r="M4487" s="221"/>
    </row>
    <row r="4488" spans="5:13">
      <c r="E4488" s="221"/>
      <c r="F4488" s="221"/>
      <c r="G4488" s="221"/>
      <c r="H4488" s="221"/>
      <c r="I4488" s="221"/>
      <c r="J4488" s="221"/>
      <c r="K4488" s="221"/>
      <c r="L4488" s="221"/>
      <c r="M4488" s="221"/>
    </row>
    <row r="4489" spans="5:13">
      <c r="E4489" s="221"/>
      <c r="F4489" s="221"/>
      <c r="G4489" s="221"/>
      <c r="H4489" s="221"/>
      <c r="I4489" s="221"/>
      <c r="J4489" s="221"/>
      <c r="K4489" s="221"/>
      <c r="L4489" s="221"/>
      <c r="M4489" s="221"/>
    </row>
    <row r="4490" spans="5:13">
      <c r="E4490" s="221"/>
      <c r="F4490" s="221"/>
      <c r="G4490" s="221"/>
      <c r="H4490" s="221"/>
      <c r="I4490" s="221"/>
      <c r="J4490" s="221"/>
      <c r="K4490" s="221"/>
      <c r="L4490" s="221"/>
      <c r="M4490" s="221"/>
    </row>
    <row r="4491" spans="5:13">
      <c r="E4491" s="221"/>
      <c r="F4491" s="221"/>
      <c r="G4491" s="221"/>
      <c r="H4491" s="221"/>
      <c r="I4491" s="221"/>
      <c r="J4491" s="221"/>
      <c r="K4491" s="221"/>
      <c r="L4491" s="221"/>
      <c r="M4491" s="221"/>
    </row>
    <row r="4492" spans="5:13">
      <c r="E4492" s="221"/>
      <c r="F4492" s="221"/>
      <c r="G4492" s="221"/>
      <c r="H4492" s="221"/>
      <c r="I4492" s="221"/>
      <c r="J4492" s="221"/>
      <c r="K4492" s="221"/>
      <c r="L4492" s="221"/>
      <c r="M4492" s="221"/>
    </row>
    <row r="4493" spans="5:13">
      <c r="E4493" s="221"/>
      <c r="F4493" s="221"/>
      <c r="G4493" s="221"/>
      <c r="H4493" s="221"/>
      <c r="I4493" s="221"/>
      <c r="J4493" s="221"/>
      <c r="K4493" s="221"/>
      <c r="L4493" s="221"/>
      <c r="M4493" s="221"/>
    </row>
    <row r="4494" spans="5:13">
      <c r="E4494" s="221"/>
      <c r="F4494" s="221"/>
      <c r="G4494" s="221"/>
      <c r="H4494" s="221"/>
      <c r="I4494" s="221"/>
      <c r="J4494" s="221"/>
      <c r="K4494" s="221"/>
      <c r="L4494" s="221"/>
      <c r="M4494" s="221"/>
    </row>
    <row r="4495" spans="5:13">
      <c r="E4495" s="221"/>
      <c r="F4495" s="221"/>
      <c r="G4495" s="221"/>
      <c r="H4495" s="221"/>
      <c r="I4495" s="221"/>
      <c r="J4495" s="221"/>
      <c r="K4495" s="221"/>
      <c r="L4495" s="221"/>
      <c r="M4495" s="221"/>
    </row>
    <row r="4496" spans="5:13">
      <c r="E4496" s="221"/>
      <c r="F4496" s="221"/>
      <c r="G4496" s="221"/>
      <c r="H4496" s="221"/>
      <c r="I4496" s="221"/>
      <c r="J4496" s="221"/>
      <c r="K4496" s="221"/>
      <c r="L4496" s="221"/>
      <c r="M4496" s="221"/>
    </row>
    <row r="4497" spans="5:13">
      <c r="E4497" s="221"/>
      <c r="F4497" s="221"/>
      <c r="G4497" s="221"/>
      <c r="H4497" s="221"/>
      <c r="I4497" s="221"/>
      <c r="J4497" s="221"/>
      <c r="K4497" s="221"/>
      <c r="L4497" s="221"/>
      <c r="M4497" s="221"/>
    </row>
    <row r="4498" spans="5:13">
      <c r="E4498" s="221"/>
      <c r="F4498" s="221"/>
      <c r="G4498" s="221"/>
      <c r="H4498" s="221"/>
      <c r="I4498" s="221"/>
      <c r="J4498" s="221"/>
      <c r="K4498" s="221"/>
      <c r="L4498" s="221"/>
      <c r="M4498" s="221"/>
    </row>
    <row r="4499" spans="5:13">
      <c r="E4499" s="221"/>
      <c r="F4499" s="221"/>
      <c r="G4499" s="221"/>
      <c r="H4499" s="221"/>
      <c r="I4499" s="221"/>
      <c r="J4499" s="221"/>
      <c r="K4499" s="221"/>
      <c r="L4499" s="221"/>
      <c r="M4499" s="221"/>
    </row>
    <row r="4500" spans="5:13">
      <c r="E4500" s="221"/>
      <c r="F4500" s="221"/>
      <c r="G4500" s="221"/>
      <c r="H4500" s="221"/>
      <c r="I4500" s="221"/>
      <c r="J4500" s="221"/>
      <c r="K4500" s="221"/>
      <c r="L4500" s="221"/>
      <c r="M4500" s="221"/>
    </row>
    <row r="4501" spans="5:13">
      <c r="E4501" s="221"/>
      <c r="F4501" s="221"/>
      <c r="G4501" s="221"/>
      <c r="H4501" s="221"/>
      <c r="I4501" s="221"/>
      <c r="J4501" s="221"/>
      <c r="K4501" s="221"/>
      <c r="L4501" s="221"/>
      <c r="M4501" s="221"/>
    </row>
    <row r="4502" spans="5:13">
      <c r="E4502" s="221"/>
      <c r="F4502" s="221"/>
      <c r="G4502" s="221"/>
      <c r="H4502" s="221"/>
      <c r="I4502" s="221"/>
      <c r="J4502" s="221"/>
      <c r="K4502" s="221"/>
      <c r="L4502" s="221"/>
      <c r="M4502" s="221"/>
    </row>
    <row r="4503" spans="5:13">
      <c r="E4503" s="221"/>
      <c r="F4503" s="221"/>
      <c r="G4503" s="221"/>
      <c r="H4503" s="221"/>
      <c r="I4503" s="221"/>
      <c r="J4503" s="221"/>
      <c r="K4503" s="221"/>
      <c r="L4503" s="221"/>
      <c r="M4503" s="221"/>
    </row>
    <row r="4504" spans="5:13">
      <c r="E4504" s="221"/>
      <c r="F4504" s="221"/>
      <c r="G4504" s="221"/>
      <c r="H4504" s="221"/>
      <c r="I4504" s="221"/>
      <c r="J4504" s="221"/>
      <c r="K4504" s="221"/>
      <c r="L4504" s="221"/>
      <c r="M4504" s="221"/>
    </row>
    <row r="4505" spans="5:13">
      <c r="E4505" s="221"/>
      <c r="F4505" s="221"/>
      <c r="G4505" s="221"/>
      <c r="H4505" s="221"/>
      <c r="I4505" s="221"/>
      <c r="J4505" s="221"/>
      <c r="K4505" s="221"/>
      <c r="L4505" s="221"/>
      <c r="M4505" s="221"/>
    </row>
    <row r="4506" spans="5:13">
      <c r="E4506" s="221"/>
      <c r="F4506" s="221"/>
      <c r="G4506" s="221"/>
      <c r="H4506" s="221"/>
      <c r="I4506" s="221"/>
      <c r="J4506" s="221"/>
      <c r="K4506" s="221"/>
      <c r="L4506" s="221"/>
      <c r="M4506" s="221"/>
    </row>
    <row r="4507" spans="5:13">
      <c r="E4507" s="221"/>
      <c r="F4507" s="221"/>
      <c r="G4507" s="221"/>
      <c r="H4507" s="221"/>
      <c r="I4507" s="221"/>
      <c r="J4507" s="221"/>
      <c r="K4507" s="221"/>
      <c r="L4507" s="221"/>
      <c r="M4507" s="221"/>
    </row>
    <row r="4508" spans="5:13">
      <c r="E4508" s="221"/>
      <c r="F4508" s="221"/>
      <c r="G4508" s="221"/>
      <c r="H4508" s="221"/>
      <c r="I4508" s="221"/>
      <c r="J4508" s="221"/>
      <c r="K4508" s="221"/>
      <c r="L4508" s="221"/>
      <c r="M4508" s="221"/>
    </row>
    <row r="4509" spans="5:13">
      <c r="E4509" s="221"/>
      <c r="F4509" s="221"/>
      <c r="G4509" s="221"/>
      <c r="H4509" s="221"/>
      <c r="I4509" s="221"/>
      <c r="J4509" s="221"/>
      <c r="K4509" s="221"/>
      <c r="L4509" s="221"/>
      <c r="M4509" s="221"/>
    </row>
    <row r="4510" spans="5:13">
      <c r="E4510" s="221"/>
      <c r="F4510" s="221"/>
      <c r="G4510" s="221"/>
      <c r="H4510" s="221"/>
      <c r="I4510" s="221"/>
      <c r="J4510" s="221"/>
      <c r="K4510" s="221"/>
      <c r="L4510" s="221"/>
      <c r="M4510" s="221"/>
    </row>
    <row r="4511" spans="5:13">
      <c r="E4511" s="221"/>
      <c r="F4511" s="221"/>
      <c r="G4511" s="221"/>
      <c r="H4511" s="221"/>
      <c r="I4511" s="221"/>
      <c r="J4511" s="221"/>
      <c r="K4511" s="221"/>
      <c r="L4511" s="221"/>
      <c r="M4511" s="221"/>
    </row>
    <row r="4512" spans="5:13">
      <c r="E4512" s="221"/>
      <c r="F4512" s="221"/>
      <c r="G4512" s="221"/>
      <c r="H4512" s="221"/>
      <c r="I4512" s="221"/>
      <c r="J4512" s="221"/>
      <c r="K4512" s="221"/>
      <c r="L4512" s="221"/>
      <c r="M4512" s="221"/>
    </row>
    <row r="4513" spans="5:13">
      <c r="E4513" s="221"/>
      <c r="F4513" s="221"/>
      <c r="G4513" s="221"/>
      <c r="H4513" s="221"/>
      <c r="I4513" s="221"/>
      <c r="J4513" s="221"/>
      <c r="K4513" s="221"/>
      <c r="L4513" s="221"/>
      <c r="M4513" s="221"/>
    </row>
    <row r="4514" spans="5:13">
      <c r="E4514" s="221"/>
      <c r="F4514" s="221"/>
      <c r="G4514" s="221"/>
      <c r="H4514" s="221"/>
      <c r="I4514" s="221"/>
      <c r="J4514" s="221"/>
      <c r="K4514" s="221"/>
      <c r="L4514" s="221"/>
      <c r="M4514" s="221"/>
    </row>
    <row r="4515" spans="5:13">
      <c r="E4515" s="221"/>
      <c r="F4515" s="221"/>
      <c r="G4515" s="221"/>
      <c r="H4515" s="221"/>
      <c r="I4515" s="221"/>
      <c r="J4515" s="221"/>
      <c r="K4515" s="221"/>
      <c r="L4515" s="221"/>
      <c r="M4515" s="221"/>
    </row>
    <row r="4516" spans="5:13">
      <c r="E4516" s="221"/>
      <c r="F4516" s="221"/>
      <c r="G4516" s="221"/>
      <c r="H4516" s="221"/>
      <c r="I4516" s="221"/>
      <c r="J4516" s="221"/>
      <c r="K4516" s="221"/>
      <c r="L4516" s="221"/>
      <c r="M4516" s="221"/>
    </row>
    <row r="4517" spans="5:13">
      <c r="E4517" s="221"/>
      <c r="F4517" s="221"/>
      <c r="G4517" s="221"/>
      <c r="H4517" s="221"/>
      <c r="I4517" s="221"/>
      <c r="J4517" s="221"/>
      <c r="K4517" s="221"/>
      <c r="L4517" s="221"/>
      <c r="M4517" s="221"/>
    </row>
    <row r="4518" spans="5:13">
      <c r="E4518" s="221"/>
      <c r="F4518" s="221"/>
      <c r="G4518" s="221"/>
      <c r="H4518" s="221"/>
      <c r="I4518" s="221"/>
      <c r="J4518" s="221"/>
      <c r="K4518" s="221"/>
      <c r="L4518" s="221"/>
      <c r="M4518" s="221"/>
    </row>
    <row r="4519" spans="5:13">
      <c r="E4519" s="221"/>
      <c r="F4519" s="221"/>
      <c r="G4519" s="221"/>
      <c r="H4519" s="221"/>
      <c r="I4519" s="221"/>
      <c r="J4519" s="221"/>
      <c r="K4519" s="221"/>
      <c r="L4519" s="221"/>
      <c r="M4519" s="221"/>
    </row>
    <row r="4520" spans="5:13">
      <c r="E4520" s="221"/>
      <c r="F4520" s="221"/>
      <c r="G4520" s="221"/>
      <c r="H4520" s="221"/>
      <c r="I4520" s="221"/>
      <c r="J4520" s="221"/>
      <c r="K4520" s="221"/>
      <c r="L4520" s="221"/>
      <c r="M4520" s="221"/>
    </row>
    <row r="4521" spans="5:13">
      <c r="E4521" s="221"/>
      <c r="F4521" s="221"/>
      <c r="G4521" s="221"/>
      <c r="H4521" s="221"/>
      <c r="I4521" s="221"/>
      <c r="J4521" s="221"/>
      <c r="K4521" s="221"/>
      <c r="L4521" s="221"/>
      <c r="M4521" s="221"/>
    </row>
    <row r="4522" spans="5:13">
      <c r="E4522" s="221"/>
      <c r="F4522" s="221"/>
      <c r="G4522" s="221"/>
      <c r="H4522" s="221"/>
      <c r="I4522" s="221"/>
      <c r="J4522" s="221"/>
      <c r="K4522" s="221"/>
      <c r="L4522" s="221"/>
      <c r="M4522" s="221"/>
    </row>
    <row r="4523" spans="5:13">
      <c r="E4523" s="221"/>
      <c r="F4523" s="221"/>
      <c r="G4523" s="221"/>
      <c r="H4523" s="221"/>
      <c r="I4523" s="221"/>
      <c r="J4523" s="221"/>
      <c r="K4523" s="221"/>
      <c r="L4523" s="221"/>
      <c r="M4523" s="221"/>
    </row>
    <row r="4524" spans="5:13">
      <c r="E4524" s="221"/>
      <c r="F4524" s="221"/>
      <c r="G4524" s="221"/>
      <c r="H4524" s="221"/>
      <c r="I4524" s="221"/>
      <c r="J4524" s="221"/>
      <c r="K4524" s="221"/>
      <c r="L4524" s="221"/>
      <c r="M4524" s="221"/>
    </row>
    <row r="4525" spans="5:13">
      <c r="E4525" s="221"/>
      <c r="F4525" s="221"/>
      <c r="G4525" s="221"/>
      <c r="H4525" s="221"/>
      <c r="I4525" s="221"/>
      <c r="J4525" s="221"/>
      <c r="K4525" s="221"/>
      <c r="L4525" s="221"/>
      <c r="M4525" s="221"/>
    </row>
    <row r="4526" spans="5:13">
      <c r="E4526" s="221"/>
      <c r="F4526" s="221"/>
      <c r="G4526" s="221"/>
      <c r="H4526" s="221"/>
      <c r="I4526" s="221"/>
      <c r="J4526" s="221"/>
      <c r="K4526" s="221"/>
      <c r="L4526" s="221"/>
      <c r="M4526" s="221"/>
    </row>
    <row r="4527" spans="5:13">
      <c r="E4527" s="221"/>
      <c r="F4527" s="221"/>
      <c r="G4527" s="221"/>
      <c r="H4527" s="221"/>
      <c r="I4527" s="221"/>
      <c r="J4527" s="221"/>
      <c r="K4527" s="221"/>
      <c r="L4527" s="221"/>
      <c r="M4527" s="221"/>
    </row>
    <row r="4528" spans="5:13">
      <c r="E4528" s="221"/>
      <c r="F4528" s="221"/>
      <c r="G4528" s="221"/>
      <c r="H4528" s="221"/>
      <c r="I4528" s="221"/>
      <c r="J4528" s="221"/>
      <c r="K4528" s="221"/>
      <c r="L4528" s="221"/>
      <c r="M4528" s="221"/>
    </row>
    <row r="4529" spans="5:13">
      <c r="E4529" s="221"/>
      <c r="F4529" s="221"/>
      <c r="G4529" s="221"/>
      <c r="H4529" s="221"/>
      <c r="I4529" s="221"/>
      <c r="J4529" s="221"/>
      <c r="K4529" s="221"/>
      <c r="L4529" s="221"/>
      <c r="M4529" s="221"/>
    </row>
    <row r="4530" spans="5:13">
      <c r="E4530" s="221"/>
      <c r="F4530" s="221"/>
      <c r="G4530" s="221"/>
      <c r="H4530" s="221"/>
      <c r="I4530" s="221"/>
      <c r="J4530" s="221"/>
      <c r="K4530" s="221"/>
      <c r="L4530" s="221"/>
      <c r="M4530" s="221"/>
    </row>
    <row r="4531" spans="5:13">
      <c r="E4531" s="221"/>
      <c r="F4531" s="221"/>
      <c r="G4531" s="221"/>
      <c r="H4531" s="221"/>
      <c r="I4531" s="221"/>
      <c r="J4531" s="221"/>
      <c r="K4531" s="221"/>
      <c r="L4531" s="221"/>
      <c r="M4531" s="221"/>
    </row>
    <row r="4532" spans="5:13">
      <c r="E4532" s="221"/>
      <c r="F4532" s="221"/>
      <c r="G4532" s="221"/>
      <c r="H4532" s="221"/>
      <c r="I4532" s="221"/>
      <c r="J4532" s="221"/>
      <c r="K4532" s="221"/>
      <c r="L4532" s="221"/>
      <c r="M4532" s="221"/>
    </row>
    <row r="4533" spans="5:13">
      <c r="E4533" s="221"/>
      <c r="F4533" s="221"/>
      <c r="G4533" s="221"/>
      <c r="H4533" s="221"/>
      <c r="I4533" s="221"/>
      <c r="J4533" s="221"/>
      <c r="K4533" s="221"/>
      <c r="L4533" s="221"/>
      <c r="M4533" s="221"/>
    </row>
    <row r="4534" spans="5:13">
      <c r="E4534" s="221"/>
      <c r="F4534" s="221"/>
      <c r="G4534" s="221"/>
      <c r="H4534" s="221"/>
      <c r="I4534" s="221"/>
      <c r="J4534" s="221"/>
      <c r="K4534" s="221"/>
      <c r="L4534" s="221"/>
      <c r="M4534" s="221"/>
    </row>
    <row r="4535" spans="5:13">
      <c r="E4535" s="221"/>
      <c r="F4535" s="221"/>
      <c r="G4535" s="221"/>
      <c r="H4535" s="221"/>
      <c r="I4535" s="221"/>
      <c r="J4535" s="221"/>
      <c r="K4535" s="221"/>
      <c r="L4535" s="221"/>
      <c r="M4535" s="221"/>
    </row>
    <row r="4536" spans="5:13">
      <c r="E4536" s="221"/>
      <c r="F4536" s="221"/>
      <c r="G4536" s="221"/>
      <c r="H4536" s="221"/>
      <c r="I4536" s="221"/>
      <c r="J4536" s="221"/>
      <c r="K4536" s="221"/>
      <c r="L4536" s="221"/>
      <c r="M4536" s="221"/>
    </row>
    <row r="4537" spans="5:13">
      <c r="E4537" s="221"/>
      <c r="F4537" s="221"/>
      <c r="G4537" s="221"/>
      <c r="H4537" s="221"/>
      <c r="I4537" s="221"/>
      <c r="J4537" s="221"/>
      <c r="K4537" s="221"/>
      <c r="L4537" s="221"/>
      <c r="M4537" s="221"/>
    </row>
    <row r="4538" spans="5:13">
      <c r="E4538" s="221"/>
      <c r="F4538" s="221"/>
      <c r="G4538" s="221"/>
      <c r="H4538" s="221"/>
      <c r="I4538" s="221"/>
      <c r="J4538" s="221"/>
      <c r="K4538" s="221"/>
      <c r="L4538" s="221"/>
      <c r="M4538" s="221"/>
    </row>
    <row r="4539" spans="5:13">
      <c r="E4539" s="221"/>
      <c r="F4539" s="221"/>
      <c r="G4539" s="221"/>
      <c r="H4539" s="221"/>
      <c r="I4539" s="221"/>
      <c r="J4539" s="221"/>
      <c r="K4539" s="221"/>
      <c r="L4539" s="221"/>
      <c r="M4539" s="221"/>
    </row>
    <row r="4540" spans="5:13">
      <c r="E4540" s="221"/>
      <c r="F4540" s="221"/>
      <c r="G4540" s="221"/>
      <c r="H4540" s="221"/>
      <c r="I4540" s="221"/>
      <c r="J4540" s="221"/>
      <c r="K4540" s="221"/>
      <c r="L4540" s="221"/>
      <c r="M4540" s="221"/>
    </row>
    <row r="4541" spans="5:13">
      <c r="E4541" s="221"/>
      <c r="F4541" s="221"/>
      <c r="G4541" s="221"/>
      <c r="H4541" s="221"/>
      <c r="I4541" s="221"/>
      <c r="J4541" s="221"/>
      <c r="K4541" s="221"/>
      <c r="L4541" s="221"/>
      <c r="M4541" s="221"/>
    </row>
    <row r="4542" spans="5:13">
      <c r="E4542" s="221"/>
      <c r="F4542" s="221"/>
      <c r="G4542" s="221"/>
      <c r="H4542" s="221"/>
      <c r="I4542" s="221"/>
      <c r="J4542" s="221"/>
      <c r="K4542" s="221"/>
      <c r="L4542" s="221"/>
      <c r="M4542" s="221"/>
    </row>
    <row r="4543" spans="5:13">
      <c r="E4543" s="221"/>
      <c r="F4543" s="221"/>
      <c r="G4543" s="221"/>
      <c r="H4543" s="221"/>
      <c r="I4543" s="221"/>
      <c r="J4543" s="221"/>
      <c r="K4543" s="221"/>
      <c r="L4543" s="221"/>
      <c r="M4543" s="221"/>
    </row>
    <row r="4544" spans="5:13">
      <c r="E4544" s="221"/>
      <c r="F4544" s="221"/>
      <c r="G4544" s="221"/>
      <c r="H4544" s="221"/>
      <c r="I4544" s="221"/>
      <c r="J4544" s="221"/>
      <c r="K4544" s="221"/>
      <c r="L4544" s="221"/>
      <c r="M4544" s="221"/>
    </row>
    <row r="4545" spans="5:13">
      <c r="E4545" s="221"/>
      <c r="F4545" s="221"/>
      <c r="G4545" s="221"/>
      <c r="H4545" s="221"/>
      <c r="I4545" s="221"/>
      <c r="J4545" s="221"/>
      <c r="K4545" s="221"/>
      <c r="L4545" s="221"/>
      <c r="M4545" s="221"/>
    </row>
    <row r="4546" spans="5:13">
      <c r="E4546" s="221"/>
      <c r="F4546" s="221"/>
      <c r="G4546" s="221"/>
      <c r="H4546" s="221"/>
      <c r="I4546" s="221"/>
      <c r="J4546" s="221"/>
      <c r="K4546" s="221"/>
      <c r="L4546" s="221"/>
      <c r="M4546" s="221"/>
    </row>
    <row r="4547" spans="5:13">
      <c r="E4547" s="221"/>
      <c r="F4547" s="221"/>
      <c r="G4547" s="221"/>
      <c r="H4547" s="221"/>
      <c r="I4547" s="221"/>
      <c r="J4547" s="221"/>
      <c r="K4547" s="221"/>
      <c r="L4547" s="221"/>
      <c r="M4547" s="221"/>
    </row>
    <row r="4548" spans="5:13">
      <c r="E4548" s="221"/>
      <c r="F4548" s="221"/>
      <c r="G4548" s="221"/>
      <c r="H4548" s="221"/>
      <c r="I4548" s="221"/>
      <c r="J4548" s="221"/>
      <c r="K4548" s="221"/>
      <c r="L4548" s="221"/>
      <c r="M4548" s="221"/>
    </row>
    <row r="4549" spans="5:13">
      <c r="E4549" s="221"/>
      <c r="F4549" s="221"/>
      <c r="G4549" s="221"/>
      <c r="H4549" s="221"/>
      <c r="I4549" s="221"/>
      <c r="J4549" s="221"/>
      <c r="K4549" s="221"/>
      <c r="L4549" s="221"/>
      <c r="M4549" s="221"/>
    </row>
    <row r="4550" spans="5:13">
      <c r="E4550" s="221"/>
      <c r="F4550" s="221"/>
      <c r="G4550" s="221"/>
      <c r="H4550" s="221"/>
      <c r="I4550" s="221"/>
      <c r="J4550" s="221"/>
      <c r="K4550" s="221"/>
      <c r="L4550" s="221"/>
      <c r="M4550" s="221"/>
    </row>
    <row r="4551" spans="5:13">
      <c r="E4551" s="221"/>
      <c r="F4551" s="221"/>
      <c r="G4551" s="221"/>
      <c r="H4551" s="221"/>
      <c r="I4551" s="221"/>
      <c r="J4551" s="221"/>
      <c r="K4551" s="221"/>
      <c r="L4551" s="221"/>
      <c r="M4551" s="221"/>
    </row>
    <row r="4552" spans="5:13">
      <c r="E4552" s="221"/>
      <c r="F4552" s="221"/>
      <c r="G4552" s="221"/>
      <c r="H4552" s="221"/>
      <c r="I4552" s="221"/>
      <c r="J4552" s="221"/>
      <c r="K4552" s="221"/>
      <c r="L4552" s="221"/>
      <c r="M4552" s="221"/>
    </row>
    <row r="4553" spans="5:13">
      <c r="E4553" s="221"/>
      <c r="F4553" s="221"/>
      <c r="G4553" s="221"/>
      <c r="H4553" s="221"/>
      <c r="I4553" s="221"/>
      <c r="J4553" s="221"/>
      <c r="K4553" s="221"/>
      <c r="L4553" s="221"/>
      <c r="M4553" s="221"/>
    </row>
    <row r="4554" spans="5:13">
      <c r="E4554" s="221"/>
      <c r="F4554" s="221"/>
      <c r="G4554" s="221"/>
      <c r="H4554" s="221"/>
      <c r="I4554" s="221"/>
      <c r="J4554" s="221"/>
      <c r="K4554" s="221"/>
      <c r="L4554" s="221"/>
      <c r="M4554" s="221"/>
    </row>
    <row r="4555" spans="5:13">
      <c r="E4555" s="221"/>
      <c r="F4555" s="221"/>
      <c r="G4555" s="221"/>
      <c r="H4555" s="221"/>
      <c r="I4555" s="221"/>
      <c r="J4555" s="221"/>
      <c r="K4555" s="221"/>
      <c r="L4555" s="221"/>
      <c r="M4555" s="221"/>
    </row>
    <row r="4556" spans="5:13">
      <c r="E4556" s="221"/>
      <c r="F4556" s="221"/>
      <c r="G4556" s="221"/>
      <c r="H4556" s="221"/>
      <c r="I4556" s="221"/>
      <c r="J4556" s="221"/>
      <c r="K4556" s="221"/>
      <c r="L4556" s="221"/>
      <c r="M4556" s="221"/>
    </row>
    <row r="4557" spans="5:13">
      <c r="E4557" s="221"/>
      <c r="F4557" s="221"/>
      <c r="G4557" s="221"/>
      <c r="H4557" s="221"/>
      <c r="I4557" s="221"/>
      <c r="J4557" s="221"/>
      <c r="K4557" s="221"/>
      <c r="L4557" s="221"/>
      <c r="M4557" s="221"/>
    </row>
    <row r="4558" spans="5:13">
      <c r="E4558" s="221"/>
      <c r="F4558" s="221"/>
      <c r="G4558" s="221"/>
      <c r="H4558" s="221"/>
      <c r="I4558" s="221"/>
      <c r="J4558" s="221"/>
      <c r="K4558" s="221"/>
      <c r="L4558" s="221"/>
      <c r="M4558" s="221"/>
    </row>
    <row r="4559" spans="5:13">
      <c r="E4559" s="221"/>
      <c r="F4559" s="221"/>
      <c r="G4559" s="221"/>
      <c r="H4559" s="221"/>
      <c r="I4559" s="221"/>
      <c r="J4559" s="221"/>
      <c r="K4559" s="221"/>
      <c r="L4559" s="221"/>
      <c r="M4559" s="221"/>
    </row>
    <row r="4560" spans="5:13">
      <c r="E4560" s="221"/>
      <c r="F4560" s="221"/>
      <c r="G4560" s="221"/>
      <c r="H4560" s="221"/>
      <c r="I4560" s="221"/>
      <c r="J4560" s="221"/>
      <c r="K4560" s="221"/>
      <c r="L4560" s="221"/>
      <c r="M4560" s="221"/>
    </row>
    <row r="4561" spans="5:13">
      <c r="E4561" s="221"/>
      <c r="F4561" s="221"/>
      <c r="G4561" s="221"/>
      <c r="H4561" s="221"/>
      <c r="I4561" s="221"/>
      <c r="J4561" s="221"/>
      <c r="K4561" s="221"/>
      <c r="L4561" s="221"/>
      <c r="M4561" s="221"/>
    </row>
    <row r="4562" spans="5:13">
      <c r="E4562" s="221"/>
      <c r="F4562" s="221"/>
      <c r="G4562" s="221"/>
      <c r="H4562" s="221"/>
      <c r="I4562" s="221"/>
      <c r="J4562" s="221"/>
      <c r="K4562" s="221"/>
      <c r="L4562" s="221"/>
      <c r="M4562" s="221"/>
    </row>
    <row r="4563" spans="5:13">
      <c r="E4563" s="221"/>
      <c r="F4563" s="221"/>
      <c r="G4563" s="221"/>
      <c r="H4563" s="221"/>
      <c r="I4563" s="221"/>
      <c r="J4563" s="221"/>
      <c r="K4563" s="221"/>
      <c r="L4563" s="221"/>
      <c r="M4563" s="221"/>
    </row>
    <row r="4564" spans="5:13">
      <c r="E4564" s="221"/>
      <c r="F4564" s="221"/>
      <c r="G4564" s="221"/>
      <c r="H4564" s="221"/>
      <c r="I4564" s="221"/>
      <c r="J4564" s="221"/>
      <c r="K4564" s="221"/>
      <c r="L4564" s="221"/>
      <c r="M4564" s="221"/>
    </row>
    <row r="4565" spans="5:13">
      <c r="E4565" s="221"/>
      <c r="F4565" s="221"/>
      <c r="G4565" s="221"/>
      <c r="H4565" s="221"/>
      <c r="I4565" s="221"/>
      <c r="J4565" s="221"/>
      <c r="K4565" s="221"/>
      <c r="L4565" s="221"/>
      <c r="M4565" s="221"/>
    </row>
    <row r="4566" spans="5:13">
      <c r="E4566" s="221"/>
      <c r="F4566" s="221"/>
      <c r="G4566" s="221"/>
      <c r="H4566" s="221"/>
      <c r="I4566" s="221"/>
      <c r="J4566" s="221"/>
      <c r="K4566" s="221"/>
      <c r="L4566" s="221"/>
      <c r="M4566" s="221"/>
    </row>
    <row r="4567" spans="5:13">
      <c r="E4567" s="221"/>
      <c r="F4567" s="221"/>
      <c r="G4567" s="221"/>
      <c r="H4567" s="221"/>
      <c r="I4567" s="221"/>
      <c r="J4567" s="221"/>
      <c r="K4567" s="221"/>
      <c r="L4567" s="221"/>
      <c r="M4567" s="221"/>
    </row>
    <row r="4568" spans="5:13">
      <c r="E4568" s="221"/>
      <c r="F4568" s="221"/>
      <c r="G4568" s="221"/>
      <c r="H4568" s="221"/>
      <c r="I4568" s="221"/>
      <c r="J4568" s="221"/>
      <c r="K4568" s="221"/>
      <c r="L4568" s="221"/>
      <c r="M4568" s="221"/>
    </row>
    <row r="4569" spans="5:13">
      <c r="E4569" s="221"/>
      <c r="F4569" s="221"/>
      <c r="G4569" s="221"/>
      <c r="H4569" s="221"/>
      <c r="I4569" s="221"/>
      <c r="J4569" s="221"/>
      <c r="K4569" s="221"/>
      <c r="L4569" s="221"/>
      <c r="M4569" s="221"/>
    </row>
    <row r="4570" spans="5:13">
      <c r="E4570" s="221"/>
      <c r="F4570" s="221"/>
      <c r="G4570" s="221"/>
      <c r="H4570" s="221"/>
      <c r="I4570" s="221"/>
      <c r="J4570" s="221"/>
      <c r="K4570" s="221"/>
      <c r="L4570" s="221"/>
      <c r="M4570" s="221"/>
    </row>
    <row r="4571" spans="5:13">
      <c r="E4571" s="221"/>
      <c r="F4571" s="221"/>
      <c r="G4571" s="221"/>
      <c r="H4571" s="221"/>
      <c r="I4571" s="221"/>
      <c r="J4571" s="221"/>
      <c r="K4571" s="221"/>
      <c r="L4571" s="221"/>
      <c r="M4571" s="221"/>
    </row>
    <row r="4572" spans="5:13">
      <c r="E4572" s="221"/>
      <c r="F4572" s="221"/>
      <c r="G4572" s="221"/>
      <c r="H4572" s="221"/>
      <c r="I4572" s="221"/>
      <c r="J4572" s="221"/>
      <c r="K4572" s="221"/>
      <c r="L4572" s="221"/>
      <c r="M4572" s="221"/>
    </row>
    <row r="4573" spans="5:13">
      <c r="E4573" s="221"/>
      <c r="F4573" s="221"/>
      <c r="G4573" s="221"/>
      <c r="H4573" s="221"/>
      <c r="I4573" s="221"/>
      <c r="J4573" s="221"/>
      <c r="K4573" s="221"/>
      <c r="L4573" s="221"/>
      <c r="M4573" s="221"/>
    </row>
    <row r="4574" spans="5:13">
      <c r="E4574" s="221"/>
      <c r="F4574" s="221"/>
      <c r="G4574" s="221"/>
      <c r="H4574" s="221"/>
      <c r="I4574" s="221"/>
      <c r="J4574" s="221"/>
      <c r="K4574" s="221"/>
      <c r="L4574" s="221"/>
      <c r="M4574" s="221"/>
    </row>
    <row r="4575" spans="5:13">
      <c r="E4575" s="221"/>
      <c r="F4575" s="221"/>
      <c r="G4575" s="221"/>
      <c r="H4575" s="221"/>
      <c r="I4575" s="221"/>
      <c r="J4575" s="221"/>
      <c r="K4575" s="221"/>
      <c r="L4575" s="221"/>
      <c r="M4575" s="221"/>
    </row>
    <row r="4576" spans="5:13">
      <c r="E4576" s="221"/>
      <c r="F4576" s="221"/>
      <c r="G4576" s="221"/>
      <c r="H4576" s="221"/>
      <c r="I4576" s="221"/>
      <c r="J4576" s="221"/>
      <c r="K4576" s="221"/>
      <c r="L4576" s="221"/>
      <c r="M4576" s="221"/>
    </row>
    <row r="4577" spans="5:13">
      <c r="E4577" s="221"/>
      <c r="F4577" s="221"/>
      <c r="G4577" s="221"/>
      <c r="H4577" s="221"/>
      <c r="I4577" s="221"/>
      <c r="J4577" s="221"/>
      <c r="K4577" s="221"/>
      <c r="L4577" s="221"/>
      <c r="M4577" s="221"/>
    </row>
    <row r="4578" spans="5:13">
      <c r="E4578" s="221"/>
      <c r="F4578" s="221"/>
      <c r="G4578" s="221"/>
      <c r="H4578" s="221"/>
      <c r="I4578" s="221"/>
      <c r="J4578" s="221"/>
      <c r="K4578" s="221"/>
      <c r="L4578" s="221"/>
      <c r="M4578" s="221"/>
    </row>
    <row r="4579" spans="5:13">
      <c r="E4579" s="221"/>
      <c r="F4579" s="221"/>
      <c r="G4579" s="221"/>
      <c r="H4579" s="221"/>
      <c r="I4579" s="221"/>
      <c r="J4579" s="221"/>
      <c r="K4579" s="221"/>
      <c r="L4579" s="221"/>
      <c r="M4579" s="221"/>
    </row>
    <row r="4580" spans="5:13">
      <c r="E4580" s="221"/>
      <c r="F4580" s="221"/>
      <c r="G4580" s="221"/>
      <c r="H4580" s="221"/>
      <c r="I4580" s="221"/>
      <c r="J4580" s="221"/>
      <c r="K4580" s="221"/>
      <c r="L4580" s="221"/>
      <c r="M4580" s="221"/>
    </row>
    <row r="4581" spans="5:13">
      <c r="E4581" s="221"/>
      <c r="F4581" s="221"/>
      <c r="G4581" s="221"/>
      <c r="H4581" s="221"/>
      <c r="I4581" s="221"/>
      <c r="J4581" s="221"/>
      <c r="K4581" s="221"/>
      <c r="L4581" s="221"/>
      <c r="M4581" s="221"/>
    </row>
    <row r="4582" spans="5:13">
      <c r="E4582" s="221"/>
      <c r="F4582" s="221"/>
      <c r="G4582" s="221"/>
      <c r="H4582" s="221"/>
      <c r="I4582" s="221"/>
      <c r="J4582" s="221"/>
      <c r="K4582" s="221"/>
      <c r="L4582" s="221"/>
      <c r="M4582" s="221"/>
    </row>
    <row r="4583" spans="5:13">
      <c r="E4583" s="221"/>
      <c r="F4583" s="221"/>
      <c r="G4583" s="221"/>
      <c r="H4583" s="221"/>
      <c r="I4583" s="221"/>
      <c r="J4583" s="221"/>
      <c r="K4583" s="221"/>
      <c r="L4583" s="221"/>
      <c r="M4583" s="221"/>
    </row>
    <row r="4584" spans="5:13">
      <c r="E4584" s="221"/>
      <c r="F4584" s="221"/>
      <c r="G4584" s="221"/>
      <c r="H4584" s="221"/>
      <c r="I4584" s="221"/>
      <c r="J4584" s="221"/>
      <c r="K4584" s="221"/>
      <c r="L4584" s="221"/>
      <c r="M4584" s="221"/>
    </row>
    <row r="4585" spans="5:13">
      <c r="E4585" s="221"/>
      <c r="F4585" s="221"/>
      <c r="G4585" s="221"/>
      <c r="H4585" s="221"/>
      <c r="I4585" s="221"/>
      <c r="J4585" s="221"/>
      <c r="K4585" s="221"/>
      <c r="L4585" s="221"/>
      <c r="M4585" s="221"/>
    </row>
    <row r="4586" spans="5:13">
      <c r="E4586" s="221"/>
      <c r="F4586" s="221"/>
      <c r="G4586" s="221"/>
      <c r="H4586" s="221"/>
      <c r="I4586" s="221"/>
      <c r="J4586" s="221"/>
      <c r="K4586" s="221"/>
      <c r="L4586" s="221"/>
      <c r="M4586" s="221"/>
    </row>
    <row r="4587" spans="5:13">
      <c r="E4587" s="221"/>
      <c r="F4587" s="221"/>
      <c r="G4587" s="221"/>
      <c r="H4587" s="221"/>
      <c r="I4587" s="221"/>
      <c r="J4587" s="221"/>
      <c r="K4587" s="221"/>
      <c r="L4587" s="221"/>
      <c r="M4587" s="221"/>
    </row>
    <row r="4588" spans="5:13">
      <c r="E4588" s="221"/>
      <c r="F4588" s="221"/>
      <c r="G4588" s="221"/>
      <c r="H4588" s="221"/>
      <c r="I4588" s="221"/>
      <c r="J4588" s="221"/>
      <c r="K4588" s="221"/>
      <c r="L4588" s="221"/>
      <c r="M4588" s="221"/>
    </row>
    <row r="4589" spans="5:13">
      <c r="E4589" s="221"/>
      <c r="F4589" s="221"/>
      <c r="G4589" s="221"/>
      <c r="H4589" s="221"/>
      <c r="I4589" s="221"/>
      <c r="J4589" s="221"/>
      <c r="K4589" s="221"/>
      <c r="L4589" s="221"/>
      <c r="M4589" s="221"/>
    </row>
    <row r="4590" spans="5:13">
      <c r="E4590" s="221"/>
      <c r="F4590" s="221"/>
      <c r="G4590" s="221"/>
      <c r="H4590" s="221"/>
      <c r="I4590" s="221"/>
      <c r="J4590" s="221"/>
      <c r="K4590" s="221"/>
      <c r="L4590" s="221"/>
      <c r="M4590" s="221"/>
    </row>
    <row r="4591" spans="5:13">
      <c r="E4591" s="221"/>
      <c r="F4591" s="221"/>
      <c r="G4591" s="221"/>
      <c r="H4591" s="221"/>
      <c r="I4591" s="221"/>
      <c r="J4591" s="221"/>
      <c r="K4591" s="221"/>
      <c r="L4591" s="221"/>
      <c r="M4591" s="221"/>
    </row>
    <row r="4592" spans="5:13">
      <c r="E4592" s="221"/>
      <c r="F4592" s="221"/>
      <c r="G4592" s="221"/>
      <c r="H4592" s="221"/>
      <c r="I4592" s="221"/>
      <c r="J4592" s="221"/>
      <c r="K4592" s="221"/>
      <c r="L4592" s="221"/>
      <c r="M4592" s="221"/>
    </row>
    <row r="4593" spans="5:13">
      <c r="E4593" s="221"/>
      <c r="F4593" s="221"/>
      <c r="G4593" s="221"/>
      <c r="H4593" s="221"/>
      <c r="I4593" s="221"/>
      <c r="J4593" s="221"/>
      <c r="K4593" s="221"/>
      <c r="L4593" s="221"/>
      <c r="M4593" s="221"/>
    </row>
    <row r="4594" spans="5:13">
      <c r="E4594" s="221"/>
      <c r="F4594" s="221"/>
      <c r="G4594" s="221"/>
      <c r="H4594" s="221"/>
      <c r="I4594" s="221"/>
      <c r="J4594" s="221"/>
      <c r="K4594" s="221"/>
      <c r="L4594" s="221"/>
      <c r="M4594" s="221"/>
    </row>
    <row r="4595" spans="5:13">
      <c r="E4595" s="221"/>
      <c r="F4595" s="221"/>
      <c r="G4595" s="221"/>
      <c r="H4595" s="221"/>
      <c r="I4595" s="221"/>
      <c r="J4595" s="221"/>
      <c r="K4595" s="221"/>
      <c r="L4595" s="221"/>
      <c r="M4595" s="221"/>
    </row>
    <row r="4596" spans="5:13">
      <c r="E4596" s="221"/>
      <c r="F4596" s="221"/>
      <c r="G4596" s="221"/>
      <c r="H4596" s="221"/>
      <c r="I4596" s="221"/>
      <c r="J4596" s="221"/>
      <c r="K4596" s="221"/>
      <c r="L4596" s="221"/>
      <c r="M4596" s="221"/>
    </row>
    <row r="4597" spans="5:13">
      <c r="E4597" s="221"/>
      <c r="F4597" s="221"/>
      <c r="G4597" s="221"/>
      <c r="H4597" s="221"/>
      <c r="I4597" s="221"/>
      <c r="J4597" s="221"/>
      <c r="K4597" s="221"/>
      <c r="L4597" s="221"/>
      <c r="M4597" s="221"/>
    </row>
    <row r="4598" spans="5:13">
      <c r="E4598" s="221"/>
      <c r="F4598" s="221"/>
      <c r="G4598" s="221"/>
      <c r="H4598" s="221"/>
      <c r="I4598" s="221"/>
      <c r="J4598" s="221"/>
      <c r="K4598" s="221"/>
      <c r="L4598" s="221"/>
      <c r="M4598" s="221"/>
    </row>
    <row r="4599" spans="5:13">
      <c r="E4599" s="221"/>
      <c r="F4599" s="221"/>
      <c r="G4599" s="221"/>
      <c r="H4599" s="221"/>
      <c r="I4599" s="221"/>
      <c r="J4599" s="221"/>
      <c r="K4599" s="221"/>
      <c r="L4599" s="221"/>
      <c r="M4599" s="221"/>
    </row>
    <row r="4600" spans="5:13">
      <c r="E4600" s="221"/>
      <c r="F4600" s="221"/>
      <c r="G4600" s="221"/>
      <c r="H4600" s="221"/>
      <c r="I4600" s="221"/>
      <c r="J4600" s="221"/>
      <c r="K4600" s="221"/>
      <c r="L4600" s="221"/>
      <c r="M4600" s="221"/>
    </row>
    <row r="4601" spans="5:13">
      <c r="E4601" s="221"/>
      <c r="F4601" s="221"/>
      <c r="G4601" s="221"/>
      <c r="H4601" s="221"/>
      <c r="I4601" s="221"/>
      <c r="J4601" s="221"/>
      <c r="K4601" s="221"/>
      <c r="L4601" s="221"/>
      <c r="M4601" s="221"/>
    </row>
    <row r="4602" spans="5:13">
      <c r="E4602" s="221"/>
      <c r="F4602" s="221"/>
      <c r="G4602" s="221"/>
      <c r="H4602" s="221"/>
      <c r="I4602" s="221"/>
      <c r="J4602" s="221"/>
      <c r="K4602" s="221"/>
      <c r="L4602" s="221"/>
      <c r="M4602" s="221"/>
    </row>
    <row r="4603" spans="5:13">
      <c r="E4603" s="221"/>
      <c r="F4603" s="221"/>
      <c r="G4603" s="221"/>
      <c r="H4603" s="221"/>
      <c r="I4603" s="221"/>
      <c r="J4603" s="221"/>
      <c r="K4603" s="221"/>
      <c r="L4603" s="221"/>
      <c r="M4603" s="221"/>
    </row>
    <row r="4604" spans="5:13">
      <c r="E4604" s="221"/>
      <c r="F4604" s="221"/>
      <c r="G4604" s="221"/>
      <c r="H4604" s="221"/>
      <c r="I4604" s="221"/>
      <c r="J4604" s="221"/>
      <c r="K4604" s="221"/>
      <c r="L4604" s="221"/>
      <c r="M4604" s="221"/>
    </row>
    <row r="4605" spans="5:13">
      <c r="E4605" s="221"/>
      <c r="F4605" s="221"/>
      <c r="G4605" s="221"/>
      <c r="H4605" s="221"/>
      <c r="I4605" s="221"/>
      <c r="J4605" s="221"/>
      <c r="K4605" s="221"/>
      <c r="L4605" s="221"/>
      <c r="M4605" s="221"/>
    </row>
    <row r="4606" spans="5:13">
      <c r="E4606" s="221"/>
      <c r="F4606" s="221"/>
      <c r="G4606" s="221"/>
      <c r="H4606" s="221"/>
      <c r="I4606" s="221"/>
      <c r="J4606" s="221"/>
      <c r="K4606" s="221"/>
      <c r="L4606" s="221"/>
      <c r="M4606" s="221"/>
    </row>
    <row r="4607" spans="5:13">
      <c r="E4607" s="221"/>
      <c r="F4607" s="221"/>
      <c r="G4607" s="221"/>
      <c r="H4607" s="221"/>
      <c r="I4607" s="221"/>
      <c r="J4607" s="221"/>
      <c r="K4607" s="221"/>
      <c r="L4607" s="221"/>
      <c r="M4607" s="221"/>
    </row>
    <row r="4608" spans="5:13">
      <c r="E4608" s="221"/>
      <c r="F4608" s="221"/>
      <c r="G4608" s="221"/>
      <c r="H4608" s="221"/>
      <c r="I4608" s="221"/>
      <c r="J4608" s="221"/>
      <c r="K4608" s="221"/>
      <c r="L4608" s="221"/>
      <c r="M4608" s="221"/>
    </row>
    <row r="4609" spans="5:13">
      <c r="E4609" s="221"/>
      <c r="F4609" s="221"/>
      <c r="G4609" s="221"/>
      <c r="H4609" s="221"/>
      <c r="I4609" s="221"/>
      <c r="J4609" s="221"/>
      <c r="K4609" s="221"/>
      <c r="L4609" s="221"/>
      <c r="M4609" s="221"/>
    </row>
    <row r="4610" spans="5:13">
      <c r="E4610" s="221"/>
      <c r="F4610" s="221"/>
      <c r="G4610" s="221"/>
      <c r="H4610" s="221"/>
      <c r="I4610" s="221"/>
      <c r="J4610" s="221"/>
      <c r="K4610" s="221"/>
      <c r="L4610" s="221"/>
      <c r="M4610" s="221"/>
    </row>
    <row r="4611" spans="5:13">
      <c r="E4611" s="221"/>
      <c r="F4611" s="221"/>
      <c r="G4611" s="221"/>
      <c r="H4611" s="221"/>
      <c r="I4611" s="221"/>
      <c r="J4611" s="221"/>
      <c r="K4611" s="221"/>
      <c r="L4611" s="221"/>
      <c r="M4611" s="221"/>
    </row>
    <row r="4612" spans="5:13">
      <c r="E4612" s="221"/>
      <c r="F4612" s="221"/>
      <c r="G4612" s="221"/>
      <c r="H4612" s="221"/>
      <c r="I4612" s="221"/>
      <c r="J4612" s="221"/>
      <c r="K4612" s="221"/>
      <c r="L4612" s="221"/>
      <c r="M4612" s="221"/>
    </row>
    <row r="4613" spans="5:13">
      <c r="E4613" s="221"/>
      <c r="F4613" s="221"/>
      <c r="G4613" s="221"/>
      <c r="H4613" s="221"/>
      <c r="I4613" s="221"/>
      <c r="J4613" s="221"/>
      <c r="K4613" s="221"/>
      <c r="L4613" s="221"/>
      <c r="M4613" s="221"/>
    </row>
    <row r="4614" spans="5:13">
      <c r="E4614" s="221"/>
      <c r="F4614" s="221"/>
      <c r="G4614" s="221"/>
      <c r="H4614" s="221"/>
      <c r="I4614" s="221"/>
      <c r="J4614" s="221"/>
      <c r="K4614" s="221"/>
      <c r="L4614" s="221"/>
      <c r="M4614" s="221"/>
    </row>
    <row r="4615" spans="5:13">
      <c r="E4615" s="221"/>
      <c r="F4615" s="221"/>
      <c r="G4615" s="221"/>
      <c r="H4615" s="221"/>
      <c r="I4615" s="221"/>
      <c r="J4615" s="221"/>
      <c r="K4615" s="221"/>
      <c r="L4615" s="221"/>
      <c r="M4615" s="221"/>
    </row>
    <row r="4616" spans="5:13">
      <c r="E4616" s="221"/>
      <c r="F4616" s="221"/>
      <c r="G4616" s="221"/>
      <c r="H4616" s="221"/>
      <c r="I4616" s="221"/>
      <c r="J4616" s="221"/>
      <c r="K4616" s="221"/>
      <c r="L4616" s="221"/>
      <c r="M4616" s="221"/>
    </row>
    <row r="4617" spans="5:13">
      <c r="E4617" s="221"/>
      <c r="F4617" s="221"/>
      <c r="G4617" s="221"/>
      <c r="H4617" s="221"/>
      <c r="I4617" s="221"/>
      <c r="J4617" s="221"/>
      <c r="K4617" s="221"/>
      <c r="L4617" s="221"/>
      <c r="M4617" s="221"/>
    </row>
    <row r="4618" spans="5:13">
      <c r="E4618" s="221"/>
      <c r="F4618" s="221"/>
      <c r="G4618" s="221"/>
      <c r="H4618" s="221"/>
      <c r="I4618" s="221"/>
      <c r="J4618" s="221"/>
      <c r="K4618" s="221"/>
      <c r="L4618" s="221"/>
      <c r="M4618" s="221"/>
    </row>
    <row r="4619" spans="5:13">
      <c r="E4619" s="221"/>
      <c r="F4619" s="221"/>
      <c r="G4619" s="221"/>
      <c r="H4619" s="221"/>
      <c r="I4619" s="221"/>
      <c r="J4619" s="221"/>
      <c r="K4619" s="221"/>
      <c r="L4619" s="221"/>
      <c r="M4619" s="221"/>
    </row>
    <row r="4620" spans="5:13">
      <c r="E4620" s="221"/>
      <c r="F4620" s="221"/>
      <c r="G4620" s="221"/>
      <c r="H4620" s="221"/>
      <c r="I4620" s="221"/>
      <c r="J4620" s="221"/>
      <c r="K4620" s="221"/>
      <c r="L4620" s="221"/>
      <c r="M4620" s="221"/>
    </row>
    <row r="4621" spans="5:13">
      <c r="E4621" s="221"/>
      <c r="F4621" s="221"/>
      <c r="G4621" s="221"/>
      <c r="H4621" s="221"/>
      <c r="I4621" s="221"/>
      <c r="J4621" s="221"/>
      <c r="K4621" s="221"/>
      <c r="L4621" s="221"/>
      <c r="M4621" s="221"/>
    </row>
    <row r="4622" spans="5:13">
      <c r="E4622" s="221"/>
      <c r="F4622" s="221"/>
      <c r="G4622" s="221"/>
      <c r="H4622" s="221"/>
      <c r="I4622" s="221"/>
      <c r="J4622" s="221"/>
      <c r="K4622" s="221"/>
      <c r="L4622" s="221"/>
      <c r="M4622" s="221"/>
    </row>
    <row r="4623" spans="5:13">
      <c r="E4623" s="221"/>
      <c r="F4623" s="221"/>
      <c r="G4623" s="221"/>
      <c r="H4623" s="221"/>
      <c r="I4623" s="221"/>
      <c r="J4623" s="221"/>
      <c r="K4623" s="221"/>
      <c r="L4623" s="221"/>
      <c r="M4623" s="221"/>
    </row>
    <row r="4624" spans="5:13">
      <c r="E4624" s="221"/>
      <c r="F4624" s="221"/>
      <c r="G4624" s="221"/>
      <c r="H4624" s="221"/>
      <c r="I4624" s="221"/>
      <c r="J4624" s="221"/>
      <c r="K4624" s="221"/>
      <c r="L4624" s="221"/>
      <c r="M4624" s="221"/>
    </row>
    <row r="4625" spans="5:13">
      <c r="E4625" s="221"/>
      <c r="F4625" s="221"/>
      <c r="G4625" s="221"/>
      <c r="H4625" s="221"/>
      <c r="I4625" s="221"/>
      <c r="J4625" s="221"/>
      <c r="K4625" s="221"/>
      <c r="L4625" s="221"/>
      <c r="M4625" s="221"/>
    </row>
    <row r="4626" spans="5:13">
      <c r="E4626" s="221"/>
      <c r="F4626" s="221"/>
      <c r="G4626" s="221"/>
      <c r="H4626" s="221"/>
      <c r="I4626" s="221"/>
      <c r="J4626" s="221"/>
      <c r="K4626" s="221"/>
      <c r="L4626" s="221"/>
      <c r="M4626" s="221"/>
    </row>
    <row r="4627" spans="5:13">
      <c r="E4627" s="221"/>
      <c r="F4627" s="221"/>
      <c r="G4627" s="221"/>
      <c r="H4627" s="221"/>
      <c r="I4627" s="221"/>
      <c r="J4627" s="221"/>
      <c r="K4627" s="221"/>
      <c r="L4627" s="221"/>
      <c r="M4627" s="221"/>
    </row>
    <row r="4628" spans="5:13">
      <c r="E4628" s="221"/>
      <c r="F4628" s="221"/>
      <c r="G4628" s="221"/>
      <c r="H4628" s="221"/>
      <c r="I4628" s="221"/>
      <c r="J4628" s="221"/>
      <c r="K4628" s="221"/>
      <c r="L4628" s="221"/>
      <c r="M4628" s="221"/>
    </row>
    <row r="4629" spans="5:13">
      <c r="E4629" s="221"/>
      <c r="F4629" s="221"/>
      <c r="G4629" s="221"/>
      <c r="H4629" s="221"/>
      <c r="I4629" s="221"/>
      <c r="J4629" s="221"/>
      <c r="K4629" s="221"/>
      <c r="L4629" s="221"/>
      <c r="M4629" s="221"/>
    </row>
    <row r="4630" spans="5:13">
      <c r="E4630" s="221"/>
      <c r="F4630" s="221"/>
      <c r="G4630" s="221"/>
      <c r="H4630" s="221"/>
      <c r="I4630" s="221"/>
      <c r="J4630" s="221"/>
      <c r="K4630" s="221"/>
      <c r="L4630" s="221"/>
      <c r="M4630" s="221"/>
    </row>
    <row r="4631" spans="5:13">
      <c r="E4631" s="221"/>
      <c r="F4631" s="221"/>
      <c r="G4631" s="221"/>
      <c r="H4631" s="221"/>
      <c r="I4631" s="221"/>
      <c r="J4631" s="221"/>
      <c r="K4631" s="221"/>
      <c r="L4631" s="221"/>
      <c r="M4631" s="221"/>
    </row>
    <row r="4632" spans="5:13">
      <c r="E4632" s="221"/>
      <c r="F4632" s="221"/>
      <c r="G4632" s="221"/>
      <c r="H4632" s="221"/>
      <c r="I4632" s="221"/>
      <c r="J4632" s="221"/>
      <c r="K4632" s="221"/>
      <c r="L4632" s="221"/>
      <c r="M4632" s="221"/>
    </row>
    <row r="4633" spans="5:13">
      <c r="E4633" s="221"/>
      <c r="F4633" s="221"/>
      <c r="G4633" s="221"/>
      <c r="H4633" s="221"/>
      <c r="I4633" s="221"/>
      <c r="J4633" s="221"/>
      <c r="K4633" s="221"/>
      <c r="L4633" s="221"/>
      <c r="M4633" s="221"/>
    </row>
    <row r="4634" spans="5:13">
      <c r="E4634" s="221"/>
      <c r="F4634" s="221"/>
      <c r="G4634" s="221"/>
      <c r="H4634" s="221"/>
      <c r="I4634" s="221"/>
      <c r="J4634" s="221"/>
      <c r="K4634" s="221"/>
      <c r="L4634" s="221"/>
      <c r="M4634" s="221"/>
    </row>
    <row r="4635" spans="5:13">
      <c r="E4635" s="221"/>
      <c r="F4635" s="221"/>
      <c r="G4635" s="221"/>
      <c r="H4635" s="221"/>
      <c r="I4635" s="221"/>
      <c r="J4635" s="221"/>
      <c r="K4635" s="221"/>
      <c r="L4635" s="221"/>
      <c r="M4635" s="221"/>
    </row>
    <row r="4636" spans="5:13">
      <c r="E4636" s="221"/>
      <c r="F4636" s="221"/>
      <c r="G4636" s="221"/>
      <c r="H4636" s="221"/>
      <c r="I4636" s="221"/>
      <c r="J4636" s="221"/>
      <c r="K4636" s="221"/>
      <c r="L4636" s="221"/>
      <c r="M4636" s="221"/>
    </row>
    <row r="4637" spans="5:13">
      <c r="E4637" s="221"/>
      <c r="F4637" s="221"/>
      <c r="G4637" s="221"/>
      <c r="H4637" s="221"/>
      <c r="I4637" s="221"/>
      <c r="J4637" s="221"/>
      <c r="K4637" s="221"/>
      <c r="L4637" s="221"/>
      <c r="M4637" s="221"/>
    </row>
    <row r="4638" spans="5:13">
      <c r="E4638" s="221"/>
      <c r="F4638" s="221"/>
      <c r="G4638" s="221"/>
      <c r="H4638" s="221"/>
      <c r="I4638" s="221"/>
      <c r="J4638" s="221"/>
      <c r="K4638" s="221"/>
      <c r="L4638" s="221"/>
      <c r="M4638" s="221"/>
    </row>
    <row r="4639" spans="5:13">
      <c r="E4639" s="221"/>
      <c r="F4639" s="221"/>
      <c r="G4639" s="221"/>
      <c r="H4639" s="221"/>
      <c r="I4639" s="221"/>
      <c r="J4639" s="221"/>
      <c r="K4639" s="221"/>
      <c r="L4639" s="221"/>
      <c r="M4639" s="221"/>
    </row>
    <row r="4640" spans="5:13">
      <c r="E4640" s="221"/>
      <c r="F4640" s="221"/>
      <c r="G4640" s="221"/>
      <c r="H4640" s="221"/>
      <c r="I4640" s="221"/>
      <c r="J4640" s="221"/>
      <c r="K4640" s="221"/>
      <c r="L4640" s="221"/>
      <c r="M4640" s="221"/>
    </row>
    <row r="4641" spans="5:13">
      <c r="E4641" s="221"/>
      <c r="F4641" s="221"/>
      <c r="G4641" s="221"/>
      <c r="H4641" s="221"/>
      <c r="I4641" s="221"/>
      <c r="J4641" s="221"/>
      <c r="K4641" s="221"/>
      <c r="L4641" s="221"/>
      <c r="M4641" s="221"/>
    </row>
    <row r="4642" spans="5:13">
      <c r="E4642" s="221"/>
      <c r="F4642" s="221"/>
      <c r="G4642" s="221"/>
      <c r="H4642" s="221"/>
      <c r="I4642" s="221"/>
      <c r="J4642" s="221"/>
      <c r="K4642" s="221"/>
      <c r="L4642" s="221"/>
      <c r="M4642" s="221"/>
    </row>
    <row r="4643" spans="5:13">
      <c r="E4643" s="221"/>
      <c r="F4643" s="221"/>
      <c r="G4643" s="221"/>
      <c r="H4643" s="221"/>
      <c r="I4643" s="221"/>
      <c r="J4643" s="221"/>
      <c r="K4643" s="221"/>
      <c r="L4643" s="221"/>
      <c r="M4643" s="221"/>
    </row>
    <row r="4644" spans="5:13">
      <c r="E4644" s="221"/>
      <c r="F4644" s="221"/>
      <c r="G4644" s="221"/>
      <c r="H4644" s="221"/>
      <c r="I4644" s="221"/>
      <c r="J4644" s="221"/>
      <c r="K4644" s="221"/>
      <c r="L4644" s="221"/>
      <c r="M4644" s="221"/>
    </row>
    <row r="4645" spans="5:13">
      <c r="E4645" s="221"/>
      <c r="F4645" s="221"/>
      <c r="G4645" s="221"/>
      <c r="H4645" s="221"/>
      <c r="I4645" s="221"/>
      <c r="J4645" s="221"/>
      <c r="K4645" s="221"/>
      <c r="L4645" s="221"/>
      <c r="M4645" s="221"/>
    </row>
    <row r="4646" spans="5:13">
      <c r="E4646" s="221"/>
      <c r="F4646" s="221"/>
      <c r="G4646" s="221"/>
      <c r="H4646" s="221"/>
      <c r="I4646" s="221"/>
      <c r="J4646" s="221"/>
      <c r="K4646" s="221"/>
      <c r="L4646" s="221"/>
      <c r="M4646" s="221"/>
    </row>
    <row r="4647" spans="5:13">
      <c r="E4647" s="221"/>
      <c r="F4647" s="221"/>
      <c r="G4647" s="221"/>
      <c r="H4647" s="221"/>
      <c r="I4647" s="221"/>
      <c r="J4647" s="221"/>
      <c r="K4647" s="221"/>
      <c r="L4647" s="221"/>
      <c r="M4647" s="221"/>
    </row>
    <row r="4648" spans="5:13">
      <c r="E4648" s="221"/>
      <c r="F4648" s="221"/>
      <c r="G4648" s="221"/>
      <c r="H4648" s="221"/>
      <c r="I4648" s="221"/>
      <c r="J4648" s="221"/>
      <c r="K4648" s="221"/>
      <c r="L4648" s="221"/>
      <c r="M4648" s="221"/>
    </row>
    <row r="4649" spans="5:13">
      <c r="E4649" s="221"/>
      <c r="F4649" s="221"/>
      <c r="G4649" s="221"/>
      <c r="H4649" s="221"/>
      <c r="I4649" s="221"/>
      <c r="J4649" s="221"/>
      <c r="K4649" s="221"/>
      <c r="L4649" s="221"/>
      <c r="M4649" s="221"/>
    </row>
    <row r="4650" spans="5:13">
      <c r="E4650" s="221"/>
      <c r="F4650" s="221"/>
      <c r="G4650" s="221"/>
      <c r="H4650" s="221"/>
      <c r="I4650" s="221"/>
      <c r="J4650" s="221"/>
      <c r="K4650" s="221"/>
      <c r="L4650" s="221"/>
      <c r="M4650" s="221"/>
    </row>
    <row r="4651" spans="5:13">
      <c r="E4651" s="221"/>
      <c r="F4651" s="221"/>
      <c r="G4651" s="221"/>
      <c r="H4651" s="221"/>
      <c r="I4651" s="221"/>
      <c r="J4651" s="221"/>
      <c r="K4651" s="221"/>
      <c r="L4651" s="221"/>
      <c r="M4651" s="221"/>
    </row>
    <row r="4652" spans="5:13">
      <c r="E4652" s="221"/>
      <c r="F4652" s="221"/>
      <c r="G4652" s="221"/>
      <c r="H4652" s="221"/>
      <c r="I4652" s="221"/>
      <c r="J4652" s="221"/>
      <c r="K4652" s="221"/>
      <c r="L4652" s="221"/>
      <c r="M4652" s="221"/>
    </row>
    <row r="4653" spans="5:13">
      <c r="E4653" s="221"/>
      <c r="F4653" s="221"/>
      <c r="G4653" s="221"/>
      <c r="H4653" s="221"/>
      <c r="I4653" s="221"/>
      <c r="J4653" s="221"/>
      <c r="K4653" s="221"/>
      <c r="L4653" s="221"/>
      <c r="M4653" s="221"/>
    </row>
    <row r="4654" spans="5:13">
      <c r="E4654" s="221"/>
      <c r="F4654" s="221"/>
      <c r="G4654" s="221"/>
      <c r="H4654" s="221"/>
      <c r="I4654" s="221"/>
      <c r="J4654" s="221"/>
      <c r="K4654" s="221"/>
      <c r="L4654" s="221"/>
      <c r="M4654" s="221"/>
    </row>
    <row r="4655" spans="5:13">
      <c r="E4655" s="221"/>
      <c r="F4655" s="221"/>
      <c r="G4655" s="221"/>
      <c r="H4655" s="221"/>
      <c r="I4655" s="221"/>
      <c r="J4655" s="221"/>
      <c r="K4655" s="221"/>
      <c r="L4655" s="221"/>
      <c r="M4655" s="221"/>
    </row>
    <row r="4656" spans="5:13">
      <c r="E4656" s="221"/>
      <c r="F4656" s="221"/>
      <c r="G4656" s="221"/>
      <c r="H4656" s="221"/>
      <c r="I4656" s="221"/>
      <c r="J4656" s="221"/>
      <c r="K4656" s="221"/>
      <c r="L4656" s="221"/>
      <c r="M4656" s="221"/>
    </row>
    <row r="4657" spans="5:13">
      <c r="E4657" s="221"/>
      <c r="F4657" s="221"/>
      <c r="G4657" s="221"/>
      <c r="H4657" s="221"/>
      <c r="I4657" s="221"/>
      <c r="J4657" s="221"/>
      <c r="K4657" s="221"/>
      <c r="L4657" s="221"/>
      <c r="M4657" s="221"/>
    </row>
    <row r="4658" spans="5:13">
      <c r="E4658" s="221"/>
      <c r="F4658" s="221"/>
      <c r="G4658" s="221"/>
      <c r="H4658" s="221"/>
      <c r="I4658" s="221"/>
      <c r="J4658" s="221"/>
      <c r="K4658" s="221"/>
      <c r="L4658" s="221"/>
      <c r="M4658" s="221"/>
    </row>
    <row r="4659" spans="5:13">
      <c r="E4659" s="221"/>
      <c r="F4659" s="221"/>
      <c r="G4659" s="221"/>
      <c r="H4659" s="221"/>
      <c r="I4659" s="221"/>
      <c r="J4659" s="221"/>
      <c r="K4659" s="221"/>
      <c r="L4659" s="221"/>
      <c r="M4659" s="221"/>
    </row>
    <row r="4660" spans="5:13">
      <c r="E4660" s="221"/>
      <c r="F4660" s="221"/>
      <c r="G4660" s="221"/>
      <c r="H4660" s="221"/>
      <c r="I4660" s="221"/>
      <c r="J4660" s="221"/>
      <c r="K4660" s="221"/>
      <c r="L4660" s="221"/>
      <c r="M4660" s="221"/>
    </row>
    <row r="4661" spans="5:13">
      <c r="E4661" s="221"/>
      <c r="F4661" s="221"/>
      <c r="G4661" s="221"/>
      <c r="H4661" s="221"/>
      <c r="I4661" s="221"/>
      <c r="J4661" s="221"/>
      <c r="K4661" s="221"/>
      <c r="L4661" s="221"/>
      <c r="M4661" s="221"/>
    </row>
    <row r="4662" spans="5:13">
      <c r="E4662" s="221"/>
      <c r="F4662" s="221"/>
      <c r="G4662" s="221"/>
      <c r="H4662" s="221"/>
      <c r="I4662" s="221"/>
      <c r="J4662" s="221"/>
      <c r="K4662" s="221"/>
      <c r="L4662" s="221"/>
      <c r="M4662" s="221"/>
    </row>
    <row r="4663" spans="5:13">
      <c r="E4663" s="221"/>
      <c r="F4663" s="221"/>
      <c r="G4663" s="221"/>
      <c r="H4663" s="221"/>
      <c r="I4663" s="221"/>
      <c r="J4663" s="221"/>
      <c r="K4663" s="221"/>
      <c r="L4663" s="221"/>
      <c r="M4663" s="221"/>
    </row>
    <row r="4664" spans="5:13">
      <c r="E4664" s="221"/>
      <c r="F4664" s="221"/>
      <c r="G4664" s="221"/>
      <c r="H4664" s="221"/>
      <c r="I4664" s="221"/>
      <c r="J4664" s="221"/>
      <c r="K4664" s="221"/>
      <c r="L4664" s="221"/>
      <c r="M4664" s="221"/>
    </row>
    <row r="4665" spans="5:13">
      <c r="E4665" s="221"/>
      <c r="F4665" s="221"/>
      <c r="G4665" s="221"/>
      <c r="H4665" s="221"/>
      <c r="I4665" s="221"/>
      <c r="J4665" s="221"/>
      <c r="K4665" s="221"/>
      <c r="L4665" s="221"/>
      <c r="M4665" s="221"/>
    </row>
    <row r="4666" spans="5:13">
      <c r="E4666" s="221"/>
      <c r="F4666" s="221"/>
      <c r="G4666" s="221"/>
      <c r="H4666" s="221"/>
      <c r="I4666" s="221"/>
      <c r="J4666" s="221"/>
      <c r="K4666" s="221"/>
      <c r="L4666" s="221"/>
      <c r="M4666" s="221"/>
    </row>
    <row r="4667" spans="5:13">
      <c r="E4667" s="221"/>
      <c r="F4667" s="221"/>
      <c r="G4667" s="221"/>
      <c r="H4667" s="221"/>
      <c r="I4667" s="221"/>
      <c r="J4667" s="221"/>
      <c r="K4667" s="221"/>
      <c r="L4667" s="221"/>
      <c r="M4667" s="221"/>
    </row>
    <row r="4668" spans="5:13">
      <c r="E4668" s="221"/>
      <c r="F4668" s="221"/>
      <c r="G4668" s="221"/>
      <c r="H4668" s="221"/>
      <c r="I4668" s="221"/>
      <c r="J4668" s="221"/>
      <c r="K4668" s="221"/>
      <c r="L4668" s="221"/>
      <c r="M4668" s="221"/>
    </row>
    <row r="4669" spans="5:13">
      <c r="E4669" s="221"/>
      <c r="F4669" s="221"/>
      <c r="G4669" s="221"/>
      <c r="H4669" s="221"/>
      <c r="I4669" s="221"/>
      <c r="J4669" s="221"/>
      <c r="K4669" s="221"/>
      <c r="L4669" s="221"/>
      <c r="M4669" s="221"/>
    </row>
    <row r="4670" spans="5:13">
      <c r="E4670" s="221"/>
      <c r="F4670" s="221"/>
      <c r="G4670" s="221"/>
      <c r="H4670" s="221"/>
      <c r="I4670" s="221"/>
      <c r="J4670" s="221"/>
      <c r="K4670" s="221"/>
      <c r="L4670" s="221"/>
      <c r="M4670" s="221"/>
    </row>
    <row r="4671" spans="5:13">
      <c r="E4671" s="221"/>
      <c r="F4671" s="221"/>
      <c r="G4671" s="221"/>
      <c r="H4671" s="221"/>
      <c r="I4671" s="221"/>
      <c r="J4671" s="221"/>
      <c r="K4671" s="221"/>
      <c r="L4671" s="221"/>
      <c r="M4671" s="221"/>
    </row>
    <row r="4672" spans="5:13">
      <c r="E4672" s="221"/>
      <c r="F4672" s="221"/>
      <c r="G4672" s="221"/>
      <c r="H4672" s="221"/>
      <c r="I4672" s="221"/>
      <c r="J4672" s="221"/>
      <c r="K4672" s="221"/>
      <c r="L4672" s="221"/>
      <c r="M4672" s="221"/>
    </row>
    <row r="4673" spans="5:13">
      <c r="E4673" s="221"/>
      <c r="F4673" s="221"/>
      <c r="G4673" s="221"/>
      <c r="H4673" s="221"/>
      <c r="I4673" s="221"/>
      <c r="J4673" s="221"/>
      <c r="K4673" s="221"/>
      <c r="L4673" s="221"/>
      <c r="M4673" s="221"/>
    </row>
    <row r="4674" spans="5:13">
      <c r="E4674" s="221"/>
      <c r="F4674" s="221"/>
      <c r="G4674" s="221"/>
      <c r="H4674" s="221"/>
      <c r="I4674" s="221"/>
      <c r="J4674" s="221"/>
      <c r="K4674" s="221"/>
      <c r="L4674" s="221"/>
      <c r="M4674" s="221"/>
    </row>
    <row r="4675" spans="5:13">
      <c r="E4675" s="221"/>
      <c r="F4675" s="221"/>
      <c r="G4675" s="221"/>
      <c r="H4675" s="221"/>
      <c r="I4675" s="221"/>
      <c r="J4675" s="221"/>
      <c r="K4675" s="221"/>
      <c r="L4675" s="221"/>
      <c r="M4675" s="221"/>
    </row>
    <row r="4676" spans="5:13">
      <c r="E4676" s="221"/>
      <c r="F4676" s="221"/>
      <c r="G4676" s="221"/>
      <c r="H4676" s="221"/>
      <c r="I4676" s="221"/>
      <c r="J4676" s="221"/>
      <c r="K4676" s="221"/>
      <c r="L4676" s="221"/>
      <c r="M4676" s="221"/>
    </row>
    <row r="4677" spans="5:13">
      <c r="E4677" s="221"/>
      <c r="F4677" s="221"/>
      <c r="G4677" s="221"/>
      <c r="H4677" s="221"/>
      <c r="I4677" s="221"/>
      <c r="J4677" s="221"/>
      <c r="K4677" s="221"/>
      <c r="L4677" s="221"/>
      <c r="M4677" s="221"/>
    </row>
    <row r="4678" spans="5:13">
      <c r="E4678" s="221"/>
      <c r="F4678" s="221"/>
      <c r="G4678" s="221"/>
      <c r="H4678" s="221"/>
      <c r="I4678" s="221"/>
      <c r="J4678" s="221"/>
      <c r="K4678" s="221"/>
      <c r="L4678" s="221"/>
      <c r="M4678" s="221"/>
    </row>
    <row r="4679" spans="5:13">
      <c r="E4679" s="221"/>
      <c r="F4679" s="221"/>
      <c r="G4679" s="221"/>
      <c r="H4679" s="221"/>
      <c r="I4679" s="221"/>
      <c r="J4679" s="221"/>
      <c r="K4679" s="221"/>
      <c r="L4679" s="221"/>
      <c r="M4679" s="221"/>
    </row>
    <row r="4680" spans="5:13">
      <c r="E4680" s="221"/>
      <c r="F4680" s="221"/>
      <c r="G4680" s="221"/>
      <c r="H4680" s="221"/>
      <c r="I4680" s="221"/>
      <c r="J4680" s="221"/>
      <c r="K4680" s="221"/>
      <c r="L4680" s="221"/>
      <c r="M4680" s="221"/>
    </row>
    <row r="4681" spans="5:13">
      <c r="E4681" s="221"/>
      <c r="F4681" s="221"/>
      <c r="G4681" s="221"/>
      <c r="H4681" s="221"/>
      <c r="I4681" s="221"/>
      <c r="J4681" s="221"/>
      <c r="K4681" s="221"/>
      <c r="L4681" s="221"/>
      <c r="M4681" s="221"/>
    </row>
    <row r="4682" spans="5:13">
      <c r="E4682" s="221"/>
      <c r="F4682" s="221"/>
      <c r="G4682" s="221"/>
      <c r="H4682" s="221"/>
      <c r="I4682" s="221"/>
      <c r="J4682" s="221"/>
      <c r="K4682" s="221"/>
      <c r="L4682" s="221"/>
      <c r="M4682" s="221"/>
    </row>
    <row r="4683" spans="5:13">
      <c r="E4683" s="221"/>
      <c r="F4683" s="221"/>
      <c r="G4683" s="221"/>
      <c r="H4683" s="221"/>
      <c r="I4683" s="221"/>
      <c r="J4683" s="221"/>
      <c r="K4683" s="221"/>
      <c r="L4683" s="221"/>
      <c r="M4683" s="221"/>
    </row>
    <row r="4684" spans="5:13">
      <c r="E4684" s="221"/>
      <c r="F4684" s="221"/>
      <c r="G4684" s="221"/>
      <c r="H4684" s="221"/>
      <c r="I4684" s="221"/>
      <c r="J4684" s="221"/>
      <c r="K4684" s="221"/>
      <c r="L4684" s="221"/>
      <c r="M4684" s="221"/>
    </row>
    <row r="4685" spans="5:13">
      <c r="E4685" s="221"/>
      <c r="F4685" s="221"/>
      <c r="G4685" s="221"/>
      <c r="H4685" s="221"/>
      <c r="I4685" s="221"/>
      <c r="J4685" s="221"/>
      <c r="K4685" s="221"/>
      <c r="L4685" s="221"/>
      <c r="M4685" s="221"/>
    </row>
    <row r="4686" spans="5:13">
      <c r="E4686" s="221"/>
      <c r="F4686" s="221"/>
      <c r="G4686" s="221"/>
      <c r="H4686" s="221"/>
      <c r="I4686" s="221"/>
      <c r="J4686" s="221"/>
      <c r="K4686" s="221"/>
      <c r="L4686" s="221"/>
      <c r="M4686" s="221"/>
    </row>
    <row r="4687" spans="5:13">
      <c r="E4687" s="221"/>
      <c r="F4687" s="221"/>
      <c r="G4687" s="221"/>
      <c r="H4687" s="221"/>
      <c r="I4687" s="221"/>
      <c r="J4687" s="221"/>
      <c r="K4687" s="221"/>
      <c r="L4687" s="221"/>
      <c r="M4687" s="221"/>
    </row>
    <row r="4688" spans="5:13">
      <c r="E4688" s="221"/>
      <c r="F4688" s="221"/>
      <c r="G4688" s="221"/>
      <c r="H4688" s="221"/>
      <c r="I4688" s="221"/>
      <c r="J4688" s="221"/>
      <c r="K4688" s="221"/>
      <c r="L4688" s="221"/>
      <c r="M4688" s="221"/>
    </row>
    <row r="4689" spans="5:13">
      <c r="E4689" s="221"/>
      <c r="F4689" s="221"/>
      <c r="G4689" s="221"/>
      <c r="H4689" s="221"/>
      <c r="I4689" s="221"/>
      <c r="J4689" s="221"/>
      <c r="K4689" s="221"/>
      <c r="L4689" s="221"/>
      <c r="M4689" s="221"/>
    </row>
    <row r="4690" spans="5:13">
      <c r="E4690" s="221"/>
      <c r="F4690" s="221"/>
      <c r="G4690" s="221"/>
      <c r="H4690" s="221"/>
      <c r="I4690" s="221"/>
      <c r="J4690" s="221"/>
      <c r="K4690" s="221"/>
      <c r="L4690" s="221"/>
      <c r="M4690" s="221"/>
    </row>
    <row r="4691" spans="5:13">
      <c r="E4691" s="221"/>
      <c r="F4691" s="221"/>
      <c r="G4691" s="221"/>
      <c r="H4691" s="221"/>
      <c r="I4691" s="221"/>
      <c r="J4691" s="221"/>
      <c r="K4691" s="221"/>
      <c r="L4691" s="221"/>
      <c r="M4691" s="221"/>
    </row>
    <row r="4692" spans="5:13">
      <c r="E4692" s="221"/>
      <c r="F4692" s="221"/>
      <c r="G4692" s="221"/>
      <c r="H4692" s="221"/>
      <c r="I4692" s="221"/>
      <c r="J4692" s="221"/>
      <c r="K4692" s="221"/>
      <c r="L4692" s="221"/>
      <c r="M4692" s="221"/>
    </row>
    <row r="4693" spans="5:13">
      <c r="E4693" s="221"/>
      <c r="F4693" s="221"/>
      <c r="G4693" s="221"/>
      <c r="H4693" s="221"/>
      <c r="I4693" s="221"/>
      <c r="J4693" s="221"/>
      <c r="K4693" s="221"/>
      <c r="L4693" s="221"/>
      <c r="M4693" s="221"/>
    </row>
    <row r="4694" spans="5:13">
      <c r="E4694" s="221"/>
      <c r="F4694" s="221"/>
      <c r="G4694" s="221"/>
      <c r="H4694" s="221"/>
      <c r="I4694" s="221"/>
      <c r="J4694" s="221"/>
      <c r="K4694" s="221"/>
      <c r="L4694" s="221"/>
      <c r="M4694" s="221"/>
    </row>
    <row r="4695" spans="5:13">
      <c r="E4695" s="221"/>
      <c r="F4695" s="221"/>
      <c r="G4695" s="221"/>
      <c r="H4695" s="221"/>
      <c r="I4695" s="221"/>
      <c r="J4695" s="221"/>
      <c r="K4695" s="221"/>
      <c r="L4695" s="221"/>
      <c r="M4695" s="221"/>
    </row>
    <row r="4696" spans="5:13">
      <c r="E4696" s="221"/>
      <c r="F4696" s="221"/>
      <c r="G4696" s="221"/>
      <c r="H4696" s="221"/>
      <c r="I4696" s="221"/>
      <c r="J4696" s="221"/>
      <c r="K4696" s="221"/>
      <c r="L4696" s="221"/>
      <c r="M4696" s="221"/>
    </row>
    <row r="4697" spans="5:13">
      <c r="E4697" s="221"/>
      <c r="F4697" s="221"/>
      <c r="G4697" s="221"/>
      <c r="H4697" s="221"/>
      <c r="I4697" s="221"/>
      <c r="J4697" s="221"/>
      <c r="K4697" s="221"/>
      <c r="L4697" s="221"/>
      <c r="M4697" s="221"/>
    </row>
    <row r="4698" spans="5:13">
      <c r="E4698" s="221"/>
      <c r="F4698" s="221"/>
      <c r="G4698" s="221"/>
      <c r="H4698" s="221"/>
      <c r="I4698" s="221"/>
      <c r="J4698" s="221"/>
      <c r="K4698" s="221"/>
      <c r="L4698" s="221"/>
      <c r="M4698" s="221"/>
    </row>
    <row r="4699" spans="5:13">
      <c r="E4699" s="221"/>
      <c r="F4699" s="221"/>
      <c r="G4699" s="221"/>
      <c r="H4699" s="221"/>
      <c r="I4699" s="221"/>
      <c r="J4699" s="221"/>
      <c r="K4699" s="221"/>
      <c r="L4699" s="221"/>
      <c r="M4699" s="221"/>
    </row>
    <row r="4700" spans="5:13">
      <c r="E4700" s="221"/>
      <c r="F4700" s="221"/>
      <c r="G4700" s="221"/>
      <c r="H4700" s="221"/>
      <c r="I4700" s="221"/>
      <c r="J4700" s="221"/>
      <c r="K4700" s="221"/>
      <c r="L4700" s="221"/>
      <c r="M4700" s="221"/>
    </row>
    <row r="4701" spans="5:13">
      <c r="E4701" s="221"/>
      <c r="F4701" s="221"/>
      <c r="G4701" s="221"/>
      <c r="H4701" s="221"/>
      <c r="I4701" s="221"/>
      <c r="J4701" s="221"/>
      <c r="K4701" s="221"/>
      <c r="L4701" s="221"/>
      <c r="M4701" s="221"/>
    </row>
    <row r="4702" spans="5:13">
      <c r="E4702" s="221"/>
      <c r="F4702" s="221"/>
      <c r="G4702" s="221"/>
      <c r="H4702" s="221"/>
      <c r="I4702" s="221"/>
      <c r="J4702" s="221"/>
      <c r="K4702" s="221"/>
      <c r="L4702" s="221"/>
      <c r="M4702" s="221"/>
    </row>
    <row r="4703" spans="5:13">
      <c r="E4703" s="221"/>
      <c r="F4703" s="221"/>
      <c r="G4703" s="221"/>
      <c r="H4703" s="221"/>
      <c r="I4703" s="221"/>
      <c r="J4703" s="221"/>
      <c r="K4703" s="221"/>
      <c r="L4703" s="221"/>
      <c r="M4703" s="221"/>
    </row>
    <row r="4704" spans="5:13">
      <c r="E4704" s="221"/>
      <c r="F4704" s="221"/>
      <c r="G4704" s="221"/>
      <c r="H4704" s="221"/>
      <c r="I4704" s="221"/>
      <c r="J4704" s="221"/>
      <c r="K4704" s="221"/>
      <c r="L4704" s="221"/>
      <c r="M4704" s="221"/>
    </row>
    <row r="4705" spans="5:13">
      <c r="E4705" s="221"/>
      <c r="F4705" s="221"/>
      <c r="G4705" s="221"/>
      <c r="H4705" s="221"/>
      <c r="I4705" s="221"/>
      <c r="J4705" s="221"/>
      <c r="K4705" s="221"/>
      <c r="L4705" s="221"/>
      <c r="M4705" s="221"/>
    </row>
    <row r="4706" spans="5:13">
      <c r="E4706" s="221"/>
      <c r="F4706" s="221"/>
      <c r="G4706" s="221"/>
      <c r="H4706" s="221"/>
      <c r="I4706" s="221"/>
      <c r="J4706" s="221"/>
      <c r="K4706" s="221"/>
      <c r="L4706" s="221"/>
      <c r="M4706" s="221"/>
    </row>
    <row r="4707" spans="5:13">
      <c r="E4707" s="221"/>
      <c r="F4707" s="221"/>
      <c r="G4707" s="221"/>
      <c r="H4707" s="221"/>
      <c r="I4707" s="221"/>
      <c r="J4707" s="221"/>
      <c r="K4707" s="221"/>
      <c r="L4707" s="221"/>
      <c r="M4707" s="221"/>
    </row>
    <row r="4708" spans="5:13">
      <c r="E4708" s="221"/>
      <c r="F4708" s="221"/>
      <c r="G4708" s="221"/>
      <c r="H4708" s="221"/>
      <c r="I4708" s="221"/>
      <c r="J4708" s="221"/>
      <c r="K4708" s="221"/>
      <c r="L4708" s="221"/>
      <c r="M4708" s="221"/>
    </row>
    <row r="4709" spans="5:13">
      <c r="E4709" s="221"/>
      <c r="F4709" s="221"/>
      <c r="G4709" s="221"/>
      <c r="H4709" s="221"/>
      <c r="I4709" s="221"/>
      <c r="J4709" s="221"/>
      <c r="K4709" s="221"/>
      <c r="L4709" s="221"/>
      <c r="M4709" s="221"/>
    </row>
    <row r="4710" spans="5:13">
      <c r="E4710" s="221"/>
      <c r="F4710" s="221"/>
      <c r="G4710" s="221"/>
      <c r="H4710" s="221"/>
      <c r="I4710" s="221"/>
      <c r="J4710" s="221"/>
      <c r="K4710" s="221"/>
      <c r="L4710" s="221"/>
      <c r="M4710" s="221"/>
    </row>
    <row r="4711" spans="5:13">
      <c r="E4711" s="221"/>
      <c r="F4711" s="221"/>
      <c r="G4711" s="221"/>
      <c r="H4711" s="221"/>
      <c r="I4711" s="221"/>
      <c r="J4711" s="221"/>
      <c r="K4711" s="221"/>
      <c r="L4711" s="221"/>
      <c r="M4711" s="221"/>
    </row>
    <row r="4712" spans="5:13">
      <c r="E4712" s="221"/>
      <c r="F4712" s="221"/>
      <c r="G4712" s="221"/>
      <c r="H4712" s="221"/>
      <c r="I4712" s="221"/>
      <c r="J4712" s="221"/>
      <c r="K4712" s="221"/>
      <c r="L4712" s="221"/>
      <c r="M4712" s="221"/>
    </row>
    <row r="4713" spans="5:13">
      <c r="E4713" s="221"/>
      <c r="F4713" s="221"/>
      <c r="G4713" s="221"/>
      <c r="H4713" s="221"/>
      <c r="I4713" s="221"/>
      <c r="J4713" s="221"/>
      <c r="K4713" s="221"/>
      <c r="L4713" s="221"/>
      <c r="M4713" s="221"/>
    </row>
    <row r="4714" spans="5:13">
      <c r="E4714" s="221"/>
      <c r="F4714" s="221"/>
      <c r="G4714" s="221"/>
      <c r="H4714" s="221"/>
      <c r="I4714" s="221"/>
      <c r="J4714" s="221"/>
      <c r="K4714" s="221"/>
      <c r="L4714" s="221"/>
      <c r="M4714" s="221"/>
    </row>
    <row r="4715" spans="5:13">
      <c r="E4715" s="221"/>
      <c r="F4715" s="221"/>
      <c r="G4715" s="221"/>
      <c r="H4715" s="221"/>
      <c r="I4715" s="221"/>
      <c r="J4715" s="221"/>
      <c r="K4715" s="221"/>
      <c r="L4715" s="221"/>
      <c r="M4715" s="221"/>
    </row>
    <row r="4716" spans="5:13">
      <c r="E4716" s="221"/>
      <c r="F4716" s="221"/>
      <c r="G4716" s="221"/>
      <c r="H4716" s="221"/>
      <c r="I4716" s="221"/>
      <c r="J4716" s="221"/>
      <c r="K4716" s="221"/>
      <c r="L4716" s="221"/>
      <c r="M4716" s="221"/>
    </row>
    <row r="4717" spans="5:13">
      <c r="E4717" s="221"/>
      <c r="F4717" s="221"/>
      <c r="G4717" s="221"/>
      <c r="H4717" s="221"/>
      <c r="I4717" s="221"/>
      <c r="J4717" s="221"/>
      <c r="K4717" s="221"/>
      <c r="L4717" s="221"/>
      <c r="M4717" s="221"/>
    </row>
    <row r="4718" spans="5:13">
      <c r="E4718" s="221"/>
      <c r="F4718" s="221"/>
      <c r="G4718" s="221"/>
      <c r="H4718" s="221"/>
      <c r="I4718" s="221"/>
      <c r="J4718" s="221"/>
      <c r="K4718" s="221"/>
      <c r="L4718" s="221"/>
      <c r="M4718" s="221"/>
    </row>
    <row r="4719" spans="5:13">
      <c r="E4719" s="221"/>
      <c r="F4719" s="221"/>
      <c r="G4719" s="221"/>
      <c r="H4719" s="221"/>
      <c r="I4719" s="221"/>
      <c r="J4719" s="221"/>
      <c r="K4719" s="221"/>
      <c r="L4719" s="221"/>
      <c r="M4719" s="221"/>
    </row>
    <row r="4720" spans="5:13">
      <c r="E4720" s="221"/>
      <c r="F4720" s="221"/>
      <c r="G4720" s="221"/>
      <c r="H4720" s="221"/>
      <c r="I4720" s="221"/>
      <c r="J4720" s="221"/>
      <c r="K4720" s="221"/>
      <c r="L4720" s="221"/>
      <c r="M4720" s="221"/>
    </row>
    <row r="4721" spans="5:13">
      <c r="E4721" s="221"/>
      <c r="F4721" s="221"/>
      <c r="G4721" s="221"/>
      <c r="H4721" s="221"/>
      <c r="I4721" s="221"/>
      <c r="J4721" s="221"/>
      <c r="K4721" s="221"/>
      <c r="L4721" s="221"/>
      <c r="M4721" s="221"/>
    </row>
    <row r="4722" spans="5:13">
      <c r="E4722" s="221"/>
      <c r="F4722" s="221"/>
      <c r="G4722" s="221"/>
      <c r="H4722" s="221"/>
      <c r="I4722" s="221"/>
      <c r="J4722" s="221"/>
      <c r="K4722" s="221"/>
      <c r="L4722" s="221"/>
      <c r="M4722" s="221"/>
    </row>
    <row r="4723" spans="5:13">
      <c r="E4723" s="221"/>
      <c r="F4723" s="221"/>
      <c r="G4723" s="221"/>
      <c r="H4723" s="221"/>
      <c r="I4723" s="221"/>
      <c r="J4723" s="221"/>
      <c r="K4723" s="221"/>
      <c r="L4723" s="221"/>
      <c r="M4723" s="221"/>
    </row>
    <row r="4724" spans="5:13">
      <c r="E4724" s="221"/>
      <c r="F4724" s="221"/>
      <c r="G4724" s="221"/>
      <c r="H4724" s="221"/>
      <c r="I4724" s="221"/>
      <c r="J4724" s="221"/>
      <c r="K4724" s="221"/>
      <c r="L4724" s="221"/>
      <c r="M4724" s="221"/>
    </row>
    <row r="4725" spans="5:13">
      <c r="E4725" s="221"/>
      <c r="F4725" s="221"/>
      <c r="G4725" s="221"/>
      <c r="H4725" s="221"/>
      <c r="I4725" s="221"/>
      <c r="J4725" s="221"/>
      <c r="K4725" s="221"/>
      <c r="L4725" s="221"/>
      <c r="M4725" s="221"/>
    </row>
    <row r="4726" spans="5:13">
      <c r="E4726" s="221"/>
      <c r="F4726" s="221"/>
      <c r="G4726" s="221"/>
      <c r="H4726" s="221"/>
      <c r="I4726" s="221"/>
      <c r="J4726" s="221"/>
      <c r="K4726" s="221"/>
      <c r="L4726" s="221"/>
      <c r="M4726" s="221"/>
    </row>
    <row r="4727" spans="5:13">
      <c r="E4727" s="221"/>
      <c r="F4727" s="221"/>
      <c r="G4727" s="221"/>
      <c r="H4727" s="221"/>
      <c r="I4727" s="221"/>
      <c r="J4727" s="221"/>
      <c r="K4727" s="221"/>
      <c r="L4727" s="221"/>
      <c r="M4727" s="221"/>
    </row>
    <row r="4728" spans="5:13">
      <c r="E4728" s="221"/>
      <c r="F4728" s="221"/>
      <c r="G4728" s="221"/>
      <c r="H4728" s="221"/>
      <c r="I4728" s="221"/>
      <c r="J4728" s="221"/>
      <c r="K4728" s="221"/>
      <c r="L4728" s="221"/>
      <c r="M4728" s="221"/>
    </row>
    <row r="4729" spans="5:13">
      <c r="E4729" s="221"/>
      <c r="F4729" s="221"/>
      <c r="G4729" s="221"/>
      <c r="H4729" s="221"/>
      <c r="I4729" s="221"/>
      <c r="J4729" s="221"/>
      <c r="K4729" s="221"/>
      <c r="L4729" s="221"/>
      <c r="M4729" s="221"/>
    </row>
    <row r="4730" spans="5:13">
      <c r="E4730" s="221"/>
      <c r="F4730" s="221"/>
      <c r="G4730" s="221"/>
      <c r="H4730" s="221"/>
      <c r="I4730" s="221"/>
      <c r="J4730" s="221"/>
      <c r="K4730" s="221"/>
      <c r="L4730" s="221"/>
      <c r="M4730" s="221"/>
    </row>
    <row r="4731" spans="5:13">
      <c r="E4731" s="221"/>
      <c r="F4731" s="221"/>
      <c r="G4731" s="221"/>
      <c r="H4731" s="221"/>
      <c r="I4731" s="221"/>
      <c r="J4731" s="221"/>
      <c r="K4731" s="221"/>
      <c r="L4731" s="221"/>
      <c r="M4731" s="221"/>
    </row>
    <row r="4732" spans="5:13">
      <c r="E4732" s="221"/>
      <c r="F4732" s="221"/>
      <c r="G4732" s="221"/>
      <c r="H4732" s="221"/>
      <c r="I4732" s="221"/>
      <c r="J4732" s="221"/>
      <c r="K4732" s="221"/>
      <c r="L4732" s="221"/>
      <c r="M4732" s="221"/>
    </row>
    <row r="4733" spans="5:13">
      <c r="E4733" s="221"/>
      <c r="F4733" s="221"/>
      <c r="G4733" s="221"/>
      <c r="H4733" s="221"/>
      <c r="I4733" s="221"/>
      <c r="J4733" s="221"/>
      <c r="K4733" s="221"/>
      <c r="L4733" s="221"/>
      <c r="M4733" s="221"/>
    </row>
    <row r="4734" spans="5:13">
      <c r="E4734" s="221"/>
      <c r="F4734" s="221"/>
      <c r="G4734" s="221"/>
      <c r="H4734" s="221"/>
      <c r="I4734" s="221"/>
      <c r="J4734" s="221"/>
      <c r="K4734" s="221"/>
      <c r="L4734" s="221"/>
      <c r="M4734" s="221"/>
    </row>
    <row r="4735" spans="5:13">
      <c r="E4735" s="221"/>
      <c r="F4735" s="221"/>
      <c r="G4735" s="221"/>
      <c r="H4735" s="221"/>
      <c r="I4735" s="221"/>
      <c r="J4735" s="221"/>
      <c r="K4735" s="221"/>
      <c r="L4735" s="221"/>
      <c r="M4735" s="221"/>
    </row>
    <row r="4736" spans="5:13">
      <c r="E4736" s="221"/>
      <c r="F4736" s="221"/>
      <c r="G4736" s="221"/>
      <c r="H4736" s="221"/>
      <c r="I4736" s="221"/>
      <c r="J4736" s="221"/>
      <c r="K4736" s="221"/>
      <c r="L4736" s="221"/>
      <c r="M4736" s="221"/>
    </row>
    <row r="4737" spans="5:13">
      <c r="E4737" s="221"/>
      <c r="F4737" s="221"/>
      <c r="G4737" s="221"/>
      <c r="H4737" s="221"/>
      <c r="I4737" s="221"/>
      <c r="J4737" s="221"/>
      <c r="K4737" s="221"/>
      <c r="L4737" s="221"/>
      <c r="M4737" s="221"/>
    </row>
    <row r="4738" spans="5:13">
      <c r="E4738" s="221"/>
      <c r="F4738" s="221"/>
      <c r="G4738" s="221"/>
      <c r="H4738" s="221"/>
      <c r="I4738" s="221"/>
      <c r="J4738" s="221"/>
      <c r="K4738" s="221"/>
      <c r="L4738" s="221"/>
      <c r="M4738" s="221"/>
    </row>
    <row r="4739" spans="5:13">
      <c r="E4739" s="221"/>
      <c r="F4739" s="221"/>
      <c r="G4739" s="221"/>
      <c r="H4739" s="221"/>
      <c r="I4739" s="221"/>
      <c r="J4739" s="221"/>
      <c r="K4739" s="221"/>
      <c r="L4739" s="221"/>
      <c r="M4739" s="221"/>
    </row>
    <row r="4740" spans="5:13">
      <c r="E4740" s="221"/>
      <c r="F4740" s="221"/>
      <c r="G4740" s="221"/>
      <c r="H4740" s="221"/>
      <c r="I4740" s="221"/>
      <c r="J4740" s="221"/>
      <c r="K4740" s="221"/>
      <c r="L4740" s="221"/>
      <c r="M4740" s="221"/>
    </row>
    <row r="4741" spans="5:13">
      <c r="E4741" s="221"/>
      <c r="F4741" s="221"/>
      <c r="G4741" s="221"/>
      <c r="H4741" s="221"/>
      <c r="I4741" s="221"/>
      <c r="J4741" s="221"/>
      <c r="K4741" s="221"/>
      <c r="L4741" s="221"/>
      <c r="M4741" s="221"/>
    </row>
    <row r="4742" spans="5:13">
      <c r="E4742" s="221"/>
      <c r="F4742" s="221"/>
      <c r="G4742" s="221"/>
      <c r="H4742" s="221"/>
      <c r="I4742" s="221"/>
      <c r="J4742" s="221"/>
      <c r="K4742" s="221"/>
      <c r="L4742" s="221"/>
      <c r="M4742" s="221"/>
    </row>
    <row r="4743" spans="5:13">
      <c r="E4743" s="221"/>
      <c r="F4743" s="221"/>
      <c r="G4743" s="221"/>
      <c r="H4743" s="221"/>
      <c r="I4743" s="221"/>
      <c r="J4743" s="221"/>
      <c r="K4743" s="221"/>
      <c r="L4743" s="221"/>
      <c r="M4743" s="221"/>
    </row>
    <row r="4744" spans="5:13">
      <c r="E4744" s="221"/>
      <c r="F4744" s="221"/>
      <c r="G4744" s="221"/>
      <c r="H4744" s="221"/>
      <c r="I4744" s="221"/>
      <c r="J4744" s="221"/>
      <c r="K4744" s="221"/>
      <c r="L4744" s="221"/>
      <c r="M4744" s="221"/>
    </row>
    <row r="4745" spans="5:13">
      <c r="E4745" s="221"/>
      <c r="F4745" s="221"/>
      <c r="G4745" s="221"/>
      <c r="H4745" s="221"/>
      <c r="I4745" s="221"/>
      <c r="J4745" s="221"/>
      <c r="K4745" s="221"/>
      <c r="L4745" s="221"/>
      <c r="M4745" s="221"/>
    </row>
    <row r="4746" spans="5:13">
      <c r="E4746" s="221"/>
      <c r="F4746" s="221"/>
      <c r="G4746" s="221"/>
      <c r="H4746" s="221"/>
      <c r="I4746" s="221"/>
      <c r="J4746" s="221"/>
      <c r="K4746" s="221"/>
      <c r="L4746" s="221"/>
      <c r="M4746" s="221"/>
    </row>
    <row r="4747" spans="5:13">
      <c r="E4747" s="221"/>
      <c r="F4747" s="221"/>
      <c r="G4747" s="221"/>
      <c r="H4747" s="221"/>
      <c r="I4747" s="221"/>
      <c r="J4747" s="221"/>
      <c r="K4747" s="221"/>
      <c r="L4747" s="221"/>
      <c r="M4747" s="221"/>
    </row>
    <row r="4748" spans="5:13">
      <c r="E4748" s="221"/>
      <c r="F4748" s="221"/>
      <c r="G4748" s="221"/>
      <c r="H4748" s="221"/>
      <c r="I4748" s="221"/>
      <c r="J4748" s="221"/>
      <c r="K4748" s="221"/>
      <c r="L4748" s="221"/>
      <c r="M4748" s="221"/>
    </row>
    <row r="4749" spans="5:13">
      <c r="E4749" s="221"/>
      <c r="F4749" s="221"/>
      <c r="G4749" s="221"/>
      <c r="H4749" s="221"/>
      <c r="I4749" s="221"/>
      <c r="J4749" s="221"/>
      <c r="K4749" s="221"/>
      <c r="L4749" s="221"/>
      <c r="M4749" s="221"/>
    </row>
    <row r="4750" spans="5:13">
      <c r="E4750" s="221"/>
      <c r="F4750" s="221"/>
      <c r="G4750" s="221"/>
      <c r="H4750" s="221"/>
      <c r="I4750" s="221"/>
      <c r="J4750" s="221"/>
      <c r="K4750" s="221"/>
      <c r="L4750" s="221"/>
      <c r="M4750" s="221"/>
    </row>
    <row r="4751" spans="5:13">
      <c r="E4751" s="221"/>
      <c r="F4751" s="221"/>
      <c r="G4751" s="221"/>
      <c r="H4751" s="221"/>
      <c r="I4751" s="221"/>
      <c r="J4751" s="221"/>
      <c r="K4751" s="221"/>
      <c r="L4751" s="221"/>
      <c r="M4751" s="221"/>
    </row>
    <row r="4752" spans="5:13">
      <c r="E4752" s="221"/>
      <c r="F4752" s="221"/>
      <c r="G4752" s="221"/>
      <c r="H4752" s="221"/>
      <c r="I4752" s="221"/>
      <c r="J4752" s="221"/>
      <c r="K4752" s="221"/>
      <c r="L4752" s="221"/>
      <c r="M4752" s="221"/>
    </row>
    <row r="4753" spans="5:13">
      <c r="E4753" s="221"/>
      <c r="F4753" s="221"/>
      <c r="G4753" s="221"/>
      <c r="H4753" s="221"/>
      <c r="I4753" s="221"/>
      <c r="J4753" s="221"/>
      <c r="K4753" s="221"/>
      <c r="L4753" s="221"/>
      <c r="M4753" s="221"/>
    </row>
    <row r="4754" spans="5:13">
      <c r="E4754" s="221"/>
      <c r="F4754" s="221"/>
      <c r="G4754" s="221"/>
      <c r="H4754" s="221"/>
      <c r="I4754" s="221"/>
      <c r="J4754" s="221"/>
      <c r="K4754" s="221"/>
      <c r="L4754" s="221"/>
      <c r="M4754" s="221"/>
    </row>
    <row r="4755" spans="5:13">
      <c r="E4755" s="221"/>
      <c r="F4755" s="221"/>
      <c r="G4755" s="221"/>
      <c r="H4755" s="221"/>
      <c r="I4755" s="221"/>
      <c r="J4755" s="221"/>
      <c r="K4755" s="221"/>
      <c r="L4755" s="221"/>
      <c r="M4755" s="221"/>
    </row>
    <row r="4756" spans="5:13">
      <c r="E4756" s="221"/>
      <c r="F4756" s="221"/>
      <c r="G4756" s="221"/>
      <c r="H4756" s="221"/>
      <c r="I4756" s="221"/>
      <c r="J4756" s="221"/>
      <c r="K4756" s="221"/>
      <c r="L4756" s="221"/>
      <c r="M4756" s="221"/>
    </row>
    <row r="4757" spans="5:13">
      <c r="E4757" s="221"/>
      <c r="F4757" s="221"/>
      <c r="G4757" s="221"/>
      <c r="H4757" s="221"/>
      <c r="I4757" s="221"/>
      <c r="J4757" s="221"/>
      <c r="K4757" s="221"/>
      <c r="L4757" s="221"/>
      <c r="M4757" s="221"/>
    </row>
    <row r="4758" spans="5:13">
      <c r="E4758" s="221"/>
      <c r="F4758" s="221"/>
      <c r="G4758" s="221"/>
      <c r="H4758" s="221"/>
      <c r="I4758" s="221"/>
      <c r="J4758" s="221"/>
      <c r="K4758" s="221"/>
      <c r="L4758" s="221"/>
      <c r="M4758" s="221"/>
    </row>
    <row r="4759" spans="5:13">
      <c r="E4759" s="221"/>
      <c r="F4759" s="221"/>
      <c r="G4759" s="221"/>
      <c r="H4759" s="221"/>
      <c r="I4759" s="221"/>
      <c r="J4759" s="221"/>
      <c r="K4759" s="221"/>
      <c r="L4759" s="221"/>
      <c r="M4759" s="221"/>
    </row>
    <row r="4760" spans="5:13">
      <c r="E4760" s="221"/>
      <c r="F4760" s="221"/>
      <c r="G4760" s="221"/>
      <c r="H4760" s="221"/>
      <c r="I4760" s="221"/>
      <c r="J4760" s="221"/>
      <c r="K4760" s="221"/>
      <c r="L4760" s="221"/>
      <c r="M4760" s="221"/>
    </row>
    <row r="4761" spans="5:13">
      <c r="E4761" s="221"/>
      <c r="F4761" s="221"/>
      <c r="G4761" s="221"/>
      <c r="H4761" s="221"/>
      <c r="I4761" s="221"/>
      <c r="J4761" s="221"/>
      <c r="K4761" s="221"/>
      <c r="L4761" s="221"/>
      <c r="M4761" s="221"/>
    </row>
    <row r="4762" spans="5:13">
      <c r="E4762" s="221"/>
      <c r="F4762" s="221"/>
      <c r="G4762" s="221"/>
      <c r="H4762" s="221"/>
      <c r="I4762" s="221"/>
      <c r="J4762" s="221"/>
      <c r="K4762" s="221"/>
      <c r="L4762" s="221"/>
      <c r="M4762" s="221"/>
    </row>
    <row r="4763" spans="5:13">
      <c r="E4763" s="221"/>
      <c r="F4763" s="221"/>
      <c r="G4763" s="221"/>
      <c r="H4763" s="221"/>
      <c r="I4763" s="221"/>
      <c r="J4763" s="221"/>
      <c r="K4763" s="221"/>
      <c r="L4763" s="221"/>
      <c r="M4763" s="221"/>
    </row>
    <row r="4764" spans="5:13">
      <c r="E4764" s="221"/>
      <c r="F4764" s="221"/>
      <c r="G4764" s="221"/>
      <c r="H4764" s="221"/>
      <c r="I4764" s="221"/>
      <c r="J4764" s="221"/>
      <c r="K4764" s="221"/>
      <c r="L4764" s="221"/>
      <c r="M4764" s="221"/>
    </row>
    <row r="4765" spans="5:13">
      <c r="E4765" s="221"/>
      <c r="F4765" s="221"/>
      <c r="G4765" s="221"/>
      <c r="H4765" s="221"/>
      <c r="I4765" s="221"/>
      <c r="J4765" s="221"/>
      <c r="K4765" s="221"/>
      <c r="L4765" s="221"/>
      <c r="M4765" s="221"/>
    </row>
    <row r="4766" spans="5:13">
      <c r="E4766" s="221"/>
      <c r="F4766" s="221"/>
      <c r="G4766" s="221"/>
      <c r="H4766" s="221"/>
      <c r="I4766" s="221"/>
      <c r="J4766" s="221"/>
      <c r="K4766" s="221"/>
      <c r="L4766" s="221"/>
      <c r="M4766" s="221"/>
    </row>
    <row r="4767" spans="5:13">
      <c r="E4767" s="221"/>
      <c r="F4767" s="221"/>
      <c r="G4767" s="221"/>
      <c r="H4767" s="221"/>
      <c r="I4767" s="221"/>
      <c r="J4767" s="221"/>
      <c r="K4767" s="221"/>
      <c r="L4767" s="221"/>
      <c r="M4767" s="221"/>
    </row>
    <row r="4768" spans="5:13">
      <c r="E4768" s="221"/>
      <c r="F4768" s="221"/>
      <c r="G4768" s="221"/>
      <c r="H4768" s="221"/>
      <c r="I4768" s="221"/>
      <c r="J4768" s="221"/>
      <c r="K4768" s="221"/>
      <c r="L4768" s="221"/>
      <c r="M4768" s="221"/>
    </row>
    <row r="4769" spans="5:13">
      <c r="E4769" s="221"/>
      <c r="F4769" s="221"/>
      <c r="G4769" s="221"/>
      <c r="H4769" s="221"/>
      <c r="I4769" s="221"/>
      <c r="J4769" s="221"/>
      <c r="K4769" s="221"/>
      <c r="L4769" s="221"/>
      <c r="M4769" s="221"/>
    </row>
    <row r="4770" spans="5:13">
      <c r="E4770" s="221"/>
      <c r="F4770" s="221"/>
      <c r="G4770" s="221"/>
      <c r="H4770" s="221"/>
      <c r="I4770" s="221"/>
      <c r="J4770" s="221"/>
      <c r="K4770" s="221"/>
      <c r="L4770" s="221"/>
      <c r="M4770" s="221"/>
    </row>
    <row r="4771" spans="5:13">
      <c r="E4771" s="221"/>
      <c r="F4771" s="221"/>
      <c r="G4771" s="221"/>
      <c r="H4771" s="221"/>
      <c r="I4771" s="221"/>
      <c r="J4771" s="221"/>
      <c r="K4771" s="221"/>
      <c r="L4771" s="221"/>
      <c r="M4771" s="221"/>
    </row>
    <row r="4772" spans="5:13">
      <c r="E4772" s="221"/>
      <c r="F4772" s="221"/>
      <c r="G4772" s="221"/>
      <c r="H4772" s="221"/>
      <c r="I4772" s="221"/>
      <c r="J4772" s="221"/>
      <c r="K4772" s="221"/>
      <c r="L4772" s="221"/>
      <c r="M4772" s="221"/>
    </row>
    <row r="4773" spans="5:13">
      <c r="E4773" s="221"/>
      <c r="F4773" s="221"/>
      <c r="G4773" s="221"/>
      <c r="H4773" s="221"/>
      <c r="I4773" s="221"/>
      <c r="J4773" s="221"/>
      <c r="K4773" s="221"/>
      <c r="L4773" s="221"/>
      <c r="M4773" s="221"/>
    </row>
    <row r="4774" spans="5:13">
      <c r="E4774" s="221"/>
      <c r="F4774" s="221"/>
      <c r="G4774" s="221"/>
      <c r="H4774" s="221"/>
      <c r="I4774" s="221"/>
      <c r="J4774" s="221"/>
      <c r="K4774" s="221"/>
      <c r="L4774" s="221"/>
      <c r="M4774" s="221"/>
    </row>
    <row r="4775" spans="5:13">
      <c r="E4775" s="221"/>
      <c r="F4775" s="221"/>
      <c r="G4775" s="221"/>
      <c r="H4775" s="221"/>
      <c r="I4775" s="221"/>
      <c r="J4775" s="221"/>
      <c r="K4775" s="221"/>
      <c r="L4775" s="221"/>
      <c r="M4775" s="221"/>
    </row>
    <row r="4776" spans="5:13">
      <c r="E4776" s="221"/>
      <c r="F4776" s="221"/>
      <c r="G4776" s="221"/>
      <c r="H4776" s="221"/>
      <c r="I4776" s="221"/>
      <c r="J4776" s="221"/>
      <c r="K4776" s="221"/>
      <c r="L4776" s="221"/>
      <c r="M4776" s="221"/>
    </row>
    <row r="4777" spans="5:13">
      <c r="E4777" s="221"/>
      <c r="F4777" s="221"/>
      <c r="G4777" s="221"/>
      <c r="H4777" s="221"/>
      <c r="I4777" s="221"/>
      <c r="J4777" s="221"/>
      <c r="K4777" s="221"/>
      <c r="L4777" s="221"/>
      <c r="M4777" s="221"/>
    </row>
    <row r="4778" spans="5:13">
      <c r="E4778" s="221"/>
      <c r="F4778" s="221"/>
      <c r="G4778" s="221"/>
      <c r="H4778" s="221"/>
      <c r="I4778" s="221"/>
      <c r="J4778" s="221"/>
      <c r="K4778" s="221"/>
      <c r="L4778" s="221"/>
      <c r="M4778" s="221"/>
    </row>
    <row r="4779" spans="5:13">
      <c r="E4779" s="221"/>
      <c r="F4779" s="221"/>
      <c r="G4779" s="221"/>
      <c r="H4779" s="221"/>
      <c r="I4779" s="221"/>
      <c r="J4779" s="221"/>
      <c r="K4779" s="221"/>
      <c r="L4779" s="221"/>
      <c r="M4779" s="221"/>
    </row>
    <row r="4780" spans="5:13">
      <c r="E4780" s="221"/>
      <c r="F4780" s="221"/>
      <c r="G4780" s="221"/>
      <c r="H4780" s="221"/>
      <c r="I4780" s="221"/>
      <c r="J4780" s="221"/>
      <c r="K4780" s="221"/>
      <c r="L4780" s="221"/>
      <c r="M4780" s="221"/>
    </row>
    <row r="4781" spans="5:13">
      <c r="E4781" s="221"/>
      <c r="F4781" s="221"/>
      <c r="G4781" s="221"/>
      <c r="H4781" s="221"/>
      <c r="I4781" s="221"/>
      <c r="J4781" s="221"/>
      <c r="K4781" s="221"/>
      <c r="L4781" s="221"/>
      <c r="M4781" s="221"/>
    </row>
    <row r="4782" spans="5:13">
      <c r="E4782" s="221"/>
      <c r="F4782" s="221"/>
      <c r="G4782" s="221"/>
      <c r="H4782" s="221"/>
      <c r="I4782" s="221"/>
      <c r="J4782" s="221"/>
      <c r="K4782" s="221"/>
      <c r="L4782" s="221"/>
      <c r="M4782" s="221"/>
    </row>
    <row r="4783" spans="5:13">
      <c r="E4783" s="221"/>
      <c r="F4783" s="221"/>
      <c r="G4783" s="221"/>
      <c r="H4783" s="221"/>
      <c r="I4783" s="221"/>
      <c r="J4783" s="221"/>
      <c r="K4783" s="221"/>
      <c r="L4783" s="221"/>
      <c r="M4783" s="221"/>
    </row>
    <row r="4784" spans="5:13">
      <c r="E4784" s="221"/>
      <c r="F4784" s="221"/>
      <c r="G4784" s="221"/>
      <c r="H4784" s="221"/>
      <c r="I4784" s="221"/>
      <c r="J4784" s="221"/>
      <c r="K4784" s="221"/>
      <c r="L4784" s="221"/>
      <c r="M4784" s="221"/>
    </row>
    <row r="4785" spans="5:13">
      <c r="E4785" s="221"/>
      <c r="F4785" s="221"/>
      <c r="G4785" s="221"/>
      <c r="H4785" s="221"/>
      <c r="I4785" s="221"/>
      <c r="J4785" s="221"/>
      <c r="K4785" s="221"/>
      <c r="L4785" s="221"/>
      <c r="M4785" s="221"/>
    </row>
    <row r="4786" spans="5:13">
      <c r="E4786" s="221"/>
      <c r="F4786" s="221"/>
      <c r="G4786" s="221"/>
      <c r="H4786" s="221"/>
      <c r="I4786" s="221"/>
      <c r="J4786" s="221"/>
      <c r="K4786" s="221"/>
      <c r="L4786" s="221"/>
      <c r="M4786" s="221"/>
    </row>
    <row r="4787" spans="5:13">
      <c r="E4787" s="221"/>
      <c r="F4787" s="221"/>
      <c r="G4787" s="221"/>
      <c r="H4787" s="221"/>
      <c r="I4787" s="221"/>
      <c r="J4787" s="221"/>
      <c r="K4787" s="221"/>
      <c r="L4787" s="221"/>
      <c r="M4787" s="221"/>
    </row>
    <row r="4788" spans="5:13">
      <c r="E4788" s="221"/>
      <c r="F4788" s="221"/>
      <c r="G4788" s="221"/>
      <c r="H4788" s="221"/>
      <c r="I4788" s="221"/>
      <c r="J4788" s="221"/>
      <c r="K4788" s="221"/>
      <c r="L4788" s="221"/>
      <c r="M4788" s="221"/>
    </row>
    <row r="4789" spans="5:13">
      <c r="E4789" s="221"/>
      <c r="F4789" s="221"/>
      <c r="G4789" s="221"/>
      <c r="H4789" s="221"/>
      <c r="I4789" s="221"/>
      <c r="J4789" s="221"/>
      <c r="K4789" s="221"/>
      <c r="L4789" s="221"/>
      <c r="M4789" s="221"/>
    </row>
    <row r="4790" spans="5:13">
      <c r="E4790" s="221"/>
      <c r="F4790" s="221"/>
      <c r="G4790" s="221"/>
      <c r="H4790" s="221"/>
      <c r="I4790" s="221"/>
      <c r="J4790" s="221"/>
      <c r="K4790" s="221"/>
      <c r="L4790" s="221"/>
      <c r="M4790" s="221"/>
    </row>
    <row r="4791" spans="5:13">
      <c r="E4791" s="221"/>
      <c r="F4791" s="221"/>
      <c r="G4791" s="221"/>
      <c r="H4791" s="221"/>
      <c r="I4791" s="221"/>
      <c r="J4791" s="221"/>
      <c r="K4791" s="221"/>
      <c r="L4791" s="221"/>
      <c r="M4791" s="221"/>
    </row>
    <row r="4792" spans="5:13">
      <c r="E4792" s="221"/>
      <c r="F4792" s="221"/>
      <c r="G4792" s="221"/>
      <c r="H4792" s="221"/>
      <c r="I4792" s="221"/>
      <c r="J4792" s="221"/>
      <c r="K4792" s="221"/>
      <c r="L4792" s="221"/>
      <c r="M4792" s="221"/>
    </row>
    <row r="4793" spans="5:13">
      <c r="E4793" s="221"/>
      <c r="F4793" s="221"/>
      <c r="G4793" s="221"/>
      <c r="H4793" s="221"/>
      <c r="I4793" s="221"/>
      <c r="J4793" s="221"/>
      <c r="K4793" s="221"/>
      <c r="L4793" s="221"/>
      <c r="M4793" s="221"/>
    </row>
    <row r="4794" spans="5:13">
      <c r="E4794" s="221"/>
      <c r="F4794" s="221"/>
      <c r="G4794" s="221"/>
      <c r="H4794" s="221"/>
      <c r="I4794" s="221"/>
      <c r="J4794" s="221"/>
      <c r="K4794" s="221"/>
      <c r="L4794" s="221"/>
      <c r="M4794" s="221"/>
    </row>
    <row r="4795" spans="5:13">
      <c r="E4795" s="221"/>
      <c r="F4795" s="221"/>
      <c r="G4795" s="221"/>
      <c r="H4795" s="221"/>
      <c r="I4795" s="221"/>
      <c r="J4795" s="221"/>
      <c r="K4795" s="221"/>
      <c r="L4795" s="221"/>
      <c r="M4795" s="221"/>
    </row>
    <row r="4796" spans="5:13">
      <c r="E4796" s="221"/>
      <c r="F4796" s="221"/>
      <c r="G4796" s="221"/>
      <c r="H4796" s="221"/>
      <c r="I4796" s="221"/>
      <c r="J4796" s="221"/>
      <c r="K4796" s="221"/>
      <c r="L4796" s="221"/>
      <c r="M4796" s="221"/>
    </row>
    <row r="4797" spans="5:13">
      <c r="E4797" s="221"/>
      <c r="F4797" s="221"/>
      <c r="G4797" s="221"/>
      <c r="H4797" s="221"/>
      <c r="I4797" s="221"/>
      <c r="J4797" s="221"/>
      <c r="K4797" s="221"/>
      <c r="L4797" s="221"/>
      <c r="M4797" s="221"/>
    </row>
    <row r="4798" spans="5:13">
      <c r="E4798" s="221"/>
      <c r="F4798" s="221"/>
      <c r="G4798" s="221"/>
      <c r="H4798" s="221"/>
      <c r="I4798" s="221"/>
      <c r="J4798" s="221"/>
      <c r="K4798" s="221"/>
      <c r="L4798" s="221"/>
      <c r="M4798" s="221"/>
    </row>
    <row r="4799" spans="5:13">
      <c r="E4799" s="221"/>
      <c r="F4799" s="221"/>
      <c r="G4799" s="221"/>
      <c r="H4799" s="221"/>
      <c r="I4799" s="221"/>
      <c r="J4799" s="221"/>
      <c r="K4799" s="221"/>
      <c r="L4799" s="221"/>
      <c r="M4799" s="221"/>
    </row>
    <row r="4800" spans="5:13">
      <c r="E4800" s="221"/>
      <c r="F4800" s="221"/>
      <c r="G4800" s="221"/>
      <c r="H4800" s="221"/>
      <c r="I4800" s="221"/>
      <c r="J4800" s="221"/>
      <c r="K4800" s="221"/>
      <c r="L4800" s="221"/>
      <c r="M4800" s="221"/>
    </row>
    <row r="4801" spans="5:13">
      <c r="E4801" s="221"/>
      <c r="F4801" s="221"/>
      <c r="G4801" s="221"/>
      <c r="H4801" s="221"/>
      <c r="I4801" s="221"/>
      <c r="J4801" s="221"/>
      <c r="K4801" s="221"/>
      <c r="L4801" s="221"/>
      <c r="M4801" s="221"/>
    </row>
    <row r="4802" spans="5:13">
      <c r="E4802" s="221"/>
      <c r="F4802" s="221"/>
      <c r="G4802" s="221"/>
      <c r="H4802" s="221"/>
      <c r="I4802" s="221"/>
      <c r="J4802" s="221"/>
      <c r="K4802" s="221"/>
      <c r="L4802" s="221"/>
      <c r="M4802" s="221"/>
    </row>
    <row r="4803" spans="5:13">
      <c r="E4803" s="221"/>
      <c r="F4803" s="221"/>
      <c r="G4803" s="221"/>
      <c r="H4803" s="221"/>
      <c r="I4803" s="221"/>
      <c r="J4803" s="221"/>
      <c r="K4803" s="221"/>
      <c r="L4803" s="221"/>
      <c r="M4803" s="221"/>
    </row>
    <row r="4804" spans="5:13">
      <c r="E4804" s="221"/>
      <c r="F4804" s="221"/>
      <c r="G4804" s="221"/>
      <c r="H4804" s="221"/>
      <c r="I4804" s="221"/>
      <c r="J4804" s="221"/>
      <c r="K4804" s="221"/>
      <c r="L4804" s="221"/>
      <c r="M4804" s="221"/>
    </row>
    <row r="4805" spans="5:13">
      <c r="E4805" s="221"/>
      <c r="F4805" s="221"/>
      <c r="G4805" s="221"/>
      <c r="H4805" s="221"/>
      <c r="I4805" s="221"/>
      <c r="J4805" s="221"/>
      <c r="K4805" s="221"/>
      <c r="L4805" s="221"/>
      <c r="M4805" s="221"/>
    </row>
    <row r="4806" spans="5:13">
      <c r="E4806" s="221"/>
      <c r="F4806" s="221"/>
      <c r="G4806" s="221"/>
      <c r="H4806" s="221"/>
      <c r="I4806" s="221"/>
      <c r="J4806" s="221"/>
      <c r="K4806" s="221"/>
      <c r="L4806" s="221"/>
      <c r="M4806" s="221"/>
    </row>
    <row r="4807" spans="5:13">
      <c r="E4807" s="221"/>
      <c r="F4807" s="221"/>
      <c r="G4807" s="221"/>
      <c r="H4807" s="221"/>
      <c r="I4807" s="221"/>
      <c r="J4807" s="221"/>
      <c r="K4807" s="221"/>
      <c r="L4807" s="221"/>
      <c r="M4807" s="221"/>
    </row>
    <row r="4808" spans="5:13">
      <c r="E4808" s="221"/>
      <c r="F4808" s="221"/>
      <c r="G4808" s="221"/>
      <c r="H4808" s="221"/>
      <c r="I4808" s="221"/>
      <c r="J4808" s="221"/>
      <c r="K4808" s="221"/>
      <c r="L4808" s="221"/>
      <c r="M4808" s="221"/>
    </row>
    <row r="4809" spans="5:13">
      <c r="E4809" s="221"/>
      <c r="F4809" s="221"/>
      <c r="G4809" s="221"/>
      <c r="H4809" s="221"/>
      <c r="I4809" s="221"/>
      <c r="J4809" s="221"/>
      <c r="K4809" s="221"/>
      <c r="L4809" s="221"/>
      <c r="M4809" s="221"/>
    </row>
    <row r="4810" spans="5:13">
      <c r="E4810" s="221"/>
      <c r="F4810" s="221"/>
      <c r="G4810" s="221"/>
      <c r="H4810" s="221"/>
      <c r="I4810" s="221"/>
      <c r="J4810" s="221"/>
      <c r="K4810" s="221"/>
      <c r="L4810" s="221"/>
      <c r="M4810" s="221"/>
    </row>
    <row r="4811" spans="5:13">
      <c r="E4811" s="221"/>
      <c r="F4811" s="221"/>
      <c r="G4811" s="221"/>
      <c r="H4811" s="221"/>
      <c r="I4811" s="221"/>
      <c r="J4811" s="221"/>
      <c r="K4811" s="221"/>
      <c r="L4811" s="221"/>
      <c r="M4811" s="221"/>
    </row>
    <row r="4812" spans="5:13">
      <c r="E4812" s="221"/>
      <c r="F4812" s="221"/>
      <c r="G4812" s="221"/>
      <c r="H4812" s="221"/>
      <c r="I4812" s="221"/>
      <c r="J4812" s="221"/>
      <c r="K4812" s="221"/>
      <c r="L4812" s="221"/>
      <c r="M4812" s="221"/>
    </row>
    <row r="4813" spans="5:13">
      <c r="E4813" s="221"/>
      <c r="F4813" s="221"/>
      <c r="G4813" s="221"/>
      <c r="H4813" s="221"/>
      <c r="I4813" s="221"/>
      <c r="J4813" s="221"/>
      <c r="K4813" s="221"/>
      <c r="L4813" s="221"/>
      <c r="M4813" s="221"/>
    </row>
    <row r="4814" spans="5:13">
      <c r="E4814" s="221"/>
      <c r="F4814" s="221"/>
      <c r="G4814" s="221"/>
      <c r="H4814" s="221"/>
      <c r="I4814" s="221"/>
      <c r="J4814" s="221"/>
      <c r="K4814" s="221"/>
      <c r="L4814" s="221"/>
      <c r="M4814" s="221"/>
    </row>
    <row r="4815" spans="5:13">
      <c r="E4815" s="221"/>
      <c r="F4815" s="221"/>
      <c r="G4815" s="221"/>
      <c r="H4815" s="221"/>
      <c r="I4815" s="221"/>
      <c r="J4815" s="221"/>
      <c r="K4815" s="221"/>
      <c r="L4815" s="221"/>
      <c r="M4815" s="221"/>
    </row>
    <row r="4816" spans="5:13">
      <c r="E4816" s="221"/>
      <c r="F4816" s="221"/>
      <c r="G4816" s="221"/>
      <c r="H4816" s="221"/>
      <c r="I4816" s="221"/>
      <c r="J4816" s="221"/>
      <c r="K4816" s="221"/>
      <c r="L4816" s="221"/>
      <c r="M4816" s="221"/>
    </row>
    <row r="4817" spans="5:13">
      <c r="E4817" s="221"/>
      <c r="F4817" s="221"/>
      <c r="G4817" s="221"/>
      <c r="H4817" s="221"/>
      <c r="I4817" s="221"/>
      <c r="J4817" s="221"/>
      <c r="K4817" s="221"/>
      <c r="L4817" s="221"/>
      <c r="M4817" s="221"/>
    </row>
    <row r="4818" spans="5:13">
      <c r="E4818" s="221"/>
      <c r="F4818" s="221"/>
      <c r="G4818" s="221"/>
      <c r="H4818" s="221"/>
      <c r="I4818" s="221"/>
      <c r="J4818" s="221"/>
      <c r="K4818" s="221"/>
      <c r="L4818" s="221"/>
      <c r="M4818" s="221"/>
    </row>
    <row r="4819" spans="5:13">
      <c r="E4819" s="221"/>
      <c r="F4819" s="221"/>
      <c r="G4819" s="221"/>
      <c r="H4819" s="221"/>
      <c r="I4819" s="221"/>
      <c r="J4819" s="221"/>
      <c r="K4819" s="221"/>
      <c r="L4819" s="221"/>
      <c r="M4819" s="221"/>
    </row>
    <row r="4820" spans="5:13">
      <c r="E4820" s="221"/>
      <c r="F4820" s="221"/>
      <c r="G4820" s="221"/>
      <c r="H4820" s="221"/>
      <c r="I4820" s="221"/>
      <c r="J4820" s="221"/>
      <c r="K4820" s="221"/>
      <c r="L4820" s="221"/>
      <c r="M4820" s="221"/>
    </row>
    <row r="4821" spans="5:13">
      <c r="E4821" s="221"/>
      <c r="F4821" s="221"/>
      <c r="G4821" s="221"/>
      <c r="H4821" s="221"/>
      <c r="I4821" s="221"/>
      <c r="J4821" s="221"/>
      <c r="K4821" s="221"/>
      <c r="L4821" s="221"/>
      <c r="M4821" s="221"/>
    </row>
    <row r="4822" spans="5:13">
      <c r="E4822" s="221"/>
      <c r="F4822" s="221"/>
      <c r="G4822" s="221"/>
      <c r="H4822" s="221"/>
      <c r="I4822" s="221"/>
      <c r="J4822" s="221"/>
      <c r="K4822" s="221"/>
      <c r="L4822" s="221"/>
      <c r="M4822" s="221"/>
    </row>
    <row r="4823" spans="5:13">
      <c r="E4823" s="221"/>
      <c r="F4823" s="221"/>
      <c r="G4823" s="221"/>
      <c r="H4823" s="221"/>
      <c r="I4823" s="221"/>
      <c r="J4823" s="221"/>
      <c r="K4823" s="221"/>
      <c r="L4823" s="221"/>
      <c r="M4823" s="221"/>
    </row>
    <row r="4824" spans="5:13">
      <c r="E4824" s="221"/>
      <c r="F4824" s="221"/>
      <c r="G4824" s="221"/>
      <c r="H4824" s="221"/>
      <c r="I4824" s="221"/>
      <c r="J4824" s="221"/>
      <c r="K4824" s="221"/>
      <c r="L4824" s="221"/>
      <c r="M4824" s="221"/>
    </row>
    <row r="4825" spans="5:13">
      <c r="E4825" s="221"/>
      <c r="F4825" s="221"/>
      <c r="G4825" s="221"/>
      <c r="H4825" s="221"/>
      <c r="I4825" s="221"/>
      <c r="J4825" s="221"/>
      <c r="K4825" s="221"/>
      <c r="L4825" s="221"/>
      <c r="M4825" s="221"/>
    </row>
    <row r="4826" spans="5:13">
      <c r="E4826" s="221"/>
      <c r="F4826" s="221"/>
      <c r="G4826" s="221"/>
      <c r="H4826" s="221"/>
      <c r="I4826" s="221"/>
      <c r="J4826" s="221"/>
      <c r="K4826" s="221"/>
      <c r="L4826" s="221"/>
      <c r="M4826" s="221"/>
    </row>
    <row r="4827" spans="5:13">
      <c r="E4827" s="221"/>
      <c r="F4827" s="221"/>
      <c r="G4827" s="221"/>
      <c r="H4827" s="221"/>
      <c r="I4827" s="221"/>
      <c r="J4827" s="221"/>
      <c r="K4827" s="221"/>
      <c r="L4827" s="221"/>
      <c r="M4827" s="221"/>
    </row>
    <row r="4828" spans="5:13">
      <c r="E4828" s="221"/>
      <c r="F4828" s="221"/>
      <c r="G4828" s="221"/>
      <c r="H4828" s="221"/>
      <c r="I4828" s="221"/>
      <c r="J4828" s="221"/>
      <c r="K4828" s="221"/>
      <c r="L4828" s="221"/>
      <c r="M4828" s="221"/>
    </row>
    <row r="4829" spans="5:13">
      <c r="E4829" s="221"/>
      <c r="F4829" s="221"/>
      <c r="G4829" s="221"/>
      <c r="H4829" s="221"/>
      <c r="I4829" s="221"/>
      <c r="J4829" s="221"/>
      <c r="K4829" s="221"/>
      <c r="L4829" s="221"/>
      <c r="M4829" s="221"/>
    </row>
    <row r="4830" spans="5:13">
      <c r="E4830" s="221"/>
      <c r="F4830" s="221"/>
      <c r="G4830" s="221"/>
      <c r="H4830" s="221"/>
      <c r="I4830" s="221"/>
      <c r="J4830" s="221"/>
      <c r="K4830" s="221"/>
      <c r="L4830" s="221"/>
      <c r="M4830" s="221"/>
    </row>
    <row r="4831" spans="5:13">
      <c r="E4831" s="221"/>
      <c r="F4831" s="221"/>
      <c r="G4831" s="221"/>
      <c r="H4831" s="221"/>
      <c r="I4831" s="221"/>
      <c r="J4831" s="221"/>
      <c r="K4831" s="221"/>
      <c r="L4831" s="221"/>
      <c r="M4831" s="221"/>
    </row>
    <row r="4832" spans="5:13">
      <c r="E4832" s="221"/>
      <c r="F4832" s="221"/>
      <c r="G4832" s="221"/>
      <c r="H4832" s="221"/>
      <c r="I4832" s="221"/>
      <c r="J4832" s="221"/>
      <c r="K4832" s="221"/>
      <c r="L4832" s="221"/>
      <c r="M4832" s="221"/>
    </row>
    <row r="4833" spans="5:13">
      <c r="E4833" s="221"/>
      <c r="F4833" s="221"/>
      <c r="G4833" s="221"/>
      <c r="H4833" s="221"/>
      <c r="I4833" s="221"/>
      <c r="J4833" s="221"/>
      <c r="K4833" s="221"/>
      <c r="L4833" s="221"/>
      <c r="M4833" s="221"/>
    </row>
    <row r="4834" spans="5:13">
      <c r="E4834" s="221"/>
      <c r="F4834" s="221"/>
      <c r="G4834" s="221"/>
      <c r="H4834" s="221"/>
      <c r="I4834" s="221"/>
      <c r="J4834" s="221"/>
      <c r="K4834" s="221"/>
      <c r="L4834" s="221"/>
      <c r="M4834" s="221"/>
    </row>
    <row r="4835" spans="5:13">
      <c r="E4835" s="221"/>
      <c r="F4835" s="221"/>
      <c r="G4835" s="221"/>
      <c r="H4835" s="221"/>
      <c r="I4835" s="221"/>
      <c r="J4835" s="221"/>
      <c r="K4835" s="221"/>
      <c r="L4835" s="221"/>
      <c r="M4835" s="221"/>
    </row>
    <row r="4836" spans="5:13">
      <c r="E4836" s="221"/>
      <c r="F4836" s="221"/>
      <c r="G4836" s="221"/>
      <c r="H4836" s="221"/>
      <c r="I4836" s="221"/>
      <c r="J4836" s="221"/>
      <c r="K4836" s="221"/>
      <c r="L4836" s="221"/>
      <c r="M4836" s="221"/>
    </row>
    <row r="4837" spans="5:13">
      <c r="E4837" s="221"/>
      <c r="F4837" s="221"/>
      <c r="G4837" s="221"/>
      <c r="H4837" s="221"/>
      <c r="I4837" s="221"/>
      <c r="J4837" s="221"/>
      <c r="K4837" s="221"/>
      <c r="L4837" s="221"/>
      <c r="M4837" s="221"/>
    </row>
    <row r="4838" spans="5:13">
      <c r="E4838" s="221"/>
      <c r="F4838" s="221"/>
      <c r="G4838" s="221"/>
      <c r="H4838" s="221"/>
      <c r="I4838" s="221"/>
      <c r="J4838" s="221"/>
      <c r="K4838" s="221"/>
      <c r="L4838" s="221"/>
      <c r="M4838" s="221"/>
    </row>
    <row r="4839" spans="5:13">
      <c r="E4839" s="221"/>
      <c r="F4839" s="221"/>
      <c r="G4839" s="221"/>
      <c r="H4839" s="221"/>
      <c r="I4839" s="221"/>
      <c r="J4839" s="221"/>
      <c r="K4839" s="221"/>
      <c r="L4839" s="221"/>
      <c r="M4839" s="221"/>
    </row>
    <row r="4840" spans="5:13">
      <c r="E4840" s="221"/>
      <c r="F4840" s="221"/>
      <c r="G4840" s="221"/>
      <c r="H4840" s="221"/>
      <c r="I4840" s="221"/>
      <c r="J4840" s="221"/>
      <c r="K4840" s="221"/>
      <c r="L4840" s="221"/>
      <c r="M4840" s="221"/>
    </row>
    <row r="4841" spans="5:13">
      <c r="E4841" s="221"/>
      <c r="F4841" s="221"/>
      <c r="G4841" s="221"/>
      <c r="H4841" s="221"/>
      <c r="I4841" s="221"/>
      <c r="J4841" s="221"/>
      <c r="K4841" s="221"/>
      <c r="L4841" s="221"/>
      <c r="M4841" s="221"/>
    </row>
    <row r="4842" spans="5:13">
      <c r="E4842" s="221"/>
      <c r="F4842" s="221"/>
      <c r="G4842" s="221"/>
      <c r="H4842" s="221"/>
      <c r="I4842" s="221"/>
      <c r="J4842" s="221"/>
      <c r="K4842" s="221"/>
      <c r="L4842" s="221"/>
      <c r="M4842" s="221"/>
    </row>
    <row r="4843" spans="5:13">
      <c r="E4843" s="221"/>
      <c r="F4843" s="221"/>
      <c r="G4843" s="221"/>
      <c r="H4843" s="221"/>
      <c r="I4843" s="221"/>
      <c r="J4843" s="221"/>
      <c r="K4843" s="221"/>
      <c r="L4843" s="221"/>
      <c r="M4843" s="221"/>
    </row>
    <row r="4844" spans="5:13">
      <c r="E4844" s="221"/>
      <c r="F4844" s="221"/>
      <c r="G4844" s="221"/>
      <c r="H4844" s="221"/>
      <c r="I4844" s="221"/>
      <c r="J4844" s="221"/>
      <c r="K4844" s="221"/>
      <c r="L4844" s="221"/>
      <c r="M4844" s="221"/>
    </row>
    <row r="4845" spans="5:13">
      <c r="E4845" s="221"/>
      <c r="F4845" s="221"/>
      <c r="G4845" s="221"/>
      <c r="H4845" s="221"/>
      <c r="I4845" s="221"/>
      <c r="J4845" s="221"/>
      <c r="K4845" s="221"/>
      <c r="L4845" s="221"/>
      <c r="M4845" s="221"/>
    </row>
    <row r="4846" spans="5:13">
      <c r="E4846" s="221"/>
      <c r="F4846" s="221"/>
      <c r="G4846" s="221"/>
      <c r="H4846" s="221"/>
      <c r="I4846" s="221"/>
      <c r="J4846" s="221"/>
      <c r="K4846" s="221"/>
      <c r="L4846" s="221"/>
      <c r="M4846" s="221"/>
    </row>
    <row r="4847" spans="5:13">
      <c r="E4847" s="221"/>
      <c r="F4847" s="221"/>
      <c r="G4847" s="221"/>
      <c r="H4847" s="221"/>
      <c r="I4847" s="221"/>
      <c r="J4847" s="221"/>
      <c r="K4847" s="221"/>
      <c r="L4847" s="221"/>
      <c r="M4847" s="221"/>
    </row>
    <row r="4848" spans="5:13">
      <c r="E4848" s="221"/>
      <c r="F4848" s="221"/>
      <c r="G4848" s="221"/>
      <c r="H4848" s="221"/>
      <c r="I4848" s="221"/>
      <c r="J4848" s="221"/>
      <c r="K4848" s="221"/>
      <c r="L4848" s="221"/>
      <c r="M4848" s="221"/>
    </row>
    <row r="4849" spans="5:13">
      <c r="E4849" s="221"/>
      <c r="F4849" s="221"/>
      <c r="G4849" s="221"/>
      <c r="H4849" s="221"/>
      <c r="I4849" s="221"/>
      <c r="J4849" s="221"/>
      <c r="K4849" s="221"/>
      <c r="L4849" s="221"/>
      <c r="M4849" s="221"/>
    </row>
    <row r="4850" spans="5:13">
      <c r="E4850" s="221"/>
      <c r="F4850" s="221"/>
      <c r="G4850" s="221"/>
      <c r="H4850" s="221"/>
      <c r="I4850" s="221"/>
      <c r="J4850" s="221"/>
      <c r="K4850" s="221"/>
      <c r="L4850" s="221"/>
      <c r="M4850" s="221"/>
    </row>
    <row r="4851" spans="5:13">
      <c r="E4851" s="221"/>
      <c r="F4851" s="221"/>
      <c r="G4851" s="221"/>
      <c r="H4851" s="221"/>
      <c r="I4851" s="221"/>
      <c r="J4851" s="221"/>
      <c r="K4851" s="221"/>
      <c r="L4851" s="221"/>
      <c r="M4851" s="221"/>
    </row>
    <row r="4852" spans="5:13">
      <c r="E4852" s="221"/>
      <c r="F4852" s="221"/>
      <c r="G4852" s="221"/>
      <c r="H4852" s="221"/>
      <c r="I4852" s="221"/>
      <c r="J4852" s="221"/>
      <c r="K4852" s="221"/>
      <c r="L4852" s="221"/>
      <c r="M4852" s="221"/>
    </row>
    <row r="4853" spans="5:13">
      <c r="E4853" s="221"/>
      <c r="F4853" s="221"/>
      <c r="G4853" s="221"/>
      <c r="H4853" s="221"/>
      <c r="I4853" s="221"/>
      <c r="J4853" s="221"/>
      <c r="K4853" s="221"/>
      <c r="L4853" s="221"/>
      <c r="M4853" s="221"/>
    </row>
    <row r="4854" spans="5:13">
      <c r="E4854" s="221"/>
      <c r="F4854" s="221"/>
      <c r="G4854" s="221"/>
      <c r="H4854" s="221"/>
      <c r="I4854" s="221"/>
      <c r="J4854" s="221"/>
      <c r="K4854" s="221"/>
      <c r="L4854" s="221"/>
      <c r="M4854" s="221"/>
    </row>
    <row r="4855" spans="5:13">
      <c r="E4855" s="221"/>
      <c r="F4855" s="221"/>
      <c r="G4855" s="221"/>
      <c r="H4855" s="221"/>
      <c r="I4855" s="221"/>
      <c r="J4855" s="221"/>
      <c r="K4855" s="221"/>
      <c r="L4855" s="221"/>
      <c r="M4855" s="221"/>
    </row>
    <row r="4856" spans="5:13">
      <c r="E4856" s="221"/>
      <c r="F4856" s="221"/>
      <c r="G4856" s="221"/>
      <c r="H4856" s="221"/>
      <c r="I4856" s="221"/>
      <c r="J4856" s="221"/>
      <c r="K4856" s="221"/>
      <c r="L4856" s="221"/>
      <c r="M4856" s="221"/>
    </row>
    <row r="4857" spans="5:13">
      <c r="E4857" s="221"/>
      <c r="F4857" s="221"/>
      <c r="G4857" s="221"/>
      <c r="H4857" s="221"/>
      <c r="I4857" s="221"/>
      <c r="J4857" s="221"/>
      <c r="K4857" s="221"/>
      <c r="L4857" s="221"/>
      <c r="M4857" s="221"/>
    </row>
    <row r="4858" spans="5:13">
      <c r="E4858" s="221"/>
      <c r="F4858" s="221"/>
      <c r="G4858" s="221"/>
      <c r="H4858" s="221"/>
      <c r="I4858" s="221"/>
      <c r="J4858" s="221"/>
      <c r="K4858" s="221"/>
      <c r="L4858" s="221"/>
      <c r="M4858" s="221"/>
    </row>
    <row r="4859" spans="5:13">
      <c r="E4859" s="221"/>
      <c r="F4859" s="221"/>
      <c r="G4859" s="221"/>
      <c r="H4859" s="221"/>
      <c r="I4859" s="221"/>
      <c r="J4859" s="221"/>
      <c r="K4859" s="221"/>
      <c r="L4859" s="221"/>
      <c r="M4859" s="221"/>
    </row>
    <row r="4860" spans="5:13">
      <c r="E4860" s="221"/>
      <c r="F4860" s="221"/>
      <c r="G4860" s="221"/>
      <c r="H4860" s="221"/>
      <c r="I4860" s="221"/>
      <c r="J4860" s="221"/>
      <c r="K4860" s="221"/>
      <c r="L4860" s="221"/>
      <c r="M4860" s="221"/>
    </row>
    <row r="4861" spans="5:13">
      <c r="E4861" s="221"/>
      <c r="F4861" s="221"/>
      <c r="G4861" s="221"/>
      <c r="H4861" s="221"/>
      <c r="I4861" s="221"/>
      <c r="J4861" s="221"/>
      <c r="K4861" s="221"/>
      <c r="L4861" s="221"/>
      <c r="M4861" s="221"/>
    </row>
    <row r="4862" spans="5:13">
      <c r="E4862" s="221"/>
      <c r="F4862" s="221"/>
      <c r="G4862" s="221"/>
      <c r="H4862" s="221"/>
      <c r="I4862" s="221"/>
      <c r="J4862" s="221"/>
      <c r="K4862" s="221"/>
      <c r="L4862" s="221"/>
      <c r="M4862" s="221"/>
    </row>
    <row r="4863" spans="5:13">
      <c r="E4863" s="221"/>
      <c r="F4863" s="221"/>
      <c r="G4863" s="221"/>
      <c r="H4863" s="221"/>
      <c r="I4863" s="221"/>
      <c r="J4863" s="221"/>
      <c r="K4863" s="221"/>
      <c r="L4863" s="221"/>
      <c r="M4863" s="221"/>
    </row>
    <row r="4864" spans="5:13">
      <c r="E4864" s="221"/>
      <c r="F4864" s="221"/>
      <c r="G4864" s="221"/>
      <c r="H4864" s="221"/>
      <c r="I4864" s="221"/>
      <c r="J4864" s="221"/>
      <c r="K4864" s="221"/>
      <c r="L4864" s="221"/>
      <c r="M4864" s="221"/>
    </row>
    <row r="4865" spans="5:13">
      <c r="E4865" s="221"/>
      <c r="F4865" s="221"/>
      <c r="G4865" s="221"/>
      <c r="H4865" s="221"/>
      <c r="I4865" s="221"/>
      <c r="J4865" s="221"/>
      <c r="K4865" s="221"/>
      <c r="L4865" s="221"/>
      <c r="M4865" s="221"/>
    </row>
    <row r="4866" spans="5:13">
      <c r="E4866" s="221"/>
      <c r="F4866" s="221"/>
      <c r="G4866" s="221"/>
      <c r="H4866" s="221"/>
      <c r="I4866" s="221"/>
      <c r="J4866" s="221"/>
      <c r="K4866" s="221"/>
      <c r="L4866" s="221"/>
      <c r="M4866" s="221"/>
    </row>
    <row r="4867" spans="5:13">
      <c r="E4867" s="221"/>
      <c r="F4867" s="221"/>
      <c r="G4867" s="221"/>
      <c r="H4867" s="221"/>
      <c r="I4867" s="221"/>
      <c r="J4867" s="221"/>
      <c r="K4867" s="221"/>
      <c r="L4867" s="221"/>
      <c r="M4867" s="221"/>
    </row>
    <row r="4868" spans="5:13">
      <c r="E4868" s="221"/>
      <c r="F4868" s="221"/>
      <c r="G4868" s="221"/>
      <c r="H4868" s="221"/>
      <c r="I4868" s="221"/>
      <c r="J4868" s="221"/>
      <c r="K4868" s="221"/>
      <c r="L4868" s="221"/>
      <c r="M4868" s="221"/>
    </row>
    <row r="4869" spans="5:13">
      <c r="E4869" s="221"/>
      <c r="F4869" s="221"/>
      <c r="G4869" s="221"/>
      <c r="H4869" s="221"/>
      <c r="I4869" s="221"/>
      <c r="J4869" s="221"/>
      <c r="K4869" s="221"/>
      <c r="L4869" s="221"/>
      <c r="M4869" s="221"/>
    </row>
    <row r="4870" spans="5:13">
      <c r="E4870" s="221"/>
      <c r="F4870" s="221"/>
      <c r="G4870" s="221"/>
      <c r="H4870" s="221"/>
      <c r="I4870" s="221"/>
      <c r="J4870" s="221"/>
      <c r="K4870" s="221"/>
      <c r="L4870" s="221"/>
      <c r="M4870" s="221"/>
    </row>
    <row r="4871" spans="5:13">
      <c r="E4871" s="221"/>
      <c r="F4871" s="221"/>
      <c r="G4871" s="221"/>
      <c r="H4871" s="221"/>
      <c r="I4871" s="221"/>
      <c r="J4871" s="221"/>
      <c r="K4871" s="221"/>
      <c r="L4871" s="221"/>
      <c r="M4871" s="221"/>
    </row>
    <row r="4872" spans="5:13">
      <c r="E4872" s="221"/>
      <c r="F4872" s="221"/>
      <c r="G4872" s="221"/>
      <c r="H4872" s="221"/>
      <c r="I4872" s="221"/>
      <c r="J4872" s="221"/>
      <c r="K4872" s="221"/>
      <c r="L4872" s="221"/>
      <c r="M4872" s="221"/>
    </row>
    <row r="4873" spans="5:13">
      <c r="E4873" s="221"/>
      <c r="F4873" s="221"/>
      <c r="G4873" s="221"/>
      <c r="H4873" s="221"/>
      <c r="I4873" s="221"/>
      <c r="J4873" s="221"/>
      <c r="K4873" s="221"/>
      <c r="L4873" s="221"/>
      <c r="M4873" s="221"/>
    </row>
    <row r="4874" spans="5:13">
      <c r="E4874" s="221"/>
      <c r="F4874" s="221"/>
      <c r="G4874" s="221"/>
      <c r="H4874" s="221"/>
      <c r="I4874" s="221"/>
      <c r="J4874" s="221"/>
      <c r="K4874" s="221"/>
      <c r="L4874" s="221"/>
      <c r="M4874" s="221"/>
    </row>
    <row r="4875" spans="5:13">
      <c r="E4875" s="221"/>
      <c r="F4875" s="221"/>
      <c r="G4875" s="221"/>
      <c r="H4875" s="221"/>
      <c r="I4875" s="221"/>
      <c r="J4875" s="221"/>
      <c r="K4875" s="221"/>
      <c r="L4875" s="221"/>
      <c r="M4875" s="221"/>
    </row>
    <row r="4876" spans="5:13">
      <c r="E4876" s="221"/>
      <c r="F4876" s="221"/>
      <c r="G4876" s="221"/>
      <c r="H4876" s="221"/>
      <c r="I4876" s="221"/>
      <c r="J4876" s="221"/>
      <c r="K4876" s="221"/>
      <c r="L4876" s="221"/>
      <c r="M4876" s="221"/>
    </row>
    <row r="4877" spans="5:13">
      <c r="E4877" s="221"/>
      <c r="F4877" s="221"/>
      <c r="G4877" s="221"/>
      <c r="H4877" s="221"/>
      <c r="I4877" s="221"/>
      <c r="J4877" s="221"/>
      <c r="K4877" s="221"/>
      <c r="L4877" s="221"/>
      <c r="M4877" s="221"/>
    </row>
    <row r="4878" spans="5:13">
      <c r="E4878" s="221"/>
      <c r="F4878" s="221"/>
      <c r="G4878" s="221"/>
      <c r="H4878" s="221"/>
      <c r="I4878" s="221"/>
      <c r="J4878" s="221"/>
      <c r="K4878" s="221"/>
      <c r="L4878" s="221"/>
      <c r="M4878" s="221"/>
    </row>
    <row r="4879" spans="5:13">
      <c r="E4879" s="221"/>
      <c r="F4879" s="221"/>
      <c r="G4879" s="221"/>
      <c r="H4879" s="221"/>
      <c r="I4879" s="221"/>
      <c r="J4879" s="221"/>
      <c r="K4879" s="221"/>
      <c r="L4879" s="221"/>
      <c r="M4879" s="221"/>
    </row>
    <row r="4880" spans="5:13">
      <c r="E4880" s="221"/>
      <c r="F4880" s="221"/>
      <c r="G4880" s="221"/>
      <c r="H4880" s="221"/>
      <c r="I4880" s="221"/>
      <c r="J4880" s="221"/>
      <c r="K4880" s="221"/>
      <c r="L4880" s="221"/>
      <c r="M4880" s="221"/>
    </row>
    <row r="4881" spans="5:13">
      <c r="E4881" s="221"/>
      <c r="F4881" s="221"/>
      <c r="G4881" s="221"/>
      <c r="H4881" s="221"/>
      <c r="I4881" s="221"/>
      <c r="J4881" s="221"/>
      <c r="K4881" s="221"/>
      <c r="L4881" s="221"/>
      <c r="M4881" s="221"/>
    </row>
    <row r="4882" spans="5:13">
      <c r="E4882" s="221"/>
      <c r="F4882" s="221"/>
      <c r="G4882" s="221"/>
      <c r="H4882" s="221"/>
      <c r="I4882" s="221"/>
      <c r="J4882" s="221"/>
      <c r="K4882" s="221"/>
      <c r="L4882" s="221"/>
      <c r="M4882" s="221"/>
    </row>
    <row r="4883" spans="5:13">
      <c r="E4883" s="221"/>
      <c r="F4883" s="221"/>
      <c r="G4883" s="221"/>
      <c r="H4883" s="221"/>
      <c r="I4883" s="221"/>
      <c r="J4883" s="221"/>
      <c r="K4883" s="221"/>
      <c r="L4883" s="221"/>
      <c r="M4883" s="221"/>
    </row>
    <row r="4884" spans="5:13">
      <c r="E4884" s="221"/>
      <c r="F4884" s="221"/>
      <c r="G4884" s="221"/>
      <c r="H4884" s="221"/>
      <c r="I4884" s="221"/>
      <c r="J4884" s="221"/>
      <c r="K4884" s="221"/>
      <c r="L4884" s="221"/>
      <c r="M4884" s="221"/>
    </row>
    <row r="4885" spans="5:13">
      <c r="E4885" s="221"/>
      <c r="F4885" s="221"/>
      <c r="G4885" s="221"/>
      <c r="H4885" s="221"/>
      <c r="I4885" s="221"/>
      <c r="J4885" s="221"/>
      <c r="K4885" s="221"/>
      <c r="L4885" s="221"/>
      <c r="M4885" s="221"/>
    </row>
    <row r="4886" spans="5:13">
      <c r="E4886" s="221"/>
      <c r="F4886" s="221"/>
      <c r="G4886" s="221"/>
      <c r="H4886" s="221"/>
      <c r="I4886" s="221"/>
      <c r="J4886" s="221"/>
      <c r="K4886" s="221"/>
      <c r="L4886" s="221"/>
      <c r="M4886" s="221"/>
    </row>
    <row r="4887" spans="5:13">
      <c r="E4887" s="221"/>
      <c r="F4887" s="221"/>
      <c r="G4887" s="221"/>
      <c r="H4887" s="221"/>
      <c r="I4887" s="221"/>
      <c r="J4887" s="221"/>
      <c r="K4887" s="221"/>
      <c r="L4887" s="221"/>
      <c r="M4887" s="221"/>
    </row>
    <row r="4888" spans="5:13">
      <c r="E4888" s="221"/>
      <c r="F4888" s="221"/>
      <c r="G4888" s="221"/>
      <c r="H4888" s="221"/>
      <c r="I4888" s="221"/>
      <c r="J4888" s="221"/>
      <c r="K4888" s="221"/>
      <c r="L4888" s="221"/>
      <c r="M4888" s="221"/>
    </row>
    <row r="4889" spans="5:13">
      <c r="E4889" s="221"/>
      <c r="F4889" s="221"/>
      <c r="G4889" s="221"/>
      <c r="H4889" s="221"/>
      <c r="I4889" s="221"/>
      <c r="J4889" s="221"/>
      <c r="K4889" s="221"/>
      <c r="L4889" s="221"/>
      <c r="M4889" s="221"/>
    </row>
    <row r="4890" spans="5:13">
      <c r="E4890" s="221"/>
      <c r="F4890" s="221"/>
      <c r="G4890" s="221"/>
      <c r="H4890" s="221"/>
      <c r="I4890" s="221"/>
      <c r="J4890" s="221"/>
      <c r="K4890" s="221"/>
      <c r="L4890" s="221"/>
      <c r="M4890" s="221"/>
    </row>
    <row r="4891" spans="5:13">
      <c r="E4891" s="221"/>
      <c r="F4891" s="221"/>
      <c r="G4891" s="221"/>
      <c r="H4891" s="221"/>
      <c r="I4891" s="221"/>
      <c r="J4891" s="221"/>
      <c r="K4891" s="221"/>
      <c r="L4891" s="221"/>
      <c r="M4891" s="221"/>
    </row>
    <row r="4892" spans="5:13">
      <c r="E4892" s="221"/>
      <c r="F4892" s="221"/>
      <c r="G4892" s="221"/>
      <c r="H4892" s="221"/>
      <c r="I4892" s="221"/>
      <c r="J4892" s="221"/>
      <c r="K4892" s="221"/>
      <c r="L4892" s="221"/>
      <c r="M4892" s="221"/>
    </row>
    <row r="4893" spans="5:13">
      <c r="E4893" s="221"/>
      <c r="F4893" s="221"/>
      <c r="G4893" s="221"/>
      <c r="H4893" s="221"/>
      <c r="I4893" s="221"/>
      <c r="J4893" s="221"/>
      <c r="K4893" s="221"/>
      <c r="L4893" s="221"/>
      <c r="M4893" s="221"/>
    </row>
    <row r="4894" spans="5:13">
      <c r="E4894" s="221"/>
      <c r="F4894" s="221"/>
      <c r="G4894" s="221"/>
      <c r="H4894" s="221"/>
      <c r="I4894" s="221"/>
      <c r="J4894" s="221"/>
      <c r="K4894" s="221"/>
      <c r="L4894" s="221"/>
      <c r="M4894" s="221"/>
    </row>
    <row r="4895" spans="5:13">
      <c r="E4895" s="221"/>
      <c r="F4895" s="221"/>
      <c r="G4895" s="221"/>
      <c r="H4895" s="221"/>
      <c r="I4895" s="221"/>
      <c r="J4895" s="221"/>
      <c r="K4895" s="221"/>
      <c r="L4895" s="221"/>
      <c r="M4895" s="221"/>
    </row>
    <row r="4896" spans="5:13">
      <c r="E4896" s="221"/>
      <c r="F4896" s="221"/>
      <c r="G4896" s="221"/>
      <c r="H4896" s="221"/>
      <c r="I4896" s="221"/>
      <c r="J4896" s="221"/>
      <c r="K4896" s="221"/>
      <c r="L4896" s="221"/>
      <c r="M4896" s="221"/>
    </row>
    <row r="4897" spans="5:13">
      <c r="E4897" s="221"/>
      <c r="F4897" s="221"/>
      <c r="G4897" s="221"/>
      <c r="H4897" s="221"/>
      <c r="I4897" s="221"/>
      <c r="J4897" s="221"/>
      <c r="K4897" s="221"/>
      <c r="L4897" s="221"/>
      <c r="M4897" s="221"/>
    </row>
    <row r="4898" spans="5:13">
      <c r="E4898" s="221"/>
      <c r="F4898" s="221"/>
      <c r="G4898" s="221"/>
      <c r="H4898" s="221"/>
      <c r="I4898" s="221"/>
      <c r="J4898" s="221"/>
      <c r="K4898" s="221"/>
      <c r="L4898" s="221"/>
      <c r="M4898" s="221"/>
    </row>
    <row r="4899" spans="5:13">
      <c r="E4899" s="221"/>
      <c r="F4899" s="221"/>
      <c r="G4899" s="221"/>
      <c r="H4899" s="221"/>
      <c r="I4899" s="221"/>
      <c r="J4899" s="221"/>
      <c r="K4899" s="221"/>
      <c r="L4899" s="221"/>
      <c r="M4899" s="221"/>
    </row>
    <row r="4900" spans="5:13">
      <c r="E4900" s="221"/>
      <c r="F4900" s="221"/>
      <c r="G4900" s="221"/>
      <c r="H4900" s="221"/>
      <c r="I4900" s="221"/>
      <c r="J4900" s="221"/>
      <c r="K4900" s="221"/>
      <c r="L4900" s="221"/>
      <c r="M4900" s="221"/>
    </row>
    <row r="4901" spans="5:13">
      <c r="E4901" s="221"/>
      <c r="F4901" s="221"/>
      <c r="G4901" s="221"/>
      <c r="H4901" s="221"/>
      <c r="I4901" s="221"/>
      <c r="J4901" s="221"/>
      <c r="K4901" s="221"/>
      <c r="L4901" s="221"/>
      <c r="M4901" s="221"/>
    </row>
    <row r="4902" spans="5:13">
      <c r="E4902" s="221"/>
      <c r="F4902" s="221"/>
      <c r="G4902" s="221"/>
      <c r="H4902" s="221"/>
      <c r="I4902" s="221"/>
      <c r="J4902" s="221"/>
      <c r="K4902" s="221"/>
      <c r="L4902" s="221"/>
      <c r="M4902" s="221"/>
    </row>
    <row r="4903" spans="5:13">
      <c r="E4903" s="221"/>
      <c r="F4903" s="221"/>
      <c r="G4903" s="221"/>
      <c r="H4903" s="221"/>
      <c r="I4903" s="221"/>
      <c r="J4903" s="221"/>
      <c r="K4903" s="221"/>
      <c r="L4903" s="221"/>
      <c r="M4903" s="221"/>
    </row>
    <row r="4904" spans="5:13">
      <c r="E4904" s="221"/>
      <c r="F4904" s="221"/>
      <c r="G4904" s="221"/>
      <c r="H4904" s="221"/>
      <c r="I4904" s="221"/>
      <c r="J4904" s="221"/>
      <c r="K4904" s="221"/>
      <c r="L4904" s="221"/>
      <c r="M4904" s="221"/>
    </row>
    <row r="4905" spans="5:13">
      <c r="E4905" s="221"/>
      <c r="F4905" s="221"/>
      <c r="G4905" s="221"/>
      <c r="H4905" s="221"/>
      <c r="I4905" s="221"/>
      <c r="J4905" s="221"/>
      <c r="K4905" s="221"/>
      <c r="L4905" s="221"/>
      <c r="M4905" s="221"/>
    </row>
    <row r="4906" spans="5:13">
      <c r="E4906" s="221"/>
      <c r="F4906" s="221"/>
      <c r="G4906" s="221"/>
      <c r="H4906" s="221"/>
      <c r="I4906" s="221"/>
      <c r="J4906" s="221"/>
      <c r="K4906" s="221"/>
      <c r="L4906" s="221"/>
      <c r="M4906" s="221"/>
    </row>
    <row r="4907" spans="5:13">
      <c r="E4907" s="221"/>
      <c r="F4907" s="221"/>
      <c r="G4907" s="221"/>
      <c r="H4907" s="221"/>
      <c r="I4907" s="221"/>
      <c r="J4907" s="221"/>
      <c r="K4907" s="221"/>
      <c r="L4907" s="221"/>
      <c r="M4907" s="221"/>
    </row>
    <row r="4908" spans="5:13">
      <c r="E4908" s="221"/>
      <c r="F4908" s="221"/>
      <c r="G4908" s="221"/>
      <c r="H4908" s="221"/>
      <c r="I4908" s="221"/>
      <c r="J4908" s="221"/>
      <c r="K4908" s="221"/>
      <c r="L4908" s="221"/>
      <c r="M4908" s="221"/>
    </row>
    <row r="4909" spans="5:13">
      <c r="E4909" s="221"/>
      <c r="F4909" s="221"/>
      <c r="G4909" s="221"/>
      <c r="H4909" s="221"/>
      <c r="I4909" s="221"/>
      <c r="J4909" s="221"/>
      <c r="K4909" s="221"/>
      <c r="L4909" s="221"/>
      <c r="M4909" s="221"/>
    </row>
    <row r="4910" spans="5:13">
      <c r="E4910" s="221"/>
      <c r="F4910" s="221"/>
      <c r="G4910" s="221"/>
      <c r="H4910" s="221"/>
      <c r="I4910" s="221"/>
      <c r="J4910" s="221"/>
      <c r="K4910" s="221"/>
      <c r="L4910" s="221"/>
      <c r="M4910" s="221"/>
    </row>
    <row r="4911" spans="5:13">
      <c r="E4911" s="221"/>
      <c r="F4911" s="221"/>
      <c r="G4911" s="221"/>
      <c r="H4911" s="221"/>
      <c r="I4911" s="221"/>
      <c r="J4911" s="221"/>
      <c r="K4911" s="221"/>
      <c r="L4911" s="221"/>
      <c r="M4911" s="221"/>
    </row>
    <row r="4912" spans="5:13">
      <c r="E4912" s="221"/>
      <c r="F4912" s="221"/>
      <c r="G4912" s="221"/>
      <c r="H4912" s="221"/>
      <c r="I4912" s="221"/>
      <c r="J4912" s="221"/>
      <c r="K4912" s="221"/>
      <c r="L4912" s="221"/>
      <c r="M4912" s="221"/>
    </row>
    <row r="4913" spans="5:13">
      <c r="E4913" s="221"/>
      <c r="F4913" s="221"/>
      <c r="G4913" s="221"/>
      <c r="H4913" s="221"/>
      <c r="I4913" s="221"/>
      <c r="J4913" s="221"/>
      <c r="K4913" s="221"/>
      <c r="L4913" s="221"/>
      <c r="M4913" s="221"/>
    </row>
    <row r="4914" spans="5:13">
      <c r="E4914" s="221"/>
      <c r="F4914" s="221"/>
      <c r="G4914" s="221"/>
      <c r="H4914" s="221"/>
      <c r="I4914" s="221"/>
      <c r="J4914" s="221"/>
      <c r="K4914" s="221"/>
      <c r="L4914" s="221"/>
      <c r="M4914" s="221"/>
    </row>
    <row r="4915" spans="5:13">
      <c r="E4915" s="221"/>
      <c r="F4915" s="221"/>
      <c r="G4915" s="221"/>
      <c r="H4915" s="221"/>
      <c r="I4915" s="221"/>
      <c r="J4915" s="221"/>
      <c r="K4915" s="221"/>
      <c r="L4915" s="221"/>
      <c r="M4915" s="221"/>
    </row>
    <row r="4916" spans="5:13">
      <c r="E4916" s="221"/>
      <c r="F4916" s="221"/>
      <c r="G4916" s="221"/>
      <c r="H4916" s="221"/>
      <c r="I4916" s="221"/>
      <c r="J4916" s="221"/>
      <c r="K4916" s="221"/>
      <c r="L4916" s="221"/>
      <c r="M4916" s="221"/>
    </row>
    <row r="4917" spans="5:13">
      <c r="E4917" s="221"/>
      <c r="F4917" s="221"/>
      <c r="G4917" s="221"/>
      <c r="H4917" s="221"/>
      <c r="I4917" s="221"/>
      <c r="J4917" s="221"/>
      <c r="K4917" s="221"/>
      <c r="L4917" s="221"/>
      <c r="M4917" s="221"/>
    </row>
    <row r="4918" spans="5:13">
      <c r="E4918" s="221"/>
      <c r="F4918" s="221"/>
      <c r="G4918" s="221"/>
      <c r="H4918" s="221"/>
      <c r="I4918" s="221"/>
      <c r="J4918" s="221"/>
      <c r="K4918" s="221"/>
      <c r="L4918" s="221"/>
      <c r="M4918" s="221"/>
    </row>
    <row r="4919" spans="5:13">
      <c r="E4919" s="221"/>
      <c r="F4919" s="221"/>
      <c r="G4919" s="221"/>
      <c r="H4919" s="221"/>
      <c r="I4919" s="221"/>
      <c r="J4919" s="221"/>
      <c r="K4919" s="221"/>
      <c r="L4919" s="221"/>
      <c r="M4919" s="221"/>
    </row>
    <row r="4920" spans="5:13">
      <c r="E4920" s="221"/>
      <c r="F4920" s="221"/>
      <c r="G4920" s="221"/>
      <c r="H4920" s="221"/>
      <c r="I4920" s="221"/>
      <c r="J4920" s="221"/>
      <c r="K4920" s="221"/>
      <c r="L4920" s="221"/>
      <c r="M4920" s="221"/>
    </row>
    <row r="4921" spans="5:13">
      <c r="E4921" s="221"/>
      <c r="F4921" s="221"/>
      <c r="G4921" s="221"/>
      <c r="H4921" s="221"/>
      <c r="I4921" s="221"/>
      <c r="J4921" s="221"/>
      <c r="K4921" s="221"/>
      <c r="L4921" s="221"/>
      <c r="M4921" s="221"/>
    </row>
    <row r="4922" spans="5:13">
      <c r="E4922" s="221"/>
      <c r="F4922" s="221"/>
      <c r="G4922" s="221"/>
      <c r="H4922" s="221"/>
      <c r="I4922" s="221"/>
      <c r="J4922" s="221"/>
      <c r="K4922" s="221"/>
      <c r="L4922" s="221"/>
      <c r="M4922" s="221"/>
    </row>
    <row r="4923" spans="5:13">
      <c r="E4923" s="221"/>
      <c r="F4923" s="221"/>
      <c r="G4923" s="221"/>
      <c r="H4923" s="221"/>
      <c r="I4923" s="221"/>
      <c r="J4923" s="221"/>
      <c r="K4923" s="221"/>
      <c r="L4923" s="221"/>
      <c r="M4923" s="221"/>
    </row>
    <row r="4924" spans="5:13">
      <c r="E4924" s="221"/>
      <c r="F4924" s="221"/>
      <c r="G4924" s="221"/>
      <c r="H4924" s="221"/>
      <c r="I4924" s="221"/>
      <c r="J4924" s="221"/>
      <c r="K4924" s="221"/>
      <c r="L4924" s="221"/>
      <c r="M4924" s="221"/>
    </row>
    <row r="4925" spans="5:13">
      <c r="E4925" s="221"/>
      <c r="F4925" s="221"/>
      <c r="G4925" s="221"/>
      <c r="H4925" s="221"/>
      <c r="I4925" s="221"/>
      <c r="J4925" s="221"/>
      <c r="K4925" s="221"/>
      <c r="L4925" s="221"/>
      <c r="M4925" s="221"/>
    </row>
    <row r="4926" spans="5:13">
      <c r="E4926" s="221"/>
      <c r="F4926" s="221"/>
      <c r="G4926" s="221"/>
      <c r="H4926" s="221"/>
      <c r="I4926" s="221"/>
      <c r="J4926" s="221"/>
      <c r="K4926" s="221"/>
      <c r="L4926" s="221"/>
      <c r="M4926" s="221"/>
    </row>
    <row r="4927" spans="5:13">
      <c r="E4927" s="221"/>
      <c r="F4927" s="221"/>
      <c r="G4927" s="221"/>
      <c r="H4927" s="221"/>
      <c r="I4927" s="221"/>
      <c r="J4927" s="221"/>
      <c r="K4927" s="221"/>
      <c r="L4927" s="221"/>
      <c r="M4927" s="221"/>
    </row>
    <row r="4928" spans="5:13">
      <c r="E4928" s="221"/>
      <c r="F4928" s="221"/>
      <c r="G4928" s="221"/>
      <c r="H4928" s="221"/>
      <c r="I4928" s="221"/>
      <c r="J4928" s="221"/>
      <c r="K4928" s="221"/>
      <c r="L4928" s="221"/>
      <c r="M4928" s="221"/>
    </row>
    <row r="4929" spans="5:13">
      <c r="E4929" s="221"/>
      <c r="F4929" s="221"/>
      <c r="G4929" s="221"/>
      <c r="H4929" s="221"/>
      <c r="I4929" s="221"/>
      <c r="J4929" s="221"/>
      <c r="K4929" s="221"/>
      <c r="L4929" s="221"/>
      <c r="M4929" s="221"/>
    </row>
    <row r="4930" spans="5:13">
      <c r="E4930" s="221"/>
      <c r="F4930" s="221"/>
      <c r="G4930" s="221"/>
      <c r="H4930" s="221"/>
      <c r="I4930" s="221"/>
      <c r="J4930" s="221"/>
      <c r="K4930" s="221"/>
      <c r="L4930" s="221"/>
      <c r="M4930" s="221"/>
    </row>
    <row r="4931" spans="5:13">
      <c r="E4931" s="221"/>
      <c r="F4931" s="221"/>
      <c r="G4931" s="221"/>
      <c r="H4931" s="221"/>
      <c r="I4931" s="221"/>
      <c r="J4931" s="221"/>
      <c r="K4931" s="221"/>
      <c r="L4931" s="221"/>
      <c r="M4931" s="221"/>
    </row>
    <row r="4932" spans="5:13">
      <c r="E4932" s="221"/>
      <c r="F4932" s="221"/>
      <c r="G4932" s="221"/>
      <c r="H4932" s="221"/>
      <c r="I4932" s="221"/>
      <c r="J4932" s="221"/>
      <c r="K4932" s="221"/>
      <c r="L4932" s="221"/>
      <c r="M4932" s="221"/>
    </row>
    <row r="4933" spans="5:13">
      <c r="E4933" s="221"/>
      <c r="F4933" s="221"/>
      <c r="G4933" s="221"/>
      <c r="H4933" s="221"/>
      <c r="I4933" s="221"/>
      <c r="J4933" s="221"/>
      <c r="K4933" s="221"/>
      <c r="L4933" s="221"/>
      <c r="M4933" s="221"/>
    </row>
    <row r="4934" spans="5:13">
      <c r="E4934" s="221"/>
      <c r="F4934" s="221"/>
      <c r="G4934" s="221"/>
      <c r="H4934" s="221"/>
      <c r="I4934" s="221"/>
      <c r="J4934" s="221"/>
      <c r="K4934" s="221"/>
      <c r="L4934" s="221"/>
      <c r="M4934" s="221"/>
    </row>
    <row r="4935" spans="5:13">
      <c r="E4935" s="221"/>
      <c r="F4935" s="221"/>
      <c r="G4935" s="221"/>
      <c r="H4935" s="221"/>
      <c r="I4935" s="221"/>
      <c r="J4935" s="221"/>
      <c r="K4935" s="221"/>
      <c r="L4935" s="221"/>
      <c r="M4935" s="221"/>
    </row>
    <row r="4936" spans="5:13">
      <c r="E4936" s="221"/>
      <c r="F4936" s="221"/>
      <c r="G4936" s="221"/>
      <c r="H4936" s="221"/>
      <c r="I4936" s="221"/>
      <c r="J4936" s="221"/>
      <c r="K4936" s="221"/>
      <c r="L4936" s="221"/>
      <c r="M4936" s="221"/>
    </row>
    <row r="4937" spans="5:13">
      <c r="E4937" s="221"/>
      <c r="F4937" s="221"/>
      <c r="G4937" s="221"/>
      <c r="H4937" s="221"/>
      <c r="I4937" s="221"/>
      <c r="J4937" s="221"/>
      <c r="K4937" s="221"/>
      <c r="L4937" s="221"/>
      <c r="M4937" s="221"/>
    </row>
    <row r="4938" spans="5:13">
      <c r="E4938" s="221"/>
      <c r="F4938" s="221"/>
      <c r="G4938" s="221"/>
      <c r="H4938" s="221"/>
      <c r="I4938" s="221"/>
      <c r="J4938" s="221"/>
      <c r="K4938" s="221"/>
      <c r="L4938" s="221"/>
      <c r="M4938" s="221"/>
    </row>
    <row r="4939" spans="5:13">
      <c r="E4939" s="221"/>
      <c r="F4939" s="221"/>
      <c r="G4939" s="221"/>
      <c r="H4939" s="221"/>
      <c r="I4939" s="221"/>
      <c r="J4939" s="221"/>
      <c r="K4939" s="221"/>
      <c r="L4939" s="221"/>
      <c r="M4939" s="221"/>
    </row>
    <row r="4940" spans="5:13">
      <c r="E4940" s="221"/>
      <c r="F4940" s="221"/>
      <c r="G4940" s="221"/>
      <c r="H4940" s="221"/>
      <c r="I4940" s="221"/>
      <c r="J4940" s="221"/>
      <c r="K4940" s="221"/>
      <c r="L4940" s="221"/>
      <c r="M4940" s="221"/>
    </row>
    <row r="4941" spans="5:13">
      <c r="E4941" s="221"/>
      <c r="F4941" s="221"/>
      <c r="G4941" s="221"/>
      <c r="H4941" s="221"/>
      <c r="I4941" s="221"/>
      <c r="J4941" s="221"/>
      <c r="K4941" s="221"/>
      <c r="L4941" s="221"/>
      <c r="M4941" s="221"/>
    </row>
    <row r="4942" spans="5:13">
      <c r="E4942" s="221"/>
      <c r="F4942" s="221"/>
      <c r="G4942" s="221"/>
      <c r="H4942" s="221"/>
      <c r="I4942" s="221"/>
      <c r="J4942" s="221"/>
      <c r="K4942" s="221"/>
      <c r="L4942" s="221"/>
      <c r="M4942" s="221"/>
    </row>
    <row r="4943" spans="5:13">
      <c r="E4943" s="221"/>
      <c r="F4943" s="221"/>
      <c r="G4943" s="221"/>
      <c r="H4943" s="221"/>
      <c r="I4943" s="221"/>
      <c r="J4943" s="221"/>
      <c r="K4943" s="221"/>
      <c r="L4943" s="221"/>
      <c r="M4943" s="221"/>
    </row>
    <row r="4944" spans="5:13">
      <c r="E4944" s="221"/>
      <c r="F4944" s="221"/>
      <c r="G4944" s="221"/>
      <c r="H4944" s="221"/>
      <c r="I4944" s="221"/>
      <c r="J4944" s="221"/>
      <c r="K4944" s="221"/>
      <c r="L4944" s="221"/>
      <c r="M4944" s="221"/>
    </row>
    <row r="4945" spans="5:13">
      <c r="E4945" s="221"/>
      <c r="F4945" s="221"/>
      <c r="G4945" s="221"/>
      <c r="H4945" s="221"/>
      <c r="I4945" s="221"/>
      <c r="J4945" s="221"/>
      <c r="K4945" s="221"/>
      <c r="L4945" s="221"/>
      <c r="M4945" s="221"/>
    </row>
    <row r="4946" spans="5:13">
      <c r="E4946" s="221"/>
      <c r="F4946" s="221"/>
      <c r="G4946" s="221"/>
      <c r="H4946" s="221"/>
      <c r="I4946" s="221"/>
      <c r="J4946" s="221"/>
      <c r="K4946" s="221"/>
      <c r="L4946" s="221"/>
      <c r="M4946" s="221"/>
    </row>
    <row r="4947" spans="5:13">
      <c r="E4947" s="221"/>
      <c r="F4947" s="221"/>
      <c r="G4947" s="221"/>
      <c r="H4947" s="221"/>
      <c r="I4947" s="221"/>
      <c r="J4947" s="221"/>
      <c r="K4947" s="221"/>
      <c r="L4947" s="221"/>
      <c r="M4947" s="221"/>
    </row>
    <row r="4948" spans="5:13">
      <c r="E4948" s="221"/>
      <c r="F4948" s="221"/>
      <c r="G4948" s="221"/>
      <c r="H4948" s="221"/>
      <c r="I4948" s="221"/>
      <c r="J4948" s="221"/>
      <c r="K4948" s="221"/>
      <c r="L4948" s="221"/>
      <c r="M4948" s="221"/>
    </row>
    <row r="4949" spans="5:13">
      <c r="E4949" s="221"/>
      <c r="F4949" s="221"/>
      <c r="G4949" s="221"/>
      <c r="H4949" s="221"/>
      <c r="I4949" s="221"/>
      <c r="J4949" s="221"/>
      <c r="K4949" s="221"/>
      <c r="L4949" s="221"/>
      <c r="M4949" s="221"/>
    </row>
    <row r="4950" spans="5:13">
      <c r="E4950" s="221"/>
      <c r="F4950" s="221"/>
      <c r="G4950" s="221"/>
      <c r="H4950" s="221"/>
      <c r="I4950" s="221"/>
      <c r="J4950" s="221"/>
      <c r="K4950" s="221"/>
      <c r="L4950" s="221"/>
      <c r="M4950" s="221"/>
    </row>
    <row r="4951" spans="5:13">
      <c r="E4951" s="221"/>
      <c r="F4951" s="221"/>
      <c r="G4951" s="221"/>
      <c r="H4951" s="221"/>
      <c r="I4951" s="221"/>
      <c r="J4951" s="221"/>
      <c r="K4951" s="221"/>
      <c r="L4951" s="221"/>
      <c r="M4951" s="221"/>
    </row>
    <row r="4952" spans="5:13">
      <c r="E4952" s="221"/>
      <c r="F4952" s="221"/>
      <c r="G4952" s="221"/>
      <c r="H4952" s="221"/>
      <c r="I4952" s="221"/>
      <c r="J4952" s="221"/>
      <c r="K4952" s="221"/>
      <c r="L4952" s="221"/>
      <c r="M4952" s="221"/>
    </row>
    <row r="4953" spans="5:13">
      <c r="E4953" s="221"/>
      <c r="F4953" s="221"/>
      <c r="G4953" s="221"/>
      <c r="H4953" s="221"/>
      <c r="I4953" s="221"/>
      <c r="J4953" s="221"/>
      <c r="K4953" s="221"/>
      <c r="L4953" s="221"/>
      <c r="M4953" s="221"/>
    </row>
    <row r="4954" spans="5:13">
      <c r="E4954" s="221"/>
      <c r="F4954" s="221"/>
      <c r="G4954" s="221"/>
      <c r="H4954" s="221"/>
      <c r="I4954" s="221"/>
      <c r="J4954" s="221"/>
      <c r="K4954" s="221"/>
      <c r="L4954" s="221"/>
      <c r="M4954" s="221"/>
    </row>
    <row r="4955" spans="5:13">
      <c r="E4955" s="221"/>
      <c r="F4955" s="221"/>
      <c r="G4955" s="221"/>
      <c r="H4955" s="221"/>
      <c r="I4955" s="221"/>
      <c r="J4955" s="221"/>
      <c r="K4955" s="221"/>
      <c r="L4955" s="221"/>
      <c r="M4955" s="221"/>
    </row>
    <row r="4956" spans="5:13">
      <c r="E4956" s="221"/>
      <c r="F4956" s="221"/>
      <c r="G4956" s="221"/>
      <c r="H4956" s="221"/>
      <c r="I4956" s="221"/>
      <c r="J4956" s="221"/>
      <c r="K4956" s="221"/>
      <c r="L4956" s="221"/>
      <c r="M4956" s="221"/>
    </row>
    <row r="4957" spans="5:13">
      <c r="E4957" s="221"/>
      <c r="F4957" s="221"/>
      <c r="G4957" s="221"/>
      <c r="H4957" s="221"/>
      <c r="I4957" s="221"/>
      <c r="J4957" s="221"/>
      <c r="K4957" s="221"/>
      <c r="L4957" s="221"/>
      <c r="M4957" s="221"/>
    </row>
    <row r="4958" spans="5:13">
      <c r="E4958" s="221"/>
      <c r="F4958" s="221"/>
      <c r="G4958" s="221"/>
      <c r="H4958" s="221"/>
      <c r="I4958" s="221"/>
      <c r="J4958" s="221"/>
      <c r="K4958" s="221"/>
      <c r="L4958" s="221"/>
      <c r="M4958" s="221"/>
    </row>
    <row r="4959" spans="5:13">
      <c r="E4959" s="221"/>
      <c r="F4959" s="221"/>
      <c r="G4959" s="221"/>
      <c r="H4959" s="221"/>
      <c r="I4959" s="221"/>
      <c r="J4959" s="221"/>
      <c r="K4959" s="221"/>
      <c r="L4959" s="221"/>
      <c r="M4959" s="221"/>
    </row>
    <row r="4960" spans="5:13">
      <c r="E4960" s="221"/>
      <c r="F4960" s="221"/>
      <c r="G4960" s="221"/>
      <c r="H4960" s="221"/>
      <c r="I4960" s="221"/>
      <c r="J4960" s="221"/>
      <c r="K4960" s="221"/>
      <c r="L4960" s="221"/>
      <c r="M4960" s="221"/>
    </row>
    <row r="4961" spans="5:13">
      <c r="E4961" s="221"/>
      <c r="F4961" s="221"/>
      <c r="G4961" s="221"/>
      <c r="H4961" s="221"/>
      <c r="I4961" s="221"/>
      <c r="J4961" s="221"/>
      <c r="K4961" s="221"/>
      <c r="L4961" s="221"/>
      <c r="M4961" s="221"/>
    </row>
    <row r="4962" spans="5:13">
      <c r="E4962" s="221"/>
      <c r="F4962" s="221"/>
      <c r="G4962" s="221"/>
      <c r="H4962" s="221"/>
      <c r="I4962" s="221"/>
      <c r="J4962" s="221"/>
      <c r="K4962" s="221"/>
      <c r="L4962" s="221"/>
      <c r="M4962" s="221"/>
    </row>
    <row r="4963" spans="5:13">
      <c r="E4963" s="221"/>
      <c r="F4963" s="221"/>
      <c r="G4963" s="221"/>
      <c r="H4963" s="221"/>
      <c r="I4963" s="221"/>
      <c r="J4963" s="221"/>
      <c r="K4963" s="221"/>
      <c r="L4963" s="221"/>
      <c r="M4963" s="221"/>
    </row>
    <row r="4964" spans="5:13">
      <c r="E4964" s="221"/>
      <c r="F4964" s="221"/>
      <c r="G4964" s="221"/>
      <c r="H4964" s="221"/>
      <c r="I4964" s="221"/>
      <c r="J4964" s="221"/>
      <c r="K4964" s="221"/>
      <c r="L4964" s="221"/>
      <c r="M4964" s="221"/>
    </row>
    <row r="4965" spans="5:13">
      <c r="E4965" s="221"/>
      <c r="F4965" s="221"/>
      <c r="G4965" s="221"/>
      <c r="H4965" s="221"/>
      <c r="I4965" s="221"/>
      <c r="J4965" s="221"/>
      <c r="K4965" s="221"/>
      <c r="L4965" s="221"/>
      <c r="M4965" s="221"/>
    </row>
    <row r="4966" spans="5:13">
      <c r="E4966" s="221"/>
      <c r="F4966" s="221"/>
      <c r="G4966" s="221"/>
      <c r="H4966" s="221"/>
      <c r="I4966" s="221"/>
      <c r="J4966" s="221"/>
      <c r="K4966" s="221"/>
      <c r="L4966" s="221"/>
      <c r="M4966" s="221"/>
    </row>
    <row r="4967" spans="5:13">
      <c r="E4967" s="221"/>
      <c r="F4967" s="221"/>
      <c r="G4967" s="221"/>
      <c r="H4967" s="221"/>
      <c r="I4967" s="221"/>
      <c r="J4967" s="221"/>
      <c r="K4967" s="221"/>
      <c r="L4967" s="221"/>
      <c r="M4967" s="221"/>
    </row>
    <row r="4968" spans="5:13">
      <c r="E4968" s="221"/>
      <c r="F4968" s="221"/>
      <c r="G4968" s="221"/>
      <c r="H4968" s="221"/>
      <c r="I4968" s="221"/>
      <c r="J4968" s="221"/>
      <c r="K4968" s="221"/>
      <c r="L4968" s="221"/>
      <c r="M4968" s="221"/>
    </row>
    <row r="4969" spans="5:13">
      <c r="E4969" s="221"/>
      <c r="F4969" s="221"/>
      <c r="G4969" s="221"/>
      <c r="H4969" s="221"/>
      <c r="I4969" s="221"/>
      <c r="J4969" s="221"/>
      <c r="K4969" s="221"/>
      <c r="L4969" s="221"/>
      <c r="M4969" s="221"/>
    </row>
    <row r="4970" spans="5:13">
      <c r="E4970" s="221"/>
      <c r="F4970" s="221"/>
      <c r="G4970" s="221"/>
      <c r="H4970" s="221"/>
      <c r="I4970" s="221"/>
      <c r="J4970" s="221"/>
      <c r="K4970" s="221"/>
      <c r="L4970" s="221"/>
      <c r="M4970" s="221"/>
    </row>
    <row r="4971" spans="5:13">
      <c r="E4971" s="221"/>
      <c r="F4971" s="221"/>
      <c r="G4971" s="221"/>
      <c r="H4971" s="221"/>
      <c r="I4971" s="221"/>
      <c r="J4971" s="221"/>
      <c r="K4971" s="221"/>
      <c r="L4971" s="221"/>
      <c r="M4971" s="221"/>
    </row>
    <row r="4972" spans="5:13">
      <c r="E4972" s="221"/>
      <c r="F4972" s="221"/>
      <c r="G4972" s="221"/>
      <c r="H4972" s="221"/>
      <c r="I4972" s="221"/>
      <c r="J4972" s="221"/>
      <c r="K4972" s="221"/>
      <c r="L4972" s="221"/>
      <c r="M4972" s="221"/>
    </row>
    <row r="4973" spans="5:13">
      <c r="E4973" s="221"/>
      <c r="F4973" s="221"/>
      <c r="G4973" s="221"/>
      <c r="H4973" s="221"/>
      <c r="I4973" s="221"/>
      <c r="J4973" s="221"/>
      <c r="K4973" s="221"/>
      <c r="L4973" s="221"/>
      <c r="M4973" s="221"/>
    </row>
    <row r="4974" spans="5:13">
      <c r="E4974" s="221"/>
      <c r="F4974" s="221"/>
      <c r="G4974" s="221"/>
      <c r="H4974" s="221"/>
      <c r="I4974" s="221"/>
      <c r="J4974" s="221"/>
      <c r="K4974" s="221"/>
      <c r="L4974" s="221"/>
      <c r="M4974" s="221"/>
    </row>
    <row r="4975" spans="5:13">
      <c r="E4975" s="221"/>
      <c r="F4975" s="221"/>
      <c r="G4975" s="221"/>
      <c r="H4975" s="221"/>
      <c r="I4975" s="221"/>
      <c r="J4975" s="221"/>
      <c r="K4975" s="221"/>
      <c r="L4975" s="221"/>
      <c r="M4975" s="221"/>
    </row>
    <row r="4976" spans="5:13">
      <c r="E4976" s="221"/>
      <c r="F4976" s="221"/>
      <c r="G4976" s="221"/>
      <c r="H4976" s="221"/>
      <c r="I4976" s="221"/>
      <c r="J4976" s="221"/>
      <c r="K4976" s="221"/>
      <c r="L4976" s="221"/>
      <c r="M4976" s="221"/>
    </row>
    <row r="4977" spans="5:13">
      <c r="E4977" s="221"/>
      <c r="F4977" s="221"/>
      <c r="G4977" s="221"/>
      <c r="H4977" s="221"/>
      <c r="I4977" s="221"/>
      <c r="J4977" s="221"/>
      <c r="K4977" s="221"/>
      <c r="L4977" s="221"/>
      <c r="M4977" s="221"/>
    </row>
    <row r="4978" spans="5:13">
      <c r="E4978" s="221"/>
      <c r="F4978" s="221"/>
      <c r="G4978" s="221"/>
      <c r="H4978" s="221"/>
      <c r="I4978" s="221"/>
      <c r="J4978" s="221"/>
      <c r="K4978" s="221"/>
      <c r="L4978" s="221"/>
      <c r="M4978" s="221"/>
    </row>
    <row r="4979" spans="5:13">
      <c r="E4979" s="221"/>
      <c r="F4979" s="221"/>
      <c r="G4979" s="221"/>
      <c r="H4979" s="221"/>
      <c r="I4979" s="221"/>
      <c r="J4979" s="221"/>
      <c r="K4979" s="221"/>
      <c r="L4979" s="221"/>
      <c r="M4979" s="221"/>
    </row>
    <row r="4980" spans="5:13">
      <c r="E4980" s="221"/>
      <c r="F4980" s="221"/>
      <c r="G4980" s="221"/>
      <c r="H4980" s="221"/>
      <c r="I4980" s="221"/>
      <c r="J4980" s="221"/>
      <c r="K4980" s="221"/>
      <c r="L4980" s="221"/>
      <c r="M4980" s="221"/>
    </row>
    <row r="4981" spans="5:13">
      <c r="E4981" s="221"/>
      <c r="F4981" s="221"/>
      <c r="G4981" s="221"/>
      <c r="H4981" s="221"/>
      <c r="I4981" s="221"/>
      <c r="J4981" s="221"/>
      <c r="K4981" s="221"/>
      <c r="L4981" s="221"/>
      <c r="M4981" s="221"/>
    </row>
    <row r="4982" spans="5:13">
      <c r="E4982" s="221"/>
      <c r="F4982" s="221"/>
      <c r="G4982" s="221"/>
      <c r="H4982" s="221"/>
      <c r="I4982" s="221"/>
      <c r="J4982" s="221"/>
      <c r="K4982" s="221"/>
      <c r="L4982" s="221"/>
      <c r="M4982" s="221"/>
    </row>
    <row r="4983" spans="5:13">
      <c r="E4983" s="221"/>
      <c r="F4983" s="221"/>
      <c r="G4983" s="221"/>
      <c r="H4983" s="221"/>
      <c r="I4983" s="221"/>
      <c r="J4983" s="221"/>
      <c r="K4983" s="221"/>
      <c r="L4983" s="221"/>
      <c r="M4983" s="221"/>
    </row>
    <row r="4984" spans="5:13">
      <c r="E4984" s="221"/>
      <c r="F4984" s="221"/>
      <c r="G4984" s="221"/>
      <c r="H4984" s="221"/>
      <c r="I4984" s="221"/>
      <c r="J4984" s="221"/>
      <c r="K4984" s="221"/>
      <c r="L4984" s="221"/>
      <c r="M4984" s="221"/>
    </row>
    <row r="4985" spans="5:13">
      <c r="E4985" s="221"/>
      <c r="F4985" s="221"/>
      <c r="G4985" s="221"/>
      <c r="H4985" s="221"/>
      <c r="I4985" s="221"/>
      <c r="J4985" s="221"/>
      <c r="K4985" s="221"/>
      <c r="L4985" s="221"/>
      <c r="M4985" s="221"/>
    </row>
    <row r="4986" spans="5:13">
      <c r="E4986" s="221"/>
      <c r="F4986" s="221"/>
      <c r="G4986" s="221"/>
      <c r="H4986" s="221"/>
      <c r="I4986" s="221"/>
      <c r="J4986" s="221"/>
      <c r="K4986" s="221"/>
      <c r="L4986" s="221"/>
      <c r="M4986" s="221"/>
    </row>
    <row r="4987" spans="5:13">
      <c r="E4987" s="221"/>
      <c r="F4987" s="221"/>
      <c r="G4987" s="221"/>
      <c r="H4987" s="221"/>
      <c r="I4987" s="221"/>
      <c r="J4987" s="221"/>
      <c r="K4987" s="221"/>
      <c r="L4987" s="221"/>
      <c r="M4987" s="221"/>
    </row>
    <row r="4988" spans="5:13">
      <c r="E4988" s="221"/>
      <c r="F4988" s="221"/>
      <c r="G4988" s="221"/>
      <c r="H4988" s="221"/>
      <c r="I4988" s="221"/>
      <c r="J4988" s="221"/>
      <c r="K4988" s="221"/>
      <c r="L4988" s="221"/>
      <c r="M4988" s="221"/>
    </row>
    <row r="4989" spans="5:13">
      <c r="E4989" s="221"/>
      <c r="F4989" s="221"/>
      <c r="G4989" s="221"/>
      <c r="H4989" s="221"/>
      <c r="I4989" s="221"/>
      <c r="J4989" s="221"/>
      <c r="K4989" s="221"/>
      <c r="L4989" s="221"/>
      <c r="M4989" s="221"/>
    </row>
    <row r="4990" spans="5:13">
      <c r="E4990" s="221"/>
      <c r="F4990" s="221"/>
      <c r="G4990" s="221"/>
      <c r="H4990" s="221"/>
      <c r="I4990" s="221"/>
      <c r="J4990" s="221"/>
      <c r="K4990" s="221"/>
      <c r="L4990" s="221"/>
      <c r="M4990" s="221"/>
    </row>
    <row r="4991" spans="5:13">
      <c r="E4991" s="221"/>
      <c r="F4991" s="221"/>
      <c r="G4991" s="221"/>
      <c r="H4991" s="221"/>
      <c r="I4991" s="221"/>
      <c r="J4991" s="221"/>
      <c r="K4991" s="221"/>
      <c r="L4991" s="221"/>
      <c r="M4991" s="221"/>
    </row>
    <row r="4992" spans="5:13">
      <c r="E4992" s="221"/>
      <c r="F4992" s="221"/>
      <c r="G4992" s="221"/>
      <c r="H4992" s="221"/>
      <c r="I4992" s="221"/>
      <c r="J4992" s="221"/>
      <c r="K4992" s="221"/>
      <c r="L4992" s="221"/>
      <c r="M4992" s="221"/>
    </row>
    <row r="4993" spans="5:13">
      <c r="E4993" s="221"/>
      <c r="F4993" s="221"/>
      <c r="G4993" s="221"/>
      <c r="H4993" s="221"/>
      <c r="I4993" s="221"/>
      <c r="J4993" s="221"/>
      <c r="K4993" s="221"/>
      <c r="L4993" s="221"/>
      <c r="M4993" s="221"/>
    </row>
    <row r="4994" spans="5:13">
      <c r="E4994" s="221"/>
      <c r="F4994" s="221"/>
      <c r="G4994" s="221"/>
      <c r="H4994" s="221"/>
      <c r="I4994" s="221"/>
      <c r="J4994" s="221"/>
      <c r="K4994" s="221"/>
      <c r="L4994" s="221"/>
      <c r="M4994" s="221"/>
    </row>
    <row r="4995" spans="5:13">
      <c r="E4995" s="221"/>
      <c r="F4995" s="221"/>
      <c r="G4995" s="221"/>
      <c r="H4995" s="221"/>
      <c r="I4995" s="221"/>
      <c r="J4995" s="221"/>
      <c r="K4995" s="221"/>
      <c r="L4995" s="221"/>
      <c r="M4995" s="221"/>
    </row>
    <row r="4996" spans="5:13">
      <c r="E4996" s="221"/>
      <c r="F4996" s="221"/>
      <c r="G4996" s="221"/>
      <c r="H4996" s="221"/>
      <c r="I4996" s="221"/>
      <c r="J4996" s="221"/>
      <c r="K4996" s="221"/>
      <c r="L4996" s="221"/>
      <c r="M4996" s="221"/>
    </row>
    <row r="4997" spans="5:13">
      <c r="E4997" s="221"/>
      <c r="F4997" s="221"/>
      <c r="G4997" s="221"/>
      <c r="H4997" s="221"/>
      <c r="I4997" s="221"/>
      <c r="J4997" s="221"/>
      <c r="K4997" s="221"/>
      <c r="L4997" s="221"/>
      <c r="M4997" s="221"/>
    </row>
    <row r="4998" spans="5:13">
      <c r="E4998" s="221"/>
      <c r="F4998" s="221"/>
      <c r="G4998" s="221"/>
      <c r="H4998" s="221"/>
      <c r="I4998" s="221"/>
      <c r="J4998" s="221"/>
      <c r="K4998" s="221"/>
      <c r="L4998" s="221"/>
      <c r="M4998" s="221"/>
    </row>
    <row r="4999" spans="5:13">
      <c r="E4999" s="221"/>
      <c r="F4999" s="221"/>
      <c r="G4999" s="221"/>
      <c r="H4999" s="221"/>
      <c r="I4999" s="221"/>
      <c r="J4999" s="221"/>
      <c r="K4999" s="221"/>
      <c r="L4999" s="221"/>
      <c r="M4999" s="221"/>
    </row>
    <row r="5000" spans="5:13">
      <c r="E5000" s="221"/>
      <c r="F5000" s="221"/>
      <c r="G5000" s="221"/>
      <c r="H5000" s="221"/>
      <c r="I5000" s="221"/>
      <c r="J5000" s="221"/>
      <c r="K5000" s="221"/>
      <c r="L5000" s="221"/>
      <c r="M5000" s="221"/>
    </row>
    <row r="5001" spans="5:13">
      <c r="E5001" s="221"/>
      <c r="F5001" s="221"/>
      <c r="G5001" s="221"/>
      <c r="H5001" s="221"/>
      <c r="I5001" s="221"/>
      <c r="J5001" s="221"/>
      <c r="K5001" s="221"/>
      <c r="L5001" s="221"/>
      <c r="M5001" s="221"/>
    </row>
    <row r="5002" spans="5:13">
      <c r="E5002" s="221"/>
      <c r="F5002" s="221"/>
      <c r="G5002" s="221"/>
      <c r="H5002" s="221"/>
      <c r="I5002" s="221"/>
      <c r="J5002" s="221"/>
      <c r="K5002" s="221"/>
      <c r="L5002" s="221"/>
      <c r="M5002" s="221"/>
    </row>
    <row r="5003" spans="5:13">
      <c r="E5003" s="221"/>
      <c r="F5003" s="221"/>
      <c r="G5003" s="221"/>
      <c r="H5003" s="221"/>
      <c r="I5003" s="221"/>
      <c r="J5003" s="221"/>
      <c r="K5003" s="221"/>
      <c r="L5003" s="221"/>
      <c r="M5003" s="221"/>
    </row>
    <row r="5004" spans="5:13">
      <c r="E5004" s="221"/>
      <c r="F5004" s="221"/>
      <c r="G5004" s="221"/>
      <c r="H5004" s="221"/>
      <c r="I5004" s="221"/>
      <c r="J5004" s="221"/>
      <c r="K5004" s="221"/>
      <c r="L5004" s="221"/>
      <c r="M5004" s="221"/>
    </row>
    <row r="5005" spans="5:13">
      <c r="E5005" s="221"/>
      <c r="F5005" s="221"/>
      <c r="G5005" s="221"/>
      <c r="H5005" s="221"/>
      <c r="I5005" s="221"/>
      <c r="J5005" s="221"/>
      <c r="K5005" s="221"/>
      <c r="L5005" s="221"/>
      <c r="M5005" s="221"/>
    </row>
    <row r="5006" spans="5:13">
      <c r="E5006" s="221"/>
      <c r="F5006" s="221"/>
      <c r="G5006" s="221"/>
      <c r="H5006" s="221"/>
      <c r="I5006" s="221"/>
      <c r="J5006" s="221"/>
      <c r="K5006" s="221"/>
      <c r="L5006" s="221"/>
      <c r="M5006" s="221"/>
    </row>
    <row r="5007" spans="5:13">
      <c r="E5007" s="221"/>
      <c r="F5007" s="221"/>
      <c r="G5007" s="221"/>
      <c r="H5007" s="221"/>
      <c r="I5007" s="221"/>
      <c r="J5007" s="221"/>
      <c r="K5007" s="221"/>
      <c r="L5007" s="221"/>
      <c r="M5007" s="221"/>
    </row>
    <row r="5008" spans="5:13">
      <c r="E5008" s="221"/>
      <c r="F5008" s="221"/>
      <c r="G5008" s="221"/>
      <c r="H5008" s="221"/>
      <c r="I5008" s="221"/>
      <c r="J5008" s="221"/>
      <c r="K5008" s="221"/>
      <c r="L5008" s="221"/>
      <c r="M5008" s="221"/>
    </row>
    <row r="5009" spans="5:13">
      <c r="E5009" s="221"/>
      <c r="F5009" s="221"/>
      <c r="G5009" s="221"/>
      <c r="H5009" s="221"/>
      <c r="I5009" s="221"/>
      <c r="J5009" s="221"/>
      <c r="K5009" s="221"/>
      <c r="L5009" s="221"/>
      <c r="M5009" s="221"/>
    </row>
    <row r="5010" spans="5:13">
      <c r="E5010" s="221"/>
      <c r="F5010" s="221"/>
      <c r="G5010" s="221"/>
      <c r="H5010" s="221"/>
      <c r="I5010" s="221"/>
      <c r="J5010" s="221"/>
      <c r="K5010" s="221"/>
      <c r="L5010" s="221"/>
      <c r="M5010" s="221"/>
    </row>
    <row r="5011" spans="5:13">
      <c r="E5011" s="221"/>
      <c r="F5011" s="221"/>
      <c r="G5011" s="221"/>
      <c r="H5011" s="221"/>
      <c r="I5011" s="221"/>
      <c r="J5011" s="221"/>
      <c r="K5011" s="221"/>
      <c r="L5011" s="221"/>
      <c r="M5011" s="221"/>
    </row>
    <row r="5012" spans="5:13">
      <c r="E5012" s="221"/>
      <c r="F5012" s="221"/>
      <c r="G5012" s="221"/>
      <c r="H5012" s="221"/>
      <c r="I5012" s="221"/>
      <c r="J5012" s="221"/>
      <c r="K5012" s="221"/>
      <c r="L5012" s="221"/>
      <c r="M5012" s="221"/>
    </row>
    <row r="5013" spans="5:13">
      <c r="E5013" s="221"/>
      <c r="F5013" s="221"/>
      <c r="G5013" s="221"/>
      <c r="H5013" s="221"/>
      <c r="I5013" s="221"/>
      <c r="J5013" s="221"/>
      <c r="K5013" s="221"/>
      <c r="L5013" s="221"/>
      <c r="M5013" s="221"/>
    </row>
    <row r="5014" spans="5:13">
      <c r="E5014" s="221"/>
      <c r="F5014" s="221"/>
      <c r="G5014" s="221"/>
      <c r="H5014" s="221"/>
      <c r="I5014" s="221"/>
      <c r="J5014" s="221"/>
      <c r="K5014" s="221"/>
      <c r="L5014" s="221"/>
      <c r="M5014" s="221"/>
    </row>
    <row r="5015" spans="5:13">
      <c r="E5015" s="221"/>
      <c r="F5015" s="221"/>
      <c r="G5015" s="221"/>
      <c r="H5015" s="221"/>
      <c r="I5015" s="221"/>
      <c r="J5015" s="221"/>
      <c r="K5015" s="221"/>
      <c r="L5015" s="221"/>
      <c r="M5015" s="221"/>
    </row>
    <row r="5016" spans="5:13">
      <c r="E5016" s="221"/>
      <c r="F5016" s="221"/>
      <c r="G5016" s="221"/>
      <c r="H5016" s="221"/>
      <c r="I5016" s="221"/>
      <c r="J5016" s="221"/>
      <c r="K5016" s="221"/>
      <c r="L5016" s="221"/>
      <c r="M5016" s="221"/>
    </row>
    <row r="5017" spans="5:13">
      <c r="E5017" s="221"/>
      <c r="F5017" s="221"/>
      <c r="G5017" s="221"/>
      <c r="H5017" s="221"/>
      <c r="I5017" s="221"/>
      <c r="J5017" s="221"/>
      <c r="K5017" s="221"/>
      <c r="L5017" s="221"/>
      <c r="M5017" s="221"/>
    </row>
    <row r="5018" spans="5:13">
      <c r="E5018" s="221"/>
      <c r="F5018" s="221"/>
      <c r="G5018" s="221"/>
      <c r="H5018" s="221"/>
      <c r="I5018" s="221"/>
      <c r="J5018" s="221"/>
      <c r="K5018" s="221"/>
      <c r="L5018" s="221"/>
      <c r="M5018" s="221"/>
    </row>
    <row r="5019" spans="5:13">
      <c r="E5019" s="221"/>
      <c r="F5019" s="221"/>
      <c r="G5019" s="221"/>
      <c r="H5019" s="221"/>
      <c r="I5019" s="221"/>
      <c r="J5019" s="221"/>
      <c r="K5019" s="221"/>
      <c r="L5019" s="221"/>
      <c r="M5019" s="221"/>
    </row>
    <row r="5020" spans="5:13">
      <c r="E5020" s="221"/>
      <c r="F5020" s="221"/>
      <c r="G5020" s="221"/>
      <c r="H5020" s="221"/>
      <c r="I5020" s="221"/>
      <c r="J5020" s="221"/>
      <c r="K5020" s="221"/>
      <c r="L5020" s="221"/>
      <c r="M5020" s="221"/>
    </row>
    <row r="5021" spans="5:13">
      <c r="E5021" s="221"/>
      <c r="F5021" s="221"/>
      <c r="G5021" s="221"/>
      <c r="H5021" s="221"/>
      <c r="I5021" s="221"/>
      <c r="J5021" s="221"/>
      <c r="K5021" s="221"/>
      <c r="L5021" s="221"/>
      <c r="M5021" s="221"/>
    </row>
    <row r="5022" spans="5:13">
      <c r="E5022" s="221"/>
      <c r="F5022" s="221"/>
      <c r="G5022" s="221"/>
      <c r="H5022" s="221"/>
      <c r="I5022" s="221"/>
      <c r="J5022" s="221"/>
      <c r="K5022" s="221"/>
      <c r="L5022" s="221"/>
      <c r="M5022" s="221"/>
    </row>
    <row r="5023" spans="5:13">
      <c r="E5023" s="221"/>
      <c r="F5023" s="221"/>
      <c r="G5023" s="221"/>
      <c r="H5023" s="221"/>
      <c r="I5023" s="221"/>
      <c r="J5023" s="221"/>
      <c r="K5023" s="221"/>
      <c r="L5023" s="221"/>
      <c r="M5023" s="221"/>
    </row>
    <row r="5024" spans="5:13">
      <c r="E5024" s="221"/>
      <c r="F5024" s="221"/>
      <c r="G5024" s="221"/>
      <c r="H5024" s="221"/>
      <c r="I5024" s="221"/>
      <c r="J5024" s="221"/>
      <c r="K5024" s="221"/>
      <c r="L5024" s="221"/>
      <c r="M5024" s="221"/>
    </row>
    <row r="5025" spans="5:13">
      <c r="E5025" s="221"/>
      <c r="F5025" s="221"/>
      <c r="G5025" s="221"/>
      <c r="H5025" s="221"/>
      <c r="I5025" s="221"/>
      <c r="J5025" s="221"/>
      <c r="K5025" s="221"/>
      <c r="L5025" s="221"/>
      <c r="M5025" s="221"/>
    </row>
    <row r="5026" spans="5:13">
      <c r="E5026" s="221"/>
      <c r="F5026" s="221"/>
      <c r="G5026" s="221"/>
      <c r="H5026" s="221"/>
      <c r="I5026" s="221"/>
      <c r="J5026" s="221"/>
      <c r="K5026" s="221"/>
      <c r="L5026" s="221"/>
      <c r="M5026" s="221"/>
    </row>
    <row r="5027" spans="5:13">
      <c r="E5027" s="221"/>
      <c r="F5027" s="221"/>
      <c r="G5027" s="221"/>
      <c r="H5027" s="221"/>
      <c r="I5027" s="221"/>
      <c r="J5027" s="221"/>
      <c r="K5027" s="221"/>
      <c r="L5027" s="221"/>
      <c r="M5027" s="221"/>
    </row>
    <row r="5028" spans="5:13">
      <c r="E5028" s="221"/>
      <c r="F5028" s="221"/>
      <c r="G5028" s="221"/>
      <c r="H5028" s="221"/>
      <c r="I5028" s="221"/>
      <c r="J5028" s="221"/>
      <c r="K5028" s="221"/>
      <c r="L5028" s="221"/>
      <c r="M5028" s="221"/>
    </row>
    <row r="5029" spans="5:13">
      <c r="E5029" s="221"/>
      <c r="F5029" s="221"/>
      <c r="G5029" s="221"/>
      <c r="H5029" s="221"/>
      <c r="I5029" s="221"/>
      <c r="J5029" s="221"/>
      <c r="K5029" s="221"/>
      <c r="L5029" s="221"/>
      <c r="M5029" s="221"/>
    </row>
    <row r="5030" spans="5:13">
      <c r="E5030" s="221"/>
      <c r="F5030" s="221"/>
      <c r="G5030" s="221"/>
      <c r="H5030" s="221"/>
      <c r="I5030" s="221"/>
      <c r="J5030" s="221"/>
      <c r="K5030" s="221"/>
      <c r="L5030" s="221"/>
      <c r="M5030" s="221"/>
    </row>
    <row r="5031" spans="5:13">
      <c r="E5031" s="221"/>
      <c r="F5031" s="221"/>
      <c r="G5031" s="221"/>
      <c r="H5031" s="221"/>
      <c r="I5031" s="221"/>
      <c r="J5031" s="221"/>
      <c r="K5031" s="221"/>
      <c r="L5031" s="221"/>
      <c r="M5031" s="221"/>
    </row>
    <row r="5032" spans="5:13">
      <c r="E5032" s="221"/>
      <c r="F5032" s="221"/>
      <c r="G5032" s="221"/>
      <c r="H5032" s="221"/>
      <c r="I5032" s="221"/>
      <c r="J5032" s="221"/>
      <c r="K5032" s="221"/>
      <c r="L5032" s="221"/>
      <c r="M5032" s="221"/>
    </row>
    <row r="5033" spans="5:13">
      <c r="E5033" s="221"/>
      <c r="F5033" s="221"/>
      <c r="G5033" s="221"/>
      <c r="H5033" s="221"/>
      <c r="I5033" s="221"/>
      <c r="J5033" s="221"/>
      <c r="K5033" s="221"/>
      <c r="L5033" s="221"/>
      <c r="M5033" s="221"/>
    </row>
    <row r="5034" spans="5:13">
      <c r="E5034" s="221"/>
      <c r="F5034" s="221"/>
      <c r="G5034" s="221"/>
      <c r="H5034" s="221"/>
      <c r="I5034" s="221"/>
      <c r="J5034" s="221"/>
      <c r="K5034" s="221"/>
      <c r="L5034" s="221"/>
      <c r="M5034" s="221"/>
    </row>
    <row r="5035" spans="5:13">
      <c r="E5035" s="221"/>
      <c r="F5035" s="221"/>
      <c r="G5035" s="221"/>
      <c r="H5035" s="221"/>
      <c r="I5035" s="221"/>
      <c r="J5035" s="221"/>
      <c r="K5035" s="221"/>
      <c r="L5035" s="221"/>
      <c r="M5035" s="221"/>
    </row>
    <row r="5036" spans="5:13">
      <c r="E5036" s="221"/>
      <c r="F5036" s="221"/>
      <c r="G5036" s="221"/>
      <c r="H5036" s="221"/>
      <c r="I5036" s="221"/>
      <c r="J5036" s="221"/>
      <c r="K5036" s="221"/>
      <c r="L5036" s="221"/>
      <c r="M5036" s="221"/>
    </row>
    <row r="5037" spans="5:13">
      <c r="E5037" s="221"/>
      <c r="F5037" s="221"/>
      <c r="G5037" s="221"/>
      <c r="H5037" s="221"/>
      <c r="I5037" s="221"/>
      <c r="J5037" s="221"/>
      <c r="K5037" s="221"/>
      <c r="L5037" s="221"/>
      <c r="M5037" s="221"/>
    </row>
    <row r="5038" spans="5:13">
      <c r="E5038" s="221"/>
      <c r="F5038" s="221"/>
      <c r="G5038" s="221"/>
      <c r="H5038" s="221"/>
      <c r="I5038" s="221"/>
      <c r="J5038" s="221"/>
      <c r="K5038" s="221"/>
      <c r="L5038" s="221"/>
      <c r="M5038" s="221"/>
    </row>
    <row r="5039" spans="5:13">
      <c r="E5039" s="221"/>
      <c r="F5039" s="221"/>
      <c r="G5039" s="221"/>
      <c r="H5039" s="221"/>
      <c r="I5039" s="221"/>
      <c r="J5039" s="221"/>
      <c r="K5039" s="221"/>
      <c r="L5039" s="221"/>
      <c r="M5039" s="221"/>
    </row>
    <row r="5040" spans="5:13">
      <c r="E5040" s="221"/>
      <c r="F5040" s="221"/>
      <c r="G5040" s="221"/>
      <c r="H5040" s="221"/>
      <c r="I5040" s="221"/>
      <c r="J5040" s="221"/>
      <c r="K5040" s="221"/>
      <c r="L5040" s="221"/>
      <c r="M5040" s="221"/>
    </row>
    <row r="5041" spans="5:13">
      <c r="E5041" s="221"/>
      <c r="F5041" s="221"/>
      <c r="G5041" s="221"/>
      <c r="H5041" s="221"/>
      <c r="I5041" s="221"/>
      <c r="J5041" s="221"/>
      <c r="K5041" s="221"/>
      <c r="L5041" s="221"/>
      <c r="M5041" s="221"/>
    </row>
    <row r="5042" spans="5:13">
      <c r="E5042" s="221"/>
      <c r="F5042" s="221"/>
      <c r="G5042" s="221"/>
      <c r="H5042" s="221"/>
      <c r="I5042" s="221"/>
      <c r="J5042" s="221"/>
      <c r="K5042" s="221"/>
      <c r="L5042" s="221"/>
      <c r="M5042" s="221"/>
    </row>
    <row r="5043" spans="5:13">
      <c r="E5043" s="221"/>
      <c r="F5043" s="221"/>
      <c r="G5043" s="221"/>
      <c r="H5043" s="221"/>
      <c r="I5043" s="221"/>
      <c r="J5043" s="221"/>
      <c r="K5043" s="221"/>
      <c r="L5043" s="221"/>
      <c r="M5043" s="221"/>
    </row>
    <row r="5044" spans="5:13">
      <c r="E5044" s="221"/>
      <c r="F5044" s="221"/>
      <c r="G5044" s="221"/>
      <c r="H5044" s="221"/>
      <c r="I5044" s="221"/>
      <c r="J5044" s="221"/>
      <c r="K5044" s="221"/>
      <c r="L5044" s="221"/>
      <c r="M5044" s="221"/>
    </row>
    <row r="5045" spans="5:13">
      <c r="E5045" s="221"/>
      <c r="F5045" s="221"/>
      <c r="G5045" s="221"/>
      <c r="H5045" s="221"/>
      <c r="I5045" s="221"/>
      <c r="J5045" s="221"/>
      <c r="K5045" s="221"/>
      <c r="L5045" s="221"/>
      <c r="M5045" s="221"/>
    </row>
    <row r="5046" spans="5:13">
      <c r="E5046" s="221"/>
      <c r="F5046" s="221"/>
      <c r="G5046" s="221"/>
      <c r="H5046" s="221"/>
      <c r="I5046" s="221"/>
      <c r="J5046" s="221"/>
      <c r="K5046" s="221"/>
      <c r="L5046" s="221"/>
      <c r="M5046" s="221"/>
    </row>
    <row r="5047" spans="5:13">
      <c r="E5047" s="221"/>
      <c r="F5047" s="221"/>
      <c r="G5047" s="221"/>
      <c r="H5047" s="221"/>
      <c r="I5047" s="221"/>
      <c r="J5047" s="221"/>
      <c r="K5047" s="221"/>
      <c r="L5047" s="221"/>
      <c r="M5047" s="221"/>
    </row>
    <row r="5048" spans="5:13">
      <c r="E5048" s="221"/>
      <c r="F5048" s="221"/>
      <c r="G5048" s="221"/>
      <c r="H5048" s="221"/>
      <c r="I5048" s="221"/>
      <c r="J5048" s="221"/>
      <c r="K5048" s="221"/>
      <c r="L5048" s="221"/>
      <c r="M5048" s="221"/>
    </row>
    <row r="5049" spans="5:13">
      <c r="E5049" s="221"/>
      <c r="F5049" s="221"/>
      <c r="G5049" s="221"/>
      <c r="H5049" s="221"/>
      <c r="I5049" s="221"/>
      <c r="J5049" s="221"/>
      <c r="K5049" s="221"/>
      <c r="L5049" s="221"/>
      <c r="M5049" s="221"/>
    </row>
    <row r="5050" spans="5:13">
      <c r="E5050" s="221"/>
      <c r="F5050" s="221"/>
      <c r="G5050" s="221"/>
      <c r="H5050" s="221"/>
      <c r="I5050" s="221"/>
      <c r="J5050" s="221"/>
      <c r="K5050" s="221"/>
      <c r="L5050" s="221"/>
      <c r="M5050" s="221"/>
    </row>
    <row r="5051" spans="5:13">
      <c r="E5051" s="221"/>
      <c r="F5051" s="221"/>
      <c r="G5051" s="221"/>
      <c r="H5051" s="221"/>
      <c r="I5051" s="221"/>
      <c r="J5051" s="221"/>
      <c r="K5051" s="221"/>
      <c r="L5051" s="221"/>
      <c r="M5051" s="221"/>
    </row>
    <row r="5052" spans="5:13">
      <c r="E5052" s="221"/>
      <c r="F5052" s="221"/>
      <c r="G5052" s="221"/>
      <c r="H5052" s="221"/>
      <c r="I5052" s="221"/>
      <c r="J5052" s="221"/>
      <c r="K5052" s="221"/>
      <c r="L5052" s="221"/>
      <c r="M5052" s="221"/>
    </row>
    <row r="5053" spans="5:13">
      <c r="E5053" s="221"/>
      <c r="F5053" s="221"/>
      <c r="G5053" s="221"/>
      <c r="H5053" s="221"/>
      <c r="I5053" s="221"/>
      <c r="J5053" s="221"/>
      <c r="K5053" s="221"/>
      <c r="L5053" s="221"/>
      <c r="M5053" s="221"/>
    </row>
    <row r="5054" spans="5:13">
      <c r="E5054" s="221"/>
      <c r="F5054" s="221"/>
      <c r="G5054" s="221"/>
      <c r="H5054" s="221"/>
      <c r="I5054" s="221"/>
      <c r="J5054" s="221"/>
      <c r="K5054" s="221"/>
      <c r="L5054" s="221"/>
      <c r="M5054" s="221"/>
    </row>
    <row r="5055" spans="5:13">
      <c r="E5055" s="221"/>
      <c r="F5055" s="221"/>
      <c r="G5055" s="221"/>
      <c r="H5055" s="221"/>
      <c r="I5055" s="221"/>
      <c r="J5055" s="221"/>
      <c r="K5055" s="221"/>
      <c r="L5055" s="221"/>
      <c r="M5055" s="221"/>
    </row>
    <row r="5056" spans="5:13">
      <c r="E5056" s="221"/>
      <c r="F5056" s="221"/>
      <c r="G5056" s="221"/>
      <c r="H5056" s="221"/>
      <c r="I5056" s="221"/>
      <c r="J5056" s="221"/>
      <c r="K5056" s="221"/>
      <c r="L5056" s="221"/>
      <c r="M5056" s="221"/>
    </row>
    <row r="5057" spans="5:13">
      <c r="E5057" s="221"/>
      <c r="F5057" s="221"/>
      <c r="G5057" s="221"/>
      <c r="H5057" s="221"/>
      <c r="I5057" s="221"/>
      <c r="J5057" s="221"/>
      <c r="K5057" s="221"/>
      <c r="L5057" s="221"/>
      <c r="M5057" s="221"/>
    </row>
    <row r="5058" spans="5:13">
      <c r="E5058" s="221"/>
      <c r="F5058" s="221"/>
      <c r="G5058" s="221"/>
      <c r="H5058" s="221"/>
      <c r="I5058" s="221"/>
      <c r="J5058" s="221"/>
      <c r="K5058" s="221"/>
      <c r="L5058" s="221"/>
      <c r="M5058" s="221"/>
    </row>
    <row r="5059" spans="5:13">
      <c r="E5059" s="221"/>
      <c r="F5059" s="221"/>
      <c r="G5059" s="221"/>
      <c r="H5059" s="221"/>
      <c r="I5059" s="221"/>
      <c r="J5059" s="221"/>
      <c r="K5059" s="221"/>
      <c r="L5059" s="221"/>
      <c r="M5059" s="221"/>
    </row>
    <row r="5060" spans="5:13">
      <c r="E5060" s="221"/>
      <c r="F5060" s="221"/>
      <c r="G5060" s="221"/>
      <c r="H5060" s="221"/>
      <c r="I5060" s="221"/>
      <c r="J5060" s="221"/>
      <c r="K5060" s="221"/>
      <c r="L5060" s="221"/>
      <c r="M5060" s="221"/>
    </row>
    <row r="5061" spans="5:13">
      <c r="E5061" s="221"/>
      <c r="F5061" s="221"/>
      <c r="G5061" s="221"/>
      <c r="H5061" s="221"/>
      <c r="I5061" s="221"/>
      <c r="J5061" s="221"/>
      <c r="K5061" s="221"/>
      <c r="L5061" s="221"/>
      <c r="M5061" s="221"/>
    </row>
    <row r="5062" spans="5:13">
      <c r="E5062" s="221"/>
      <c r="F5062" s="221"/>
      <c r="G5062" s="221"/>
      <c r="H5062" s="221"/>
      <c r="I5062" s="221"/>
      <c r="J5062" s="221"/>
      <c r="K5062" s="221"/>
      <c r="L5062" s="221"/>
      <c r="M5062" s="221"/>
    </row>
    <row r="5063" spans="5:13">
      <c r="E5063" s="221"/>
      <c r="F5063" s="221"/>
      <c r="G5063" s="221"/>
      <c r="H5063" s="221"/>
      <c r="I5063" s="221"/>
      <c r="J5063" s="221"/>
      <c r="K5063" s="221"/>
      <c r="L5063" s="221"/>
      <c r="M5063" s="221"/>
    </row>
    <row r="5064" spans="5:13">
      <c r="E5064" s="221"/>
      <c r="F5064" s="221"/>
      <c r="G5064" s="221"/>
      <c r="H5064" s="221"/>
      <c r="I5064" s="221"/>
      <c r="J5064" s="221"/>
      <c r="K5064" s="221"/>
      <c r="L5064" s="221"/>
      <c r="M5064" s="221"/>
    </row>
    <row r="5065" spans="5:13">
      <c r="E5065" s="221"/>
      <c r="F5065" s="221"/>
      <c r="G5065" s="221"/>
      <c r="H5065" s="221"/>
      <c r="I5065" s="221"/>
      <c r="J5065" s="221"/>
      <c r="K5065" s="221"/>
      <c r="L5065" s="221"/>
      <c r="M5065" s="221"/>
    </row>
    <row r="5066" spans="5:13">
      <c r="E5066" s="221"/>
      <c r="F5066" s="221"/>
      <c r="G5066" s="221"/>
      <c r="H5066" s="221"/>
      <c r="I5066" s="221"/>
      <c r="J5066" s="221"/>
      <c r="K5066" s="221"/>
      <c r="L5066" s="221"/>
      <c r="M5066" s="221"/>
    </row>
    <row r="5067" spans="5:13">
      <c r="E5067" s="221"/>
      <c r="F5067" s="221"/>
      <c r="G5067" s="221"/>
      <c r="H5067" s="221"/>
      <c r="I5067" s="221"/>
      <c r="J5067" s="221"/>
      <c r="K5067" s="221"/>
      <c r="L5067" s="221"/>
      <c r="M5067" s="221"/>
    </row>
    <row r="5068" spans="5:13">
      <c r="E5068" s="221"/>
      <c r="F5068" s="221"/>
      <c r="G5068" s="221"/>
      <c r="H5068" s="221"/>
      <c r="I5068" s="221"/>
      <c r="J5068" s="221"/>
      <c r="K5068" s="221"/>
      <c r="L5068" s="221"/>
      <c r="M5068" s="221"/>
    </row>
    <row r="5069" spans="5:13">
      <c r="E5069" s="221"/>
      <c r="F5069" s="221"/>
      <c r="G5069" s="221"/>
      <c r="H5069" s="221"/>
      <c r="I5069" s="221"/>
      <c r="J5069" s="221"/>
      <c r="K5069" s="221"/>
      <c r="L5069" s="221"/>
      <c r="M5069" s="221"/>
    </row>
    <row r="5070" spans="5:13">
      <c r="E5070" s="221"/>
      <c r="F5070" s="221"/>
      <c r="G5070" s="221"/>
      <c r="H5070" s="221"/>
      <c r="I5070" s="221"/>
      <c r="J5070" s="221"/>
      <c r="K5070" s="221"/>
      <c r="L5070" s="221"/>
      <c r="M5070" s="221"/>
    </row>
    <row r="5071" spans="5:13">
      <c r="E5071" s="221"/>
      <c r="F5071" s="221"/>
      <c r="G5071" s="221"/>
      <c r="H5071" s="221"/>
      <c r="I5071" s="221"/>
      <c r="J5071" s="221"/>
      <c r="K5071" s="221"/>
      <c r="L5071" s="221"/>
      <c r="M5071" s="221"/>
    </row>
    <row r="5072" spans="5:13">
      <c r="E5072" s="221"/>
      <c r="F5072" s="221"/>
      <c r="G5072" s="221"/>
      <c r="H5072" s="221"/>
      <c r="I5072" s="221"/>
      <c r="J5072" s="221"/>
      <c r="K5072" s="221"/>
      <c r="L5072" s="221"/>
      <c r="M5072" s="221"/>
    </row>
    <row r="5073" spans="5:13">
      <c r="E5073" s="221"/>
      <c r="F5073" s="221"/>
      <c r="G5073" s="221"/>
      <c r="H5073" s="221"/>
      <c r="I5073" s="221"/>
      <c r="J5073" s="221"/>
      <c r="K5073" s="221"/>
      <c r="L5073" s="221"/>
      <c r="M5073" s="221"/>
    </row>
    <row r="5074" spans="5:13">
      <c r="E5074" s="221"/>
      <c r="F5074" s="221"/>
      <c r="G5074" s="221"/>
      <c r="H5074" s="221"/>
      <c r="I5074" s="221"/>
      <c r="J5074" s="221"/>
      <c r="K5074" s="221"/>
      <c r="L5074" s="221"/>
      <c r="M5074" s="221"/>
    </row>
    <row r="5075" spans="5:13">
      <c r="E5075" s="221"/>
      <c r="F5075" s="221"/>
      <c r="G5075" s="221"/>
      <c r="H5075" s="221"/>
      <c r="I5075" s="221"/>
      <c r="J5075" s="221"/>
      <c r="K5075" s="221"/>
      <c r="L5075" s="221"/>
      <c r="M5075" s="221"/>
    </row>
    <row r="5076" spans="5:13">
      <c r="E5076" s="221"/>
      <c r="F5076" s="221"/>
      <c r="G5076" s="221"/>
      <c r="H5076" s="221"/>
      <c r="I5076" s="221"/>
      <c r="J5076" s="221"/>
      <c r="K5076" s="221"/>
      <c r="L5076" s="221"/>
      <c r="M5076" s="221"/>
    </row>
    <row r="5077" spans="5:13">
      <c r="E5077" s="221"/>
      <c r="F5077" s="221"/>
      <c r="G5077" s="221"/>
      <c r="H5077" s="221"/>
      <c r="I5077" s="221"/>
      <c r="J5077" s="221"/>
      <c r="K5077" s="221"/>
      <c r="L5077" s="221"/>
      <c r="M5077" s="221"/>
    </row>
    <row r="5078" spans="5:13">
      <c r="E5078" s="221"/>
      <c r="F5078" s="221"/>
      <c r="G5078" s="221"/>
      <c r="H5078" s="221"/>
      <c r="I5078" s="221"/>
      <c r="J5078" s="221"/>
      <c r="K5078" s="221"/>
      <c r="L5078" s="221"/>
      <c r="M5078" s="221"/>
    </row>
    <row r="5079" spans="5:13">
      <c r="E5079" s="221"/>
      <c r="F5079" s="221"/>
      <c r="G5079" s="221"/>
      <c r="H5079" s="221"/>
      <c r="I5079" s="221"/>
      <c r="J5079" s="221"/>
      <c r="K5079" s="221"/>
      <c r="L5079" s="221"/>
      <c r="M5079" s="221"/>
    </row>
    <row r="5080" spans="5:13">
      <c r="E5080" s="221"/>
      <c r="F5080" s="221"/>
      <c r="G5080" s="221"/>
      <c r="H5080" s="221"/>
      <c r="I5080" s="221"/>
      <c r="J5080" s="221"/>
      <c r="K5080" s="221"/>
      <c r="L5080" s="221"/>
      <c r="M5080" s="221"/>
    </row>
    <row r="5081" spans="5:13">
      <c r="E5081" s="221"/>
      <c r="F5081" s="221"/>
      <c r="G5081" s="221"/>
      <c r="H5081" s="221"/>
      <c r="I5081" s="221"/>
      <c r="J5081" s="221"/>
      <c r="K5081" s="221"/>
      <c r="L5081" s="221"/>
      <c r="M5081" s="221"/>
    </row>
    <row r="5082" spans="5:13">
      <c r="E5082" s="221"/>
      <c r="F5082" s="221"/>
      <c r="G5082" s="221"/>
      <c r="H5082" s="221"/>
      <c r="I5082" s="221"/>
      <c r="J5082" s="221"/>
      <c r="K5082" s="221"/>
      <c r="L5082" s="221"/>
      <c r="M5082" s="221"/>
    </row>
    <row r="5083" spans="5:13">
      <c r="E5083" s="221"/>
      <c r="F5083" s="221"/>
      <c r="G5083" s="221"/>
      <c r="H5083" s="221"/>
      <c r="I5083" s="221"/>
      <c r="J5083" s="221"/>
      <c r="K5083" s="221"/>
      <c r="L5083" s="221"/>
      <c r="M5083" s="221"/>
    </row>
    <row r="5084" spans="5:13">
      <c r="E5084" s="221"/>
      <c r="F5084" s="221"/>
      <c r="G5084" s="221"/>
      <c r="H5084" s="221"/>
      <c r="I5084" s="221"/>
      <c r="J5084" s="221"/>
      <c r="K5084" s="221"/>
      <c r="L5084" s="221"/>
      <c r="M5084" s="221"/>
    </row>
    <row r="5085" spans="5:13">
      <c r="E5085" s="221"/>
      <c r="F5085" s="221"/>
      <c r="G5085" s="221"/>
      <c r="H5085" s="221"/>
      <c r="I5085" s="221"/>
      <c r="J5085" s="221"/>
      <c r="K5085" s="221"/>
      <c r="L5085" s="221"/>
      <c r="M5085" s="221"/>
    </row>
    <row r="5086" spans="5:13">
      <c r="E5086" s="221"/>
      <c r="F5086" s="221"/>
      <c r="G5086" s="221"/>
      <c r="H5086" s="221"/>
      <c r="I5086" s="221"/>
      <c r="J5086" s="221"/>
      <c r="K5086" s="221"/>
      <c r="L5086" s="221"/>
      <c r="M5086" s="221"/>
    </row>
    <row r="5087" spans="5:13">
      <c r="E5087" s="221"/>
      <c r="F5087" s="221"/>
      <c r="G5087" s="221"/>
      <c r="H5087" s="221"/>
      <c r="I5087" s="221"/>
      <c r="J5087" s="221"/>
      <c r="K5087" s="221"/>
      <c r="L5087" s="221"/>
      <c r="M5087" s="221"/>
    </row>
    <row r="5088" spans="5:13">
      <c r="E5088" s="221"/>
      <c r="F5088" s="221"/>
      <c r="G5088" s="221"/>
      <c r="H5088" s="221"/>
      <c r="I5088" s="221"/>
      <c r="J5088" s="221"/>
      <c r="K5088" s="221"/>
      <c r="L5088" s="221"/>
      <c r="M5088" s="221"/>
    </row>
    <row r="5089" spans="5:13">
      <c r="E5089" s="221"/>
      <c r="F5089" s="221"/>
      <c r="G5089" s="221"/>
      <c r="H5089" s="221"/>
      <c r="I5089" s="221"/>
      <c r="J5089" s="221"/>
      <c r="K5089" s="221"/>
      <c r="L5089" s="221"/>
      <c r="M5089" s="221"/>
    </row>
    <row r="5090" spans="5:13">
      <c r="E5090" s="221"/>
      <c r="F5090" s="221"/>
      <c r="G5090" s="221"/>
      <c r="H5090" s="221"/>
      <c r="I5090" s="221"/>
      <c r="J5090" s="221"/>
      <c r="K5090" s="221"/>
      <c r="L5090" s="221"/>
      <c r="M5090" s="221"/>
    </row>
    <row r="5091" spans="5:13">
      <c r="E5091" s="221"/>
      <c r="F5091" s="221"/>
      <c r="G5091" s="221"/>
      <c r="H5091" s="221"/>
      <c r="I5091" s="221"/>
      <c r="J5091" s="221"/>
      <c r="K5091" s="221"/>
      <c r="L5091" s="221"/>
      <c r="M5091" s="221"/>
    </row>
    <row r="5092" spans="5:13">
      <c r="E5092" s="221"/>
      <c r="F5092" s="221"/>
      <c r="G5092" s="221"/>
      <c r="H5092" s="221"/>
      <c r="I5092" s="221"/>
      <c r="J5092" s="221"/>
      <c r="K5092" s="221"/>
      <c r="L5092" s="221"/>
      <c r="M5092" s="221"/>
    </row>
    <row r="5093" spans="5:13">
      <c r="E5093" s="221"/>
      <c r="F5093" s="221"/>
      <c r="G5093" s="221"/>
      <c r="H5093" s="221"/>
      <c r="I5093" s="221"/>
      <c r="J5093" s="221"/>
      <c r="K5093" s="221"/>
      <c r="L5093" s="221"/>
      <c r="M5093" s="221"/>
    </row>
    <row r="5094" spans="5:13">
      <c r="E5094" s="221"/>
      <c r="F5094" s="221"/>
      <c r="G5094" s="221"/>
      <c r="H5094" s="221"/>
      <c r="I5094" s="221"/>
      <c r="J5094" s="221"/>
      <c r="K5094" s="221"/>
      <c r="L5094" s="221"/>
      <c r="M5094" s="221"/>
    </row>
    <row r="5095" spans="5:13">
      <c r="E5095" s="221"/>
      <c r="F5095" s="221"/>
      <c r="G5095" s="221"/>
      <c r="H5095" s="221"/>
      <c r="I5095" s="221"/>
      <c r="J5095" s="221"/>
      <c r="K5095" s="221"/>
      <c r="L5095" s="221"/>
      <c r="M5095" s="221"/>
    </row>
    <row r="5096" spans="5:13">
      <c r="E5096" s="221"/>
      <c r="F5096" s="221"/>
      <c r="G5096" s="221"/>
      <c r="H5096" s="221"/>
      <c r="I5096" s="221"/>
      <c r="J5096" s="221"/>
      <c r="K5096" s="221"/>
      <c r="L5096" s="221"/>
      <c r="M5096" s="221"/>
    </row>
    <row r="5097" spans="5:13">
      <c r="E5097" s="221"/>
      <c r="F5097" s="221"/>
      <c r="G5097" s="221"/>
      <c r="H5097" s="221"/>
      <c r="I5097" s="221"/>
      <c r="J5097" s="221"/>
      <c r="K5097" s="221"/>
      <c r="L5097" s="221"/>
      <c r="M5097" s="221"/>
    </row>
    <row r="5098" spans="5:13">
      <c r="E5098" s="221"/>
      <c r="F5098" s="221"/>
      <c r="G5098" s="221"/>
      <c r="H5098" s="221"/>
      <c r="I5098" s="221"/>
      <c r="J5098" s="221"/>
      <c r="K5098" s="221"/>
      <c r="L5098" s="221"/>
      <c r="M5098" s="221"/>
    </row>
    <row r="5099" spans="5:13">
      <c r="E5099" s="221"/>
      <c r="F5099" s="221"/>
      <c r="G5099" s="221"/>
      <c r="H5099" s="221"/>
      <c r="I5099" s="221"/>
      <c r="J5099" s="221"/>
      <c r="K5099" s="221"/>
      <c r="L5099" s="221"/>
      <c r="M5099" s="221"/>
    </row>
    <row r="5100" spans="5:13">
      <c r="E5100" s="221"/>
      <c r="F5100" s="221"/>
      <c r="G5100" s="221"/>
      <c r="H5100" s="221"/>
      <c r="I5100" s="221"/>
      <c r="J5100" s="221"/>
      <c r="K5100" s="221"/>
      <c r="L5100" s="221"/>
      <c r="M5100" s="221"/>
    </row>
    <row r="5101" spans="5:13">
      <c r="E5101" s="221"/>
      <c r="F5101" s="221"/>
      <c r="G5101" s="221"/>
      <c r="H5101" s="221"/>
      <c r="I5101" s="221"/>
      <c r="J5101" s="221"/>
      <c r="K5101" s="221"/>
      <c r="L5101" s="221"/>
      <c r="M5101" s="221"/>
    </row>
    <row r="5102" spans="5:13">
      <c r="E5102" s="221"/>
      <c r="F5102" s="221"/>
      <c r="G5102" s="221"/>
      <c r="H5102" s="221"/>
      <c r="I5102" s="221"/>
      <c r="J5102" s="221"/>
      <c r="K5102" s="221"/>
      <c r="L5102" s="221"/>
      <c r="M5102" s="221"/>
    </row>
    <row r="5103" spans="5:13">
      <c r="E5103" s="221"/>
      <c r="F5103" s="221"/>
      <c r="G5103" s="221"/>
      <c r="H5103" s="221"/>
      <c r="I5103" s="221"/>
      <c r="J5103" s="221"/>
      <c r="K5103" s="221"/>
      <c r="L5103" s="221"/>
      <c r="M5103" s="221"/>
    </row>
    <row r="5104" spans="5:13">
      <c r="E5104" s="221"/>
      <c r="F5104" s="221"/>
      <c r="G5104" s="221"/>
      <c r="H5104" s="221"/>
      <c r="I5104" s="221"/>
      <c r="J5104" s="221"/>
      <c r="K5104" s="221"/>
      <c r="L5104" s="221"/>
      <c r="M5104" s="221"/>
    </row>
    <row r="5105" spans="5:13">
      <c r="E5105" s="221"/>
      <c r="F5105" s="221"/>
      <c r="G5105" s="221"/>
      <c r="H5105" s="221"/>
      <c r="I5105" s="221"/>
      <c r="J5105" s="221"/>
      <c r="K5105" s="221"/>
      <c r="L5105" s="221"/>
      <c r="M5105" s="221"/>
    </row>
    <row r="5106" spans="5:13">
      <c r="E5106" s="221"/>
      <c r="F5106" s="221"/>
      <c r="G5106" s="221"/>
      <c r="H5106" s="221"/>
      <c r="I5106" s="221"/>
      <c r="J5106" s="221"/>
      <c r="K5106" s="221"/>
      <c r="L5106" s="221"/>
      <c r="M5106" s="221"/>
    </row>
    <row r="5107" spans="5:13">
      <c r="E5107" s="221"/>
      <c r="F5107" s="221"/>
      <c r="G5107" s="221"/>
      <c r="H5107" s="221"/>
      <c r="I5107" s="221"/>
      <c r="J5107" s="221"/>
      <c r="K5107" s="221"/>
      <c r="L5107" s="221"/>
      <c r="M5107" s="221"/>
    </row>
    <row r="5108" spans="5:13">
      <c r="E5108" s="221"/>
      <c r="F5108" s="221"/>
      <c r="G5108" s="221"/>
      <c r="H5108" s="221"/>
      <c r="I5108" s="221"/>
      <c r="J5108" s="221"/>
      <c r="K5108" s="221"/>
      <c r="L5108" s="221"/>
      <c r="M5108" s="221"/>
    </row>
    <row r="5109" spans="5:13">
      <c r="E5109" s="221"/>
      <c r="F5109" s="221"/>
      <c r="G5109" s="221"/>
      <c r="H5109" s="221"/>
      <c r="I5109" s="221"/>
      <c r="J5109" s="221"/>
      <c r="K5109" s="221"/>
      <c r="L5109" s="221"/>
      <c r="M5109" s="221"/>
    </row>
    <row r="5110" spans="5:13">
      <c r="E5110" s="221"/>
      <c r="F5110" s="221"/>
      <c r="G5110" s="221"/>
      <c r="H5110" s="221"/>
      <c r="I5110" s="221"/>
      <c r="J5110" s="221"/>
      <c r="K5110" s="221"/>
      <c r="L5110" s="221"/>
      <c r="M5110" s="221"/>
    </row>
    <row r="5111" spans="5:13">
      <c r="E5111" s="221"/>
      <c r="F5111" s="221"/>
      <c r="G5111" s="221"/>
      <c r="H5111" s="221"/>
      <c r="I5111" s="221"/>
      <c r="J5111" s="221"/>
      <c r="K5111" s="221"/>
      <c r="L5111" s="221"/>
      <c r="M5111" s="221"/>
    </row>
    <row r="5112" spans="5:13">
      <c r="E5112" s="221"/>
      <c r="F5112" s="221"/>
      <c r="G5112" s="221"/>
      <c r="H5112" s="221"/>
      <c r="I5112" s="221"/>
      <c r="J5112" s="221"/>
      <c r="K5112" s="221"/>
      <c r="L5112" s="221"/>
      <c r="M5112" s="221"/>
    </row>
    <row r="5113" spans="5:13">
      <c r="E5113" s="221"/>
      <c r="F5113" s="221"/>
      <c r="G5113" s="221"/>
      <c r="H5113" s="221"/>
      <c r="I5113" s="221"/>
      <c r="J5113" s="221"/>
      <c r="K5113" s="221"/>
      <c r="L5113" s="221"/>
      <c r="M5113" s="221"/>
    </row>
    <row r="5114" spans="5:13">
      <c r="E5114" s="221"/>
      <c r="F5114" s="221"/>
      <c r="G5114" s="221"/>
      <c r="H5114" s="221"/>
      <c r="I5114" s="221"/>
      <c r="J5114" s="221"/>
      <c r="K5114" s="221"/>
      <c r="L5114" s="221"/>
      <c r="M5114" s="221"/>
    </row>
    <row r="5115" spans="5:13">
      <c r="E5115" s="221"/>
      <c r="F5115" s="221"/>
      <c r="G5115" s="221"/>
      <c r="H5115" s="221"/>
      <c r="I5115" s="221"/>
      <c r="J5115" s="221"/>
      <c r="K5115" s="221"/>
      <c r="L5115" s="221"/>
      <c r="M5115" s="221"/>
    </row>
    <row r="5116" spans="5:13">
      <c r="E5116" s="221"/>
      <c r="F5116" s="221"/>
      <c r="G5116" s="221"/>
      <c r="H5116" s="221"/>
      <c r="I5116" s="221"/>
      <c r="J5116" s="221"/>
      <c r="K5116" s="221"/>
      <c r="L5116" s="221"/>
      <c r="M5116" s="221"/>
    </row>
    <row r="5117" spans="5:13">
      <c r="E5117" s="221"/>
      <c r="F5117" s="221"/>
      <c r="G5117" s="221"/>
      <c r="H5117" s="221"/>
      <c r="I5117" s="221"/>
      <c r="J5117" s="221"/>
      <c r="K5117" s="221"/>
      <c r="L5117" s="221"/>
      <c r="M5117" s="221"/>
    </row>
    <row r="5118" spans="5:13">
      <c r="E5118" s="221"/>
      <c r="F5118" s="221"/>
      <c r="G5118" s="221"/>
      <c r="H5118" s="221"/>
      <c r="I5118" s="221"/>
      <c r="J5118" s="221"/>
      <c r="K5118" s="221"/>
      <c r="L5118" s="221"/>
      <c r="M5118" s="221"/>
    </row>
    <row r="5119" spans="5:13">
      <c r="E5119" s="221"/>
      <c r="F5119" s="221"/>
      <c r="G5119" s="221"/>
      <c r="H5119" s="221"/>
      <c r="I5119" s="221"/>
      <c r="J5119" s="221"/>
      <c r="K5119" s="221"/>
      <c r="L5119" s="221"/>
      <c r="M5119" s="221"/>
    </row>
    <row r="5120" spans="5:13">
      <c r="E5120" s="221"/>
      <c r="F5120" s="221"/>
      <c r="G5120" s="221"/>
      <c r="H5120" s="221"/>
      <c r="I5120" s="221"/>
      <c r="J5120" s="221"/>
      <c r="K5120" s="221"/>
      <c r="L5120" s="221"/>
      <c r="M5120" s="221"/>
    </row>
    <row r="5121" spans="5:13">
      <c r="E5121" s="221"/>
      <c r="F5121" s="221"/>
      <c r="G5121" s="221"/>
      <c r="H5121" s="221"/>
      <c r="I5121" s="221"/>
      <c r="J5121" s="221"/>
      <c r="K5121" s="221"/>
      <c r="L5121" s="221"/>
      <c r="M5121" s="221"/>
    </row>
    <row r="5122" spans="5:13">
      <c r="E5122" s="221"/>
      <c r="F5122" s="221"/>
      <c r="G5122" s="221"/>
      <c r="H5122" s="221"/>
      <c r="I5122" s="221"/>
      <c r="J5122" s="221"/>
      <c r="K5122" s="221"/>
      <c r="L5122" s="221"/>
      <c r="M5122" s="221"/>
    </row>
    <row r="5123" spans="5:13">
      <c r="E5123" s="221"/>
      <c r="F5123" s="221"/>
      <c r="G5123" s="221"/>
      <c r="H5123" s="221"/>
      <c r="I5123" s="221"/>
      <c r="J5123" s="221"/>
      <c r="K5123" s="221"/>
      <c r="L5123" s="221"/>
      <c r="M5123" s="221"/>
    </row>
    <row r="5124" spans="5:13">
      <c r="E5124" s="221"/>
      <c r="F5124" s="221"/>
      <c r="G5124" s="221"/>
      <c r="H5124" s="221"/>
      <c r="I5124" s="221"/>
      <c r="J5124" s="221"/>
      <c r="K5124" s="221"/>
      <c r="L5124" s="221"/>
      <c r="M5124" s="221"/>
    </row>
    <row r="5125" spans="5:13">
      <c r="E5125" s="221"/>
      <c r="F5125" s="221"/>
      <c r="G5125" s="221"/>
      <c r="H5125" s="221"/>
      <c r="I5125" s="221"/>
      <c r="J5125" s="221"/>
      <c r="K5125" s="221"/>
      <c r="L5125" s="221"/>
      <c r="M5125" s="221"/>
    </row>
    <row r="5126" spans="5:13">
      <c r="E5126" s="221"/>
      <c r="F5126" s="221"/>
      <c r="G5126" s="221"/>
      <c r="H5126" s="221"/>
      <c r="I5126" s="221"/>
      <c r="J5126" s="221"/>
      <c r="K5126" s="221"/>
      <c r="L5126" s="221"/>
      <c r="M5126" s="221"/>
    </row>
    <row r="5127" spans="5:13">
      <c r="E5127" s="221"/>
      <c r="F5127" s="221"/>
      <c r="G5127" s="221"/>
      <c r="H5127" s="221"/>
      <c r="I5127" s="221"/>
      <c r="J5127" s="221"/>
      <c r="K5127" s="221"/>
      <c r="L5127" s="221"/>
      <c r="M5127" s="221"/>
    </row>
    <row r="5128" spans="5:13">
      <c r="E5128" s="221"/>
      <c r="F5128" s="221"/>
      <c r="G5128" s="221"/>
      <c r="H5128" s="221"/>
      <c r="I5128" s="221"/>
      <c r="J5128" s="221"/>
      <c r="K5128" s="221"/>
      <c r="L5128" s="221"/>
      <c r="M5128" s="221"/>
    </row>
    <row r="5129" spans="5:13">
      <c r="E5129" s="221"/>
      <c r="F5129" s="221"/>
      <c r="G5129" s="221"/>
      <c r="H5129" s="221"/>
      <c r="I5129" s="221"/>
      <c r="J5129" s="221"/>
      <c r="K5129" s="221"/>
      <c r="L5129" s="221"/>
      <c r="M5129" s="221"/>
    </row>
    <row r="5130" spans="5:13">
      <c r="E5130" s="221"/>
      <c r="F5130" s="221"/>
      <c r="G5130" s="221"/>
      <c r="H5130" s="221"/>
      <c r="I5130" s="221"/>
      <c r="J5130" s="221"/>
      <c r="K5130" s="221"/>
      <c r="L5130" s="221"/>
      <c r="M5130" s="221"/>
    </row>
    <row r="5131" spans="5:13">
      <c r="E5131" s="221"/>
      <c r="F5131" s="221"/>
      <c r="G5131" s="221"/>
      <c r="H5131" s="221"/>
      <c r="I5131" s="221"/>
      <c r="J5131" s="221"/>
      <c r="K5131" s="221"/>
      <c r="L5131" s="221"/>
      <c r="M5131" s="221"/>
    </row>
    <row r="5132" spans="5:13">
      <c r="E5132" s="221"/>
      <c r="F5132" s="221"/>
      <c r="G5132" s="221"/>
      <c r="H5132" s="221"/>
      <c r="I5132" s="221"/>
      <c r="J5132" s="221"/>
      <c r="K5132" s="221"/>
      <c r="L5132" s="221"/>
      <c r="M5132" s="221"/>
    </row>
    <row r="5133" spans="5:13">
      <c r="E5133" s="221"/>
      <c r="F5133" s="221"/>
      <c r="G5133" s="221"/>
      <c r="H5133" s="221"/>
      <c r="I5133" s="221"/>
      <c r="J5133" s="221"/>
      <c r="K5133" s="221"/>
      <c r="L5133" s="221"/>
      <c r="M5133" s="221"/>
    </row>
    <row r="5134" spans="5:13">
      <c r="E5134" s="221"/>
      <c r="F5134" s="221"/>
      <c r="G5134" s="221"/>
      <c r="H5134" s="221"/>
      <c r="I5134" s="221"/>
      <c r="J5134" s="221"/>
      <c r="K5134" s="221"/>
      <c r="L5134" s="221"/>
      <c r="M5134" s="221"/>
    </row>
    <row r="5135" spans="5:13">
      <c r="E5135" s="221"/>
      <c r="F5135" s="221"/>
      <c r="G5135" s="221"/>
      <c r="H5135" s="221"/>
      <c r="I5135" s="221"/>
      <c r="J5135" s="221"/>
      <c r="K5135" s="221"/>
      <c r="L5135" s="221"/>
      <c r="M5135" s="221"/>
    </row>
    <row r="5136" spans="5:13">
      <c r="E5136" s="221"/>
      <c r="F5136" s="221"/>
      <c r="G5136" s="221"/>
      <c r="H5136" s="221"/>
      <c r="I5136" s="221"/>
      <c r="J5136" s="221"/>
      <c r="K5136" s="221"/>
      <c r="L5136" s="221"/>
      <c r="M5136" s="221"/>
    </row>
    <row r="5137" spans="5:13">
      <c r="E5137" s="221"/>
      <c r="F5137" s="221"/>
      <c r="G5137" s="221"/>
      <c r="H5137" s="221"/>
      <c r="I5137" s="221"/>
      <c r="J5137" s="221"/>
      <c r="K5137" s="221"/>
      <c r="L5137" s="221"/>
      <c r="M5137" s="221"/>
    </row>
    <row r="5138" spans="5:13">
      <c r="E5138" s="221"/>
      <c r="F5138" s="221"/>
      <c r="G5138" s="221"/>
      <c r="H5138" s="221"/>
      <c r="I5138" s="221"/>
      <c r="J5138" s="221"/>
      <c r="K5138" s="221"/>
      <c r="L5138" s="221"/>
      <c r="M5138" s="221"/>
    </row>
    <row r="5139" spans="5:13">
      <c r="E5139" s="221"/>
      <c r="F5139" s="221"/>
      <c r="G5139" s="221"/>
      <c r="H5139" s="221"/>
      <c r="I5139" s="221"/>
      <c r="J5139" s="221"/>
      <c r="K5139" s="221"/>
      <c r="L5139" s="221"/>
      <c r="M5139" s="221"/>
    </row>
    <row r="5140" spans="5:13">
      <c r="E5140" s="221"/>
      <c r="F5140" s="221"/>
      <c r="G5140" s="221"/>
      <c r="H5140" s="221"/>
      <c r="I5140" s="221"/>
      <c r="J5140" s="221"/>
      <c r="K5140" s="221"/>
      <c r="L5140" s="221"/>
      <c r="M5140" s="221"/>
    </row>
    <row r="5141" spans="5:13">
      <c r="E5141" s="221"/>
      <c r="F5141" s="221"/>
      <c r="G5141" s="221"/>
      <c r="H5141" s="221"/>
      <c r="I5141" s="221"/>
      <c r="J5141" s="221"/>
      <c r="K5141" s="221"/>
      <c r="L5141" s="221"/>
      <c r="M5141" s="221"/>
    </row>
    <row r="5142" spans="5:13">
      <c r="E5142" s="221"/>
      <c r="F5142" s="221"/>
      <c r="G5142" s="221"/>
      <c r="H5142" s="221"/>
      <c r="I5142" s="221"/>
      <c r="J5142" s="221"/>
      <c r="K5142" s="221"/>
      <c r="L5142" s="221"/>
      <c r="M5142" s="221"/>
    </row>
    <row r="5143" spans="5:13">
      <c r="E5143" s="221"/>
      <c r="F5143" s="221"/>
      <c r="G5143" s="221"/>
      <c r="H5143" s="221"/>
      <c r="I5143" s="221"/>
      <c r="J5143" s="221"/>
      <c r="K5143" s="221"/>
      <c r="L5143" s="221"/>
      <c r="M5143" s="221"/>
    </row>
    <row r="5144" spans="5:13">
      <c r="E5144" s="221"/>
      <c r="F5144" s="221"/>
      <c r="G5144" s="221"/>
      <c r="H5144" s="221"/>
      <c r="I5144" s="221"/>
      <c r="J5144" s="221"/>
      <c r="K5144" s="221"/>
      <c r="L5144" s="221"/>
      <c r="M5144" s="221"/>
    </row>
    <row r="5145" spans="5:13">
      <c r="E5145" s="221"/>
      <c r="F5145" s="221"/>
      <c r="G5145" s="221"/>
      <c r="H5145" s="221"/>
      <c r="I5145" s="221"/>
      <c r="J5145" s="221"/>
      <c r="K5145" s="221"/>
      <c r="L5145" s="221"/>
      <c r="M5145" s="221"/>
    </row>
    <row r="5146" spans="5:13">
      <c r="E5146" s="221"/>
      <c r="F5146" s="221"/>
      <c r="G5146" s="221"/>
      <c r="H5146" s="221"/>
      <c r="I5146" s="221"/>
      <c r="J5146" s="221"/>
      <c r="K5146" s="221"/>
      <c r="L5146" s="221"/>
      <c r="M5146" s="221"/>
    </row>
    <row r="5147" spans="5:13">
      <c r="E5147" s="221"/>
      <c r="F5147" s="221"/>
      <c r="G5147" s="221"/>
      <c r="H5147" s="221"/>
      <c r="I5147" s="221"/>
      <c r="J5147" s="221"/>
      <c r="K5147" s="221"/>
      <c r="L5147" s="221"/>
      <c r="M5147" s="221"/>
    </row>
    <row r="5148" spans="5:13">
      <c r="E5148" s="221"/>
      <c r="F5148" s="221"/>
      <c r="G5148" s="221"/>
      <c r="H5148" s="221"/>
      <c r="I5148" s="221"/>
      <c r="J5148" s="221"/>
      <c r="K5148" s="221"/>
      <c r="L5148" s="221"/>
      <c r="M5148" s="221"/>
    </row>
    <row r="5149" spans="5:13">
      <c r="E5149" s="221"/>
      <c r="F5149" s="221"/>
      <c r="G5149" s="221"/>
      <c r="H5149" s="221"/>
      <c r="I5149" s="221"/>
      <c r="J5149" s="221"/>
      <c r="K5149" s="221"/>
      <c r="L5149" s="221"/>
      <c r="M5149" s="221"/>
    </row>
    <row r="5150" spans="5:13">
      <c r="E5150" s="221"/>
      <c r="F5150" s="221"/>
      <c r="G5150" s="221"/>
      <c r="H5150" s="221"/>
      <c r="I5150" s="221"/>
      <c r="J5150" s="221"/>
      <c r="K5150" s="221"/>
      <c r="L5150" s="221"/>
      <c r="M5150" s="221"/>
    </row>
    <row r="5151" spans="5:13">
      <c r="E5151" s="221"/>
      <c r="F5151" s="221"/>
      <c r="G5151" s="221"/>
      <c r="H5151" s="221"/>
      <c r="I5151" s="221"/>
      <c r="J5151" s="221"/>
      <c r="K5151" s="221"/>
      <c r="L5151" s="221"/>
      <c r="M5151" s="221"/>
    </row>
    <row r="5152" spans="5:13">
      <c r="E5152" s="221"/>
      <c r="F5152" s="221"/>
      <c r="G5152" s="221"/>
      <c r="H5152" s="221"/>
      <c r="I5152" s="221"/>
      <c r="J5152" s="221"/>
      <c r="K5152" s="221"/>
      <c r="L5152" s="221"/>
      <c r="M5152" s="221"/>
    </row>
    <row r="5153" spans="5:13">
      <c r="E5153" s="221"/>
      <c r="F5153" s="221"/>
      <c r="G5153" s="221"/>
      <c r="H5153" s="221"/>
      <c r="I5153" s="221"/>
      <c r="J5153" s="221"/>
      <c r="K5153" s="221"/>
      <c r="L5153" s="221"/>
      <c r="M5153" s="221"/>
    </row>
    <row r="5154" spans="5:13">
      <c r="E5154" s="221"/>
      <c r="F5154" s="221"/>
      <c r="G5154" s="221"/>
      <c r="H5154" s="221"/>
      <c r="I5154" s="221"/>
      <c r="J5154" s="221"/>
      <c r="K5154" s="221"/>
      <c r="L5154" s="221"/>
      <c r="M5154" s="221"/>
    </row>
    <row r="5155" spans="5:13">
      <c r="E5155" s="221"/>
      <c r="F5155" s="221"/>
      <c r="G5155" s="221"/>
      <c r="H5155" s="221"/>
      <c r="I5155" s="221"/>
      <c r="J5155" s="221"/>
      <c r="K5155" s="221"/>
      <c r="L5155" s="221"/>
      <c r="M5155" s="221"/>
    </row>
    <row r="5156" spans="5:13">
      <c r="E5156" s="221"/>
      <c r="F5156" s="221"/>
      <c r="G5156" s="221"/>
      <c r="H5156" s="221"/>
      <c r="I5156" s="221"/>
      <c r="J5156" s="221"/>
      <c r="K5156" s="221"/>
      <c r="L5156" s="221"/>
      <c r="M5156" s="221"/>
    </row>
    <row r="5157" spans="5:13">
      <c r="E5157" s="221"/>
      <c r="F5157" s="221"/>
      <c r="G5157" s="221"/>
      <c r="H5157" s="221"/>
      <c r="I5157" s="221"/>
      <c r="J5157" s="221"/>
      <c r="K5157" s="221"/>
      <c r="L5157" s="221"/>
      <c r="M5157" s="221"/>
    </row>
    <row r="5158" spans="5:13">
      <c r="E5158" s="221"/>
      <c r="F5158" s="221"/>
      <c r="G5158" s="221"/>
      <c r="H5158" s="221"/>
      <c r="I5158" s="221"/>
      <c r="J5158" s="221"/>
      <c r="K5158" s="221"/>
      <c r="L5158" s="221"/>
      <c r="M5158" s="221"/>
    </row>
    <row r="5159" spans="5:13">
      <c r="E5159" s="221"/>
      <c r="F5159" s="221"/>
      <c r="G5159" s="221"/>
      <c r="H5159" s="221"/>
      <c r="I5159" s="221"/>
      <c r="J5159" s="221"/>
      <c r="K5159" s="221"/>
      <c r="L5159" s="221"/>
      <c r="M5159" s="221"/>
    </row>
    <row r="5160" spans="5:13">
      <c r="E5160" s="221"/>
      <c r="F5160" s="221"/>
      <c r="G5160" s="221"/>
      <c r="H5160" s="221"/>
      <c r="I5160" s="221"/>
      <c r="J5160" s="221"/>
      <c r="K5160" s="221"/>
      <c r="L5160" s="221"/>
      <c r="M5160" s="221"/>
    </row>
    <row r="5161" spans="5:13">
      <c r="E5161" s="221"/>
      <c r="F5161" s="221"/>
      <c r="G5161" s="221"/>
      <c r="H5161" s="221"/>
      <c r="I5161" s="221"/>
      <c r="J5161" s="221"/>
      <c r="K5161" s="221"/>
      <c r="L5161" s="221"/>
      <c r="M5161" s="221"/>
    </row>
    <row r="5162" spans="5:13">
      <c r="E5162" s="221"/>
      <c r="F5162" s="221"/>
      <c r="G5162" s="221"/>
      <c r="H5162" s="221"/>
      <c r="I5162" s="221"/>
      <c r="J5162" s="221"/>
      <c r="K5162" s="221"/>
      <c r="L5162" s="221"/>
      <c r="M5162" s="221"/>
    </row>
    <row r="5163" spans="5:13">
      <c r="E5163" s="221"/>
      <c r="F5163" s="221"/>
      <c r="G5163" s="221"/>
      <c r="H5163" s="221"/>
      <c r="I5163" s="221"/>
      <c r="J5163" s="221"/>
      <c r="K5163" s="221"/>
      <c r="L5163" s="221"/>
      <c r="M5163" s="221"/>
    </row>
    <row r="5164" spans="5:13">
      <c r="E5164" s="221"/>
      <c r="F5164" s="221"/>
      <c r="G5164" s="221"/>
      <c r="H5164" s="221"/>
      <c r="I5164" s="221"/>
      <c r="J5164" s="221"/>
      <c r="K5164" s="221"/>
      <c r="L5164" s="221"/>
      <c r="M5164" s="221"/>
    </row>
    <row r="5165" spans="5:13">
      <c r="E5165" s="221"/>
      <c r="F5165" s="221"/>
      <c r="G5165" s="221"/>
      <c r="H5165" s="221"/>
      <c r="I5165" s="221"/>
      <c r="J5165" s="221"/>
      <c r="K5165" s="221"/>
      <c r="L5165" s="221"/>
      <c r="M5165" s="221"/>
    </row>
    <row r="5166" spans="5:13">
      <c r="E5166" s="221"/>
      <c r="F5166" s="221"/>
      <c r="G5166" s="221"/>
      <c r="H5166" s="221"/>
      <c r="I5166" s="221"/>
      <c r="J5166" s="221"/>
      <c r="K5166" s="221"/>
      <c r="L5166" s="221"/>
      <c r="M5166" s="221"/>
    </row>
    <row r="5167" spans="5:13">
      <c r="E5167" s="221"/>
      <c r="F5167" s="221"/>
      <c r="G5167" s="221"/>
      <c r="H5167" s="221"/>
      <c r="I5167" s="221"/>
      <c r="J5167" s="221"/>
      <c r="K5167" s="221"/>
      <c r="L5167" s="221"/>
      <c r="M5167" s="221"/>
    </row>
    <row r="5168" spans="5:13">
      <c r="E5168" s="221"/>
      <c r="F5168" s="221"/>
      <c r="G5168" s="221"/>
      <c r="H5168" s="221"/>
      <c r="I5168" s="221"/>
      <c r="J5168" s="221"/>
      <c r="K5168" s="221"/>
      <c r="L5168" s="221"/>
      <c r="M5168" s="221"/>
    </row>
    <row r="5169" spans="5:13">
      <c r="E5169" s="221"/>
      <c r="F5169" s="221"/>
      <c r="G5169" s="221"/>
      <c r="H5169" s="221"/>
      <c r="I5169" s="221"/>
      <c r="J5169" s="221"/>
      <c r="K5169" s="221"/>
      <c r="L5169" s="221"/>
      <c r="M5169" s="221"/>
    </row>
    <row r="5170" spans="5:13">
      <c r="E5170" s="221"/>
      <c r="F5170" s="221"/>
      <c r="G5170" s="221"/>
      <c r="H5170" s="221"/>
      <c r="I5170" s="221"/>
      <c r="J5170" s="221"/>
      <c r="K5170" s="221"/>
      <c r="L5170" s="221"/>
      <c r="M5170" s="221"/>
    </row>
    <row r="5171" spans="5:13">
      <c r="E5171" s="221"/>
      <c r="F5171" s="221"/>
      <c r="G5171" s="221"/>
      <c r="H5171" s="221"/>
      <c r="I5171" s="221"/>
      <c r="J5171" s="221"/>
      <c r="K5171" s="221"/>
      <c r="L5171" s="221"/>
      <c r="M5171" s="221"/>
    </row>
    <row r="5172" spans="5:13">
      <c r="E5172" s="221"/>
      <c r="F5172" s="221"/>
      <c r="G5172" s="221"/>
      <c r="H5172" s="221"/>
      <c r="I5172" s="221"/>
      <c r="J5172" s="221"/>
      <c r="K5172" s="221"/>
      <c r="L5172" s="221"/>
      <c r="M5172" s="221"/>
    </row>
    <row r="5173" spans="5:13">
      <c r="E5173" s="221"/>
      <c r="F5173" s="221"/>
      <c r="G5173" s="221"/>
      <c r="H5173" s="221"/>
      <c r="I5173" s="221"/>
      <c r="J5173" s="221"/>
      <c r="K5173" s="221"/>
      <c r="L5173" s="221"/>
      <c r="M5173" s="221"/>
    </row>
    <row r="5174" spans="5:13">
      <c r="E5174" s="221"/>
      <c r="F5174" s="221"/>
      <c r="G5174" s="221"/>
      <c r="H5174" s="221"/>
      <c r="I5174" s="221"/>
      <c r="J5174" s="221"/>
      <c r="K5174" s="221"/>
      <c r="L5174" s="221"/>
      <c r="M5174" s="221"/>
    </row>
    <row r="5175" spans="5:13">
      <c r="E5175" s="221"/>
      <c r="F5175" s="221"/>
      <c r="G5175" s="221"/>
      <c r="H5175" s="221"/>
      <c r="I5175" s="221"/>
      <c r="J5175" s="221"/>
      <c r="K5175" s="221"/>
      <c r="L5175" s="221"/>
      <c r="M5175" s="221"/>
    </row>
    <row r="5176" spans="5:13">
      <c r="E5176" s="221"/>
      <c r="F5176" s="221"/>
      <c r="G5176" s="221"/>
      <c r="H5176" s="221"/>
      <c r="I5176" s="221"/>
      <c r="J5176" s="221"/>
      <c r="K5176" s="221"/>
      <c r="L5176" s="221"/>
      <c r="M5176" s="221"/>
    </row>
    <row r="5177" spans="5:13">
      <c r="E5177" s="221"/>
      <c r="F5177" s="221"/>
      <c r="G5177" s="221"/>
      <c r="H5177" s="221"/>
      <c r="I5177" s="221"/>
      <c r="J5177" s="221"/>
      <c r="K5177" s="221"/>
      <c r="L5177" s="221"/>
      <c r="M5177" s="221"/>
    </row>
    <row r="5178" spans="5:13">
      <c r="E5178" s="221"/>
      <c r="F5178" s="221"/>
      <c r="G5178" s="221"/>
      <c r="H5178" s="221"/>
      <c r="I5178" s="221"/>
      <c r="J5178" s="221"/>
      <c r="K5178" s="221"/>
      <c r="L5178" s="221"/>
      <c r="M5178" s="221"/>
    </row>
    <row r="5179" spans="5:13">
      <c r="E5179" s="221"/>
      <c r="F5179" s="221"/>
      <c r="G5179" s="221"/>
      <c r="H5179" s="221"/>
      <c r="I5179" s="221"/>
      <c r="J5179" s="221"/>
      <c r="K5179" s="221"/>
      <c r="L5179" s="221"/>
      <c r="M5179" s="221"/>
    </row>
    <row r="5180" spans="5:13">
      <c r="E5180" s="221"/>
      <c r="F5180" s="221"/>
      <c r="G5180" s="221"/>
      <c r="H5180" s="221"/>
      <c r="I5180" s="221"/>
      <c r="J5180" s="221"/>
      <c r="K5180" s="221"/>
      <c r="L5180" s="221"/>
      <c r="M5180" s="221"/>
    </row>
    <row r="5181" spans="5:13">
      <c r="E5181" s="221"/>
      <c r="F5181" s="221"/>
      <c r="G5181" s="221"/>
      <c r="H5181" s="221"/>
      <c r="I5181" s="221"/>
      <c r="J5181" s="221"/>
      <c r="K5181" s="221"/>
      <c r="L5181" s="221"/>
      <c r="M5181" s="221"/>
    </row>
    <row r="5182" spans="5:13">
      <c r="E5182" s="221"/>
      <c r="F5182" s="221"/>
      <c r="G5182" s="221"/>
      <c r="H5182" s="221"/>
      <c r="I5182" s="221"/>
      <c r="J5182" s="221"/>
      <c r="K5182" s="221"/>
      <c r="L5182" s="221"/>
      <c r="M5182" s="221"/>
    </row>
    <row r="5183" spans="5:13">
      <c r="E5183" s="221"/>
      <c r="F5183" s="221"/>
      <c r="G5183" s="221"/>
      <c r="H5183" s="221"/>
      <c r="I5183" s="221"/>
      <c r="J5183" s="221"/>
      <c r="K5183" s="221"/>
      <c r="L5183" s="221"/>
      <c r="M5183" s="221"/>
    </row>
    <row r="5184" spans="5:13">
      <c r="E5184" s="221"/>
      <c r="F5184" s="221"/>
      <c r="G5184" s="221"/>
      <c r="H5184" s="221"/>
      <c r="I5184" s="221"/>
      <c r="J5184" s="221"/>
      <c r="K5184" s="221"/>
      <c r="L5184" s="221"/>
      <c r="M5184" s="221"/>
    </row>
    <row r="5185" spans="5:13">
      <c r="E5185" s="221"/>
      <c r="F5185" s="221"/>
      <c r="G5185" s="221"/>
      <c r="H5185" s="221"/>
      <c r="I5185" s="221"/>
      <c r="J5185" s="221"/>
      <c r="K5185" s="221"/>
      <c r="L5185" s="221"/>
      <c r="M5185" s="221"/>
    </row>
    <row r="5186" spans="5:13">
      <c r="E5186" s="221"/>
      <c r="F5186" s="221"/>
      <c r="G5186" s="221"/>
      <c r="H5186" s="221"/>
      <c r="I5186" s="221"/>
      <c r="J5186" s="221"/>
      <c r="K5186" s="221"/>
      <c r="L5186" s="221"/>
      <c r="M5186" s="221"/>
    </row>
    <row r="5187" spans="5:13">
      <c r="E5187" s="221"/>
      <c r="F5187" s="221"/>
      <c r="G5187" s="221"/>
      <c r="H5187" s="221"/>
      <c r="I5187" s="221"/>
      <c r="J5187" s="221"/>
      <c r="K5187" s="221"/>
      <c r="L5187" s="221"/>
      <c r="M5187" s="221"/>
    </row>
    <row r="5188" spans="5:13">
      <c r="E5188" s="221"/>
      <c r="F5188" s="221"/>
      <c r="G5188" s="221"/>
      <c r="H5188" s="221"/>
      <c r="I5188" s="221"/>
      <c r="J5188" s="221"/>
      <c r="K5188" s="221"/>
      <c r="L5188" s="221"/>
      <c r="M5188" s="221"/>
    </row>
    <row r="5189" spans="5:13">
      <c r="E5189" s="221"/>
      <c r="F5189" s="221"/>
      <c r="G5189" s="221"/>
      <c r="H5189" s="221"/>
      <c r="I5189" s="221"/>
      <c r="J5189" s="221"/>
      <c r="K5189" s="221"/>
      <c r="L5189" s="221"/>
      <c r="M5189" s="221"/>
    </row>
    <row r="5190" spans="5:13">
      <c r="E5190" s="221"/>
      <c r="F5190" s="221"/>
      <c r="G5190" s="221"/>
      <c r="H5190" s="221"/>
      <c r="I5190" s="221"/>
      <c r="J5190" s="221"/>
      <c r="K5190" s="221"/>
      <c r="L5190" s="221"/>
      <c r="M5190" s="221"/>
    </row>
    <row r="5191" spans="5:13">
      <c r="E5191" s="221"/>
      <c r="F5191" s="221"/>
      <c r="G5191" s="221"/>
      <c r="H5191" s="221"/>
      <c r="I5191" s="221"/>
      <c r="J5191" s="221"/>
      <c r="K5191" s="221"/>
      <c r="L5191" s="221"/>
      <c r="M5191" s="221"/>
    </row>
    <row r="5192" spans="5:13">
      <c r="E5192" s="221"/>
      <c r="F5192" s="221"/>
      <c r="G5192" s="221"/>
      <c r="H5192" s="221"/>
      <c r="I5192" s="221"/>
      <c r="J5192" s="221"/>
      <c r="K5192" s="221"/>
      <c r="L5192" s="221"/>
      <c r="M5192" s="221"/>
    </row>
    <row r="5193" spans="5:13">
      <c r="E5193" s="221"/>
      <c r="F5193" s="221"/>
      <c r="G5193" s="221"/>
      <c r="H5193" s="221"/>
      <c r="I5193" s="221"/>
      <c r="J5193" s="221"/>
      <c r="K5193" s="221"/>
      <c r="L5193" s="221"/>
      <c r="M5193" s="221"/>
    </row>
    <row r="5194" spans="5:13">
      <c r="E5194" s="221"/>
      <c r="F5194" s="221"/>
      <c r="G5194" s="221"/>
      <c r="H5194" s="221"/>
      <c r="I5194" s="221"/>
      <c r="J5194" s="221"/>
      <c r="K5194" s="221"/>
      <c r="L5194" s="221"/>
      <c r="M5194" s="221"/>
    </row>
    <row r="5195" spans="5:13">
      <c r="E5195" s="221"/>
      <c r="F5195" s="221"/>
      <c r="G5195" s="221"/>
      <c r="H5195" s="221"/>
      <c r="I5195" s="221"/>
      <c r="J5195" s="221"/>
      <c r="K5195" s="221"/>
      <c r="L5195" s="221"/>
      <c r="M5195" s="221"/>
    </row>
    <row r="5196" spans="5:13">
      <c r="E5196" s="221"/>
      <c r="F5196" s="221"/>
      <c r="G5196" s="221"/>
      <c r="H5196" s="221"/>
      <c r="I5196" s="221"/>
      <c r="J5196" s="221"/>
      <c r="K5196" s="221"/>
      <c r="L5196" s="221"/>
      <c r="M5196" s="221"/>
    </row>
    <row r="5197" spans="5:13">
      <c r="E5197" s="221"/>
      <c r="F5197" s="221"/>
      <c r="G5197" s="221"/>
      <c r="H5197" s="221"/>
      <c r="I5197" s="221"/>
      <c r="J5197" s="221"/>
      <c r="K5197" s="221"/>
      <c r="L5197" s="221"/>
      <c r="M5197" s="221"/>
    </row>
    <row r="5198" spans="5:13">
      <c r="E5198" s="221"/>
      <c r="F5198" s="221"/>
      <c r="G5198" s="221"/>
      <c r="H5198" s="221"/>
      <c r="I5198" s="221"/>
      <c r="J5198" s="221"/>
      <c r="K5198" s="221"/>
      <c r="L5198" s="221"/>
      <c r="M5198" s="221"/>
    </row>
    <row r="5199" spans="5:13">
      <c r="E5199" s="221"/>
      <c r="F5199" s="221"/>
      <c r="G5199" s="221"/>
      <c r="H5199" s="221"/>
      <c r="I5199" s="221"/>
      <c r="J5199" s="221"/>
      <c r="K5199" s="221"/>
      <c r="L5199" s="221"/>
      <c r="M5199" s="221"/>
    </row>
    <row r="5200" spans="5:13">
      <c r="E5200" s="221"/>
      <c r="F5200" s="221"/>
      <c r="G5200" s="221"/>
      <c r="H5200" s="221"/>
      <c r="I5200" s="221"/>
      <c r="J5200" s="221"/>
      <c r="K5200" s="221"/>
      <c r="L5200" s="221"/>
      <c r="M5200" s="221"/>
    </row>
    <row r="5201" spans="5:13">
      <c r="E5201" s="221"/>
      <c r="F5201" s="221"/>
      <c r="G5201" s="221"/>
      <c r="H5201" s="221"/>
      <c r="I5201" s="221"/>
      <c r="J5201" s="221"/>
      <c r="K5201" s="221"/>
      <c r="L5201" s="221"/>
      <c r="M5201" s="221"/>
    </row>
    <row r="5202" spans="5:13">
      <c r="E5202" s="221"/>
      <c r="F5202" s="221"/>
      <c r="G5202" s="221"/>
      <c r="H5202" s="221"/>
      <c r="I5202" s="221"/>
      <c r="J5202" s="221"/>
      <c r="K5202" s="221"/>
      <c r="L5202" s="221"/>
      <c r="M5202" s="221"/>
    </row>
    <row r="5203" spans="5:13">
      <c r="E5203" s="221"/>
      <c r="F5203" s="221"/>
      <c r="G5203" s="221"/>
      <c r="H5203" s="221"/>
      <c r="I5203" s="221"/>
      <c r="J5203" s="221"/>
      <c r="K5203" s="221"/>
      <c r="L5203" s="221"/>
      <c r="M5203" s="221"/>
    </row>
    <row r="5204" spans="5:13">
      <c r="E5204" s="221"/>
      <c r="F5204" s="221"/>
      <c r="G5204" s="221"/>
      <c r="H5204" s="221"/>
      <c r="I5204" s="221"/>
      <c r="J5204" s="221"/>
      <c r="K5204" s="221"/>
      <c r="L5204" s="221"/>
      <c r="M5204" s="221"/>
    </row>
    <row r="5205" spans="5:13">
      <c r="E5205" s="221"/>
      <c r="F5205" s="221"/>
      <c r="G5205" s="221"/>
      <c r="H5205" s="221"/>
      <c r="I5205" s="221"/>
      <c r="J5205" s="221"/>
      <c r="K5205" s="221"/>
      <c r="L5205" s="221"/>
      <c r="M5205" s="221"/>
    </row>
    <row r="5206" spans="5:13">
      <c r="E5206" s="221"/>
      <c r="F5206" s="221"/>
      <c r="G5206" s="221"/>
      <c r="H5206" s="221"/>
      <c r="I5206" s="221"/>
      <c r="J5206" s="221"/>
      <c r="K5206" s="221"/>
      <c r="L5206" s="221"/>
      <c r="M5206" s="221"/>
    </row>
    <row r="5207" spans="5:13">
      <c r="E5207" s="221"/>
      <c r="F5207" s="221"/>
      <c r="G5207" s="221"/>
      <c r="H5207" s="221"/>
      <c r="I5207" s="221"/>
      <c r="J5207" s="221"/>
      <c r="K5207" s="221"/>
      <c r="L5207" s="221"/>
      <c r="M5207" s="221"/>
    </row>
    <row r="5208" spans="5:13">
      <c r="E5208" s="221"/>
      <c r="F5208" s="221"/>
      <c r="G5208" s="221"/>
      <c r="H5208" s="221"/>
      <c r="I5208" s="221"/>
      <c r="J5208" s="221"/>
      <c r="K5208" s="221"/>
      <c r="L5208" s="221"/>
      <c r="M5208" s="221"/>
    </row>
    <row r="5209" spans="5:13">
      <c r="E5209" s="221"/>
      <c r="F5209" s="221"/>
      <c r="G5209" s="221"/>
      <c r="H5209" s="221"/>
      <c r="I5209" s="221"/>
      <c r="J5209" s="221"/>
      <c r="K5209" s="221"/>
      <c r="L5209" s="221"/>
      <c r="M5209" s="221"/>
    </row>
    <row r="5210" spans="5:13">
      <c r="E5210" s="221"/>
      <c r="F5210" s="221"/>
      <c r="G5210" s="221"/>
      <c r="H5210" s="221"/>
      <c r="I5210" s="221"/>
      <c r="J5210" s="221"/>
      <c r="K5210" s="221"/>
      <c r="L5210" s="221"/>
      <c r="M5210" s="221"/>
    </row>
    <row r="5211" spans="5:13">
      <c r="E5211" s="221"/>
      <c r="F5211" s="221"/>
      <c r="G5211" s="221"/>
      <c r="H5211" s="221"/>
      <c r="I5211" s="221"/>
      <c r="J5211" s="221"/>
      <c r="K5211" s="221"/>
      <c r="L5211" s="221"/>
      <c r="M5211" s="221"/>
    </row>
    <row r="5212" spans="5:13">
      <c r="E5212" s="221"/>
      <c r="F5212" s="221"/>
      <c r="G5212" s="221"/>
      <c r="H5212" s="221"/>
      <c r="I5212" s="221"/>
      <c r="J5212" s="221"/>
      <c r="K5212" s="221"/>
      <c r="L5212" s="221"/>
      <c r="M5212" s="221"/>
    </row>
    <row r="5213" spans="5:13">
      <c r="E5213" s="221"/>
      <c r="F5213" s="221"/>
      <c r="G5213" s="221"/>
      <c r="H5213" s="221"/>
      <c r="I5213" s="221"/>
      <c r="J5213" s="221"/>
      <c r="K5213" s="221"/>
      <c r="L5213" s="221"/>
      <c r="M5213" s="221"/>
    </row>
    <row r="5214" spans="5:13">
      <c r="E5214" s="221"/>
      <c r="F5214" s="221"/>
      <c r="G5214" s="221"/>
      <c r="H5214" s="221"/>
      <c r="I5214" s="221"/>
      <c r="J5214" s="221"/>
      <c r="K5214" s="221"/>
      <c r="L5214" s="221"/>
      <c r="M5214" s="221"/>
    </row>
    <row r="5215" spans="5:13">
      <c r="E5215" s="221"/>
      <c r="F5215" s="221"/>
      <c r="G5215" s="221"/>
      <c r="H5215" s="221"/>
      <c r="I5215" s="221"/>
      <c r="J5215" s="221"/>
      <c r="K5215" s="221"/>
      <c r="L5215" s="221"/>
      <c r="M5215" s="221"/>
    </row>
    <row r="5216" spans="5:13">
      <c r="E5216" s="221"/>
      <c r="F5216" s="221"/>
      <c r="G5216" s="221"/>
      <c r="H5216" s="221"/>
      <c r="I5216" s="221"/>
      <c r="J5216" s="221"/>
      <c r="K5216" s="221"/>
      <c r="L5216" s="221"/>
      <c r="M5216" s="221"/>
    </row>
    <row r="5217" spans="5:13">
      <c r="E5217" s="221"/>
      <c r="F5217" s="221"/>
      <c r="G5217" s="221"/>
      <c r="H5217" s="221"/>
      <c r="I5217" s="221"/>
      <c r="J5217" s="221"/>
      <c r="K5217" s="221"/>
      <c r="L5217" s="221"/>
      <c r="M5217" s="221"/>
    </row>
    <row r="5218" spans="5:13">
      <c r="E5218" s="221"/>
      <c r="F5218" s="221"/>
      <c r="G5218" s="221"/>
      <c r="H5218" s="221"/>
      <c r="I5218" s="221"/>
      <c r="J5218" s="221"/>
      <c r="K5218" s="221"/>
      <c r="L5218" s="221"/>
      <c r="M5218" s="221"/>
    </row>
    <row r="5219" spans="5:13">
      <c r="E5219" s="221"/>
      <c r="F5219" s="221"/>
      <c r="G5219" s="221"/>
      <c r="H5219" s="221"/>
      <c r="I5219" s="221"/>
      <c r="J5219" s="221"/>
      <c r="K5219" s="221"/>
      <c r="L5219" s="221"/>
      <c r="M5219" s="221"/>
    </row>
    <row r="5220" spans="5:13">
      <c r="E5220" s="221"/>
      <c r="F5220" s="221"/>
      <c r="G5220" s="221"/>
      <c r="H5220" s="221"/>
      <c r="I5220" s="221"/>
      <c r="J5220" s="221"/>
      <c r="K5220" s="221"/>
      <c r="L5220" s="221"/>
      <c r="M5220" s="221"/>
    </row>
    <row r="5221" spans="5:13">
      <c r="E5221" s="221"/>
      <c r="F5221" s="221"/>
      <c r="G5221" s="221"/>
      <c r="H5221" s="221"/>
      <c r="I5221" s="221"/>
      <c r="J5221" s="221"/>
      <c r="K5221" s="221"/>
      <c r="L5221" s="221"/>
      <c r="M5221" s="221"/>
    </row>
    <row r="5222" spans="5:13">
      <c r="E5222" s="221"/>
      <c r="F5222" s="221"/>
      <c r="G5222" s="221"/>
      <c r="H5222" s="221"/>
      <c r="I5222" s="221"/>
      <c r="J5222" s="221"/>
      <c r="K5222" s="221"/>
      <c r="L5222" s="221"/>
      <c r="M5222" s="221"/>
    </row>
    <row r="5223" spans="5:13">
      <c r="E5223" s="221"/>
      <c r="F5223" s="221"/>
      <c r="G5223" s="221"/>
      <c r="H5223" s="221"/>
      <c r="I5223" s="221"/>
      <c r="J5223" s="221"/>
      <c r="K5223" s="221"/>
      <c r="L5223" s="221"/>
      <c r="M5223" s="221"/>
    </row>
    <row r="5224" spans="5:13">
      <c r="E5224" s="221"/>
      <c r="F5224" s="221"/>
      <c r="G5224" s="221"/>
      <c r="H5224" s="221"/>
      <c r="I5224" s="221"/>
      <c r="J5224" s="221"/>
      <c r="K5224" s="221"/>
      <c r="L5224" s="221"/>
      <c r="M5224" s="221"/>
    </row>
    <row r="5225" spans="5:13">
      <c r="E5225" s="221"/>
      <c r="F5225" s="221"/>
      <c r="G5225" s="221"/>
      <c r="H5225" s="221"/>
      <c r="I5225" s="221"/>
      <c r="J5225" s="221"/>
      <c r="K5225" s="221"/>
      <c r="L5225" s="221"/>
      <c r="M5225" s="221"/>
    </row>
    <row r="5226" spans="5:13">
      <c r="E5226" s="221"/>
      <c r="F5226" s="221"/>
      <c r="G5226" s="221"/>
      <c r="H5226" s="221"/>
      <c r="I5226" s="221"/>
      <c r="J5226" s="221"/>
      <c r="K5226" s="221"/>
      <c r="L5226" s="221"/>
      <c r="M5226" s="221"/>
    </row>
    <row r="5227" spans="5:13">
      <c r="E5227" s="221"/>
      <c r="F5227" s="221"/>
      <c r="G5227" s="221"/>
      <c r="H5227" s="221"/>
      <c r="I5227" s="221"/>
      <c r="J5227" s="221"/>
      <c r="K5227" s="221"/>
      <c r="L5227" s="221"/>
      <c r="M5227" s="221"/>
    </row>
    <row r="5228" spans="5:13">
      <c r="E5228" s="221"/>
      <c r="F5228" s="221"/>
      <c r="G5228" s="221"/>
      <c r="H5228" s="221"/>
      <c r="I5228" s="221"/>
      <c r="J5228" s="221"/>
      <c r="K5228" s="221"/>
      <c r="L5228" s="221"/>
      <c r="M5228" s="221"/>
    </row>
    <row r="5229" spans="5:13">
      <c r="E5229" s="221"/>
      <c r="F5229" s="221"/>
      <c r="G5229" s="221"/>
      <c r="H5229" s="221"/>
      <c r="I5229" s="221"/>
      <c r="J5229" s="221"/>
      <c r="K5229" s="221"/>
      <c r="L5229" s="221"/>
      <c r="M5229" s="221"/>
    </row>
    <row r="5230" spans="5:13">
      <c r="E5230" s="221"/>
      <c r="F5230" s="221"/>
      <c r="G5230" s="221"/>
      <c r="H5230" s="221"/>
      <c r="I5230" s="221"/>
      <c r="J5230" s="221"/>
      <c r="K5230" s="221"/>
      <c r="L5230" s="221"/>
      <c r="M5230" s="221"/>
    </row>
    <row r="5231" spans="5:13">
      <c r="E5231" s="221"/>
      <c r="F5231" s="221"/>
      <c r="G5231" s="221"/>
      <c r="H5231" s="221"/>
      <c r="I5231" s="221"/>
      <c r="J5231" s="221"/>
      <c r="K5231" s="221"/>
      <c r="L5231" s="221"/>
      <c r="M5231" s="221"/>
    </row>
    <row r="5232" spans="5:13">
      <c r="E5232" s="221"/>
      <c r="F5232" s="221"/>
      <c r="G5232" s="221"/>
      <c r="H5232" s="221"/>
      <c r="I5232" s="221"/>
      <c r="J5232" s="221"/>
      <c r="K5232" s="221"/>
      <c r="L5232" s="221"/>
      <c r="M5232" s="221"/>
    </row>
    <row r="5233" spans="5:13">
      <c r="E5233" s="221"/>
      <c r="F5233" s="221"/>
      <c r="G5233" s="221"/>
      <c r="H5233" s="221"/>
      <c r="I5233" s="221"/>
      <c r="J5233" s="221"/>
      <c r="K5233" s="221"/>
      <c r="L5233" s="221"/>
      <c r="M5233" s="221"/>
    </row>
    <row r="5234" spans="5:13">
      <c r="E5234" s="221"/>
      <c r="F5234" s="221"/>
      <c r="G5234" s="221"/>
      <c r="H5234" s="221"/>
      <c r="I5234" s="221"/>
      <c r="J5234" s="221"/>
      <c r="K5234" s="221"/>
      <c r="L5234" s="221"/>
      <c r="M5234" s="221"/>
    </row>
    <row r="5235" spans="5:13">
      <c r="E5235" s="221"/>
      <c r="F5235" s="221"/>
      <c r="G5235" s="221"/>
      <c r="H5235" s="221"/>
      <c r="I5235" s="221"/>
      <c r="J5235" s="221"/>
      <c r="K5235" s="221"/>
      <c r="L5235" s="221"/>
      <c r="M5235" s="221"/>
    </row>
    <row r="5236" spans="5:13">
      <c r="E5236" s="221"/>
      <c r="F5236" s="221"/>
      <c r="G5236" s="221"/>
      <c r="H5236" s="221"/>
      <c r="I5236" s="221"/>
      <c r="J5236" s="221"/>
      <c r="K5236" s="221"/>
      <c r="L5236" s="221"/>
      <c r="M5236" s="221"/>
    </row>
    <row r="5237" spans="5:13">
      <c r="E5237" s="221"/>
      <c r="F5237" s="221"/>
      <c r="G5237" s="221"/>
      <c r="H5237" s="221"/>
      <c r="I5237" s="221"/>
      <c r="J5237" s="221"/>
      <c r="K5237" s="221"/>
      <c r="L5237" s="221"/>
      <c r="M5237" s="221"/>
    </row>
    <row r="5238" spans="5:13">
      <c r="E5238" s="221"/>
      <c r="F5238" s="221"/>
      <c r="G5238" s="221"/>
      <c r="H5238" s="221"/>
      <c r="I5238" s="221"/>
      <c r="J5238" s="221"/>
      <c r="K5238" s="221"/>
      <c r="L5238" s="221"/>
      <c r="M5238" s="221"/>
    </row>
    <row r="5239" spans="5:13">
      <c r="E5239" s="221"/>
      <c r="F5239" s="221"/>
      <c r="G5239" s="221"/>
      <c r="H5239" s="221"/>
      <c r="I5239" s="221"/>
      <c r="J5239" s="221"/>
      <c r="K5239" s="221"/>
      <c r="L5239" s="221"/>
      <c r="M5239" s="221"/>
    </row>
    <row r="5240" spans="5:13">
      <c r="E5240" s="221"/>
      <c r="F5240" s="221"/>
      <c r="G5240" s="221"/>
      <c r="H5240" s="221"/>
      <c r="I5240" s="221"/>
      <c r="J5240" s="221"/>
      <c r="K5240" s="221"/>
      <c r="L5240" s="221"/>
      <c r="M5240" s="221"/>
    </row>
    <row r="5241" spans="5:13">
      <c r="E5241" s="221"/>
      <c r="F5241" s="221"/>
      <c r="G5241" s="221"/>
      <c r="H5241" s="221"/>
      <c r="I5241" s="221"/>
      <c r="J5241" s="221"/>
      <c r="K5241" s="221"/>
      <c r="L5241" s="221"/>
      <c r="M5241" s="221"/>
    </row>
    <row r="5242" spans="5:13">
      <c r="E5242" s="221"/>
      <c r="F5242" s="221"/>
      <c r="G5242" s="221"/>
      <c r="H5242" s="221"/>
      <c r="I5242" s="221"/>
      <c r="J5242" s="221"/>
      <c r="K5242" s="221"/>
      <c r="L5242" s="221"/>
      <c r="M5242" s="221"/>
    </row>
    <row r="5243" spans="5:13">
      <c r="E5243" s="221"/>
      <c r="F5243" s="221"/>
      <c r="G5243" s="221"/>
      <c r="H5243" s="221"/>
      <c r="I5243" s="221"/>
      <c r="J5243" s="221"/>
      <c r="K5243" s="221"/>
      <c r="L5243" s="221"/>
      <c r="M5243" s="221"/>
    </row>
    <row r="5244" spans="5:13">
      <c r="E5244" s="221"/>
      <c r="F5244" s="221"/>
      <c r="G5244" s="221"/>
      <c r="H5244" s="221"/>
      <c r="I5244" s="221"/>
      <c r="J5244" s="221"/>
      <c r="K5244" s="221"/>
      <c r="L5244" s="221"/>
      <c r="M5244" s="221"/>
    </row>
    <row r="5245" spans="5:13">
      <c r="E5245" s="221"/>
      <c r="F5245" s="221"/>
      <c r="G5245" s="221"/>
      <c r="H5245" s="221"/>
      <c r="I5245" s="221"/>
      <c r="J5245" s="221"/>
      <c r="K5245" s="221"/>
      <c r="L5245" s="221"/>
      <c r="M5245" s="221"/>
    </row>
    <row r="5246" spans="5:13">
      <c r="E5246" s="221"/>
      <c r="F5246" s="221"/>
      <c r="G5246" s="221"/>
      <c r="H5246" s="221"/>
      <c r="I5246" s="221"/>
      <c r="J5246" s="221"/>
      <c r="K5246" s="221"/>
      <c r="L5246" s="221"/>
      <c r="M5246" s="221"/>
    </row>
    <row r="5247" spans="5:13">
      <c r="E5247" s="221"/>
      <c r="F5247" s="221"/>
      <c r="G5247" s="221"/>
      <c r="H5247" s="221"/>
      <c r="I5247" s="221"/>
      <c r="J5247" s="221"/>
      <c r="K5247" s="221"/>
      <c r="L5247" s="221"/>
      <c r="M5247" s="221"/>
    </row>
    <row r="5248" spans="5:13">
      <c r="E5248" s="221"/>
      <c r="F5248" s="221"/>
      <c r="G5248" s="221"/>
      <c r="H5248" s="221"/>
      <c r="I5248" s="221"/>
      <c r="J5248" s="221"/>
      <c r="K5248" s="221"/>
      <c r="L5248" s="221"/>
      <c r="M5248" s="221"/>
    </row>
    <row r="5249" spans="5:13">
      <c r="E5249" s="221"/>
      <c r="F5249" s="221"/>
      <c r="G5249" s="221"/>
      <c r="H5249" s="221"/>
      <c r="I5249" s="221"/>
      <c r="J5249" s="221"/>
      <c r="K5249" s="221"/>
      <c r="L5249" s="221"/>
      <c r="M5249" s="221"/>
    </row>
    <row r="5250" spans="5:13">
      <c r="E5250" s="221"/>
      <c r="F5250" s="221"/>
      <c r="G5250" s="221"/>
      <c r="H5250" s="221"/>
      <c r="I5250" s="221"/>
      <c r="J5250" s="221"/>
      <c r="K5250" s="221"/>
      <c r="L5250" s="221"/>
      <c r="M5250" s="221"/>
    </row>
    <row r="5251" spans="5:13">
      <c r="E5251" s="221"/>
      <c r="F5251" s="221"/>
      <c r="G5251" s="221"/>
      <c r="H5251" s="221"/>
      <c r="I5251" s="221"/>
      <c r="J5251" s="221"/>
      <c r="K5251" s="221"/>
      <c r="L5251" s="221"/>
      <c r="M5251" s="221"/>
    </row>
    <row r="5252" spans="5:13">
      <c r="E5252" s="221"/>
      <c r="F5252" s="221"/>
      <c r="G5252" s="221"/>
      <c r="H5252" s="221"/>
      <c r="I5252" s="221"/>
      <c r="J5252" s="221"/>
      <c r="K5252" s="221"/>
      <c r="L5252" s="221"/>
      <c r="M5252" s="221"/>
    </row>
    <row r="5253" spans="5:13">
      <c r="E5253" s="221"/>
      <c r="F5253" s="221"/>
      <c r="G5253" s="221"/>
      <c r="H5253" s="221"/>
      <c r="I5253" s="221"/>
      <c r="J5253" s="221"/>
      <c r="K5253" s="221"/>
      <c r="L5253" s="221"/>
      <c r="M5253" s="221"/>
    </row>
    <row r="5254" spans="5:13">
      <c r="E5254" s="221"/>
      <c r="F5254" s="221"/>
      <c r="G5254" s="221"/>
      <c r="H5254" s="221"/>
      <c r="I5254" s="221"/>
      <c r="J5254" s="221"/>
      <c r="K5254" s="221"/>
      <c r="L5254" s="221"/>
      <c r="M5254" s="221"/>
    </row>
    <row r="5255" spans="5:13">
      <c r="E5255" s="221"/>
      <c r="F5255" s="221"/>
      <c r="G5255" s="221"/>
      <c r="H5255" s="221"/>
      <c r="I5255" s="221"/>
      <c r="J5255" s="221"/>
      <c r="K5255" s="221"/>
      <c r="L5255" s="221"/>
      <c r="M5255" s="221"/>
    </row>
    <row r="5256" spans="5:13">
      <c r="E5256" s="221"/>
      <c r="F5256" s="221"/>
      <c r="G5256" s="221"/>
      <c r="H5256" s="221"/>
      <c r="I5256" s="221"/>
      <c r="J5256" s="221"/>
      <c r="K5256" s="221"/>
      <c r="L5256" s="221"/>
      <c r="M5256" s="221"/>
    </row>
    <row r="5257" spans="5:13">
      <c r="E5257" s="221"/>
      <c r="F5257" s="221"/>
      <c r="G5257" s="221"/>
      <c r="H5257" s="221"/>
      <c r="I5257" s="221"/>
      <c r="J5257" s="221"/>
      <c r="K5257" s="221"/>
      <c r="L5257" s="221"/>
      <c r="M5257" s="221"/>
    </row>
    <row r="5258" spans="5:13">
      <c r="E5258" s="221"/>
      <c r="F5258" s="221"/>
      <c r="G5258" s="221"/>
      <c r="H5258" s="221"/>
      <c r="I5258" s="221"/>
      <c r="J5258" s="221"/>
      <c r="K5258" s="221"/>
      <c r="L5258" s="221"/>
      <c r="M5258" s="221"/>
    </row>
    <row r="5259" spans="5:13">
      <c r="E5259" s="221"/>
      <c r="F5259" s="221"/>
      <c r="G5259" s="221"/>
      <c r="H5259" s="221"/>
      <c r="I5259" s="221"/>
      <c r="J5259" s="221"/>
      <c r="K5259" s="221"/>
      <c r="L5259" s="221"/>
      <c r="M5259" s="221"/>
    </row>
    <row r="5260" spans="5:13">
      <c r="E5260" s="221"/>
      <c r="F5260" s="221"/>
      <c r="G5260" s="221"/>
      <c r="H5260" s="221"/>
      <c r="I5260" s="221"/>
      <c r="J5260" s="221"/>
      <c r="K5260" s="221"/>
      <c r="L5260" s="221"/>
      <c r="M5260" s="221"/>
    </row>
    <row r="5261" spans="5:13">
      <c r="E5261" s="221"/>
      <c r="F5261" s="221"/>
      <c r="G5261" s="221"/>
      <c r="H5261" s="221"/>
      <c r="I5261" s="221"/>
      <c r="J5261" s="221"/>
      <c r="K5261" s="221"/>
      <c r="L5261" s="221"/>
      <c r="M5261" s="221"/>
    </row>
    <row r="5262" spans="5:13">
      <c r="E5262" s="221"/>
      <c r="F5262" s="221"/>
      <c r="G5262" s="221"/>
      <c r="H5262" s="221"/>
      <c r="I5262" s="221"/>
      <c r="J5262" s="221"/>
      <c r="K5262" s="221"/>
      <c r="L5262" s="221"/>
      <c r="M5262" s="221"/>
    </row>
    <row r="5263" spans="5:13">
      <c r="E5263" s="221"/>
      <c r="F5263" s="221"/>
      <c r="G5263" s="221"/>
      <c r="H5263" s="221"/>
      <c r="I5263" s="221"/>
      <c r="J5263" s="221"/>
      <c r="K5263" s="221"/>
      <c r="L5263" s="221"/>
      <c r="M5263" s="221"/>
    </row>
    <row r="5264" spans="5:13">
      <c r="E5264" s="221"/>
      <c r="F5264" s="221"/>
      <c r="G5264" s="221"/>
      <c r="H5264" s="221"/>
      <c r="I5264" s="221"/>
      <c r="J5264" s="221"/>
      <c r="K5264" s="221"/>
      <c r="L5264" s="221"/>
      <c r="M5264" s="221"/>
    </row>
    <row r="5265" spans="5:13">
      <c r="E5265" s="221"/>
      <c r="F5265" s="221"/>
      <c r="G5265" s="221"/>
      <c r="H5265" s="221"/>
      <c r="I5265" s="221"/>
      <c r="J5265" s="221"/>
      <c r="K5265" s="221"/>
      <c r="L5265" s="221"/>
      <c r="M5265" s="221"/>
    </row>
    <row r="5266" spans="5:13">
      <c r="E5266" s="221"/>
      <c r="F5266" s="221"/>
      <c r="G5266" s="221"/>
      <c r="H5266" s="221"/>
      <c r="I5266" s="221"/>
      <c r="J5266" s="221"/>
      <c r="K5266" s="221"/>
      <c r="L5266" s="221"/>
      <c r="M5266" s="221"/>
    </row>
    <row r="5267" spans="5:13">
      <c r="E5267" s="221"/>
      <c r="F5267" s="221"/>
      <c r="G5267" s="221"/>
      <c r="H5267" s="221"/>
      <c r="I5267" s="221"/>
      <c r="J5267" s="221"/>
      <c r="K5267" s="221"/>
      <c r="L5267" s="221"/>
      <c r="M5267" s="221"/>
    </row>
    <row r="5268" spans="5:13">
      <c r="E5268" s="221"/>
      <c r="F5268" s="221"/>
      <c r="G5268" s="221"/>
      <c r="H5268" s="221"/>
      <c r="I5268" s="221"/>
      <c r="J5268" s="221"/>
      <c r="K5268" s="221"/>
      <c r="L5268" s="221"/>
      <c r="M5268" s="221"/>
    </row>
    <row r="5269" spans="5:13">
      <c r="E5269" s="221"/>
      <c r="F5269" s="221"/>
      <c r="G5269" s="221"/>
      <c r="H5269" s="221"/>
      <c r="I5269" s="221"/>
      <c r="J5269" s="221"/>
      <c r="K5269" s="221"/>
      <c r="L5269" s="221"/>
      <c r="M5269" s="221"/>
    </row>
    <row r="5270" spans="5:13">
      <c r="E5270" s="221"/>
      <c r="F5270" s="221"/>
      <c r="G5270" s="221"/>
      <c r="H5270" s="221"/>
      <c r="I5270" s="221"/>
      <c r="J5270" s="221"/>
      <c r="K5270" s="221"/>
      <c r="L5270" s="221"/>
      <c r="M5270" s="221"/>
    </row>
    <row r="5271" spans="5:13">
      <c r="E5271" s="221"/>
      <c r="F5271" s="221"/>
      <c r="G5271" s="221"/>
      <c r="H5271" s="221"/>
      <c r="I5271" s="221"/>
      <c r="J5271" s="221"/>
      <c r="K5271" s="221"/>
      <c r="L5271" s="221"/>
      <c r="M5271" s="221"/>
    </row>
    <row r="5272" spans="5:13">
      <c r="E5272" s="221"/>
      <c r="F5272" s="221"/>
      <c r="G5272" s="221"/>
      <c r="H5272" s="221"/>
      <c r="I5272" s="221"/>
      <c r="J5272" s="221"/>
      <c r="K5272" s="221"/>
      <c r="L5272" s="221"/>
      <c r="M5272" s="221"/>
    </row>
    <row r="5273" spans="5:13">
      <c r="E5273" s="221"/>
      <c r="F5273" s="221"/>
      <c r="G5273" s="221"/>
      <c r="H5273" s="221"/>
      <c r="I5273" s="221"/>
      <c r="J5273" s="221"/>
      <c r="K5273" s="221"/>
      <c r="L5273" s="221"/>
      <c r="M5273" s="221"/>
    </row>
    <row r="5274" spans="5:13">
      <c r="E5274" s="221"/>
      <c r="F5274" s="221"/>
      <c r="G5274" s="221"/>
      <c r="H5274" s="221"/>
      <c r="I5274" s="221"/>
      <c r="J5274" s="221"/>
      <c r="K5274" s="221"/>
      <c r="L5274" s="221"/>
      <c r="M5274" s="221"/>
    </row>
    <row r="5275" spans="5:13">
      <c r="E5275" s="221"/>
      <c r="F5275" s="221"/>
      <c r="G5275" s="221"/>
      <c r="H5275" s="221"/>
      <c r="I5275" s="221"/>
      <c r="J5275" s="221"/>
      <c r="K5275" s="221"/>
      <c r="L5275" s="221"/>
      <c r="M5275" s="221"/>
    </row>
    <row r="5276" spans="5:13">
      <c r="E5276" s="221"/>
      <c r="F5276" s="221"/>
      <c r="G5276" s="221"/>
      <c r="H5276" s="221"/>
      <c r="I5276" s="221"/>
      <c r="J5276" s="221"/>
      <c r="K5276" s="221"/>
      <c r="L5276" s="221"/>
      <c r="M5276" s="221"/>
    </row>
    <row r="5277" spans="5:13">
      <c r="E5277" s="221"/>
      <c r="F5277" s="221"/>
      <c r="G5277" s="221"/>
      <c r="H5277" s="221"/>
      <c r="I5277" s="221"/>
      <c r="J5277" s="221"/>
      <c r="K5277" s="221"/>
      <c r="L5277" s="221"/>
      <c r="M5277" s="221"/>
    </row>
    <row r="5278" spans="5:13">
      <c r="E5278" s="221"/>
      <c r="F5278" s="221"/>
      <c r="G5278" s="221"/>
      <c r="H5278" s="221"/>
      <c r="I5278" s="221"/>
      <c r="J5278" s="221"/>
      <c r="K5278" s="221"/>
      <c r="L5278" s="221"/>
      <c r="M5278" s="221"/>
    </row>
    <row r="5279" spans="5:13">
      <c r="E5279" s="221"/>
      <c r="F5279" s="221"/>
      <c r="G5279" s="221"/>
      <c r="H5279" s="221"/>
      <c r="I5279" s="221"/>
      <c r="J5279" s="221"/>
      <c r="K5279" s="221"/>
      <c r="L5279" s="221"/>
      <c r="M5279" s="221"/>
    </row>
    <row r="5280" spans="5:13">
      <c r="E5280" s="221"/>
      <c r="F5280" s="221"/>
      <c r="G5280" s="221"/>
      <c r="H5280" s="221"/>
      <c r="I5280" s="221"/>
      <c r="J5280" s="221"/>
      <c r="K5280" s="221"/>
      <c r="L5280" s="221"/>
      <c r="M5280" s="221"/>
    </row>
    <row r="5281" spans="5:13">
      <c r="E5281" s="221"/>
      <c r="F5281" s="221"/>
      <c r="G5281" s="221"/>
      <c r="H5281" s="221"/>
      <c r="I5281" s="221"/>
      <c r="J5281" s="221"/>
      <c r="K5281" s="221"/>
      <c r="L5281" s="221"/>
      <c r="M5281" s="221"/>
    </row>
    <row r="5282" spans="5:13">
      <c r="E5282" s="221"/>
      <c r="F5282" s="221"/>
      <c r="G5282" s="221"/>
      <c r="H5282" s="221"/>
      <c r="I5282" s="221"/>
      <c r="J5282" s="221"/>
      <c r="K5282" s="221"/>
      <c r="L5282" s="221"/>
      <c r="M5282" s="221"/>
    </row>
    <row r="5283" spans="5:13">
      <c r="E5283" s="221"/>
      <c r="F5283" s="221"/>
      <c r="G5283" s="221"/>
      <c r="H5283" s="221"/>
      <c r="I5283" s="221"/>
      <c r="J5283" s="221"/>
      <c r="K5283" s="221"/>
      <c r="L5283" s="221"/>
      <c r="M5283" s="221"/>
    </row>
    <row r="5284" spans="5:13">
      <c r="E5284" s="221"/>
      <c r="F5284" s="221"/>
      <c r="G5284" s="221"/>
      <c r="H5284" s="221"/>
      <c r="I5284" s="221"/>
      <c r="J5284" s="221"/>
      <c r="K5284" s="221"/>
      <c r="L5284" s="221"/>
      <c r="M5284" s="221"/>
    </row>
    <row r="5285" spans="5:13">
      <c r="E5285" s="221"/>
      <c r="F5285" s="221"/>
      <c r="G5285" s="221"/>
      <c r="H5285" s="221"/>
      <c r="I5285" s="221"/>
      <c r="J5285" s="221"/>
      <c r="K5285" s="221"/>
      <c r="L5285" s="221"/>
      <c r="M5285" s="221"/>
    </row>
    <row r="5286" spans="5:13">
      <c r="E5286" s="221"/>
      <c r="F5286" s="221"/>
      <c r="G5286" s="221"/>
      <c r="H5286" s="221"/>
      <c r="I5286" s="221"/>
      <c r="J5286" s="221"/>
      <c r="K5286" s="221"/>
      <c r="L5286" s="221"/>
      <c r="M5286" s="221"/>
    </row>
    <row r="5287" spans="5:13">
      <c r="E5287" s="221"/>
      <c r="F5287" s="221"/>
      <c r="G5287" s="221"/>
      <c r="H5287" s="221"/>
      <c r="I5287" s="221"/>
      <c r="J5287" s="221"/>
      <c r="K5287" s="221"/>
      <c r="L5287" s="221"/>
      <c r="M5287" s="221"/>
    </row>
    <row r="5288" spans="5:13">
      <c r="E5288" s="221"/>
      <c r="F5288" s="221"/>
      <c r="G5288" s="221"/>
      <c r="H5288" s="221"/>
      <c r="I5288" s="221"/>
      <c r="J5288" s="221"/>
      <c r="K5288" s="221"/>
      <c r="L5288" s="221"/>
      <c r="M5288" s="221"/>
    </row>
    <row r="5289" spans="5:13">
      <c r="E5289" s="221"/>
      <c r="F5289" s="221"/>
      <c r="G5289" s="221"/>
      <c r="H5289" s="221"/>
      <c r="I5289" s="221"/>
      <c r="J5289" s="221"/>
      <c r="K5289" s="221"/>
      <c r="L5289" s="221"/>
      <c r="M5289" s="221"/>
    </row>
    <row r="5290" spans="5:13">
      <c r="E5290" s="221"/>
      <c r="F5290" s="221"/>
      <c r="G5290" s="221"/>
      <c r="H5290" s="221"/>
      <c r="I5290" s="221"/>
      <c r="J5290" s="221"/>
      <c r="K5290" s="221"/>
      <c r="L5290" s="221"/>
      <c r="M5290" s="221"/>
    </row>
    <row r="5291" spans="5:13">
      <c r="E5291" s="221"/>
      <c r="F5291" s="221"/>
      <c r="G5291" s="221"/>
      <c r="H5291" s="221"/>
      <c r="I5291" s="221"/>
      <c r="J5291" s="221"/>
      <c r="K5291" s="221"/>
      <c r="L5291" s="221"/>
      <c r="M5291" s="221"/>
    </row>
    <row r="5292" spans="5:13">
      <c r="E5292" s="221"/>
      <c r="F5292" s="221"/>
      <c r="G5292" s="221"/>
      <c r="H5292" s="221"/>
      <c r="I5292" s="221"/>
      <c r="J5292" s="221"/>
      <c r="K5292" s="221"/>
      <c r="L5292" s="221"/>
      <c r="M5292" s="221"/>
    </row>
    <row r="5293" spans="5:13">
      <c r="E5293" s="221"/>
      <c r="F5293" s="221"/>
      <c r="G5293" s="221"/>
      <c r="H5293" s="221"/>
      <c r="I5293" s="221"/>
      <c r="J5293" s="221"/>
      <c r="K5293" s="221"/>
      <c r="L5293" s="221"/>
      <c r="M5293" s="221"/>
    </row>
    <row r="5294" spans="5:13">
      <c r="E5294" s="221"/>
      <c r="F5294" s="221"/>
      <c r="G5294" s="221"/>
      <c r="H5294" s="221"/>
      <c r="I5294" s="221"/>
      <c r="J5294" s="221"/>
      <c r="K5294" s="221"/>
      <c r="L5294" s="221"/>
      <c r="M5294" s="221"/>
    </row>
    <row r="5295" spans="5:13">
      <c r="E5295" s="221"/>
      <c r="F5295" s="221"/>
      <c r="G5295" s="221"/>
      <c r="H5295" s="221"/>
      <c r="I5295" s="221"/>
      <c r="J5295" s="221"/>
      <c r="K5295" s="221"/>
      <c r="L5295" s="221"/>
      <c r="M5295" s="221"/>
    </row>
    <row r="5296" spans="5:13">
      <c r="E5296" s="221"/>
      <c r="F5296" s="221"/>
      <c r="G5296" s="221"/>
      <c r="H5296" s="221"/>
      <c r="I5296" s="221"/>
      <c r="J5296" s="221"/>
      <c r="K5296" s="221"/>
      <c r="L5296" s="221"/>
      <c r="M5296" s="221"/>
    </row>
    <row r="5297" spans="5:13">
      <c r="E5297" s="221"/>
      <c r="F5297" s="221"/>
      <c r="G5297" s="221"/>
      <c r="H5297" s="221"/>
      <c r="I5297" s="221"/>
      <c r="J5297" s="221"/>
      <c r="K5297" s="221"/>
      <c r="L5297" s="221"/>
      <c r="M5297" s="221"/>
    </row>
    <row r="5298" spans="5:13">
      <c r="E5298" s="221"/>
      <c r="F5298" s="221"/>
      <c r="G5298" s="221"/>
      <c r="H5298" s="221"/>
      <c r="I5298" s="221"/>
      <c r="J5298" s="221"/>
      <c r="K5298" s="221"/>
      <c r="L5298" s="221"/>
      <c r="M5298" s="221"/>
    </row>
    <row r="5299" spans="5:13">
      <c r="E5299" s="221"/>
      <c r="F5299" s="221"/>
      <c r="G5299" s="221"/>
      <c r="H5299" s="221"/>
      <c r="I5299" s="221"/>
      <c r="J5299" s="221"/>
      <c r="K5299" s="221"/>
      <c r="L5299" s="221"/>
      <c r="M5299" s="221"/>
    </row>
    <row r="5300" spans="5:13">
      <c r="E5300" s="221"/>
      <c r="F5300" s="221"/>
      <c r="G5300" s="221"/>
      <c r="H5300" s="221"/>
      <c r="I5300" s="221"/>
      <c r="J5300" s="221"/>
      <c r="K5300" s="221"/>
      <c r="L5300" s="221"/>
      <c r="M5300" s="221"/>
    </row>
    <row r="5301" spans="5:13">
      <c r="E5301" s="221"/>
      <c r="F5301" s="221"/>
      <c r="G5301" s="221"/>
      <c r="H5301" s="221"/>
      <c r="I5301" s="221"/>
      <c r="J5301" s="221"/>
      <c r="K5301" s="221"/>
      <c r="L5301" s="221"/>
      <c r="M5301" s="221"/>
    </row>
    <row r="5302" spans="5:13">
      <c r="E5302" s="221"/>
      <c r="F5302" s="221"/>
      <c r="G5302" s="221"/>
      <c r="H5302" s="221"/>
      <c r="I5302" s="221"/>
      <c r="J5302" s="221"/>
      <c r="K5302" s="221"/>
      <c r="L5302" s="221"/>
      <c r="M5302" s="221"/>
    </row>
    <row r="5303" spans="5:13">
      <c r="E5303" s="221"/>
      <c r="F5303" s="221"/>
      <c r="G5303" s="221"/>
      <c r="H5303" s="221"/>
      <c r="I5303" s="221"/>
      <c r="J5303" s="221"/>
      <c r="K5303" s="221"/>
      <c r="L5303" s="221"/>
      <c r="M5303" s="221"/>
    </row>
    <row r="5304" spans="5:13">
      <c r="E5304" s="221"/>
      <c r="F5304" s="221"/>
      <c r="G5304" s="221"/>
      <c r="H5304" s="221"/>
      <c r="I5304" s="221"/>
      <c r="J5304" s="221"/>
      <c r="K5304" s="221"/>
      <c r="L5304" s="221"/>
      <c r="M5304" s="221"/>
    </row>
    <row r="5305" spans="5:13">
      <c r="E5305" s="221"/>
      <c r="F5305" s="221"/>
      <c r="G5305" s="221"/>
      <c r="H5305" s="221"/>
      <c r="I5305" s="221"/>
      <c r="J5305" s="221"/>
      <c r="K5305" s="221"/>
      <c r="L5305" s="221"/>
      <c r="M5305" s="221"/>
    </row>
    <row r="5306" spans="5:13">
      <c r="E5306" s="221"/>
      <c r="F5306" s="221"/>
      <c r="G5306" s="221"/>
      <c r="H5306" s="221"/>
      <c r="I5306" s="221"/>
      <c r="J5306" s="221"/>
      <c r="K5306" s="221"/>
      <c r="L5306" s="221"/>
      <c r="M5306" s="221"/>
    </row>
    <row r="5307" spans="5:13">
      <c r="E5307" s="221"/>
      <c r="F5307" s="221"/>
      <c r="G5307" s="221"/>
      <c r="H5307" s="221"/>
      <c r="I5307" s="221"/>
      <c r="J5307" s="221"/>
      <c r="K5307" s="221"/>
      <c r="L5307" s="221"/>
      <c r="M5307" s="221"/>
    </row>
    <row r="5308" spans="5:13">
      <c r="E5308" s="221"/>
      <c r="F5308" s="221"/>
      <c r="G5308" s="221"/>
      <c r="H5308" s="221"/>
      <c r="I5308" s="221"/>
      <c r="J5308" s="221"/>
      <c r="K5308" s="221"/>
      <c r="L5308" s="221"/>
      <c r="M5308" s="221"/>
    </row>
    <row r="5309" spans="5:13">
      <c r="E5309" s="221"/>
      <c r="F5309" s="221"/>
      <c r="G5309" s="221"/>
      <c r="H5309" s="221"/>
      <c r="I5309" s="221"/>
      <c r="J5309" s="221"/>
      <c r="K5309" s="221"/>
      <c r="L5309" s="221"/>
      <c r="M5309" s="221"/>
    </row>
    <row r="5310" spans="5:13">
      <c r="E5310" s="221"/>
      <c r="F5310" s="221"/>
      <c r="G5310" s="221"/>
      <c r="H5310" s="221"/>
      <c r="I5310" s="221"/>
      <c r="J5310" s="221"/>
      <c r="K5310" s="221"/>
      <c r="L5310" s="221"/>
      <c r="M5310" s="221"/>
    </row>
    <row r="5311" spans="5:13">
      <c r="E5311" s="221"/>
      <c r="F5311" s="221"/>
      <c r="G5311" s="221"/>
      <c r="H5311" s="221"/>
      <c r="I5311" s="221"/>
      <c r="J5311" s="221"/>
      <c r="K5311" s="221"/>
      <c r="L5311" s="221"/>
      <c r="M5311" s="221"/>
    </row>
    <row r="5312" spans="5:13">
      <c r="E5312" s="221"/>
      <c r="F5312" s="221"/>
      <c r="G5312" s="221"/>
      <c r="H5312" s="221"/>
      <c r="I5312" s="221"/>
      <c r="J5312" s="221"/>
      <c r="K5312" s="221"/>
      <c r="L5312" s="221"/>
      <c r="M5312" s="221"/>
    </row>
    <row r="5313" spans="5:13">
      <c r="E5313" s="221"/>
      <c r="F5313" s="221"/>
      <c r="G5313" s="221"/>
      <c r="H5313" s="221"/>
      <c r="I5313" s="221"/>
      <c r="J5313" s="221"/>
      <c r="K5313" s="221"/>
      <c r="L5313" s="221"/>
      <c r="M5313" s="221"/>
    </row>
    <row r="5314" spans="5:13">
      <c r="E5314" s="221"/>
      <c r="F5314" s="221"/>
      <c r="G5314" s="221"/>
      <c r="H5314" s="221"/>
      <c r="I5314" s="221"/>
      <c r="J5314" s="221"/>
      <c r="K5314" s="221"/>
      <c r="L5314" s="221"/>
      <c r="M5314" s="221"/>
    </row>
    <row r="5315" spans="5:13">
      <c r="E5315" s="221"/>
      <c r="F5315" s="221"/>
      <c r="G5315" s="221"/>
      <c r="H5315" s="221"/>
      <c r="I5315" s="221"/>
      <c r="J5315" s="221"/>
      <c r="K5315" s="221"/>
      <c r="L5315" s="221"/>
      <c r="M5315" s="221"/>
    </row>
    <row r="5316" spans="5:13">
      <c r="E5316" s="221"/>
      <c r="F5316" s="221"/>
      <c r="G5316" s="221"/>
      <c r="H5316" s="221"/>
      <c r="I5316" s="221"/>
      <c r="J5316" s="221"/>
      <c r="K5316" s="221"/>
      <c r="L5316" s="221"/>
      <c r="M5316" s="221"/>
    </row>
    <row r="5317" spans="5:13">
      <c r="E5317" s="221"/>
      <c r="F5317" s="221"/>
      <c r="G5317" s="221"/>
      <c r="H5317" s="221"/>
      <c r="I5317" s="221"/>
      <c r="J5317" s="221"/>
      <c r="K5317" s="221"/>
      <c r="L5317" s="221"/>
      <c r="M5317" s="221"/>
    </row>
    <row r="5318" spans="5:13">
      <c r="E5318" s="221"/>
      <c r="F5318" s="221"/>
      <c r="G5318" s="221"/>
      <c r="H5318" s="221"/>
      <c r="I5318" s="221"/>
      <c r="J5318" s="221"/>
      <c r="K5318" s="221"/>
      <c r="L5318" s="221"/>
      <c r="M5318" s="221"/>
    </row>
    <row r="5319" spans="5:13">
      <c r="E5319" s="221"/>
      <c r="F5319" s="221"/>
      <c r="G5319" s="221"/>
      <c r="H5319" s="221"/>
      <c r="I5319" s="221"/>
      <c r="J5319" s="221"/>
      <c r="K5319" s="221"/>
      <c r="L5319" s="221"/>
      <c r="M5319" s="221"/>
    </row>
    <row r="5320" spans="5:13">
      <c r="E5320" s="221"/>
      <c r="F5320" s="221"/>
      <c r="G5320" s="221"/>
      <c r="H5320" s="221"/>
      <c r="I5320" s="221"/>
      <c r="J5320" s="221"/>
      <c r="K5320" s="221"/>
      <c r="L5320" s="221"/>
      <c r="M5320" s="221"/>
    </row>
    <row r="5321" spans="5:13">
      <c r="E5321" s="221"/>
      <c r="F5321" s="221"/>
      <c r="G5321" s="221"/>
      <c r="H5321" s="221"/>
      <c r="I5321" s="221"/>
      <c r="J5321" s="221"/>
      <c r="K5321" s="221"/>
      <c r="L5321" s="221"/>
      <c r="M5321" s="221"/>
    </row>
    <row r="5322" spans="5:13">
      <c r="E5322" s="221"/>
      <c r="F5322" s="221"/>
      <c r="G5322" s="221"/>
      <c r="H5322" s="221"/>
      <c r="I5322" s="221"/>
      <c r="J5322" s="221"/>
      <c r="K5322" s="221"/>
      <c r="L5322" s="221"/>
      <c r="M5322" s="221"/>
    </row>
    <row r="5323" spans="5:13">
      <c r="E5323" s="221"/>
      <c r="F5323" s="221"/>
      <c r="G5323" s="221"/>
      <c r="H5323" s="221"/>
      <c r="I5323" s="221"/>
      <c r="J5323" s="221"/>
      <c r="K5323" s="221"/>
      <c r="L5323" s="221"/>
      <c r="M5323" s="221"/>
    </row>
    <row r="5324" spans="5:13">
      <c r="E5324" s="221"/>
      <c r="F5324" s="221"/>
      <c r="G5324" s="221"/>
      <c r="H5324" s="221"/>
      <c r="I5324" s="221"/>
      <c r="J5324" s="221"/>
      <c r="K5324" s="221"/>
      <c r="L5324" s="221"/>
      <c r="M5324" s="221"/>
    </row>
    <row r="5325" spans="5:13">
      <c r="E5325" s="221"/>
      <c r="F5325" s="221"/>
      <c r="G5325" s="221"/>
      <c r="H5325" s="221"/>
      <c r="I5325" s="221"/>
      <c r="J5325" s="221"/>
      <c r="K5325" s="221"/>
      <c r="L5325" s="221"/>
      <c r="M5325" s="221"/>
    </row>
    <row r="5326" spans="5:13">
      <c r="E5326" s="221"/>
      <c r="F5326" s="221"/>
      <c r="G5326" s="221"/>
      <c r="H5326" s="221"/>
      <c r="I5326" s="221"/>
      <c r="J5326" s="221"/>
      <c r="K5326" s="221"/>
      <c r="L5326" s="221"/>
      <c r="M5326" s="221"/>
    </row>
    <row r="5327" spans="5:13">
      <c r="E5327" s="221"/>
      <c r="F5327" s="221"/>
      <c r="G5327" s="221"/>
      <c r="H5327" s="221"/>
      <c r="I5327" s="221"/>
      <c r="J5327" s="221"/>
      <c r="K5327" s="221"/>
      <c r="L5327" s="221"/>
      <c r="M5327" s="221"/>
    </row>
    <row r="5328" spans="5:13">
      <c r="E5328" s="221"/>
      <c r="F5328" s="221"/>
      <c r="G5328" s="221"/>
      <c r="H5328" s="221"/>
      <c r="I5328" s="221"/>
      <c r="J5328" s="221"/>
      <c r="K5328" s="221"/>
      <c r="L5328" s="221"/>
      <c r="M5328" s="221"/>
    </row>
    <row r="5329" spans="5:13">
      <c r="E5329" s="221"/>
      <c r="F5329" s="221"/>
      <c r="G5329" s="221"/>
      <c r="H5329" s="221"/>
      <c r="I5329" s="221"/>
      <c r="J5329" s="221"/>
      <c r="K5329" s="221"/>
      <c r="L5329" s="221"/>
      <c r="M5329" s="221"/>
    </row>
    <row r="5330" spans="5:13">
      <c r="E5330" s="221"/>
      <c r="F5330" s="221"/>
      <c r="G5330" s="221"/>
      <c r="H5330" s="221"/>
      <c r="I5330" s="221"/>
      <c r="J5330" s="221"/>
      <c r="K5330" s="221"/>
      <c r="L5330" s="221"/>
      <c r="M5330" s="221"/>
    </row>
    <row r="5331" spans="5:13">
      <c r="E5331" s="221"/>
      <c r="F5331" s="221"/>
      <c r="G5331" s="221"/>
      <c r="H5331" s="221"/>
      <c r="I5331" s="221"/>
      <c r="J5331" s="221"/>
      <c r="K5331" s="221"/>
      <c r="L5331" s="221"/>
      <c r="M5331" s="221"/>
    </row>
    <row r="5332" spans="5:13">
      <c r="E5332" s="221"/>
      <c r="F5332" s="221"/>
      <c r="G5332" s="221"/>
      <c r="H5332" s="221"/>
      <c r="I5332" s="221"/>
      <c r="J5332" s="221"/>
      <c r="K5332" s="221"/>
      <c r="L5332" s="221"/>
      <c r="M5332" s="221"/>
    </row>
    <row r="5333" spans="5:13">
      <c r="E5333" s="221"/>
      <c r="F5333" s="221"/>
      <c r="G5333" s="221"/>
      <c r="H5333" s="221"/>
      <c r="I5333" s="221"/>
      <c r="J5333" s="221"/>
      <c r="K5333" s="221"/>
      <c r="L5333" s="221"/>
      <c r="M5333" s="221"/>
    </row>
    <row r="5334" spans="5:13">
      <c r="E5334" s="221"/>
      <c r="F5334" s="221"/>
      <c r="G5334" s="221"/>
      <c r="H5334" s="221"/>
      <c r="I5334" s="221"/>
      <c r="J5334" s="221"/>
      <c r="K5334" s="221"/>
      <c r="L5334" s="221"/>
      <c r="M5334" s="221"/>
    </row>
    <row r="5335" spans="5:13">
      <c r="E5335" s="221"/>
      <c r="F5335" s="221"/>
      <c r="G5335" s="221"/>
      <c r="H5335" s="221"/>
      <c r="I5335" s="221"/>
      <c r="J5335" s="221"/>
      <c r="K5335" s="221"/>
      <c r="L5335" s="221"/>
      <c r="M5335" s="221"/>
    </row>
    <row r="5336" spans="5:13">
      <c r="E5336" s="221"/>
      <c r="F5336" s="221"/>
      <c r="G5336" s="221"/>
      <c r="H5336" s="221"/>
      <c r="I5336" s="221"/>
      <c r="J5336" s="221"/>
      <c r="K5336" s="221"/>
      <c r="L5336" s="221"/>
      <c r="M5336" s="221"/>
    </row>
    <row r="5337" spans="5:13">
      <c r="E5337" s="221"/>
      <c r="F5337" s="221"/>
      <c r="G5337" s="221"/>
      <c r="H5337" s="221"/>
      <c r="I5337" s="221"/>
      <c r="J5337" s="221"/>
      <c r="K5337" s="221"/>
      <c r="L5337" s="221"/>
      <c r="M5337" s="221"/>
    </row>
    <row r="5338" spans="5:13">
      <c r="E5338" s="221"/>
      <c r="F5338" s="221"/>
      <c r="G5338" s="221"/>
      <c r="H5338" s="221"/>
      <c r="I5338" s="221"/>
      <c r="J5338" s="221"/>
      <c r="K5338" s="221"/>
      <c r="L5338" s="221"/>
      <c r="M5338" s="221"/>
    </row>
    <row r="5339" spans="5:13">
      <c r="E5339" s="221"/>
      <c r="F5339" s="221"/>
      <c r="G5339" s="221"/>
      <c r="H5339" s="221"/>
      <c r="I5339" s="221"/>
      <c r="J5339" s="221"/>
      <c r="K5339" s="221"/>
      <c r="L5339" s="221"/>
      <c r="M5339" s="221"/>
    </row>
    <row r="5340" spans="5:13">
      <c r="E5340" s="221"/>
      <c r="F5340" s="221"/>
      <c r="G5340" s="221"/>
      <c r="H5340" s="221"/>
      <c r="I5340" s="221"/>
      <c r="J5340" s="221"/>
      <c r="K5340" s="221"/>
      <c r="L5340" s="221"/>
      <c r="M5340" s="221"/>
    </row>
    <row r="5341" spans="5:13">
      <c r="E5341" s="221"/>
      <c r="F5341" s="221"/>
      <c r="G5341" s="221"/>
      <c r="H5341" s="221"/>
      <c r="I5341" s="221"/>
      <c r="J5341" s="221"/>
      <c r="K5341" s="221"/>
      <c r="L5341" s="221"/>
      <c r="M5341" s="221"/>
    </row>
    <row r="5342" spans="5:13">
      <c r="E5342" s="221"/>
      <c r="F5342" s="221"/>
      <c r="G5342" s="221"/>
      <c r="H5342" s="221"/>
      <c r="I5342" s="221"/>
      <c r="J5342" s="221"/>
      <c r="K5342" s="221"/>
      <c r="L5342" s="221"/>
      <c r="M5342" s="221"/>
    </row>
    <row r="5343" spans="5:13">
      <c r="E5343" s="221"/>
      <c r="F5343" s="221"/>
      <c r="G5343" s="221"/>
      <c r="H5343" s="221"/>
      <c r="I5343" s="221"/>
      <c r="J5343" s="221"/>
      <c r="K5343" s="221"/>
      <c r="L5343" s="221"/>
      <c r="M5343" s="221"/>
    </row>
    <row r="5344" spans="5:13">
      <c r="E5344" s="221"/>
      <c r="F5344" s="221"/>
      <c r="G5344" s="221"/>
      <c r="H5344" s="221"/>
      <c r="I5344" s="221"/>
      <c r="J5344" s="221"/>
      <c r="K5344" s="221"/>
      <c r="L5344" s="221"/>
      <c r="M5344" s="221"/>
    </row>
    <row r="5345" spans="5:13">
      <c r="E5345" s="221"/>
      <c r="F5345" s="221"/>
      <c r="G5345" s="221"/>
      <c r="H5345" s="221"/>
      <c r="I5345" s="221"/>
      <c r="J5345" s="221"/>
      <c r="K5345" s="221"/>
      <c r="L5345" s="221"/>
      <c r="M5345" s="221"/>
    </row>
    <row r="5346" spans="5:13">
      <c r="E5346" s="221"/>
      <c r="F5346" s="221"/>
      <c r="G5346" s="221"/>
      <c r="H5346" s="221"/>
      <c r="I5346" s="221"/>
      <c r="J5346" s="221"/>
      <c r="K5346" s="221"/>
      <c r="L5346" s="221"/>
      <c r="M5346" s="221"/>
    </row>
    <row r="5347" spans="5:13">
      <c r="E5347" s="221"/>
      <c r="F5347" s="221"/>
      <c r="G5347" s="221"/>
      <c r="H5347" s="221"/>
      <c r="I5347" s="221"/>
      <c r="J5347" s="221"/>
      <c r="K5347" s="221"/>
      <c r="L5347" s="221"/>
      <c r="M5347" s="221"/>
    </row>
    <row r="5348" spans="5:13">
      <c r="E5348" s="221"/>
      <c r="F5348" s="221"/>
      <c r="G5348" s="221"/>
      <c r="H5348" s="221"/>
      <c r="I5348" s="221"/>
      <c r="J5348" s="221"/>
      <c r="K5348" s="221"/>
      <c r="L5348" s="221"/>
      <c r="M5348" s="221"/>
    </row>
    <row r="5349" spans="5:13">
      <c r="E5349" s="221"/>
      <c r="F5349" s="221"/>
      <c r="G5349" s="221"/>
      <c r="H5349" s="221"/>
      <c r="I5349" s="221"/>
      <c r="J5349" s="221"/>
      <c r="K5349" s="221"/>
      <c r="L5349" s="221"/>
      <c r="M5349" s="221"/>
    </row>
    <row r="5350" spans="5:13">
      <c r="E5350" s="221"/>
      <c r="F5350" s="221"/>
      <c r="G5350" s="221"/>
      <c r="H5350" s="221"/>
      <c r="I5350" s="221"/>
      <c r="J5350" s="221"/>
      <c r="K5350" s="221"/>
      <c r="L5350" s="221"/>
      <c r="M5350" s="221"/>
    </row>
    <row r="5351" spans="5:13">
      <c r="E5351" s="221"/>
      <c r="F5351" s="221"/>
      <c r="G5351" s="221"/>
      <c r="H5351" s="221"/>
      <c r="I5351" s="221"/>
      <c r="J5351" s="221"/>
      <c r="K5351" s="221"/>
      <c r="L5351" s="221"/>
      <c r="M5351" s="221"/>
    </row>
    <row r="5352" spans="5:13">
      <c r="E5352" s="221"/>
      <c r="F5352" s="221"/>
      <c r="G5352" s="221"/>
      <c r="H5352" s="221"/>
      <c r="I5352" s="221"/>
      <c r="J5352" s="221"/>
      <c r="K5352" s="221"/>
      <c r="L5352" s="221"/>
      <c r="M5352" s="221"/>
    </row>
    <row r="5353" spans="5:13">
      <c r="E5353" s="221"/>
      <c r="F5353" s="221"/>
      <c r="G5353" s="221"/>
      <c r="H5353" s="221"/>
      <c r="I5353" s="221"/>
      <c r="J5353" s="221"/>
      <c r="K5353" s="221"/>
      <c r="L5353" s="221"/>
      <c r="M5353" s="221"/>
    </row>
    <row r="5354" spans="5:13">
      <c r="E5354" s="221"/>
      <c r="F5354" s="221"/>
      <c r="G5354" s="221"/>
      <c r="H5354" s="221"/>
      <c r="I5354" s="221"/>
      <c r="J5354" s="221"/>
      <c r="K5354" s="221"/>
      <c r="L5354" s="221"/>
      <c r="M5354" s="221"/>
    </row>
    <row r="5355" spans="5:13">
      <c r="E5355" s="221"/>
      <c r="F5355" s="221"/>
      <c r="G5355" s="221"/>
      <c r="H5355" s="221"/>
      <c r="I5355" s="221"/>
      <c r="J5355" s="221"/>
      <c r="K5355" s="221"/>
      <c r="L5355" s="221"/>
      <c r="M5355" s="221"/>
    </row>
    <row r="5356" spans="5:13">
      <c r="E5356" s="221"/>
      <c r="F5356" s="221"/>
      <c r="G5356" s="221"/>
      <c r="H5356" s="221"/>
      <c r="I5356" s="221"/>
      <c r="J5356" s="221"/>
      <c r="K5356" s="221"/>
      <c r="L5356" s="221"/>
      <c r="M5356" s="221"/>
    </row>
    <row r="5357" spans="5:13">
      <c r="E5357" s="221"/>
      <c r="F5357" s="221"/>
      <c r="G5357" s="221"/>
      <c r="H5357" s="221"/>
      <c r="I5357" s="221"/>
      <c r="J5357" s="221"/>
      <c r="K5357" s="221"/>
      <c r="L5357" s="221"/>
      <c r="M5357" s="221"/>
    </row>
    <row r="5358" spans="5:13">
      <c r="E5358" s="221"/>
      <c r="F5358" s="221"/>
      <c r="G5358" s="221"/>
      <c r="H5358" s="221"/>
      <c r="I5358" s="221"/>
      <c r="J5358" s="221"/>
      <c r="K5358" s="221"/>
      <c r="L5358" s="221"/>
      <c r="M5358" s="221"/>
    </row>
    <row r="5359" spans="5:13">
      <c r="E5359" s="221"/>
      <c r="F5359" s="221"/>
      <c r="G5359" s="221"/>
      <c r="H5359" s="221"/>
      <c r="I5359" s="221"/>
      <c r="J5359" s="221"/>
      <c r="K5359" s="221"/>
      <c r="L5359" s="221"/>
      <c r="M5359" s="221"/>
    </row>
    <row r="5360" spans="5:13">
      <c r="E5360" s="221"/>
      <c r="F5360" s="221"/>
      <c r="G5360" s="221"/>
      <c r="H5360" s="221"/>
      <c r="I5360" s="221"/>
      <c r="J5360" s="221"/>
      <c r="K5360" s="221"/>
      <c r="L5360" s="221"/>
      <c r="M5360" s="221"/>
    </row>
    <row r="5361" spans="5:13">
      <c r="E5361" s="221"/>
      <c r="F5361" s="221"/>
      <c r="G5361" s="221"/>
      <c r="H5361" s="221"/>
      <c r="I5361" s="221"/>
      <c r="J5361" s="221"/>
      <c r="K5361" s="221"/>
      <c r="L5361" s="221"/>
      <c r="M5361" s="221"/>
    </row>
    <row r="5362" spans="5:13">
      <c r="E5362" s="221"/>
      <c r="F5362" s="221"/>
      <c r="G5362" s="221"/>
      <c r="H5362" s="221"/>
      <c r="I5362" s="221"/>
      <c r="J5362" s="221"/>
      <c r="K5362" s="221"/>
      <c r="L5362" s="221"/>
      <c r="M5362" s="221"/>
    </row>
    <row r="5363" spans="5:13">
      <c r="E5363" s="221"/>
      <c r="F5363" s="221"/>
      <c r="G5363" s="221"/>
      <c r="H5363" s="221"/>
      <c r="I5363" s="221"/>
      <c r="J5363" s="221"/>
      <c r="K5363" s="221"/>
      <c r="L5363" s="221"/>
      <c r="M5363" s="221"/>
    </row>
    <row r="5364" spans="5:13">
      <c r="E5364" s="221"/>
      <c r="F5364" s="221"/>
      <c r="G5364" s="221"/>
      <c r="H5364" s="221"/>
      <c r="I5364" s="221"/>
      <c r="J5364" s="221"/>
      <c r="K5364" s="221"/>
      <c r="L5364" s="221"/>
      <c r="M5364" s="221"/>
    </row>
    <row r="5365" spans="5:13">
      <c r="E5365" s="221"/>
      <c r="F5365" s="221"/>
      <c r="G5365" s="221"/>
      <c r="H5365" s="221"/>
      <c r="I5365" s="221"/>
      <c r="J5365" s="221"/>
      <c r="K5365" s="221"/>
      <c r="L5365" s="221"/>
      <c r="M5365" s="221"/>
    </row>
    <row r="5366" spans="5:13">
      <c r="E5366" s="221"/>
      <c r="F5366" s="221"/>
      <c r="G5366" s="221"/>
      <c r="H5366" s="221"/>
      <c r="I5366" s="221"/>
      <c r="J5366" s="221"/>
      <c r="K5366" s="221"/>
      <c r="L5366" s="221"/>
      <c r="M5366" s="221"/>
    </row>
    <row r="5367" spans="5:13">
      <c r="E5367" s="221"/>
      <c r="F5367" s="221"/>
      <c r="G5367" s="221"/>
      <c r="H5367" s="221"/>
      <c r="I5367" s="221"/>
      <c r="J5367" s="221"/>
      <c r="K5367" s="221"/>
      <c r="L5367" s="221"/>
      <c r="M5367" s="221"/>
    </row>
    <row r="5368" spans="5:13">
      <c r="E5368" s="221"/>
      <c r="F5368" s="221"/>
      <c r="G5368" s="221"/>
      <c r="H5368" s="221"/>
      <c r="I5368" s="221"/>
      <c r="J5368" s="221"/>
      <c r="K5368" s="221"/>
      <c r="L5368" s="221"/>
      <c r="M5368" s="221"/>
    </row>
    <row r="5369" spans="5:13">
      <c r="E5369" s="221"/>
      <c r="F5369" s="221"/>
      <c r="G5369" s="221"/>
      <c r="H5369" s="221"/>
      <c r="I5369" s="221"/>
      <c r="J5369" s="221"/>
      <c r="K5369" s="221"/>
      <c r="L5369" s="221"/>
      <c r="M5369" s="221"/>
    </row>
    <row r="5370" spans="5:13">
      <c r="E5370" s="221"/>
      <c r="F5370" s="221"/>
      <c r="G5370" s="221"/>
      <c r="H5370" s="221"/>
      <c r="I5370" s="221"/>
      <c r="J5370" s="221"/>
      <c r="K5370" s="221"/>
      <c r="L5370" s="221"/>
      <c r="M5370" s="221"/>
    </row>
    <row r="5371" spans="5:13">
      <c r="E5371" s="221"/>
      <c r="F5371" s="221"/>
      <c r="G5371" s="221"/>
      <c r="H5371" s="221"/>
      <c r="I5371" s="221"/>
      <c r="J5371" s="221"/>
      <c r="K5371" s="221"/>
      <c r="L5371" s="221"/>
      <c r="M5371" s="221"/>
    </row>
    <row r="5372" spans="5:13">
      <c r="E5372" s="221"/>
      <c r="F5372" s="221"/>
      <c r="G5372" s="221"/>
      <c r="H5372" s="221"/>
      <c r="I5372" s="221"/>
      <c r="J5372" s="221"/>
      <c r="K5372" s="221"/>
      <c r="L5372" s="221"/>
      <c r="M5372" s="221"/>
    </row>
    <row r="5373" spans="5:13">
      <c r="E5373" s="221"/>
      <c r="F5373" s="221"/>
      <c r="G5373" s="221"/>
      <c r="H5373" s="221"/>
      <c r="I5373" s="221"/>
      <c r="J5373" s="221"/>
      <c r="K5373" s="221"/>
      <c r="L5373" s="221"/>
      <c r="M5373" s="221"/>
    </row>
    <row r="5374" spans="5:13">
      <c r="E5374" s="221"/>
      <c r="F5374" s="221"/>
      <c r="G5374" s="221"/>
      <c r="H5374" s="221"/>
      <c r="I5374" s="221"/>
      <c r="J5374" s="221"/>
      <c r="K5374" s="221"/>
      <c r="L5374" s="221"/>
      <c r="M5374" s="221"/>
    </row>
    <row r="5375" spans="5:13">
      <c r="E5375" s="221"/>
      <c r="F5375" s="221"/>
      <c r="G5375" s="221"/>
      <c r="H5375" s="221"/>
      <c r="I5375" s="221"/>
      <c r="J5375" s="221"/>
      <c r="K5375" s="221"/>
      <c r="L5375" s="221"/>
      <c r="M5375" s="221"/>
    </row>
    <row r="5376" spans="5:13">
      <c r="E5376" s="221"/>
      <c r="F5376" s="221"/>
      <c r="G5376" s="221"/>
      <c r="H5376" s="221"/>
      <c r="I5376" s="221"/>
      <c r="J5376" s="221"/>
      <c r="K5376" s="221"/>
      <c r="L5376" s="221"/>
      <c r="M5376" s="221"/>
    </row>
    <row r="5377" spans="5:13">
      <c r="E5377" s="221"/>
      <c r="F5377" s="221"/>
      <c r="G5377" s="221"/>
      <c r="H5377" s="221"/>
      <c r="I5377" s="221"/>
      <c r="J5377" s="221"/>
      <c r="K5377" s="221"/>
      <c r="L5377" s="221"/>
      <c r="M5377" s="221"/>
    </row>
    <row r="5378" spans="5:13">
      <c r="E5378" s="221"/>
      <c r="F5378" s="221"/>
      <c r="G5378" s="221"/>
      <c r="H5378" s="221"/>
      <c r="I5378" s="221"/>
      <c r="J5378" s="221"/>
      <c r="K5378" s="221"/>
      <c r="L5378" s="221"/>
      <c r="M5378" s="221"/>
    </row>
    <row r="5379" spans="5:13">
      <c r="E5379" s="221"/>
      <c r="F5379" s="221"/>
      <c r="G5379" s="221"/>
      <c r="H5379" s="221"/>
      <c r="I5379" s="221"/>
      <c r="J5379" s="221"/>
      <c r="K5379" s="221"/>
      <c r="L5379" s="221"/>
      <c r="M5379" s="221"/>
    </row>
    <row r="5380" spans="5:13">
      <c r="E5380" s="221"/>
      <c r="F5380" s="221"/>
      <c r="G5380" s="221"/>
      <c r="H5380" s="221"/>
      <c r="I5380" s="221"/>
      <c r="J5380" s="221"/>
      <c r="K5380" s="221"/>
      <c r="L5380" s="221"/>
      <c r="M5380" s="221"/>
    </row>
    <row r="5381" spans="5:13">
      <c r="E5381" s="221"/>
      <c r="F5381" s="221"/>
      <c r="G5381" s="221"/>
      <c r="H5381" s="221"/>
      <c r="I5381" s="221"/>
      <c r="J5381" s="221"/>
      <c r="K5381" s="221"/>
      <c r="L5381" s="221"/>
      <c r="M5381" s="221"/>
    </row>
    <row r="5382" spans="5:13">
      <c r="E5382" s="221"/>
      <c r="F5382" s="221"/>
      <c r="G5382" s="221"/>
      <c r="H5382" s="221"/>
      <c r="I5382" s="221"/>
      <c r="J5382" s="221"/>
      <c r="K5382" s="221"/>
      <c r="L5382" s="221"/>
      <c r="M5382" s="221"/>
    </row>
    <row r="5383" spans="5:13">
      <c r="E5383" s="221"/>
      <c r="F5383" s="221"/>
      <c r="G5383" s="221"/>
      <c r="H5383" s="221"/>
      <c r="I5383" s="221"/>
      <c r="J5383" s="221"/>
      <c r="K5383" s="221"/>
      <c r="L5383" s="221"/>
      <c r="M5383" s="221"/>
    </row>
    <row r="5384" spans="5:13">
      <c r="E5384" s="221"/>
      <c r="F5384" s="221"/>
      <c r="G5384" s="221"/>
      <c r="H5384" s="221"/>
      <c r="I5384" s="221"/>
      <c r="J5384" s="221"/>
      <c r="K5384" s="221"/>
      <c r="L5384" s="221"/>
      <c r="M5384" s="221"/>
    </row>
    <row r="5385" spans="5:13">
      <c r="E5385" s="221"/>
      <c r="F5385" s="221"/>
      <c r="G5385" s="221"/>
      <c r="H5385" s="221"/>
      <c r="I5385" s="221"/>
      <c r="J5385" s="221"/>
      <c r="K5385" s="221"/>
      <c r="L5385" s="221"/>
      <c r="M5385" s="221"/>
    </row>
    <row r="5386" spans="5:13">
      <c r="E5386" s="221"/>
      <c r="F5386" s="221"/>
      <c r="G5386" s="221"/>
      <c r="H5386" s="221"/>
      <c r="I5386" s="221"/>
      <c r="J5386" s="221"/>
      <c r="K5386" s="221"/>
      <c r="L5386" s="221"/>
      <c r="M5386" s="221"/>
    </row>
    <row r="5387" spans="5:13">
      <c r="E5387" s="221"/>
      <c r="F5387" s="221"/>
      <c r="G5387" s="221"/>
      <c r="H5387" s="221"/>
      <c r="I5387" s="221"/>
      <c r="J5387" s="221"/>
      <c r="K5387" s="221"/>
      <c r="L5387" s="221"/>
      <c r="M5387" s="221"/>
    </row>
    <row r="5388" spans="5:13">
      <c r="E5388" s="221"/>
      <c r="F5388" s="221"/>
      <c r="G5388" s="221"/>
      <c r="H5388" s="221"/>
      <c r="I5388" s="221"/>
      <c r="J5388" s="221"/>
      <c r="K5388" s="221"/>
      <c r="L5388" s="221"/>
      <c r="M5388" s="221"/>
    </row>
    <row r="5389" spans="5:13">
      <c r="E5389" s="221"/>
      <c r="F5389" s="221"/>
      <c r="G5389" s="221"/>
      <c r="H5389" s="221"/>
      <c r="I5389" s="221"/>
      <c r="J5389" s="221"/>
      <c r="K5389" s="221"/>
      <c r="L5389" s="221"/>
      <c r="M5389" s="221"/>
    </row>
    <row r="5390" spans="5:13">
      <c r="E5390" s="221"/>
      <c r="F5390" s="221"/>
      <c r="G5390" s="221"/>
      <c r="H5390" s="221"/>
      <c r="I5390" s="221"/>
      <c r="J5390" s="221"/>
      <c r="K5390" s="221"/>
      <c r="L5390" s="221"/>
      <c r="M5390" s="221"/>
    </row>
    <row r="5391" spans="5:13">
      <c r="E5391" s="221"/>
      <c r="F5391" s="221"/>
      <c r="G5391" s="221"/>
      <c r="H5391" s="221"/>
      <c r="I5391" s="221"/>
      <c r="J5391" s="221"/>
      <c r="K5391" s="221"/>
      <c r="L5391" s="221"/>
      <c r="M5391" s="221"/>
    </row>
    <row r="5392" spans="5:13">
      <c r="E5392" s="221"/>
      <c r="F5392" s="221"/>
      <c r="G5392" s="221"/>
      <c r="H5392" s="221"/>
      <c r="I5392" s="221"/>
      <c r="J5392" s="221"/>
      <c r="K5392" s="221"/>
      <c r="L5392" s="221"/>
      <c r="M5392" s="221"/>
    </row>
    <row r="5393" spans="5:13">
      <c r="E5393" s="221"/>
      <c r="F5393" s="221"/>
      <c r="G5393" s="221"/>
      <c r="H5393" s="221"/>
      <c r="I5393" s="221"/>
      <c r="J5393" s="221"/>
      <c r="K5393" s="221"/>
      <c r="L5393" s="221"/>
      <c r="M5393" s="221"/>
    </row>
    <row r="5394" spans="5:13">
      <c r="E5394" s="221"/>
      <c r="F5394" s="221"/>
      <c r="G5394" s="221"/>
      <c r="H5394" s="221"/>
      <c r="I5394" s="221"/>
      <c r="J5394" s="221"/>
      <c r="K5394" s="221"/>
      <c r="L5394" s="221"/>
      <c r="M5394" s="221"/>
    </row>
    <row r="5395" spans="5:13">
      <c r="E5395" s="221"/>
      <c r="F5395" s="221"/>
      <c r="G5395" s="221"/>
      <c r="H5395" s="221"/>
      <c r="I5395" s="221"/>
      <c r="J5395" s="221"/>
      <c r="K5395" s="221"/>
      <c r="L5395" s="221"/>
      <c r="M5395" s="221"/>
    </row>
    <row r="5396" spans="5:13">
      <c r="E5396" s="221"/>
      <c r="F5396" s="221"/>
      <c r="G5396" s="221"/>
      <c r="H5396" s="221"/>
      <c r="I5396" s="221"/>
      <c r="J5396" s="221"/>
      <c r="K5396" s="221"/>
      <c r="L5396" s="221"/>
      <c r="M5396" s="221"/>
    </row>
    <row r="5397" spans="5:13">
      <c r="E5397" s="221"/>
      <c r="F5397" s="221"/>
      <c r="G5397" s="221"/>
      <c r="H5397" s="221"/>
      <c r="I5397" s="221"/>
      <c r="J5397" s="221"/>
      <c r="K5397" s="221"/>
      <c r="L5397" s="221"/>
      <c r="M5397" s="221"/>
    </row>
    <row r="5398" spans="5:13">
      <c r="E5398" s="221"/>
      <c r="F5398" s="221"/>
      <c r="G5398" s="221"/>
      <c r="H5398" s="221"/>
      <c r="I5398" s="221"/>
      <c r="J5398" s="221"/>
      <c r="K5398" s="221"/>
      <c r="L5398" s="221"/>
      <c r="M5398" s="221"/>
    </row>
    <row r="5399" spans="5:13">
      <c r="E5399" s="221"/>
      <c r="F5399" s="221"/>
      <c r="G5399" s="221"/>
      <c r="H5399" s="221"/>
      <c r="I5399" s="221"/>
      <c r="J5399" s="221"/>
      <c r="K5399" s="221"/>
      <c r="L5399" s="221"/>
      <c r="M5399" s="221"/>
    </row>
    <row r="5400" spans="5:13">
      <c r="E5400" s="221"/>
      <c r="F5400" s="221"/>
      <c r="G5400" s="221"/>
      <c r="H5400" s="221"/>
      <c r="I5400" s="221"/>
      <c r="J5400" s="221"/>
      <c r="K5400" s="221"/>
      <c r="L5400" s="221"/>
      <c r="M5400" s="221"/>
    </row>
    <row r="5401" spans="5:13">
      <c r="E5401" s="221"/>
      <c r="F5401" s="221"/>
      <c r="G5401" s="221"/>
      <c r="H5401" s="221"/>
      <c r="I5401" s="221"/>
      <c r="J5401" s="221"/>
      <c r="K5401" s="221"/>
      <c r="L5401" s="221"/>
      <c r="M5401" s="221"/>
    </row>
    <row r="5402" spans="5:13">
      <c r="E5402" s="221"/>
      <c r="F5402" s="221"/>
      <c r="G5402" s="221"/>
      <c r="H5402" s="221"/>
      <c r="I5402" s="221"/>
      <c r="J5402" s="221"/>
      <c r="K5402" s="221"/>
      <c r="L5402" s="221"/>
      <c r="M5402" s="221"/>
    </row>
    <row r="5403" spans="5:13">
      <c r="E5403" s="221"/>
      <c r="F5403" s="221"/>
      <c r="G5403" s="221"/>
      <c r="H5403" s="221"/>
      <c r="I5403" s="221"/>
      <c r="J5403" s="221"/>
      <c r="K5403" s="221"/>
      <c r="L5403" s="221"/>
      <c r="M5403" s="221"/>
    </row>
    <row r="5404" spans="5:13">
      <c r="E5404" s="221"/>
      <c r="F5404" s="221"/>
      <c r="G5404" s="221"/>
      <c r="H5404" s="221"/>
      <c r="I5404" s="221"/>
      <c r="J5404" s="221"/>
      <c r="K5404" s="221"/>
      <c r="L5404" s="221"/>
      <c r="M5404" s="221"/>
    </row>
    <row r="5405" spans="5:13">
      <c r="E5405" s="221"/>
      <c r="F5405" s="221"/>
      <c r="G5405" s="221"/>
      <c r="H5405" s="221"/>
      <c r="I5405" s="221"/>
      <c r="J5405" s="221"/>
      <c r="K5405" s="221"/>
      <c r="L5405" s="221"/>
      <c r="M5405" s="221"/>
    </row>
    <row r="5406" spans="5:13">
      <c r="E5406" s="221"/>
      <c r="F5406" s="221"/>
      <c r="G5406" s="221"/>
      <c r="H5406" s="221"/>
      <c r="I5406" s="221"/>
      <c r="J5406" s="221"/>
      <c r="K5406" s="221"/>
      <c r="L5406" s="221"/>
      <c r="M5406" s="221"/>
    </row>
    <row r="5407" spans="5:13">
      <c r="E5407" s="221"/>
      <c r="F5407" s="221"/>
      <c r="G5407" s="221"/>
      <c r="H5407" s="221"/>
      <c r="I5407" s="221"/>
      <c r="J5407" s="221"/>
      <c r="K5407" s="221"/>
      <c r="L5407" s="221"/>
      <c r="M5407" s="221"/>
    </row>
    <row r="5408" spans="5:13">
      <c r="E5408" s="221"/>
      <c r="F5408" s="221"/>
      <c r="G5408" s="221"/>
      <c r="H5408" s="221"/>
      <c r="I5408" s="221"/>
      <c r="J5408" s="221"/>
      <c r="K5408" s="221"/>
      <c r="L5408" s="221"/>
      <c r="M5408" s="221"/>
    </row>
    <row r="5409" spans="5:13">
      <c r="E5409" s="221"/>
      <c r="F5409" s="221"/>
      <c r="G5409" s="221"/>
      <c r="H5409" s="221"/>
      <c r="I5409" s="221"/>
      <c r="J5409" s="221"/>
      <c r="K5409" s="221"/>
      <c r="L5409" s="221"/>
      <c r="M5409" s="221"/>
    </row>
    <row r="5410" spans="5:13">
      <c r="E5410" s="221"/>
      <c r="F5410" s="221"/>
      <c r="G5410" s="221"/>
      <c r="H5410" s="221"/>
      <c r="I5410" s="221"/>
      <c r="J5410" s="221"/>
      <c r="K5410" s="221"/>
      <c r="L5410" s="221"/>
      <c r="M5410" s="221"/>
    </row>
    <row r="5411" spans="5:13">
      <c r="E5411" s="221"/>
      <c r="F5411" s="221"/>
      <c r="G5411" s="221"/>
      <c r="H5411" s="221"/>
      <c r="I5411" s="221"/>
      <c r="J5411" s="221"/>
      <c r="K5411" s="221"/>
      <c r="L5411" s="221"/>
      <c r="M5411" s="221"/>
    </row>
    <row r="5412" spans="5:13">
      <c r="E5412" s="221"/>
      <c r="F5412" s="221"/>
      <c r="G5412" s="221"/>
      <c r="H5412" s="221"/>
      <c r="I5412" s="221"/>
      <c r="J5412" s="221"/>
      <c r="K5412" s="221"/>
      <c r="L5412" s="221"/>
      <c r="M5412" s="221"/>
    </row>
    <row r="5413" spans="5:13">
      <c r="E5413" s="221"/>
      <c r="F5413" s="221"/>
      <c r="G5413" s="221"/>
      <c r="H5413" s="221"/>
      <c r="I5413" s="221"/>
      <c r="J5413" s="221"/>
      <c r="K5413" s="221"/>
      <c r="L5413" s="221"/>
      <c r="M5413" s="221"/>
    </row>
    <row r="5414" spans="5:13">
      <c r="E5414" s="221"/>
      <c r="F5414" s="221"/>
      <c r="G5414" s="221"/>
      <c r="H5414" s="221"/>
      <c r="I5414" s="221"/>
      <c r="J5414" s="221"/>
      <c r="K5414" s="221"/>
      <c r="L5414" s="221"/>
      <c r="M5414" s="221"/>
    </row>
    <row r="5415" spans="5:13">
      <c r="E5415" s="221"/>
      <c r="F5415" s="221"/>
      <c r="G5415" s="221"/>
      <c r="H5415" s="221"/>
      <c r="I5415" s="221"/>
      <c r="J5415" s="221"/>
      <c r="K5415" s="221"/>
      <c r="L5415" s="221"/>
      <c r="M5415" s="221"/>
    </row>
    <row r="5416" spans="5:13">
      <c r="E5416" s="221"/>
      <c r="F5416" s="221"/>
      <c r="G5416" s="221"/>
      <c r="H5416" s="221"/>
      <c r="I5416" s="221"/>
      <c r="J5416" s="221"/>
      <c r="K5416" s="221"/>
      <c r="L5416" s="221"/>
      <c r="M5416" s="221"/>
    </row>
    <row r="5417" spans="5:13">
      <c r="E5417" s="221"/>
      <c r="F5417" s="221"/>
      <c r="G5417" s="221"/>
      <c r="H5417" s="221"/>
      <c r="I5417" s="221"/>
      <c r="J5417" s="221"/>
      <c r="K5417" s="221"/>
      <c r="L5417" s="221"/>
      <c r="M5417" s="221"/>
    </row>
    <row r="5418" spans="5:13">
      <c r="E5418" s="221"/>
      <c r="F5418" s="221"/>
      <c r="G5418" s="221"/>
      <c r="H5418" s="221"/>
      <c r="I5418" s="221"/>
      <c r="J5418" s="221"/>
      <c r="K5418" s="221"/>
      <c r="L5418" s="221"/>
      <c r="M5418" s="221"/>
    </row>
    <row r="5419" spans="5:13">
      <c r="E5419" s="221"/>
      <c r="F5419" s="221"/>
      <c r="G5419" s="221"/>
      <c r="H5419" s="221"/>
      <c r="I5419" s="221"/>
      <c r="J5419" s="221"/>
      <c r="K5419" s="221"/>
      <c r="L5419" s="221"/>
      <c r="M5419" s="221"/>
    </row>
    <row r="5420" spans="5:13">
      <c r="E5420" s="221"/>
      <c r="F5420" s="221"/>
      <c r="G5420" s="221"/>
      <c r="H5420" s="221"/>
      <c r="I5420" s="221"/>
      <c r="J5420" s="221"/>
      <c r="K5420" s="221"/>
      <c r="L5420" s="221"/>
      <c r="M5420" s="221"/>
    </row>
    <row r="5421" spans="5:13">
      <c r="E5421" s="221"/>
      <c r="F5421" s="221"/>
      <c r="G5421" s="221"/>
      <c r="H5421" s="221"/>
      <c r="I5421" s="221"/>
      <c r="J5421" s="221"/>
      <c r="K5421" s="221"/>
      <c r="L5421" s="221"/>
      <c r="M5421" s="221"/>
    </row>
    <row r="5422" spans="5:13">
      <c r="E5422" s="221"/>
      <c r="F5422" s="221"/>
      <c r="G5422" s="221"/>
      <c r="H5422" s="221"/>
      <c r="I5422" s="221"/>
      <c r="J5422" s="221"/>
      <c r="K5422" s="221"/>
      <c r="L5422" s="221"/>
      <c r="M5422" s="221"/>
    </row>
    <row r="5423" spans="5:13">
      <c r="E5423" s="221"/>
      <c r="F5423" s="221"/>
      <c r="G5423" s="221"/>
      <c r="H5423" s="221"/>
      <c r="I5423" s="221"/>
      <c r="J5423" s="221"/>
      <c r="K5423" s="221"/>
      <c r="L5423" s="221"/>
      <c r="M5423" s="221"/>
    </row>
    <row r="5424" spans="5:13">
      <c r="E5424" s="221"/>
      <c r="F5424" s="221"/>
      <c r="G5424" s="221"/>
      <c r="H5424" s="221"/>
      <c r="I5424" s="221"/>
      <c r="J5424" s="221"/>
      <c r="K5424" s="221"/>
      <c r="L5424" s="221"/>
      <c r="M5424" s="221"/>
    </row>
    <row r="5425" spans="5:13">
      <c r="E5425" s="221"/>
      <c r="F5425" s="221"/>
      <c r="G5425" s="221"/>
      <c r="H5425" s="221"/>
      <c r="I5425" s="221"/>
      <c r="J5425" s="221"/>
      <c r="K5425" s="221"/>
      <c r="L5425" s="221"/>
      <c r="M5425" s="221"/>
    </row>
    <row r="5426" spans="5:13">
      <c r="E5426" s="221"/>
      <c r="F5426" s="221"/>
      <c r="G5426" s="221"/>
      <c r="H5426" s="221"/>
      <c r="I5426" s="221"/>
      <c r="J5426" s="221"/>
      <c r="K5426" s="221"/>
      <c r="L5426" s="221"/>
      <c r="M5426" s="221"/>
    </row>
    <row r="5427" spans="5:13">
      <c r="E5427" s="221"/>
      <c r="F5427" s="221"/>
      <c r="G5427" s="221"/>
      <c r="H5427" s="221"/>
      <c r="I5427" s="221"/>
      <c r="J5427" s="221"/>
      <c r="K5427" s="221"/>
      <c r="L5427" s="221"/>
      <c r="M5427" s="221"/>
    </row>
    <row r="5428" spans="5:13">
      <c r="E5428" s="221"/>
      <c r="F5428" s="221"/>
      <c r="G5428" s="221"/>
      <c r="H5428" s="221"/>
      <c r="I5428" s="221"/>
      <c r="J5428" s="221"/>
      <c r="K5428" s="221"/>
      <c r="L5428" s="221"/>
      <c r="M5428" s="221"/>
    </row>
    <row r="5429" spans="5:13">
      <c r="E5429" s="221"/>
      <c r="F5429" s="221"/>
      <c r="G5429" s="221"/>
      <c r="H5429" s="221"/>
      <c r="I5429" s="221"/>
      <c r="J5429" s="221"/>
      <c r="K5429" s="221"/>
      <c r="L5429" s="221"/>
      <c r="M5429" s="221"/>
    </row>
    <row r="5430" spans="5:13">
      <c r="E5430" s="221"/>
      <c r="F5430" s="221"/>
      <c r="G5430" s="221"/>
      <c r="H5430" s="221"/>
      <c r="I5430" s="221"/>
      <c r="J5430" s="221"/>
      <c r="K5430" s="221"/>
      <c r="L5430" s="221"/>
      <c r="M5430" s="221"/>
    </row>
    <row r="5431" spans="5:13">
      <c r="E5431" s="221"/>
      <c r="F5431" s="221"/>
      <c r="G5431" s="221"/>
      <c r="H5431" s="221"/>
      <c r="I5431" s="221"/>
      <c r="J5431" s="221"/>
      <c r="K5431" s="221"/>
      <c r="L5431" s="221"/>
      <c r="M5431" s="221"/>
    </row>
    <row r="5432" spans="5:13">
      <c r="E5432" s="221"/>
      <c r="F5432" s="221"/>
      <c r="G5432" s="221"/>
      <c r="H5432" s="221"/>
      <c r="I5432" s="221"/>
      <c r="J5432" s="221"/>
      <c r="K5432" s="221"/>
      <c r="L5432" s="221"/>
      <c r="M5432" s="221"/>
    </row>
    <row r="5433" spans="5:13">
      <c r="E5433" s="221"/>
      <c r="F5433" s="221"/>
      <c r="G5433" s="221"/>
      <c r="H5433" s="221"/>
      <c r="I5433" s="221"/>
      <c r="J5433" s="221"/>
      <c r="K5433" s="221"/>
      <c r="L5433" s="221"/>
      <c r="M5433" s="221"/>
    </row>
    <row r="5434" spans="5:13">
      <c r="E5434" s="221"/>
      <c r="F5434" s="221"/>
      <c r="G5434" s="221"/>
      <c r="H5434" s="221"/>
      <c r="I5434" s="221"/>
      <c r="J5434" s="221"/>
      <c r="K5434" s="221"/>
      <c r="L5434" s="221"/>
      <c r="M5434" s="221"/>
    </row>
    <row r="5435" spans="5:13">
      <c r="E5435" s="221"/>
      <c r="F5435" s="221"/>
      <c r="G5435" s="221"/>
      <c r="H5435" s="221"/>
      <c r="I5435" s="221"/>
      <c r="J5435" s="221"/>
      <c r="K5435" s="221"/>
      <c r="L5435" s="221"/>
      <c r="M5435" s="221"/>
    </row>
    <row r="5436" spans="5:13">
      <c r="E5436" s="221"/>
      <c r="F5436" s="221"/>
      <c r="G5436" s="221"/>
      <c r="H5436" s="221"/>
      <c r="I5436" s="221"/>
      <c r="J5436" s="221"/>
      <c r="K5436" s="221"/>
      <c r="L5436" s="221"/>
      <c r="M5436" s="221"/>
    </row>
    <row r="5437" spans="5:13">
      <c r="E5437" s="221"/>
      <c r="F5437" s="221"/>
      <c r="G5437" s="221"/>
      <c r="H5437" s="221"/>
      <c r="I5437" s="221"/>
      <c r="J5437" s="221"/>
      <c r="K5437" s="221"/>
      <c r="L5437" s="221"/>
      <c r="M5437" s="221"/>
    </row>
    <row r="5438" spans="5:13">
      <c r="E5438" s="221"/>
      <c r="F5438" s="221"/>
      <c r="G5438" s="221"/>
      <c r="H5438" s="221"/>
      <c r="I5438" s="221"/>
      <c r="J5438" s="221"/>
      <c r="K5438" s="221"/>
      <c r="L5438" s="221"/>
      <c r="M5438" s="221"/>
    </row>
    <row r="5439" spans="5:13">
      <c r="E5439" s="221"/>
      <c r="F5439" s="221"/>
      <c r="G5439" s="221"/>
      <c r="H5439" s="221"/>
      <c r="I5439" s="221"/>
      <c r="J5439" s="221"/>
      <c r="K5439" s="221"/>
      <c r="L5439" s="221"/>
      <c r="M5439" s="221"/>
    </row>
    <row r="5440" spans="5:13">
      <c r="E5440" s="221"/>
      <c r="F5440" s="221"/>
      <c r="G5440" s="221"/>
      <c r="H5440" s="221"/>
      <c r="I5440" s="221"/>
      <c r="J5440" s="221"/>
      <c r="K5440" s="221"/>
      <c r="L5440" s="221"/>
      <c r="M5440" s="221"/>
    </row>
    <row r="5441" spans="5:13">
      <c r="E5441" s="221"/>
      <c r="F5441" s="221"/>
      <c r="G5441" s="221"/>
      <c r="H5441" s="221"/>
      <c r="I5441" s="221"/>
      <c r="J5441" s="221"/>
      <c r="K5441" s="221"/>
      <c r="L5441" s="221"/>
      <c r="M5441" s="221"/>
    </row>
    <row r="5442" spans="5:13">
      <c r="E5442" s="221"/>
      <c r="F5442" s="221"/>
      <c r="G5442" s="221"/>
      <c r="H5442" s="221"/>
      <c r="I5442" s="221"/>
      <c r="J5442" s="221"/>
      <c r="K5442" s="221"/>
      <c r="L5442" s="221"/>
      <c r="M5442" s="221"/>
    </row>
    <row r="5443" spans="5:13">
      <c r="E5443" s="221"/>
      <c r="F5443" s="221"/>
      <c r="G5443" s="221"/>
      <c r="H5443" s="221"/>
      <c r="I5443" s="221"/>
      <c r="J5443" s="221"/>
      <c r="K5443" s="221"/>
      <c r="L5443" s="221"/>
      <c r="M5443" s="221"/>
    </row>
    <row r="5444" spans="5:13">
      <c r="E5444" s="221"/>
      <c r="F5444" s="221"/>
      <c r="G5444" s="221"/>
      <c r="H5444" s="221"/>
      <c r="I5444" s="221"/>
      <c r="J5444" s="221"/>
      <c r="K5444" s="221"/>
      <c r="L5444" s="221"/>
      <c r="M5444" s="221"/>
    </row>
    <row r="5445" spans="5:13">
      <c r="E5445" s="221"/>
      <c r="F5445" s="221"/>
      <c r="G5445" s="221"/>
      <c r="H5445" s="221"/>
      <c r="I5445" s="221"/>
      <c r="J5445" s="221"/>
      <c r="K5445" s="221"/>
      <c r="L5445" s="221"/>
      <c r="M5445" s="221"/>
    </row>
    <row r="5446" spans="5:13">
      <c r="E5446" s="221"/>
      <c r="F5446" s="221"/>
      <c r="G5446" s="221"/>
      <c r="H5446" s="221"/>
      <c r="I5446" s="221"/>
      <c r="J5446" s="221"/>
      <c r="K5446" s="221"/>
      <c r="L5446" s="221"/>
      <c r="M5446" s="221"/>
    </row>
    <row r="5447" spans="5:13">
      <c r="E5447" s="221"/>
      <c r="F5447" s="221"/>
      <c r="G5447" s="221"/>
      <c r="H5447" s="221"/>
      <c r="I5447" s="221"/>
      <c r="J5447" s="221"/>
      <c r="K5447" s="221"/>
      <c r="L5447" s="221"/>
      <c r="M5447" s="221"/>
    </row>
    <row r="5448" spans="5:13">
      <c r="E5448" s="221"/>
      <c r="F5448" s="221"/>
      <c r="G5448" s="221"/>
      <c r="H5448" s="221"/>
      <c r="I5448" s="221"/>
      <c r="J5448" s="221"/>
      <c r="K5448" s="221"/>
      <c r="L5448" s="221"/>
      <c r="M5448" s="221"/>
    </row>
    <row r="5449" spans="5:13">
      <c r="E5449" s="221"/>
      <c r="F5449" s="221"/>
      <c r="G5449" s="221"/>
      <c r="H5449" s="221"/>
      <c r="I5449" s="221"/>
      <c r="J5449" s="221"/>
      <c r="K5449" s="221"/>
      <c r="L5449" s="221"/>
      <c r="M5449" s="221"/>
    </row>
    <row r="5450" spans="5:13">
      <c r="E5450" s="221"/>
      <c r="F5450" s="221"/>
      <c r="G5450" s="221"/>
      <c r="H5450" s="221"/>
      <c r="I5450" s="221"/>
      <c r="J5450" s="221"/>
      <c r="K5450" s="221"/>
      <c r="L5450" s="221"/>
      <c r="M5450" s="221"/>
    </row>
    <row r="5451" spans="5:13">
      <c r="E5451" s="221"/>
      <c r="F5451" s="221"/>
      <c r="G5451" s="221"/>
      <c r="H5451" s="221"/>
      <c r="I5451" s="221"/>
      <c r="J5451" s="221"/>
      <c r="K5451" s="221"/>
      <c r="L5451" s="221"/>
      <c r="M5451" s="221"/>
    </row>
    <row r="5452" spans="5:13">
      <c r="E5452" s="221"/>
      <c r="F5452" s="221"/>
      <c r="G5452" s="221"/>
      <c r="H5452" s="221"/>
      <c r="I5452" s="221"/>
      <c r="J5452" s="221"/>
      <c r="K5452" s="221"/>
      <c r="L5452" s="221"/>
      <c r="M5452" s="221"/>
    </row>
    <row r="5453" spans="5:13">
      <c r="E5453" s="221"/>
      <c r="F5453" s="221"/>
      <c r="G5453" s="221"/>
      <c r="H5453" s="221"/>
      <c r="I5453" s="221"/>
      <c r="J5453" s="221"/>
      <c r="K5453" s="221"/>
      <c r="L5453" s="221"/>
      <c r="M5453" s="221"/>
    </row>
    <row r="5454" spans="5:13">
      <c r="E5454" s="221"/>
      <c r="F5454" s="221"/>
      <c r="G5454" s="221"/>
      <c r="H5454" s="221"/>
      <c r="I5454" s="221"/>
      <c r="J5454" s="221"/>
      <c r="K5454" s="221"/>
      <c r="L5454" s="221"/>
      <c r="M5454" s="221"/>
    </row>
    <row r="5455" spans="5:13">
      <c r="E5455" s="221"/>
      <c r="F5455" s="221"/>
      <c r="G5455" s="221"/>
      <c r="H5455" s="221"/>
      <c r="I5455" s="221"/>
      <c r="J5455" s="221"/>
      <c r="K5455" s="221"/>
      <c r="L5455" s="221"/>
      <c r="M5455" s="221"/>
    </row>
    <row r="5456" spans="5:13">
      <c r="E5456" s="221"/>
      <c r="F5456" s="221"/>
      <c r="G5456" s="221"/>
      <c r="H5456" s="221"/>
      <c r="I5456" s="221"/>
      <c r="J5456" s="221"/>
      <c r="K5456" s="221"/>
      <c r="L5456" s="221"/>
      <c r="M5456" s="221"/>
    </row>
    <row r="5457" spans="5:13">
      <c r="E5457" s="221"/>
      <c r="F5457" s="221"/>
      <c r="G5457" s="221"/>
      <c r="H5457" s="221"/>
      <c r="I5457" s="221"/>
      <c r="J5457" s="221"/>
      <c r="K5457" s="221"/>
      <c r="L5457" s="221"/>
      <c r="M5457" s="221"/>
    </row>
    <row r="5458" spans="5:13">
      <c r="E5458" s="221"/>
      <c r="F5458" s="221"/>
      <c r="G5458" s="221"/>
      <c r="H5458" s="221"/>
      <c r="I5458" s="221"/>
      <c r="J5458" s="221"/>
      <c r="K5458" s="221"/>
      <c r="L5458" s="221"/>
      <c r="M5458" s="221"/>
    </row>
    <row r="5459" spans="5:13">
      <c r="E5459" s="221"/>
      <c r="F5459" s="221"/>
      <c r="G5459" s="221"/>
      <c r="H5459" s="221"/>
      <c r="I5459" s="221"/>
      <c r="J5459" s="221"/>
      <c r="K5459" s="221"/>
      <c r="L5459" s="221"/>
      <c r="M5459" s="221"/>
    </row>
    <row r="5460" spans="5:13">
      <c r="E5460" s="221"/>
      <c r="F5460" s="221"/>
      <c r="G5460" s="221"/>
      <c r="H5460" s="221"/>
      <c r="I5460" s="221"/>
      <c r="J5460" s="221"/>
      <c r="K5460" s="221"/>
      <c r="L5460" s="221"/>
      <c r="M5460" s="221"/>
    </row>
    <row r="5461" spans="5:13">
      <c r="E5461" s="221"/>
      <c r="F5461" s="221"/>
      <c r="G5461" s="221"/>
      <c r="H5461" s="221"/>
      <c r="I5461" s="221"/>
      <c r="J5461" s="221"/>
      <c r="K5461" s="221"/>
      <c r="L5461" s="221"/>
      <c r="M5461" s="221"/>
    </row>
    <row r="5462" spans="5:13">
      <c r="E5462" s="221"/>
      <c r="F5462" s="221"/>
      <c r="G5462" s="221"/>
      <c r="H5462" s="221"/>
      <c r="I5462" s="221"/>
      <c r="J5462" s="221"/>
      <c r="K5462" s="221"/>
      <c r="L5462" s="221"/>
      <c r="M5462" s="221"/>
    </row>
    <row r="5463" spans="5:13">
      <c r="E5463" s="221"/>
      <c r="F5463" s="221"/>
      <c r="G5463" s="221"/>
      <c r="H5463" s="221"/>
      <c r="I5463" s="221"/>
      <c r="J5463" s="221"/>
      <c r="K5463" s="221"/>
      <c r="L5463" s="221"/>
      <c r="M5463" s="221"/>
    </row>
    <row r="5464" spans="5:13">
      <c r="E5464" s="221"/>
      <c r="F5464" s="221"/>
      <c r="G5464" s="221"/>
      <c r="H5464" s="221"/>
      <c r="I5464" s="221"/>
      <c r="J5464" s="221"/>
      <c r="K5464" s="221"/>
      <c r="L5464" s="221"/>
      <c r="M5464" s="221"/>
    </row>
    <row r="5465" spans="5:13">
      <c r="E5465" s="221"/>
      <c r="F5465" s="221"/>
      <c r="G5465" s="221"/>
      <c r="H5465" s="221"/>
      <c r="I5465" s="221"/>
      <c r="J5465" s="221"/>
      <c r="K5465" s="221"/>
      <c r="L5465" s="221"/>
      <c r="M5465" s="221"/>
    </row>
    <row r="5466" spans="5:13">
      <c r="E5466" s="221"/>
      <c r="F5466" s="221"/>
      <c r="G5466" s="221"/>
      <c r="H5466" s="221"/>
      <c r="I5466" s="221"/>
      <c r="J5466" s="221"/>
      <c r="K5466" s="221"/>
      <c r="L5466" s="221"/>
      <c r="M5466" s="221"/>
    </row>
    <row r="5467" spans="5:13">
      <c r="E5467" s="221"/>
      <c r="F5467" s="221"/>
      <c r="G5467" s="221"/>
      <c r="H5467" s="221"/>
      <c r="I5467" s="221"/>
      <c r="J5467" s="221"/>
      <c r="K5467" s="221"/>
      <c r="L5467" s="221"/>
      <c r="M5467" s="221"/>
    </row>
    <row r="5468" spans="5:13">
      <c r="E5468" s="221"/>
      <c r="F5468" s="221"/>
      <c r="G5468" s="221"/>
      <c r="H5468" s="221"/>
      <c r="I5468" s="221"/>
      <c r="J5468" s="221"/>
      <c r="K5468" s="221"/>
      <c r="L5468" s="221"/>
      <c r="M5468" s="221"/>
    </row>
    <row r="5469" spans="5:13">
      <c r="E5469" s="221"/>
      <c r="F5469" s="221"/>
      <c r="G5469" s="221"/>
      <c r="H5469" s="221"/>
      <c r="I5469" s="221"/>
      <c r="J5469" s="221"/>
      <c r="K5469" s="221"/>
      <c r="L5469" s="221"/>
      <c r="M5469" s="221"/>
    </row>
    <row r="5470" spans="5:13">
      <c r="E5470" s="221"/>
      <c r="F5470" s="221"/>
      <c r="G5470" s="221"/>
      <c r="H5470" s="221"/>
      <c r="I5470" s="221"/>
      <c r="J5470" s="221"/>
      <c r="K5470" s="221"/>
      <c r="L5470" s="221"/>
      <c r="M5470" s="221"/>
    </row>
    <row r="5471" spans="5:13">
      <c r="E5471" s="221"/>
      <c r="F5471" s="221"/>
      <c r="G5471" s="221"/>
      <c r="H5471" s="221"/>
      <c r="I5471" s="221"/>
      <c r="J5471" s="221"/>
      <c r="K5471" s="221"/>
      <c r="L5471" s="221"/>
      <c r="M5471" s="221"/>
    </row>
    <row r="5472" spans="5:13">
      <c r="E5472" s="221"/>
      <c r="F5472" s="221"/>
      <c r="G5472" s="221"/>
      <c r="H5472" s="221"/>
      <c r="I5472" s="221"/>
      <c r="J5472" s="221"/>
      <c r="K5472" s="221"/>
      <c r="L5472" s="221"/>
      <c r="M5472" s="221"/>
    </row>
    <row r="5473" spans="5:13">
      <c r="E5473" s="221"/>
      <c r="F5473" s="221"/>
      <c r="G5473" s="221"/>
      <c r="H5473" s="221"/>
      <c r="I5473" s="221"/>
      <c r="J5473" s="221"/>
      <c r="K5473" s="221"/>
      <c r="L5473" s="221"/>
      <c r="M5473" s="221"/>
    </row>
    <row r="5474" spans="5:13">
      <c r="E5474" s="221"/>
      <c r="F5474" s="221"/>
      <c r="G5474" s="221"/>
      <c r="H5474" s="221"/>
      <c r="I5474" s="221"/>
      <c r="J5474" s="221"/>
      <c r="K5474" s="221"/>
      <c r="L5474" s="221"/>
      <c r="M5474" s="221"/>
    </row>
    <row r="5475" spans="5:13">
      <c r="E5475" s="221"/>
      <c r="F5475" s="221"/>
      <c r="G5475" s="221"/>
      <c r="H5475" s="221"/>
      <c r="I5475" s="221"/>
      <c r="J5475" s="221"/>
      <c r="K5475" s="221"/>
      <c r="L5475" s="221"/>
      <c r="M5475" s="221"/>
    </row>
    <row r="5476" spans="5:13">
      <c r="E5476" s="221"/>
      <c r="F5476" s="221"/>
      <c r="G5476" s="221"/>
      <c r="H5476" s="221"/>
      <c r="I5476" s="221"/>
      <c r="J5476" s="221"/>
      <c r="K5476" s="221"/>
      <c r="L5476" s="221"/>
      <c r="M5476" s="221"/>
    </row>
    <row r="5477" spans="5:13">
      <c r="E5477" s="221"/>
      <c r="F5477" s="221"/>
      <c r="G5477" s="221"/>
      <c r="H5477" s="221"/>
      <c r="I5477" s="221"/>
      <c r="J5477" s="221"/>
      <c r="K5477" s="221"/>
      <c r="L5477" s="221"/>
      <c r="M5477" s="221"/>
    </row>
    <row r="5478" spans="5:13">
      <c r="E5478" s="221"/>
      <c r="F5478" s="221"/>
      <c r="G5478" s="221"/>
      <c r="H5478" s="221"/>
      <c r="I5478" s="221"/>
      <c r="J5478" s="221"/>
      <c r="K5478" s="221"/>
      <c r="L5478" s="221"/>
      <c r="M5478" s="221"/>
    </row>
    <row r="5479" spans="5:13">
      <c r="E5479" s="221"/>
      <c r="F5479" s="221"/>
      <c r="G5479" s="221"/>
      <c r="H5479" s="221"/>
      <c r="I5479" s="221"/>
      <c r="J5479" s="221"/>
      <c r="K5479" s="221"/>
      <c r="L5479" s="221"/>
      <c r="M5479" s="221"/>
    </row>
    <row r="5480" spans="5:13">
      <c r="E5480" s="221"/>
      <c r="F5480" s="221"/>
      <c r="G5480" s="221"/>
      <c r="H5480" s="221"/>
      <c r="I5480" s="221"/>
      <c r="J5480" s="221"/>
      <c r="K5480" s="221"/>
      <c r="L5480" s="221"/>
      <c r="M5480" s="221"/>
    </row>
    <row r="5481" spans="5:13">
      <c r="E5481" s="221"/>
      <c r="F5481" s="221"/>
      <c r="G5481" s="221"/>
      <c r="H5481" s="221"/>
      <c r="I5481" s="221"/>
      <c r="J5481" s="221"/>
      <c r="K5481" s="221"/>
      <c r="L5481" s="221"/>
      <c r="M5481" s="221"/>
    </row>
    <row r="5482" spans="5:13">
      <c r="E5482" s="221"/>
      <c r="F5482" s="221"/>
      <c r="G5482" s="221"/>
      <c r="H5482" s="221"/>
      <c r="I5482" s="221"/>
      <c r="J5482" s="221"/>
      <c r="K5482" s="221"/>
      <c r="L5482" s="221"/>
      <c r="M5482" s="221"/>
    </row>
    <row r="5483" spans="5:13">
      <c r="E5483" s="221"/>
      <c r="F5483" s="221"/>
      <c r="G5483" s="221"/>
      <c r="H5483" s="221"/>
      <c r="I5483" s="221"/>
      <c r="J5483" s="221"/>
      <c r="K5483" s="221"/>
      <c r="L5483" s="221"/>
      <c r="M5483" s="221"/>
    </row>
    <row r="5484" spans="5:13">
      <c r="E5484" s="221"/>
      <c r="F5484" s="221"/>
      <c r="G5484" s="221"/>
      <c r="H5484" s="221"/>
      <c r="I5484" s="221"/>
      <c r="J5484" s="221"/>
      <c r="K5484" s="221"/>
      <c r="L5484" s="221"/>
      <c r="M5484" s="221"/>
    </row>
    <row r="5485" spans="5:13">
      <c r="E5485" s="221"/>
      <c r="F5485" s="221"/>
      <c r="G5485" s="221"/>
      <c r="H5485" s="221"/>
      <c r="I5485" s="221"/>
      <c r="J5485" s="221"/>
      <c r="K5485" s="221"/>
      <c r="L5485" s="221"/>
      <c r="M5485" s="221"/>
    </row>
    <row r="5486" spans="5:13">
      <c r="E5486" s="221"/>
      <c r="F5486" s="221"/>
      <c r="G5486" s="221"/>
      <c r="H5486" s="221"/>
      <c r="I5486" s="221"/>
      <c r="J5486" s="221"/>
      <c r="K5486" s="221"/>
      <c r="L5486" s="221"/>
      <c r="M5486" s="221"/>
    </row>
    <row r="5487" spans="5:13">
      <c r="E5487" s="221"/>
      <c r="F5487" s="221"/>
      <c r="G5487" s="221"/>
      <c r="H5487" s="221"/>
      <c r="I5487" s="221"/>
      <c r="J5487" s="221"/>
      <c r="K5487" s="221"/>
      <c r="L5487" s="221"/>
      <c r="M5487" s="221"/>
    </row>
    <row r="5488" spans="5:13">
      <c r="E5488" s="221"/>
      <c r="F5488" s="221"/>
      <c r="G5488" s="221"/>
      <c r="H5488" s="221"/>
      <c r="I5488" s="221"/>
      <c r="J5488" s="221"/>
      <c r="K5488" s="221"/>
      <c r="L5488" s="221"/>
      <c r="M5488" s="221"/>
    </row>
    <row r="5489" spans="5:13">
      <c r="E5489" s="221"/>
      <c r="F5489" s="221"/>
      <c r="G5489" s="221"/>
      <c r="H5489" s="221"/>
      <c r="I5489" s="221"/>
      <c r="J5489" s="221"/>
      <c r="K5489" s="221"/>
      <c r="L5489" s="221"/>
      <c r="M5489" s="221"/>
    </row>
    <row r="5490" spans="5:13">
      <c r="E5490" s="221"/>
      <c r="F5490" s="221"/>
      <c r="G5490" s="221"/>
      <c r="H5490" s="221"/>
      <c r="I5490" s="221"/>
      <c r="J5490" s="221"/>
      <c r="K5490" s="221"/>
      <c r="L5490" s="221"/>
      <c r="M5490" s="221"/>
    </row>
    <row r="5491" spans="5:13">
      <c r="E5491" s="221"/>
      <c r="F5491" s="221"/>
      <c r="G5491" s="221"/>
      <c r="H5491" s="221"/>
      <c r="I5491" s="221"/>
      <c r="J5491" s="221"/>
      <c r="K5491" s="221"/>
      <c r="L5491" s="221"/>
      <c r="M5491" s="221"/>
    </row>
    <row r="5492" spans="5:13">
      <c r="E5492" s="221"/>
      <c r="F5492" s="221"/>
      <c r="G5492" s="221"/>
      <c r="H5492" s="221"/>
      <c r="I5492" s="221"/>
      <c r="J5492" s="221"/>
      <c r="K5492" s="221"/>
      <c r="L5492" s="221"/>
      <c r="M5492" s="221"/>
    </row>
    <row r="5493" spans="5:13">
      <c r="E5493" s="221"/>
      <c r="F5493" s="221"/>
      <c r="G5493" s="221"/>
      <c r="H5493" s="221"/>
      <c r="I5493" s="221"/>
      <c r="J5493" s="221"/>
      <c r="K5493" s="221"/>
      <c r="L5493" s="221"/>
      <c r="M5493" s="221"/>
    </row>
    <row r="5494" spans="5:13">
      <c r="E5494" s="221"/>
      <c r="F5494" s="221"/>
      <c r="G5494" s="221"/>
      <c r="H5494" s="221"/>
      <c r="I5494" s="221"/>
      <c r="J5494" s="221"/>
      <c r="K5494" s="221"/>
      <c r="L5494" s="221"/>
      <c r="M5494" s="221"/>
    </row>
    <row r="5495" spans="5:13">
      <c r="E5495" s="221"/>
      <c r="F5495" s="221"/>
      <c r="G5495" s="221"/>
      <c r="H5495" s="221"/>
      <c r="I5495" s="221"/>
      <c r="J5495" s="221"/>
      <c r="K5495" s="221"/>
      <c r="L5495" s="221"/>
      <c r="M5495" s="221"/>
    </row>
    <row r="5496" spans="5:13">
      <c r="E5496" s="221"/>
      <c r="F5496" s="221"/>
      <c r="G5496" s="221"/>
      <c r="H5496" s="221"/>
      <c r="I5496" s="221"/>
      <c r="J5496" s="221"/>
      <c r="K5496" s="221"/>
      <c r="L5496" s="221"/>
      <c r="M5496" s="221"/>
    </row>
    <row r="5497" spans="5:13">
      <c r="E5497" s="221"/>
      <c r="F5497" s="221"/>
      <c r="G5497" s="221"/>
      <c r="H5497" s="221"/>
      <c r="I5497" s="221"/>
      <c r="J5497" s="221"/>
      <c r="K5497" s="221"/>
      <c r="L5497" s="221"/>
      <c r="M5497" s="221"/>
    </row>
    <row r="5498" spans="5:13">
      <c r="E5498" s="221"/>
      <c r="F5498" s="221"/>
      <c r="G5498" s="221"/>
      <c r="H5498" s="221"/>
      <c r="I5498" s="221"/>
      <c r="J5498" s="221"/>
      <c r="K5498" s="221"/>
      <c r="L5498" s="221"/>
      <c r="M5498" s="221"/>
    </row>
    <row r="5499" spans="5:13">
      <c r="E5499" s="221"/>
      <c r="F5499" s="221"/>
      <c r="G5499" s="221"/>
      <c r="H5499" s="221"/>
      <c r="I5499" s="221"/>
      <c r="J5499" s="221"/>
      <c r="K5499" s="221"/>
      <c r="L5499" s="221"/>
      <c r="M5499" s="221"/>
    </row>
    <row r="5500" spans="5:13">
      <c r="E5500" s="221"/>
      <c r="F5500" s="221"/>
      <c r="G5500" s="221"/>
      <c r="H5500" s="221"/>
      <c r="I5500" s="221"/>
      <c r="J5500" s="221"/>
      <c r="K5500" s="221"/>
      <c r="L5500" s="221"/>
      <c r="M5500" s="221"/>
    </row>
    <row r="5501" spans="5:13">
      <c r="E5501" s="221"/>
      <c r="F5501" s="221"/>
      <c r="G5501" s="221"/>
      <c r="H5501" s="221"/>
      <c r="I5501" s="221"/>
      <c r="J5501" s="221"/>
      <c r="K5501" s="221"/>
      <c r="L5501" s="221"/>
      <c r="M5501" s="221"/>
    </row>
    <row r="5502" spans="5:13">
      <c r="E5502" s="221"/>
      <c r="F5502" s="221"/>
      <c r="G5502" s="221"/>
      <c r="H5502" s="221"/>
      <c r="I5502" s="221"/>
      <c r="J5502" s="221"/>
      <c r="K5502" s="221"/>
      <c r="L5502" s="221"/>
      <c r="M5502" s="221"/>
    </row>
    <row r="5503" spans="5:13">
      <c r="E5503" s="221"/>
      <c r="F5503" s="221"/>
      <c r="G5503" s="221"/>
      <c r="H5503" s="221"/>
      <c r="I5503" s="221"/>
      <c r="J5503" s="221"/>
      <c r="K5503" s="221"/>
      <c r="L5503" s="221"/>
      <c r="M5503" s="221"/>
    </row>
    <row r="5504" spans="5:13">
      <c r="E5504" s="221"/>
      <c r="F5504" s="221"/>
      <c r="G5504" s="221"/>
      <c r="H5504" s="221"/>
      <c r="I5504" s="221"/>
      <c r="J5504" s="221"/>
      <c r="K5504" s="221"/>
      <c r="L5504" s="221"/>
      <c r="M5504" s="221"/>
    </row>
    <row r="5505" spans="5:13">
      <c r="E5505" s="221"/>
      <c r="F5505" s="221"/>
      <c r="G5505" s="221"/>
      <c r="H5505" s="221"/>
      <c r="I5505" s="221"/>
      <c r="J5505" s="221"/>
      <c r="K5505" s="221"/>
      <c r="L5505" s="221"/>
      <c r="M5505" s="221"/>
    </row>
    <row r="5506" spans="5:13">
      <c r="E5506" s="221"/>
      <c r="F5506" s="221"/>
      <c r="G5506" s="221"/>
      <c r="H5506" s="221"/>
      <c r="I5506" s="221"/>
      <c r="J5506" s="221"/>
      <c r="K5506" s="221"/>
      <c r="L5506" s="221"/>
      <c r="M5506" s="221"/>
    </row>
    <row r="5507" spans="5:13">
      <c r="E5507" s="221"/>
      <c r="F5507" s="221"/>
      <c r="G5507" s="221"/>
      <c r="H5507" s="221"/>
      <c r="I5507" s="221"/>
      <c r="J5507" s="221"/>
      <c r="K5507" s="221"/>
      <c r="L5507" s="221"/>
      <c r="M5507" s="221"/>
    </row>
    <row r="5508" spans="5:13">
      <c r="E5508" s="221"/>
      <c r="F5508" s="221"/>
      <c r="G5508" s="221"/>
      <c r="H5508" s="221"/>
      <c r="I5508" s="221"/>
      <c r="J5508" s="221"/>
      <c r="K5508" s="221"/>
      <c r="L5508" s="221"/>
      <c r="M5508" s="221"/>
    </row>
    <row r="5509" spans="5:13">
      <c r="E5509" s="221"/>
      <c r="F5509" s="221"/>
      <c r="G5509" s="221"/>
      <c r="H5509" s="221"/>
      <c r="I5509" s="221"/>
      <c r="J5509" s="221"/>
      <c r="K5509" s="221"/>
      <c r="L5509" s="221"/>
      <c r="M5509" s="221"/>
    </row>
    <row r="5510" spans="5:13">
      <c r="E5510" s="221"/>
      <c r="F5510" s="221"/>
      <c r="G5510" s="221"/>
      <c r="H5510" s="221"/>
      <c r="I5510" s="221"/>
      <c r="J5510" s="221"/>
      <c r="K5510" s="221"/>
      <c r="L5510" s="221"/>
      <c r="M5510" s="221"/>
    </row>
    <row r="5511" spans="5:13">
      <c r="E5511" s="221"/>
      <c r="F5511" s="221"/>
      <c r="G5511" s="221"/>
      <c r="H5511" s="221"/>
      <c r="I5511" s="221"/>
      <c r="J5511" s="221"/>
      <c r="K5511" s="221"/>
      <c r="L5511" s="221"/>
      <c r="M5511" s="221"/>
    </row>
    <row r="5512" spans="5:13">
      <c r="E5512" s="221"/>
      <c r="F5512" s="221"/>
      <c r="G5512" s="221"/>
      <c r="H5512" s="221"/>
      <c r="I5512" s="221"/>
      <c r="J5512" s="221"/>
      <c r="K5512" s="221"/>
      <c r="L5512" s="221"/>
      <c r="M5512" s="221"/>
    </row>
    <row r="5513" spans="5:13">
      <c r="E5513" s="221"/>
      <c r="F5513" s="221"/>
      <c r="G5513" s="221"/>
      <c r="H5513" s="221"/>
      <c r="I5513" s="221"/>
      <c r="J5513" s="221"/>
      <c r="K5513" s="221"/>
      <c r="L5513" s="221"/>
      <c r="M5513" s="221"/>
    </row>
    <row r="5514" spans="5:13">
      <c r="E5514" s="221"/>
      <c r="F5514" s="221"/>
      <c r="G5514" s="221"/>
      <c r="H5514" s="221"/>
      <c r="I5514" s="221"/>
      <c r="J5514" s="221"/>
      <c r="K5514" s="221"/>
      <c r="L5514" s="221"/>
      <c r="M5514" s="221"/>
    </row>
    <row r="5515" spans="5:13">
      <c r="E5515" s="221"/>
      <c r="F5515" s="221"/>
      <c r="G5515" s="221"/>
      <c r="H5515" s="221"/>
      <c r="I5515" s="221"/>
      <c r="J5515" s="221"/>
      <c r="K5515" s="221"/>
      <c r="L5515" s="221"/>
      <c r="M5515" s="221"/>
    </row>
    <row r="5516" spans="5:13">
      <c r="E5516" s="221"/>
      <c r="F5516" s="221"/>
      <c r="G5516" s="221"/>
      <c r="H5516" s="221"/>
      <c r="I5516" s="221"/>
      <c r="J5516" s="221"/>
      <c r="K5516" s="221"/>
      <c r="L5516" s="221"/>
      <c r="M5516" s="221"/>
    </row>
    <row r="5517" spans="5:13">
      <c r="E5517" s="221"/>
      <c r="F5517" s="221"/>
      <c r="G5517" s="221"/>
      <c r="H5517" s="221"/>
      <c r="I5517" s="221"/>
      <c r="J5517" s="221"/>
      <c r="K5517" s="221"/>
      <c r="L5517" s="221"/>
      <c r="M5517" s="221"/>
    </row>
    <row r="5518" spans="5:13">
      <c r="E5518" s="221"/>
      <c r="F5518" s="221"/>
      <c r="G5518" s="221"/>
      <c r="H5518" s="221"/>
      <c r="I5518" s="221"/>
      <c r="J5518" s="221"/>
      <c r="K5518" s="221"/>
      <c r="L5518" s="221"/>
      <c r="M5518" s="221"/>
    </row>
    <row r="5519" spans="5:13">
      <c r="E5519" s="221"/>
      <c r="F5519" s="221"/>
      <c r="G5519" s="221"/>
      <c r="H5519" s="221"/>
      <c r="I5519" s="221"/>
      <c r="J5519" s="221"/>
      <c r="K5519" s="221"/>
      <c r="L5519" s="221"/>
      <c r="M5519" s="221"/>
    </row>
    <row r="5520" spans="5:13">
      <c r="E5520" s="221"/>
      <c r="F5520" s="221"/>
      <c r="G5520" s="221"/>
      <c r="H5520" s="221"/>
      <c r="I5520" s="221"/>
      <c r="J5520" s="221"/>
      <c r="K5520" s="221"/>
      <c r="L5520" s="221"/>
      <c r="M5520" s="221"/>
    </row>
    <row r="5521" spans="5:13">
      <c r="E5521" s="221"/>
      <c r="F5521" s="221"/>
      <c r="G5521" s="221"/>
      <c r="H5521" s="221"/>
      <c r="I5521" s="221"/>
      <c r="J5521" s="221"/>
      <c r="K5521" s="221"/>
      <c r="L5521" s="221"/>
      <c r="M5521" s="221"/>
    </row>
    <row r="5522" spans="5:13">
      <c r="E5522" s="221"/>
      <c r="F5522" s="221"/>
      <c r="G5522" s="221"/>
      <c r="H5522" s="221"/>
      <c r="I5522" s="221"/>
      <c r="J5522" s="221"/>
      <c r="K5522" s="221"/>
      <c r="L5522" s="221"/>
      <c r="M5522" s="221"/>
    </row>
    <row r="5523" spans="5:13">
      <c r="E5523" s="221"/>
      <c r="F5523" s="221"/>
      <c r="G5523" s="221"/>
      <c r="H5523" s="221"/>
      <c r="I5523" s="221"/>
      <c r="J5523" s="221"/>
      <c r="K5523" s="221"/>
      <c r="L5523" s="221"/>
      <c r="M5523" s="221"/>
    </row>
    <row r="5524" spans="5:13">
      <c r="E5524" s="221"/>
      <c r="F5524" s="221"/>
      <c r="G5524" s="221"/>
      <c r="H5524" s="221"/>
      <c r="I5524" s="221"/>
      <c r="J5524" s="221"/>
      <c r="K5524" s="221"/>
      <c r="L5524" s="221"/>
      <c r="M5524" s="221"/>
    </row>
    <row r="5525" spans="5:13">
      <c r="E5525" s="221"/>
      <c r="F5525" s="221"/>
      <c r="G5525" s="221"/>
      <c r="H5525" s="221"/>
      <c r="I5525" s="221"/>
      <c r="J5525" s="221"/>
      <c r="K5525" s="221"/>
      <c r="L5525" s="221"/>
      <c r="M5525" s="221"/>
    </row>
    <row r="5526" spans="5:13">
      <c r="E5526" s="221"/>
      <c r="F5526" s="221"/>
      <c r="G5526" s="221"/>
      <c r="H5526" s="221"/>
      <c r="I5526" s="221"/>
      <c r="J5526" s="221"/>
      <c r="K5526" s="221"/>
      <c r="L5526" s="221"/>
      <c r="M5526" s="221"/>
    </row>
    <row r="5527" spans="5:13">
      <c r="E5527" s="221"/>
      <c r="F5527" s="221"/>
      <c r="G5527" s="221"/>
      <c r="H5527" s="221"/>
      <c r="I5527" s="221"/>
      <c r="J5527" s="221"/>
      <c r="K5527" s="221"/>
      <c r="L5527" s="221"/>
      <c r="M5527" s="221"/>
    </row>
    <row r="5528" spans="5:13">
      <c r="E5528" s="221"/>
      <c r="F5528" s="221"/>
      <c r="G5528" s="221"/>
      <c r="H5528" s="221"/>
      <c r="I5528" s="221"/>
      <c r="J5528" s="221"/>
      <c r="K5528" s="221"/>
      <c r="L5528" s="221"/>
      <c r="M5528" s="221"/>
    </row>
    <row r="5529" spans="5:13">
      <c r="E5529" s="221"/>
      <c r="F5529" s="221"/>
      <c r="G5529" s="221"/>
      <c r="H5529" s="221"/>
      <c r="I5529" s="221"/>
      <c r="J5529" s="221"/>
      <c r="K5529" s="221"/>
      <c r="L5529" s="221"/>
      <c r="M5529" s="221"/>
    </row>
    <row r="5530" spans="5:13">
      <c r="E5530" s="221"/>
      <c r="F5530" s="221"/>
      <c r="G5530" s="221"/>
      <c r="H5530" s="221"/>
      <c r="I5530" s="221"/>
      <c r="J5530" s="221"/>
      <c r="K5530" s="221"/>
      <c r="L5530" s="221"/>
      <c r="M5530" s="221"/>
    </row>
    <row r="5531" spans="5:13">
      <c r="E5531" s="221"/>
      <c r="F5531" s="221"/>
      <c r="G5531" s="221"/>
      <c r="H5531" s="221"/>
      <c r="I5531" s="221"/>
      <c r="J5531" s="221"/>
      <c r="K5531" s="221"/>
      <c r="L5531" s="221"/>
      <c r="M5531" s="221"/>
    </row>
    <row r="5532" spans="5:13">
      <c r="E5532" s="221"/>
      <c r="F5532" s="221"/>
      <c r="G5532" s="221"/>
      <c r="H5532" s="221"/>
      <c r="I5532" s="221"/>
      <c r="J5532" s="221"/>
      <c r="K5532" s="221"/>
      <c r="L5532" s="221"/>
      <c r="M5532" s="221"/>
    </row>
    <row r="5533" spans="5:13">
      <c r="E5533" s="221"/>
      <c r="F5533" s="221"/>
      <c r="G5533" s="221"/>
      <c r="H5533" s="221"/>
      <c r="I5533" s="221"/>
      <c r="J5533" s="221"/>
      <c r="K5533" s="221"/>
      <c r="L5533" s="221"/>
      <c r="M5533" s="221"/>
    </row>
    <row r="5534" spans="5:13">
      <c r="E5534" s="221"/>
      <c r="F5534" s="221"/>
      <c r="G5534" s="221"/>
      <c r="H5534" s="221"/>
      <c r="I5534" s="221"/>
      <c r="J5534" s="221"/>
      <c r="K5534" s="221"/>
      <c r="L5534" s="221"/>
      <c r="M5534" s="221"/>
    </row>
    <row r="5535" spans="5:13">
      <c r="E5535" s="221"/>
      <c r="F5535" s="221"/>
      <c r="G5535" s="221"/>
      <c r="H5535" s="221"/>
      <c r="I5535" s="221"/>
      <c r="J5535" s="221"/>
      <c r="K5535" s="221"/>
      <c r="L5535" s="221"/>
      <c r="M5535" s="221"/>
    </row>
    <row r="5536" spans="5:13">
      <c r="E5536" s="221"/>
      <c r="F5536" s="221"/>
      <c r="G5536" s="221"/>
      <c r="H5536" s="221"/>
      <c r="I5536" s="221"/>
      <c r="J5536" s="221"/>
      <c r="K5536" s="221"/>
      <c r="L5536" s="221"/>
      <c r="M5536" s="221"/>
    </row>
    <row r="5537" spans="5:13">
      <c r="E5537" s="221"/>
      <c r="F5537" s="221"/>
      <c r="G5537" s="221"/>
      <c r="H5537" s="221"/>
      <c r="I5537" s="221"/>
      <c r="J5537" s="221"/>
      <c r="K5537" s="221"/>
      <c r="L5537" s="221"/>
      <c r="M5537" s="221"/>
    </row>
    <row r="5538" spans="5:13">
      <c r="E5538" s="221"/>
      <c r="F5538" s="221"/>
      <c r="G5538" s="221"/>
      <c r="H5538" s="221"/>
      <c r="I5538" s="221"/>
      <c r="J5538" s="221"/>
      <c r="K5538" s="221"/>
      <c r="L5538" s="221"/>
      <c r="M5538" s="221"/>
    </row>
    <row r="5539" spans="5:13">
      <c r="E5539" s="221"/>
      <c r="F5539" s="221"/>
      <c r="G5539" s="221"/>
      <c r="H5539" s="221"/>
      <c r="I5539" s="221"/>
      <c r="J5539" s="221"/>
      <c r="K5539" s="221"/>
      <c r="L5539" s="221"/>
      <c r="M5539" s="221"/>
    </row>
    <row r="5540" spans="5:13">
      <c r="E5540" s="221"/>
      <c r="F5540" s="221"/>
      <c r="G5540" s="221"/>
      <c r="H5540" s="221"/>
      <c r="I5540" s="221"/>
      <c r="J5540" s="221"/>
      <c r="K5540" s="221"/>
      <c r="L5540" s="221"/>
      <c r="M5540" s="221"/>
    </row>
    <row r="5541" spans="5:13">
      <c r="E5541" s="221"/>
      <c r="F5541" s="221"/>
      <c r="G5541" s="221"/>
      <c r="H5541" s="221"/>
      <c r="I5541" s="221"/>
      <c r="J5541" s="221"/>
      <c r="K5541" s="221"/>
      <c r="L5541" s="221"/>
      <c r="M5541" s="221"/>
    </row>
    <row r="5542" spans="5:13">
      <c r="E5542" s="221"/>
      <c r="F5542" s="221"/>
      <c r="G5542" s="221"/>
      <c r="H5542" s="221"/>
      <c r="I5542" s="221"/>
      <c r="J5542" s="221"/>
      <c r="K5542" s="221"/>
      <c r="L5542" s="221"/>
      <c r="M5542" s="221"/>
    </row>
    <row r="5543" spans="5:13">
      <c r="E5543" s="221"/>
      <c r="F5543" s="221"/>
      <c r="G5543" s="221"/>
      <c r="H5543" s="221"/>
      <c r="I5543" s="221"/>
      <c r="J5543" s="221"/>
      <c r="K5543" s="221"/>
      <c r="L5543" s="221"/>
      <c r="M5543" s="221"/>
    </row>
    <row r="5544" spans="5:13">
      <c r="E5544" s="221"/>
      <c r="F5544" s="221"/>
      <c r="G5544" s="221"/>
      <c r="H5544" s="221"/>
      <c r="I5544" s="221"/>
      <c r="J5544" s="221"/>
      <c r="K5544" s="221"/>
      <c r="L5544" s="221"/>
      <c r="M5544" s="221"/>
    </row>
    <row r="5545" spans="5:13">
      <c r="E5545" s="221"/>
      <c r="F5545" s="221"/>
      <c r="G5545" s="221"/>
      <c r="H5545" s="221"/>
      <c r="I5545" s="221"/>
      <c r="J5545" s="221"/>
      <c r="K5545" s="221"/>
      <c r="L5545" s="221"/>
      <c r="M5545" s="221"/>
    </row>
    <row r="5546" spans="5:13">
      <c r="E5546" s="221"/>
      <c r="F5546" s="221"/>
      <c r="G5546" s="221"/>
      <c r="H5546" s="221"/>
      <c r="I5546" s="221"/>
      <c r="J5546" s="221"/>
      <c r="K5546" s="221"/>
      <c r="L5546" s="221"/>
      <c r="M5546" s="221"/>
    </row>
    <row r="5547" spans="5:13">
      <c r="E5547" s="221"/>
      <c r="F5547" s="221"/>
      <c r="G5547" s="221"/>
      <c r="H5547" s="221"/>
      <c r="I5547" s="221"/>
      <c r="J5547" s="221"/>
      <c r="K5547" s="221"/>
      <c r="L5547" s="221"/>
      <c r="M5547" s="221"/>
    </row>
    <row r="5548" spans="5:13">
      <c r="E5548" s="221"/>
      <c r="F5548" s="221"/>
      <c r="G5548" s="221"/>
      <c r="H5548" s="221"/>
      <c r="I5548" s="221"/>
      <c r="J5548" s="221"/>
      <c r="K5548" s="221"/>
      <c r="L5548" s="221"/>
      <c r="M5548" s="221"/>
    </row>
    <row r="5549" spans="5:13">
      <c r="E5549" s="221"/>
      <c r="F5549" s="221"/>
      <c r="G5549" s="221"/>
      <c r="H5549" s="221"/>
      <c r="I5549" s="221"/>
      <c r="J5549" s="221"/>
      <c r="K5549" s="221"/>
      <c r="L5549" s="221"/>
      <c r="M5549" s="221"/>
    </row>
    <row r="5550" spans="5:13">
      <c r="E5550" s="221"/>
      <c r="F5550" s="221"/>
      <c r="G5550" s="221"/>
      <c r="H5550" s="221"/>
      <c r="I5550" s="221"/>
      <c r="J5550" s="221"/>
      <c r="K5550" s="221"/>
      <c r="L5550" s="221"/>
      <c r="M5550" s="221"/>
    </row>
    <row r="5551" spans="5:13">
      <c r="E5551" s="221"/>
      <c r="F5551" s="221"/>
      <c r="G5551" s="221"/>
      <c r="H5551" s="221"/>
      <c r="I5551" s="221"/>
      <c r="J5551" s="221"/>
      <c r="K5551" s="221"/>
      <c r="L5551" s="221"/>
      <c r="M5551" s="221"/>
    </row>
    <row r="5552" spans="5:13">
      <c r="E5552" s="221"/>
      <c r="F5552" s="221"/>
      <c r="G5552" s="221"/>
      <c r="H5552" s="221"/>
      <c r="I5552" s="221"/>
      <c r="J5552" s="221"/>
      <c r="K5552" s="221"/>
      <c r="L5552" s="221"/>
      <c r="M5552" s="221"/>
    </row>
    <row r="5553" spans="5:13">
      <c r="E5553" s="221"/>
      <c r="F5553" s="221"/>
      <c r="G5553" s="221"/>
      <c r="H5553" s="221"/>
      <c r="I5553" s="221"/>
      <c r="J5553" s="221"/>
      <c r="K5553" s="221"/>
      <c r="L5553" s="221"/>
      <c r="M5553" s="221"/>
    </row>
    <row r="5554" spans="5:13">
      <c r="E5554" s="221"/>
      <c r="F5554" s="221"/>
      <c r="G5554" s="221"/>
      <c r="H5554" s="221"/>
      <c r="I5554" s="221"/>
      <c r="J5554" s="221"/>
      <c r="K5554" s="221"/>
      <c r="L5554" s="221"/>
      <c r="M5554" s="221"/>
    </row>
    <row r="5555" spans="5:13">
      <c r="E5555" s="221"/>
      <c r="F5555" s="221"/>
      <c r="G5555" s="221"/>
      <c r="H5555" s="221"/>
      <c r="I5555" s="221"/>
      <c r="J5555" s="221"/>
      <c r="K5555" s="221"/>
      <c r="L5555" s="221"/>
      <c r="M5555" s="221"/>
    </row>
    <row r="5556" spans="5:13">
      <c r="E5556" s="221"/>
      <c r="F5556" s="221"/>
      <c r="G5556" s="221"/>
      <c r="H5556" s="221"/>
      <c r="I5556" s="221"/>
      <c r="J5556" s="221"/>
      <c r="K5556" s="221"/>
      <c r="L5556" s="221"/>
      <c r="M5556" s="221"/>
    </row>
    <row r="5557" spans="5:13">
      <c r="E5557" s="221"/>
      <c r="F5557" s="221"/>
      <c r="G5557" s="221"/>
      <c r="H5557" s="221"/>
      <c r="I5557" s="221"/>
      <c r="J5557" s="221"/>
      <c r="K5557" s="221"/>
      <c r="L5557" s="221"/>
      <c r="M5557" s="221"/>
    </row>
    <row r="5558" spans="5:13">
      <c r="E5558" s="221"/>
      <c r="F5558" s="221"/>
      <c r="G5558" s="221"/>
      <c r="H5558" s="221"/>
      <c r="I5558" s="221"/>
      <c r="J5558" s="221"/>
      <c r="K5558" s="221"/>
      <c r="L5558" s="221"/>
      <c r="M5558" s="221"/>
    </row>
    <row r="5559" spans="5:13">
      <c r="E5559" s="221"/>
      <c r="F5559" s="221"/>
      <c r="G5559" s="221"/>
      <c r="H5559" s="221"/>
      <c r="I5559" s="221"/>
      <c r="J5559" s="221"/>
      <c r="K5559" s="221"/>
      <c r="L5559" s="221"/>
      <c r="M5559" s="221"/>
    </row>
    <row r="5560" spans="5:13">
      <c r="E5560" s="221"/>
      <c r="F5560" s="221"/>
      <c r="G5560" s="221"/>
      <c r="H5560" s="221"/>
      <c r="I5560" s="221"/>
      <c r="J5560" s="221"/>
      <c r="K5560" s="221"/>
      <c r="L5560" s="221"/>
      <c r="M5560" s="221"/>
    </row>
    <row r="5561" spans="5:13">
      <c r="E5561" s="221"/>
      <c r="F5561" s="221"/>
      <c r="G5561" s="221"/>
      <c r="H5561" s="221"/>
      <c r="I5561" s="221"/>
      <c r="J5561" s="221"/>
      <c r="K5561" s="221"/>
      <c r="L5561" s="221"/>
      <c r="M5561" s="221"/>
    </row>
    <row r="5562" spans="5:13">
      <c r="E5562" s="221"/>
      <c r="F5562" s="221"/>
      <c r="G5562" s="221"/>
      <c r="H5562" s="221"/>
      <c r="I5562" s="221"/>
      <c r="J5562" s="221"/>
      <c r="K5562" s="221"/>
      <c r="L5562" s="221"/>
      <c r="M5562" s="221"/>
    </row>
    <row r="5563" spans="5:13">
      <c r="E5563" s="221"/>
      <c r="F5563" s="221"/>
      <c r="G5563" s="221"/>
      <c r="H5563" s="221"/>
      <c r="I5563" s="221"/>
      <c r="J5563" s="221"/>
      <c r="K5563" s="221"/>
      <c r="L5563" s="221"/>
      <c r="M5563" s="221"/>
    </row>
    <row r="5564" spans="5:13">
      <c r="E5564" s="221"/>
      <c r="F5564" s="221"/>
      <c r="G5564" s="221"/>
      <c r="H5564" s="221"/>
      <c r="I5564" s="221"/>
      <c r="J5564" s="221"/>
      <c r="K5564" s="221"/>
      <c r="L5564" s="221"/>
      <c r="M5564" s="221"/>
    </row>
    <row r="5565" spans="5:13">
      <c r="E5565" s="221"/>
      <c r="F5565" s="221"/>
      <c r="G5565" s="221"/>
      <c r="H5565" s="221"/>
      <c r="I5565" s="221"/>
      <c r="J5565" s="221"/>
      <c r="K5565" s="221"/>
      <c r="L5565" s="221"/>
      <c r="M5565" s="221"/>
    </row>
    <row r="5566" spans="5:13">
      <c r="E5566" s="221"/>
      <c r="F5566" s="221"/>
      <c r="G5566" s="221"/>
      <c r="H5566" s="221"/>
      <c r="I5566" s="221"/>
      <c r="J5566" s="221"/>
      <c r="K5566" s="221"/>
      <c r="L5566" s="221"/>
      <c r="M5566" s="221"/>
    </row>
    <row r="5567" spans="5:13">
      <c r="E5567" s="221"/>
      <c r="F5567" s="221"/>
      <c r="G5567" s="221"/>
      <c r="H5567" s="221"/>
      <c r="I5567" s="221"/>
      <c r="J5567" s="221"/>
      <c r="K5567" s="221"/>
      <c r="L5567" s="221"/>
      <c r="M5567" s="221"/>
    </row>
    <row r="5568" spans="5:13">
      <c r="E5568" s="221"/>
      <c r="F5568" s="221"/>
      <c r="G5568" s="221"/>
      <c r="H5568" s="221"/>
      <c r="I5568" s="221"/>
      <c r="J5568" s="221"/>
      <c r="K5568" s="221"/>
      <c r="L5568" s="221"/>
      <c r="M5568" s="221"/>
    </row>
    <row r="5569" spans="5:13">
      <c r="E5569" s="221"/>
      <c r="F5569" s="221"/>
      <c r="G5569" s="221"/>
      <c r="H5569" s="221"/>
      <c r="I5569" s="221"/>
      <c r="J5569" s="221"/>
      <c r="K5569" s="221"/>
      <c r="L5569" s="221"/>
      <c r="M5569" s="221"/>
    </row>
    <row r="5570" spans="5:13">
      <c r="E5570" s="221"/>
      <c r="F5570" s="221"/>
      <c r="G5570" s="221"/>
      <c r="H5570" s="221"/>
      <c r="I5570" s="221"/>
      <c r="J5570" s="221"/>
      <c r="K5570" s="221"/>
      <c r="L5570" s="221"/>
      <c r="M5570" s="221"/>
    </row>
    <row r="5571" spans="5:13">
      <c r="E5571" s="221"/>
      <c r="F5571" s="221"/>
      <c r="G5571" s="221"/>
      <c r="H5571" s="221"/>
      <c r="I5571" s="221"/>
      <c r="J5571" s="221"/>
      <c r="K5571" s="221"/>
      <c r="L5571" s="221"/>
      <c r="M5571" s="221"/>
    </row>
    <row r="5572" spans="5:13">
      <c r="E5572" s="221"/>
      <c r="F5572" s="221"/>
      <c r="G5572" s="221"/>
      <c r="H5572" s="221"/>
      <c r="I5572" s="221"/>
      <c r="J5572" s="221"/>
      <c r="K5572" s="221"/>
      <c r="L5572" s="221"/>
      <c r="M5572" s="221"/>
    </row>
    <row r="5573" spans="5:13">
      <c r="E5573" s="221"/>
      <c r="F5573" s="221"/>
      <c r="G5573" s="221"/>
      <c r="H5573" s="221"/>
      <c r="I5573" s="221"/>
      <c r="J5573" s="221"/>
      <c r="K5573" s="221"/>
      <c r="L5573" s="221"/>
      <c r="M5573" s="221"/>
    </row>
    <row r="5574" spans="5:13">
      <c r="E5574" s="221"/>
      <c r="F5574" s="221"/>
      <c r="G5574" s="221"/>
      <c r="H5574" s="221"/>
      <c r="I5574" s="221"/>
      <c r="J5574" s="221"/>
      <c r="K5574" s="221"/>
      <c r="L5574" s="221"/>
      <c r="M5574" s="221"/>
    </row>
    <row r="5575" spans="5:13">
      <c r="E5575" s="221"/>
      <c r="F5575" s="221"/>
      <c r="G5575" s="221"/>
      <c r="H5575" s="221"/>
      <c r="I5575" s="221"/>
      <c r="J5575" s="221"/>
      <c r="K5575" s="221"/>
      <c r="L5575" s="221"/>
      <c r="M5575" s="221"/>
    </row>
    <row r="5576" spans="5:13">
      <c r="E5576" s="221"/>
      <c r="F5576" s="221"/>
      <c r="G5576" s="221"/>
      <c r="H5576" s="221"/>
      <c r="I5576" s="221"/>
      <c r="J5576" s="221"/>
      <c r="K5576" s="221"/>
      <c r="L5576" s="221"/>
      <c r="M5576" s="221"/>
    </row>
    <row r="5577" spans="5:13">
      <c r="E5577" s="221"/>
      <c r="F5577" s="221"/>
      <c r="G5577" s="221"/>
      <c r="H5577" s="221"/>
      <c r="I5577" s="221"/>
      <c r="J5577" s="221"/>
      <c r="K5577" s="221"/>
      <c r="L5577" s="221"/>
      <c r="M5577" s="221"/>
    </row>
    <row r="5578" spans="5:13">
      <c r="E5578" s="221"/>
      <c r="F5578" s="221"/>
      <c r="G5578" s="221"/>
      <c r="H5578" s="221"/>
      <c r="I5578" s="221"/>
      <c r="J5578" s="221"/>
      <c r="K5578" s="221"/>
      <c r="L5578" s="221"/>
      <c r="M5578" s="221"/>
    </row>
    <row r="5579" spans="5:13">
      <c r="E5579" s="221"/>
      <c r="F5579" s="221"/>
      <c r="G5579" s="221"/>
      <c r="H5579" s="221"/>
      <c r="I5579" s="221"/>
      <c r="J5579" s="221"/>
      <c r="K5579" s="221"/>
      <c r="L5579" s="221"/>
      <c r="M5579" s="221"/>
    </row>
    <row r="5580" spans="5:13">
      <c r="E5580" s="221"/>
      <c r="F5580" s="221"/>
      <c r="G5580" s="221"/>
      <c r="H5580" s="221"/>
      <c r="I5580" s="221"/>
      <c r="J5580" s="221"/>
      <c r="K5580" s="221"/>
      <c r="L5580" s="221"/>
      <c r="M5580" s="221"/>
    </row>
    <row r="5581" spans="5:13">
      <c r="E5581" s="221"/>
      <c r="F5581" s="221"/>
      <c r="G5581" s="221"/>
      <c r="H5581" s="221"/>
      <c r="I5581" s="221"/>
      <c r="J5581" s="221"/>
      <c r="K5581" s="221"/>
      <c r="L5581" s="221"/>
      <c r="M5581" s="221"/>
    </row>
    <row r="5582" spans="5:13">
      <c r="E5582" s="221"/>
      <c r="F5582" s="221"/>
      <c r="G5582" s="221"/>
      <c r="H5582" s="221"/>
      <c r="I5582" s="221"/>
      <c r="J5582" s="221"/>
      <c r="K5582" s="221"/>
      <c r="L5582" s="221"/>
      <c r="M5582" s="221"/>
    </row>
    <row r="5583" spans="5:13">
      <c r="E5583" s="221"/>
      <c r="F5583" s="221"/>
      <c r="G5583" s="221"/>
      <c r="H5583" s="221"/>
      <c r="I5583" s="221"/>
      <c r="J5583" s="221"/>
      <c r="K5583" s="221"/>
      <c r="L5583" s="221"/>
      <c r="M5583" s="221"/>
    </row>
    <row r="5584" spans="5:13">
      <c r="E5584" s="221"/>
      <c r="F5584" s="221"/>
      <c r="G5584" s="221"/>
      <c r="H5584" s="221"/>
      <c r="I5584" s="221"/>
      <c r="J5584" s="221"/>
      <c r="K5584" s="221"/>
      <c r="L5584" s="221"/>
      <c r="M5584" s="221"/>
    </row>
    <row r="5585" spans="5:13">
      <c r="E5585" s="221"/>
      <c r="F5585" s="221"/>
      <c r="G5585" s="221"/>
      <c r="H5585" s="221"/>
      <c r="I5585" s="221"/>
      <c r="J5585" s="221"/>
      <c r="K5585" s="221"/>
      <c r="L5585" s="221"/>
      <c r="M5585" s="221"/>
    </row>
    <row r="5586" spans="5:13">
      <c r="E5586" s="221"/>
      <c r="F5586" s="221"/>
      <c r="G5586" s="221"/>
      <c r="H5586" s="221"/>
      <c r="I5586" s="221"/>
      <c r="J5586" s="221"/>
      <c r="K5586" s="221"/>
      <c r="L5586" s="221"/>
      <c r="M5586" s="221"/>
    </row>
    <row r="5587" spans="5:13">
      <c r="E5587" s="221"/>
      <c r="F5587" s="221"/>
      <c r="G5587" s="221"/>
      <c r="H5587" s="221"/>
      <c r="I5587" s="221"/>
      <c r="J5587" s="221"/>
      <c r="K5587" s="221"/>
      <c r="L5587" s="221"/>
      <c r="M5587" s="221"/>
    </row>
    <row r="5588" spans="5:13">
      <c r="E5588" s="221"/>
      <c r="F5588" s="221"/>
      <c r="G5588" s="221"/>
      <c r="H5588" s="221"/>
      <c r="I5588" s="221"/>
      <c r="J5588" s="221"/>
      <c r="K5588" s="221"/>
      <c r="L5588" s="221"/>
      <c r="M5588" s="221"/>
    </row>
    <row r="5589" spans="5:13">
      <c r="E5589" s="221"/>
      <c r="F5589" s="221"/>
      <c r="G5589" s="221"/>
      <c r="H5589" s="221"/>
      <c r="I5589" s="221"/>
      <c r="J5589" s="221"/>
      <c r="K5589" s="221"/>
      <c r="L5589" s="221"/>
      <c r="M5589" s="221"/>
    </row>
    <row r="5590" spans="5:13">
      <c r="E5590" s="221"/>
      <c r="F5590" s="221"/>
      <c r="G5590" s="221"/>
      <c r="H5590" s="221"/>
      <c r="I5590" s="221"/>
      <c r="J5590" s="221"/>
      <c r="K5590" s="221"/>
      <c r="L5590" s="221"/>
      <c r="M5590" s="221"/>
    </row>
    <row r="5591" spans="5:13">
      <c r="E5591" s="221"/>
      <c r="F5591" s="221"/>
      <c r="G5591" s="221"/>
      <c r="H5591" s="221"/>
      <c r="I5591" s="221"/>
      <c r="J5591" s="221"/>
      <c r="K5591" s="221"/>
      <c r="L5591" s="221"/>
      <c r="M5591" s="221"/>
    </row>
    <row r="5592" spans="5:13">
      <c r="E5592" s="221"/>
      <c r="F5592" s="221"/>
      <c r="G5592" s="221"/>
      <c r="H5592" s="221"/>
      <c r="I5592" s="221"/>
      <c r="J5592" s="221"/>
      <c r="K5592" s="221"/>
      <c r="L5592" s="221"/>
      <c r="M5592" s="221"/>
    </row>
    <row r="5593" spans="5:13">
      <c r="E5593" s="221"/>
      <c r="F5593" s="221"/>
      <c r="G5593" s="221"/>
      <c r="H5593" s="221"/>
      <c r="I5593" s="221"/>
      <c r="J5593" s="221"/>
      <c r="K5593" s="221"/>
      <c r="L5593" s="221"/>
      <c r="M5593" s="221"/>
    </row>
    <row r="5594" spans="5:13">
      <c r="E5594" s="221"/>
      <c r="F5594" s="221"/>
      <c r="G5594" s="221"/>
      <c r="H5594" s="221"/>
      <c r="I5594" s="221"/>
      <c r="J5594" s="221"/>
      <c r="K5594" s="221"/>
      <c r="L5594" s="221"/>
      <c r="M5594" s="221"/>
    </row>
    <row r="5595" spans="5:13">
      <c r="E5595" s="221"/>
      <c r="F5595" s="221"/>
      <c r="G5595" s="221"/>
      <c r="H5595" s="221"/>
      <c r="I5595" s="221"/>
      <c r="J5595" s="221"/>
      <c r="K5595" s="221"/>
      <c r="L5595" s="221"/>
      <c r="M5595" s="221"/>
    </row>
    <row r="5596" spans="5:13">
      <c r="E5596" s="221"/>
      <c r="F5596" s="221"/>
      <c r="G5596" s="221"/>
      <c r="H5596" s="221"/>
      <c r="I5596" s="221"/>
      <c r="J5596" s="221"/>
      <c r="K5596" s="221"/>
      <c r="L5596" s="221"/>
      <c r="M5596" s="221"/>
    </row>
    <row r="5597" spans="5:13">
      <c r="E5597" s="221"/>
      <c r="F5597" s="221"/>
      <c r="G5597" s="221"/>
      <c r="H5597" s="221"/>
      <c r="I5597" s="221"/>
      <c r="J5597" s="221"/>
      <c r="K5597" s="221"/>
      <c r="L5597" s="221"/>
      <c r="M5597" s="221"/>
    </row>
    <row r="5598" spans="5:13">
      <c r="E5598" s="221"/>
      <c r="F5598" s="221"/>
      <c r="G5598" s="221"/>
      <c r="H5598" s="221"/>
      <c r="I5598" s="221"/>
      <c r="J5598" s="221"/>
      <c r="K5598" s="221"/>
      <c r="L5598" s="221"/>
      <c r="M5598" s="221"/>
    </row>
    <row r="5599" spans="5:13">
      <c r="E5599" s="221"/>
      <c r="F5599" s="221"/>
      <c r="G5599" s="221"/>
      <c r="H5599" s="221"/>
      <c r="I5599" s="221"/>
      <c r="J5599" s="221"/>
      <c r="K5599" s="221"/>
      <c r="L5599" s="221"/>
      <c r="M5599" s="221"/>
    </row>
    <row r="5600" spans="5:13">
      <c r="E5600" s="221"/>
      <c r="F5600" s="221"/>
      <c r="G5600" s="221"/>
      <c r="H5600" s="221"/>
      <c r="I5600" s="221"/>
      <c r="J5600" s="221"/>
      <c r="K5600" s="221"/>
      <c r="L5600" s="221"/>
      <c r="M5600" s="221"/>
    </row>
    <row r="5601" spans="5:13">
      <c r="E5601" s="221"/>
      <c r="F5601" s="221"/>
      <c r="G5601" s="221"/>
      <c r="H5601" s="221"/>
      <c r="I5601" s="221"/>
      <c r="J5601" s="221"/>
      <c r="K5601" s="221"/>
      <c r="L5601" s="221"/>
      <c r="M5601" s="221"/>
    </row>
    <row r="5602" spans="5:13">
      <c r="E5602" s="221"/>
      <c r="F5602" s="221"/>
      <c r="G5602" s="221"/>
      <c r="H5602" s="221"/>
      <c r="I5602" s="221"/>
      <c r="J5602" s="221"/>
      <c r="K5602" s="221"/>
      <c r="L5602" s="221"/>
      <c r="M5602" s="221"/>
    </row>
    <row r="5603" spans="5:13">
      <c r="E5603" s="221"/>
      <c r="F5603" s="221"/>
      <c r="G5603" s="221"/>
      <c r="H5603" s="221"/>
      <c r="I5603" s="221"/>
      <c r="J5603" s="221"/>
      <c r="K5603" s="221"/>
      <c r="L5603" s="221"/>
      <c r="M5603" s="221"/>
    </row>
    <row r="5604" spans="5:13">
      <c r="E5604" s="221"/>
      <c r="F5604" s="221"/>
      <c r="G5604" s="221"/>
      <c r="H5604" s="221"/>
      <c r="I5604" s="221"/>
      <c r="J5604" s="221"/>
      <c r="K5604" s="221"/>
      <c r="L5604" s="221"/>
      <c r="M5604" s="221"/>
    </row>
    <row r="5605" spans="5:13">
      <c r="E5605" s="221"/>
      <c r="F5605" s="221"/>
      <c r="G5605" s="221"/>
      <c r="H5605" s="221"/>
      <c r="I5605" s="221"/>
      <c r="J5605" s="221"/>
      <c r="K5605" s="221"/>
      <c r="L5605" s="221"/>
      <c r="M5605" s="221"/>
    </row>
    <row r="5606" spans="5:13">
      <c r="E5606" s="221"/>
      <c r="F5606" s="221"/>
      <c r="G5606" s="221"/>
      <c r="H5606" s="221"/>
      <c r="I5606" s="221"/>
      <c r="J5606" s="221"/>
      <c r="K5606" s="221"/>
      <c r="L5606" s="221"/>
      <c r="M5606" s="221"/>
    </row>
    <row r="5607" spans="5:13">
      <c r="E5607" s="221"/>
      <c r="F5607" s="221"/>
      <c r="G5607" s="221"/>
      <c r="H5607" s="221"/>
      <c r="I5607" s="221"/>
      <c r="J5607" s="221"/>
      <c r="K5607" s="221"/>
      <c r="L5607" s="221"/>
      <c r="M5607" s="221"/>
    </row>
    <row r="5608" spans="5:13">
      <c r="E5608" s="221"/>
      <c r="F5608" s="221"/>
      <c r="G5608" s="221"/>
      <c r="H5608" s="221"/>
      <c r="I5608" s="221"/>
      <c r="J5608" s="221"/>
      <c r="K5608" s="221"/>
      <c r="L5608" s="221"/>
      <c r="M5608" s="221"/>
    </row>
    <row r="5609" spans="5:13">
      <c r="E5609" s="221"/>
      <c r="F5609" s="221"/>
      <c r="G5609" s="221"/>
      <c r="H5609" s="221"/>
      <c r="I5609" s="221"/>
      <c r="J5609" s="221"/>
      <c r="K5609" s="221"/>
      <c r="L5609" s="221"/>
      <c r="M5609" s="221"/>
    </row>
    <row r="5610" spans="5:13">
      <c r="E5610" s="221"/>
      <c r="F5610" s="221"/>
      <c r="G5610" s="221"/>
      <c r="H5610" s="221"/>
      <c r="I5610" s="221"/>
      <c r="J5610" s="221"/>
      <c r="K5610" s="221"/>
      <c r="L5610" s="221"/>
      <c r="M5610" s="221"/>
    </row>
    <row r="5611" spans="5:13">
      <c r="E5611" s="221"/>
      <c r="F5611" s="221"/>
      <c r="G5611" s="221"/>
      <c r="H5611" s="221"/>
      <c r="I5611" s="221"/>
      <c r="J5611" s="221"/>
      <c r="K5611" s="221"/>
      <c r="L5611" s="221"/>
      <c r="M5611" s="221"/>
    </row>
    <row r="5612" spans="5:13">
      <c r="E5612" s="221"/>
      <c r="F5612" s="221"/>
      <c r="G5612" s="221"/>
      <c r="H5612" s="221"/>
      <c r="I5612" s="221"/>
      <c r="J5612" s="221"/>
      <c r="K5612" s="221"/>
      <c r="L5612" s="221"/>
      <c r="M5612" s="221"/>
    </row>
    <row r="5613" spans="5:13">
      <c r="E5613" s="221"/>
      <c r="F5613" s="221"/>
      <c r="G5613" s="221"/>
      <c r="H5613" s="221"/>
      <c r="I5613" s="221"/>
      <c r="J5613" s="221"/>
      <c r="K5613" s="221"/>
      <c r="L5613" s="221"/>
      <c r="M5613" s="221"/>
    </row>
    <row r="5614" spans="5:13">
      <c r="E5614" s="221"/>
      <c r="F5614" s="221"/>
      <c r="G5614" s="221"/>
      <c r="H5614" s="221"/>
      <c r="I5614" s="221"/>
      <c r="J5614" s="221"/>
      <c r="K5614" s="221"/>
      <c r="L5614" s="221"/>
      <c r="M5614" s="221"/>
    </row>
    <row r="5615" spans="5:13">
      <c r="E5615" s="221"/>
      <c r="F5615" s="221"/>
      <c r="G5615" s="221"/>
      <c r="H5615" s="221"/>
      <c r="I5615" s="221"/>
      <c r="J5615" s="221"/>
      <c r="K5615" s="221"/>
      <c r="L5615" s="221"/>
      <c r="M5615" s="221"/>
    </row>
    <row r="5616" spans="5:13">
      <c r="E5616" s="221"/>
      <c r="F5616" s="221"/>
      <c r="G5616" s="221"/>
      <c r="H5616" s="221"/>
      <c r="I5616" s="221"/>
      <c r="J5616" s="221"/>
      <c r="K5616" s="221"/>
      <c r="L5616" s="221"/>
      <c r="M5616" s="221"/>
    </row>
    <row r="5617" spans="5:13">
      <c r="E5617" s="221"/>
      <c r="F5617" s="221"/>
      <c r="G5617" s="221"/>
      <c r="H5617" s="221"/>
      <c r="I5617" s="221"/>
      <c r="J5617" s="221"/>
      <c r="K5617" s="221"/>
      <c r="L5617" s="221"/>
      <c r="M5617" s="221"/>
    </row>
    <row r="5618" spans="5:13">
      <c r="E5618" s="221"/>
      <c r="F5618" s="221"/>
      <c r="G5618" s="221"/>
      <c r="H5618" s="221"/>
      <c r="I5618" s="221"/>
      <c r="J5618" s="221"/>
      <c r="K5618" s="221"/>
      <c r="L5618" s="221"/>
      <c r="M5618" s="221"/>
    </row>
    <row r="5619" spans="5:13">
      <c r="E5619" s="221"/>
      <c r="F5619" s="221"/>
      <c r="G5619" s="221"/>
      <c r="H5619" s="221"/>
      <c r="I5619" s="221"/>
      <c r="J5619" s="221"/>
      <c r="K5619" s="221"/>
      <c r="L5619" s="221"/>
      <c r="M5619" s="221"/>
    </row>
    <row r="5620" spans="5:13">
      <c r="E5620" s="221"/>
      <c r="F5620" s="221"/>
      <c r="G5620" s="221"/>
      <c r="H5620" s="221"/>
      <c r="I5620" s="221"/>
      <c r="J5620" s="221"/>
      <c r="K5620" s="221"/>
      <c r="L5620" s="221"/>
      <c r="M5620" s="221"/>
    </row>
    <row r="5621" spans="5:13">
      <c r="E5621" s="221"/>
      <c r="F5621" s="221"/>
      <c r="G5621" s="221"/>
      <c r="H5621" s="221"/>
      <c r="I5621" s="221"/>
      <c r="J5621" s="221"/>
      <c r="K5621" s="221"/>
      <c r="L5621" s="221"/>
      <c r="M5621" s="221"/>
    </row>
    <row r="5622" spans="5:13">
      <c r="E5622" s="221"/>
      <c r="F5622" s="221"/>
      <c r="G5622" s="221"/>
      <c r="H5622" s="221"/>
      <c r="I5622" s="221"/>
      <c r="J5622" s="221"/>
      <c r="K5622" s="221"/>
      <c r="L5622" s="221"/>
      <c r="M5622" s="221"/>
    </row>
    <row r="5623" spans="5:13">
      <c r="E5623" s="221"/>
      <c r="F5623" s="221"/>
      <c r="G5623" s="221"/>
      <c r="H5623" s="221"/>
      <c r="I5623" s="221"/>
      <c r="J5623" s="221"/>
      <c r="K5623" s="221"/>
      <c r="L5623" s="221"/>
      <c r="M5623" s="221"/>
    </row>
    <row r="5624" spans="5:13">
      <c r="E5624" s="221"/>
      <c r="F5624" s="221"/>
      <c r="G5624" s="221"/>
      <c r="H5624" s="221"/>
      <c r="I5624" s="221"/>
      <c r="J5624" s="221"/>
      <c r="K5624" s="221"/>
      <c r="L5624" s="221"/>
      <c r="M5624" s="221"/>
    </row>
    <row r="5625" spans="5:13">
      <c r="E5625" s="221"/>
      <c r="F5625" s="221"/>
      <c r="G5625" s="221"/>
      <c r="H5625" s="221"/>
      <c r="I5625" s="221"/>
      <c r="J5625" s="221"/>
      <c r="K5625" s="221"/>
      <c r="L5625" s="221"/>
      <c r="M5625" s="221"/>
    </row>
    <row r="5626" spans="5:13">
      <c r="E5626" s="221"/>
      <c r="F5626" s="221"/>
      <c r="G5626" s="221"/>
      <c r="H5626" s="221"/>
      <c r="I5626" s="221"/>
      <c r="J5626" s="221"/>
      <c r="K5626" s="221"/>
      <c r="L5626" s="221"/>
      <c r="M5626" s="221"/>
    </row>
    <row r="5627" spans="5:13">
      <c r="E5627" s="221"/>
      <c r="F5627" s="221"/>
      <c r="G5627" s="221"/>
      <c r="H5627" s="221"/>
      <c r="I5627" s="221"/>
      <c r="J5627" s="221"/>
      <c r="K5627" s="221"/>
      <c r="L5627" s="221"/>
      <c r="M5627" s="221"/>
    </row>
    <row r="5628" spans="5:13">
      <c r="E5628" s="221"/>
      <c r="F5628" s="221"/>
      <c r="G5628" s="221"/>
      <c r="H5628" s="221"/>
      <c r="I5628" s="221"/>
      <c r="J5628" s="221"/>
      <c r="K5628" s="221"/>
      <c r="L5628" s="221"/>
      <c r="M5628" s="221"/>
    </row>
    <row r="5629" spans="5:13">
      <c r="E5629" s="221"/>
      <c r="F5629" s="221"/>
      <c r="G5629" s="221"/>
      <c r="H5629" s="221"/>
      <c r="I5629" s="221"/>
      <c r="J5629" s="221"/>
      <c r="K5629" s="221"/>
      <c r="L5629" s="221"/>
      <c r="M5629" s="221"/>
    </row>
    <row r="5630" spans="5:13">
      <c r="E5630" s="221"/>
      <c r="F5630" s="221"/>
      <c r="G5630" s="221"/>
      <c r="H5630" s="221"/>
      <c r="I5630" s="221"/>
      <c r="J5630" s="221"/>
      <c r="K5630" s="221"/>
      <c r="L5630" s="221"/>
      <c r="M5630" s="221"/>
    </row>
    <row r="5631" spans="5:13">
      <c r="E5631" s="221"/>
      <c r="F5631" s="221"/>
      <c r="G5631" s="221"/>
      <c r="H5631" s="221"/>
      <c r="I5631" s="221"/>
      <c r="J5631" s="221"/>
      <c r="K5631" s="221"/>
      <c r="L5631" s="221"/>
      <c r="M5631" s="221"/>
    </row>
    <row r="5632" spans="5:13">
      <c r="E5632" s="221"/>
      <c r="F5632" s="221"/>
      <c r="G5632" s="221"/>
      <c r="H5632" s="221"/>
      <c r="I5632" s="221"/>
      <c r="J5632" s="221"/>
      <c r="K5632" s="221"/>
      <c r="L5632" s="221"/>
      <c r="M5632" s="221"/>
    </row>
    <row r="5633" spans="5:13">
      <c r="E5633" s="221"/>
      <c r="F5633" s="221"/>
      <c r="G5633" s="221"/>
      <c r="H5633" s="221"/>
      <c r="I5633" s="221"/>
      <c r="J5633" s="221"/>
      <c r="K5633" s="221"/>
      <c r="L5633" s="221"/>
      <c r="M5633" s="221"/>
    </row>
    <row r="5634" spans="5:13">
      <c r="E5634" s="221"/>
      <c r="F5634" s="221"/>
      <c r="G5634" s="221"/>
      <c r="H5634" s="221"/>
      <c r="I5634" s="221"/>
      <c r="J5634" s="221"/>
      <c r="K5634" s="221"/>
      <c r="L5634" s="221"/>
      <c r="M5634" s="221"/>
    </row>
    <row r="5635" spans="5:13">
      <c r="E5635" s="221"/>
      <c r="F5635" s="221"/>
      <c r="G5635" s="221"/>
      <c r="H5635" s="221"/>
      <c r="I5635" s="221"/>
      <c r="J5635" s="221"/>
      <c r="K5635" s="221"/>
      <c r="L5635" s="221"/>
      <c r="M5635" s="221"/>
    </row>
    <row r="5636" spans="5:13">
      <c r="E5636" s="221"/>
      <c r="F5636" s="221"/>
      <c r="G5636" s="221"/>
      <c r="H5636" s="221"/>
      <c r="I5636" s="221"/>
      <c r="J5636" s="221"/>
      <c r="K5636" s="221"/>
      <c r="L5636" s="221"/>
      <c r="M5636" s="221"/>
    </row>
    <row r="5637" spans="5:13">
      <c r="E5637" s="221"/>
      <c r="F5637" s="221"/>
      <c r="G5637" s="221"/>
      <c r="H5637" s="221"/>
      <c r="I5637" s="221"/>
      <c r="J5637" s="221"/>
      <c r="K5637" s="221"/>
      <c r="L5637" s="221"/>
      <c r="M5637" s="221"/>
    </row>
    <row r="5638" spans="5:13">
      <c r="E5638" s="221"/>
      <c r="F5638" s="221"/>
      <c r="G5638" s="221"/>
      <c r="H5638" s="221"/>
      <c r="I5638" s="221"/>
      <c r="J5638" s="221"/>
      <c r="K5638" s="221"/>
      <c r="L5638" s="221"/>
      <c r="M5638" s="221"/>
    </row>
    <row r="5639" spans="5:13">
      <c r="E5639" s="221"/>
      <c r="F5639" s="221"/>
      <c r="G5639" s="221"/>
      <c r="H5639" s="221"/>
      <c r="I5639" s="221"/>
      <c r="J5639" s="221"/>
      <c r="K5639" s="221"/>
      <c r="L5639" s="221"/>
      <c r="M5639" s="221"/>
    </row>
    <row r="5640" spans="5:13">
      <c r="E5640" s="221"/>
      <c r="F5640" s="221"/>
      <c r="G5640" s="221"/>
      <c r="H5640" s="221"/>
      <c r="I5640" s="221"/>
      <c r="J5640" s="221"/>
      <c r="K5640" s="221"/>
      <c r="L5640" s="221"/>
      <c r="M5640" s="221"/>
    </row>
    <row r="5641" spans="5:13">
      <c r="E5641" s="221"/>
      <c r="F5641" s="221"/>
      <c r="G5641" s="221"/>
      <c r="H5641" s="221"/>
      <c r="I5641" s="221"/>
      <c r="J5641" s="221"/>
      <c r="K5641" s="221"/>
      <c r="L5641" s="221"/>
      <c r="M5641" s="221"/>
    </row>
    <row r="5642" spans="5:13">
      <c r="E5642" s="221"/>
      <c r="F5642" s="221"/>
      <c r="G5642" s="221"/>
      <c r="H5642" s="221"/>
      <c r="I5642" s="221"/>
      <c r="J5642" s="221"/>
      <c r="K5642" s="221"/>
      <c r="L5642" s="221"/>
      <c r="M5642" s="221"/>
    </row>
    <row r="5643" spans="5:13">
      <c r="E5643" s="221"/>
      <c r="F5643" s="221"/>
      <c r="G5643" s="221"/>
      <c r="H5643" s="221"/>
      <c r="I5643" s="221"/>
      <c r="J5643" s="221"/>
      <c r="K5643" s="221"/>
      <c r="L5643" s="221"/>
      <c r="M5643" s="221"/>
    </row>
    <row r="5644" spans="5:13">
      <c r="E5644" s="221"/>
      <c r="F5644" s="221"/>
      <c r="G5644" s="221"/>
      <c r="H5644" s="221"/>
      <c r="I5644" s="221"/>
      <c r="J5644" s="221"/>
      <c r="K5644" s="221"/>
      <c r="L5644" s="221"/>
      <c r="M5644" s="221"/>
    </row>
    <row r="5645" spans="5:13">
      <c r="E5645" s="221"/>
      <c r="F5645" s="221"/>
      <c r="G5645" s="221"/>
      <c r="H5645" s="221"/>
      <c r="I5645" s="221"/>
      <c r="J5645" s="221"/>
      <c r="K5645" s="221"/>
      <c r="L5645" s="221"/>
      <c r="M5645" s="221"/>
    </row>
    <row r="5646" spans="5:13">
      <c r="E5646" s="221"/>
      <c r="F5646" s="221"/>
      <c r="G5646" s="221"/>
      <c r="H5646" s="221"/>
      <c r="I5646" s="221"/>
      <c r="J5646" s="221"/>
      <c r="K5646" s="221"/>
      <c r="L5646" s="221"/>
      <c r="M5646" s="221"/>
    </row>
    <row r="5647" spans="5:13">
      <c r="E5647" s="221"/>
      <c r="F5647" s="221"/>
      <c r="G5647" s="221"/>
      <c r="H5647" s="221"/>
      <c r="I5647" s="221"/>
      <c r="J5647" s="221"/>
      <c r="K5647" s="221"/>
      <c r="L5647" s="221"/>
      <c r="M5647" s="221"/>
    </row>
    <row r="5648" spans="5:13">
      <c r="E5648" s="221"/>
      <c r="F5648" s="221"/>
      <c r="G5648" s="221"/>
      <c r="H5648" s="221"/>
      <c r="I5648" s="221"/>
      <c r="J5648" s="221"/>
      <c r="K5648" s="221"/>
      <c r="L5648" s="221"/>
      <c r="M5648" s="221"/>
    </row>
    <row r="5649" spans="5:13">
      <c r="E5649" s="221"/>
      <c r="F5649" s="221"/>
      <c r="G5649" s="221"/>
      <c r="H5649" s="221"/>
      <c r="I5649" s="221"/>
      <c r="J5649" s="221"/>
      <c r="K5649" s="221"/>
      <c r="L5649" s="221"/>
      <c r="M5649" s="221"/>
    </row>
    <row r="5650" spans="5:13">
      <c r="E5650" s="221"/>
      <c r="F5650" s="221"/>
      <c r="G5650" s="221"/>
      <c r="H5650" s="221"/>
      <c r="I5650" s="221"/>
      <c r="J5650" s="221"/>
      <c r="K5650" s="221"/>
      <c r="L5650" s="221"/>
      <c r="M5650" s="221"/>
    </row>
    <row r="5651" spans="5:13">
      <c r="E5651" s="221"/>
      <c r="F5651" s="221"/>
      <c r="G5651" s="221"/>
      <c r="H5651" s="221"/>
      <c r="I5651" s="221"/>
      <c r="J5651" s="221"/>
      <c r="K5651" s="221"/>
      <c r="L5651" s="221"/>
      <c r="M5651" s="221"/>
    </row>
    <row r="5652" spans="5:13">
      <c r="E5652" s="221"/>
      <c r="F5652" s="221"/>
      <c r="G5652" s="221"/>
      <c r="H5652" s="221"/>
      <c r="I5652" s="221"/>
      <c r="J5652" s="221"/>
      <c r="K5652" s="221"/>
      <c r="L5652" s="221"/>
      <c r="M5652" s="221"/>
    </row>
    <row r="5653" spans="5:13">
      <c r="E5653" s="221"/>
      <c r="F5653" s="221"/>
      <c r="G5653" s="221"/>
      <c r="H5653" s="221"/>
      <c r="I5653" s="221"/>
      <c r="J5653" s="221"/>
      <c r="K5653" s="221"/>
      <c r="L5653" s="221"/>
      <c r="M5653" s="221"/>
    </row>
    <row r="5654" spans="5:13">
      <c r="E5654" s="221"/>
      <c r="F5654" s="221"/>
      <c r="G5654" s="221"/>
      <c r="H5654" s="221"/>
      <c r="I5654" s="221"/>
      <c r="J5654" s="221"/>
      <c r="K5654" s="221"/>
      <c r="L5654" s="221"/>
      <c r="M5654" s="221"/>
    </row>
    <row r="5655" spans="5:13">
      <c r="E5655" s="221"/>
      <c r="F5655" s="221"/>
      <c r="G5655" s="221"/>
      <c r="H5655" s="221"/>
      <c r="I5655" s="221"/>
      <c r="J5655" s="221"/>
      <c r="K5655" s="221"/>
      <c r="L5655" s="221"/>
      <c r="M5655" s="221"/>
    </row>
    <row r="5656" spans="5:13">
      <c r="E5656" s="221"/>
      <c r="F5656" s="221"/>
      <c r="G5656" s="221"/>
      <c r="H5656" s="221"/>
      <c r="I5656" s="221"/>
      <c r="J5656" s="221"/>
      <c r="K5656" s="221"/>
      <c r="L5656" s="221"/>
      <c r="M5656" s="221"/>
    </row>
    <row r="5657" spans="5:13">
      <c r="E5657" s="221"/>
      <c r="F5657" s="221"/>
      <c r="G5657" s="221"/>
      <c r="H5657" s="221"/>
      <c r="I5657" s="221"/>
      <c r="J5657" s="221"/>
      <c r="K5657" s="221"/>
      <c r="L5657" s="221"/>
      <c r="M5657" s="221"/>
    </row>
    <row r="5658" spans="5:13">
      <c r="E5658" s="221"/>
      <c r="F5658" s="221"/>
      <c r="G5658" s="221"/>
      <c r="H5658" s="221"/>
      <c r="I5658" s="221"/>
      <c r="J5658" s="221"/>
      <c r="K5658" s="221"/>
      <c r="L5658" s="221"/>
      <c r="M5658" s="221"/>
    </row>
    <row r="5659" spans="5:13">
      <c r="E5659" s="221"/>
      <c r="F5659" s="221"/>
      <c r="G5659" s="221"/>
      <c r="H5659" s="221"/>
      <c r="I5659" s="221"/>
      <c r="J5659" s="221"/>
      <c r="K5659" s="221"/>
      <c r="L5659" s="221"/>
      <c r="M5659" s="221"/>
    </row>
    <row r="5660" spans="5:13">
      <c r="E5660" s="221"/>
      <c r="F5660" s="221"/>
      <c r="G5660" s="221"/>
      <c r="H5660" s="221"/>
      <c r="I5660" s="221"/>
      <c r="J5660" s="221"/>
      <c r="K5660" s="221"/>
      <c r="L5660" s="221"/>
      <c r="M5660" s="221"/>
    </row>
    <row r="5661" spans="5:13">
      <c r="E5661" s="221"/>
      <c r="F5661" s="221"/>
      <c r="G5661" s="221"/>
      <c r="H5661" s="221"/>
      <c r="I5661" s="221"/>
      <c r="J5661" s="221"/>
      <c r="K5661" s="221"/>
      <c r="L5661" s="221"/>
      <c r="M5661" s="221"/>
    </row>
    <row r="5662" spans="5:13">
      <c r="E5662" s="221"/>
      <c r="F5662" s="221"/>
      <c r="G5662" s="221"/>
      <c r="H5662" s="221"/>
      <c r="I5662" s="221"/>
      <c r="J5662" s="221"/>
      <c r="K5662" s="221"/>
      <c r="L5662" s="221"/>
      <c r="M5662" s="221"/>
    </row>
    <row r="5663" spans="5:13">
      <c r="E5663" s="221"/>
      <c r="F5663" s="221"/>
      <c r="G5663" s="221"/>
      <c r="H5663" s="221"/>
      <c r="I5663" s="221"/>
      <c r="J5663" s="221"/>
      <c r="K5663" s="221"/>
      <c r="L5663" s="221"/>
      <c r="M5663" s="221"/>
    </row>
    <row r="5664" spans="5:13">
      <c r="E5664" s="221"/>
      <c r="F5664" s="221"/>
      <c r="G5664" s="221"/>
      <c r="H5664" s="221"/>
      <c r="I5664" s="221"/>
      <c r="J5664" s="221"/>
      <c r="K5664" s="221"/>
      <c r="L5664" s="221"/>
      <c r="M5664" s="221"/>
    </row>
    <row r="5665" spans="5:13">
      <c r="E5665" s="221"/>
      <c r="F5665" s="221"/>
      <c r="G5665" s="221"/>
      <c r="H5665" s="221"/>
      <c r="I5665" s="221"/>
      <c r="J5665" s="221"/>
      <c r="K5665" s="221"/>
      <c r="L5665" s="221"/>
      <c r="M5665" s="221"/>
    </row>
    <row r="5666" spans="5:13">
      <c r="E5666" s="221"/>
      <c r="F5666" s="221"/>
      <c r="G5666" s="221"/>
      <c r="H5666" s="221"/>
      <c r="I5666" s="221"/>
      <c r="J5666" s="221"/>
      <c r="K5666" s="221"/>
      <c r="L5666" s="221"/>
      <c r="M5666" s="221"/>
    </row>
    <row r="5667" spans="5:13">
      <c r="E5667" s="221"/>
      <c r="F5667" s="221"/>
      <c r="G5667" s="221"/>
      <c r="H5667" s="221"/>
      <c r="I5667" s="221"/>
      <c r="J5667" s="221"/>
      <c r="K5667" s="221"/>
      <c r="L5667" s="221"/>
      <c r="M5667" s="221"/>
    </row>
    <row r="5668" spans="5:13">
      <c r="E5668" s="221"/>
      <c r="F5668" s="221"/>
      <c r="G5668" s="221"/>
      <c r="H5668" s="221"/>
      <c r="I5668" s="221"/>
      <c r="J5668" s="221"/>
      <c r="K5668" s="221"/>
      <c r="L5668" s="221"/>
      <c r="M5668" s="221"/>
    </row>
    <row r="5669" spans="5:13">
      <c r="E5669" s="221"/>
      <c r="F5669" s="221"/>
      <c r="G5669" s="221"/>
      <c r="H5669" s="221"/>
      <c r="I5669" s="221"/>
      <c r="J5669" s="221"/>
      <c r="K5669" s="221"/>
      <c r="L5669" s="221"/>
      <c r="M5669" s="221"/>
    </row>
    <row r="5670" spans="5:13">
      <c r="E5670" s="221"/>
      <c r="F5670" s="221"/>
      <c r="G5670" s="221"/>
      <c r="H5670" s="221"/>
      <c r="I5670" s="221"/>
      <c r="J5670" s="221"/>
      <c r="K5670" s="221"/>
      <c r="L5670" s="221"/>
      <c r="M5670" s="221"/>
    </row>
    <row r="5671" spans="5:13">
      <c r="E5671" s="221"/>
      <c r="F5671" s="221"/>
      <c r="G5671" s="221"/>
      <c r="H5671" s="221"/>
      <c r="I5671" s="221"/>
      <c r="J5671" s="221"/>
      <c r="K5671" s="221"/>
      <c r="L5671" s="221"/>
      <c r="M5671" s="221"/>
    </row>
    <row r="5672" spans="5:13">
      <c r="E5672" s="221"/>
      <c r="F5672" s="221"/>
      <c r="G5672" s="221"/>
      <c r="H5672" s="221"/>
      <c r="I5672" s="221"/>
      <c r="J5672" s="221"/>
      <c r="K5672" s="221"/>
      <c r="L5672" s="221"/>
      <c r="M5672" s="221"/>
    </row>
    <row r="5673" spans="5:13">
      <c r="E5673" s="221"/>
      <c r="F5673" s="221"/>
      <c r="G5673" s="221"/>
      <c r="H5673" s="221"/>
      <c r="I5673" s="221"/>
      <c r="J5673" s="221"/>
      <c r="K5673" s="221"/>
      <c r="L5673" s="221"/>
      <c r="M5673" s="221"/>
    </row>
    <row r="5674" spans="5:13">
      <c r="E5674" s="221"/>
      <c r="F5674" s="221"/>
      <c r="G5674" s="221"/>
      <c r="H5674" s="221"/>
      <c r="I5674" s="221"/>
      <c r="J5674" s="221"/>
      <c r="K5674" s="221"/>
      <c r="L5674" s="221"/>
      <c r="M5674" s="221"/>
    </row>
    <row r="5675" spans="5:13">
      <c r="E5675" s="221"/>
      <c r="F5675" s="221"/>
      <c r="G5675" s="221"/>
      <c r="H5675" s="221"/>
      <c r="I5675" s="221"/>
      <c r="J5675" s="221"/>
      <c r="K5675" s="221"/>
      <c r="L5675" s="221"/>
      <c r="M5675" s="221"/>
    </row>
    <row r="5676" spans="5:13">
      <c r="E5676" s="221"/>
      <c r="F5676" s="221"/>
      <c r="G5676" s="221"/>
      <c r="H5676" s="221"/>
      <c r="I5676" s="221"/>
      <c r="J5676" s="221"/>
      <c r="K5676" s="221"/>
      <c r="L5676" s="221"/>
      <c r="M5676" s="221"/>
    </row>
    <row r="5677" spans="5:13">
      <c r="E5677" s="221"/>
      <c r="F5677" s="221"/>
      <c r="G5677" s="221"/>
      <c r="H5677" s="221"/>
      <c r="I5677" s="221"/>
      <c r="J5677" s="221"/>
      <c r="K5677" s="221"/>
      <c r="L5677" s="221"/>
      <c r="M5677" s="221"/>
    </row>
    <row r="5678" spans="5:13">
      <c r="E5678" s="221"/>
      <c r="F5678" s="221"/>
      <c r="G5678" s="221"/>
      <c r="H5678" s="221"/>
      <c r="I5678" s="221"/>
      <c r="J5678" s="221"/>
      <c r="K5678" s="221"/>
      <c r="L5678" s="221"/>
      <c r="M5678" s="221"/>
    </row>
    <row r="5679" spans="5:13">
      <c r="E5679" s="221"/>
      <c r="F5679" s="221"/>
      <c r="G5679" s="221"/>
      <c r="H5679" s="221"/>
      <c r="I5679" s="221"/>
      <c r="J5679" s="221"/>
      <c r="K5679" s="221"/>
      <c r="L5679" s="221"/>
      <c r="M5679" s="221"/>
    </row>
    <row r="5680" spans="5:13">
      <c r="E5680" s="221"/>
      <c r="F5680" s="221"/>
      <c r="G5680" s="221"/>
      <c r="H5680" s="221"/>
      <c r="I5680" s="221"/>
      <c r="J5680" s="221"/>
      <c r="K5680" s="221"/>
      <c r="L5680" s="221"/>
      <c r="M5680" s="221"/>
    </row>
    <row r="5681" spans="5:13">
      <c r="E5681" s="221"/>
      <c r="F5681" s="221"/>
      <c r="G5681" s="221"/>
      <c r="H5681" s="221"/>
      <c r="I5681" s="221"/>
      <c r="J5681" s="221"/>
      <c r="K5681" s="221"/>
      <c r="L5681" s="221"/>
      <c r="M5681" s="221"/>
    </row>
    <row r="5682" spans="5:13">
      <c r="E5682" s="221"/>
      <c r="F5682" s="221"/>
      <c r="G5682" s="221"/>
      <c r="H5682" s="221"/>
      <c r="I5682" s="221"/>
      <c r="J5682" s="221"/>
      <c r="K5682" s="221"/>
      <c r="L5682" s="221"/>
      <c r="M5682" s="221"/>
    </row>
    <row r="5683" spans="5:13">
      <c r="E5683" s="221"/>
      <c r="F5683" s="221"/>
      <c r="G5683" s="221"/>
      <c r="H5683" s="221"/>
      <c r="I5683" s="221"/>
      <c r="J5683" s="221"/>
      <c r="K5683" s="221"/>
      <c r="L5683" s="221"/>
      <c r="M5683" s="221"/>
    </row>
    <row r="5684" spans="5:13">
      <c r="E5684" s="221"/>
      <c r="F5684" s="221"/>
      <c r="G5684" s="221"/>
      <c r="H5684" s="221"/>
      <c r="I5684" s="221"/>
      <c r="J5684" s="221"/>
      <c r="K5684" s="221"/>
      <c r="L5684" s="221"/>
      <c r="M5684" s="221"/>
    </row>
    <row r="5685" spans="5:13">
      <c r="E5685" s="221"/>
      <c r="F5685" s="221"/>
      <c r="G5685" s="221"/>
      <c r="H5685" s="221"/>
      <c r="I5685" s="221"/>
      <c r="J5685" s="221"/>
      <c r="K5685" s="221"/>
      <c r="L5685" s="221"/>
      <c r="M5685" s="221"/>
    </row>
    <row r="5686" spans="5:13">
      <c r="E5686" s="221"/>
      <c r="F5686" s="221"/>
      <c r="G5686" s="221"/>
      <c r="H5686" s="221"/>
      <c r="I5686" s="221"/>
      <c r="J5686" s="221"/>
      <c r="K5686" s="221"/>
      <c r="L5686" s="221"/>
      <c r="M5686" s="221"/>
    </row>
    <row r="5687" spans="5:13">
      <c r="E5687" s="221"/>
      <c r="F5687" s="221"/>
      <c r="G5687" s="221"/>
      <c r="H5687" s="221"/>
      <c r="I5687" s="221"/>
      <c r="J5687" s="221"/>
      <c r="K5687" s="221"/>
      <c r="L5687" s="221"/>
      <c r="M5687" s="221"/>
    </row>
    <row r="5688" spans="5:13">
      <c r="E5688" s="221"/>
      <c r="F5688" s="221"/>
      <c r="G5688" s="221"/>
      <c r="H5688" s="221"/>
      <c r="I5688" s="221"/>
      <c r="J5688" s="221"/>
      <c r="K5688" s="221"/>
      <c r="L5688" s="221"/>
      <c r="M5688" s="221"/>
    </row>
    <row r="5689" spans="5:13">
      <c r="E5689" s="221"/>
      <c r="F5689" s="221"/>
      <c r="G5689" s="221"/>
      <c r="H5689" s="221"/>
      <c r="I5689" s="221"/>
      <c r="J5689" s="221"/>
      <c r="K5689" s="221"/>
      <c r="L5689" s="221"/>
      <c r="M5689" s="221"/>
    </row>
    <row r="5690" spans="5:13">
      <c r="E5690" s="221"/>
      <c r="F5690" s="221"/>
      <c r="G5690" s="221"/>
      <c r="H5690" s="221"/>
      <c r="I5690" s="221"/>
      <c r="J5690" s="221"/>
      <c r="K5690" s="221"/>
      <c r="L5690" s="221"/>
      <c r="M5690" s="221"/>
    </row>
    <row r="5691" spans="5:13">
      <c r="E5691" s="221"/>
      <c r="F5691" s="221"/>
      <c r="G5691" s="221"/>
      <c r="H5691" s="221"/>
      <c r="I5691" s="221"/>
      <c r="J5691" s="221"/>
      <c r="K5691" s="221"/>
      <c r="L5691" s="221"/>
      <c r="M5691" s="221"/>
    </row>
    <row r="5692" spans="5:13">
      <c r="E5692" s="221"/>
      <c r="F5692" s="221"/>
      <c r="G5692" s="221"/>
      <c r="H5692" s="221"/>
      <c r="I5692" s="221"/>
      <c r="J5692" s="221"/>
      <c r="K5692" s="221"/>
      <c r="L5692" s="221"/>
      <c r="M5692" s="221"/>
    </row>
    <row r="5693" spans="5:13">
      <c r="E5693" s="221"/>
      <c r="F5693" s="221"/>
      <c r="G5693" s="221"/>
      <c r="H5693" s="221"/>
      <c r="I5693" s="221"/>
      <c r="J5693" s="221"/>
      <c r="K5693" s="221"/>
      <c r="L5693" s="221"/>
      <c r="M5693" s="221"/>
    </row>
    <row r="5694" spans="5:13">
      <c r="E5694" s="221"/>
      <c r="F5694" s="221"/>
      <c r="G5694" s="221"/>
      <c r="H5694" s="221"/>
      <c r="I5694" s="221"/>
      <c r="J5694" s="221"/>
      <c r="K5694" s="221"/>
      <c r="L5694" s="221"/>
      <c r="M5694" s="221"/>
    </row>
    <row r="5695" spans="5:13">
      <c r="E5695" s="221"/>
      <c r="F5695" s="221"/>
      <c r="G5695" s="221"/>
      <c r="H5695" s="221"/>
      <c r="I5695" s="221"/>
      <c r="J5695" s="221"/>
      <c r="K5695" s="221"/>
      <c r="L5695" s="221"/>
      <c r="M5695" s="221"/>
    </row>
    <row r="5696" spans="5:13">
      <c r="E5696" s="221"/>
      <c r="F5696" s="221"/>
      <c r="G5696" s="221"/>
      <c r="H5696" s="221"/>
      <c r="I5696" s="221"/>
      <c r="J5696" s="221"/>
      <c r="K5696" s="221"/>
      <c r="L5696" s="221"/>
      <c r="M5696" s="221"/>
    </row>
    <row r="5697" spans="5:13">
      <c r="E5697" s="221"/>
      <c r="F5697" s="221"/>
      <c r="G5697" s="221"/>
      <c r="H5697" s="221"/>
      <c r="I5697" s="221"/>
      <c r="J5697" s="221"/>
      <c r="K5697" s="221"/>
      <c r="L5697" s="221"/>
      <c r="M5697" s="221"/>
    </row>
    <row r="5698" spans="5:13">
      <c r="E5698" s="221"/>
      <c r="F5698" s="221"/>
      <c r="G5698" s="221"/>
      <c r="H5698" s="221"/>
      <c r="I5698" s="221"/>
      <c r="J5698" s="221"/>
      <c r="K5698" s="221"/>
      <c r="L5698" s="221"/>
      <c r="M5698" s="221"/>
    </row>
    <row r="5699" spans="5:13">
      <c r="E5699" s="221"/>
      <c r="F5699" s="221"/>
      <c r="G5699" s="221"/>
      <c r="H5699" s="221"/>
      <c r="I5699" s="221"/>
      <c r="J5699" s="221"/>
      <c r="K5699" s="221"/>
      <c r="L5699" s="221"/>
      <c r="M5699" s="221"/>
    </row>
    <row r="5700" spans="5:13">
      <c r="E5700" s="221"/>
      <c r="F5700" s="221"/>
      <c r="G5700" s="221"/>
      <c r="H5700" s="221"/>
      <c r="I5700" s="221"/>
      <c r="J5700" s="221"/>
      <c r="K5700" s="221"/>
      <c r="L5700" s="221"/>
      <c r="M5700" s="221"/>
    </row>
    <row r="5701" spans="5:13">
      <c r="E5701" s="221"/>
      <c r="F5701" s="221"/>
      <c r="G5701" s="221"/>
      <c r="H5701" s="221"/>
      <c r="I5701" s="221"/>
      <c r="J5701" s="221"/>
      <c r="K5701" s="221"/>
      <c r="L5701" s="221"/>
      <c r="M5701" s="221"/>
    </row>
    <row r="5702" spans="5:13">
      <c r="E5702" s="221"/>
      <c r="F5702" s="221"/>
      <c r="G5702" s="221"/>
      <c r="H5702" s="221"/>
      <c r="I5702" s="221"/>
      <c r="J5702" s="221"/>
      <c r="K5702" s="221"/>
      <c r="L5702" s="221"/>
      <c r="M5702" s="221"/>
    </row>
    <row r="5703" spans="5:13">
      <c r="E5703" s="221"/>
      <c r="F5703" s="221"/>
      <c r="G5703" s="221"/>
      <c r="H5703" s="221"/>
      <c r="I5703" s="221"/>
      <c r="J5703" s="221"/>
      <c r="K5703" s="221"/>
      <c r="L5703" s="221"/>
      <c r="M5703" s="221"/>
    </row>
    <row r="5704" spans="5:13">
      <c r="E5704" s="221"/>
      <c r="F5704" s="221"/>
      <c r="G5704" s="221"/>
      <c r="H5704" s="221"/>
      <c r="I5704" s="221"/>
      <c r="J5704" s="221"/>
      <c r="K5704" s="221"/>
      <c r="L5704" s="221"/>
      <c r="M5704" s="221"/>
    </row>
    <row r="5705" spans="5:13">
      <c r="E5705" s="221"/>
      <c r="F5705" s="221"/>
      <c r="G5705" s="221"/>
      <c r="H5705" s="221"/>
      <c r="I5705" s="221"/>
      <c r="J5705" s="221"/>
      <c r="K5705" s="221"/>
      <c r="L5705" s="221"/>
      <c r="M5705" s="221"/>
    </row>
    <row r="5706" spans="5:13">
      <c r="E5706" s="221"/>
      <c r="F5706" s="221"/>
      <c r="G5706" s="221"/>
      <c r="H5706" s="221"/>
      <c r="I5706" s="221"/>
      <c r="J5706" s="221"/>
      <c r="K5706" s="221"/>
      <c r="L5706" s="221"/>
      <c r="M5706" s="221"/>
    </row>
    <row r="5707" spans="5:13">
      <c r="E5707" s="221"/>
      <c r="F5707" s="221"/>
      <c r="G5707" s="221"/>
      <c r="H5707" s="221"/>
      <c r="I5707" s="221"/>
      <c r="J5707" s="221"/>
      <c r="K5707" s="221"/>
      <c r="L5707" s="221"/>
      <c r="M5707" s="221"/>
    </row>
    <row r="5708" spans="5:13">
      <c r="E5708" s="221"/>
      <c r="F5708" s="221"/>
      <c r="G5708" s="221"/>
      <c r="H5708" s="221"/>
      <c r="I5708" s="221"/>
      <c r="J5708" s="221"/>
      <c r="K5708" s="221"/>
      <c r="L5708" s="221"/>
      <c r="M5708" s="221"/>
    </row>
    <row r="5709" spans="5:13">
      <c r="E5709" s="221"/>
      <c r="F5709" s="221"/>
      <c r="G5709" s="221"/>
      <c r="H5709" s="221"/>
      <c r="I5709" s="221"/>
      <c r="J5709" s="221"/>
      <c r="K5709" s="221"/>
      <c r="L5709" s="221"/>
      <c r="M5709" s="221"/>
    </row>
    <row r="5710" spans="5:13">
      <c r="E5710" s="221"/>
      <c r="F5710" s="221"/>
      <c r="G5710" s="221"/>
      <c r="H5710" s="221"/>
      <c r="I5710" s="221"/>
      <c r="J5710" s="221"/>
      <c r="K5710" s="221"/>
      <c r="L5710" s="221"/>
      <c r="M5710" s="221"/>
    </row>
    <row r="5711" spans="5:13">
      <c r="E5711" s="221"/>
      <c r="F5711" s="221"/>
      <c r="G5711" s="221"/>
      <c r="H5711" s="221"/>
      <c r="I5711" s="221"/>
      <c r="J5711" s="221"/>
      <c r="K5711" s="221"/>
      <c r="L5711" s="221"/>
      <c r="M5711" s="221"/>
    </row>
    <row r="5712" spans="5:13">
      <c r="E5712" s="221"/>
      <c r="F5712" s="221"/>
      <c r="G5712" s="221"/>
      <c r="H5712" s="221"/>
      <c r="I5712" s="221"/>
      <c r="J5712" s="221"/>
      <c r="K5712" s="221"/>
      <c r="L5712" s="221"/>
      <c r="M5712" s="221"/>
    </row>
    <row r="5713" spans="5:13">
      <c r="E5713" s="221"/>
      <c r="F5713" s="221"/>
      <c r="G5713" s="221"/>
      <c r="H5713" s="221"/>
      <c r="I5713" s="221"/>
      <c r="J5713" s="221"/>
      <c r="K5713" s="221"/>
      <c r="L5713" s="221"/>
      <c r="M5713" s="221"/>
    </row>
    <row r="5714" spans="5:13">
      <c r="E5714" s="221"/>
      <c r="F5714" s="221"/>
      <c r="G5714" s="221"/>
      <c r="H5714" s="221"/>
      <c r="I5714" s="221"/>
      <c r="J5714" s="221"/>
      <c r="K5714" s="221"/>
      <c r="L5714" s="221"/>
      <c r="M5714" s="221"/>
    </row>
    <row r="5715" spans="5:13">
      <c r="E5715" s="221"/>
      <c r="F5715" s="221"/>
      <c r="G5715" s="221"/>
      <c r="H5715" s="221"/>
      <c r="I5715" s="221"/>
      <c r="J5715" s="221"/>
      <c r="K5715" s="221"/>
      <c r="L5715" s="221"/>
      <c r="M5715" s="221"/>
    </row>
    <row r="5716" spans="5:13">
      <c r="E5716" s="221"/>
      <c r="F5716" s="221"/>
      <c r="G5716" s="221"/>
      <c r="H5716" s="221"/>
      <c r="I5716" s="221"/>
      <c r="J5716" s="221"/>
      <c r="K5716" s="221"/>
      <c r="L5716" s="221"/>
      <c r="M5716" s="221"/>
    </row>
    <row r="5717" spans="5:13">
      <c r="E5717" s="221"/>
      <c r="F5717" s="221"/>
      <c r="G5717" s="221"/>
      <c r="H5717" s="221"/>
      <c r="I5717" s="221"/>
      <c r="J5717" s="221"/>
      <c r="K5717" s="221"/>
      <c r="L5717" s="221"/>
      <c r="M5717" s="221"/>
    </row>
    <row r="5718" spans="5:13">
      <c r="E5718" s="221"/>
      <c r="F5718" s="221"/>
      <c r="G5718" s="221"/>
      <c r="H5718" s="221"/>
      <c r="I5718" s="221"/>
      <c r="J5718" s="221"/>
      <c r="K5718" s="221"/>
      <c r="L5718" s="221"/>
      <c r="M5718" s="221"/>
    </row>
    <row r="5719" spans="5:13">
      <c r="E5719" s="221"/>
      <c r="F5719" s="221"/>
      <c r="G5719" s="221"/>
      <c r="H5719" s="221"/>
      <c r="I5719" s="221"/>
      <c r="J5719" s="221"/>
      <c r="K5719" s="221"/>
      <c r="L5719" s="221"/>
      <c r="M5719" s="221"/>
    </row>
    <row r="5720" spans="5:13">
      <c r="E5720" s="221"/>
      <c r="F5720" s="221"/>
      <c r="G5720" s="221"/>
      <c r="H5720" s="221"/>
      <c r="I5720" s="221"/>
      <c r="J5720" s="221"/>
      <c r="K5720" s="221"/>
      <c r="L5720" s="221"/>
      <c r="M5720" s="221"/>
    </row>
    <row r="5721" spans="5:13">
      <c r="E5721" s="221"/>
      <c r="F5721" s="221"/>
      <c r="G5721" s="221"/>
      <c r="H5721" s="221"/>
      <c r="I5721" s="221"/>
      <c r="J5721" s="221"/>
      <c r="K5721" s="221"/>
      <c r="L5721" s="221"/>
      <c r="M5721" s="221"/>
    </row>
    <row r="5722" spans="5:13">
      <c r="E5722" s="221"/>
      <c r="F5722" s="221"/>
      <c r="G5722" s="221"/>
      <c r="H5722" s="221"/>
      <c r="I5722" s="221"/>
      <c r="J5722" s="221"/>
      <c r="K5722" s="221"/>
      <c r="L5722" s="221"/>
      <c r="M5722" s="221"/>
    </row>
    <row r="5723" spans="5:13">
      <c r="E5723" s="221"/>
      <c r="F5723" s="221"/>
      <c r="G5723" s="221"/>
      <c r="H5723" s="221"/>
      <c r="I5723" s="221"/>
      <c r="J5723" s="221"/>
      <c r="K5723" s="221"/>
      <c r="L5723" s="221"/>
      <c r="M5723" s="221"/>
    </row>
    <row r="5724" spans="5:13">
      <c r="E5724" s="221"/>
      <c r="F5724" s="221"/>
      <c r="G5724" s="221"/>
      <c r="H5724" s="221"/>
      <c r="I5724" s="221"/>
      <c r="J5724" s="221"/>
      <c r="K5724" s="221"/>
      <c r="L5724" s="221"/>
      <c r="M5724" s="221"/>
    </row>
    <row r="5725" spans="5:13">
      <c r="E5725" s="221"/>
      <c r="F5725" s="221"/>
      <c r="G5725" s="221"/>
      <c r="H5725" s="221"/>
      <c r="I5725" s="221"/>
      <c r="J5725" s="221"/>
      <c r="K5725" s="221"/>
      <c r="L5725" s="221"/>
      <c r="M5725" s="221"/>
    </row>
    <row r="5726" spans="5:13">
      <c r="E5726" s="221"/>
      <c r="F5726" s="221"/>
      <c r="G5726" s="221"/>
      <c r="H5726" s="221"/>
      <c r="I5726" s="221"/>
      <c r="J5726" s="221"/>
      <c r="K5726" s="221"/>
      <c r="L5726" s="221"/>
      <c r="M5726" s="221"/>
    </row>
    <row r="5727" spans="5:13">
      <c r="E5727" s="221"/>
      <c r="F5727" s="221"/>
      <c r="G5727" s="221"/>
      <c r="H5727" s="221"/>
      <c r="I5727" s="221"/>
      <c r="J5727" s="221"/>
      <c r="K5727" s="221"/>
      <c r="L5727" s="221"/>
      <c r="M5727" s="221"/>
    </row>
    <row r="5728" spans="5:13">
      <c r="E5728" s="221"/>
      <c r="F5728" s="221"/>
      <c r="G5728" s="221"/>
      <c r="H5728" s="221"/>
      <c r="I5728" s="221"/>
      <c r="J5728" s="221"/>
      <c r="K5728" s="221"/>
      <c r="L5728" s="221"/>
      <c r="M5728" s="221"/>
    </row>
    <row r="5729" spans="5:13">
      <c r="E5729" s="221"/>
      <c r="F5729" s="221"/>
      <c r="G5729" s="221"/>
      <c r="H5729" s="221"/>
      <c r="I5729" s="221"/>
      <c r="J5729" s="221"/>
      <c r="K5729" s="221"/>
      <c r="L5729" s="221"/>
      <c r="M5729" s="221"/>
    </row>
    <row r="5730" spans="5:13">
      <c r="E5730" s="221"/>
      <c r="F5730" s="221"/>
      <c r="G5730" s="221"/>
      <c r="H5730" s="221"/>
      <c r="I5730" s="221"/>
      <c r="J5730" s="221"/>
      <c r="K5730" s="221"/>
      <c r="L5730" s="221"/>
      <c r="M5730" s="221"/>
    </row>
    <row r="5731" spans="5:13">
      <c r="E5731" s="221"/>
      <c r="F5731" s="221"/>
      <c r="G5731" s="221"/>
      <c r="H5731" s="221"/>
      <c r="I5731" s="221"/>
      <c r="J5731" s="221"/>
      <c r="K5731" s="221"/>
      <c r="L5731" s="221"/>
      <c r="M5731" s="221"/>
    </row>
    <row r="5732" spans="5:13">
      <c r="E5732" s="221"/>
      <c r="F5732" s="221"/>
      <c r="G5732" s="221"/>
      <c r="H5732" s="221"/>
      <c r="I5732" s="221"/>
      <c r="J5732" s="221"/>
      <c r="K5732" s="221"/>
      <c r="L5732" s="221"/>
      <c r="M5732" s="221"/>
    </row>
    <row r="5733" spans="5:13">
      <c r="E5733" s="221"/>
      <c r="F5733" s="221"/>
      <c r="G5733" s="221"/>
      <c r="H5733" s="221"/>
      <c r="I5733" s="221"/>
      <c r="J5733" s="221"/>
      <c r="K5733" s="221"/>
      <c r="L5733" s="221"/>
      <c r="M5733" s="221"/>
    </row>
    <row r="5734" spans="5:13">
      <c r="E5734" s="221"/>
      <c r="F5734" s="221"/>
      <c r="G5734" s="221"/>
      <c r="H5734" s="221"/>
      <c r="I5734" s="221"/>
      <c r="J5734" s="221"/>
      <c r="K5734" s="221"/>
      <c r="L5734" s="221"/>
      <c r="M5734" s="221"/>
    </row>
    <row r="5735" spans="5:13">
      <c r="E5735" s="221"/>
      <c r="F5735" s="221"/>
      <c r="G5735" s="221"/>
      <c r="H5735" s="221"/>
      <c r="I5735" s="221"/>
      <c r="J5735" s="221"/>
      <c r="K5735" s="221"/>
      <c r="L5735" s="221"/>
      <c r="M5735" s="221"/>
    </row>
    <row r="5736" spans="5:13">
      <c r="E5736" s="221"/>
      <c r="F5736" s="221"/>
      <c r="G5736" s="221"/>
      <c r="H5736" s="221"/>
      <c r="I5736" s="221"/>
      <c r="J5736" s="221"/>
      <c r="K5736" s="221"/>
      <c r="L5736" s="221"/>
      <c r="M5736" s="221"/>
    </row>
    <row r="5737" spans="5:13">
      <c r="E5737" s="221"/>
      <c r="F5737" s="221"/>
      <c r="G5737" s="221"/>
      <c r="H5737" s="221"/>
      <c r="I5737" s="221"/>
      <c r="J5737" s="221"/>
      <c r="K5737" s="221"/>
      <c r="L5737" s="221"/>
      <c r="M5737" s="221"/>
    </row>
    <row r="5738" spans="5:13">
      <c r="E5738" s="221"/>
      <c r="F5738" s="221"/>
      <c r="G5738" s="221"/>
      <c r="H5738" s="221"/>
      <c r="I5738" s="221"/>
      <c r="J5738" s="221"/>
      <c r="K5738" s="221"/>
      <c r="L5738" s="221"/>
      <c r="M5738" s="221"/>
    </row>
    <row r="5739" spans="5:13">
      <c r="E5739" s="221"/>
      <c r="F5739" s="221"/>
      <c r="G5739" s="221"/>
      <c r="H5739" s="221"/>
      <c r="I5739" s="221"/>
      <c r="J5739" s="221"/>
      <c r="K5739" s="221"/>
      <c r="L5739" s="221"/>
      <c r="M5739" s="221"/>
    </row>
    <row r="5740" spans="5:13">
      <c r="E5740" s="221"/>
      <c r="F5740" s="221"/>
      <c r="G5740" s="221"/>
      <c r="H5740" s="221"/>
      <c r="I5740" s="221"/>
      <c r="J5740" s="221"/>
      <c r="K5740" s="221"/>
      <c r="L5740" s="221"/>
      <c r="M5740" s="221"/>
    </row>
    <row r="5741" spans="5:13">
      <c r="E5741" s="221"/>
      <c r="F5741" s="221"/>
      <c r="G5741" s="221"/>
      <c r="H5741" s="221"/>
      <c r="I5741" s="221"/>
      <c r="J5741" s="221"/>
      <c r="K5741" s="221"/>
      <c r="L5741" s="221"/>
      <c r="M5741" s="221"/>
    </row>
    <row r="5742" spans="5:13">
      <c r="E5742" s="221"/>
      <c r="F5742" s="221"/>
      <c r="G5742" s="221"/>
      <c r="H5742" s="221"/>
      <c r="I5742" s="221"/>
      <c r="J5742" s="221"/>
      <c r="K5742" s="221"/>
      <c r="L5742" s="221"/>
      <c r="M5742" s="221"/>
    </row>
    <row r="5743" spans="5:13">
      <c r="E5743" s="221"/>
      <c r="F5743" s="221"/>
      <c r="G5743" s="221"/>
      <c r="H5743" s="221"/>
      <c r="I5743" s="221"/>
      <c r="J5743" s="221"/>
      <c r="K5743" s="221"/>
      <c r="L5743" s="221"/>
      <c r="M5743" s="221"/>
    </row>
    <row r="5744" spans="5:13">
      <c r="E5744" s="221"/>
      <c r="F5744" s="221"/>
      <c r="G5744" s="221"/>
      <c r="H5744" s="221"/>
      <c r="I5744" s="221"/>
      <c r="J5744" s="221"/>
      <c r="K5744" s="221"/>
      <c r="L5744" s="221"/>
      <c r="M5744" s="221"/>
    </row>
    <row r="5745" spans="5:13">
      <c r="E5745" s="221"/>
      <c r="F5745" s="221"/>
      <c r="G5745" s="221"/>
      <c r="H5745" s="221"/>
      <c r="I5745" s="221"/>
      <c r="J5745" s="221"/>
      <c r="K5745" s="221"/>
      <c r="L5745" s="221"/>
      <c r="M5745" s="221"/>
    </row>
    <row r="5746" spans="5:13">
      <c r="E5746" s="221"/>
      <c r="F5746" s="221"/>
      <c r="G5746" s="221"/>
      <c r="H5746" s="221"/>
      <c r="I5746" s="221"/>
      <c r="J5746" s="221"/>
      <c r="K5746" s="221"/>
      <c r="L5746" s="221"/>
      <c r="M5746" s="221"/>
    </row>
    <row r="5747" spans="5:13">
      <c r="E5747" s="221"/>
      <c r="F5747" s="221"/>
      <c r="G5747" s="221"/>
      <c r="H5747" s="221"/>
      <c r="I5747" s="221"/>
      <c r="J5747" s="221"/>
      <c r="K5747" s="221"/>
      <c r="L5747" s="221"/>
      <c r="M5747" s="221"/>
    </row>
    <row r="5748" spans="5:13">
      <c r="E5748" s="221"/>
      <c r="F5748" s="221"/>
      <c r="G5748" s="221"/>
      <c r="H5748" s="221"/>
      <c r="I5748" s="221"/>
      <c r="J5748" s="221"/>
      <c r="K5748" s="221"/>
      <c r="L5748" s="221"/>
      <c r="M5748" s="221"/>
    </row>
    <row r="5749" spans="5:13">
      <c r="E5749" s="221"/>
      <c r="F5749" s="221"/>
      <c r="G5749" s="221"/>
      <c r="H5749" s="221"/>
      <c r="I5749" s="221"/>
      <c r="J5749" s="221"/>
      <c r="K5749" s="221"/>
      <c r="L5749" s="221"/>
      <c r="M5749" s="221"/>
    </row>
    <row r="5750" spans="5:13">
      <c r="E5750" s="221"/>
      <c r="F5750" s="221"/>
      <c r="G5750" s="221"/>
      <c r="H5750" s="221"/>
      <c r="I5750" s="221"/>
      <c r="J5750" s="221"/>
      <c r="K5750" s="221"/>
      <c r="L5750" s="221"/>
      <c r="M5750" s="221"/>
    </row>
    <row r="5751" spans="5:13">
      <c r="E5751" s="221"/>
      <c r="F5751" s="221"/>
      <c r="G5751" s="221"/>
      <c r="H5751" s="221"/>
      <c r="I5751" s="221"/>
      <c r="J5751" s="221"/>
      <c r="K5751" s="221"/>
      <c r="L5751" s="221"/>
      <c r="M5751" s="221"/>
    </row>
    <row r="5752" spans="5:13">
      <c r="E5752" s="221"/>
      <c r="F5752" s="221"/>
      <c r="G5752" s="221"/>
      <c r="H5752" s="221"/>
      <c r="I5752" s="221"/>
      <c r="J5752" s="221"/>
      <c r="K5752" s="221"/>
      <c r="L5752" s="221"/>
      <c r="M5752" s="221"/>
    </row>
    <row r="5753" spans="5:13">
      <c r="E5753" s="221"/>
      <c r="F5753" s="221"/>
      <c r="G5753" s="221"/>
      <c r="H5753" s="221"/>
      <c r="I5753" s="221"/>
      <c r="J5753" s="221"/>
      <c r="K5753" s="221"/>
      <c r="L5753" s="221"/>
      <c r="M5753" s="221"/>
    </row>
    <row r="5754" spans="5:13">
      <c r="E5754" s="221"/>
      <c r="F5754" s="221"/>
      <c r="G5754" s="221"/>
      <c r="H5754" s="221"/>
      <c r="I5754" s="221"/>
      <c r="J5754" s="221"/>
      <c r="K5754" s="221"/>
      <c r="L5754" s="221"/>
      <c r="M5754" s="221"/>
    </row>
    <row r="5755" spans="5:13">
      <c r="E5755" s="221"/>
      <c r="F5755" s="221"/>
      <c r="G5755" s="221"/>
      <c r="H5755" s="221"/>
      <c r="I5755" s="221"/>
      <c r="J5755" s="221"/>
      <c r="K5755" s="221"/>
      <c r="L5755" s="221"/>
      <c r="M5755" s="221"/>
    </row>
    <row r="5756" spans="5:13">
      <c r="E5756" s="221"/>
      <c r="F5756" s="221"/>
      <c r="G5756" s="221"/>
      <c r="H5756" s="221"/>
      <c r="I5756" s="221"/>
      <c r="J5756" s="221"/>
      <c r="K5756" s="221"/>
      <c r="L5756" s="221"/>
      <c r="M5756" s="221"/>
    </row>
    <row r="5757" spans="5:13">
      <c r="E5757" s="221"/>
      <c r="F5757" s="221"/>
      <c r="G5757" s="221"/>
      <c r="H5757" s="221"/>
      <c r="I5757" s="221"/>
      <c r="J5757" s="221"/>
      <c r="K5757" s="221"/>
      <c r="L5757" s="221"/>
      <c r="M5757" s="221"/>
    </row>
    <row r="5758" spans="5:13">
      <c r="E5758" s="221"/>
      <c r="F5758" s="221"/>
      <c r="G5758" s="221"/>
      <c r="H5758" s="221"/>
      <c r="I5758" s="221"/>
      <c r="J5758" s="221"/>
      <c r="K5758" s="221"/>
      <c r="L5758" s="221"/>
      <c r="M5758" s="221"/>
    </row>
    <row r="5759" spans="5:13">
      <c r="E5759" s="221"/>
      <c r="F5759" s="221"/>
      <c r="G5759" s="221"/>
      <c r="H5759" s="221"/>
      <c r="I5759" s="221"/>
      <c r="J5759" s="221"/>
      <c r="K5759" s="221"/>
      <c r="L5759" s="221"/>
      <c r="M5759" s="221"/>
    </row>
    <row r="5760" spans="5:13">
      <c r="E5760" s="221"/>
      <c r="F5760" s="221"/>
      <c r="G5760" s="221"/>
      <c r="H5760" s="221"/>
      <c r="I5760" s="221"/>
      <c r="J5760" s="221"/>
      <c r="K5760" s="221"/>
      <c r="L5760" s="221"/>
      <c r="M5760" s="221"/>
    </row>
    <row r="5761" spans="5:13">
      <c r="E5761" s="221"/>
      <c r="F5761" s="221"/>
      <c r="G5761" s="221"/>
      <c r="H5761" s="221"/>
      <c r="I5761" s="221"/>
      <c r="J5761" s="221"/>
      <c r="K5761" s="221"/>
      <c r="L5761" s="221"/>
      <c r="M5761" s="221"/>
    </row>
    <row r="5762" spans="5:13">
      <c r="E5762" s="221"/>
      <c r="F5762" s="221"/>
      <c r="G5762" s="221"/>
      <c r="H5762" s="221"/>
      <c r="I5762" s="221"/>
      <c r="J5762" s="221"/>
      <c r="K5762" s="221"/>
      <c r="L5762" s="221"/>
      <c r="M5762" s="221"/>
    </row>
    <row r="5763" spans="5:13">
      <c r="E5763" s="221"/>
      <c r="F5763" s="221"/>
      <c r="G5763" s="221"/>
      <c r="H5763" s="221"/>
      <c r="I5763" s="221"/>
      <c r="J5763" s="221"/>
      <c r="K5763" s="221"/>
      <c r="L5763" s="221"/>
      <c r="M5763" s="221"/>
    </row>
    <row r="5764" spans="5:13">
      <c r="E5764" s="221"/>
      <c r="F5764" s="221"/>
      <c r="G5764" s="221"/>
      <c r="H5764" s="221"/>
      <c r="I5764" s="221"/>
      <c r="J5764" s="221"/>
      <c r="K5764" s="221"/>
      <c r="L5764" s="221"/>
      <c r="M5764" s="221"/>
    </row>
    <row r="5765" spans="5:13">
      <c r="E5765" s="221"/>
      <c r="F5765" s="221"/>
      <c r="G5765" s="221"/>
      <c r="H5765" s="221"/>
      <c r="I5765" s="221"/>
      <c r="J5765" s="221"/>
      <c r="K5765" s="221"/>
      <c r="L5765" s="221"/>
      <c r="M5765" s="221"/>
    </row>
    <row r="5766" spans="5:13">
      <c r="E5766" s="221"/>
      <c r="F5766" s="221"/>
      <c r="G5766" s="221"/>
      <c r="H5766" s="221"/>
      <c r="I5766" s="221"/>
      <c r="J5766" s="221"/>
      <c r="K5766" s="221"/>
      <c r="L5766" s="221"/>
      <c r="M5766" s="221"/>
    </row>
    <row r="5767" spans="5:13">
      <c r="E5767" s="221"/>
      <c r="F5767" s="221"/>
      <c r="G5767" s="221"/>
      <c r="H5767" s="221"/>
      <c r="I5767" s="221"/>
      <c r="J5767" s="221"/>
      <c r="K5767" s="221"/>
      <c r="L5767" s="221"/>
      <c r="M5767" s="221"/>
    </row>
    <row r="5768" spans="5:13">
      <c r="E5768" s="221"/>
      <c r="F5768" s="221"/>
      <c r="G5768" s="221"/>
      <c r="H5768" s="221"/>
      <c r="I5768" s="221"/>
      <c r="J5768" s="221"/>
      <c r="K5768" s="221"/>
      <c r="L5768" s="221"/>
      <c r="M5768" s="221"/>
    </row>
    <row r="5769" spans="5:13">
      <c r="E5769" s="221"/>
      <c r="F5769" s="221"/>
      <c r="G5769" s="221"/>
      <c r="H5769" s="221"/>
      <c r="I5769" s="221"/>
      <c r="J5769" s="221"/>
      <c r="K5769" s="221"/>
      <c r="L5769" s="221"/>
      <c r="M5769" s="221"/>
    </row>
    <row r="5770" spans="5:13">
      <c r="E5770" s="221"/>
      <c r="F5770" s="221"/>
      <c r="G5770" s="221"/>
      <c r="H5770" s="221"/>
      <c r="I5770" s="221"/>
      <c r="J5770" s="221"/>
      <c r="K5770" s="221"/>
      <c r="L5770" s="221"/>
      <c r="M5770" s="221"/>
    </row>
    <row r="5771" spans="5:13">
      <c r="E5771" s="221"/>
      <c r="F5771" s="221"/>
      <c r="G5771" s="221"/>
      <c r="H5771" s="221"/>
      <c r="I5771" s="221"/>
      <c r="J5771" s="221"/>
      <c r="K5771" s="221"/>
      <c r="L5771" s="221"/>
      <c r="M5771" s="221"/>
    </row>
    <row r="5772" spans="5:13">
      <c r="E5772" s="221"/>
      <c r="F5772" s="221"/>
      <c r="G5772" s="221"/>
      <c r="H5772" s="221"/>
      <c r="I5772" s="221"/>
      <c r="J5772" s="221"/>
      <c r="K5772" s="221"/>
      <c r="L5772" s="221"/>
      <c r="M5772" s="221"/>
    </row>
    <row r="5773" spans="5:13">
      <c r="E5773" s="221"/>
      <c r="F5773" s="221"/>
      <c r="G5773" s="221"/>
      <c r="H5773" s="221"/>
      <c r="I5773" s="221"/>
      <c r="J5773" s="221"/>
      <c r="K5773" s="221"/>
      <c r="L5773" s="221"/>
      <c r="M5773" s="221"/>
    </row>
    <row r="5774" spans="5:13">
      <c r="E5774" s="221"/>
      <c r="F5774" s="221"/>
      <c r="G5774" s="221"/>
      <c r="H5774" s="221"/>
      <c r="I5774" s="221"/>
      <c r="J5774" s="221"/>
      <c r="K5774" s="221"/>
      <c r="L5774" s="221"/>
      <c r="M5774" s="221"/>
    </row>
    <row r="5775" spans="5:13">
      <c r="E5775" s="221"/>
      <c r="F5775" s="221"/>
      <c r="G5775" s="221"/>
      <c r="H5775" s="221"/>
      <c r="I5775" s="221"/>
      <c r="J5775" s="221"/>
      <c r="K5775" s="221"/>
      <c r="L5775" s="221"/>
      <c r="M5775" s="221"/>
    </row>
    <row r="5776" spans="5:13">
      <c r="E5776" s="221"/>
      <c r="F5776" s="221"/>
      <c r="G5776" s="221"/>
      <c r="H5776" s="221"/>
      <c r="I5776" s="221"/>
      <c r="J5776" s="221"/>
      <c r="K5776" s="221"/>
      <c r="L5776" s="221"/>
      <c r="M5776" s="221"/>
    </row>
    <row r="5777" spans="5:13">
      <c r="E5777" s="221"/>
      <c r="F5777" s="221"/>
      <c r="G5777" s="221"/>
      <c r="H5777" s="221"/>
      <c r="I5777" s="221"/>
      <c r="J5777" s="221"/>
      <c r="K5777" s="221"/>
      <c r="L5777" s="221"/>
      <c r="M5777" s="221"/>
    </row>
    <row r="5778" spans="5:13">
      <c r="E5778" s="221"/>
      <c r="F5778" s="221"/>
      <c r="G5778" s="221"/>
      <c r="H5778" s="221"/>
      <c r="I5778" s="221"/>
      <c r="J5778" s="221"/>
      <c r="K5778" s="221"/>
      <c r="L5778" s="221"/>
      <c r="M5778" s="221"/>
    </row>
    <row r="5779" spans="5:13">
      <c r="E5779" s="221"/>
      <c r="F5779" s="221"/>
      <c r="G5779" s="221"/>
      <c r="H5779" s="221"/>
      <c r="I5779" s="221"/>
      <c r="J5779" s="221"/>
      <c r="K5779" s="221"/>
      <c r="L5779" s="221"/>
      <c r="M5779" s="221"/>
    </row>
    <row r="5780" spans="5:13">
      <c r="E5780" s="221"/>
      <c r="F5780" s="221"/>
      <c r="G5780" s="221"/>
      <c r="H5780" s="221"/>
      <c r="I5780" s="221"/>
      <c r="J5780" s="221"/>
      <c r="K5780" s="221"/>
      <c r="L5780" s="221"/>
      <c r="M5780" s="221"/>
    </row>
    <row r="5781" spans="5:13">
      <c r="E5781" s="221"/>
      <c r="F5781" s="221"/>
      <c r="G5781" s="221"/>
      <c r="H5781" s="221"/>
      <c r="I5781" s="221"/>
      <c r="J5781" s="221"/>
      <c r="K5781" s="221"/>
      <c r="L5781" s="221"/>
      <c r="M5781" s="221"/>
    </row>
    <row r="5782" spans="5:13">
      <c r="E5782" s="221"/>
      <c r="F5782" s="221"/>
      <c r="G5782" s="221"/>
      <c r="H5782" s="221"/>
      <c r="I5782" s="221"/>
      <c r="J5782" s="221"/>
      <c r="K5782" s="221"/>
      <c r="L5782" s="221"/>
      <c r="M5782" s="221"/>
    </row>
    <row r="5783" spans="5:13">
      <c r="E5783" s="221"/>
      <c r="F5783" s="221"/>
      <c r="G5783" s="221"/>
      <c r="H5783" s="221"/>
      <c r="I5783" s="221"/>
      <c r="J5783" s="221"/>
      <c r="K5783" s="221"/>
      <c r="L5783" s="221"/>
      <c r="M5783" s="221"/>
    </row>
    <row r="5784" spans="5:13">
      <c r="E5784" s="221"/>
      <c r="F5784" s="221"/>
      <c r="G5784" s="221"/>
      <c r="H5784" s="221"/>
      <c r="I5784" s="221"/>
      <c r="J5784" s="221"/>
      <c r="K5784" s="221"/>
      <c r="L5784" s="221"/>
      <c r="M5784" s="221"/>
    </row>
    <row r="5785" spans="5:13">
      <c r="E5785" s="221"/>
      <c r="F5785" s="221"/>
      <c r="G5785" s="221"/>
      <c r="H5785" s="221"/>
      <c r="I5785" s="221"/>
      <c r="J5785" s="221"/>
      <c r="K5785" s="221"/>
      <c r="L5785" s="221"/>
      <c r="M5785" s="221"/>
    </row>
    <row r="5786" spans="5:13">
      <c r="E5786" s="221"/>
      <c r="F5786" s="221"/>
      <c r="G5786" s="221"/>
      <c r="H5786" s="221"/>
      <c r="I5786" s="221"/>
      <c r="J5786" s="221"/>
      <c r="K5786" s="221"/>
      <c r="L5786" s="221"/>
      <c r="M5786" s="221"/>
    </row>
    <row r="5787" spans="5:13">
      <c r="E5787" s="221"/>
      <c r="F5787" s="221"/>
      <c r="G5787" s="221"/>
      <c r="H5787" s="221"/>
      <c r="I5787" s="221"/>
      <c r="J5787" s="221"/>
      <c r="K5787" s="221"/>
      <c r="L5787" s="221"/>
      <c r="M5787" s="221"/>
    </row>
    <row r="5788" spans="5:13">
      <c r="E5788" s="221"/>
      <c r="F5788" s="221"/>
      <c r="G5788" s="221"/>
      <c r="H5788" s="221"/>
      <c r="I5788" s="221"/>
      <c r="J5788" s="221"/>
      <c r="K5788" s="221"/>
      <c r="L5788" s="221"/>
      <c r="M5788" s="221"/>
    </row>
    <row r="5789" spans="5:13">
      <c r="E5789" s="221"/>
      <c r="F5789" s="221"/>
      <c r="G5789" s="221"/>
      <c r="H5789" s="221"/>
      <c r="I5789" s="221"/>
      <c r="J5789" s="221"/>
      <c r="K5789" s="221"/>
      <c r="L5789" s="221"/>
      <c r="M5789" s="221"/>
    </row>
    <row r="5790" spans="5:13">
      <c r="E5790" s="221"/>
      <c r="F5790" s="221"/>
      <c r="G5790" s="221"/>
      <c r="H5790" s="221"/>
      <c r="I5790" s="221"/>
      <c r="J5790" s="221"/>
      <c r="K5790" s="221"/>
      <c r="L5790" s="221"/>
      <c r="M5790" s="221"/>
    </row>
    <row r="5791" spans="5:13">
      <c r="E5791" s="221"/>
      <c r="F5791" s="221"/>
      <c r="G5791" s="221"/>
      <c r="H5791" s="221"/>
      <c r="I5791" s="221"/>
      <c r="J5791" s="221"/>
      <c r="K5791" s="221"/>
      <c r="L5791" s="221"/>
      <c r="M5791" s="221"/>
    </row>
    <row r="5792" spans="5:13">
      <c r="E5792" s="221"/>
      <c r="F5792" s="221"/>
      <c r="G5792" s="221"/>
      <c r="H5792" s="221"/>
      <c r="I5792" s="221"/>
      <c r="J5792" s="221"/>
      <c r="K5792" s="221"/>
      <c r="L5792" s="221"/>
      <c r="M5792" s="221"/>
    </row>
    <row r="5793" spans="5:13">
      <c r="E5793" s="221"/>
      <c r="F5793" s="221"/>
      <c r="G5793" s="221"/>
      <c r="H5793" s="221"/>
      <c r="I5793" s="221"/>
      <c r="J5793" s="221"/>
      <c r="K5793" s="221"/>
      <c r="L5793" s="221"/>
      <c r="M5793" s="221"/>
    </row>
    <row r="5794" spans="5:13">
      <c r="E5794" s="221"/>
      <c r="F5794" s="221"/>
      <c r="G5794" s="221"/>
      <c r="H5794" s="221"/>
      <c r="I5794" s="221"/>
      <c r="J5794" s="221"/>
      <c r="K5794" s="221"/>
      <c r="L5794" s="221"/>
      <c r="M5794" s="221"/>
    </row>
    <row r="5795" spans="5:13">
      <c r="E5795" s="221"/>
      <c r="F5795" s="221"/>
      <c r="G5795" s="221"/>
      <c r="H5795" s="221"/>
      <c r="I5795" s="221"/>
      <c r="J5795" s="221"/>
      <c r="K5795" s="221"/>
      <c r="L5795" s="221"/>
      <c r="M5795" s="221"/>
    </row>
    <row r="5796" spans="5:13">
      <c r="E5796" s="221"/>
      <c r="F5796" s="221"/>
      <c r="G5796" s="221"/>
      <c r="H5796" s="221"/>
      <c r="I5796" s="221"/>
      <c r="J5796" s="221"/>
      <c r="K5796" s="221"/>
      <c r="L5796" s="221"/>
      <c r="M5796" s="221"/>
    </row>
    <row r="5797" spans="5:13">
      <c r="E5797" s="221"/>
      <c r="F5797" s="221"/>
      <c r="G5797" s="221"/>
      <c r="H5797" s="221"/>
      <c r="I5797" s="221"/>
      <c r="J5797" s="221"/>
      <c r="K5797" s="221"/>
      <c r="L5797" s="221"/>
      <c r="M5797" s="221"/>
    </row>
    <row r="5798" spans="5:13">
      <c r="E5798" s="221"/>
      <c r="F5798" s="221"/>
      <c r="G5798" s="221"/>
      <c r="H5798" s="221"/>
      <c r="I5798" s="221"/>
      <c r="J5798" s="221"/>
      <c r="K5798" s="221"/>
      <c r="L5798" s="221"/>
      <c r="M5798" s="221"/>
    </row>
    <row r="5799" spans="5:13">
      <c r="E5799" s="221"/>
      <c r="F5799" s="221"/>
      <c r="G5799" s="221"/>
      <c r="H5799" s="221"/>
      <c r="I5799" s="221"/>
      <c r="J5799" s="221"/>
      <c r="K5799" s="221"/>
      <c r="L5799" s="221"/>
      <c r="M5799" s="221"/>
    </row>
    <row r="5800" spans="5:13">
      <c r="E5800" s="221"/>
      <c r="F5800" s="221"/>
      <c r="G5800" s="221"/>
      <c r="H5800" s="221"/>
      <c r="I5800" s="221"/>
      <c r="J5800" s="221"/>
      <c r="K5800" s="221"/>
      <c r="L5800" s="221"/>
      <c r="M5800" s="221"/>
    </row>
    <row r="5801" spans="5:13">
      <c r="E5801" s="221"/>
      <c r="F5801" s="221"/>
      <c r="G5801" s="221"/>
      <c r="H5801" s="221"/>
      <c r="I5801" s="221"/>
      <c r="J5801" s="221"/>
      <c r="K5801" s="221"/>
      <c r="L5801" s="221"/>
      <c r="M5801" s="221"/>
    </row>
    <row r="5802" spans="5:13">
      <c r="E5802" s="221"/>
      <c r="F5802" s="221"/>
      <c r="G5802" s="221"/>
      <c r="H5802" s="221"/>
      <c r="I5802" s="221"/>
      <c r="J5802" s="221"/>
      <c r="K5802" s="221"/>
      <c r="L5802" s="221"/>
      <c r="M5802" s="221"/>
    </row>
    <row r="5803" spans="5:13">
      <c r="E5803" s="221"/>
      <c r="F5803" s="221"/>
      <c r="G5803" s="221"/>
      <c r="H5803" s="221"/>
      <c r="I5803" s="221"/>
      <c r="J5803" s="221"/>
      <c r="K5803" s="221"/>
      <c r="L5803" s="221"/>
      <c r="M5803" s="221"/>
    </row>
    <row r="5804" spans="5:13">
      <c r="E5804" s="221"/>
      <c r="F5804" s="221"/>
      <c r="G5804" s="221"/>
      <c r="H5804" s="221"/>
      <c r="I5804" s="221"/>
      <c r="J5804" s="221"/>
      <c r="K5804" s="221"/>
      <c r="L5804" s="221"/>
      <c r="M5804" s="221"/>
    </row>
    <row r="5805" spans="5:13">
      <c r="E5805" s="221"/>
      <c r="F5805" s="221"/>
      <c r="G5805" s="221"/>
      <c r="H5805" s="221"/>
      <c r="I5805" s="221"/>
      <c r="J5805" s="221"/>
      <c r="K5805" s="221"/>
      <c r="L5805" s="221"/>
      <c r="M5805" s="221"/>
    </row>
    <row r="5806" spans="5:13">
      <c r="E5806" s="221"/>
      <c r="F5806" s="221"/>
      <c r="G5806" s="221"/>
      <c r="H5806" s="221"/>
      <c r="I5806" s="221"/>
      <c r="J5806" s="221"/>
      <c r="K5806" s="221"/>
      <c r="L5806" s="221"/>
      <c r="M5806" s="221"/>
    </row>
    <row r="5807" spans="5:13">
      <c r="E5807" s="221"/>
      <c r="F5807" s="221"/>
      <c r="G5807" s="221"/>
      <c r="H5807" s="221"/>
      <c r="I5807" s="221"/>
      <c r="J5807" s="221"/>
      <c r="K5807" s="221"/>
      <c r="L5807" s="221"/>
      <c r="M5807" s="221"/>
    </row>
    <row r="5808" spans="5:13">
      <c r="E5808" s="221"/>
      <c r="F5808" s="221"/>
      <c r="G5808" s="221"/>
      <c r="H5808" s="221"/>
      <c r="I5808" s="221"/>
      <c r="J5808" s="221"/>
      <c r="K5808" s="221"/>
      <c r="L5808" s="221"/>
      <c r="M5808" s="221"/>
    </row>
    <row r="5809" spans="5:13">
      <c r="E5809" s="221"/>
      <c r="F5809" s="221"/>
      <c r="G5809" s="221"/>
      <c r="H5809" s="221"/>
      <c r="I5809" s="221"/>
      <c r="J5809" s="221"/>
      <c r="K5809" s="221"/>
      <c r="L5809" s="221"/>
      <c r="M5809" s="221"/>
    </row>
    <row r="5810" spans="5:13">
      <c r="E5810" s="221"/>
      <c r="F5810" s="221"/>
      <c r="G5810" s="221"/>
      <c r="H5810" s="221"/>
      <c r="I5810" s="221"/>
      <c r="J5810" s="221"/>
      <c r="K5810" s="221"/>
      <c r="L5810" s="221"/>
      <c r="M5810" s="221"/>
    </row>
    <row r="5811" spans="5:13">
      <c r="E5811" s="221"/>
      <c r="F5811" s="221"/>
      <c r="G5811" s="221"/>
      <c r="H5811" s="221"/>
      <c r="I5811" s="221"/>
      <c r="J5811" s="221"/>
      <c r="K5811" s="221"/>
      <c r="L5811" s="221"/>
      <c r="M5811" s="221"/>
    </row>
    <row r="5812" spans="5:13">
      <c r="E5812" s="221"/>
      <c r="F5812" s="221"/>
      <c r="G5812" s="221"/>
      <c r="H5812" s="221"/>
      <c r="I5812" s="221"/>
      <c r="J5812" s="221"/>
      <c r="K5812" s="221"/>
      <c r="L5812" s="221"/>
      <c r="M5812" s="221"/>
    </row>
    <row r="5813" spans="5:13">
      <c r="E5813" s="221"/>
      <c r="F5813" s="221"/>
      <c r="G5813" s="221"/>
      <c r="H5813" s="221"/>
      <c r="I5813" s="221"/>
      <c r="J5813" s="221"/>
      <c r="K5813" s="221"/>
      <c r="L5813" s="221"/>
      <c r="M5813" s="221"/>
    </row>
    <row r="5814" spans="5:13">
      <c r="E5814" s="221"/>
      <c r="F5814" s="221"/>
      <c r="G5814" s="221"/>
      <c r="H5814" s="221"/>
      <c r="I5814" s="221"/>
      <c r="J5814" s="221"/>
      <c r="K5814" s="221"/>
      <c r="L5814" s="221"/>
      <c r="M5814" s="221"/>
    </row>
    <row r="5815" spans="5:13">
      <c r="E5815" s="221"/>
      <c r="F5815" s="221"/>
      <c r="G5815" s="221"/>
      <c r="H5815" s="221"/>
      <c r="I5815" s="221"/>
      <c r="J5815" s="221"/>
      <c r="K5815" s="221"/>
      <c r="L5815" s="221"/>
      <c r="M5815" s="221"/>
    </row>
    <row r="5816" spans="5:13">
      <c r="E5816" s="221"/>
      <c r="F5816" s="221"/>
      <c r="G5816" s="221"/>
      <c r="H5816" s="221"/>
      <c r="I5816" s="221"/>
      <c r="J5816" s="221"/>
      <c r="K5816" s="221"/>
      <c r="L5816" s="221"/>
      <c r="M5816" s="221"/>
    </row>
    <row r="5817" spans="5:13">
      <c r="E5817" s="221"/>
      <c r="F5817" s="221"/>
      <c r="G5817" s="221"/>
      <c r="H5817" s="221"/>
      <c r="I5817" s="221"/>
      <c r="J5817" s="221"/>
      <c r="K5817" s="221"/>
      <c r="L5817" s="221"/>
      <c r="M5817" s="221"/>
    </row>
    <row r="5818" spans="5:13">
      <c r="E5818" s="221"/>
      <c r="F5818" s="221"/>
      <c r="G5818" s="221"/>
      <c r="H5818" s="221"/>
      <c r="I5818" s="221"/>
      <c r="J5818" s="221"/>
      <c r="K5818" s="221"/>
      <c r="L5818" s="221"/>
      <c r="M5818" s="221"/>
    </row>
    <row r="5819" spans="5:13">
      <c r="E5819" s="221"/>
      <c r="F5819" s="221"/>
      <c r="G5819" s="221"/>
      <c r="H5819" s="221"/>
      <c r="I5819" s="221"/>
      <c r="J5819" s="221"/>
      <c r="K5819" s="221"/>
      <c r="L5819" s="221"/>
      <c r="M5819" s="221"/>
    </row>
    <row r="5820" spans="5:13">
      <c r="E5820" s="221"/>
      <c r="F5820" s="221"/>
      <c r="G5820" s="221"/>
      <c r="H5820" s="221"/>
      <c r="I5820" s="221"/>
      <c r="J5820" s="221"/>
      <c r="K5820" s="221"/>
      <c r="L5820" s="221"/>
      <c r="M5820" s="221"/>
    </row>
    <row r="5821" spans="5:13">
      <c r="E5821" s="221"/>
      <c r="F5821" s="221"/>
      <c r="G5821" s="221"/>
      <c r="H5821" s="221"/>
      <c r="I5821" s="221"/>
      <c r="J5821" s="221"/>
      <c r="K5821" s="221"/>
      <c r="L5821" s="221"/>
      <c r="M5821" s="221"/>
    </row>
    <row r="5822" spans="5:13">
      <c r="E5822" s="221"/>
      <c r="F5822" s="221"/>
      <c r="G5822" s="221"/>
      <c r="H5822" s="221"/>
      <c r="I5822" s="221"/>
      <c r="J5822" s="221"/>
      <c r="K5822" s="221"/>
      <c r="L5822" s="221"/>
      <c r="M5822" s="221"/>
    </row>
    <row r="5823" spans="5:13">
      <c r="E5823" s="221"/>
      <c r="F5823" s="221"/>
      <c r="G5823" s="221"/>
      <c r="H5823" s="221"/>
      <c r="I5823" s="221"/>
      <c r="J5823" s="221"/>
      <c r="K5823" s="221"/>
      <c r="L5823" s="221"/>
      <c r="M5823" s="221"/>
    </row>
    <row r="5824" spans="5:13">
      <c r="E5824" s="221"/>
      <c r="F5824" s="221"/>
      <c r="G5824" s="221"/>
      <c r="H5824" s="221"/>
      <c r="I5824" s="221"/>
      <c r="J5824" s="221"/>
      <c r="K5824" s="221"/>
      <c r="L5824" s="221"/>
      <c r="M5824" s="221"/>
    </row>
    <row r="5825" spans="5:13">
      <c r="E5825" s="221"/>
      <c r="F5825" s="221"/>
      <c r="G5825" s="221"/>
      <c r="H5825" s="221"/>
      <c r="I5825" s="221"/>
      <c r="J5825" s="221"/>
      <c r="K5825" s="221"/>
      <c r="L5825" s="221"/>
      <c r="M5825" s="221"/>
    </row>
    <row r="5826" spans="5:13">
      <c r="E5826" s="221"/>
      <c r="F5826" s="221"/>
      <c r="G5826" s="221"/>
      <c r="H5826" s="221"/>
      <c r="I5826" s="221"/>
      <c r="J5826" s="221"/>
      <c r="K5826" s="221"/>
      <c r="L5826" s="221"/>
      <c r="M5826" s="221"/>
    </row>
    <row r="5827" spans="5:13">
      <c r="E5827" s="221"/>
      <c r="F5827" s="221"/>
      <c r="G5827" s="221"/>
      <c r="H5827" s="221"/>
      <c r="I5827" s="221"/>
      <c r="J5827" s="221"/>
      <c r="K5827" s="221"/>
      <c r="L5827" s="221"/>
      <c r="M5827" s="221"/>
    </row>
    <row r="5828" spans="5:13">
      <c r="E5828" s="221"/>
      <c r="F5828" s="221"/>
      <c r="G5828" s="221"/>
      <c r="H5828" s="221"/>
      <c r="I5828" s="221"/>
      <c r="J5828" s="221"/>
      <c r="K5828" s="221"/>
      <c r="L5828" s="221"/>
      <c r="M5828" s="221"/>
    </row>
    <row r="5829" spans="5:13">
      <c r="E5829" s="221"/>
      <c r="F5829" s="221"/>
      <c r="G5829" s="221"/>
      <c r="H5829" s="221"/>
      <c r="I5829" s="221"/>
      <c r="J5829" s="221"/>
      <c r="K5829" s="221"/>
      <c r="L5829" s="221"/>
      <c r="M5829" s="221"/>
    </row>
    <row r="5830" spans="5:13">
      <c r="E5830" s="221"/>
      <c r="F5830" s="221"/>
      <c r="G5830" s="221"/>
      <c r="H5830" s="221"/>
      <c r="I5830" s="221"/>
      <c r="J5830" s="221"/>
      <c r="K5830" s="221"/>
      <c r="L5830" s="221"/>
      <c r="M5830" s="221"/>
    </row>
    <row r="5831" spans="5:13">
      <c r="E5831" s="221"/>
      <c r="F5831" s="221"/>
      <c r="G5831" s="221"/>
      <c r="H5831" s="221"/>
      <c r="I5831" s="221"/>
      <c r="J5831" s="221"/>
      <c r="K5831" s="221"/>
      <c r="L5831" s="221"/>
      <c r="M5831" s="221"/>
    </row>
    <row r="5832" spans="5:13">
      <c r="E5832" s="221"/>
      <c r="F5832" s="221"/>
      <c r="G5832" s="221"/>
      <c r="H5832" s="221"/>
      <c r="I5832" s="221"/>
      <c r="J5832" s="221"/>
      <c r="K5832" s="221"/>
      <c r="L5832" s="221"/>
      <c r="M5832" s="221"/>
    </row>
    <row r="5833" spans="5:13">
      <c r="E5833" s="221"/>
      <c r="F5833" s="221"/>
      <c r="G5833" s="221"/>
      <c r="H5833" s="221"/>
      <c r="I5833" s="221"/>
      <c r="J5833" s="221"/>
      <c r="K5833" s="221"/>
      <c r="L5833" s="221"/>
      <c r="M5833" s="221"/>
    </row>
    <row r="5834" spans="5:13">
      <c r="E5834" s="221"/>
      <c r="F5834" s="221"/>
      <c r="G5834" s="221"/>
      <c r="H5834" s="221"/>
      <c r="I5834" s="221"/>
      <c r="J5834" s="221"/>
      <c r="K5834" s="221"/>
      <c r="L5834" s="221"/>
      <c r="M5834" s="221"/>
    </row>
    <row r="5835" spans="5:13">
      <c r="E5835" s="221"/>
      <c r="F5835" s="221"/>
      <c r="G5835" s="221"/>
      <c r="H5835" s="221"/>
      <c r="I5835" s="221"/>
      <c r="J5835" s="221"/>
      <c r="K5835" s="221"/>
      <c r="L5835" s="221"/>
      <c r="M5835" s="221"/>
    </row>
    <row r="5836" spans="5:13">
      <c r="E5836" s="221"/>
      <c r="F5836" s="221"/>
      <c r="G5836" s="221"/>
      <c r="H5836" s="221"/>
      <c r="I5836" s="221"/>
      <c r="J5836" s="221"/>
      <c r="K5836" s="221"/>
      <c r="L5836" s="221"/>
      <c r="M5836" s="221"/>
    </row>
    <row r="5837" spans="5:13">
      <c r="E5837" s="221"/>
      <c r="F5837" s="221"/>
      <c r="G5837" s="221"/>
      <c r="H5837" s="221"/>
      <c r="I5837" s="221"/>
      <c r="J5837" s="221"/>
      <c r="K5837" s="221"/>
      <c r="L5837" s="221"/>
      <c r="M5837" s="221"/>
    </row>
    <row r="5838" spans="5:13">
      <c r="E5838" s="221"/>
      <c r="F5838" s="221"/>
      <c r="G5838" s="221"/>
      <c r="H5838" s="221"/>
      <c r="I5838" s="221"/>
      <c r="J5838" s="221"/>
      <c r="K5838" s="221"/>
      <c r="L5838" s="221"/>
      <c r="M5838" s="221"/>
    </row>
    <row r="5839" spans="5:13">
      <c r="E5839" s="221"/>
      <c r="F5839" s="221"/>
      <c r="G5839" s="221"/>
      <c r="H5839" s="221"/>
      <c r="I5839" s="221"/>
      <c r="J5839" s="221"/>
      <c r="K5839" s="221"/>
      <c r="L5839" s="221"/>
      <c r="M5839" s="221"/>
    </row>
    <row r="5840" spans="5:13">
      <c r="E5840" s="221"/>
      <c r="F5840" s="221"/>
      <c r="G5840" s="221"/>
      <c r="H5840" s="221"/>
      <c r="I5840" s="221"/>
      <c r="J5840" s="221"/>
      <c r="K5840" s="221"/>
      <c r="L5840" s="221"/>
      <c r="M5840" s="221"/>
    </row>
    <row r="5841" spans="5:13">
      <c r="E5841" s="221"/>
      <c r="F5841" s="221"/>
      <c r="G5841" s="221"/>
      <c r="H5841" s="221"/>
      <c r="I5841" s="221"/>
      <c r="J5841" s="221"/>
      <c r="K5841" s="221"/>
      <c r="L5841" s="221"/>
      <c r="M5841" s="221"/>
    </row>
    <row r="5842" spans="5:13">
      <c r="E5842" s="221"/>
      <c r="F5842" s="221"/>
      <c r="G5842" s="221"/>
      <c r="H5842" s="221"/>
      <c r="I5842" s="221"/>
      <c r="J5842" s="221"/>
      <c r="K5842" s="221"/>
      <c r="L5842" s="221"/>
      <c r="M5842" s="221"/>
    </row>
    <row r="5843" spans="5:13">
      <c r="E5843" s="221"/>
      <c r="F5843" s="221"/>
      <c r="G5843" s="221"/>
      <c r="H5843" s="221"/>
      <c r="I5843" s="221"/>
      <c r="J5843" s="221"/>
      <c r="K5843" s="221"/>
      <c r="L5843" s="221"/>
      <c r="M5843" s="221"/>
    </row>
    <row r="5844" spans="5:13">
      <c r="E5844" s="221"/>
      <c r="F5844" s="221"/>
      <c r="G5844" s="221"/>
      <c r="H5844" s="221"/>
      <c r="I5844" s="221"/>
      <c r="J5844" s="221"/>
      <c r="K5844" s="221"/>
      <c r="L5844" s="221"/>
      <c r="M5844" s="221"/>
    </row>
    <row r="5845" spans="5:13">
      <c r="E5845" s="221"/>
      <c r="F5845" s="221"/>
      <c r="G5845" s="221"/>
      <c r="H5845" s="221"/>
      <c r="I5845" s="221"/>
      <c r="J5845" s="221"/>
      <c r="K5845" s="221"/>
      <c r="L5845" s="221"/>
      <c r="M5845" s="221"/>
    </row>
    <row r="5846" spans="5:13">
      <c r="E5846" s="221"/>
      <c r="F5846" s="221"/>
      <c r="G5846" s="221"/>
      <c r="H5846" s="221"/>
      <c r="I5846" s="221"/>
      <c r="J5846" s="221"/>
      <c r="K5846" s="221"/>
      <c r="L5846" s="221"/>
      <c r="M5846" s="221"/>
    </row>
    <row r="5847" spans="5:13">
      <c r="E5847" s="221"/>
      <c r="F5847" s="221"/>
      <c r="G5847" s="221"/>
      <c r="H5847" s="221"/>
      <c r="I5847" s="221"/>
      <c r="J5847" s="221"/>
      <c r="K5847" s="221"/>
      <c r="L5847" s="221"/>
      <c r="M5847" s="221"/>
    </row>
    <row r="5848" spans="5:13">
      <c r="E5848" s="221"/>
      <c r="F5848" s="221"/>
      <c r="G5848" s="221"/>
      <c r="H5848" s="221"/>
      <c r="I5848" s="221"/>
      <c r="J5848" s="221"/>
      <c r="K5848" s="221"/>
      <c r="L5848" s="221"/>
      <c r="M5848" s="221"/>
    </row>
    <row r="5849" spans="5:13">
      <c r="E5849" s="221"/>
      <c r="F5849" s="221"/>
      <c r="G5849" s="221"/>
      <c r="H5849" s="221"/>
      <c r="I5849" s="221"/>
      <c r="J5849" s="221"/>
      <c r="K5849" s="221"/>
      <c r="L5849" s="221"/>
      <c r="M5849" s="221"/>
    </row>
    <row r="5850" spans="5:13">
      <c r="E5850" s="221"/>
      <c r="F5850" s="221"/>
      <c r="G5850" s="221"/>
      <c r="H5850" s="221"/>
      <c r="I5850" s="221"/>
      <c r="J5850" s="221"/>
      <c r="K5850" s="221"/>
      <c r="L5850" s="221"/>
      <c r="M5850" s="221"/>
    </row>
    <row r="5851" spans="5:13">
      <c r="E5851" s="221"/>
      <c r="F5851" s="221"/>
      <c r="G5851" s="221"/>
      <c r="H5851" s="221"/>
      <c r="I5851" s="221"/>
      <c r="J5851" s="221"/>
      <c r="K5851" s="221"/>
      <c r="L5851" s="221"/>
      <c r="M5851" s="221"/>
    </row>
    <row r="5852" spans="5:13">
      <c r="E5852" s="221"/>
      <c r="F5852" s="221"/>
      <c r="G5852" s="221"/>
      <c r="H5852" s="221"/>
      <c r="I5852" s="221"/>
      <c r="J5852" s="221"/>
      <c r="K5852" s="221"/>
      <c r="L5852" s="221"/>
      <c r="M5852" s="221"/>
    </row>
    <row r="5853" spans="5:13">
      <c r="E5853" s="221"/>
      <c r="F5853" s="221"/>
      <c r="G5853" s="221"/>
      <c r="H5853" s="221"/>
      <c r="I5853" s="221"/>
      <c r="J5853" s="221"/>
      <c r="K5853" s="221"/>
      <c r="L5853" s="221"/>
      <c r="M5853" s="221"/>
    </row>
    <row r="5854" spans="5:13">
      <c r="E5854" s="221"/>
      <c r="F5854" s="221"/>
      <c r="G5854" s="221"/>
      <c r="H5854" s="221"/>
      <c r="I5854" s="221"/>
      <c r="J5854" s="221"/>
      <c r="K5854" s="221"/>
      <c r="L5854" s="221"/>
      <c r="M5854" s="221"/>
    </row>
    <row r="5855" spans="5:13">
      <c r="E5855" s="221"/>
      <c r="F5855" s="221"/>
      <c r="G5855" s="221"/>
      <c r="H5855" s="221"/>
      <c r="I5855" s="221"/>
      <c r="J5855" s="221"/>
      <c r="K5855" s="221"/>
      <c r="L5855" s="221"/>
      <c r="M5855" s="221"/>
    </row>
    <row r="5856" spans="5:13">
      <c r="E5856" s="221"/>
      <c r="F5856" s="221"/>
      <c r="G5856" s="221"/>
      <c r="H5856" s="221"/>
      <c r="I5856" s="221"/>
      <c r="J5856" s="221"/>
      <c r="K5856" s="221"/>
      <c r="L5856" s="221"/>
      <c r="M5856" s="221"/>
    </row>
    <row r="5857" spans="5:13">
      <c r="E5857" s="221"/>
      <c r="F5857" s="221"/>
      <c r="G5857" s="221"/>
      <c r="H5857" s="221"/>
      <c r="I5857" s="221"/>
      <c r="J5857" s="221"/>
      <c r="K5857" s="221"/>
      <c r="L5857" s="221"/>
      <c r="M5857" s="221"/>
    </row>
    <row r="5858" spans="5:13">
      <c r="E5858" s="221"/>
      <c r="F5858" s="221"/>
      <c r="G5858" s="221"/>
      <c r="H5858" s="221"/>
      <c r="I5858" s="221"/>
      <c r="J5858" s="221"/>
      <c r="K5858" s="221"/>
      <c r="L5858" s="221"/>
      <c r="M5858" s="221"/>
    </row>
    <row r="5859" spans="5:13">
      <c r="E5859" s="221"/>
      <c r="F5859" s="221"/>
      <c r="G5859" s="221"/>
      <c r="H5859" s="221"/>
      <c r="I5859" s="221"/>
      <c r="J5859" s="221"/>
      <c r="K5859" s="221"/>
      <c r="L5859" s="221"/>
      <c r="M5859" s="221"/>
    </row>
    <row r="5860" spans="5:13">
      <c r="E5860" s="221"/>
      <c r="F5860" s="221"/>
      <c r="G5860" s="221"/>
      <c r="H5860" s="221"/>
      <c r="I5860" s="221"/>
      <c r="J5860" s="221"/>
      <c r="K5860" s="221"/>
      <c r="L5860" s="221"/>
      <c r="M5860" s="221"/>
    </row>
    <row r="5861" spans="5:13">
      <c r="E5861" s="221"/>
      <c r="F5861" s="221"/>
      <c r="G5861" s="221"/>
      <c r="H5861" s="221"/>
      <c r="I5861" s="221"/>
      <c r="J5861" s="221"/>
      <c r="K5861" s="221"/>
      <c r="L5861" s="221"/>
      <c r="M5861" s="221"/>
    </row>
    <row r="5862" spans="5:13">
      <c r="E5862" s="221"/>
      <c r="F5862" s="221"/>
      <c r="G5862" s="221"/>
      <c r="H5862" s="221"/>
      <c r="I5862" s="221"/>
      <c r="J5862" s="221"/>
      <c r="K5862" s="221"/>
      <c r="L5862" s="221"/>
      <c r="M5862" s="221"/>
    </row>
    <row r="5863" spans="5:13">
      <c r="E5863" s="221"/>
      <c r="F5863" s="221"/>
      <c r="G5863" s="221"/>
      <c r="H5863" s="221"/>
      <c r="I5863" s="221"/>
      <c r="J5863" s="221"/>
      <c r="K5863" s="221"/>
      <c r="L5863" s="221"/>
      <c r="M5863" s="221"/>
    </row>
    <row r="5864" spans="5:13">
      <c r="E5864" s="221"/>
      <c r="F5864" s="221"/>
      <c r="G5864" s="221"/>
      <c r="H5864" s="221"/>
      <c r="I5864" s="221"/>
      <c r="J5864" s="221"/>
      <c r="K5864" s="221"/>
      <c r="L5864" s="221"/>
      <c r="M5864" s="221"/>
    </row>
    <row r="5865" spans="5:13">
      <c r="E5865" s="221"/>
      <c r="F5865" s="221"/>
      <c r="G5865" s="221"/>
      <c r="H5865" s="221"/>
      <c r="I5865" s="221"/>
      <c r="J5865" s="221"/>
      <c r="K5865" s="221"/>
      <c r="L5865" s="221"/>
      <c r="M5865" s="221"/>
    </row>
    <row r="5866" spans="5:13">
      <c r="E5866" s="221"/>
      <c r="F5866" s="221"/>
      <c r="G5866" s="221"/>
      <c r="H5866" s="221"/>
      <c r="I5866" s="221"/>
      <c r="J5866" s="221"/>
      <c r="K5866" s="221"/>
      <c r="L5866" s="221"/>
      <c r="M5866" s="221"/>
    </row>
    <row r="5867" spans="5:13">
      <c r="E5867" s="221"/>
      <c r="F5867" s="221"/>
      <c r="G5867" s="221"/>
      <c r="H5867" s="221"/>
      <c r="I5867" s="221"/>
      <c r="J5867" s="221"/>
      <c r="K5867" s="221"/>
      <c r="L5867" s="221"/>
      <c r="M5867" s="221"/>
    </row>
    <row r="5868" spans="5:13">
      <c r="E5868" s="221"/>
      <c r="F5868" s="221"/>
      <c r="G5868" s="221"/>
      <c r="H5868" s="221"/>
      <c r="I5868" s="221"/>
      <c r="J5868" s="221"/>
      <c r="K5868" s="221"/>
      <c r="L5868" s="221"/>
      <c r="M5868" s="221"/>
    </row>
    <row r="5869" spans="5:13">
      <c r="E5869" s="221"/>
      <c r="F5869" s="221"/>
      <c r="G5869" s="221"/>
      <c r="H5869" s="221"/>
      <c r="I5869" s="221"/>
      <c r="J5869" s="221"/>
      <c r="K5869" s="221"/>
      <c r="L5869" s="221"/>
      <c r="M5869" s="221"/>
    </row>
    <row r="5870" spans="5:13">
      <c r="E5870" s="221"/>
      <c r="F5870" s="221"/>
      <c r="G5870" s="221"/>
      <c r="H5870" s="221"/>
      <c r="I5870" s="221"/>
      <c r="J5870" s="221"/>
      <c r="K5870" s="221"/>
      <c r="L5870" s="221"/>
      <c r="M5870" s="221"/>
    </row>
    <row r="5871" spans="5:13">
      <c r="E5871" s="221"/>
      <c r="F5871" s="221"/>
      <c r="G5871" s="221"/>
      <c r="H5871" s="221"/>
      <c r="I5871" s="221"/>
      <c r="J5871" s="221"/>
      <c r="K5871" s="221"/>
      <c r="L5871" s="221"/>
      <c r="M5871" s="221"/>
    </row>
    <row r="5872" spans="5:13">
      <c r="E5872" s="221"/>
      <c r="F5872" s="221"/>
      <c r="G5872" s="221"/>
      <c r="H5872" s="221"/>
      <c r="I5872" s="221"/>
      <c r="J5872" s="221"/>
      <c r="K5872" s="221"/>
      <c r="L5872" s="221"/>
      <c r="M5872" s="221"/>
    </row>
    <row r="5873" spans="5:13">
      <c r="E5873" s="221"/>
      <c r="F5873" s="221"/>
      <c r="G5873" s="221"/>
      <c r="H5873" s="221"/>
      <c r="I5873" s="221"/>
      <c r="J5873" s="221"/>
      <c r="K5873" s="221"/>
      <c r="L5873" s="221"/>
      <c r="M5873" s="221"/>
    </row>
    <row r="5874" spans="5:13">
      <c r="E5874" s="221"/>
      <c r="F5874" s="221"/>
      <c r="G5874" s="221"/>
      <c r="H5874" s="221"/>
      <c r="I5874" s="221"/>
      <c r="J5874" s="221"/>
      <c r="K5874" s="221"/>
      <c r="L5874" s="221"/>
      <c r="M5874" s="221"/>
    </row>
    <row r="5875" spans="5:13">
      <c r="E5875" s="221"/>
      <c r="F5875" s="221"/>
      <c r="G5875" s="221"/>
      <c r="H5875" s="221"/>
      <c r="I5875" s="221"/>
      <c r="J5875" s="221"/>
      <c r="K5875" s="221"/>
      <c r="L5875" s="221"/>
      <c r="M5875" s="221"/>
    </row>
    <row r="5876" spans="5:13">
      <c r="E5876" s="221"/>
      <c r="F5876" s="221"/>
      <c r="G5876" s="221"/>
      <c r="H5876" s="221"/>
      <c r="I5876" s="221"/>
      <c r="J5876" s="221"/>
      <c r="K5876" s="221"/>
      <c r="L5876" s="221"/>
      <c r="M5876" s="221"/>
    </row>
    <row r="5877" spans="5:13">
      <c r="E5877" s="221"/>
      <c r="F5877" s="221"/>
      <c r="G5877" s="221"/>
      <c r="H5877" s="221"/>
      <c r="I5877" s="221"/>
      <c r="J5877" s="221"/>
      <c r="K5877" s="221"/>
      <c r="L5877" s="221"/>
      <c r="M5877" s="221"/>
    </row>
    <row r="5878" spans="5:13">
      <c r="E5878" s="221"/>
      <c r="F5878" s="221"/>
      <c r="G5878" s="221"/>
      <c r="H5878" s="221"/>
      <c r="I5878" s="221"/>
      <c r="J5878" s="221"/>
      <c r="K5878" s="221"/>
      <c r="L5878" s="221"/>
      <c r="M5878" s="221"/>
    </row>
    <row r="5879" spans="5:13">
      <c r="E5879" s="221"/>
      <c r="F5879" s="221"/>
      <c r="G5879" s="221"/>
      <c r="H5879" s="221"/>
      <c r="I5879" s="221"/>
      <c r="J5879" s="221"/>
      <c r="K5879" s="221"/>
      <c r="L5879" s="221"/>
      <c r="M5879" s="221"/>
    </row>
    <row r="5880" spans="5:13">
      <c r="E5880" s="221"/>
      <c r="F5880" s="221"/>
      <c r="G5880" s="221"/>
      <c r="H5880" s="221"/>
      <c r="I5880" s="221"/>
      <c r="J5880" s="221"/>
      <c r="K5880" s="221"/>
      <c r="L5880" s="221"/>
      <c r="M5880" s="221"/>
    </row>
    <row r="5881" spans="5:13">
      <c r="E5881" s="221"/>
      <c r="F5881" s="221"/>
      <c r="G5881" s="221"/>
      <c r="H5881" s="221"/>
      <c r="I5881" s="221"/>
      <c r="J5881" s="221"/>
      <c r="K5881" s="221"/>
      <c r="L5881" s="221"/>
      <c r="M5881" s="221"/>
    </row>
    <row r="5882" spans="5:13">
      <c r="E5882" s="221"/>
      <c r="F5882" s="221"/>
      <c r="G5882" s="221"/>
      <c r="H5882" s="221"/>
      <c r="I5882" s="221"/>
      <c r="J5882" s="221"/>
      <c r="K5882" s="221"/>
      <c r="L5882" s="221"/>
      <c r="M5882" s="221"/>
    </row>
    <row r="5883" spans="5:13">
      <c r="E5883" s="221"/>
      <c r="F5883" s="221"/>
      <c r="G5883" s="221"/>
      <c r="H5883" s="221"/>
      <c r="I5883" s="221"/>
      <c r="J5883" s="221"/>
      <c r="K5883" s="221"/>
      <c r="L5883" s="221"/>
      <c r="M5883" s="221"/>
    </row>
    <row r="5884" spans="5:13">
      <c r="E5884" s="221"/>
      <c r="F5884" s="221"/>
      <c r="G5884" s="221"/>
      <c r="H5884" s="221"/>
      <c r="I5884" s="221"/>
      <c r="J5884" s="221"/>
      <c r="K5884" s="221"/>
      <c r="L5884" s="221"/>
      <c r="M5884" s="221"/>
    </row>
    <row r="5885" spans="5:13">
      <c r="E5885" s="221"/>
      <c r="F5885" s="221"/>
      <c r="G5885" s="221"/>
      <c r="H5885" s="221"/>
      <c r="I5885" s="221"/>
      <c r="J5885" s="221"/>
      <c r="K5885" s="221"/>
      <c r="L5885" s="221"/>
      <c r="M5885" s="221"/>
    </row>
    <row r="5886" spans="5:13">
      <c r="E5886" s="221"/>
      <c r="F5886" s="221"/>
      <c r="G5886" s="221"/>
      <c r="H5886" s="221"/>
      <c r="I5886" s="221"/>
      <c r="J5886" s="221"/>
      <c r="K5886" s="221"/>
      <c r="L5886" s="221"/>
      <c r="M5886" s="221"/>
    </row>
    <row r="5887" spans="5:13">
      <c r="E5887" s="221"/>
      <c r="F5887" s="221"/>
      <c r="G5887" s="221"/>
      <c r="H5887" s="221"/>
      <c r="I5887" s="221"/>
      <c r="J5887" s="221"/>
      <c r="K5887" s="221"/>
      <c r="L5887" s="221"/>
      <c r="M5887" s="221"/>
    </row>
    <row r="5888" spans="5:13">
      <c r="E5888" s="221"/>
      <c r="F5888" s="221"/>
      <c r="G5888" s="221"/>
      <c r="H5888" s="221"/>
      <c r="I5888" s="221"/>
      <c r="J5888" s="221"/>
      <c r="K5888" s="221"/>
      <c r="L5888" s="221"/>
      <c r="M5888" s="221"/>
    </row>
    <row r="5889" spans="5:13">
      <c r="E5889" s="221"/>
      <c r="F5889" s="221"/>
      <c r="G5889" s="221"/>
      <c r="H5889" s="221"/>
      <c r="I5889" s="221"/>
      <c r="J5889" s="221"/>
      <c r="K5889" s="221"/>
      <c r="L5889" s="221"/>
      <c r="M5889" s="221"/>
    </row>
    <row r="5890" spans="5:13">
      <c r="E5890" s="221"/>
      <c r="F5890" s="221"/>
      <c r="G5890" s="221"/>
      <c r="H5890" s="221"/>
      <c r="I5890" s="221"/>
      <c r="J5890" s="221"/>
      <c r="K5890" s="221"/>
      <c r="L5890" s="221"/>
      <c r="M5890" s="221"/>
    </row>
    <row r="5891" spans="5:13">
      <c r="E5891" s="221"/>
      <c r="F5891" s="221"/>
      <c r="G5891" s="221"/>
      <c r="H5891" s="221"/>
      <c r="I5891" s="221"/>
      <c r="J5891" s="221"/>
      <c r="K5891" s="221"/>
      <c r="L5891" s="221"/>
      <c r="M5891" s="221"/>
    </row>
    <row r="5892" spans="5:13">
      <c r="E5892" s="221"/>
      <c r="F5892" s="221"/>
      <c r="G5892" s="221"/>
      <c r="H5892" s="221"/>
      <c r="I5892" s="221"/>
      <c r="J5892" s="221"/>
      <c r="K5892" s="221"/>
      <c r="L5892" s="221"/>
      <c r="M5892" s="221"/>
    </row>
    <row r="5893" spans="5:13">
      <c r="E5893" s="221"/>
      <c r="F5893" s="221"/>
      <c r="G5893" s="221"/>
      <c r="H5893" s="221"/>
      <c r="I5893" s="221"/>
      <c r="J5893" s="221"/>
      <c r="K5893" s="221"/>
      <c r="L5893" s="221"/>
      <c r="M5893" s="221"/>
    </row>
    <row r="5894" spans="5:13">
      <c r="E5894" s="221"/>
      <c r="F5894" s="221"/>
      <c r="G5894" s="221"/>
      <c r="H5894" s="221"/>
      <c r="I5894" s="221"/>
      <c r="J5894" s="221"/>
      <c r="K5894" s="221"/>
      <c r="L5894" s="221"/>
      <c r="M5894" s="221"/>
    </row>
    <row r="5895" spans="5:13">
      <c r="E5895" s="221"/>
      <c r="F5895" s="221"/>
      <c r="G5895" s="221"/>
      <c r="H5895" s="221"/>
      <c r="I5895" s="221"/>
      <c r="J5895" s="221"/>
      <c r="K5895" s="221"/>
      <c r="L5895" s="221"/>
      <c r="M5895" s="221"/>
    </row>
    <row r="5896" spans="5:13">
      <c r="E5896" s="221"/>
      <c r="F5896" s="221"/>
      <c r="G5896" s="221"/>
      <c r="H5896" s="221"/>
      <c r="I5896" s="221"/>
      <c r="J5896" s="221"/>
      <c r="K5896" s="221"/>
      <c r="L5896" s="221"/>
      <c r="M5896" s="221"/>
    </row>
    <row r="5897" spans="5:13">
      <c r="E5897" s="221"/>
      <c r="F5897" s="221"/>
      <c r="G5897" s="221"/>
      <c r="H5897" s="221"/>
      <c r="I5897" s="221"/>
      <c r="J5897" s="221"/>
      <c r="K5897" s="221"/>
      <c r="L5897" s="221"/>
      <c r="M5897" s="221"/>
    </row>
    <row r="5898" spans="5:13">
      <c r="E5898" s="221"/>
      <c r="F5898" s="221"/>
      <c r="G5898" s="221"/>
      <c r="H5898" s="221"/>
      <c r="I5898" s="221"/>
      <c r="J5898" s="221"/>
      <c r="K5898" s="221"/>
      <c r="L5898" s="221"/>
      <c r="M5898" s="221"/>
    </row>
    <row r="5899" spans="5:13">
      <c r="E5899" s="221"/>
      <c r="F5899" s="221"/>
      <c r="G5899" s="221"/>
      <c r="H5899" s="221"/>
      <c r="I5899" s="221"/>
      <c r="J5899" s="221"/>
      <c r="K5899" s="221"/>
      <c r="L5899" s="221"/>
      <c r="M5899" s="221"/>
    </row>
    <row r="5900" spans="5:13">
      <c r="E5900" s="221"/>
      <c r="F5900" s="221"/>
      <c r="G5900" s="221"/>
      <c r="H5900" s="221"/>
      <c r="I5900" s="221"/>
      <c r="J5900" s="221"/>
      <c r="K5900" s="221"/>
      <c r="L5900" s="221"/>
      <c r="M5900" s="221"/>
    </row>
    <row r="5901" spans="5:13">
      <c r="E5901" s="221"/>
      <c r="F5901" s="221"/>
      <c r="G5901" s="221"/>
      <c r="H5901" s="221"/>
      <c r="I5901" s="221"/>
      <c r="J5901" s="221"/>
      <c r="K5901" s="221"/>
      <c r="L5901" s="221"/>
      <c r="M5901" s="221"/>
    </row>
    <row r="5902" spans="5:13">
      <c r="E5902" s="221"/>
      <c r="F5902" s="221"/>
      <c r="G5902" s="221"/>
      <c r="H5902" s="221"/>
      <c r="I5902" s="221"/>
      <c r="J5902" s="221"/>
      <c r="K5902" s="221"/>
      <c r="L5902" s="221"/>
      <c r="M5902" s="221"/>
    </row>
    <row r="5903" spans="5:13">
      <c r="E5903" s="221"/>
      <c r="F5903" s="221"/>
      <c r="G5903" s="221"/>
      <c r="H5903" s="221"/>
      <c r="I5903" s="221"/>
      <c r="J5903" s="221"/>
      <c r="K5903" s="221"/>
      <c r="L5903" s="221"/>
      <c r="M5903" s="221"/>
    </row>
    <row r="5904" spans="5:13">
      <c r="E5904" s="221"/>
      <c r="F5904" s="221"/>
      <c r="G5904" s="221"/>
      <c r="H5904" s="221"/>
      <c r="I5904" s="221"/>
      <c r="J5904" s="221"/>
      <c r="K5904" s="221"/>
      <c r="L5904" s="221"/>
      <c r="M5904" s="221"/>
    </row>
    <row r="5905" spans="5:13">
      <c r="E5905" s="221"/>
      <c r="F5905" s="221"/>
      <c r="G5905" s="221"/>
      <c r="H5905" s="221"/>
      <c r="I5905" s="221"/>
      <c r="J5905" s="221"/>
      <c r="K5905" s="221"/>
      <c r="L5905" s="221"/>
      <c r="M5905" s="221"/>
    </row>
    <row r="5906" spans="5:13">
      <c r="E5906" s="221"/>
      <c r="F5906" s="221"/>
      <c r="G5906" s="221"/>
      <c r="H5906" s="221"/>
      <c r="I5906" s="221"/>
      <c r="J5906" s="221"/>
      <c r="K5906" s="221"/>
      <c r="L5906" s="221"/>
      <c r="M5906" s="221"/>
    </row>
    <row r="5907" spans="5:13">
      <c r="E5907" s="221"/>
      <c r="F5907" s="221"/>
      <c r="G5907" s="221"/>
      <c r="H5907" s="221"/>
      <c r="I5907" s="221"/>
      <c r="J5907" s="221"/>
      <c r="K5907" s="221"/>
      <c r="L5907" s="221"/>
      <c r="M5907" s="221"/>
    </row>
    <row r="5908" spans="5:13">
      <c r="E5908" s="221"/>
      <c r="F5908" s="221"/>
      <c r="G5908" s="221"/>
      <c r="H5908" s="221"/>
      <c r="I5908" s="221"/>
      <c r="J5908" s="221"/>
      <c r="K5908" s="221"/>
      <c r="L5908" s="221"/>
      <c r="M5908" s="221"/>
    </row>
    <row r="5909" spans="5:13">
      <c r="E5909" s="221"/>
      <c r="F5909" s="221"/>
      <c r="G5909" s="221"/>
      <c r="H5909" s="221"/>
      <c r="I5909" s="221"/>
      <c r="J5909" s="221"/>
      <c r="K5909" s="221"/>
      <c r="L5909" s="221"/>
      <c r="M5909" s="221"/>
    </row>
    <row r="5910" spans="5:13">
      <c r="E5910" s="221"/>
      <c r="F5910" s="221"/>
      <c r="G5910" s="221"/>
      <c r="H5910" s="221"/>
      <c r="I5910" s="221"/>
      <c r="J5910" s="221"/>
      <c r="K5910" s="221"/>
      <c r="L5910" s="221"/>
      <c r="M5910" s="221"/>
    </row>
    <row r="5911" spans="5:13">
      <c r="E5911" s="221"/>
      <c r="F5911" s="221"/>
      <c r="G5911" s="221"/>
      <c r="H5911" s="221"/>
      <c r="I5911" s="221"/>
      <c r="J5911" s="221"/>
      <c r="K5911" s="221"/>
      <c r="L5911" s="221"/>
      <c r="M5911" s="221"/>
    </row>
    <row r="5912" spans="5:13">
      <c r="E5912" s="221"/>
      <c r="F5912" s="221"/>
      <c r="G5912" s="221"/>
      <c r="H5912" s="221"/>
      <c r="I5912" s="221"/>
      <c r="J5912" s="221"/>
      <c r="K5912" s="221"/>
      <c r="L5912" s="221"/>
      <c r="M5912" s="221"/>
    </row>
    <row r="5913" spans="5:13">
      <c r="E5913" s="221"/>
      <c r="F5913" s="221"/>
      <c r="G5913" s="221"/>
      <c r="H5913" s="221"/>
      <c r="I5913" s="221"/>
      <c r="J5913" s="221"/>
      <c r="K5913" s="221"/>
      <c r="L5913" s="221"/>
      <c r="M5913" s="221"/>
    </row>
    <row r="5914" spans="5:13">
      <c r="E5914" s="221"/>
      <c r="F5914" s="221"/>
      <c r="G5914" s="221"/>
      <c r="H5914" s="221"/>
      <c r="I5914" s="221"/>
      <c r="J5914" s="221"/>
      <c r="K5914" s="221"/>
      <c r="L5914" s="221"/>
      <c r="M5914" s="221"/>
    </row>
    <row r="5915" spans="5:13">
      <c r="E5915" s="221"/>
      <c r="F5915" s="221"/>
      <c r="G5915" s="221"/>
      <c r="H5915" s="221"/>
      <c r="I5915" s="221"/>
      <c r="J5915" s="221"/>
      <c r="K5915" s="221"/>
      <c r="L5915" s="221"/>
      <c r="M5915" s="221"/>
    </row>
    <row r="5916" spans="5:13">
      <c r="E5916" s="221"/>
      <c r="F5916" s="221"/>
      <c r="G5916" s="221"/>
      <c r="H5916" s="221"/>
      <c r="I5916" s="221"/>
      <c r="J5916" s="221"/>
      <c r="K5916" s="221"/>
      <c r="L5916" s="221"/>
      <c r="M5916" s="221"/>
    </row>
    <row r="5917" spans="5:13">
      <c r="E5917" s="221"/>
      <c r="F5917" s="221"/>
      <c r="G5917" s="221"/>
      <c r="H5917" s="221"/>
      <c r="I5917" s="221"/>
      <c r="J5917" s="221"/>
      <c r="K5917" s="221"/>
      <c r="L5917" s="221"/>
      <c r="M5917" s="221"/>
    </row>
    <row r="5918" spans="5:13">
      <c r="E5918" s="221"/>
      <c r="F5918" s="221"/>
      <c r="G5918" s="221"/>
      <c r="H5918" s="221"/>
      <c r="I5918" s="221"/>
      <c r="J5918" s="221"/>
      <c r="K5918" s="221"/>
      <c r="L5918" s="221"/>
      <c r="M5918" s="221"/>
    </row>
    <row r="5919" spans="5:13">
      <c r="E5919" s="221"/>
      <c r="F5919" s="221"/>
      <c r="G5919" s="221"/>
      <c r="H5919" s="221"/>
      <c r="I5919" s="221"/>
      <c r="J5919" s="221"/>
      <c r="K5919" s="221"/>
      <c r="L5919" s="221"/>
      <c r="M5919" s="221"/>
    </row>
    <row r="5920" spans="5:13">
      <c r="E5920" s="221"/>
      <c r="F5920" s="221"/>
      <c r="G5920" s="221"/>
      <c r="H5920" s="221"/>
      <c r="I5920" s="221"/>
      <c r="J5920" s="221"/>
      <c r="K5920" s="221"/>
      <c r="L5920" s="221"/>
      <c r="M5920" s="221"/>
    </row>
    <row r="5921" spans="5:13">
      <c r="E5921" s="221"/>
      <c r="F5921" s="221"/>
      <c r="G5921" s="221"/>
      <c r="H5921" s="221"/>
      <c r="I5921" s="221"/>
      <c r="J5921" s="221"/>
      <c r="K5921" s="221"/>
      <c r="L5921" s="221"/>
      <c r="M5921" s="221"/>
    </row>
    <row r="5922" spans="5:13">
      <c r="E5922" s="221"/>
      <c r="F5922" s="221"/>
      <c r="G5922" s="221"/>
      <c r="H5922" s="221"/>
      <c r="I5922" s="221"/>
      <c r="J5922" s="221"/>
      <c r="K5922" s="221"/>
      <c r="L5922" s="221"/>
      <c r="M5922" s="221"/>
    </row>
    <row r="5923" spans="5:13">
      <c r="E5923" s="221"/>
      <c r="F5923" s="221"/>
      <c r="G5923" s="221"/>
      <c r="H5923" s="221"/>
      <c r="I5923" s="221"/>
      <c r="J5923" s="221"/>
      <c r="K5923" s="221"/>
      <c r="L5923" s="221"/>
      <c r="M5923" s="221"/>
    </row>
    <row r="5924" spans="5:13">
      <c r="E5924" s="221"/>
      <c r="F5924" s="221"/>
      <c r="G5924" s="221"/>
      <c r="H5924" s="221"/>
      <c r="I5924" s="221"/>
      <c r="J5924" s="221"/>
      <c r="K5924" s="221"/>
      <c r="L5924" s="221"/>
      <c r="M5924" s="221"/>
    </row>
    <row r="5925" spans="5:13">
      <c r="E5925" s="221"/>
      <c r="F5925" s="221"/>
      <c r="G5925" s="221"/>
      <c r="H5925" s="221"/>
      <c r="I5925" s="221"/>
      <c r="J5925" s="221"/>
      <c r="K5925" s="221"/>
      <c r="L5925" s="221"/>
      <c r="M5925" s="221"/>
    </row>
    <row r="5926" spans="5:13">
      <c r="E5926" s="221"/>
      <c r="F5926" s="221"/>
      <c r="G5926" s="221"/>
      <c r="H5926" s="221"/>
      <c r="I5926" s="221"/>
      <c r="J5926" s="221"/>
      <c r="K5926" s="221"/>
      <c r="L5926" s="221"/>
      <c r="M5926" s="221"/>
    </row>
    <row r="5927" spans="5:13">
      <c r="E5927" s="221"/>
      <c r="F5927" s="221"/>
      <c r="G5927" s="221"/>
      <c r="H5927" s="221"/>
      <c r="I5927" s="221"/>
      <c r="J5927" s="221"/>
      <c r="K5927" s="221"/>
      <c r="L5927" s="221"/>
      <c r="M5927" s="221"/>
    </row>
    <row r="5928" spans="5:13">
      <c r="E5928" s="221"/>
      <c r="F5928" s="221"/>
      <c r="G5928" s="221"/>
      <c r="H5928" s="221"/>
      <c r="I5928" s="221"/>
      <c r="J5928" s="221"/>
      <c r="K5928" s="221"/>
      <c r="L5928" s="221"/>
      <c r="M5928" s="221"/>
    </row>
    <row r="5929" spans="5:13">
      <c r="E5929" s="221"/>
      <c r="F5929" s="221"/>
      <c r="G5929" s="221"/>
      <c r="H5929" s="221"/>
      <c r="I5929" s="221"/>
      <c r="J5929" s="221"/>
      <c r="K5929" s="221"/>
      <c r="L5929" s="221"/>
      <c r="M5929" s="221"/>
    </row>
    <row r="5930" spans="5:13">
      <c r="E5930" s="221"/>
      <c r="F5930" s="221"/>
      <c r="G5930" s="221"/>
      <c r="H5930" s="221"/>
      <c r="I5930" s="221"/>
      <c r="J5930" s="221"/>
      <c r="K5930" s="221"/>
      <c r="L5930" s="221"/>
      <c r="M5930" s="221"/>
    </row>
    <row r="5931" spans="5:13">
      <c r="E5931" s="221"/>
      <c r="F5931" s="221"/>
      <c r="G5931" s="221"/>
      <c r="H5931" s="221"/>
      <c r="I5931" s="221"/>
      <c r="J5931" s="221"/>
      <c r="K5931" s="221"/>
      <c r="L5931" s="221"/>
      <c r="M5931" s="221"/>
    </row>
    <row r="5932" spans="5:13">
      <c r="E5932" s="221"/>
      <c r="F5932" s="221"/>
      <c r="G5932" s="221"/>
      <c r="H5932" s="221"/>
      <c r="I5932" s="221"/>
      <c r="J5932" s="221"/>
      <c r="K5932" s="221"/>
      <c r="L5932" s="221"/>
      <c r="M5932" s="221"/>
    </row>
    <row r="5933" spans="5:13">
      <c r="E5933" s="221"/>
      <c r="F5933" s="221"/>
      <c r="G5933" s="221"/>
      <c r="H5933" s="221"/>
      <c r="I5933" s="221"/>
      <c r="J5933" s="221"/>
      <c r="K5933" s="221"/>
      <c r="L5933" s="221"/>
      <c r="M5933" s="221"/>
    </row>
    <row r="5934" spans="5:13">
      <c r="E5934" s="221"/>
      <c r="F5934" s="221"/>
      <c r="G5934" s="221"/>
      <c r="H5934" s="221"/>
      <c r="I5934" s="221"/>
      <c r="J5934" s="221"/>
      <c r="K5934" s="221"/>
      <c r="L5934" s="221"/>
      <c r="M5934" s="221"/>
    </row>
    <row r="5935" spans="5:13">
      <c r="E5935" s="221"/>
      <c r="F5935" s="221"/>
      <c r="G5935" s="221"/>
      <c r="H5935" s="221"/>
      <c r="I5935" s="221"/>
      <c r="J5935" s="221"/>
      <c r="K5935" s="221"/>
      <c r="L5935" s="221"/>
      <c r="M5935" s="221"/>
    </row>
    <row r="5936" spans="5:13">
      <c r="E5936" s="221"/>
      <c r="F5936" s="221"/>
      <c r="G5936" s="221"/>
      <c r="H5936" s="221"/>
      <c r="I5936" s="221"/>
      <c r="J5936" s="221"/>
      <c r="K5936" s="221"/>
      <c r="L5936" s="221"/>
      <c r="M5936" s="221"/>
    </row>
    <row r="5937" spans="5:13">
      <c r="E5937" s="221"/>
      <c r="F5937" s="221"/>
      <c r="G5937" s="221"/>
      <c r="H5937" s="221"/>
      <c r="I5937" s="221"/>
      <c r="J5937" s="221"/>
      <c r="K5937" s="221"/>
      <c r="L5937" s="221"/>
      <c r="M5937" s="221"/>
    </row>
    <row r="5938" spans="5:13">
      <c r="E5938" s="221"/>
      <c r="F5938" s="221"/>
      <c r="G5938" s="221"/>
      <c r="H5938" s="221"/>
      <c r="I5938" s="221"/>
      <c r="J5938" s="221"/>
      <c r="K5938" s="221"/>
      <c r="L5938" s="221"/>
      <c r="M5938" s="221"/>
    </row>
    <row r="5939" spans="5:13">
      <c r="E5939" s="221"/>
      <c r="F5939" s="221"/>
      <c r="G5939" s="221"/>
      <c r="H5939" s="221"/>
      <c r="I5939" s="221"/>
      <c r="J5939" s="221"/>
      <c r="K5939" s="221"/>
      <c r="L5939" s="221"/>
      <c r="M5939" s="221"/>
    </row>
    <row r="5940" spans="5:13">
      <c r="E5940" s="221"/>
      <c r="F5940" s="221"/>
      <c r="G5940" s="221"/>
      <c r="H5940" s="221"/>
      <c r="I5940" s="221"/>
      <c r="J5940" s="221"/>
      <c r="K5940" s="221"/>
      <c r="L5940" s="221"/>
      <c r="M5940" s="221"/>
    </row>
    <row r="5941" spans="5:13">
      <c r="E5941" s="221"/>
      <c r="F5941" s="221"/>
      <c r="G5941" s="221"/>
      <c r="H5941" s="221"/>
      <c r="I5941" s="221"/>
      <c r="J5941" s="221"/>
      <c r="K5941" s="221"/>
      <c r="L5941" s="221"/>
      <c r="M5941" s="221"/>
    </row>
    <row r="5942" spans="5:13">
      <c r="E5942" s="221"/>
      <c r="F5942" s="221"/>
      <c r="G5942" s="221"/>
      <c r="H5942" s="221"/>
      <c r="I5942" s="221"/>
      <c r="J5942" s="221"/>
      <c r="K5942" s="221"/>
      <c r="L5942" s="221"/>
      <c r="M5942" s="221"/>
    </row>
    <row r="5943" spans="5:13">
      <c r="E5943" s="221"/>
      <c r="F5943" s="221"/>
      <c r="G5943" s="221"/>
      <c r="H5943" s="221"/>
      <c r="I5943" s="221"/>
      <c r="J5943" s="221"/>
      <c r="K5943" s="221"/>
      <c r="L5943" s="221"/>
      <c r="M5943" s="221"/>
    </row>
    <row r="5944" spans="5:13">
      <c r="E5944" s="221"/>
      <c r="F5944" s="221"/>
      <c r="G5944" s="221"/>
      <c r="H5944" s="221"/>
      <c r="I5944" s="221"/>
      <c r="J5944" s="221"/>
      <c r="K5944" s="221"/>
      <c r="L5944" s="221"/>
      <c r="M5944" s="221"/>
    </row>
    <row r="5945" spans="5:13">
      <c r="E5945" s="221"/>
      <c r="F5945" s="221"/>
      <c r="G5945" s="221"/>
      <c r="H5945" s="221"/>
      <c r="I5945" s="221"/>
      <c r="J5945" s="221"/>
      <c r="K5945" s="221"/>
      <c r="L5945" s="221"/>
      <c r="M5945" s="221"/>
    </row>
    <row r="5946" spans="5:13">
      <c r="E5946" s="221"/>
      <c r="F5946" s="221"/>
      <c r="G5946" s="221"/>
      <c r="H5946" s="221"/>
      <c r="I5946" s="221"/>
      <c r="J5946" s="221"/>
      <c r="K5946" s="221"/>
      <c r="L5946" s="221"/>
      <c r="M5946" s="221"/>
    </row>
    <row r="5947" spans="5:13">
      <c r="E5947" s="221"/>
      <c r="F5947" s="221"/>
      <c r="G5947" s="221"/>
      <c r="H5947" s="221"/>
      <c r="I5947" s="221"/>
      <c r="J5947" s="221"/>
      <c r="K5947" s="221"/>
      <c r="L5947" s="221"/>
      <c r="M5947" s="221"/>
    </row>
    <row r="5948" spans="5:13">
      <c r="E5948" s="221"/>
      <c r="F5948" s="221"/>
      <c r="G5948" s="221"/>
      <c r="H5948" s="221"/>
      <c r="I5948" s="221"/>
      <c r="J5948" s="221"/>
      <c r="K5948" s="221"/>
      <c r="L5948" s="221"/>
      <c r="M5948" s="221"/>
    </row>
    <row r="5949" spans="5:13">
      <c r="E5949" s="221"/>
      <c r="F5949" s="221"/>
      <c r="G5949" s="221"/>
      <c r="H5949" s="221"/>
      <c r="I5949" s="221"/>
      <c r="J5949" s="221"/>
      <c r="K5949" s="221"/>
      <c r="L5949" s="221"/>
      <c r="M5949" s="221"/>
    </row>
    <row r="5950" spans="5:13">
      <c r="E5950" s="221"/>
      <c r="F5950" s="221"/>
      <c r="G5950" s="221"/>
      <c r="H5950" s="221"/>
      <c r="I5950" s="221"/>
      <c r="J5950" s="221"/>
      <c r="K5950" s="221"/>
      <c r="L5950" s="221"/>
      <c r="M5950" s="221"/>
    </row>
    <row r="5951" spans="5:13">
      <c r="E5951" s="221"/>
      <c r="F5951" s="221"/>
      <c r="G5951" s="221"/>
      <c r="H5951" s="221"/>
      <c r="I5951" s="221"/>
      <c r="J5951" s="221"/>
      <c r="K5951" s="221"/>
      <c r="L5951" s="221"/>
      <c r="M5951" s="221"/>
    </row>
    <row r="5952" spans="5:13">
      <c r="E5952" s="221"/>
      <c r="F5952" s="221"/>
      <c r="G5952" s="221"/>
      <c r="H5952" s="221"/>
      <c r="I5952" s="221"/>
      <c r="J5952" s="221"/>
      <c r="K5952" s="221"/>
      <c r="L5952" s="221"/>
      <c r="M5952" s="221"/>
    </row>
    <row r="5953" spans="5:13">
      <c r="E5953" s="221"/>
      <c r="F5953" s="221"/>
      <c r="G5953" s="221"/>
      <c r="H5953" s="221"/>
      <c r="I5953" s="221"/>
      <c r="J5953" s="221"/>
      <c r="K5953" s="221"/>
      <c r="L5953" s="221"/>
      <c r="M5953" s="221"/>
    </row>
    <row r="5954" spans="5:13">
      <c r="E5954" s="221"/>
      <c r="F5954" s="221"/>
      <c r="G5954" s="221"/>
      <c r="H5954" s="221"/>
      <c r="I5954" s="221"/>
      <c r="J5954" s="221"/>
      <c r="K5954" s="221"/>
      <c r="L5954" s="221"/>
      <c r="M5954" s="221"/>
    </row>
    <row r="5955" spans="5:13">
      <c r="E5955" s="221"/>
      <c r="F5955" s="221"/>
      <c r="G5955" s="221"/>
      <c r="H5955" s="221"/>
      <c r="I5955" s="221"/>
      <c r="J5955" s="221"/>
      <c r="K5955" s="221"/>
      <c r="L5955" s="221"/>
      <c r="M5955" s="221"/>
    </row>
    <row r="5956" spans="5:13">
      <c r="E5956" s="221"/>
      <c r="F5956" s="221"/>
      <c r="G5956" s="221"/>
      <c r="H5956" s="221"/>
      <c r="I5956" s="221"/>
      <c r="J5956" s="221"/>
      <c r="K5956" s="221"/>
      <c r="L5956" s="221"/>
      <c r="M5956" s="221"/>
    </row>
    <row r="5957" spans="5:13">
      <c r="E5957" s="221"/>
      <c r="F5957" s="221"/>
      <c r="G5957" s="221"/>
      <c r="H5957" s="221"/>
      <c r="I5957" s="221"/>
      <c r="J5957" s="221"/>
      <c r="K5957" s="221"/>
      <c r="L5957" s="221"/>
      <c r="M5957" s="221"/>
    </row>
    <row r="5958" spans="5:13">
      <c r="E5958" s="221"/>
      <c r="F5958" s="221"/>
      <c r="G5958" s="221"/>
      <c r="H5958" s="221"/>
      <c r="I5958" s="221"/>
      <c r="J5958" s="221"/>
      <c r="K5958" s="221"/>
      <c r="L5958" s="221"/>
      <c r="M5958" s="221"/>
    </row>
    <row r="5959" spans="5:13">
      <c r="E5959" s="221"/>
      <c r="F5959" s="221"/>
      <c r="G5959" s="221"/>
      <c r="H5959" s="221"/>
      <c r="I5959" s="221"/>
      <c r="J5959" s="221"/>
      <c r="K5959" s="221"/>
      <c r="L5959" s="221"/>
      <c r="M5959" s="221"/>
    </row>
    <row r="5960" spans="5:13">
      <c r="E5960" s="221"/>
      <c r="F5960" s="221"/>
      <c r="G5960" s="221"/>
      <c r="H5960" s="221"/>
      <c r="I5960" s="221"/>
      <c r="J5960" s="221"/>
      <c r="K5960" s="221"/>
      <c r="L5960" s="221"/>
      <c r="M5960" s="221"/>
    </row>
    <row r="5961" spans="5:13">
      <c r="E5961" s="221"/>
      <c r="F5961" s="221"/>
      <c r="G5961" s="221"/>
      <c r="H5961" s="221"/>
      <c r="I5961" s="221"/>
      <c r="J5961" s="221"/>
      <c r="K5961" s="221"/>
      <c r="L5961" s="221"/>
      <c r="M5961" s="221"/>
    </row>
    <row r="5962" spans="5:13">
      <c r="E5962" s="221"/>
      <c r="F5962" s="221"/>
      <c r="G5962" s="221"/>
      <c r="H5962" s="221"/>
      <c r="I5962" s="221"/>
      <c r="J5962" s="221"/>
      <c r="K5962" s="221"/>
      <c r="L5962" s="221"/>
      <c r="M5962" s="221"/>
    </row>
    <row r="5963" spans="5:13">
      <c r="E5963" s="221"/>
      <c r="F5963" s="221"/>
      <c r="G5963" s="221"/>
      <c r="H5963" s="221"/>
      <c r="I5963" s="221"/>
      <c r="J5963" s="221"/>
      <c r="K5963" s="221"/>
      <c r="L5963" s="221"/>
      <c r="M5963" s="221"/>
    </row>
    <row r="5964" spans="5:13">
      <c r="E5964" s="221"/>
      <c r="F5964" s="221"/>
      <c r="G5964" s="221"/>
      <c r="H5964" s="221"/>
      <c r="I5964" s="221"/>
      <c r="J5964" s="221"/>
      <c r="K5964" s="221"/>
      <c r="L5964" s="221"/>
      <c r="M5964" s="221"/>
    </row>
    <row r="5965" spans="5:13">
      <c r="E5965" s="221"/>
      <c r="F5965" s="221"/>
      <c r="G5965" s="221"/>
      <c r="H5965" s="221"/>
      <c r="I5965" s="221"/>
      <c r="J5965" s="221"/>
      <c r="K5965" s="221"/>
      <c r="L5965" s="221"/>
      <c r="M5965" s="221"/>
    </row>
    <row r="5966" spans="5:13">
      <c r="E5966" s="221"/>
      <c r="F5966" s="221"/>
      <c r="G5966" s="221"/>
      <c r="H5966" s="221"/>
      <c r="I5966" s="221"/>
      <c r="J5966" s="221"/>
      <c r="K5966" s="221"/>
      <c r="L5966" s="221"/>
      <c r="M5966" s="221"/>
    </row>
    <row r="5967" spans="5:13">
      <c r="E5967" s="221"/>
      <c r="F5967" s="221"/>
      <c r="G5967" s="221"/>
      <c r="H5967" s="221"/>
      <c r="I5967" s="221"/>
      <c r="J5967" s="221"/>
      <c r="K5967" s="221"/>
      <c r="L5967" s="221"/>
      <c r="M5967" s="221"/>
    </row>
    <row r="5968" spans="5:13">
      <c r="E5968" s="221"/>
      <c r="F5968" s="221"/>
      <c r="G5968" s="221"/>
      <c r="H5968" s="221"/>
      <c r="I5968" s="221"/>
      <c r="J5968" s="221"/>
      <c r="K5968" s="221"/>
      <c r="L5968" s="221"/>
      <c r="M5968" s="221"/>
    </row>
    <row r="5969" spans="5:13">
      <c r="E5969" s="221"/>
      <c r="F5969" s="221"/>
      <c r="G5969" s="221"/>
      <c r="H5969" s="221"/>
      <c r="I5969" s="221"/>
      <c r="J5969" s="221"/>
      <c r="K5969" s="221"/>
      <c r="L5969" s="221"/>
      <c r="M5969" s="221"/>
    </row>
    <row r="5970" spans="5:13">
      <c r="E5970" s="221"/>
      <c r="F5970" s="221"/>
      <c r="G5970" s="221"/>
      <c r="H5970" s="221"/>
      <c r="I5970" s="221"/>
      <c r="J5970" s="221"/>
      <c r="K5970" s="221"/>
      <c r="L5970" s="221"/>
      <c r="M5970" s="221"/>
    </row>
    <row r="5971" spans="5:13">
      <c r="E5971" s="221"/>
      <c r="F5971" s="221"/>
      <c r="G5971" s="221"/>
      <c r="H5971" s="221"/>
      <c r="I5971" s="221"/>
      <c r="J5971" s="221"/>
      <c r="K5971" s="221"/>
      <c r="L5971" s="221"/>
      <c r="M5971" s="221"/>
    </row>
    <row r="5972" spans="5:13">
      <c r="E5972" s="221"/>
      <c r="F5972" s="221"/>
      <c r="G5972" s="221"/>
      <c r="H5972" s="221"/>
      <c r="I5972" s="221"/>
      <c r="J5972" s="221"/>
      <c r="K5972" s="221"/>
      <c r="L5972" s="221"/>
      <c r="M5972" s="221"/>
    </row>
    <row r="5973" spans="5:13">
      <c r="E5973" s="221"/>
      <c r="F5973" s="221"/>
      <c r="G5973" s="221"/>
      <c r="H5973" s="221"/>
      <c r="I5973" s="221"/>
      <c r="J5973" s="221"/>
      <c r="K5973" s="221"/>
      <c r="L5973" s="221"/>
      <c r="M5973" s="221"/>
    </row>
    <row r="5974" spans="5:13">
      <c r="E5974" s="221"/>
      <c r="F5974" s="221"/>
      <c r="G5974" s="221"/>
      <c r="H5974" s="221"/>
      <c r="I5974" s="221"/>
      <c r="J5974" s="221"/>
      <c r="K5974" s="221"/>
      <c r="L5974" s="221"/>
      <c r="M5974" s="221"/>
    </row>
    <row r="5975" spans="5:13">
      <c r="E5975" s="221"/>
      <c r="F5975" s="221"/>
      <c r="G5975" s="221"/>
      <c r="H5975" s="221"/>
      <c r="I5975" s="221"/>
      <c r="J5975" s="221"/>
      <c r="K5975" s="221"/>
      <c r="L5975" s="221"/>
      <c r="M5975" s="221"/>
    </row>
    <row r="5976" spans="5:13">
      <c r="E5976" s="221"/>
      <c r="F5976" s="221"/>
      <c r="G5976" s="221"/>
      <c r="H5976" s="221"/>
      <c r="I5976" s="221"/>
      <c r="J5976" s="221"/>
      <c r="K5976" s="221"/>
      <c r="L5976" s="221"/>
      <c r="M5976" s="221"/>
    </row>
    <row r="5977" spans="5:13">
      <c r="E5977" s="221"/>
      <c r="F5977" s="221"/>
      <c r="G5977" s="221"/>
      <c r="H5977" s="221"/>
      <c r="I5977" s="221"/>
      <c r="J5977" s="221"/>
      <c r="K5977" s="221"/>
      <c r="L5977" s="221"/>
      <c r="M5977" s="221"/>
    </row>
    <row r="5978" spans="5:13">
      <c r="E5978" s="221"/>
      <c r="F5978" s="221"/>
      <c r="G5978" s="221"/>
      <c r="H5978" s="221"/>
      <c r="I5978" s="221"/>
      <c r="J5978" s="221"/>
      <c r="K5978" s="221"/>
      <c r="L5978" s="221"/>
      <c r="M5978" s="221"/>
    </row>
    <row r="5979" spans="5:13">
      <c r="E5979" s="221"/>
      <c r="F5979" s="221"/>
      <c r="G5979" s="221"/>
      <c r="H5979" s="221"/>
      <c r="I5979" s="221"/>
      <c r="J5979" s="221"/>
      <c r="K5979" s="221"/>
      <c r="L5979" s="221"/>
      <c r="M5979" s="221"/>
    </row>
    <row r="5980" spans="5:13">
      <c r="E5980" s="221"/>
      <c r="F5980" s="221"/>
      <c r="G5980" s="221"/>
      <c r="H5980" s="221"/>
      <c r="I5980" s="221"/>
      <c r="J5980" s="221"/>
      <c r="K5980" s="221"/>
      <c r="L5980" s="221"/>
      <c r="M5980" s="221"/>
    </row>
    <row r="5981" spans="5:13">
      <c r="E5981" s="221"/>
      <c r="F5981" s="221"/>
      <c r="G5981" s="221"/>
      <c r="H5981" s="221"/>
      <c r="I5981" s="221"/>
      <c r="J5981" s="221"/>
      <c r="K5981" s="221"/>
      <c r="L5981" s="221"/>
      <c r="M5981" s="221"/>
    </row>
    <row r="5982" spans="5:13">
      <c r="E5982" s="221"/>
      <c r="F5982" s="221"/>
      <c r="G5982" s="221"/>
      <c r="H5982" s="221"/>
      <c r="I5982" s="221"/>
      <c r="J5982" s="221"/>
      <c r="K5982" s="221"/>
      <c r="L5982" s="221"/>
      <c r="M5982" s="221"/>
    </row>
    <row r="5983" spans="5:13">
      <c r="E5983" s="221"/>
      <c r="F5983" s="221"/>
      <c r="G5983" s="221"/>
      <c r="H5983" s="221"/>
      <c r="I5983" s="221"/>
      <c r="J5983" s="221"/>
      <c r="K5983" s="221"/>
      <c r="L5983" s="221"/>
      <c r="M5983" s="221"/>
    </row>
    <row r="5984" spans="5:13">
      <c r="E5984" s="221"/>
      <c r="F5984" s="221"/>
      <c r="G5984" s="221"/>
      <c r="H5984" s="221"/>
      <c r="I5984" s="221"/>
      <c r="J5984" s="221"/>
      <c r="K5984" s="221"/>
      <c r="L5984" s="221"/>
      <c r="M5984" s="221"/>
    </row>
    <row r="5985" spans="5:13">
      <c r="E5985" s="221"/>
      <c r="F5985" s="221"/>
      <c r="G5985" s="221"/>
      <c r="H5985" s="221"/>
      <c r="I5985" s="221"/>
      <c r="J5985" s="221"/>
      <c r="K5985" s="221"/>
      <c r="L5985" s="221"/>
      <c r="M5985" s="221"/>
    </row>
    <row r="5986" spans="5:13">
      <c r="E5986" s="221"/>
      <c r="F5986" s="221"/>
      <c r="G5986" s="221"/>
      <c r="H5986" s="221"/>
      <c r="I5986" s="221"/>
      <c r="J5986" s="221"/>
      <c r="K5986" s="221"/>
      <c r="L5986" s="221"/>
      <c r="M5986" s="221"/>
    </row>
    <row r="5987" spans="5:13">
      <c r="E5987" s="221"/>
      <c r="F5987" s="221"/>
      <c r="G5987" s="221"/>
      <c r="H5987" s="221"/>
      <c r="I5987" s="221"/>
      <c r="J5987" s="221"/>
      <c r="K5987" s="221"/>
      <c r="L5987" s="221"/>
      <c r="M5987" s="221"/>
    </row>
    <row r="5988" spans="5:13">
      <c r="E5988" s="221"/>
      <c r="F5988" s="221"/>
      <c r="G5988" s="221"/>
      <c r="H5988" s="221"/>
      <c r="I5988" s="221"/>
      <c r="J5988" s="221"/>
      <c r="K5988" s="221"/>
      <c r="L5988" s="221"/>
      <c r="M5988" s="221"/>
    </row>
    <row r="5989" spans="5:13">
      <c r="E5989" s="221"/>
      <c r="F5989" s="221"/>
      <c r="G5989" s="221"/>
      <c r="H5989" s="221"/>
      <c r="I5989" s="221"/>
      <c r="J5989" s="221"/>
      <c r="K5989" s="221"/>
      <c r="L5989" s="221"/>
      <c r="M5989" s="221"/>
    </row>
    <row r="5990" spans="5:13">
      <c r="E5990" s="221"/>
      <c r="F5990" s="221"/>
      <c r="G5990" s="221"/>
      <c r="H5990" s="221"/>
      <c r="I5990" s="221"/>
      <c r="J5990" s="221"/>
      <c r="K5990" s="221"/>
      <c r="L5990" s="221"/>
      <c r="M5990" s="221"/>
    </row>
    <row r="5991" spans="5:13">
      <c r="E5991" s="221"/>
      <c r="F5991" s="221"/>
      <c r="G5991" s="221"/>
      <c r="H5991" s="221"/>
      <c r="I5991" s="221"/>
      <c r="J5991" s="221"/>
      <c r="K5991" s="221"/>
      <c r="L5991" s="221"/>
      <c r="M5991" s="221"/>
    </row>
    <row r="5992" spans="5:13">
      <c r="E5992" s="221"/>
      <c r="F5992" s="221"/>
      <c r="G5992" s="221"/>
      <c r="H5992" s="221"/>
      <c r="I5992" s="221"/>
      <c r="J5992" s="221"/>
      <c r="K5992" s="221"/>
      <c r="L5992" s="221"/>
      <c r="M5992" s="221"/>
    </row>
    <row r="5993" spans="5:13">
      <c r="E5993" s="221"/>
      <c r="F5993" s="221"/>
      <c r="G5993" s="221"/>
      <c r="H5993" s="221"/>
      <c r="I5993" s="221"/>
      <c r="J5993" s="221"/>
      <c r="K5993" s="221"/>
      <c r="L5993" s="221"/>
      <c r="M5993" s="221"/>
    </row>
    <row r="5994" spans="5:13">
      <c r="E5994" s="221"/>
      <c r="F5994" s="221"/>
      <c r="G5994" s="221"/>
      <c r="H5994" s="221"/>
      <c r="I5994" s="221"/>
      <c r="J5994" s="221"/>
      <c r="K5994" s="221"/>
      <c r="L5994" s="221"/>
      <c r="M5994" s="221"/>
    </row>
    <row r="5995" spans="5:13">
      <c r="E5995" s="221"/>
      <c r="F5995" s="221"/>
      <c r="G5995" s="221"/>
      <c r="H5995" s="221"/>
      <c r="I5995" s="221"/>
      <c r="J5995" s="221"/>
      <c r="K5995" s="221"/>
      <c r="L5995" s="221"/>
      <c r="M5995" s="221"/>
    </row>
    <row r="5996" spans="5:13">
      <c r="E5996" s="221"/>
      <c r="F5996" s="221"/>
      <c r="G5996" s="221"/>
      <c r="H5996" s="221"/>
      <c r="I5996" s="221"/>
      <c r="J5996" s="221"/>
      <c r="K5996" s="221"/>
      <c r="L5996" s="221"/>
      <c r="M5996" s="221"/>
    </row>
    <row r="5997" spans="5:13">
      <c r="E5997" s="221"/>
      <c r="F5997" s="221"/>
      <c r="G5997" s="221"/>
      <c r="H5997" s="221"/>
      <c r="I5997" s="221"/>
      <c r="J5997" s="221"/>
      <c r="K5997" s="221"/>
      <c r="L5997" s="221"/>
      <c r="M5997" s="221"/>
    </row>
    <row r="5998" spans="5:13">
      <c r="E5998" s="221"/>
      <c r="F5998" s="221"/>
      <c r="G5998" s="221"/>
      <c r="H5998" s="221"/>
      <c r="I5998" s="221"/>
      <c r="J5998" s="221"/>
      <c r="K5998" s="221"/>
      <c r="L5998" s="221"/>
      <c r="M5998" s="221"/>
    </row>
    <row r="5999" spans="5:13">
      <c r="E5999" s="221"/>
      <c r="F5999" s="221"/>
      <c r="G5999" s="221"/>
      <c r="H5999" s="221"/>
      <c r="I5999" s="221"/>
      <c r="J5999" s="221"/>
      <c r="K5999" s="221"/>
      <c r="L5999" s="221"/>
      <c r="M5999" s="221"/>
    </row>
    <row r="6000" spans="5:13">
      <c r="E6000" s="221"/>
      <c r="F6000" s="221"/>
      <c r="G6000" s="221"/>
      <c r="H6000" s="221"/>
      <c r="I6000" s="221"/>
      <c r="J6000" s="221"/>
      <c r="K6000" s="221"/>
      <c r="L6000" s="221"/>
      <c r="M6000" s="221"/>
    </row>
    <row r="6001" spans="5:13">
      <c r="E6001" s="221"/>
      <c r="F6001" s="221"/>
      <c r="G6001" s="221"/>
      <c r="H6001" s="221"/>
      <c r="I6001" s="221"/>
      <c r="J6001" s="221"/>
      <c r="K6001" s="221"/>
      <c r="L6001" s="221"/>
      <c r="M6001" s="221"/>
    </row>
    <row r="6002" spans="5:13">
      <c r="E6002" s="221"/>
      <c r="F6002" s="221"/>
      <c r="G6002" s="221"/>
      <c r="H6002" s="221"/>
      <c r="I6002" s="221"/>
      <c r="J6002" s="221"/>
      <c r="K6002" s="221"/>
      <c r="L6002" s="221"/>
      <c r="M6002" s="221"/>
    </row>
    <row r="6003" spans="5:13">
      <c r="E6003" s="221"/>
      <c r="F6003" s="221"/>
      <c r="G6003" s="221"/>
      <c r="H6003" s="221"/>
      <c r="I6003" s="221"/>
      <c r="J6003" s="221"/>
      <c r="K6003" s="221"/>
      <c r="L6003" s="221"/>
      <c r="M6003" s="221"/>
    </row>
    <row r="6004" spans="5:13">
      <c r="E6004" s="221"/>
      <c r="F6004" s="221"/>
      <c r="G6004" s="221"/>
      <c r="H6004" s="221"/>
      <c r="I6004" s="221"/>
      <c r="J6004" s="221"/>
      <c r="K6004" s="221"/>
      <c r="L6004" s="221"/>
      <c r="M6004" s="221"/>
    </row>
    <row r="6005" spans="5:13">
      <c r="E6005" s="221"/>
      <c r="F6005" s="221"/>
      <c r="G6005" s="221"/>
      <c r="H6005" s="221"/>
      <c r="I6005" s="221"/>
      <c r="J6005" s="221"/>
      <c r="K6005" s="221"/>
      <c r="L6005" s="221"/>
      <c r="M6005" s="221"/>
    </row>
    <row r="6006" spans="5:13">
      <c r="E6006" s="221"/>
      <c r="F6006" s="221"/>
      <c r="G6006" s="221"/>
      <c r="H6006" s="221"/>
      <c r="I6006" s="221"/>
      <c r="J6006" s="221"/>
      <c r="K6006" s="221"/>
      <c r="L6006" s="221"/>
      <c r="M6006" s="221"/>
    </row>
    <row r="6007" spans="5:13">
      <c r="E6007" s="221"/>
      <c r="F6007" s="221"/>
      <c r="G6007" s="221"/>
      <c r="H6007" s="221"/>
      <c r="I6007" s="221"/>
      <c r="J6007" s="221"/>
      <c r="K6007" s="221"/>
      <c r="L6007" s="221"/>
      <c r="M6007" s="221"/>
    </row>
    <row r="6008" spans="5:13">
      <c r="E6008" s="221"/>
      <c r="F6008" s="221"/>
      <c r="G6008" s="221"/>
      <c r="H6008" s="221"/>
      <c r="I6008" s="221"/>
      <c r="J6008" s="221"/>
      <c r="K6008" s="221"/>
      <c r="L6008" s="221"/>
      <c r="M6008" s="221"/>
    </row>
    <row r="6009" spans="5:13">
      <c r="E6009" s="221"/>
      <c r="F6009" s="221"/>
      <c r="G6009" s="221"/>
      <c r="H6009" s="221"/>
      <c r="I6009" s="221"/>
      <c r="J6009" s="221"/>
      <c r="K6009" s="221"/>
      <c r="L6009" s="221"/>
      <c r="M6009" s="221"/>
    </row>
    <row r="6010" spans="5:13">
      <c r="E6010" s="221"/>
      <c r="F6010" s="221"/>
      <c r="G6010" s="221"/>
      <c r="H6010" s="221"/>
      <c r="I6010" s="221"/>
      <c r="J6010" s="221"/>
      <c r="K6010" s="221"/>
      <c r="L6010" s="221"/>
      <c r="M6010" s="221"/>
    </row>
    <row r="6011" spans="5:13">
      <c r="E6011" s="221"/>
      <c r="F6011" s="221"/>
      <c r="G6011" s="221"/>
      <c r="H6011" s="221"/>
      <c r="I6011" s="221"/>
      <c r="J6011" s="221"/>
      <c r="K6011" s="221"/>
      <c r="L6011" s="221"/>
      <c r="M6011" s="221"/>
    </row>
    <row r="6012" spans="5:13">
      <c r="E6012" s="221"/>
      <c r="F6012" s="221"/>
      <c r="G6012" s="221"/>
      <c r="H6012" s="221"/>
      <c r="I6012" s="221"/>
      <c r="J6012" s="221"/>
      <c r="K6012" s="221"/>
      <c r="L6012" s="221"/>
      <c r="M6012" s="221"/>
    </row>
    <row r="6013" spans="5:13">
      <c r="E6013" s="221"/>
      <c r="F6013" s="221"/>
      <c r="G6013" s="221"/>
      <c r="H6013" s="221"/>
      <c r="I6013" s="221"/>
      <c r="J6013" s="221"/>
      <c r="K6013" s="221"/>
      <c r="L6013" s="221"/>
      <c r="M6013" s="221"/>
    </row>
    <row r="6014" spans="5:13">
      <c r="E6014" s="221"/>
      <c r="F6014" s="221"/>
      <c r="G6014" s="221"/>
      <c r="H6014" s="221"/>
      <c r="I6014" s="221"/>
      <c r="J6014" s="221"/>
      <c r="K6014" s="221"/>
      <c r="L6014" s="221"/>
      <c r="M6014" s="221"/>
    </row>
    <row r="6015" spans="5:13">
      <c r="E6015" s="221"/>
      <c r="F6015" s="221"/>
      <c r="G6015" s="221"/>
      <c r="H6015" s="221"/>
      <c r="I6015" s="221"/>
      <c r="J6015" s="221"/>
      <c r="K6015" s="221"/>
      <c r="L6015" s="221"/>
      <c r="M6015" s="221"/>
    </row>
    <row r="6016" spans="5:13">
      <c r="E6016" s="221"/>
      <c r="F6016" s="221"/>
      <c r="G6016" s="221"/>
      <c r="H6016" s="221"/>
      <c r="I6016" s="221"/>
      <c r="J6016" s="221"/>
      <c r="K6016" s="221"/>
      <c r="L6016" s="221"/>
      <c r="M6016" s="221"/>
    </row>
    <row r="6017" spans="5:13">
      <c r="E6017" s="221"/>
      <c r="F6017" s="221"/>
      <c r="G6017" s="221"/>
      <c r="H6017" s="221"/>
      <c r="I6017" s="221"/>
      <c r="J6017" s="221"/>
      <c r="K6017" s="221"/>
      <c r="L6017" s="221"/>
      <c r="M6017" s="221"/>
    </row>
    <row r="6018" spans="5:13">
      <c r="E6018" s="221"/>
      <c r="F6018" s="221"/>
      <c r="G6018" s="221"/>
      <c r="H6018" s="221"/>
      <c r="I6018" s="221"/>
      <c r="J6018" s="221"/>
      <c r="K6018" s="221"/>
      <c r="L6018" s="221"/>
      <c r="M6018" s="221"/>
    </row>
    <row r="6019" spans="5:13">
      <c r="E6019" s="221"/>
      <c r="F6019" s="221"/>
      <c r="G6019" s="221"/>
      <c r="H6019" s="221"/>
      <c r="I6019" s="221"/>
      <c r="J6019" s="221"/>
      <c r="K6019" s="221"/>
      <c r="L6019" s="221"/>
      <c r="M6019" s="221"/>
    </row>
    <row r="6020" spans="5:13">
      <c r="E6020" s="221"/>
      <c r="F6020" s="221"/>
      <c r="G6020" s="221"/>
      <c r="H6020" s="221"/>
      <c r="I6020" s="221"/>
      <c r="J6020" s="221"/>
      <c r="K6020" s="221"/>
      <c r="L6020" s="221"/>
      <c r="M6020" s="221"/>
    </row>
    <row r="6021" spans="5:13">
      <c r="E6021" s="221"/>
      <c r="F6021" s="221"/>
      <c r="G6021" s="221"/>
      <c r="H6021" s="221"/>
      <c r="I6021" s="221"/>
      <c r="J6021" s="221"/>
      <c r="K6021" s="221"/>
      <c r="L6021" s="221"/>
      <c r="M6021" s="221"/>
    </row>
    <row r="6022" spans="5:13">
      <c r="E6022" s="221"/>
      <c r="F6022" s="221"/>
      <c r="G6022" s="221"/>
      <c r="H6022" s="221"/>
      <c r="I6022" s="221"/>
      <c r="J6022" s="221"/>
      <c r="K6022" s="221"/>
      <c r="L6022" s="221"/>
      <c r="M6022" s="221"/>
    </row>
    <row r="6023" spans="5:13">
      <c r="E6023" s="221"/>
      <c r="F6023" s="221"/>
      <c r="G6023" s="221"/>
      <c r="H6023" s="221"/>
      <c r="I6023" s="221"/>
      <c r="J6023" s="221"/>
      <c r="K6023" s="221"/>
      <c r="L6023" s="221"/>
      <c r="M6023" s="221"/>
    </row>
    <row r="6024" spans="5:13">
      <c r="E6024" s="221"/>
      <c r="F6024" s="221"/>
      <c r="G6024" s="221"/>
      <c r="H6024" s="221"/>
      <c r="I6024" s="221"/>
      <c r="J6024" s="221"/>
      <c r="K6024" s="221"/>
      <c r="L6024" s="221"/>
      <c r="M6024" s="221"/>
    </row>
    <row r="6025" spans="5:13">
      <c r="E6025" s="221"/>
      <c r="F6025" s="221"/>
      <c r="G6025" s="221"/>
      <c r="H6025" s="221"/>
      <c r="I6025" s="221"/>
      <c r="J6025" s="221"/>
      <c r="K6025" s="221"/>
      <c r="L6025" s="221"/>
      <c r="M6025" s="221"/>
    </row>
    <row r="6026" spans="5:13">
      <c r="E6026" s="221"/>
      <c r="F6026" s="221"/>
      <c r="G6026" s="221"/>
      <c r="H6026" s="221"/>
      <c r="I6026" s="221"/>
      <c r="J6026" s="221"/>
      <c r="K6026" s="221"/>
      <c r="L6026" s="221"/>
      <c r="M6026" s="221"/>
    </row>
    <row r="6027" spans="5:13">
      <c r="E6027" s="221"/>
      <c r="F6027" s="221"/>
      <c r="G6027" s="221"/>
      <c r="H6027" s="221"/>
      <c r="I6027" s="221"/>
      <c r="J6027" s="221"/>
      <c r="K6027" s="221"/>
      <c r="L6027" s="221"/>
      <c r="M6027" s="221"/>
    </row>
    <row r="6028" spans="5:13">
      <c r="E6028" s="221"/>
      <c r="F6028" s="221"/>
      <c r="G6028" s="221"/>
      <c r="H6028" s="221"/>
      <c r="I6028" s="221"/>
      <c r="J6028" s="221"/>
      <c r="K6028" s="221"/>
      <c r="L6028" s="221"/>
      <c r="M6028" s="221"/>
    </row>
    <row r="6029" spans="5:13">
      <c r="E6029" s="221"/>
      <c r="F6029" s="221"/>
      <c r="G6029" s="221"/>
      <c r="H6029" s="221"/>
      <c r="I6029" s="221"/>
      <c r="J6029" s="221"/>
      <c r="K6029" s="221"/>
      <c r="L6029" s="221"/>
      <c r="M6029" s="221"/>
    </row>
    <row r="6030" spans="5:13">
      <c r="E6030" s="221"/>
      <c r="F6030" s="221"/>
      <c r="G6030" s="221"/>
      <c r="H6030" s="221"/>
      <c r="I6030" s="221"/>
      <c r="J6030" s="221"/>
      <c r="K6030" s="221"/>
      <c r="L6030" s="221"/>
      <c r="M6030" s="221"/>
    </row>
    <row r="6031" spans="5:13">
      <c r="E6031" s="221"/>
      <c r="F6031" s="221"/>
      <c r="G6031" s="221"/>
      <c r="H6031" s="221"/>
      <c r="I6031" s="221"/>
      <c r="J6031" s="221"/>
      <c r="K6031" s="221"/>
      <c r="L6031" s="221"/>
      <c r="M6031" s="221"/>
    </row>
    <row r="6032" spans="5:13">
      <c r="E6032" s="221"/>
      <c r="F6032" s="221"/>
      <c r="G6032" s="221"/>
      <c r="H6032" s="221"/>
      <c r="I6032" s="221"/>
      <c r="J6032" s="221"/>
      <c r="K6032" s="221"/>
      <c r="L6032" s="221"/>
      <c r="M6032" s="221"/>
    </row>
    <row r="6033" spans="5:13">
      <c r="E6033" s="221"/>
      <c r="F6033" s="221"/>
      <c r="G6033" s="221"/>
      <c r="H6033" s="221"/>
      <c r="I6033" s="221"/>
      <c r="J6033" s="221"/>
      <c r="K6033" s="221"/>
      <c r="L6033" s="221"/>
      <c r="M6033" s="221"/>
    </row>
    <row r="6034" spans="5:13">
      <c r="E6034" s="221"/>
      <c r="F6034" s="221"/>
      <c r="G6034" s="221"/>
      <c r="H6034" s="221"/>
      <c r="I6034" s="221"/>
      <c r="J6034" s="221"/>
      <c r="K6034" s="221"/>
      <c r="L6034" s="221"/>
      <c r="M6034" s="221"/>
    </row>
    <row r="6035" spans="5:13">
      <c r="E6035" s="221"/>
      <c r="F6035" s="221"/>
      <c r="G6035" s="221"/>
      <c r="H6035" s="221"/>
      <c r="I6035" s="221"/>
      <c r="J6035" s="221"/>
      <c r="K6035" s="221"/>
      <c r="L6035" s="221"/>
      <c r="M6035" s="221"/>
    </row>
    <row r="6036" spans="5:13">
      <c r="E6036" s="221"/>
      <c r="F6036" s="221"/>
      <c r="G6036" s="221"/>
      <c r="H6036" s="221"/>
      <c r="I6036" s="221"/>
      <c r="J6036" s="221"/>
      <c r="K6036" s="221"/>
      <c r="L6036" s="221"/>
      <c r="M6036" s="221"/>
    </row>
    <row r="6037" spans="5:13">
      <c r="E6037" s="221"/>
      <c r="F6037" s="221"/>
      <c r="G6037" s="221"/>
      <c r="H6037" s="221"/>
      <c r="I6037" s="221"/>
      <c r="J6037" s="221"/>
      <c r="K6037" s="221"/>
      <c r="L6037" s="221"/>
      <c r="M6037" s="221"/>
    </row>
    <row r="6038" spans="5:13">
      <c r="E6038" s="221"/>
      <c r="F6038" s="221"/>
      <c r="G6038" s="221"/>
      <c r="H6038" s="221"/>
      <c r="I6038" s="221"/>
      <c r="J6038" s="221"/>
      <c r="K6038" s="221"/>
      <c r="L6038" s="221"/>
      <c r="M6038" s="221"/>
    </row>
    <row r="6039" spans="5:13">
      <c r="E6039" s="221"/>
      <c r="F6039" s="221"/>
      <c r="G6039" s="221"/>
      <c r="H6039" s="221"/>
      <c r="I6039" s="221"/>
      <c r="J6039" s="221"/>
      <c r="K6039" s="221"/>
      <c r="L6039" s="221"/>
      <c r="M6039" s="221"/>
    </row>
    <row r="6040" spans="5:13">
      <c r="E6040" s="221"/>
      <c r="F6040" s="221"/>
      <c r="G6040" s="221"/>
      <c r="H6040" s="221"/>
      <c r="I6040" s="221"/>
      <c r="J6040" s="221"/>
      <c r="K6040" s="221"/>
      <c r="L6040" s="221"/>
      <c r="M6040" s="221"/>
    </row>
    <row r="6041" spans="5:13">
      <c r="E6041" s="221"/>
      <c r="F6041" s="221"/>
      <c r="G6041" s="221"/>
      <c r="H6041" s="221"/>
      <c r="I6041" s="221"/>
      <c r="J6041" s="221"/>
      <c r="K6041" s="221"/>
      <c r="L6041" s="221"/>
      <c r="M6041" s="221"/>
    </row>
    <row r="6042" spans="5:13">
      <c r="E6042" s="221"/>
      <c r="F6042" s="221"/>
      <c r="G6042" s="221"/>
      <c r="H6042" s="221"/>
      <c r="I6042" s="221"/>
      <c r="J6042" s="221"/>
      <c r="K6042" s="221"/>
      <c r="L6042" s="221"/>
      <c r="M6042" s="221"/>
    </row>
    <row r="6043" spans="5:13">
      <c r="E6043" s="221"/>
      <c r="F6043" s="221"/>
      <c r="G6043" s="221"/>
      <c r="H6043" s="221"/>
      <c r="I6043" s="221"/>
      <c r="J6043" s="221"/>
      <c r="K6043" s="221"/>
      <c r="L6043" s="221"/>
      <c r="M6043" s="221"/>
    </row>
    <row r="6044" spans="5:13">
      <c r="E6044" s="221"/>
      <c r="F6044" s="221"/>
      <c r="G6044" s="221"/>
      <c r="H6044" s="221"/>
      <c r="I6044" s="221"/>
      <c r="J6044" s="221"/>
      <c r="K6044" s="221"/>
      <c r="L6044" s="221"/>
      <c r="M6044" s="221"/>
    </row>
    <row r="6045" spans="5:13">
      <c r="E6045" s="221"/>
      <c r="F6045" s="221"/>
      <c r="G6045" s="221"/>
      <c r="H6045" s="221"/>
      <c r="I6045" s="221"/>
      <c r="J6045" s="221"/>
      <c r="K6045" s="221"/>
      <c r="L6045" s="221"/>
      <c r="M6045" s="221"/>
    </row>
    <row r="6046" spans="5:13">
      <c r="E6046" s="221"/>
      <c r="F6046" s="221"/>
      <c r="G6046" s="221"/>
      <c r="H6046" s="221"/>
      <c r="I6046" s="221"/>
      <c r="J6046" s="221"/>
      <c r="K6046" s="221"/>
      <c r="L6046" s="221"/>
      <c r="M6046" s="221"/>
    </row>
    <row r="6047" spans="5:13">
      <c r="E6047" s="221"/>
      <c r="F6047" s="221"/>
      <c r="G6047" s="221"/>
      <c r="H6047" s="221"/>
      <c r="I6047" s="221"/>
      <c r="J6047" s="221"/>
      <c r="K6047" s="221"/>
      <c r="L6047" s="221"/>
      <c r="M6047" s="221"/>
    </row>
    <row r="6048" spans="5:13">
      <c r="E6048" s="221"/>
      <c r="F6048" s="221"/>
      <c r="G6048" s="221"/>
      <c r="H6048" s="221"/>
      <c r="I6048" s="221"/>
      <c r="J6048" s="221"/>
      <c r="K6048" s="221"/>
      <c r="L6048" s="221"/>
      <c r="M6048" s="221"/>
    </row>
    <row r="6049" spans="5:13">
      <c r="E6049" s="221"/>
      <c r="F6049" s="221"/>
      <c r="G6049" s="221"/>
      <c r="H6049" s="221"/>
      <c r="I6049" s="221"/>
      <c r="J6049" s="221"/>
      <c r="K6049" s="221"/>
      <c r="L6049" s="221"/>
      <c r="M6049" s="221"/>
    </row>
    <row r="6050" spans="5:13">
      <c r="E6050" s="221"/>
      <c r="F6050" s="221"/>
      <c r="G6050" s="221"/>
      <c r="H6050" s="221"/>
      <c r="I6050" s="221"/>
      <c r="J6050" s="221"/>
      <c r="K6050" s="221"/>
      <c r="L6050" s="221"/>
      <c r="M6050" s="221"/>
    </row>
    <row r="6051" spans="5:13">
      <c r="E6051" s="221"/>
      <c r="F6051" s="221"/>
      <c r="G6051" s="221"/>
      <c r="H6051" s="221"/>
      <c r="I6051" s="221"/>
      <c r="J6051" s="221"/>
      <c r="K6051" s="221"/>
      <c r="L6051" s="221"/>
      <c r="M6051" s="221"/>
    </row>
    <row r="6052" spans="5:13">
      <c r="E6052" s="221"/>
      <c r="F6052" s="221"/>
      <c r="G6052" s="221"/>
      <c r="H6052" s="221"/>
      <c r="I6052" s="221"/>
      <c r="J6052" s="221"/>
      <c r="K6052" s="221"/>
      <c r="L6052" s="221"/>
      <c r="M6052" s="221"/>
    </row>
    <row r="6053" spans="5:13">
      <c r="E6053" s="221"/>
      <c r="F6053" s="221"/>
      <c r="G6053" s="221"/>
      <c r="H6053" s="221"/>
      <c r="I6053" s="221"/>
      <c r="J6053" s="221"/>
      <c r="K6053" s="221"/>
      <c r="L6053" s="221"/>
      <c r="M6053" s="221"/>
    </row>
    <row r="6054" spans="5:13">
      <c r="E6054" s="221"/>
      <c r="F6054" s="221"/>
      <c r="G6054" s="221"/>
      <c r="H6054" s="221"/>
      <c r="I6054" s="221"/>
      <c r="J6054" s="221"/>
      <c r="K6054" s="221"/>
      <c r="L6054" s="221"/>
      <c r="M6054" s="221"/>
    </row>
    <row r="6055" spans="5:13">
      <c r="E6055" s="221"/>
      <c r="F6055" s="221"/>
      <c r="G6055" s="221"/>
      <c r="H6055" s="221"/>
      <c r="I6055" s="221"/>
      <c r="J6055" s="221"/>
      <c r="K6055" s="221"/>
      <c r="L6055" s="221"/>
      <c r="M6055" s="221"/>
    </row>
    <row r="6056" spans="5:13">
      <c r="E6056" s="221"/>
      <c r="F6056" s="221"/>
      <c r="G6056" s="221"/>
      <c r="H6056" s="221"/>
      <c r="I6056" s="221"/>
      <c r="J6056" s="221"/>
      <c r="K6056" s="221"/>
      <c r="L6056" s="221"/>
      <c r="M6056" s="221"/>
    </row>
    <row r="6057" spans="5:13">
      <c r="E6057" s="221"/>
      <c r="F6057" s="221"/>
      <c r="G6057" s="221"/>
      <c r="H6057" s="221"/>
      <c r="I6057" s="221"/>
      <c r="J6057" s="221"/>
      <c r="K6057" s="221"/>
      <c r="L6057" s="221"/>
      <c r="M6057" s="221"/>
    </row>
    <row r="6058" spans="5:13">
      <c r="E6058" s="221"/>
      <c r="F6058" s="221"/>
      <c r="G6058" s="221"/>
      <c r="H6058" s="221"/>
      <c r="I6058" s="221"/>
      <c r="J6058" s="221"/>
      <c r="K6058" s="221"/>
      <c r="L6058" s="221"/>
      <c r="M6058" s="221"/>
    </row>
    <row r="6059" spans="5:13">
      <c r="E6059" s="221"/>
      <c r="F6059" s="221"/>
      <c r="G6059" s="221"/>
      <c r="H6059" s="221"/>
      <c r="I6059" s="221"/>
      <c r="J6059" s="221"/>
      <c r="K6059" s="221"/>
      <c r="L6059" s="221"/>
      <c r="M6059" s="221"/>
    </row>
    <row r="6060" spans="5:13">
      <c r="E6060" s="221"/>
      <c r="F6060" s="221"/>
      <c r="G6060" s="221"/>
      <c r="H6060" s="221"/>
      <c r="I6060" s="221"/>
      <c r="J6060" s="221"/>
      <c r="K6060" s="221"/>
      <c r="L6060" s="221"/>
      <c r="M6060" s="221"/>
    </row>
    <row r="6061" spans="5:13">
      <c r="E6061" s="221"/>
      <c r="F6061" s="221"/>
      <c r="G6061" s="221"/>
      <c r="H6061" s="221"/>
      <c r="I6061" s="221"/>
      <c r="J6061" s="221"/>
      <c r="K6061" s="221"/>
      <c r="L6061" s="221"/>
      <c r="M6061" s="221"/>
    </row>
    <row r="6062" spans="5:13">
      <c r="E6062" s="221"/>
      <c r="F6062" s="221"/>
      <c r="G6062" s="221"/>
      <c r="H6062" s="221"/>
      <c r="I6062" s="221"/>
      <c r="J6062" s="221"/>
      <c r="K6062" s="221"/>
      <c r="L6062" s="221"/>
      <c r="M6062" s="221"/>
    </row>
    <row r="6063" spans="5:13">
      <c r="E6063" s="221"/>
      <c r="F6063" s="221"/>
      <c r="G6063" s="221"/>
      <c r="H6063" s="221"/>
      <c r="I6063" s="221"/>
      <c r="J6063" s="221"/>
      <c r="K6063" s="221"/>
      <c r="L6063" s="221"/>
      <c r="M6063" s="221"/>
    </row>
    <row r="6064" spans="5:13">
      <c r="E6064" s="221"/>
      <c r="F6064" s="221"/>
      <c r="G6064" s="221"/>
      <c r="H6064" s="221"/>
      <c r="I6064" s="221"/>
      <c r="J6064" s="221"/>
      <c r="K6064" s="221"/>
      <c r="L6064" s="221"/>
      <c r="M6064" s="221"/>
    </row>
    <row r="6065" spans="5:13">
      <c r="E6065" s="221"/>
      <c r="F6065" s="221"/>
      <c r="G6065" s="221"/>
      <c r="H6065" s="221"/>
      <c r="I6065" s="221"/>
      <c r="J6065" s="221"/>
      <c r="K6065" s="221"/>
      <c r="L6065" s="221"/>
      <c r="M6065" s="221"/>
    </row>
    <row r="6066" spans="5:13">
      <c r="E6066" s="221"/>
      <c r="F6066" s="221"/>
      <c r="G6066" s="221"/>
      <c r="H6066" s="221"/>
      <c r="I6066" s="221"/>
      <c r="J6066" s="221"/>
      <c r="K6066" s="221"/>
      <c r="L6066" s="221"/>
      <c r="M6066" s="221"/>
    </row>
    <row r="6067" spans="5:13">
      <c r="E6067" s="221"/>
      <c r="F6067" s="221"/>
      <c r="G6067" s="221"/>
      <c r="H6067" s="221"/>
      <c r="I6067" s="221"/>
      <c r="J6067" s="221"/>
      <c r="K6067" s="221"/>
      <c r="L6067" s="221"/>
      <c r="M6067" s="221"/>
    </row>
    <row r="6068" spans="5:13">
      <c r="E6068" s="221"/>
      <c r="F6068" s="221"/>
      <c r="G6068" s="221"/>
      <c r="H6068" s="221"/>
      <c r="I6068" s="221"/>
      <c r="J6068" s="221"/>
      <c r="K6068" s="221"/>
      <c r="L6068" s="221"/>
      <c r="M6068" s="221"/>
    </row>
    <row r="6069" spans="5:13">
      <c r="E6069" s="221"/>
      <c r="F6069" s="221"/>
      <c r="G6069" s="221"/>
      <c r="H6069" s="221"/>
      <c r="I6069" s="221"/>
      <c r="J6069" s="221"/>
      <c r="K6069" s="221"/>
      <c r="L6069" s="221"/>
      <c r="M6069" s="221"/>
    </row>
    <row r="6070" spans="5:13">
      <c r="E6070" s="221"/>
      <c r="F6070" s="221"/>
      <c r="G6070" s="221"/>
      <c r="H6070" s="221"/>
      <c r="I6070" s="221"/>
      <c r="J6070" s="221"/>
      <c r="K6070" s="221"/>
      <c r="L6070" s="221"/>
      <c r="M6070" s="221"/>
    </row>
    <row r="6071" spans="5:13">
      <c r="E6071" s="221"/>
      <c r="F6071" s="221"/>
      <c r="G6071" s="221"/>
      <c r="H6071" s="221"/>
      <c r="I6071" s="221"/>
      <c r="J6071" s="221"/>
      <c r="K6071" s="221"/>
      <c r="L6071" s="221"/>
      <c r="M6071" s="221"/>
    </row>
    <row r="6072" spans="5:13">
      <c r="E6072" s="221"/>
      <c r="F6072" s="221"/>
      <c r="G6072" s="221"/>
      <c r="H6072" s="221"/>
      <c r="I6072" s="221"/>
      <c r="J6072" s="221"/>
      <c r="K6072" s="221"/>
      <c r="L6072" s="221"/>
      <c r="M6072" s="221"/>
    </row>
    <row r="6073" spans="5:13">
      <c r="E6073" s="221"/>
      <c r="F6073" s="221"/>
      <c r="G6073" s="221"/>
      <c r="H6073" s="221"/>
      <c r="I6073" s="221"/>
      <c r="J6073" s="221"/>
      <c r="K6073" s="221"/>
      <c r="L6073" s="221"/>
      <c r="M6073" s="221"/>
    </row>
    <row r="6074" spans="5:13">
      <c r="E6074" s="221"/>
      <c r="F6074" s="221"/>
      <c r="G6074" s="221"/>
      <c r="H6074" s="221"/>
      <c r="I6074" s="221"/>
      <c r="J6074" s="221"/>
      <c r="K6074" s="221"/>
      <c r="L6074" s="221"/>
      <c r="M6074" s="221"/>
    </row>
    <row r="6075" spans="5:13">
      <c r="E6075" s="221"/>
      <c r="F6075" s="221"/>
      <c r="G6075" s="221"/>
      <c r="H6075" s="221"/>
      <c r="I6075" s="221"/>
      <c r="J6075" s="221"/>
      <c r="K6075" s="221"/>
      <c r="L6075" s="221"/>
      <c r="M6075" s="221"/>
    </row>
    <row r="6076" spans="5:13">
      <c r="E6076" s="221"/>
      <c r="F6076" s="221"/>
      <c r="G6076" s="221"/>
      <c r="H6076" s="221"/>
      <c r="I6076" s="221"/>
      <c r="J6076" s="221"/>
      <c r="K6076" s="221"/>
      <c r="L6076" s="221"/>
      <c r="M6076" s="221"/>
    </row>
    <row r="6077" spans="5:13">
      <c r="E6077" s="221"/>
      <c r="F6077" s="221"/>
      <c r="G6077" s="221"/>
      <c r="H6077" s="221"/>
      <c r="I6077" s="221"/>
      <c r="J6077" s="221"/>
      <c r="K6077" s="221"/>
      <c r="L6077" s="221"/>
      <c r="M6077" s="221"/>
    </row>
    <row r="6078" spans="5:13">
      <c r="E6078" s="221"/>
      <c r="F6078" s="221"/>
      <c r="G6078" s="221"/>
      <c r="H6078" s="221"/>
      <c r="I6078" s="221"/>
      <c r="J6078" s="221"/>
      <c r="K6078" s="221"/>
      <c r="L6078" s="221"/>
      <c r="M6078" s="221"/>
    </row>
    <row r="6079" spans="5:13">
      <c r="E6079" s="221"/>
      <c r="F6079" s="221"/>
      <c r="G6079" s="221"/>
      <c r="H6079" s="221"/>
      <c r="I6079" s="221"/>
      <c r="J6079" s="221"/>
      <c r="K6079" s="221"/>
      <c r="L6079" s="221"/>
      <c r="M6079" s="221"/>
    </row>
    <row r="6080" spans="5:13">
      <c r="E6080" s="221"/>
      <c r="F6080" s="221"/>
      <c r="G6080" s="221"/>
      <c r="H6080" s="221"/>
      <c r="I6080" s="221"/>
      <c r="J6080" s="221"/>
      <c r="K6080" s="221"/>
      <c r="L6080" s="221"/>
      <c r="M6080" s="221"/>
    </row>
    <row r="6081" spans="5:13">
      <c r="E6081" s="221"/>
      <c r="F6081" s="221"/>
      <c r="G6081" s="221"/>
      <c r="H6081" s="221"/>
      <c r="I6081" s="221"/>
      <c r="J6081" s="221"/>
      <c r="K6081" s="221"/>
      <c r="L6081" s="221"/>
      <c r="M6081" s="221"/>
    </row>
    <row r="6082" spans="5:13">
      <c r="E6082" s="221"/>
      <c r="F6082" s="221"/>
      <c r="G6082" s="221"/>
      <c r="H6082" s="221"/>
      <c r="I6082" s="221"/>
      <c r="J6082" s="221"/>
      <c r="K6082" s="221"/>
      <c r="L6082" s="221"/>
      <c r="M6082" s="221"/>
    </row>
    <row r="6083" spans="5:13">
      <c r="E6083" s="221"/>
      <c r="F6083" s="221"/>
      <c r="G6083" s="221"/>
      <c r="H6083" s="221"/>
      <c r="I6083" s="221"/>
      <c r="J6083" s="221"/>
      <c r="K6083" s="221"/>
      <c r="L6083" s="221"/>
      <c r="M6083" s="221"/>
    </row>
    <row r="6084" spans="5:13">
      <c r="E6084" s="221"/>
      <c r="F6084" s="221"/>
      <c r="G6084" s="221"/>
      <c r="H6084" s="221"/>
      <c r="I6084" s="221"/>
      <c r="J6084" s="221"/>
      <c r="K6084" s="221"/>
      <c r="L6084" s="221"/>
      <c r="M6084" s="221"/>
    </row>
    <row r="6085" spans="5:13">
      <c r="E6085" s="221"/>
      <c r="F6085" s="221"/>
      <c r="G6085" s="221"/>
      <c r="H6085" s="221"/>
      <c r="I6085" s="221"/>
      <c r="J6085" s="221"/>
      <c r="K6085" s="221"/>
      <c r="L6085" s="221"/>
      <c r="M6085" s="221"/>
    </row>
    <row r="6086" spans="5:13">
      <c r="E6086" s="221"/>
      <c r="F6086" s="221"/>
      <c r="G6086" s="221"/>
      <c r="H6086" s="221"/>
      <c r="I6086" s="221"/>
      <c r="J6086" s="221"/>
      <c r="K6086" s="221"/>
      <c r="L6086" s="221"/>
      <c r="M6086" s="221"/>
    </row>
    <row r="6087" spans="5:13">
      <c r="E6087" s="221"/>
      <c r="F6087" s="221"/>
      <c r="G6087" s="221"/>
      <c r="H6087" s="221"/>
      <c r="I6087" s="221"/>
      <c r="J6087" s="221"/>
      <c r="K6087" s="221"/>
      <c r="L6087" s="221"/>
      <c r="M6087" s="221"/>
    </row>
    <row r="6088" spans="5:13">
      <c r="E6088" s="221"/>
      <c r="F6088" s="221"/>
      <c r="G6088" s="221"/>
      <c r="H6088" s="221"/>
      <c r="I6088" s="221"/>
      <c r="J6088" s="221"/>
      <c r="K6088" s="221"/>
      <c r="L6088" s="221"/>
      <c r="M6088" s="221"/>
    </row>
    <row r="6089" spans="5:13">
      <c r="E6089" s="221"/>
      <c r="F6089" s="221"/>
      <c r="G6089" s="221"/>
      <c r="H6089" s="221"/>
      <c r="I6089" s="221"/>
      <c r="J6089" s="221"/>
      <c r="K6089" s="221"/>
      <c r="L6089" s="221"/>
      <c r="M6089" s="221"/>
    </row>
    <row r="6090" spans="5:13">
      <c r="E6090" s="221"/>
      <c r="F6090" s="221"/>
      <c r="G6090" s="221"/>
      <c r="H6090" s="221"/>
      <c r="I6090" s="221"/>
      <c r="J6090" s="221"/>
      <c r="K6090" s="221"/>
      <c r="L6090" s="221"/>
      <c r="M6090" s="221"/>
    </row>
    <row r="6091" spans="5:13">
      <c r="E6091" s="221"/>
      <c r="F6091" s="221"/>
      <c r="G6091" s="221"/>
      <c r="H6091" s="221"/>
      <c r="I6091" s="221"/>
      <c r="J6091" s="221"/>
      <c r="K6091" s="221"/>
      <c r="L6091" s="221"/>
      <c r="M6091" s="221"/>
    </row>
    <row r="6092" spans="5:13">
      <c r="E6092" s="221"/>
      <c r="F6092" s="221"/>
      <c r="G6092" s="221"/>
      <c r="H6092" s="221"/>
      <c r="I6092" s="221"/>
      <c r="J6092" s="221"/>
      <c r="K6092" s="221"/>
      <c r="L6092" s="221"/>
      <c r="M6092" s="221"/>
    </row>
    <row r="6093" spans="5:13">
      <c r="E6093" s="221"/>
      <c r="F6093" s="221"/>
      <c r="G6093" s="221"/>
      <c r="H6093" s="221"/>
      <c r="I6093" s="221"/>
      <c r="J6093" s="221"/>
      <c r="K6093" s="221"/>
      <c r="L6093" s="221"/>
      <c r="M6093" s="221"/>
    </row>
    <row r="6094" spans="5:13">
      <c r="E6094" s="221"/>
      <c r="F6094" s="221"/>
      <c r="G6094" s="221"/>
      <c r="H6094" s="221"/>
      <c r="I6094" s="221"/>
      <c r="J6094" s="221"/>
      <c r="K6094" s="221"/>
      <c r="L6094" s="221"/>
      <c r="M6094" s="221"/>
    </row>
    <row r="6095" spans="5:13">
      <c r="E6095" s="221"/>
      <c r="F6095" s="221"/>
      <c r="G6095" s="221"/>
      <c r="H6095" s="221"/>
      <c r="I6095" s="221"/>
      <c r="J6095" s="221"/>
      <c r="K6095" s="221"/>
      <c r="L6095" s="221"/>
      <c r="M6095" s="221"/>
    </row>
    <row r="6096" spans="5:13">
      <c r="E6096" s="221"/>
      <c r="F6096" s="221"/>
      <c r="G6096" s="221"/>
      <c r="H6096" s="221"/>
      <c r="I6096" s="221"/>
      <c r="J6096" s="221"/>
      <c r="K6096" s="221"/>
      <c r="L6096" s="221"/>
      <c r="M6096" s="221"/>
    </row>
    <row r="6097" spans="5:13">
      <c r="E6097" s="221"/>
      <c r="F6097" s="221"/>
      <c r="G6097" s="221"/>
      <c r="H6097" s="221"/>
      <c r="I6097" s="221"/>
      <c r="J6097" s="221"/>
      <c r="K6097" s="221"/>
      <c r="L6097" s="221"/>
      <c r="M6097" s="221"/>
    </row>
    <row r="6098" spans="5:13">
      <c r="E6098" s="221"/>
      <c r="F6098" s="221"/>
      <c r="G6098" s="221"/>
      <c r="H6098" s="221"/>
      <c r="I6098" s="221"/>
      <c r="J6098" s="221"/>
      <c r="K6098" s="221"/>
      <c r="L6098" s="221"/>
      <c r="M6098" s="221"/>
    </row>
    <row r="6099" spans="5:13">
      <c r="E6099" s="221"/>
      <c r="F6099" s="221"/>
      <c r="G6099" s="221"/>
      <c r="H6099" s="221"/>
      <c r="I6099" s="221"/>
      <c r="J6099" s="221"/>
      <c r="K6099" s="221"/>
      <c r="L6099" s="221"/>
      <c r="M6099" s="221"/>
    </row>
    <row r="6100" spans="5:13">
      <c r="E6100" s="221"/>
      <c r="F6100" s="221"/>
      <c r="G6100" s="221"/>
      <c r="H6100" s="221"/>
      <c r="I6100" s="221"/>
      <c r="J6100" s="221"/>
      <c r="K6100" s="221"/>
      <c r="L6100" s="221"/>
      <c r="M6100" s="221"/>
    </row>
    <row r="6101" spans="5:13">
      <c r="E6101" s="221"/>
      <c r="F6101" s="221"/>
      <c r="G6101" s="221"/>
      <c r="H6101" s="221"/>
      <c r="I6101" s="221"/>
      <c r="J6101" s="221"/>
      <c r="K6101" s="221"/>
      <c r="L6101" s="221"/>
      <c r="M6101" s="221"/>
    </row>
    <row r="6102" spans="5:13">
      <c r="E6102" s="221"/>
      <c r="F6102" s="221"/>
      <c r="G6102" s="221"/>
      <c r="H6102" s="221"/>
      <c r="I6102" s="221"/>
      <c r="J6102" s="221"/>
      <c r="K6102" s="221"/>
      <c r="L6102" s="221"/>
      <c r="M6102" s="221"/>
    </row>
    <row r="6103" spans="5:13">
      <c r="E6103" s="221"/>
      <c r="F6103" s="221"/>
      <c r="G6103" s="221"/>
      <c r="H6103" s="221"/>
      <c r="I6103" s="221"/>
      <c r="J6103" s="221"/>
      <c r="K6103" s="221"/>
      <c r="L6103" s="221"/>
      <c r="M6103" s="221"/>
    </row>
    <row r="6104" spans="5:13">
      <c r="E6104" s="221"/>
      <c r="F6104" s="221"/>
      <c r="G6104" s="221"/>
      <c r="H6104" s="221"/>
      <c r="I6104" s="221"/>
      <c r="J6104" s="221"/>
      <c r="K6104" s="221"/>
      <c r="L6104" s="221"/>
      <c r="M6104" s="221"/>
    </row>
    <row r="6105" spans="5:13">
      <c r="E6105" s="221"/>
      <c r="F6105" s="221"/>
      <c r="G6105" s="221"/>
      <c r="H6105" s="221"/>
      <c r="I6105" s="221"/>
      <c r="J6105" s="221"/>
      <c r="K6105" s="221"/>
      <c r="L6105" s="221"/>
      <c r="M6105" s="221"/>
    </row>
    <row r="6106" spans="5:13">
      <c r="E6106" s="221"/>
      <c r="F6106" s="221"/>
      <c r="G6106" s="221"/>
      <c r="H6106" s="221"/>
      <c r="I6106" s="221"/>
      <c r="J6106" s="221"/>
      <c r="K6106" s="221"/>
      <c r="L6106" s="221"/>
      <c r="M6106" s="221"/>
    </row>
    <row r="6107" spans="5:13">
      <c r="E6107" s="221"/>
      <c r="F6107" s="221"/>
      <c r="G6107" s="221"/>
      <c r="H6107" s="221"/>
      <c r="I6107" s="221"/>
      <c r="J6107" s="221"/>
      <c r="K6107" s="221"/>
      <c r="L6107" s="221"/>
      <c r="M6107" s="221"/>
    </row>
    <row r="6108" spans="5:13">
      <c r="E6108" s="221"/>
      <c r="F6108" s="221"/>
      <c r="G6108" s="221"/>
      <c r="H6108" s="221"/>
      <c r="I6108" s="221"/>
      <c r="J6108" s="221"/>
      <c r="K6108" s="221"/>
      <c r="L6108" s="221"/>
      <c r="M6108" s="221"/>
    </row>
    <row r="6109" spans="5:13">
      <c r="E6109" s="221"/>
      <c r="F6109" s="221"/>
      <c r="G6109" s="221"/>
      <c r="H6109" s="221"/>
      <c r="I6109" s="221"/>
      <c r="J6109" s="221"/>
      <c r="K6109" s="221"/>
      <c r="L6109" s="221"/>
      <c r="M6109" s="221"/>
    </row>
    <row r="6110" spans="5:13">
      <c r="E6110" s="221"/>
      <c r="F6110" s="221"/>
      <c r="G6110" s="221"/>
      <c r="H6110" s="221"/>
      <c r="I6110" s="221"/>
      <c r="J6110" s="221"/>
      <c r="K6110" s="221"/>
      <c r="L6110" s="221"/>
      <c r="M6110" s="221"/>
    </row>
    <row r="6111" spans="5:13">
      <c r="E6111" s="221"/>
      <c r="F6111" s="221"/>
      <c r="G6111" s="221"/>
      <c r="H6111" s="221"/>
      <c r="I6111" s="221"/>
      <c r="J6111" s="221"/>
      <c r="K6111" s="221"/>
      <c r="L6111" s="221"/>
      <c r="M6111" s="221"/>
    </row>
    <row r="6112" spans="5:13">
      <c r="E6112" s="221"/>
      <c r="F6112" s="221"/>
      <c r="G6112" s="221"/>
      <c r="H6112" s="221"/>
      <c r="I6112" s="221"/>
      <c r="J6112" s="221"/>
      <c r="K6112" s="221"/>
      <c r="L6112" s="221"/>
      <c r="M6112" s="221"/>
    </row>
    <row r="6113" spans="5:13">
      <c r="E6113" s="221"/>
      <c r="F6113" s="221"/>
      <c r="G6113" s="221"/>
      <c r="H6113" s="221"/>
      <c r="I6113" s="221"/>
      <c r="J6113" s="221"/>
      <c r="K6113" s="221"/>
      <c r="L6113" s="221"/>
      <c r="M6113" s="221"/>
    </row>
    <row r="6114" spans="5:13">
      <c r="E6114" s="221"/>
      <c r="F6114" s="221"/>
      <c r="G6114" s="221"/>
      <c r="H6114" s="221"/>
      <c r="I6114" s="221"/>
      <c r="J6114" s="221"/>
      <c r="K6114" s="221"/>
      <c r="L6114" s="221"/>
      <c r="M6114" s="221"/>
    </row>
    <row r="6115" spans="5:13">
      <c r="E6115" s="221"/>
      <c r="F6115" s="221"/>
      <c r="G6115" s="221"/>
      <c r="H6115" s="221"/>
      <c r="I6115" s="221"/>
      <c r="J6115" s="221"/>
      <c r="K6115" s="221"/>
      <c r="L6115" s="221"/>
      <c r="M6115" s="221"/>
    </row>
    <row r="6116" spans="5:13">
      <c r="E6116" s="221"/>
      <c r="F6116" s="221"/>
      <c r="G6116" s="221"/>
      <c r="H6116" s="221"/>
      <c r="I6116" s="221"/>
      <c r="J6116" s="221"/>
      <c r="K6116" s="221"/>
      <c r="L6116" s="221"/>
      <c r="M6116" s="221"/>
    </row>
    <row r="6117" spans="5:13">
      <c r="E6117" s="221"/>
      <c r="F6117" s="221"/>
      <c r="G6117" s="221"/>
      <c r="H6117" s="221"/>
      <c r="I6117" s="221"/>
      <c r="J6117" s="221"/>
      <c r="K6117" s="221"/>
      <c r="L6117" s="221"/>
      <c r="M6117" s="221"/>
    </row>
    <row r="6118" spans="5:13">
      <c r="E6118" s="221"/>
      <c r="F6118" s="221"/>
      <c r="G6118" s="221"/>
      <c r="H6118" s="221"/>
      <c r="I6118" s="221"/>
      <c r="J6118" s="221"/>
      <c r="K6118" s="221"/>
      <c r="L6118" s="221"/>
      <c r="M6118" s="221"/>
    </row>
    <row r="6119" spans="5:13">
      <c r="E6119" s="221"/>
      <c r="F6119" s="221"/>
      <c r="G6119" s="221"/>
      <c r="H6119" s="221"/>
      <c r="I6119" s="221"/>
      <c r="J6119" s="221"/>
      <c r="K6119" s="221"/>
      <c r="L6119" s="221"/>
      <c r="M6119" s="221"/>
    </row>
    <row r="6120" spans="5:13">
      <c r="E6120" s="221"/>
      <c r="F6120" s="221"/>
      <c r="G6120" s="221"/>
      <c r="H6120" s="221"/>
      <c r="I6120" s="221"/>
      <c r="J6120" s="221"/>
      <c r="K6120" s="221"/>
      <c r="L6120" s="221"/>
      <c r="M6120" s="221"/>
    </row>
    <row r="6121" spans="5:13">
      <c r="E6121" s="221"/>
      <c r="F6121" s="221"/>
      <c r="G6121" s="221"/>
      <c r="H6121" s="221"/>
      <c r="I6121" s="221"/>
      <c r="J6121" s="221"/>
      <c r="K6121" s="221"/>
      <c r="L6121" s="221"/>
      <c r="M6121" s="221"/>
    </row>
    <row r="6122" spans="5:13">
      <c r="E6122" s="221"/>
      <c r="F6122" s="221"/>
      <c r="G6122" s="221"/>
      <c r="H6122" s="221"/>
      <c r="I6122" s="221"/>
      <c r="J6122" s="221"/>
      <c r="K6122" s="221"/>
      <c r="L6122" s="221"/>
      <c r="M6122" s="221"/>
    </row>
    <row r="6123" spans="5:13">
      <c r="E6123" s="221"/>
      <c r="F6123" s="221"/>
      <c r="G6123" s="221"/>
      <c r="H6123" s="221"/>
      <c r="I6123" s="221"/>
      <c r="J6123" s="221"/>
      <c r="K6123" s="221"/>
      <c r="L6123" s="221"/>
      <c r="M6123" s="221"/>
    </row>
    <row r="6124" spans="5:13">
      <c r="E6124" s="221"/>
      <c r="F6124" s="221"/>
      <c r="G6124" s="221"/>
      <c r="H6124" s="221"/>
      <c r="I6124" s="221"/>
      <c r="J6124" s="221"/>
      <c r="K6124" s="221"/>
      <c r="L6124" s="221"/>
      <c r="M6124" s="221"/>
    </row>
    <row r="6125" spans="5:13">
      <c r="E6125" s="221"/>
      <c r="F6125" s="221"/>
      <c r="G6125" s="221"/>
      <c r="H6125" s="221"/>
      <c r="I6125" s="221"/>
      <c r="J6125" s="221"/>
      <c r="K6125" s="221"/>
      <c r="L6125" s="221"/>
      <c r="M6125" s="221"/>
    </row>
    <row r="6126" spans="5:13">
      <c r="E6126" s="221"/>
      <c r="F6126" s="221"/>
      <c r="G6126" s="221"/>
      <c r="H6126" s="221"/>
      <c r="I6126" s="221"/>
      <c r="J6126" s="221"/>
      <c r="K6126" s="221"/>
      <c r="L6126" s="221"/>
      <c r="M6126" s="221"/>
    </row>
    <row r="6127" spans="5:13">
      <c r="E6127" s="221"/>
      <c r="F6127" s="221"/>
      <c r="G6127" s="221"/>
      <c r="H6127" s="221"/>
      <c r="I6127" s="221"/>
      <c r="J6127" s="221"/>
      <c r="K6127" s="221"/>
      <c r="L6127" s="221"/>
      <c r="M6127" s="221"/>
    </row>
    <row r="6128" spans="5:13">
      <c r="E6128" s="221"/>
      <c r="F6128" s="221"/>
      <c r="G6128" s="221"/>
      <c r="H6128" s="221"/>
      <c r="I6128" s="221"/>
      <c r="J6128" s="221"/>
      <c r="K6128" s="221"/>
      <c r="L6128" s="221"/>
      <c r="M6128" s="221"/>
    </row>
    <row r="6129" spans="5:13">
      <c r="E6129" s="221"/>
      <c r="F6129" s="221"/>
      <c r="G6129" s="221"/>
      <c r="H6129" s="221"/>
      <c r="I6129" s="221"/>
      <c r="J6129" s="221"/>
      <c r="K6129" s="221"/>
      <c r="L6129" s="221"/>
      <c r="M6129" s="221"/>
    </row>
    <row r="6130" spans="5:13">
      <c r="E6130" s="221"/>
      <c r="F6130" s="221"/>
      <c r="G6130" s="221"/>
      <c r="H6130" s="221"/>
      <c r="I6130" s="221"/>
      <c r="J6130" s="221"/>
      <c r="K6130" s="221"/>
      <c r="L6130" s="221"/>
      <c r="M6130" s="221"/>
    </row>
    <row r="6131" spans="5:13">
      <c r="E6131" s="221"/>
      <c r="F6131" s="221"/>
      <c r="G6131" s="221"/>
      <c r="H6131" s="221"/>
      <c r="I6131" s="221"/>
      <c r="J6131" s="221"/>
      <c r="K6131" s="221"/>
      <c r="L6131" s="221"/>
      <c r="M6131" s="221"/>
    </row>
    <row r="6132" spans="5:13">
      <c r="E6132" s="221"/>
      <c r="F6132" s="221"/>
      <c r="G6132" s="221"/>
      <c r="H6132" s="221"/>
      <c r="I6132" s="221"/>
      <c r="J6132" s="221"/>
      <c r="K6132" s="221"/>
      <c r="L6132" s="221"/>
      <c r="M6132" s="221"/>
    </row>
    <row r="6133" spans="5:13">
      <c r="E6133" s="221"/>
      <c r="F6133" s="221"/>
      <c r="G6133" s="221"/>
      <c r="H6133" s="221"/>
      <c r="I6133" s="221"/>
      <c r="J6133" s="221"/>
      <c r="K6133" s="221"/>
      <c r="L6133" s="221"/>
      <c r="M6133" s="221"/>
    </row>
    <row r="6134" spans="5:13">
      <c r="E6134" s="221"/>
      <c r="F6134" s="221"/>
      <c r="G6134" s="221"/>
      <c r="H6134" s="221"/>
      <c r="I6134" s="221"/>
      <c r="J6134" s="221"/>
      <c r="K6134" s="221"/>
      <c r="L6134" s="221"/>
      <c r="M6134" s="221"/>
    </row>
    <row r="6135" spans="5:13">
      <c r="E6135" s="221"/>
      <c r="F6135" s="221"/>
      <c r="G6135" s="221"/>
      <c r="H6135" s="221"/>
      <c r="I6135" s="221"/>
      <c r="J6135" s="221"/>
      <c r="K6135" s="221"/>
      <c r="L6135" s="221"/>
      <c r="M6135" s="221"/>
    </row>
    <row r="6136" spans="5:13">
      <c r="E6136" s="221"/>
      <c r="F6136" s="221"/>
      <c r="G6136" s="221"/>
      <c r="H6136" s="221"/>
      <c r="I6136" s="221"/>
      <c r="J6136" s="221"/>
      <c r="K6136" s="221"/>
      <c r="L6136" s="221"/>
      <c r="M6136" s="221"/>
    </row>
    <row r="6137" spans="5:13">
      <c r="E6137" s="221"/>
      <c r="F6137" s="221"/>
      <c r="G6137" s="221"/>
      <c r="H6137" s="221"/>
      <c r="I6137" s="221"/>
      <c r="J6137" s="221"/>
      <c r="K6137" s="221"/>
      <c r="L6137" s="221"/>
      <c r="M6137" s="221"/>
    </row>
    <row r="6138" spans="5:13">
      <c r="E6138" s="221"/>
      <c r="F6138" s="221"/>
      <c r="G6138" s="221"/>
      <c r="H6138" s="221"/>
      <c r="I6138" s="221"/>
      <c r="J6138" s="221"/>
      <c r="K6138" s="221"/>
      <c r="L6138" s="221"/>
      <c r="M6138" s="221"/>
    </row>
    <row r="6139" spans="5:13">
      <c r="E6139" s="221"/>
      <c r="F6139" s="221"/>
      <c r="G6139" s="221"/>
      <c r="H6139" s="221"/>
      <c r="I6139" s="221"/>
      <c r="J6139" s="221"/>
      <c r="K6139" s="221"/>
      <c r="L6139" s="221"/>
      <c r="M6139" s="221"/>
    </row>
    <row r="6140" spans="5:13">
      <c r="E6140" s="221"/>
      <c r="F6140" s="221"/>
      <c r="G6140" s="221"/>
      <c r="H6140" s="221"/>
      <c r="I6140" s="221"/>
      <c r="J6140" s="221"/>
      <c r="K6140" s="221"/>
      <c r="L6140" s="221"/>
      <c r="M6140" s="221"/>
    </row>
    <row r="6141" spans="5:13">
      <c r="E6141" s="221"/>
      <c r="F6141" s="221"/>
      <c r="G6141" s="221"/>
      <c r="H6141" s="221"/>
      <c r="I6141" s="221"/>
      <c r="J6141" s="221"/>
      <c r="K6141" s="221"/>
      <c r="L6141" s="221"/>
      <c r="M6141" s="221"/>
    </row>
    <row r="6142" spans="5:13">
      <c r="E6142" s="221"/>
      <c r="F6142" s="221"/>
      <c r="G6142" s="221"/>
      <c r="H6142" s="221"/>
      <c r="I6142" s="221"/>
      <c r="J6142" s="221"/>
      <c r="K6142" s="221"/>
      <c r="L6142" s="221"/>
      <c r="M6142" s="221"/>
    </row>
    <row r="6143" spans="5:13">
      <c r="E6143" s="221"/>
      <c r="F6143" s="221"/>
      <c r="G6143" s="221"/>
      <c r="H6143" s="221"/>
      <c r="I6143" s="221"/>
      <c r="J6143" s="221"/>
      <c r="K6143" s="221"/>
      <c r="L6143" s="221"/>
      <c r="M6143" s="221"/>
    </row>
    <row r="6144" spans="5:13">
      <c r="E6144" s="221"/>
      <c r="F6144" s="221"/>
      <c r="G6144" s="221"/>
      <c r="H6144" s="221"/>
      <c r="I6144" s="221"/>
      <c r="J6144" s="221"/>
      <c r="K6144" s="221"/>
      <c r="L6144" s="221"/>
      <c r="M6144" s="221"/>
    </row>
    <row r="6145" spans="5:13">
      <c r="E6145" s="221"/>
      <c r="F6145" s="221"/>
      <c r="G6145" s="221"/>
      <c r="H6145" s="221"/>
      <c r="I6145" s="221"/>
      <c r="J6145" s="221"/>
      <c r="K6145" s="221"/>
      <c r="L6145" s="221"/>
      <c r="M6145" s="221"/>
    </row>
    <row r="6146" spans="5:13">
      <c r="E6146" s="221"/>
      <c r="F6146" s="221"/>
      <c r="G6146" s="221"/>
      <c r="H6146" s="221"/>
      <c r="I6146" s="221"/>
      <c r="J6146" s="221"/>
      <c r="K6146" s="221"/>
      <c r="L6146" s="221"/>
      <c r="M6146" s="221"/>
    </row>
    <row r="6147" spans="5:13">
      <c r="E6147" s="221"/>
      <c r="F6147" s="221"/>
      <c r="G6147" s="221"/>
      <c r="H6147" s="221"/>
      <c r="I6147" s="221"/>
      <c r="J6147" s="221"/>
      <c r="K6147" s="221"/>
      <c r="L6147" s="221"/>
      <c r="M6147" s="221"/>
    </row>
    <row r="6148" spans="5:13">
      <c r="E6148" s="221"/>
      <c r="F6148" s="221"/>
      <c r="G6148" s="221"/>
      <c r="H6148" s="221"/>
      <c r="I6148" s="221"/>
      <c r="J6148" s="221"/>
      <c r="K6148" s="221"/>
      <c r="L6148" s="221"/>
      <c r="M6148" s="221"/>
    </row>
    <row r="6149" spans="5:13">
      <c r="E6149" s="221"/>
      <c r="F6149" s="221"/>
      <c r="G6149" s="221"/>
      <c r="H6149" s="221"/>
      <c r="I6149" s="221"/>
      <c r="J6149" s="221"/>
      <c r="K6149" s="221"/>
      <c r="L6149" s="221"/>
      <c r="M6149" s="221"/>
    </row>
    <row r="6150" spans="5:13">
      <c r="E6150" s="221"/>
      <c r="F6150" s="221"/>
      <c r="G6150" s="221"/>
      <c r="H6150" s="221"/>
      <c r="I6150" s="221"/>
      <c r="J6150" s="221"/>
      <c r="K6150" s="221"/>
      <c r="L6150" s="221"/>
      <c r="M6150" s="221"/>
    </row>
    <row r="6151" spans="5:13">
      <c r="E6151" s="221"/>
      <c r="F6151" s="221"/>
      <c r="G6151" s="221"/>
      <c r="H6151" s="221"/>
      <c r="I6151" s="221"/>
      <c r="J6151" s="221"/>
      <c r="K6151" s="221"/>
      <c r="L6151" s="221"/>
      <c r="M6151" s="221"/>
    </row>
    <row r="6152" spans="5:13">
      <c r="E6152" s="221"/>
      <c r="F6152" s="221"/>
      <c r="G6152" s="221"/>
      <c r="H6152" s="221"/>
      <c r="I6152" s="221"/>
      <c r="J6152" s="221"/>
      <c r="K6152" s="221"/>
      <c r="L6152" s="221"/>
      <c r="M6152" s="221"/>
    </row>
    <row r="6153" spans="5:13">
      <c r="E6153" s="221"/>
      <c r="F6153" s="221"/>
      <c r="G6153" s="221"/>
      <c r="H6153" s="221"/>
      <c r="I6153" s="221"/>
      <c r="J6153" s="221"/>
      <c r="K6153" s="221"/>
      <c r="L6153" s="221"/>
      <c r="M6153" s="221"/>
    </row>
    <row r="6154" spans="5:13">
      <c r="E6154" s="221"/>
      <c r="F6154" s="221"/>
      <c r="G6154" s="221"/>
      <c r="H6154" s="221"/>
      <c r="I6154" s="221"/>
      <c r="J6154" s="221"/>
      <c r="K6154" s="221"/>
      <c r="L6154" s="221"/>
      <c r="M6154" s="221"/>
    </row>
    <row r="6155" spans="5:13">
      <c r="E6155" s="221"/>
      <c r="F6155" s="221"/>
      <c r="G6155" s="221"/>
      <c r="H6155" s="221"/>
      <c r="I6155" s="221"/>
      <c r="J6155" s="221"/>
      <c r="K6155" s="221"/>
      <c r="L6155" s="221"/>
      <c r="M6155" s="221"/>
    </row>
    <row r="6156" spans="5:13">
      <c r="E6156" s="221"/>
      <c r="F6156" s="221"/>
      <c r="G6156" s="221"/>
      <c r="H6156" s="221"/>
      <c r="I6156" s="221"/>
      <c r="J6156" s="221"/>
      <c r="K6156" s="221"/>
      <c r="L6156" s="221"/>
      <c r="M6156" s="221"/>
    </row>
    <row r="6157" spans="5:13">
      <c r="E6157" s="221"/>
      <c r="F6157" s="221"/>
      <c r="G6157" s="221"/>
      <c r="H6157" s="221"/>
      <c r="I6157" s="221"/>
      <c r="J6157" s="221"/>
      <c r="K6157" s="221"/>
      <c r="L6157" s="221"/>
      <c r="M6157" s="221"/>
    </row>
    <row r="6158" spans="5:13">
      <c r="E6158" s="221"/>
      <c r="F6158" s="221"/>
      <c r="G6158" s="221"/>
      <c r="H6158" s="221"/>
      <c r="I6158" s="221"/>
      <c r="J6158" s="221"/>
      <c r="K6158" s="221"/>
      <c r="L6158" s="221"/>
      <c r="M6158" s="221"/>
    </row>
    <row r="6159" spans="5:13">
      <c r="E6159" s="221"/>
      <c r="F6159" s="221"/>
      <c r="G6159" s="221"/>
      <c r="H6159" s="221"/>
      <c r="I6159" s="221"/>
      <c r="J6159" s="221"/>
      <c r="K6159" s="221"/>
      <c r="L6159" s="221"/>
      <c r="M6159" s="221"/>
    </row>
    <row r="6160" spans="5:13">
      <c r="E6160" s="221"/>
      <c r="F6160" s="221"/>
      <c r="G6160" s="221"/>
      <c r="H6160" s="221"/>
      <c r="I6160" s="221"/>
      <c r="J6160" s="221"/>
      <c r="K6160" s="221"/>
      <c r="L6160" s="221"/>
      <c r="M6160" s="221"/>
    </row>
    <row r="6161" spans="5:13">
      <c r="E6161" s="221"/>
      <c r="F6161" s="221"/>
      <c r="G6161" s="221"/>
      <c r="H6161" s="221"/>
      <c r="I6161" s="221"/>
      <c r="J6161" s="221"/>
      <c r="K6161" s="221"/>
      <c r="L6161" s="221"/>
      <c r="M6161" s="221"/>
    </row>
    <row r="6162" spans="5:13">
      <c r="E6162" s="221"/>
      <c r="F6162" s="221"/>
      <c r="G6162" s="221"/>
      <c r="H6162" s="221"/>
      <c r="I6162" s="221"/>
      <c r="J6162" s="221"/>
      <c r="K6162" s="221"/>
      <c r="L6162" s="221"/>
      <c r="M6162" s="221"/>
    </row>
    <row r="6163" spans="5:13">
      <c r="E6163" s="221"/>
      <c r="F6163" s="221"/>
      <c r="G6163" s="221"/>
      <c r="H6163" s="221"/>
      <c r="I6163" s="221"/>
      <c r="J6163" s="221"/>
      <c r="K6163" s="221"/>
      <c r="L6163" s="221"/>
      <c r="M6163" s="221"/>
    </row>
    <row r="6164" spans="5:13">
      <c r="E6164" s="221"/>
      <c r="F6164" s="221"/>
      <c r="G6164" s="221"/>
      <c r="H6164" s="221"/>
      <c r="I6164" s="221"/>
      <c r="J6164" s="221"/>
      <c r="K6164" s="221"/>
      <c r="L6164" s="221"/>
      <c r="M6164" s="221"/>
    </row>
    <row r="6165" spans="5:13">
      <c r="E6165" s="221"/>
      <c r="F6165" s="221"/>
      <c r="G6165" s="221"/>
      <c r="H6165" s="221"/>
      <c r="I6165" s="221"/>
      <c r="J6165" s="221"/>
      <c r="K6165" s="221"/>
      <c r="L6165" s="221"/>
      <c r="M6165" s="221"/>
    </row>
    <row r="6166" spans="5:13">
      <c r="E6166" s="221"/>
      <c r="F6166" s="221"/>
      <c r="G6166" s="221"/>
      <c r="H6166" s="221"/>
      <c r="I6166" s="221"/>
      <c r="J6166" s="221"/>
      <c r="K6166" s="221"/>
      <c r="L6166" s="221"/>
      <c r="M6166" s="221"/>
    </row>
    <row r="6167" spans="5:13">
      <c r="E6167" s="221"/>
      <c r="F6167" s="221"/>
      <c r="G6167" s="221"/>
      <c r="H6167" s="221"/>
      <c r="I6167" s="221"/>
      <c r="J6167" s="221"/>
      <c r="K6167" s="221"/>
      <c r="L6167" s="221"/>
      <c r="M6167" s="221"/>
    </row>
    <row r="6168" spans="5:13">
      <c r="E6168" s="221"/>
      <c r="F6168" s="221"/>
      <c r="G6168" s="221"/>
      <c r="H6168" s="221"/>
      <c r="I6168" s="221"/>
      <c r="J6168" s="221"/>
      <c r="K6168" s="221"/>
      <c r="L6168" s="221"/>
      <c r="M6168" s="221"/>
    </row>
    <row r="6169" spans="5:13">
      <c r="E6169" s="221"/>
      <c r="F6169" s="221"/>
      <c r="G6169" s="221"/>
      <c r="H6169" s="221"/>
      <c r="I6169" s="221"/>
      <c r="J6169" s="221"/>
      <c r="K6169" s="221"/>
      <c r="L6169" s="221"/>
      <c r="M6169" s="221"/>
    </row>
    <row r="6170" spans="5:13">
      <c r="E6170" s="221"/>
      <c r="F6170" s="221"/>
      <c r="G6170" s="221"/>
      <c r="H6170" s="221"/>
      <c r="I6170" s="221"/>
      <c r="J6170" s="221"/>
      <c r="K6170" s="221"/>
      <c r="L6170" s="221"/>
      <c r="M6170" s="221"/>
    </row>
    <row r="6171" spans="5:13">
      <c r="E6171" s="221"/>
      <c r="F6171" s="221"/>
      <c r="G6171" s="221"/>
      <c r="H6171" s="221"/>
      <c r="I6171" s="221"/>
      <c r="J6171" s="221"/>
      <c r="K6171" s="221"/>
      <c r="L6171" s="221"/>
      <c r="M6171" s="221"/>
    </row>
    <row r="6172" spans="5:13">
      <c r="E6172" s="221"/>
      <c r="F6172" s="221"/>
      <c r="G6172" s="221"/>
      <c r="H6172" s="221"/>
      <c r="I6172" s="221"/>
      <c r="J6172" s="221"/>
      <c r="K6172" s="221"/>
      <c r="L6172" s="221"/>
      <c r="M6172" s="221"/>
    </row>
    <row r="6173" spans="5:13">
      <c r="E6173" s="221"/>
      <c r="F6173" s="221"/>
      <c r="G6173" s="221"/>
      <c r="H6173" s="221"/>
      <c r="I6173" s="221"/>
      <c r="J6173" s="221"/>
      <c r="K6173" s="221"/>
      <c r="L6173" s="221"/>
      <c r="M6173" s="221"/>
    </row>
    <row r="6174" spans="5:13">
      <c r="E6174" s="221"/>
      <c r="F6174" s="221"/>
      <c r="G6174" s="221"/>
      <c r="H6174" s="221"/>
      <c r="I6174" s="221"/>
      <c r="J6174" s="221"/>
      <c r="K6174" s="221"/>
      <c r="L6174" s="221"/>
      <c r="M6174" s="221"/>
    </row>
    <row r="6175" spans="5:13">
      <c r="E6175" s="221"/>
      <c r="F6175" s="221"/>
      <c r="G6175" s="221"/>
      <c r="H6175" s="221"/>
      <c r="I6175" s="221"/>
      <c r="J6175" s="221"/>
      <c r="K6175" s="221"/>
      <c r="L6175" s="221"/>
      <c r="M6175" s="221"/>
    </row>
    <row r="6176" spans="5:13">
      <c r="E6176" s="221"/>
      <c r="F6176" s="221"/>
      <c r="G6176" s="221"/>
      <c r="H6176" s="221"/>
      <c r="I6176" s="221"/>
      <c r="J6176" s="221"/>
      <c r="K6176" s="221"/>
      <c r="L6176" s="221"/>
      <c r="M6176" s="221"/>
    </row>
    <row r="6177" spans="5:13">
      <c r="E6177" s="221"/>
      <c r="F6177" s="221"/>
      <c r="G6177" s="221"/>
      <c r="H6177" s="221"/>
      <c r="I6177" s="221"/>
      <c r="J6177" s="221"/>
      <c r="K6177" s="221"/>
      <c r="L6177" s="221"/>
      <c r="M6177" s="221"/>
    </row>
    <row r="6178" spans="5:13">
      <c r="E6178" s="221"/>
      <c r="F6178" s="221"/>
      <c r="G6178" s="221"/>
      <c r="H6178" s="221"/>
      <c r="I6178" s="221"/>
      <c r="J6178" s="221"/>
      <c r="K6178" s="221"/>
      <c r="L6178" s="221"/>
      <c r="M6178" s="221"/>
    </row>
    <row r="6179" spans="5:13">
      <c r="E6179" s="221"/>
      <c r="F6179" s="221"/>
      <c r="G6179" s="221"/>
      <c r="H6179" s="221"/>
      <c r="I6179" s="221"/>
      <c r="J6179" s="221"/>
      <c r="K6179" s="221"/>
      <c r="L6179" s="221"/>
      <c r="M6179" s="221"/>
    </row>
    <row r="6180" spans="5:13">
      <c r="E6180" s="221"/>
      <c r="F6180" s="221"/>
      <c r="G6180" s="221"/>
      <c r="H6180" s="221"/>
      <c r="I6180" s="221"/>
      <c r="J6180" s="221"/>
      <c r="K6180" s="221"/>
      <c r="L6180" s="221"/>
      <c r="M6180" s="221"/>
    </row>
    <row r="6181" spans="5:13">
      <c r="E6181" s="221"/>
      <c r="F6181" s="221"/>
      <c r="G6181" s="221"/>
      <c r="H6181" s="221"/>
      <c r="I6181" s="221"/>
      <c r="J6181" s="221"/>
      <c r="K6181" s="221"/>
      <c r="L6181" s="221"/>
      <c r="M6181" s="221"/>
    </row>
    <row r="6182" spans="5:13">
      <c r="E6182" s="221"/>
      <c r="F6182" s="221"/>
      <c r="G6182" s="221"/>
      <c r="H6182" s="221"/>
      <c r="I6182" s="221"/>
      <c r="J6182" s="221"/>
      <c r="K6182" s="221"/>
      <c r="L6182" s="221"/>
      <c r="M6182" s="221"/>
    </row>
    <row r="6183" spans="5:13">
      <c r="E6183" s="221"/>
      <c r="F6183" s="221"/>
      <c r="G6183" s="221"/>
      <c r="H6183" s="221"/>
      <c r="I6183" s="221"/>
      <c r="J6183" s="221"/>
      <c r="K6183" s="221"/>
      <c r="L6183" s="221"/>
      <c r="M6183" s="221"/>
    </row>
    <row r="6184" spans="5:13">
      <c r="E6184" s="221"/>
      <c r="F6184" s="221"/>
      <c r="G6184" s="221"/>
      <c r="H6184" s="221"/>
      <c r="I6184" s="221"/>
      <c r="J6184" s="221"/>
      <c r="K6184" s="221"/>
      <c r="L6184" s="221"/>
      <c r="M6184" s="221"/>
    </row>
    <row r="6185" spans="5:13">
      <c r="E6185" s="221"/>
      <c r="F6185" s="221"/>
      <c r="G6185" s="221"/>
      <c r="H6185" s="221"/>
      <c r="I6185" s="221"/>
      <c r="J6185" s="221"/>
      <c r="K6185" s="221"/>
      <c r="L6185" s="221"/>
      <c r="M6185" s="221"/>
    </row>
    <row r="6186" spans="5:13">
      <c r="E6186" s="221"/>
      <c r="F6186" s="221"/>
      <c r="G6186" s="221"/>
      <c r="H6186" s="221"/>
      <c r="I6186" s="221"/>
      <c r="J6186" s="221"/>
      <c r="K6186" s="221"/>
      <c r="L6186" s="221"/>
      <c r="M6186" s="221"/>
    </row>
    <row r="6187" spans="5:13">
      <c r="E6187" s="221"/>
      <c r="F6187" s="221"/>
      <c r="G6187" s="221"/>
      <c r="H6187" s="221"/>
      <c r="I6187" s="221"/>
      <c r="J6187" s="221"/>
      <c r="K6187" s="221"/>
      <c r="L6187" s="221"/>
      <c r="M6187" s="221"/>
    </row>
    <row r="6188" spans="5:13">
      <c r="E6188" s="221"/>
      <c r="F6188" s="221"/>
      <c r="G6188" s="221"/>
      <c r="H6188" s="221"/>
      <c r="I6188" s="221"/>
      <c r="J6188" s="221"/>
      <c r="K6188" s="221"/>
      <c r="L6188" s="221"/>
      <c r="M6188" s="221"/>
    </row>
    <row r="6189" spans="5:13">
      <c r="E6189" s="221"/>
      <c r="F6189" s="221"/>
      <c r="G6189" s="221"/>
      <c r="H6189" s="221"/>
      <c r="I6189" s="221"/>
      <c r="J6189" s="221"/>
      <c r="K6189" s="221"/>
      <c r="L6189" s="221"/>
      <c r="M6189" s="221"/>
    </row>
    <row r="6190" spans="5:13">
      <c r="E6190" s="221"/>
      <c r="F6190" s="221"/>
      <c r="G6190" s="221"/>
      <c r="H6190" s="221"/>
      <c r="I6190" s="221"/>
      <c r="J6190" s="221"/>
      <c r="K6190" s="221"/>
      <c r="L6190" s="221"/>
      <c r="M6190" s="221"/>
    </row>
    <row r="6191" spans="5:13">
      <c r="E6191" s="221"/>
      <c r="F6191" s="221"/>
      <c r="G6191" s="221"/>
      <c r="H6191" s="221"/>
      <c r="I6191" s="221"/>
      <c r="J6191" s="221"/>
      <c r="K6191" s="221"/>
      <c r="L6191" s="221"/>
      <c r="M6191" s="221"/>
    </row>
    <row r="6192" spans="5:13">
      <c r="E6192" s="221"/>
      <c r="F6192" s="221"/>
      <c r="G6192" s="221"/>
      <c r="H6192" s="221"/>
      <c r="I6192" s="221"/>
      <c r="J6192" s="221"/>
      <c r="K6192" s="221"/>
      <c r="L6192" s="221"/>
      <c r="M6192" s="221"/>
    </row>
    <row r="6193" spans="5:13">
      <c r="E6193" s="221"/>
      <c r="F6193" s="221"/>
      <c r="G6193" s="221"/>
      <c r="H6193" s="221"/>
      <c r="I6193" s="221"/>
      <c r="J6193" s="221"/>
      <c r="K6193" s="221"/>
      <c r="L6193" s="221"/>
      <c r="M6193" s="221"/>
    </row>
    <row r="6194" spans="5:13">
      <c r="E6194" s="221"/>
      <c r="F6194" s="221"/>
      <c r="G6194" s="221"/>
      <c r="H6194" s="221"/>
      <c r="I6194" s="221"/>
      <c r="J6194" s="221"/>
      <c r="K6194" s="221"/>
      <c r="L6194" s="221"/>
      <c r="M6194" s="221"/>
    </row>
    <row r="6195" spans="5:13">
      <c r="E6195" s="221"/>
      <c r="F6195" s="221"/>
      <c r="G6195" s="221"/>
      <c r="H6195" s="221"/>
      <c r="I6195" s="221"/>
      <c r="J6195" s="221"/>
      <c r="K6195" s="221"/>
      <c r="L6195" s="221"/>
      <c r="M6195" s="221"/>
    </row>
    <row r="6196" spans="5:13">
      <c r="E6196" s="221"/>
      <c r="F6196" s="221"/>
      <c r="G6196" s="221"/>
      <c r="H6196" s="221"/>
      <c r="I6196" s="221"/>
      <c r="J6196" s="221"/>
      <c r="K6196" s="221"/>
      <c r="L6196" s="221"/>
      <c r="M6196" s="221"/>
    </row>
    <row r="6197" spans="5:13">
      <c r="E6197" s="221"/>
      <c r="F6197" s="221"/>
      <c r="G6197" s="221"/>
      <c r="H6197" s="221"/>
      <c r="I6197" s="221"/>
      <c r="J6197" s="221"/>
      <c r="K6197" s="221"/>
      <c r="L6197" s="221"/>
      <c r="M6197" s="221"/>
    </row>
    <row r="6198" spans="5:13">
      <c r="E6198" s="221"/>
      <c r="F6198" s="221"/>
      <c r="G6198" s="221"/>
      <c r="H6198" s="221"/>
      <c r="I6198" s="221"/>
      <c r="J6198" s="221"/>
      <c r="K6198" s="221"/>
      <c r="L6198" s="221"/>
      <c r="M6198" s="221"/>
    </row>
    <row r="6199" spans="5:13">
      <c r="E6199" s="221"/>
      <c r="F6199" s="221"/>
      <c r="G6199" s="221"/>
      <c r="H6199" s="221"/>
      <c r="I6199" s="221"/>
      <c r="J6199" s="221"/>
      <c r="K6199" s="221"/>
      <c r="L6199" s="221"/>
      <c r="M6199" s="221"/>
    </row>
    <row r="6200" spans="5:13">
      <c r="E6200" s="221"/>
      <c r="F6200" s="221"/>
      <c r="G6200" s="221"/>
      <c r="H6200" s="221"/>
      <c r="I6200" s="221"/>
      <c r="J6200" s="221"/>
      <c r="K6200" s="221"/>
      <c r="L6200" s="221"/>
      <c r="M6200" s="221"/>
    </row>
    <row r="6201" spans="5:13">
      <c r="E6201" s="221"/>
      <c r="F6201" s="221"/>
      <c r="G6201" s="221"/>
      <c r="H6201" s="221"/>
      <c r="I6201" s="221"/>
      <c r="J6201" s="221"/>
      <c r="K6201" s="221"/>
      <c r="L6201" s="221"/>
      <c r="M6201" s="221"/>
    </row>
    <row r="6202" spans="5:13">
      <c r="E6202" s="221"/>
      <c r="F6202" s="221"/>
      <c r="G6202" s="221"/>
      <c r="H6202" s="221"/>
      <c r="I6202" s="221"/>
      <c r="J6202" s="221"/>
      <c r="K6202" s="221"/>
      <c r="L6202" s="221"/>
      <c r="M6202" s="221"/>
    </row>
    <row r="6203" spans="5:13">
      <c r="E6203" s="221"/>
      <c r="F6203" s="221"/>
      <c r="G6203" s="221"/>
      <c r="H6203" s="221"/>
      <c r="I6203" s="221"/>
      <c r="J6203" s="221"/>
      <c r="K6203" s="221"/>
      <c r="L6203" s="221"/>
      <c r="M6203" s="221"/>
    </row>
    <row r="6204" spans="5:13">
      <c r="E6204" s="221"/>
      <c r="F6204" s="221"/>
      <c r="G6204" s="221"/>
      <c r="H6204" s="221"/>
      <c r="I6204" s="221"/>
      <c r="J6204" s="221"/>
      <c r="K6204" s="221"/>
      <c r="L6204" s="221"/>
      <c r="M6204" s="221"/>
    </row>
    <row r="6205" spans="5:13">
      <c r="E6205" s="221"/>
      <c r="F6205" s="221"/>
      <c r="G6205" s="221"/>
      <c r="H6205" s="221"/>
      <c r="I6205" s="221"/>
      <c r="J6205" s="221"/>
      <c r="K6205" s="221"/>
      <c r="L6205" s="221"/>
      <c r="M6205" s="221"/>
    </row>
    <row r="6206" spans="5:13">
      <c r="E6206" s="221"/>
      <c r="F6206" s="221"/>
      <c r="G6206" s="221"/>
      <c r="H6206" s="221"/>
      <c r="I6206" s="221"/>
      <c r="J6206" s="221"/>
      <c r="K6206" s="221"/>
      <c r="L6206" s="221"/>
      <c r="M6206" s="221"/>
    </row>
    <row r="6207" spans="5:13">
      <c r="E6207" s="221"/>
      <c r="F6207" s="221"/>
      <c r="G6207" s="221"/>
      <c r="H6207" s="221"/>
      <c r="I6207" s="221"/>
      <c r="J6207" s="221"/>
      <c r="K6207" s="221"/>
      <c r="L6207" s="221"/>
      <c r="M6207" s="221"/>
    </row>
    <row r="6208" spans="5:13">
      <c r="E6208" s="221"/>
      <c r="F6208" s="221"/>
      <c r="G6208" s="221"/>
      <c r="H6208" s="221"/>
      <c r="I6208" s="221"/>
      <c r="J6208" s="221"/>
      <c r="K6208" s="221"/>
      <c r="L6208" s="221"/>
      <c r="M6208" s="221"/>
    </row>
    <row r="6209" spans="5:13">
      <c r="E6209" s="221"/>
      <c r="F6209" s="221"/>
      <c r="G6209" s="221"/>
      <c r="H6209" s="221"/>
      <c r="I6209" s="221"/>
      <c r="J6209" s="221"/>
      <c r="K6209" s="221"/>
      <c r="L6209" s="221"/>
      <c r="M6209" s="221"/>
    </row>
    <row r="6210" spans="5:13">
      <c r="E6210" s="221"/>
      <c r="F6210" s="221"/>
      <c r="G6210" s="221"/>
      <c r="H6210" s="221"/>
      <c r="I6210" s="221"/>
      <c r="J6210" s="221"/>
      <c r="K6210" s="221"/>
      <c r="L6210" s="221"/>
      <c r="M6210" s="221"/>
    </row>
    <row r="6211" spans="5:13">
      <c r="E6211" s="221"/>
      <c r="F6211" s="221"/>
      <c r="G6211" s="221"/>
      <c r="H6211" s="221"/>
      <c r="I6211" s="221"/>
      <c r="J6211" s="221"/>
      <c r="K6211" s="221"/>
      <c r="L6211" s="221"/>
      <c r="M6211" s="221"/>
    </row>
    <row r="6212" spans="5:13">
      <c r="E6212" s="221"/>
      <c r="F6212" s="221"/>
      <c r="G6212" s="221"/>
      <c r="H6212" s="221"/>
      <c r="I6212" s="221"/>
      <c r="J6212" s="221"/>
      <c r="K6212" s="221"/>
      <c r="L6212" s="221"/>
      <c r="M6212" s="221"/>
    </row>
    <row r="6213" spans="5:13">
      <c r="E6213" s="221"/>
      <c r="F6213" s="221"/>
      <c r="G6213" s="221"/>
      <c r="H6213" s="221"/>
      <c r="I6213" s="221"/>
      <c r="J6213" s="221"/>
      <c r="K6213" s="221"/>
      <c r="L6213" s="221"/>
      <c r="M6213" s="221"/>
    </row>
    <row r="6214" spans="5:13">
      <c r="E6214" s="221"/>
      <c r="F6214" s="221"/>
      <c r="G6214" s="221"/>
      <c r="H6214" s="221"/>
      <c r="I6214" s="221"/>
      <c r="J6214" s="221"/>
      <c r="K6214" s="221"/>
      <c r="L6214" s="221"/>
      <c r="M6214" s="221"/>
    </row>
    <row r="6215" spans="5:13">
      <c r="E6215" s="221"/>
      <c r="F6215" s="221"/>
      <c r="G6215" s="221"/>
      <c r="H6215" s="221"/>
      <c r="I6215" s="221"/>
      <c r="J6215" s="221"/>
      <c r="K6215" s="221"/>
      <c r="L6215" s="221"/>
      <c r="M6215" s="221"/>
    </row>
    <row r="6216" spans="5:13">
      <c r="E6216" s="221"/>
      <c r="F6216" s="221"/>
      <c r="G6216" s="221"/>
      <c r="H6216" s="221"/>
      <c r="I6216" s="221"/>
      <c r="J6216" s="221"/>
      <c r="K6216" s="221"/>
      <c r="L6216" s="221"/>
      <c r="M6216" s="221"/>
    </row>
    <row r="6217" spans="5:13">
      <c r="E6217" s="221"/>
      <c r="F6217" s="221"/>
      <c r="G6217" s="221"/>
      <c r="H6217" s="221"/>
      <c r="I6217" s="221"/>
      <c r="J6217" s="221"/>
      <c r="K6217" s="221"/>
      <c r="L6217" s="221"/>
      <c r="M6217" s="221"/>
    </row>
    <row r="6218" spans="5:13">
      <c r="E6218" s="221"/>
      <c r="F6218" s="221"/>
      <c r="G6218" s="221"/>
      <c r="H6218" s="221"/>
      <c r="I6218" s="221"/>
      <c r="J6218" s="221"/>
      <c r="K6218" s="221"/>
      <c r="L6218" s="221"/>
      <c r="M6218" s="221"/>
    </row>
    <row r="6219" spans="5:13">
      <c r="E6219" s="221"/>
      <c r="F6219" s="221"/>
      <c r="G6219" s="221"/>
      <c r="H6219" s="221"/>
      <c r="I6219" s="221"/>
      <c r="J6219" s="221"/>
      <c r="K6219" s="221"/>
      <c r="L6219" s="221"/>
      <c r="M6219" s="221"/>
    </row>
    <row r="6220" spans="5:13">
      <c r="E6220" s="221"/>
      <c r="F6220" s="221"/>
      <c r="G6220" s="221"/>
      <c r="H6220" s="221"/>
      <c r="I6220" s="221"/>
      <c r="J6220" s="221"/>
      <c r="K6220" s="221"/>
      <c r="L6220" s="221"/>
      <c r="M6220" s="221"/>
    </row>
    <row r="6221" spans="5:13">
      <c r="E6221" s="221"/>
      <c r="F6221" s="221"/>
      <c r="G6221" s="221"/>
      <c r="H6221" s="221"/>
      <c r="I6221" s="221"/>
      <c r="J6221" s="221"/>
      <c r="K6221" s="221"/>
      <c r="L6221" s="221"/>
      <c r="M6221" s="221"/>
    </row>
    <row r="6222" spans="5:13">
      <c r="E6222" s="221"/>
      <c r="F6222" s="221"/>
      <c r="G6222" s="221"/>
      <c r="H6222" s="221"/>
      <c r="I6222" s="221"/>
      <c r="J6222" s="221"/>
      <c r="K6222" s="221"/>
      <c r="L6222" s="221"/>
      <c r="M6222" s="221"/>
    </row>
    <row r="6223" spans="5:13">
      <c r="E6223" s="221"/>
      <c r="F6223" s="221"/>
      <c r="G6223" s="221"/>
      <c r="H6223" s="221"/>
      <c r="I6223" s="221"/>
      <c r="J6223" s="221"/>
      <c r="K6223" s="221"/>
      <c r="L6223" s="221"/>
      <c r="M6223" s="221"/>
    </row>
    <row r="6224" spans="5:13">
      <c r="E6224" s="221"/>
      <c r="F6224" s="221"/>
      <c r="G6224" s="221"/>
      <c r="H6224" s="221"/>
      <c r="I6224" s="221"/>
      <c r="J6224" s="221"/>
      <c r="K6224" s="221"/>
      <c r="L6224" s="221"/>
      <c r="M6224" s="221"/>
    </row>
    <row r="6225" spans="5:13">
      <c r="E6225" s="221"/>
      <c r="F6225" s="221"/>
      <c r="G6225" s="221"/>
      <c r="H6225" s="221"/>
      <c r="I6225" s="221"/>
      <c r="J6225" s="221"/>
      <c r="K6225" s="221"/>
      <c r="L6225" s="221"/>
      <c r="M6225" s="221"/>
    </row>
    <row r="6226" spans="5:13">
      <c r="E6226" s="221"/>
      <c r="F6226" s="221"/>
      <c r="G6226" s="221"/>
      <c r="H6226" s="221"/>
      <c r="I6226" s="221"/>
      <c r="J6226" s="221"/>
      <c r="K6226" s="221"/>
      <c r="L6226" s="221"/>
      <c r="M6226" s="221"/>
    </row>
    <row r="6227" spans="5:13">
      <c r="E6227" s="221"/>
      <c r="F6227" s="221"/>
      <c r="G6227" s="221"/>
      <c r="H6227" s="221"/>
      <c r="I6227" s="221"/>
      <c r="J6227" s="221"/>
      <c r="K6227" s="221"/>
      <c r="L6227" s="221"/>
      <c r="M6227" s="221"/>
    </row>
    <row r="6228" spans="5:13">
      <c r="E6228" s="221"/>
      <c r="F6228" s="221"/>
      <c r="G6228" s="221"/>
      <c r="H6228" s="221"/>
      <c r="I6228" s="221"/>
      <c r="J6228" s="221"/>
      <c r="K6228" s="221"/>
      <c r="L6228" s="221"/>
      <c r="M6228" s="221"/>
    </row>
    <row r="6229" spans="5:13">
      <c r="E6229" s="221"/>
      <c r="F6229" s="221"/>
      <c r="G6229" s="221"/>
      <c r="H6229" s="221"/>
      <c r="I6229" s="221"/>
      <c r="J6229" s="221"/>
      <c r="K6229" s="221"/>
      <c r="L6229" s="221"/>
      <c r="M6229" s="221"/>
    </row>
    <row r="6230" spans="5:13">
      <c r="E6230" s="221"/>
      <c r="F6230" s="221"/>
      <c r="G6230" s="221"/>
      <c r="H6230" s="221"/>
      <c r="I6230" s="221"/>
      <c r="J6230" s="221"/>
      <c r="K6230" s="221"/>
      <c r="L6230" s="221"/>
      <c r="M6230" s="221"/>
    </row>
    <row r="6231" spans="5:13">
      <c r="E6231" s="221"/>
      <c r="F6231" s="221"/>
      <c r="G6231" s="221"/>
      <c r="H6231" s="221"/>
      <c r="I6231" s="221"/>
      <c r="J6231" s="221"/>
      <c r="K6231" s="221"/>
      <c r="L6231" s="221"/>
      <c r="M6231" s="221"/>
    </row>
    <row r="6232" spans="5:13">
      <c r="E6232" s="221"/>
      <c r="F6232" s="221"/>
      <c r="G6232" s="221"/>
      <c r="H6232" s="221"/>
      <c r="I6232" s="221"/>
      <c r="J6232" s="221"/>
      <c r="K6232" s="221"/>
      <c r="L6232" s="221"/>
      <c r="M6232" s="221"/>
    </row>
    <row r="6233" spans="5:13">
      <c r="E6233" s="221"/>
      <c r="F6233" s="221"/>
      <c r="G6233" s="221"/>
      <c r="H6233" s="221"/>
      <c r="I6233" s="221"/>
      <c r="J6233" s="221"/>
      <c r="K6233" s="221"/>
      <c r="L6233" s="221"/>
      <c r="M6233" s="221"/>
    </row>
    <row r="6234" spans="5:13">
      <c r="E6234" s="221"/>
      <c r="F6234" s="221"/>
      <c r="G6234" s="221"/>
      <c r="H6234" s="221"/>
      <c r="I6234" s="221"/>
      <c r="J6234" s="221"/>
      <c r="K6234" s="221"/>
      <c r="L6234" s="221"/>
      <c r="M6234" s="221"/>
    </row>
    <row r="6235" spans="5:13">
      <c r="E6235" s="221"/>
      <c r="F6235" s="221"/>
      <c r="G6235" s="221"/>
      <c r="H6235" s="221"/>
      <c r="I6235" s="221"/>
      <c r="J6235" s="221"/>
      <c r="K6235" s="221"/>
      <c r="L6235" s="221"/>
      <c r="M6235" s="221"/>
    </row>
    <row r="6236" spans="5:13">
      <c r="E6236" s="221"/>
      <c r="F6236" s="221"/>
      <c r="G6236" s="221"/>
      <c r="H6236" s="221"/>
      <c r="I6236" s="221"/>
      <c r="J6236" s="221"/>
      <c r="K6236" s="221"/>
      <c r="L6236" s="221"/>
      <c r="M6236" s="221"/>
    </row>
    <row r="6237" spans="5:13">
      <c r="E6237" s="221"/>
      <c r="F6237" s="221"/>
      <c r="G6237" s="221"/>
      <c r="H6237" s="221"/>
      <c r="I6237" s="221"/>
      <c r="J6237" s="221"/>
      <c r="K6237" s="221"/>
      <c r="L6237" s="221"/>
      <c r="M6237" s="221"/>
    </row>
    <row r="6238" spans="5:13">
      <c r="E6238" s="221"/>
      <c r="F6238" s="221"/>
      <c r="G6238" s="221"/>
      <c r="H6238" s="221"/>
      <c r="I6238" s="221"/>
      <c r="J6238" s="221"/>
      <c r="K6238" s="221"/>
      <c r="L6238" s="221"/>
      <c r="M6238" s="221"/>
    </row>
    <row r="6239" spans="5:13">
      <c r="E6239" s="221"/>
      <c r="F6239" s="221"/>
      <c r="G6239" s="221"/>
      <c r="H6239" s="221"/>
      <c r="I6239" s="221"/>
      <c r="J6239" s="221"/>
      <c r="K6239" s="221"/>
      <c r="L6239" s="221"/>
      <c r="M6239" s="221"/>
    </row>
    <row r="6240" spans="5:13">
      <c r="E6240" s="221"/>
      <c r="F6240" s="221"/>
      <c r="G6240" s="221"/>
      <c r="H6240" s="221"/>
      <c r="I6240" s="221"/>
      <c r="J6240" s="221"/>
      <c r="K6240" s="221"/>
      <c r="L6240" s="221"/>
      <c r="M6240" s="221"/>
    </row>
    <row r="6241" spans="5:13">
      <c r="E6241" s="221"/>
      <c r="F6241" s="221"/>
      <c r="G6241" s="221"/>
      <c r="H6241" s="221"/>
      <c r="I6241" s="221"/>
      <c r="J6241" s="221"/>
      <c r="K6241" s="221"/>
      <c r="L6241" s="221"/>
      <c r="M6241" s="221"/>
    </row>
    <row r="6242" spans="5:13">
      <c r="E6242" s="221"/>
      <c r="F6242" s="221"/>
      <c r="G6242" s="221"/>
      <c r="H6242" s="221"/>
      <c r="I6242" s="221"/>
      <c r="J6242" s="221"/>
      <c r="K6242" s="221"/>
      <c r="L6242" s="221"/>
      <c r="M6242" s="221"/>
    </row>
    <row r="6243" spans="5:13">
      <c r="E6243" s="221"/>
      <c r="F6243" s="221"/>
      <c r="G6243" s="221"/>
      <c r="H6243" s="221"/>
      <c r="I6243" s="221"/>
      <c r="J6243" s="221"/>
      <c r="K6243" s="221"/>
      <c r="L6243" s="221"/>
      <c r="M6243" s="221"/>
    </row>
    <row r="6244" spans="5:13">
      <c r="E6244" s="221"/>
      <c r="F6244" s="221"/>
      <c r="G6244" s="221"/>
      <c r="H6244" s="221"/>
      <c r="I6244" s="221"/>
      <c r="J6244" s="221"/>
      <c r="K6244" s="221"/>
      <c r="L6244" s="221"/>
      <c r="M6244" s="221"/>
    </row>
    <row r="6245" spans="5:13">
      <c r="E6245" s="221"/>
      <c r="F6245" s="221"/>
      <c r="G6245" s="221"/>
      <c r="H6245" s="221"/>
      <c r="I6245" s="221"/>
      <c r="J6245" s="221"/>
      <c r="K6245" s="221"/>
      <c r="L6245" s="221"/>
      <c r="M6245" s="221"/>
    </row>
    <row r="6246" spans="5:13">
      <c r="E6246" s="221"/>
      <c r="F6246" s="221"/>
      <c r="G6246" s="221"/>
      <c r="H6246" s="221"/>
      <c r="I6246" s="221"/>
      <c r="J6246" s="221"/>
      <c r="K6246" s="221"/>
      <c r="L6246" s="221"/>
      <c r="M6246" s="221"/>
    </row>
    <row r="6247" spans="5:13">
      <c r="E6247" s="221"/>
      <c r="F6247" s="221"/>
      <c r="G6247" s="221"/>
      <c r="H6247" s="221"/>
      <c r="I6247" s="221"/>
      <c r="J6247" s="221"/>
      <c r="K6247" s="221"/>
      <c r="L6247" s="221"/>
      <c r="M6247" s="221"/>
    </row>
    <row r="6248" spans="5:13">
      <c r="E6248" s="221"/>
      <c r="F6248" s="221"/>
      <c r="G6248" s="221"/>
      <c r="H6248" s="221"/>
      <c r="I6248" s="221"/>
      <c r="J6248" s="221"/>
      <c r="K6248" s="221"/>
      <c r="L6248" s="221"/>
      <c r="M6248" s="221"/>
    </row>
    <row r="6249" spans="5:13">
      <c r="E6249" s="221"/>
      <c r="F6249" s="221"/>
      <c r="G6249" s="221"/>
      <c r="H6249" s="221"/>
      <c r="I6249" s="221"/>
      <c r="J6249" s="221"/>
      <c r="K6249" s="221"/>
      <c r="L6249" s="221"/>
      <c r="M6249" s="221"/>
    </row>
    <row r="6250" spans="5:13">
      <c r="E6250" s="221"/>
      <c r="F6250" s="221"/>
      <c r="G6250" s="221"/>
      <c r="H6250" s="221"/>
      <c r="I6250" s="221"/>
      <c r="J6250" s="221"/>
      <c r="K6250" s="221"/>
      <c r="L6250" s="221"/>
      <c r="M6250" s="221"/>
    </row>
    <row r="6251" spans="5:13">
      <c r="E6251" s="221"/>
      <c r="F6251" s="221"/>
      <c r="G6251" s="221"/>
      <c r="H6251" s="221"/>
      <c r="I6251" s="221"/>
      <c r="J6251" s="221"/>
      <c r="K6251" s="221"/>
      <c r="L6251" s="221"/>
      <c r="M6251" s="221"/>
    </row>
    <row r="6252" spans="5:13">
      <c r="E6252" s="221"/>
      <c r="F6252" s="221"/>
      <c r="G6252" s="221"/>
      <c r="H6252" s="221"/>
      <c r="I6252" s="221"/>
      <c r="J6252" s="221"/>
      <c r="K6252" s="221"/>
      <c r="L6252" s="221"/>
      <c r="M6252" s="221"/>
    </row>
    <row r="6253" spans="5:13">
      <c r="E6253" s="221"/>
      <c r="F6253" s="221"/>
      <c r="G6253" s="221"/>
      <c r="H6253" s="221"/>
      <c r="I6253" s="221"/>
      <c r="J6253" s="221"/>
      <c r="K6253" s="221"/>
      <c r="L6253" s="221"/>
      <c r="M6253" s="221"/>
    </row>
    <row r="6254" spans="5:13">
      <c r="E6254" s="221"/>
      <c r="F6254" s="221"/>
      <c r="G6254" s="221"/>
      <c r="H6254" s="221"/>
      <c r="I6254" s="221"/>
      <c r="J6254" s="221"/>
      <c r="K6254" s="221"/>
      <c r="L6254" s="221"/>
      <c r="M6254" s="221"/>
    </row>
    <row r="6255" spans="5:13">
      <c r="E6255" s="221"/>
      <c r="F6255" s="221"/>
      <c r="G6255" s="221"/>
      <c r="H6255" s="221"/>
      <c r="I6255" s="221"/>
      <c r="J6255" s="221"/>
      <c r="K6255" s="221"/>
      <c r="L6255" s="221"/>
      <c r="M6255" s="221"/>
    </row>
    <row r="6256" spans="5:13">
      <c r="E6256" s="221"/>
      <c r="F6256" s="221"/>
      <c r="G6256" s="221"/>
      <c r="H6256" s="221"/>
      <c r="I6256" s="221"/>
      <c r="J6256" s="221"/>
      <c r="K6256" s="221"/>
      <c r="L6256" s="221"/>
      <c r="M6256" s="221"/>
    </row>
    <row r="6257" spans="5:13">
      <c r="E6257" s="221"/>
      <c r="F6257" s="221"/>
      <c r="G6257" s="221"/>
      <c r="H6257" s="221"/>
      <c r="I6257" s="221"/>
      <c r="J6257" s="221"/>
      <c r="K6257" s="221"/>
      <c r="L6257" s="221"/>
      <c r="M6257" s="221"/>
    </row>
    <row r="6258" spans="5:13">
      <c r="E6258" s="221"/>
      <c r="F6258" s="221"/>
      <c r="G6258" s="221"/>
      <c r="H6258" s="221"/>
      <c r="I6258" s="221"/>
      <c r="J6258" s="221"/>
      <c r="K6258" s="221"/>
      <c r="L6258" s="221"/>
      <c r="M6258" s="221"/>
    </row>
    <row r="6259" spans="5:13">
      <c r="E6259" s="221"/>
      <c r="F6259" s="221"/>
      <c r="G6259" s="221"/>
      <c r="H6259" s="221"/>
      <c r="I6259" s="221"/>
      <c r="J6259" s="221"/>
      <c r="K6259" s="221"/>
      <c r="L6259" s="221"/>
      <c r="M6259" s="221"/>
    </row>
    <row r="6260" spans="5:13">
      <c r="E6260" s="221"/>
      <c r="F6260" s="221"/>
      <c r="G6260" s="221"/>
      <c r="H6260" s="221"/>
      <c r="I6260" s="221"/>
      <c r="J6260" s="221"/>
      <c r="K6260" s="221"/>
      <c r="L6260" s="221"/>
      <c r="M6260" s="221"/>
    </row>
    <row r="6261" spans="5:13">
      <c r="E6261" s="221"/>
      <c r="F6261" s="221"/>
      <c r="G6261" s="221"/>
      <c r="H6261" s="221"/>
      <c r="I6261" s="221"/>
      <c r="J6261" s="221"/>
      <c r="K6261" s="221"/>
      <c r="L6261" s="221"/>
      <c r="M6261" s="221"/>
    </row>
    <row r="6262" spans="5:13">
      <c r="E6262" s="221"/>
      <c r="F6262" s="221"/>
      <c r="G6262" s="221"/>
      <c r="H6262" s="221"/>
      <c r="I6262" s="221"/>
      <c r="J6262" s="221"/>
      <c r="K6262" s="221"/>
      <c r="L6262" s="221"/>
      <c r="M6262" s="221"/>
    </row>
    <row r="6263" spans="5:13">
      <c r="E6263" s="221"/>
      <c r="F6263" s="221"/>
      <c r="G6263" s="221"/>
      <c r="H6263" s="221"/>
      <c r="I6263" s="221"/>
      <c r="J6263" s="221"/>
      <c r="K6263" s="221"/>
      <c r="L6263" s="221"/>
      <c r="M6263" s="221"/>
    </row>
    <row r="6264" spans="5:13">
      <c r="E6264" s="221"/>
      <c r="F6264" s="221"/>
      <c r="G6264" s="221"/>
      <c r="H6264" s="221"/>
      <c r="I6264" s="221"/>
      <c r="J6264" s="221"/>
      <c r="K6264" s="221"/>
      <c r="L6264" s="221"/>
      <c r="M6264" s="221"/>
    </row>
    <row r="6265" spans="5:13">
      <c r="E6265" s="221"/>
      <c r="F6265" s="221"/>
      <c r="G6265" s="221"/>
      <c r="H6265" s="221"/>
      <c r="I6265" s="221"/>
      <c r="J6265" s="221"/>
      <c r="K6265" s="221"/>
      <c r="L6265" s="221"/>
      <c r="M6265" s="221"/>
    </row>
    <row r="6266" spans="5:13">
      <c r="E6266" s="221"/>
      <c r="F6266" s="221"/>
      <c r="G6266" s="221"/>
      <c r="H6266" s="221"/>
      <c r="I6266" s="221"/>
      <c r="J6266" s="221"/>
      <c r="K6266" s="221"/>
      <c r="L6266" s="221"/>
      <c r="M6266" s="221"/>
    </row>
    <row r="6267" spans="5:13">
      <c r="E6267" s="221"/>
      <c r="F6267" s="221"/>
      <c r="G6267" s="221"/>
      <c r="H6267" s="221"/>
      <c r="I6267" s="221"/>
      <c r="J6267" s="221"/>
      <c r="K6267" s="221"/>
      <c r="L6267" s="221"/>
      <c r="M6267" s="221"/>
    </row>
    <row r="6268" spans="5:13">
      <c r="E6268" s="221"/>
      <c r="F6268" s="221"/>
      <c r="G6268" s="221"/>
      <c r="H6268" s="221"/>
      <c r="I6268" s="221"/>
      <c r="J6268" s="221"/>
      <c r="K6268" s="221"/>
      <c r="L6268" s="221"/>
      <c r="M6268" s="221"/>
    </row>
    <row r="6269" spans="5:13">
      <c r="E6269" s="221"/>
      <c r="F6269" s="221"/>
      <c r="G6269" s="221"/>
      <c r="H6269" s="221"/>
      <c r="I6269" s="221"/>
      <c r="J6269" s="221"/>
      <c r="K6269" s="221"/>
      <c r="L6269" s="221"/>
      <c r="M6269" s="221"/>
    </row>
    <row r="6270" spans="5:13">
      <c r="E6270" s="221"/>
      <c r="F6270" s="221"/>
      <c r="G6270" s="221"/>
      <c r="H6270" s="221"/>
      <c r="I6270" s="221"/>
      <c r="J6270" s="221"/>
      <c r="K6270" s="221"/>
      <c r="L6270" s="221"/>
      <c r="M6270" s="221"/>
    </row>
    <row r="6271" spans="5:13">
      <c r="E6271" s="221"/>
      <c r="F6271" s="221"/>
      <c r="G6271" s="221"/>
      <c r="H6271" s="221"/>
      <c r="I6271" s="221"/>
      <c r="J6271" s="221"/>
      <c r="K6271" s="221"/>
      <c r="L6271" s="221"/>
      <c r="M6271" s="221"/>
    </row>
    <row r="6272" spans="5:13">
      <c r="E6272" s="221"/>
      <c r="F6272" s="221"/>
      <c r="G6272" s="221"/>
      <c r="H6272" s="221"/>
      <c r="I6272" s="221"/>
      <c r="J6272" s="221"/>
      <c r="K6272" s="221"/>
      <c r="L6272" s="221"/>
      <c r="M6272" s="221"/>
    </row>
    <row r="6273" spans="5:13">
      <c r="E6273" s="221"/>
      <c r="F6273" s="221"/>
      <c r="G6273" s="221"/>
      <c r="H6273" s="221"/>
      <c r="I6273" s="221"/>
      <c r="J6273" s="221"/>
      <c r="K6273" s="221"/>
      <c r="L6273" s="221"/>
      <c r="M6273" s="221"/>
    </row>
    <row r="6274" spans="5:13">
      <c r="E6274" s="221"/>
      <c r="F6274" s="221"/>
      <c r="G6274" s="221"/>
      <c r="H6274" s="221"/>
      <c r="I6274" s="221"/>
      <c r="J6274" s="221"/>
      <c r="K6274" s="221"/>
      <c r="L6274" s="221"/>
      <c r="M6274" s="221"/>
    </row>
    <row r="6275" spans="5:13">
      <c r="E6275" s="221"/>
      <c r="F6275" s="221"/>
      <c r="G6275" s="221"/>
      <c r="H6275" s="221"/>
      <c r="I6275" s="221"/>
      <c r="J6275" s="221"/>
      <c r="K6275" s="221"/>
      <c r="L6275" s="221"/>
      <c r="M6275" s="221"/>
    </row>
    <row r="6276" spans="5:13">
      <c r="E6276" s="221"/>
      <c r="F6276" s="221"/>
      <c r="G6276" s="221"/>
      <c r="H6276" s="221"/>
      <c r="I6276" s="221"/>
      <c r="J6276" s="221"/>
      <c r="K6276" s="221"/>
      <c r="L6276" s="221"/>
      <c r="M6276" s="221"/>
    </row>
    <row r="6277" spans="5:13">
      <c r="E6277" s="221"/>
      <c r="F6277" s="221"/>
      <c r="G6277" s="221"/>
      <c r="H6277" s="221"/>
      <c r="I6277" s="221"/>
      <c r="J6277" s="221"/>
      <c r="K6277" s="221"/>
      <c r="L6277" s="221"/>
      <c r="M6277" s="221"/>
    </row>
    <row r="6278" spans="5:13">
      <c r="E6278" s="221"/>
      <c r="F6278" s="221"/>
      <c r="G6278" s="221"/>
      <c r="H6278" s="221"/>
      <c r="I6278" s="221"/>
      <c r="J6278" s="221"/>
      <c r="K6278" s="221"/>
      <c r="L6278" s="221"/>
      <c r="M6278" s="221"/>
    </row>
    <row r="6279" spans="5:13">
      <c r="E6279" s="221"/>
      <c r="F6279" s="221"/>
      <c r="G6279" s="221"/>
      <c r="H6279" s="221"/>
      <c r="I6279" s="221"/>
      <c r="J6279" s="221"/>
      <c r="K6279" s="221"/>
      <c r="L6279" s="221"/>
      <c r="M6279" s="221"/>
    </row>
    <row r="6280" spans="5:13">
      <c r="E6280" s="221"/>
      <c r="F6280" s="221"/>
      <c r="G6280" s="221"/>
      <c r="H6280" s="221"/>
      <c r="I6280" s="221"/>
      <c r="J6280" s="221"/>
      <c r="K6280" s="221"/>
      <c r="L6280" s="221"/>
      <c r="M6280" s="221"/>
    </row>
    <row r="6281" spans="5:13">
      <c r="E6281" s="221"/>
      <c r="F6281" s="221"/>
      <c r="G6281" s="221"/>
      <c r="H6281" s="221"/>
      <c r="I6281" s="221"/>
      <c r="J6281" s="221"/>
      <c r="K6281" s="221"/>
      <c r="L6281" s="221"/>
      <c r="M6281" s="221"/>
    </row>
    <row r="6282" spans="5:13">
      <c r="E6282" s="221"/>
      <c r="F6282" s="221"/>
      <c r="G6282" s="221"/>
      <c r="H6282" s="221"/>
      <c r="I6282" s="221"/>
      <c r="J6282" s="221"/>
      <c r="K6282" s="221"/>
      <c r="L6282" s="221"/>
      <c r="M6282" s="221"/>
    </row>
    <row r="6283" spans="5:13">
      <c r="E6283" s="221"/>
      <c r="F6283" s="221"/>
      <c r="G6283" s="221"/>
      <c r="H6283" s="221"/>
      <c r="I6283" s="221"/>
      <c r="J6283" s="221"/>
      <c r="K6283" s="221"/>
      <c r="L6283" s="221"/>
      <c r="M6283" s="221"/>
    </row>
    <row r="6284" spans="5:13">
      <c r="E6284" s="221"/>
      <c r="F6284" s="221"/>
      <c r="G6284" s="221"/>
      <c r="H6284" s="221"/>
      <c r="I6284" s="221"/>
      <c r="J6284" s="221"/>
      <c r="K6284" s="221"/>
      <c r="L6284" s="221"/>
      <c r="M6284" s="221"/>
    </row>
    <row r="6285" spans="5:13">
      <c r="E6285" s="221"/>
      <c r="F6285" s="221"/>
      <c r="G6285" s="221"/>
      <c r="H6285" s="221"/>
      <c r="I6285" s="221"/>
      <c r="J6285" s="221"/>
      <c r="K6285" s="221"/>
      <c r="L6285" s="221"/>
      <c r="M6285" s="221"/>
    </row>
    <row r="6286" spans="5:13">
      <c r="E6286" s="221"/>
      <c r="F6286" s="221"/>
      <c r="G6286" s="221"/>
      <c r="H6286" s="221"/>
      <c r="I6286" s="221"/>
      <c r="J6286" s="221"/>
      <c r="K6286" s="221"/>
      <c r="L6286" s="221"/>
      <c r="M6286" s="221"/>
    </row>
    <row r="6287" spans="5:13">
      <c r="E6287" s="221"/>
      <c r="F6287" s="221"/>
      <c r="G6287" s="221"/>
      <c r="H6287" s="221"/>
      <c r="I6287" s="221"/>
      <c r="J6287" s="221"/>
      <c r="K6287" s="221"/>
      <c r="L6287" s="221"/>
      <c r="M6287" s="221"/>
    </row>
    <row r="6288" spans="5:13">
      <c r="E6288" s="221"/>
      <c r="F6288" s="221"/>
      <c r="G6288" s="221"/>
      <c r="H6288" s="221"/>
      <c r="I6288" s="221"/>
      <c r="J6288" s="221"/>
      <c r="K6288" s="221"/>
      <c r="L6288" s="221"/>
      <c r="M6288" s="221"/>
    </row>
    <row r="6289" spans="5:13">
      <c r="E6289" s="221"/>
      <c r="F6289" s="221"/>
      <c r="G6289" s="221"/>
      <c r="H6289" s="221"/>
      <c r="I6289" s="221"/>
      <c r="J6289" s="221"/>
      <c r="K6289" s="221"/>
      <c r="L6289" s="221"/>
      <c r="M6289" s="221"/>
    </row>
    <row r="6290" spans="5:13">
      <c r="E6290" s="221"/>
      <c r="F6290" s="221"/>
      <c r="G6290" s="221"/>
      <c r="H6290" s="221"/>
      <c r="I6290" s="221"/>
      <c r="J6290" s="221"/>
      <c r="K6290" s="221"/>
      <c r="L6290" s="221"/>
      <c r="M6290" s="221"/>
    </row>
    <row r="6291" spans="5:13">
      <c r="E6291" s="221"/>
      <c r="F6291" s="221"/>
      <c r="G6291" s="221"/>
      <c r="H6291" s="221"/>
      <c r="I6291" s="221"/>
      <c r="J6291" s="221"/>
      <c r="K6291" s="221"/>
      <c r="L6291" s="221"/>
      <c r="M6291" s="221"/>
    </row>
    <row r="6292" spans="5:13">
      <c r="E6292" s="221"/>
      <c r="F6292" s="221"/>
      <c r="G6292" s="221"/>
      <c r="H6292" s="221"/>
      <c r="I6292" s="221"/>
      <c r="J6292" s="221"/>
      <c r="K6292" s="221"/>
      <c r="L6292" s="221"/>
      <c r="M6292" s="221"/>
    </row>
    <row r="6293" spans="5:13">
      <c r="E6293" s="221"/>
      <c r="F6293" s="221"/>
      <c r="G6293" s="221"/>
      <c r="H6293" s="221"/>
      <c r="I6293" s="221"/>
      <c r="J6293" s="221"/>
      <c r="K6293" s="221"/>
      <c r="L6293" s="221"/>
      <c r="M6293" s="221"/>
    </row>
    <row r="6294" spans="5:13">
      <c r="E6294" s="221"/>
      <c r="F6294" s="221"/>
      <c r="G6294" s="221"/>
      <c r="H6294" s="221"/>
      <c r="I6294" s="221"/>
      <c r="J6294" s="221"/>
      <c r="K6294" s="221"/>
      <c r="L6294" s="221"/>
      <c r="M6294" s="221"/>
    </row>
    <row r="6295" spans="5:13">
      <c r="E6295" s="221"/>
      <c r="F6295" s="221"/>
      <c r="G6295" s="221"/>
      <c r="H6295" s="221"/>
      <c r="I6295" s="221"/>
      <c r="J6295" s="221"/>
      <c r="K6295" s="221"/>
      <c r="L6295" s="221"/>
      <c r="M6295" s="221"/>
    </row>
    <row r="6296" spans="5:13">
      <c r="E6296" s="221"/>
      <c r="F6296" s="221"/>
      <c r="G6296" s="221"/>
      <c r="H6296" s="221"/>
      <c r="I6296" s="221"/>
      <c r="J6296" s="221"/>
      <c r="K6296" s="221"/>
      <c r="L6296" s="221"/>
      <c r="M6296" s="221"/>
    </row>
    <row r="6297" spans="5:13">
      <c r="E6297" s="221"/>
      <c r="F6297" s="221"/>
      <c r="G6297" s="221"/>
      <c r="H6297" s="221"/>
      <c r="I6297" s="221"/>
      <c r="J6297" s="221"/>
      <c r="K6297" s="221"/>
      <c r="L6297" s="221"/>
      <c r="M6297" s="221"/>
    </row>
    <row r="6298" spans="5:13">
      <c r="E6298" s="221"/>
      <c r="F6298" s="221"/>
      <c r="G6298" s="221"/>
      <c r="H6298" s="221"/>
      <c r="I6298" s="221"/>
      <c r="J6298" s="221"/>
      <c r="K6298" s="221"/>
      <c r="L6298" s="221"/>
      <c r="M6298" s="221"/>
    </row>
    <row r="6299" spans="5:13">
      <c r="E6299" s="221"/>
      <c r="F6299" s="221"/>
      <c r="G6299" s="221"/>
      <c r="H6299" s="221"/>
      <c r="I6299" s="221"/>
      <c r="J6299" s="221"/>
      <c r="K6299" s="221"/>
      <c r="L6299" s="221"/>
      <c r="M6299" s="221"/>
    </row>
    <row r="6300" spans="5:13">
      <c r="E6300" s="221"/>
      <c r="F6300" s="221"/>
      <c r="G6300" s="221"/>
      <c r="H6300" s="221"/>
      <c r="I6300" s="221"/>
      <c r="J6300" s="221"/>
      <c r="K6300" s="221"/>
      <c r="L6300" s="221"/>
      <c r="M6300" s="221"/>
    </row>
    <row r="6301" spans="5:13">
      <c r="E6301" s="221"/>
      <c r="F6301" s="221"/>
      <c r="G6301" s="221"/>
      <c r="H6301" s="221"/>
      <c r="I6301" s="221"/>
      <c r="J6301" s="221"/>
      <c r="K6301" s="221"/>
      <c r="L6301" s="221"/>
      <c r="M6301" s="221"/>
    </row>
    <row r="6302" spans="5:13">
      <c r="E6302" s="221"/>
      <c r="F6302" s="221"/>
      <c r="G6302" s="221"/>
      <c r="H6302" s="221"/>
      <c r="I6302" s="221"/>
      <c r="J6302" s="221"/>
      <c r="K6302" s="221"/>
      <c r="L6302" s="221"/>
      <c r="M6302" s="221"/>
    </row>
    <row r="6303" spans="5:13">
      <c r="E6303" s="221"/>
      <c r="F6303" s="221"/>
      <c r="G6303" s="221"/>
      <c r="H6303" s="221"/>
      <c r="I6303" s="221"/>
      <c r="J6303" s="221"/>
      <c r="K6303" s="221"/>
      <c r="L6303" s="221"/>
      <c r="M6303" s="221"/>
    </row>
    <row r="6304" spans="5:13">
      <c r="E6304" s="221"/>
      <c r="F6304" s="221"/>
      <c r="G6304" s="221"/>
      <c r="H6304" s="221"/>
      <c r="I6304" s="221"/>
      <c r="J6304" s="221"/>
      <c r="K6304" s="221"/>
      <c r="L6304" s="221"/>
      <c r="M6304" s="221"/>
    </row>
    <row r="6305" spans="5:13">
      <c r="E6305" s="221"/>
      <c r="F6305" s="221"/>
      <c r="G6305" s="221"/>
      <c r="H6305" s="221"/>
      <c r="I6305" s="221"/>
      <c r="J6305" s="221"/>
      <c r="K6305" s="221"/>
      <c r="L6305" s="221"/>
      <c r="M6305" s="221"/>
    </row>
    <row r="6306" spans="5:13">
      <c r="E6306" s="221"/>
      <c r="F6306" s="221"/>
      <c r="G6306" s="221"/>
      <c r="H6306" s="221"/>
      <c r="I6306" s="221"/>
      <c r="J6306" s="221"/>
      <c r="K6306" s="221"/>
      <c r="L6306" s="221"/>
      <c r="M6306" s="221"/>
    </row>
    <row r="6307" spans="5:13">
      <c r="E6307" s="221"/>
      <c r="F6307" s="221"/>
      <c r="G6307" s="221"/>
      <c r="H6307" s="221"/>
      <c r="I6307" s="221"/>
      <c r="J6307" s="221"/>
      <c r="K6307" s="221"/>
      <c r="L6307" s="221"/>
      <c r="M6307" s="221"/>
    </row>
    <row r="6308" spans="5:13">
      <c r="E6308" s="221"/>
      <c r="F6308" s="221"/>
      <c r="G6308" s="221"/>
      <c r="H6308" s="221"/>
      <c r="I6308" s="221"/>
      <c r="J6308" s="221"/>
      <c r="K6308" s="221"/>
      <c r="L6308" s="221"/>
      <c r="M6308" s="221"/>
    </row>
    <row r="6309" spans="5:13">
      <c r="E6309" s="221"/>
      <c r="F6309" s="221"/>
      <c r="G6309" s="221"/>
      <c r="H6309" s="221"/>
      <c r="I6309" s="221"/>
      <c r="J6309" s="221"/>
      <c r="K6309" s="221"/>
      <c r="L6309" s="221"/>
      <c r="M6309" s="221"/>
    </row>
    <row r="6310" spans="5:13">
      <c r="E6310" s="221"/>
      <c r="F6310" s="221"/>
      <c r="G6310" s="221"/>
      <c r="H6310" s="221"/>
      <c r="I6310" s="221"/>
      <c r="J6310" s="221"/>
      <c r="K6310" s="221"/>
      <c r="L6310" s="221"/>
      <c r="M6310" s="221"/>
    </row>
    <row r="6311" spans="5:13">
      <c r="E6311" s="221"/>
      <c r="F6311" s="221"/>
      <c r="G6311" s="221"/>
      <c r="H6311" s="221"/>
      <c r="I6311" s="221"/>
      <c r="J6311" s="221"/>
      <c r="K6311" s="221"/>
      <c r="L6311" s="221"/>
      <c r="M6311" s="221"/>
    </row>
    <row r="6312" spans="5:13">
      <c r="E6312" s="221"/>
      <c r="F6312" s="221"/>
      <c r="G6312" s="221"/>
      <c r="H6312" s="221"/>
      <c r="I6312" s="221"/>
      <c r="J6312" s="221"/>
      <c r="K6312" s="221"/>
      <c r="L6312" s="221"/>
      <c r="M6312" s="221"/>
    </row>
    <row r="6313" spans="5:13">
      <c r="E6313" s="221"/>
      <c r="F6313" s="221"/>
      <c r="G6313" s="221"/>
      <c r="H6313" s="221"/>
      <c r="I6313" s="221"/>
      <c r="J6313" s="221"/>
      <c r="K6313" s="221"/>
      <c r="L6313" s="221"/>
      <c r="M6313" s="221"/>
    </row>
    <row r="6314" spans="5:13">
      <c r="E6314" s="221"/>
      <c r="F6314" s="221"/>
      <c r="G6314" s="221"/>
      <c r="H6314" s="221"/>
      <c r="I6314" s="221"/>
      <c r="J6314" s="221"/>
      <c r="K6314" s="221"/>
      <c r="L6314" s="221"/>
      <c r="M6314" s="221"/>
    </row>
    <row r="6315" spans="5:13">
      <c r="E6315" s="221"/>
      <c r="F6315" s="221"/>
      <c r="G6315" s="221"/>
      <c r="H6315" s="221"/>
      <c r="I6315" s="221"/>
      <c r="J6315" s="221"/>
      <c r="K6315" s="221"/>
      <c r="L6315" s="221"/>
      <c r="M6315" s="221"/>
    </row>
    <row r="6316" spans="5:13">
      <c r="E6316" s="221"/>
      <c r="F6316" s="221"/>
      <c r="G6316" s="221"/>
      <c r="H6316" s="221"/>
      <c r="I6316" s="221"/>
      <c r="J6316" s="221"/>
      <c r="K6316" s="221"/>
      <c r="L6316" s="221"/>
      <c r="M6316" s="221"/>
    </row>
    <row r="6317" spans="5:13">
      <c r="E6317" s="221"/>
      <c r="F6317" s="221"/>
      <c r="G6317" s="221"/>
      <c r="H6317" s="221"/>
      <c r="I6317" s="221"/>
      <c r="J6317" s="221"/>
      <c r="K6317" s="221"/>
      <c r="L6317" s="221"/>
      <c r="M6317" s="221"/>
    </row>
    <row r="6318" spans="5:13">
      <c r="E6318" s="221"/>
      <c r="F6318" s="221"/>
      <c r="G6318" s="221"/>
      <c r="H6318" s="221"/>
      <c r="I6318" s="221"/>
      <c r="J6318" s="221"/>
      <c r="K6318" s="221"/>
      <c r="L6318" s="221"/>
      <c r="M6318" s="221"/>
    </row>
    <row r="6319" spans="5:13">
      <c r="E6319" s="221"/>
      <c r="F6319" s="221"/>
      <c r="G6319" s="221"/>
      <c r="H6319" s="221"/>
      <c r="I6319" s="221"/>
      <c r="J6319" s="221"/>
      <c r="K6319" s="221"/>
      <c r="L6319" s="221"/>
      <c r="M6319" s="221"/>
    </row>
    <row r="6320" spans="5:13">
      <c r="E6320" s="221"/>
      <c r="F6320" s="221"/>
      <c r="G6320" s="221"/>
      <c r="H6320" s="221"/>
      <c r="I6320" s="221"/>
      <c r="J6320" s="221"/>
      <c r="K6320" s="221"/>
      <c r="L6320" s="221"/>
      <c r="M6320" s="221"/>
    </row>
    <row r="6321" spans="5:13">
      <c r="E6321" s="221"/>
      <c r="F6321" s="221"/>
      <c r="G6321" s="221"/>
      <c r="H6321" s="221"/>
      <c r="I6321" s="221"/>
      <c r="J6321" s="221"/>
      <c r="K6321" s="221"/>
      <c r="L6321" s="221"/>
      <c r="M6321" s="221"/>
    </row>
    <row r="6322" spans="5:13">
      <c r="E6322" s="221"/>
      <c r="F6322" s="221"/>
      <c r="G6322" s="221"/>
      <c r="H6322" s="221"/>
      <c r="I6322" s="221"/>
      <c r="J6322" s="221"/>
      <c r="K6322" s="221"/>
      <c r="L6322" s="221"/>
      <c r="M6322" s="221"/>
    </row>
    <row r="6323" spans="5:13">
      <c r="E6323" s="221"/>
      <c r="F6323" s="221"/>
      <c r="G6323" s="221"/>
      <c r="H6323" s="221"/>
      <c r="I6323" s="221"/>
      <c r="J6323" s="221"/>
      <c r="K6323" s="221"/>
      <c r="L6323" s="221"/>
      <c r="M6323" s="221"/>
    </row>
    <row r="6324" spans="5:13">
      <c r="E6324" s="221"/>
      <c r="F6324" s="221"/>
      <c r="G6324" s="221"/>
      <c r="H6324" s="221"/>
      <c r="I6324" s="221"/>
      <c r="J6324" s="221"/>
      <c r="K6324" s="221"/>
      <c r="L6324" s="221"/>
      <c r="M6324" s="221"/>
    </row>
    <row r="6325" spans="5:13">
      <c r="E6325" s="221"/>
      <c r="F6325" s="221"/>
      <c r="G6325" s="221"/>
      <c r="H6325" s="221"/>
      <c r="I6325" s="221"/>
      <c r="J6325" s="221"/>
      <c r="K6325" s="221"/>
      <c r="L6325" s="221"/>
      <c r="M6325" s="221"/>
    </row>
    <row r="6326" spans="5:13">
      <c r="E6326" s="221"/>
      <c r="F6326" s="221"/>
      <c r="G6326" s="221"/>
      <c r="H6326" s="221"/>
      <c r="I6326" s="221"/>
      <c r="J6326" s="221"/>
      <c r="K6326" s="221"/>
      <c r="L6326" s="221"/>
      <c r="M6326" s="221"/>
    </row>
    <row r="6327" spans="5:13">
      <c r="E6327" s="221"/>
      <c r="F6327" s="221"/>
      <c r="G6327" s="221"/>
      <c r="H6327" s="221"/>
      <c r="I6327" s="221"/>
      <c r="J6327" s="221"/>
      <c r="K6327" s="221"/>
      <c r="L6327" s="221"/>
      <c r="M6327" s="221"/>
    </row>
    <row r="6328" spans="5:13">
      <c r="E6328" s="221"/>
      <c r="F6328" s="221"/>
      <c r="G6328" s="221"/>
      <c r="H6328" s="221"/>
      <c r="I6328" s="221"/>
      <c r="J6328" s="221"/>
      <c r="K6328" s="221"/>
      <c r="L6328" s="221"/>
      <c r="M6328" s="221"/>
    </row>
    <row r="6329" spans="5:13">
      <c r="E6329" s="221"/>
      <c r="F6329" s="221"/>
      <c r="G6329" s="221"/>
      <c r="H6329" s="221"/>
      <c r="I6329" s="221"/>
      <c r="J6329" s="221"/>
      <c r="K6329" s="221"/>
      <c r="L6329" s="221"/>
      <c r="M6329" s="221"/>
    </row>
    <row r="6330" spans="5:13">
      <c r="E6330" s="221"/>
      <c r="F6330" s="221"/>
      <c r="G6330" s="221"/>
      <c r="H6330" s="221"/>
      <c r="I6330" s="221"/>
      <c r="J6330" s="221"/>
      <c r="K6330" s="221"/>
      <c r="L6330" s="221"/>
      <c r="M6330" s="221"/>
    </row>
    <row r="6331" spans="5:13">
      <c r="E6331" s="221"/>
      <c r="F6331" s="221"/>
      <c r="G6331" s="221"/>
      <c r="H6331" s="221"/>
      <c r="I6331" s="221"/>
      <c r="J6331" s="221"/>
      <c r="K6331" s="221"/>
      <c r="L6331" s="221"/>
      <c r="M6331" s="221"/>
    </row>
    <row r="6332" spans="5:13">
      <c r="E6332" s="221"/>
      <c r="F6332" s="221"/>
      <c r="G6332" s="221"/>
      <c r="H6332" s="221"/>
      <c r="I6332" s="221"/>
      <c r="J6332" s="221"/>
      <c r="K6332" s="221"/>
      <c r="L6332" s="221"/>
      <c r="M6332" s="221"/>
    </row>
    <row r="6333" spans="5:13">
      <c r="E6333" s="221"/>
      <c r="F6333" s="221"/>
      <c r="G6333" s="221"/>
      <c r="H6333" s="221"/>
      <c r="I6333" s="221"/>
      <c r="J6333" s="221"/>
      <c r="K6333" s="221"/>
      <c r="L6333" s="221"/>
      <c r="M6333" s="221"/>
    </row>
    <row r="6334" spans="5:13">
      <c r="E6334" s="221"/>
      <c r="F6334" s="221"/>
      <c r="G6334" s="221"/>
      <c r="H6334" s="221"/>
      <c r="I6334" s="221"/>
      <c r="J6334" s="221"/>
      <c r="K6334" s="221"/>
      <c r="L6334" s="221"/>
      <c r="M6334" s="221"/>
    </row>
    <row r="6335" spans="5:13">
      <c r="E6335" s="221"/>
      <c r="F6335" s="221"/>
      <c r="G6335" s="221"/>
      <c r="H6335" s="221"/>
      <c r="I6335" s="221"/>
      <c r="J6335" s="221"/>
      <c r="K6335" s="221"/>
      <c r="L6335" s="221"/>
      <c r="M6335" s="221"/>
    </row>
    <row r="6336" spans="5:13">
      <c r="E6336" s="221"/>
      <c r="F6336" s="221"/>
      <c r="G6336" s="221"/>
      <c r="H6336" s="221"/>
      <c r="I6336" s="221"/>
      <c r="J6336" s="221"/>
      <c r="K6336" s="221"/>
      <c r="L6336" s="221"/>
      <c r="M6336" s="221"/>
    </row>
    <row r="6337" spans="5:13">
      <c r="E6337" s="221"/>
      <c r="F6337" s="221"/>
      <c r="G6337" s="221"/>
      <c r="H6337" s="221"/>
      <c r="I6337" s="221"/>
      <c r="J6337" s="221"/>
      <c r="K6337" s="221"/>
      <c r="L6337" s="221"/>
      <c r="M6337" s="221"/>
    </row>
    <row r="6338" spans="5:13">
      <c r="E6338" s="221"/>
      <c r="F6338" s="221"/>
      <c r="G6338" s="221"/>
      <c r="H6338" s="221"/>
      <c r="I6338" s="221"/>
      <c r="J6338" s="221"/>
      <c r="K6338" s="221"/>
      <c r="L6338" s="221"/>
      <c r="M6338" s="221"/>
    </row>
    <row r="6339" spans="5:13">
      <c r="E6339" s="221"/>
      <c r="F6339" s="221"/>
      <c r="G6339" s="221"/>
      <c r="H6339" s="221"/>
      <c r="I6339" s="221"/>
      <c r="J6339" s="221"/>
      <c r="K6339" s="221"/>
      <c r="L6339" s="221"/>
      <c r="M6339" s="221"/>
    </row>
    <row r="6340" spans="5:13">
      <c r="E6340" s="221"/>
      <c r="F6340" s="221"/>
      <c r="G6340" s="221"/>
      <c r="H6340" s="221"/>
      <c r="I6340" s="221"/>
      <c r="J6340" s="221"/>
      <c r="K6340" s="221"/>
      <c r="L6340" s="221"/>
      <c r="M6340" s="221"/>
    </row>
    <row r="6341" spans="5:13">
      <c r="E6341" s="221"/>
      <c r="F6341" s="221"/>
      <c r="G6341" s="221"/>
      <c r="H6341" s="221"/>
      <c r="I6341" s="221"/>
      <c r="J6341" s="221"/>
      <c r="K6341" s="221"/>
      <c r="L6341" s="221"/>
      <c r="M6341" s="221"/>
    </row>
    <row r="6342" spans="5:13">
      <c r="E6342" s="221"/>
      <c r="F6342" s="221"/>
      <c r="G6342" s="221"/>
      <c r="H6342" s="221"/>
      <c r="I6342" s="221"/>
      <c r="J6342" s="221"/>
      <c r="K6342" s="221"/>
      <c r="L6342" s="221"/>
      <c r="M6342" s="221"/>
    </row>
    <row r="6343" spans="5:13">
      <c r="E6343" s="221"/>
      <c r="F6343" s="221"/>
      <c r="G6343" s="221"/>
      <c r="H6343" s="221"/>
      <c r="I6343" s="221"/>
      <c r="J6343" s="221"/>
      <c r="K6343" s="221"/>
      <c r="L6343" s="221"/>
      <c r="M6343" s="221"/>
    </row>
    <row r="6344" spans="5:13">
      <c r="E6344" s="221"/>
      <c r="F6344" s="221"/>
      <c r="G6344" s="221"/>
      <c r="H6344" s="221"/>
      <c r="I6344" s="221"/>
      <c r="J6344" s="221"/>
      <c r="K6344" s="221"/>
      <c r="L6344" s="221"/>
      <c r="M6344" s="221"/>
    </row>
    <row r="6345" spans="5:13">
      <c r="E6345" s="221"/>
      <c r="F6345" s="221"/>
      <c r="G6345" s="221"/>
      <c r="H6345" s="221"/>
      <c r="I6345" s="221"/>
      <c r="J6345" s="221"/>
      <c r="K6345" s="221"/>
      <c r="L6345" s="221"/>
      <c r="M6345" s="221"/>
    </row>
    <row r="6346" spans="5:13">
      <c r="E6346" s="221"/>
      <c r="F6346" s="221"/>
      <c r="G6346" s="221"/>
      <c r="H6346" s="221"/>
      <c r="I6346" s="221"/>
      <c r="J6346" s="221"/>
      <c r="K6346" s="221"/>
      <c r="L6346" s="221"/>
      <c r="M6346" s="221"/>
    </row>
    <row r="6347" spans="5:13">
      <c r="E6347" s="221"/>
      <c r="F6347" s="221"/>
      <c r="G6347" s="221"/>
      <c r="H6347" s="221"/>
      <c r="I6347" s="221"/>
      <c r="J6347" s="221"/>
      <c r="K6347" s="221"/>
      <c r="L6347" s="221"/>
      <c r="M6347" s="221"/>
    </row>
    <row r="6348" spans="5:13">
      <c r="E6348" s="221"/>
      <c r="F6348" s="221"/>
      <c r="G6348" s="221"/>
      <c r="H6348" s="221"/>
      <c r="I6348" s="221"/>
      <c r="J6348" s="221"/>
      <c r="K6348" s="221"/>
      <c r="L6348" s="221"/>
      <c r="M6348" s="221"/>
    </row>
    <row r="6349" spans="5:13">
      <c r="E6349" s="221"/>
      <c r="F6349" s="221"/>
      <c r="G6349" s="221"/>
      <c r="H6349" s="221"/>
      <c r="I6349" s="221"/>
      <c r="J6349" s="221"/>
      <c r="K6349" s="221"/>
      <c r="L6349" s="221"/>
      <c r="M6349" s="221"/>
    </row>
    <row r="6350" spans="5:13">
      <c r="E6350" s="221"/>
      <c r="F6350" s="221"/>
      <c r="G6350" s="221"/>
      <c r="H6350" s="221"/>
      <c r="I6350" s="221"/>
      <c r="J6350" s="221"/>
      <c r="K6350" s="221"/>
      <c r="L6350" s="221"/>
      <c r="M6350" s="221"/>
    </row>
    <row r="6351" spans="5:13">
      <c r="E6351" s="221"/>
      <c r="F6351" s="221"/>
      <c r="G6351" s="221"/>
      <c r="H6351" s="221"/>
      <c r="I6351" s="221"/>
      <c r="J6351" s="221"/>
      <c r="K6351" s="221"/>
      <c r="L6351" s="221"/>
      <c r="M6351" s="221"/>
    </row>
    <row r="6352" spans="5:13">
      <c r="E6352" s="221"/>
      <c r="F6352" s="221"/>
      <c r="G6352" s="221"/>
      <c r="H6352" s="221"/>
      <c r="I6352" s="221"/>
      <c r="J6352" s="221"/>
      <c r="K6352" s="221"/>
      <c r="L6352" s="221"/>
      <c r="M6352" s="221"/>
    </row>
    <row r="6353" spans="5:13">
      <c r="E6353" s="221"/>
      <c r="F6353" s="221"/>
      <c r="G6353" s="221"/>
      <c r="H6353" s="221"/>
      <c r="I6353" s="221"/>
      <c r="J6353" s="221"/>
      <c r="K6353" s="221"/>
      <c r="L6353" s="221"/>
      <c r="M6353" s="221"/>
    </row>
    <row r="6354" spans="5:13">
      <c r="E6354" s="221"/>
      <c r="F6354" s="221"/>
      <c r="G6354" s="221"/>
      <c r="H6354" s="221"/>
      <c r="I6354" s="221"/>
      <c r="J6354" s="221"/>
      <c r="K6354" s="221"/>
      <c r="L6354" s="221"/>
      <c r="M6354" s="221"/>
    </row>
    <row r="6355" spans="5:13">
      <c r="E6355" s="221"/>
      <c r="F6355" s="221"/>
      <c r="G6355" s="221"/>
      <c r="H6355" s="221"/>
      <c r="I6355" s="221"/>
      <c r="J6355" s="221"/>
      <c r="K6355" s="221"/>
      <c r="L6355" s="221"/>
      <c r="M6355" s="221"/>
    </row>
    <row r="6356" spans="5:13">
      <c r="E6356" s="221"/>
      <c r="F6356" s="221"/>
      <c r="G6356" s="221"/>
      <c r="H6356" s="221"/>
      <c r="I6356" s="221"/>
      <c r="J6356" s="221"/>
      <c r="K6356" s="221"/>
      <c r="L6356" s="221"/>
      <c r="M6356" s="221"/>
    </row>
    <row r="6357" spans="5:13">
      <c r="E6357" s="221"/>
      <c r="F6357" s="221"/>
      <c r="G6357" s="221"/>
      <c r="H6357" s="221"/>
      <c r="I6357" s="221"/>
      <c r="J6357" s="221"/>
      <c r="K6357" s="221"/>
      <c r="L6357" s="221"/>
      <c r="M6357" s="221"/>
    </row>
    <row r="6358" spans="5:13">
      <c r="E6358" s="221"/>
      <c r="F6358" s="221"/>
      <c r="G6358" s="221"/>
      <c r="H6358" s="221"/>
      <c r="I6358" s="221"/>
      <c r="J6358" s="221"/>
      <c r="K6358" s="221"/>
      <c r="L6358" s="221"/>
      <c r="M6358" s="221"/>
    </row>
    <row r="6359" spans="5:13">
      <c r="E6359" s="221"/>
      <c r="F6359" s="221"/>
      <c r="G6359" s="221"/>
      <c r="H6359" s="221"/>
      <c r="I6359" s="221"/>
      <c r="J6359" s="221"/>
      <c r="K6359" s="221"/>
      <c r="L6359" s="221"/>
      <c r="M6359" s="221"/>
    </row>
    <row r="6360" spans="5:13">
      <c r="E6360" s="221"/>
      <c r="F6360" s="221"/>
      <c r="G6360" s="221"/>
      <c r="H6360" s="221"/>
      <c r="I6360" s="221"/>
      <c r="J6360" s="221"/>
      <c r="K6360" s="221"/>
      <c r="L6360" s="221"/>
      <c r="M6360" s="221"/>
    </row>
    <row r="6361" spans="5:13">
      <c r="E6361" s="221"/>
      <c r="F6361" s="221"/>
      <c r="G6361" s="221"/>
      <c r="H6361" s="221"/>
      <c r="I6361" s="221"/>
      <c r="J6361" s="221"/>
      <c r="K6361" s="221"/>
      <c r="L6361" s="221"/>
      <c r="M6361" s="221"/>
    </row>
    <row r="6362" spans="5:13">
      <c r="E6362" s="221"/>
      <c r="F6362" s="221"/>
      <c r="G6362" s="221"/>
      <c r="H6362" s="221"/>
      <c r="I6362" s="221"/>
      <c r="J6362" s="221"/>
      <c r="K6362" s="221"/>
      <c r="L6362" s="221"/>
      <c r="M6362" s="221"/>
    </row>
    <row r="6363" spans="5:13">
      <c r="E6363" s="221"/>
      <c r="F6363" s="221"/>
      <c r="G6363" s="221"/>
      <c r="H6363" s="221"/>
      <c r="I6363" s="221"/>
      <c r="J6363" s="221"/>
      <c r="K6363" s="221"/>
      <c r="L6363" s="221"/>
      <c r="M6363" s="221"/>
    </row>
    <row r="6364" spans="5:13">
      <c r="E6364" s="221"/>
      <c r="F6364" s="221"/>
      <c r="G6364" s="221"/>
      <c r="H6364" s="221"/>
      <c r="I6364" s="221"/>
      <c r="J6364" s="221"/>
      <c r="K6364" s="221"/>
      <c r="L6364" s="221"/>
      <c r="M6364" s="221"/>
    </row>
    <row r="6365" spans="5:13">
      <c r="E6365" s="221"/>
      <c r="F6365" s="221"/>
      <c r="G6365" s="221"/>
      <c r="H6365" s="221"/>
      <c r="I6365" s="221"/>
      <c r="J6365" s="221"/>
      <c r="K6365" s="221"/>
      <c r="L6365" s="221"/>
      <c r="M6365" s="221"/>
    </row>
    <row r="6366" spans="5:13">
      <c r="E6366" s="221"/>
      <c r="F6366" s="221"/>
      <c r="G6366" s="221"/>
      <c r="H6366" s="221"/>
      <c r="I6366" s="221"/>
      <c r="J6366" s="221"/>
      <c r="K6366" s="221"/>
      <c r="L6366" s="221"/>
      <c r="M6366" s="221"/>
    </row>
    <row r="6367" spans="5:13">
      <c r="E6367" s="221"/>
      <c r="F6367" s="221"/>
      <c r="G6367" s="221"/>
      <c r="H6367" s="221"/>
      <c r="I6367" s="221"/>
      <c r="J6367" s="221"/>
      <c r="K6367" s="221"/>
      <c r="L6367" s="221"/>
      <c r="M6367" s="221"/>
    </row>
    <row r="6368" spans="5:13">
      <c r="E6368" s="221"/>
      <c r="F6368" s="221"/>
      <c r="G6368" s="221"/>
      <c r="H6368" s="221"/>
      <c r="I6368" s="221"/>
      <c r="J6368" s="221"/>
      <c r="K6368" s="221"/>
      <c r="L6368" s="221"/>
      <c r="M6368" s="221"/>
    </row>
    <row r="6369" spans="5:13">
      <c r="E6369" s="221"/>
      <c r="F6369" s="221"/>
      <c r="G6369" s="221"/>
      <c r="H6369" s="221"/>
      <c r="I6369" s="221"/>
      <c r="J6369" s="221"/>
      <c r="K6369" s="221"/>
      <c r="L6369" s="221"/>
      <c r="M6369" s="221"/>
    </row>
    <row r="6370" spans="5:13">
      <c r="E6370" s="221"/>
      <c r="F6370" s="221"/>
      <c r="G6370" s="221"/>
      <c r="H6370" s="221"/>
      <c r="I6370" s="221"/>
      <c r="J6370" s="221"/>
      <c r="K6370" s="221"/>
      <c r="L6370" s="221"/>
      <c r="M6370" s="221"/>
    </row>
    <row r="6371" spans="5:13">
      <c r="E6371" s="221"/>
      <c r="F6371" s="221"/>
      <c r="G6371" s="221"/>
      <c r="H6371" s="221"/>
      <c r="I6371" s="221"/>
      <c r="J6371" s="221"/>
      <c r="K6371" s="221"/>
      <c r="L6371" s="221"/>
      <c r="M6371" s="221"/>
    </row>
    <row r="6372" spans="5:13">
      <c r="E6372" s="221"/>
      <c r="F6372" s="221"/>
      <c r="G6372" s="221"/>
      <c r="H6372" s="221"/>
      <c r="I6372" s="221"/>
      <c r="J6372" s="221"/>
      <c r="K6372" s="221"/>
      <c r="L6372" s="221"/>
      <c r="M6372" s="221"/>
    </row>
    <row r="6373" spans="5:13">
      <c r="E6373" s="221"/>
      <c r="F6373" s="221"/>
      <c r="G6373" s="221"/>
      <c r="H6373" s="221"/>
      <c r="I6373" s="221"/>
      <c r="J6373" s="221"/>
      <c r="K6373" s="221"/>
      <c r="L6373" s="221"/>
      <c r="M6373" s="221"/>
    </row>
    <row r="6374" spans="5:13">
      <c r="E6374" s="221"/>
      <c r="F6374" s="221"/>
      <c r="G6374" s="221"/>
      <c r="H6374" s="221"/>
      <c r="I6374" s="221"/>
      <c r="J6374" s="221"/>
      <c r="K6374" s="221"/>
      <c r="L6374" s="221"/>
      <c r="M6374" s="221"/>
    </row>
    <row r="6375" spans="5:13">
      <c r="E6375" s="221"/>
      <c r="F6375" s="221"/>
      <c r="G6375" s="221"/>
      <c r="H6375" s="221"/>
      <c r="I6375" s="221"/>
      <c r="J6375" s="221"/>
      <c r="K6375" s="221"/>
      <c r="L6375" s="221"/>
      <c r="M6375" s="221"/>
    </row>
    <row r="6376" spans="5:13">
      <c r="E6376" s="221"/>
      <c r="F6376" s="221"/>
      <c r="G6376" s="221"/>
      <c r="H6376" s="221"/>
      <c r="I6376" s="221"/>
      <c r="J6376" s="221"/>
      <c r="K6376" s="221"/>
      <c r="L6376" s="221"/>
      <c r="M6376" s="221"/>
    </row>
    <row r="6377" spans="5:13">
      <c r="E6377" s="221"/>
      <c r="F6377" s="221"/>
      <c r="G6377" s="221"/>
      <c r="H6377" s="221"/>
      <c r="I6377" s="221"/>
      <c r="J6377" s="221"/>
      <c r="K6377" s="221"/>
      <c r="L6377" s="221"/>
      <c r="M6377" s="221"/>
    </row>
    <row r="6378" spans="5:13">
      <c r="E6378" s="221"/>
      <c r="F6378" s="221"/>
      <c r="G6378" s="221"/>
      <c r="H6378" s="221"/>
      <c r="I6378" s="221"/>
      <c r="J6378" s="221"/>
      <c r="K6378" s="221"/>
      <c r="L6378" s="221"/>
      <c r="M6378" s="221"/>
    </row>
    <row r="6379" spans="5:13">
      <c r="E6379" s="221"/>
      <c r="F6379" s="221"/>
      <c r="G6379" s="221"/>
      <c r="H6379" s="221"/>
      <c r="I6379" s="221"/>
      <c r="J6379" s="221"/>
      <c r="K6379" s="221"/>
      <c r="L6379" s="221"/>
      <c r="M6379" s="221"/>
    </row>
    <row r="6380" spans="5:13">
      <c r="E6380" s="221"/>
      <c r="F6380" s="221"/>
      <c r="G6380" s="221"/>
      <c r="H6380" s="221"/>
      <c r="I6380" s="221"/>
      <c r="J6380" s="221"/>
      <c r="K6380" s="221"/>
      <c r="L6380" s="221"/>
      <c r="M6380" s="221"/>
    </row>
    <row r="6381" spans="5:13">
      <c r="E6381" s="221"/>
      <c r="F6381" s="221"/>
      <c r="G6381" s="221"/>
      <c r="H6381" s="221"/>
      <c r="I6381" s="221"/>
      <c r="J6381" s="221"/>
      <c r="K6381" s="221"/>
      <c r="L6381" s="221"/>
      <c r="M6381" s="221"/>
    </row>
    <row r="6382" spans="5:13">
      <c r="E6382" s="221"/>
      <c r="F6382" s="221"/>
      <c r="G6382" s="221"/>
      <c r="H6382" s="221"/>
      <c r="I6382" s="221"/>
      <c r="J6382" s="221"/>
      <c r="K6382" s="221"/>
      <c r="L6382" s="221"/>
      <c r="M6382" s="221"/>
    </row>
    <row r="6383" spans="5:13">
      <c r="E6383" s="221"/>
      <c r="F6383" s="221"/>
      <c r="G6383" s="221"/>
      <c r="H6383" s="221"/>
      <c r="I6383" s="221"/>
      <c r="J6383" s="221"/>
      <c r="K6383" s="221"/>
      <c r="L6383" s="221"/>
      <c r="M6383" s="221"/>
    </row>
    <row r="6384" spans="5:13">
      <c r="E6384" s="221"/>
      <c r="F6384" s="221"/>
      <c r="G6384" s="221"/>
      <c r="H6384" s="221"/>
      <c r="I6384" s="221"/>
      <c r="J6384" s="221"/>
      <c r="K6384" s="221"/>
      <c r="L6384" s="221"/>
      <c r="M6384" s="221"/>
    </row>
    <row r="6385" spans="5:13">
      <c r="E6385" s="221"/>
      <c r="F6385" s="221"/>
      <c r="G6385" s="221"/>
      <c r="H6385" s="221"/>
      <c r="I6385" s="221"/>
      <c r="J6385" s="221"/>
      <c r="K6385" s="221"/>
      <c r="L6385" s="221"/>
      <c r="M6385" s="221"/>
    </row>
    <row r="6386" spans="5:13">
      <c r="E6386" s="221"/>
      <c r="F6386" s="221"/>
      <c r="G6386" s="221"/>
      <c r="H6386" s="221"/>
      <c r="I6386" s="221"/>
      <c r="J6386" s="221"/>
      <c r="K6386" s="221"/>
      <c r="L6386" s="221"/>
      <c r="M6386" s="221"/>
    </row>
    <row r="6387" spans="5:13">
      <c r="E6387" s="221"/>
      <c r="F6387" s="221"/>
      <c r="G6387" s="221"/>
      <c r="H6387" s="221"/>
      <c r="I6387" s="221"/>
      <c r="J6387" s="221"/>
      <c r="K6387" s="221"/>
      <c r="L6387" s="221"/>
      <c r="M6387" s="221"/>
    </row>
    <row r="6388" spans="5:13">
      <c r="E6388" s="221"/>
      <c r="F6388" s="221"/>
      <c r="G6388" s="221"/>
      <c r="H6388" s="221"/>
      <c r="I6388" s="221"/>
      <c r="J6388" s="221"/>
      <c r="K6388" s="221"/>
      <c r="L6388" s="221"/>
      <c r="M6388" s="221"/>
    </row>
    <row r="6389" spans="5:13">
      <c r="E6389" s="221"/>
      <c r="F6389" s="221"/>
      <c r="G6389" s="221"/>
      <c r="H6389" s="221"/>
      <c r="I6389" s="221"/>
      <c r="J6389" s="221"/>
      <c r="K6389" s="221"/>
      <c r="L6389" s="221"/>
      <c r="M6389" s="221"/>
    </row>
    <row r="6390" spans="5:13">
      <c r="E6390" s="221"/>
      <c r="F6390" s="221"/>
      <c r="G6390" s="221"/>
      <c r="H6390" s="221"/>
      <c r="I6390" s="221"/>
      <c r="J6390" s="221"/>
      <c r="K6390" s="221"/>
      <c r="L6390" s="221"/>
      <c r="M6390" s="221"/>
    </row>
    <row r="6391" spans="5:13">
      <c r="E6391" s="221"/>
      <c r="F6391" s="221"/>
      <c r="G6391" s="221"/>
      <c r="H6391" s="221"/>
      <c r="I6391" s="221"/>
      <c r="J6391" s="221"/>
      <c r="K6391" s="221"/>
      <c r="L6391" s="221"/>
      <c r="M6391" s="221"/>
    </row>
    <row r="6392" spans="5:13">
      <c r="E6392" s="221"/>
      <c r="F6392" s="221"/>
      <c r="G6392" s="221"/>
      <c r="H6392" s="221"/>
      <c r="I6392" s="221"/>
      <c r="J6392" s="221"/>
      <c r="K6392" s="221"/>
      <c r="L6392" s="221"/>
      <c r="M6392" s="221"/>
    </row>
    <row r="6393" spans="5:13">
      <c r="E6393" s="221"/>
      <c r="F6393" s="221"/>
      <c r="G6393" s="221"/>
      <c r="H6393" s="221"/>
      <c r="I6393" s="221"/>
      <c r="J6393" s="221"/>
      <c r="K6393" s="221"/>
      <c r="L6393" s="221"/>
      <c r="M6393" s="221"/>
    </row>
    <row r="6394" spans="5:13">
      <c r="E6394" s="221"/>
      <c r="F6394" s="221"/>
      <c r="G6394" s="221"/>
      <c r="H6394" s="221"/>
      <c r="I6394" s="221"/>
      <c r="J6394" s="221"/>
      <c r="K6394" s="221"/>
      <c r="L6394" s="221"/>
      <c r="M6394" s="221"/>
    </row>
    <row r="6395" spans="5:13">
      <c r="E6395" s="221"/>
      <c r="F6395" s="221"/>
      <c r="G6395" s="221"/>
      <c r="H6395" s="221"/>
      <c r="I6395" s="221"/>
      <c r="J6395" s="221"/>
      <c r="K6395" s="221"/>
      <c r="L6395" s="221"/>
      <c r="M6395" s="221"/>
    </row>
    <row r="6396" spans="5:13">
      <c r="E6396" s="221"/>
      <c r="F6396" s="221"/>
      <c r="G6396" s="221"/>
      <c r="H6396" s="221"/>
      <c r="I6396" s="221"/>
      <c r="J6396" s="221"/>
      <c r="K6396" s="221"/>
      <c r="L6396" s="221"/>
      <c r="M6396" s="221"/>
    </row>
    <row r="6397" spans="5:13">
      <c r="E6397" s="221"/>
      <c r="F6397" s="221"/>
      <c r="G6397" s="221"/>
      <c r="H6397" s="221"/>
      <c r="I6397" s="221"/>
      <c r="J6397" s="221"/>
      <c r="K6397" s="221"/>
      <c r="L6397" s="221"/>
      <c r="M6397" s="221"/>
    </row>
    <row r="6398" spans="5:13">
      <c r="E6398" s="221"/>
      <c r="F6398" s="221"/>
      <c r="G6398" s="221"/>
      <c r="H6398" s="221"/>
      <c r="I6398" s="221"/>
      <c r="J6398" s="221"/>
      <c r="K6398" s="221"/>
      <c r="L6398" s="221"/>
      <c r="M6398" s="221"/>
    </row>
    <row r="6399" spans="5:13">
      <c r="E6399" s="221"/>
      <c r="F6399" s="221"/>
      <c r="G6399" s="221"/>
      <c r="H6399" s="221"/>
      <c r="I6399" s="221"/>
      <c r="J6399" s="221"/>
      <c r="K6399" s="221"/>
      <c r="L6399" s="221"/>
      <c r="M6399" s="221"/>
    </row>
    <row r="6400" spans="5:13">
      <c r="E6400" s="221"/>
      <c r="F6400" s="221"/>
      <c r="G6400" s="221"/>
      <c r="H6400" s="221"/>
      <c r="I6400" s="221"/>
      <c r="J6400" s="221"/>
      <c r="K6400" s="221"/>
      <c r="L6400" s="221"/>
      <c r="M6400" s="221"/>
    </row>
    <row r="6401" spans="5:13">
      <c r="E6401" s="221"/>
      <c r="F6401" s="221"/>
      <c r="G6401" s="221"/>
      <c r="H6401" s="221"/>
      <c r="I6401" s="221"/>
      <c r="J6401" s="221"/>
      <c r="K6401" s="221"/>
      <c r="L6401" s="221"/>
      <c r="M6401" s="221"/>
    </row>
    <row r="6402" spans="5:13">
      <c r="E6402" s="221"/>
      <c r="F6402" s="221"/>
      <c r="G6402" s="221"/>
      <c r="H6402" s="221"/>
      <c r="I6402" s="221"/>
      <c r="J6402" s="221"/>
      <c r="K6402" s="221"/>
      <c r="L6402" s="221"/>
      <c r="M6402" s="221"/>
    </row>
    <row r="6403" spans="5:13">
      <c r="E6403" s="221"/>
      <c r="F6403" s="221"/>
      <c r="G6403" s="221"/>
      <c r="H6403" s="221"/>
      <c r="I6403" s="221"/>
      <c r="J6403" s="221"/>
      <c r="K6403" s="221"/>
      <c r="L6403" s="221"/>
      <c r="M6403" s="221"/>
    </row>
    <row r="6404" spans="5:13">
      <c r="E6404" s="221"/>
      <c r="F6404" s="221"/>
      <c r="G6404" s="221"/>
      <c r="H6404" s="221"/>
      <c r="I6404" s="221"/>
      <c r="J6404" s="221"/>
      <c r="K6404" s="221"/>
      <c r="L6404" s="221"/>
      <c r="M6404" s="221"/>
    </row>
    <row r="6405" spans="5:13">
      <c r="E6405" s="221"/>
      <c r="F6405" s="221"/>
      <c r="G6405" s="221"/>
      <c r="H6405" s="221"/>
      <c r="I6405" s="221"/>
      <c r="J6405" s="221"/>
      <c r="K6405" s="221"/>
      <c r="L6405" s="221"/>
      <c r="M6405" s="221"/>
    </row>
    <row r="6406" spans="5:13">
      <c r="E6406" s="221"/>
      <c r="F6406" s="221"/>
      <c r="G6406" s="221"/>
      <c r="H6406" s="221"/>
      <c r="I6406" s="221"/>
      <c r="J6406" s="221"/>
      <c r="K6406" s="221"/>
      <c r="L6406" s="221"/>
      <c r="M6406" s="221"/>
    </row>
    <row r="6407" spans="5:13">
      <c r="E6407" s="221"/>
      <c r="F6407" s="221"/>
      <c r="G6407" s="221"/>
      <c r="H6407" s="221"/>
      <c r="I6407" s="221"/>
      <c r="J6407" s="221"/>
      <c r="K6407" s="221"/>
      <c r="L6407" s="221"/>
      <c r="M6407" s="221"/>
    </row>
    <row r="6408" spans="5:13">
      <c r="E6408" s="221"/>
      <c r="F6408" s="221"/>
      <c r="G6408" s="221"/>
      <c r="H6408" s="221"/>
      <c r="I6408" s="221"/>
      <c r="J6408" s="221"/>
      <c r="K6408" s="221"/>
      <c r="L6408" s="221"/>
      <c r="M6408" s="221"/>
    </row>
    <row r="6409" spans="5:13">
      <c r="E6409" s="221"/>
      <c r="F6409" s="221"/>
      <c r="G6409" s="221"/>
      <c r="H6409" s="221"/>
      <c r="I6409" s="221"/>
      <c r="J6409" s="221"/>
      <c r="K6409" s="221"/>
      <c r="L6409" s="221"/>
      <c r="M6409" s="221"/>
    </row>
    <row r="6410" spans="5:13">
      <c r="E6410" s="221"/>
      <c r="F6410" s="221"/>
      <c r="G6410" s="221"/>
      <c r="H6410" s="221"/>
      <c r="I6410" s="221"/>
      <c r="J6410" s="221"/>
      <c r="K6410" s="221"/>
      <c r="L6410" s="221"/>
      <c r="M6410" s="221"/>
    </row>
    <row r="6411" spans="5:13">
      <c r="E6411" s="221"/>
      <c r="F6411" s="221"/>
      <c r="G6411" s="221"/>
      <c r="H6411" s="221"/>
      <c r="I6411" s="221"/>
      <c r="J6411" s="221"/>
      <c r="K6411" s="221"/>
      <c r="L6411" s="221"/>
      <c r="M6411" s="221"/>
    </row>
    <row r="6412" spans="5:13">
      <c r="E6412" s="221"/>
      <c r="F6412" s="221"/>
      <c r="G6412" s="221"/>
      <c r="H6412" s="221"/>
      <c r="I6412" s="221"/>
      <c r="J6412" s="221"/>
      <c r="K6412" s="221"/>
      <c r="L6412" s="221"/>
      <c r="M6412" s="221"/>
    </row>
    <row r="6413" spans="5:13">
      <c r="E6413" s="221"/>
      <c r="F6413" s="221"/>
      <c r="G6413" s="221"/>
      <c r="H6413" s="221"/>
      <c r="I6413" s="221"/>
      <c r="J6413" s="221"/>
      <c r="K6413" s="221"/>
      <c r="L6413" s="221"/>
      <c r="M6413" s="221"/>
    </row>
    <row r="6414" spans="5:13">
      <c r="E6414" s="221"/>
      <c r="F6414" s="221"/>
      <c r="G6414" s="221"/>
      <c r="H6414" s="221"/>
      <c r="I6414" s="221"/>
      <c r="J6414" s="221"/>
      <c r="K6414" s="221"/>
      <c r="L6414" s="221"/>
      <c r="M6414" s="221"/>
    </row>
    <row r="6415" spans="5:13">
      <c r="E6415" s="221"/>
      <c r="F6415" s="221"/>
      <c r="G6415" s="221"/>
      <c r="H6415" s="221"/>
      <c r="I6415" s="221"/>
      <c r="J6415" s="221"/>
      <c r="K6415" s="221"/>
      <c r="L6415" s="221"/>
      <c r="M6415" s="221"/>
    </row>
    <row r="6416" spans="5:13">
      <c r="E6416" s="221"/>
      <c r="F6416" s="221"/>
      <c r="G6416" s="221"/>
      <c r="H6416" s="221"/>
      <c r="I6416" s="221"/>
      <c r="J6416" s="221"/>
      <c r="K6416" s="221"/>
      <c r="L6416" s="221"/>
      <c r="M6416" s="221"/>
    </row>
    <row r="6417" spans="5:13">
      <c r="E6417" s="221"/>
      <c r="F6417" s="221"/>
      <c r="G6417" s="221"/>
      <c r="H6417" s="221"/>
      <c r="I6417" s="221"/>
      <c r="J6417" s="221"/>
      <c r="K6417" s="221"/>
      <c r="L6417" s="221"/>
      <c r="M6417" s="221"/>
    </row>
    <row r="6418" spans="5:13">
      <c r="E6418" s="221"/>
      <c r="F6418" s="221"/>
      <c r="G6418" s="221"/>
      <c r="H6418" s="221"/>
      <c r="I6418" s="221"/>
      <c r="J6418" s="221"/>
      <c r="K6418" s="221"/>
      <c r="L6418" s="221"/>
      <c r="M6418" s="221"/>
    </row>
    <row r="6419" spans="5:13">
      <c r="E6419" s="221"/>
      <c r="F6419" s="221"/>
      <c r="G6419" s="221"/>
      <c r="H6419" s="221"/>
      <c r="I6419" s="221"/>
      <c r="J6419" s="221"/>
      <c r="K6419" s="221"/>
      <c r="L6419" s="221"/>
      <c r="M6419" s="221"/>
    </row>
    <row r="6420" spans="5:13">
      <c r="E6420" s="221"/>
      <c r="F6420" s="221"/>
      <c r="G6420" s="221"/>
      <c r="H6420" s="221"/>
      <c r="I6420" s="221"/>
      <c r="J6420" s="221"/>
      <c r="K6420" s="221"/>
      <c r="L6420" s="221"/>
      <c r="M6420" s="221"/>
    </row>
    <row r="6421" spans="5:13">
      <c r="E6421" s="221"/>
      <c r="F6421" s="221"/>
      <c r="G6421" s="221"/>
      <c r="H6421" s="221"/>
      <c r="I6421" s="221"/>
      <c r="J6421" s="221"/>
      <c r="K6421" s="221"/>
      <c r="L6421" s="221"/>
      <c r="M6421" s="221"/>
    </row>
    <row r="6422" spans="5:13">
      <c r="E6422" s="221"/>
      <c r="F6422" s="221"/>
      <c r="G6422" s="221"/>
      <c r="H6422" s="221"/>
      <c r="I6422" s="221"/>
      <c r="J6422" s="221"/>
      <c r="K6422" s="221"/>
      <c r="L6422" s="221"/>
      <c r="M6422" s="221"/>
    </row>
    <row r="6423" spans="5:13">
      <c r="E6423" s="221"/>
      <c r="F6423" s="221"/>
      <c r="G6423" s="221"/>
      <c r="H6423" s="221"/>
      <c r="I6423" s="221"/>
      <c r="J6423" s="221"/>
      <c r="K6423" s="221"/>
      <c r="L6423" s="221"/>
      <c r="M6423" s="221"/>
    </row>
    <row r="6424" spans="5:13">
      <c r="E6424" s="221"/>
      <c r="F6424" s="221"/>
      <c r="G6424" s="221"/>
      <c r="H6424" s="221"/>
      <c r="I6424" s="221"/>
      <c r="J6424" s="221"/>
      <c r="K6424" s="221"/>
      <c r="L6424" s="221"/>
      <c r="M6424" s="221"/>
    </row>
    <row r="6425" spans="5:13">
      <c r="E6425" s="221"/>
      <c r="F6425" s="221"/>
      <c r="G6425" s="221"/>
      <c r="H6425" s="221"/>
      <c r="I6425" s="221"/>
      <c r="J6425" s="221"/>
      <c r="K6425" s="221"/>
      <c r="L6425" s="221"/>
      <c r="M6425" s="221"/>
    </row>
    <row r="6426" spans="5:13">
      <c r="E6426" s="221"/>
      <c r="F6426" s="221"/>
      <c r="G6426" s="221"/>
      <c r="H6426" s="221"/>
      <c r="I6426" s="221"/>
      <c r="J6426" s="221"/>
      <c r="K6426" s="221"/>
      <c r="L6426" s="221"/>
      <c r="M6426" s="221"/>
    </row>
    <row r="6427" spans="5:13">
      <c r="E6427" s="221"/>
      <c r="F6427" s="221"/>
      <c r="G6427" s="221"/>
      <c r="H6427" s="221"/>
      <c r="I6427" s="221"/>
      <c r="J6427" s="221"/>
      <c r="K6427" s="221"/>
      <c r="L6427" s="221"/>
      <c r="M6427" s="221"/>
    </row>
    <row r="6428" spans="5:13">
      <c r="E6428" s="221"/>
      <c r="F6428" s="221"/>
      <c r="G6428" s="221"/>
      <c r="H6428" s="221"/>
      <c r="I6428" s="221"/>
      <c r="J6428" s="221"/>
      <c r="K6428" s="221"/>
      <c r="L6428" s="221"/>
      <c r="M6428" s="221"/>
    </row>
    <row r="6429" spans="5:13">
      <c r="E6429" s="221"/>
      <c r="F6429" s="221"/>
      <c r="G6429" s="221"/>
      <c r="H6429" s="221"/>
      <c r="I6429" s="221"/>
      <c r="J6429" s="221"/>
      <c r="K6429" s="221"/>
      <c r="L6429" s="221"/>
      <c r="M6429" s="221"/>
    </row>
    <row r="6430" spans="5:13">
      <c r="E6430" s="221"/>
      <c r="F6430" s="221"/>
      <c r="G6430" s="221"/>
      <c r="H6430" s="221"/>
      <c r="I6430" s="221"/>
      <c r="J6430" s="221"/>
      <c r="K6430" s="221"/>
      <c r="L6430" s="221"/>
      <c r="M6430" s="221"/>
    </row>
    <row r="6431" spans="5:13">
      <c r="E6431" s="221"/>
      <c r="F6431" s="221"/>
      <c r="G6431" s="221"/>
      <c r="H6431" s="221"/>
      <c r="I6431" s="221"/>
      <c r="J6431" s="221"/>
      <c r="K6431" s="221"/>
      <c r="L6431" s="221"/>
      <c r="M6431" s="221"/>
    </row>
    <row r="6432" spans="5:13">
      <c r="E6432" s="221"/>
      <c r="F6432" s="221"/>
      <c r="G6432" s="221"/>
      <c r="H6432" s="221"/>
      <c r="I6432" s="221"/>
      <c r="J6432" s="221"/>
      <c r="K6432" s="221"/>
      <c r="L6432" s="221"/>
      <c r="M6432" s="221"/>
    </row>
    <row r="6433" spans="5:13">
      <c r="E6433" s="221"/>
      <c r="F6433" s="221"/>
      <c r="G6433" s="221"/>
      <c r="H6433" s="221"/>
      <c r="I6433" s="221"/>
      <c r="J6433" s="221"/>
      <c r="K6433" s="221"/>
      <c r="L6433" s="221"/>
      <c r="M6433" s="221"/>
    </row>
    <row r="6434" spans="5:13">
      <c r="E6434" s="221"/>
      <c r="F6434" s="221"/>
      <c r="G6434" s="221"/>
      <c r="H6434" s="221"/>
      <c r="I6434" s="221"/>
      <c r="J6434" s="221"/>
      <c r="K6434" s="221"/>
      <c r="L6434" s="221"/>
      <c r="M6434" s="221"/>
    </row>
    <row r="6435" spans="5:13">
      <c r="E6435" s="221"/>
      <c r="F6435" s="221"/>
      <c r="G6435" s="221"/>
      <c r="H6435" s="221"/>
      <c r="I6435" s="221"/>
      <c r="J6435" s="221"/>
      <c r="K6435" s="221"/>
      <c r="L6435" s="221"/>
      <c r="M6435" s="221"/>
    </row>
    <row r="6436" spans="5:13">
      <c r="E6436" s="221"/>
      <c r="F6436" s="221"/>
      <c r="G6436" s="221"/>
      <c r="H6436" s="221"/>
      <c r="I6436" s="221"/>
      <c r="J6436" s="221"/>
      <c r="K6436" s="221"/>
      <c r="L6436" s="221"/>
      <c r="M6436" s="221"/>
    </row>
    <row r="6437" spans="5:13">
      <c r="E6437" s="221"/>
      <c r="F6437" s="221"/>
      <c r="G6437" s="221"/>
      <c r="H6437" s="221"/>
      <c r="I6437" s="221"/>
      <c r="J6437" s="221"/>
      <c r="K6437" s="221"/>
      <c r="L6437" s="221"/>
      <c r="M6437" s="221"/>
    </row>
    <row r="6438" spans="5:13">
      <c r="E6438" s="221"/>
      <c r="F6438" s="221"/>
      <c r="G6438" s="221"/>
      <c r="H6438" s="221"/>
      <c r="I6438" s="221"/>
      <c r="J6438" s="221"/>
      <c r="K6438" s="221"/>
      <c r="L6438" s="221"/>
      <c r="M6438" s="221"/>
    </row>
    <row r="6439" spans="5:13">
      <c r="E6439" s="221"/>
      <c r="F6439" s="221"/>
      <c r="G6439" s="221"/>
      <c r="H6439" s="221"/>
      <c r="I6439" s="221"/>
      <c r="J6439" s="221"/>
      <c r="K6439" s="221"/>
      <c r="L6439" s="221"/>
      <c r="M6439" s="221"/>
    </row>
    <row r="6440" spans="5:13">
      <c r="E6440" s="221"/>
      <c r="F6440" s="221"/>
      <c r="G6440" s="221"/>
      <c r="H6440" s="221"/>
      <c r="I6440" s="221"/>
      <c r="J6440" s="221"/>
      <c r="K6440" s="221"/>
      <c r="L6440" s="221"/>
      <c r="M6440" s="221"/>
    </row>
    <row r="6441" spans="5:13">
      <c r="E6441" s="221"/>
      <c r="F6441" s="221"/>
      <c r="G6441" s="221"/>
      <c r="H6441" s="221"/>
      <c r="I6441" s="221"/>
      <c r="J6441" s="221"/>
      <c r="K6441" s="221"/>
      <c r="L6441" s="221"/>
      <c r="M6441" s="221"/>
    </row>
    <row r="6442" spans="5:13">
      <c r="E6442" s="221"/>
      <c r="F6442" s="221"/>
      <c r="G6442" s="221"/>
      <c r="H6442" s="221"/>
      <c r="I6442" s="221"/>
      <c r="J6442" s="221"/>
      <c r="K6442" s="221"/>
      <c r="L6442" s="221"/>
      <c r="M6442" s="221"/>
    </row>
    <row r="6443" spans="5:13">
      <c r="E6443" s="221"/>
      <c r="F6443" s="221"/>
      <c r="G6443" s="221"/>
      <c r="H6443" s="221"/>
      <c r="I6443" s="221"/>
      <c r="J6443" s="221"/>
      <c r="K6443" s="221"/>
      <c r="L6443" s="221"/>
      <c r="M6443" s="221"/>
    </row>
    <row r="6444" spans="5:13">
      <c r="E6444" s="221"/>
      <c r="F6444" s="221"/>
      <c r="G6444" s="221"/>
      <c r="H6444" s="221"/>
      <c r="I6444" s="221"/>
      <c r="J6444" s="221"/>
      <c r="K6444" s="221"/>
      <c r="L6444" s="221"/>
      <c r="M6444" s="221"/>
    </row>
    <row r="6445" spans="5:13">
      <c r="E6445" s="221"/>
      <c r="F6445" s="221"/>
      <c r="G6445" s="221"/>
      <c r="H6445" s="221"/>
      <c r="I6445" s="221"/>
      <c r="J6445" s="221"/>
      <c r="K6445" s="221"/>
      <c r="L6445" s="221"/>
      <c r="M6445" s="221"/>
    </row>
    <row r="6446" spans="5:13">
      <c r="E6446" s="221"/>
      <c r="F6446" s="221"/>
      <c r="G6446" s="221"/>
      <c r="H6446" s="221"/>
      <c r="I6446" s="221"/>
      <c r="J6446" s="221"/>
      <c r="K6446" s="221"/>
      <c r="L6446" s="221"/>
      <c r="M6446" s="221"/>
    </row>
    <row r="6447" spans="5:13">
      <c r="E6447" s="221"/>
      <c r="F6447" s="221"/>
      <c r="G6447" s="221"/>
      <c r="H6447" s="221"/>
      <c r="I6447" s="221"/>
      <c r="J6447" s="221"/>
      <c r="K6447" s="221"/>
      <c r="L6447" s="221"/>
      <c r="M6447" s="221"/>
    </row>
    <row r="6448" spans="5:13">
      <c r="E6448" s="221"/>
      <c r="F6448" s="221"/>
      <c r="G6448" s="221"/>
      <c r="H6448" s="221"/>
      <c r="I6448" s="221"/>
      <c r="J6448" s="221"/>
      <c r="K6448" s="221"/>
      <c r="L6448" s="221"/>
      <c r="M6448" s="221"/>
    </row>
    <row r="6449" spans="5:13">
      <c r="E6449" s="221"/>
      <c r="F6449" s="221"/>
      <c r="G6449" s="221"/>
      <c r="H6449" s="221"/>
      <c r="I6449" s="221"/>
      <c r="J6449" s="221"/>
      <c r="K6449" s="221"/>
      <c r="L6449" s="221"/>
      <c r="M6449" s="221"/>
    </row>
    <row r="6450" spans="5:13">
      <c r="E6450" s="221"/>
      <c r="F6450" s="221"/>
      <c r="G6450" s="221"/>
      <c r="H6450" s="221"/>
      <c r="I6450" s="221"/>
      <c r="J6450" s="221"/>
      <c r="K6450" s="221"/>
      <c r="L6450" s="221"/>
      <c r="M6450" s="221"/>
    </row>
    <row r="6451" spans="5:13">
      <c r="E6451" s="221"/>
      <c r="F6451" s="221"/>
      <c r="G6451" s="221"/>
      <c r="H6451" s="221"/>
      <c r="I6451" s="221"/>
      <c r="J6451" s="221"/>
      <c r="K6451" s="221"/>
      <c r="L6451" s="221"/>
      <c r="M6451" s="221"/>
    </row>
    <row r="6452" spans="5:13">
      <c r="E6452" s="221"/>
      <c r="F6452" s="221"/>
      <c r="G6452" s="221"/>
      <c r="H6452" s="221"/>
      <c r="I6452" s="221"/>
      <c r="J6452" s="221"/>
      <c r="K6452" s="221"/>
      <c r="L6452" s="221"/>
      <c r="M6452" s="221"/>
    </row>
    <row r="6453" spans="5:13">
      <c r="E6453" s="221"/>
      <c r="F6453" s="221"/>
      <c r="G6453" s="221"/>
      <c r="H6453" s="221"/>
      <c r="I6453" s="221"/>
      <c r="J6453" s="221"/>
      <c r="K6453" s="221"/>
      <c r="L6453" s="221"/>
      <c r="M6453" s="221"/>
    </row>
    <row r="6454" spans="5:13">
      <c r="E6454" s="221"/>
      <c r="F6454" s="221"/>
      <c r="G6454" s="221"/>
      <c r="H6454" s="221"/>
      <c r="I6454" s="221"/>
      <c r="J6454" s="221"/>
      <c r="K6454" s="221"/>
      <c r="L6454" s="221"/>
      <c r="M6454" s="221"/>
    </row>
    <row r="6455" spans="5:13">
      <c r="E6455" s="221"/>
      <c r="F6455" s="221"/>
      <c r="G6455" s="221"/>
      <c r="H6455" s="221"/>
      <c r="I6455" s="221"/>
      <c r="J6455" s="221"/>
      <c r="K6455" s="221"/>
      <c r="L6455" s="221"/>
      <c r="M6455" s="221"/>
    </row>
    <row r="6456" spans="5:13">
      <c r="E6456" s="221"/>
      <c r="F6456" s="221"/>
      <c r="G6456" s="221"/>
      <c r="H6456" s="221"/>
      <c r="I6456" s="221"/>
      <c r="J6456" s="221"/>
      <c r="K6456" s="221"/>
      <c r="L6456" s="221"/>
      <c r="M6456" s="221"/>
    </row>
    <row r="6457" spans="5:13">
      <c r="E6457" s="221"/>
      <c r="F6457" s="221"/>
      <c r="G6457" s="221"/>
      <c r="H6457" s="221"/>
      <c r="I6457" s="221"/>
      <c r="J6457" s="221"/>
      <c r="K6457" s="221"/>
      <c r="L6457" s="221"/>
      <c r="M6457" s="221"/>
    </row>
    <row r="6458" spans="5:13">
      <c r="E6458" s="221"/>
      <c r="F6458" s="221"/>
      <c r="G6458" s="221"/>
      <c r="H6458" s="221"/>
      <c r="I6458" s="221"/>
      <c r="J6458" s="221"/>
      <c r="K6458" s="221"/>
      <c r="L6458" s="221"/>
      <c r="M6458" s="221"/>
    </row>
    <row r="6459" spans="5:13">
      <c r="E6459" s="221"/>
      <c r="F6459" s="221"/>
      <c r="G6459" s="221"/>
      <c r="H6459" s="221"/>
      <c r="I6459" s="221"/>
      <c r="J6459" s="221"/>
      <c r="K6459" s="221"/>
      <c r="L6459" s="221"/>
      <c r="M6459" s="221"/>
    </row>
    <row r="6460" spans="5:13">
      <c r="E6460" s="221"/>
      <c r="F6460" s="221"/>
      <c r="G6460" s="221"/>
      <c r="H6460" s="221"/>
      <c r="I6460" s="221"/>
      <c r="J6460" s="221"/>
      <c r="K6460" s="221"/>
      <c r="L6460" s="221"/>
      <c r="M6460" s="221"/>
    </row>
    <row r="6461" spans="5:13">
      <c r="E6461" s="221"/>
      <c r="F6461" s="221"/>
      <c r="G6461" s="221"/>
      <c r="H6461" s="221"/>
      <c r="I6461" s="221"/>
      <c r="J6461" s="221"/>
      <c r="K6461" s="221"/>
      <c r="L6461" s="221"/>
      <c r="M6461" s="221"/>
    </row>
    <row r="6462" spans="5:13">
      <c r="E6462" s="221"/>
      <c r="F6462" s="221"/>
      <c r="G6462" s="221"/>
      <c r="H6462" s="221"/>
      <c r="I6462" s="221"/>
      <c r="J6462" s="221"/>
      <c r="K6462" s="221"/>
      <c r="L6462" s="221"/>
      <c r="M6462" s="221"/>
    </row>
    <row r="6463" spans="5:13">
      <c r="E6463" s="221"/>
      <c r="F6463" s="221"/>
      <c r="G6463" s="221"/>
      <c r="H6463" s="221"/>
      <c r="I6463" s="221"/>
      <c r="J6463" s="221"/>
      <c r="K6463" s="221"/>
      <c r="L6463" s="221"/>
      <c r="M6463" s="221"/>
    </row>
    <row r="6464" spans="5:13">
      <c r="E6464" s="221"/>
      <c r="F6464" s="221"/>
      <c r="G6464" s="221"/>
      <c r="H6464" s="221"/>
      <c r="I6464" s="221"/>
      <c r="J6464" s="221"/>
      <c r="K6464" s="221"/>
      <c r="L6464" s="221"/>
      <c r="M6464" s="221"/>
    </row>
    <row r="6465" spans="5:13">
      <c r="E6465" s="221"/>
      <c r="F6465" s="221"/>
      <c r="G6465" s="221"/>
      <c r="H6465" s="221"/>
      <c r="I6465" s="221"/>
      <c r="J6465" s="221"/>
      <c r="K6465" s="221"/>
      <c r="L6465" s="221"/>
      <c r="M6465" s="221"/>
    </row>
    <row r="6466" spans="5:13">
      <c r="E6466" s="221"/>
      <c r="F6466" s="221"/>
      <c r="G6466" s="221"/>
      <c r="H6466" s="221"/>
      <c r="I6466" s="221"/>
      <c r="J6466" s="221"/>
      <c r="K6466" s="221"/>
      <c r="L6466" s="221"/>
      <c r="M6466" s="221"/>
    </row>
    <row r="6467" spans="5:13">
      <c r="E6467" s="221"/>
      <c r="F6467" s="221"/>
      <c r="G6467" s="221"/>
      <c r="H6467" s="221"/>
      <c r="I6467" s="221"/>
      <c r="J6467" s="221"/>
      <c r="K6467" s="221"/>
      <c r="L6467" s="221"/>
      <c r="M6467" s="221"/>
    </row>
    <row r="6468" spans="5:13">
      <c r="E6468" s="221"/>
      <c r="F6468" s="221"/>
      <c r="G6468" s="221"/>
      <c r="H6468" s="221"/>
      <c r="I6468" s="221"/>
      <c r="J6468" s="221"/>
      <c r="K6468" s="221"/>
      <c r="L6468" s="221"/>
      <c r="M6468" s="221"/>
    </row>
    <row r="6469" spans="5:13">
      <c r="E6469" s="221"/>
      <c r="F6469" s="221"/>
      <c r="G6469" s="221"/>
      <c r="H6469" s="221"/>
      <c r="I6469" s="221"/>
      <c r="J6469" s="221"/>
      <c r="K6469" s="221"/>
      <c r="L6469" s="221"/>
      <c r="M6469" s="221"/>
    </row>
    <row r="6470" spans="5:13">
      <c r="E6470" s="221"/>
      <c r="F6470" s="221"/>
      <c r="G6470" s="221"/>
      <c r="H6470" s="221"/>
      <c r="I6470" s="221"/>
      <c r="J6470" s="221"/>
      <c r="K6470" s="221"/>
      <c r="L6470" s="221"/>
      <c r="M6470" s="221"/>
    </row>
    <row r="6471" spans="5:13">
      <c r="E6471" s="221"/>
      <c r="F6471" s="221"/>
      <c r="G6471" s="221"/>
      <c r="H6471" s="221"/>
      <c r="I6471" s="221"/>
      <c r="J6471" s="221"/>
      <c r="K6471" s="221"/>
      <c r="L6471" s="221"/>
      <c r="M6471" s="221"/>
    </row>
    <row r="6472" spans="5:13">
      <c r="E6472" s="221"/>
      <c r="F6472" s="221"/>
      <c r="G6472" s="221"/>
      <c r="H6472" s="221"/>
      <c r="I6472" s="221"/>
      <c r="J6472" s="221"/>
      <c r="K6472" s="221"/>
      <c r="L6472" s="221"/>
      <c r="M6472" s="221"/>
    </row>
    <row r="6473" spans="5:13">
      <c r="E6473" s="221"/>
      <c r="F6473" s="221"/>
      <c r="G6473" s="221"/>
      <c r="H6473" s="221"/>
      <c r="I6473" s="221"/>
      <c r="J6473" s="221"/>
      <c r="K6473" s="221"/>
      <c r="L6473" s="221"/>
      <c r="M6473" s="221"/>
    </row>
    <row r="6474" spans="5:13">
      <c r="E6474" s="221"/>
      <c r="F6474" s="221"/>
      <c r="G6474" s="221"/>
      <c r="H6474" s="221"/>
      <c r="I6474" s="221"/>
      <c r="J6474" s="221"/>
      <c r="K6474" s="221"/>
      <c r="L6474" s="221"/>
      <c r="M6474" s="221"/>
    </row>
    <row r="6475" spans="5:13">
      <c r="E6475" s="221"/>
      <c r="F6475" s="221"/>
      <c r="G6475" s="221"/>
      <c r="H6475" s="221"/>
      <c r="I6475" s="221"/>
      <c r="J6475" s="221"/>
      <c r="K6475" s="221"/>
      <c r="L6475" s="221"/>
      <c r="M6475" s="221"/>
    </row>
    <row r="6476" spans="5:13">
      <c r="E6476" s="221"/>
      <c r="F6476" s="221"/>
      <c r="G6476" s="221"/>
      <c r="H6476" s="221"/>
      <c r="I6476" s="221"/>
      <c r="J6476" s="221"/>
      <c r="K6476" s="221"/>
      <c r="L6476" s="221"/>
      <c r="M6476" s="221"/>
    </row>
    <row r="6477" spans="5:13">
      <c r="E6477" s="221"/>
      <c r="F6477" s="221"/>
      <c r="G6477" s="221"/>
      <c r="H6477" s="221"/>
      <c r="I6477" s="221"/>
      <c r="J6477" s="221"/>
      <c r="K6477" s="221"/>
      <c r="L6477" s="221"/>
      <c r="M6477" s="221"/>
    </row>
    <row r="6478" spans="5:13">
      <c r="E6478" s="221"/>
      <c r="F6478" s="221"/>
      <c r="G6478" s="221"/>
      <c r="H6478" s="221"/>
      <c r="I6478" s="221"/>
      <c r="J6478" s="221"/>
      <c r="K6478" s="221"/>
      <c r="L6478" s="221"/>
      <c r="M6478" s="221"/>
    </row>
    <row r="6479" spans="5:13">
      <c r="E6479" s="221"/>
      <c r="F6479" s="221"/>
      <c r="G6479" s="221"/>
      <c r="H6479" s="221"/>
      <c r="I6479" s="221"/>
      <c r="J6479" s="221"/>
      <c r="K6479" s="221"/>
      <c r="L6479" s="221"/>
      <c r="M6479" s="221"/>
    </row>
    <row r="6480" spans="5:13">
      <c r="E6480" s="221"/>
      <c r="F6480" s="221"/>
      <c r="G6480" s="221"/>
      <c r="H6480" s="221"/>
      <c r="I6480" s="221"/>
      <c r="J6480" s="221"/>
      <c r="K6480" s="221"/>
      <c r="L6480" s="221"/>
      <c r="M6480" s="221"/>
    </row>
    <row r="6481" spans="5:13">
      <c r="E6481" s="221"/>
      <c r="F6481" s="221"/>
      <c r="G6481" s="221"/>
      <c r="H6481" s="221"/>
      <c r="I6481" s="221"/>
      <c r="J6481" s="221"/>
      <c r="K6481" s="221"/>
      <c r="L6481" s="221"/>
      <c r="M6481" s="221"/>
    </row>
    <row r="6482" spans="5:13">
      <c r="E6482" s="221"/>
      <c r="F6482" s="221"/>
      <c r="G6482" s="221"/>
      <c r="H6482" s="221"/>
      <c r="I6482" s="221"/>
      <c r="J6482" s="221"/>
      <c r="K6482" s="221"/>
      <c r="L6482" s="221"/>
      <c r="M6482" s="221"/>
    </row>
    <row r="6483" spans="5:13">
      <c r="E6483" s="221"/>
      <c r="F6483" s="221"/>
      <c r="G6483" s="221"/>
      <c r="H6483" s="221"/>
      <c r="I6483" s="221"/>
      <c r="J6483" s="221"/>
      <c r="K6483" s="221"/>
      <c r="L6483" s="221"/>
      <c r="M6483" s="221"/>
    </row>
    <row r="6484" spans="5:13">
      <c r="E6484" s="221"/>
      <c r="F6484" s="221"/>
      <c r="G6484" s="221"/>
      <c r="H6484" s="221"/>
      <c r="I6484" s="221"/>
      <c r="J6484" s="221"/>
      <c r="K6484" s="221"/>
      <c r="L6484" s="221"/>
      <c r="M6484" s="221"/>
    </row>
    <row r="6485" spans="5:13">
      <c r="E6485" s="221"/>
      <c r="F6485" s="221"/>
      <c r="G6485" s="221"/>
      <c r="H6485" s="221"/>
      <c r="I6485" s="221"/>
      <c r="J6485" s="221"/>
      <c r="K6485" s="221"/>
      <c r="L6485" s="221"/>
      <c r="M6485" s="221"/>
    </row>
    <row r="6486" spans="5:13">
      <c r="E6486" s="221"/>
      <c r="F6486" s="221"/>
      <c r="G6486" s="221"/>
      <c r="H6486" s="221"/>
      <c r="I6486" s="221"/>
      <c r="J6486" s="221"/>
      <c r="K6486" s="221"/>
      <c r="L6486" s="221"/>
      <c r="M6486" s="221"/>
    </row>
    <row r="6487" spans="5:13">
      <c r="E6487" s="221"/>
      <c r="F6487" s="221"/>
      <c r="G6487" s="221"/>
      <c r="H6487" s="221"/>
      <c r="I6487" s="221"/>
      <c r="J6487" s="221"/>
      <c r="K6487" s="221"/>
      <c r="L6487" s="221"/>
      <c r="M6487" s="221"/>
    </row>
    <row r="6488" spans="5:13">
      <c r="E6488" s="221"/>
      <c r="F6488" s="221"/>
      <c r="G6488" s="221"/>
      <c r="H6488" s="221"/>
      <c r="I6488" s="221"/>
      <c r="J6488" s="221"/>
      <c r="K6488" s="221"/>
      <c r="L6488" s="221"/>
      <c r="M6488" s="221"/>
    </row>
    <row r="6489" spans="5:13">
      <c r="E6489" s="221"/>
      <c r="F6489" s="221"/>
      <c r="G6489" s="221"/>
      <c r="H6489" s="221"/>
      <c r="I6489" s="221"/>
      <c r="J6489" s="221"/>
      <c r="K6489" s="221"/>
      <c r="L6489" s="221"/>
      <c r="M6489" s="221"/>
    </row>
    <row r="6490" spans="5:13">
      <c r="E6490" s="221"/>
      <c r="F6490" s="221"/>
      <c r="G6490" s="221"/>
      <c r="H6490" s="221"/>
      <c r="I6490" s="221"/>
      <c r="J6490" s="221"/>
      <c r="K6490" s="221"/>
      <c r="L6490" s="221"/>
      <c r="M6490" s="221"/>
    </row>
    <row r="6491" spans="5:13">
      <c r="E6491" s="221"/>
      <c r="F6491" s="221"/>
      <c r="G6491" s="221"/>
      <c r="H6491" s="221"/>
      <c r="I6491" s="221"/>
      <c r="J6491" s="221"/>
      <c r="K6491" s="221"/>
      <c r="L6491" s="221"/>
      <c r="M6491" s="221"/>
    </row>
    <row r="6492" spans="5:13">
      <c r="E6492" s="221"/>
      <c r="F6492" s="221"/>
      <c r="G6492" s="221"/>
      <c r="H6492" s="221"/>
      <c r="I6492" s="221"/>
      <c r="J6492" s="221"/>
      <c r="K6492" s="221"/>
      <c r="L6492" s="221"/>
      <c r="M6492" s="221"/>
    </row>
    <row r="6493" spans="5:13">
      <c r="E6493" s="221"/>
      <c r="F6493" s="221"/>
      <c r="G6493" s="221"/>
      <c r="H6493" s="221"/>
      <c r="I6493" s="221"/>
      <c r="J6493" s="221"/>
      <c r="K6493" s="221"/>
      <c r="L6493" s="221"/>
      <c r="M6493" s="221"/>
    </row>
    <row r="6494" spans="5:13">
      <c r="E6494" s="221"/>
      <c r="F6494" s="221"/>
      <c r="G6494" s="221"/>
      <c r="H6494" s="221"/>
      <c r="I6494" s="221"/>
      <c r="J6494" s="221"/>
      <c r="K6494" s="221"/>
      <c r="L6494" s="221"/>
      <c r="M6494" s="221"/>
    </row>
    <row r="6495" spans="5:13">
      <c r="E6495" s="221"/>
      <c r="F6495" s="221"/>
      <c r="G6495" s="221"/>
      <c r="H6495" s="221"/>
      <c r="I6495" s="221"/>
      <c r="J6495" s="221"/>
      <c r="K6495" s="221"/>
      <c r="L6495" s="221"/>
      <c r="M6495" s="221"/>
    </row>
    <row r="6496" spans="5:13">
      <c r="E6496" s="221"/>
      <c r="F6496" s="221"/>
      <c r="G6496" s="221"/>
      <c r="H6496" s="221"/>
      <c r="I6496" s="221"/>
      <c r="J6496" s="221"/>
      <c r="K6496" s="221"/>
      <c r="L6496" s="221"/>
      <c r="M6496" s="221"/>
    </row>
    <row r="6497" spans="5:13">
      <c r="E6497" s="221"/>
      <c r="F6497" s="221"/>
      <c r="G6497" s="221"/>
      <c r="H6497" s="221"/>
      <c r="I6497" s="221"/>
      <c r="J6497" s="221"/>
      <c r="K6497" s="221"/>
      <c r="L6497" s="221"/>
      <c r="M6497" s="221"/>
    </row>
    <row r="6498" spans="5:13">
      <c r="E6498" s="221"/>
      <c r="F6498" s="221"/>
      <c r="G6498" s="221"/>
      <c r="H6498" s="221"/>
      <c r="I6498" s="221"/>
      <c r="J6498" s="221"/>
      <c r="K6498" s="221"/>
      <c r="L6498" s="221"/>
      <c r="M6498" s="221"/>
    </row>
    <row r="6499" spans="5:13">
      <c r="E6499" s="221"/>
      <c r="F6499" s="221"/>
      <c r="G6499" s="221"/>
      <c r="H6499" s="221"/>
      <c r="I6499" s="221"/>
      <c r="J6499" s="221"/>
      <c r="K6499" s="221"/>
      <c r="L6499" s="221"/>
      <c r="M6499" s="221"/>
    </row>
    <row r="6500" spans="5:13">
      <c r="E6500" s="221"/>
      <c r="F6500" s="221"/>
      <c r="G6500" s="221"/>
      <c r="H6500" s="221"/>
      <c r="I6500" s="221"/>
      <c r="J6500" s="221"/>
      <c r="K6500" s="221"/>
      <c r="L6500" s="221"/>
      <c r="M6500" s="221"/>
    </row>
    <row r="6501" spans="5:13">
      <c r="E6501" s="221"/>
      <c r="F6501" s="221"/>
      <c r="G6501" s="221"/>
      <c r="H6501" s="221"/>
      <c r="I6501" s="221"/>
      <c r="J6501" s="221"/>
      <c r="K6501" s="221"/>
      <c r="L6501" s="221"/>
      <c r="M6501" s="221"/>
    </row>
    <row r="6502" spans="5:13">
      <c r="E6502" s="221"/>
      <c r="F6502" s="221"/>
      <c r="G6502" s="221"/>
      <c r="H6502" s="221"/>
      <c r="I6502" s="221"/>
      <c r="J6502" s="221"/>
      <c r="K6502" s="221"/>
      <c r="L6502" s="221"/>
      <c r="M6502" s="221"/>
    </row>
    <row r="6503" spans="5:13">
      <c r="E6503" s="221"/>
      <c r="F6503" s="221"/>
      <c r="G6503" s="221"/>
      <c r="H6503" s="221"/>
      <c r="I6503" s="221"/>
      <c r="J6503" s="221"/>
      <c r="K6503" s="221"/>
      <c r="L6503" s="221"/>
      <c r="M6503" s="221"/>
    </row>
    <row r="6504" spans="5:13">
      <c r="E6504" s="221"/>
      <c r="F6504" s="221"/>
      <c r="G6504" s="221"/>
      <c r="H6504" s="221"/>
      <c r="I6504" s="221"/>
      <c r="J6504" s="221"/>
      <c r="K6504" s="221"/>
      <c r="L6504" s="221"/>
      <c r="M6504" s="221"/>
    </row>
    <row r="6505" spans="5:13">
      <c r="E6505" s="221"/>
      <c r="F6505" s="221"/>
      <c r="G6505" s="221"/>
      <c r="H6505" s="221"/>
      <c r="I6505" s="221"/>
      <c r="J6505" s="221"/>
      <c r="K6505" s="221"/>
      <c r="L6505" s="221"/>
      <c r="M6505" s="221"/>
    </row>
    <row r="6506" spans="5:13">
      <c r="E6506" s="221"/>
      <c r="F6506" s="221"/>
      <c r="G6506" s="221"/>
      <c r="H6506" s="221"/>
      <c r="I6506" s="221"/>
      <c r="J6506" s="221"/>
      <c r="K6506" s="221"/>
      <c r="L6506" s="221"/>
      <c r="M6506" s="221"/>
    </row>
    <row r="6507" spans="5:13">
      <c r="E6507" s="221"/>
      <c r="F6507" s="221"/>
      <c r="G6507" s="221"/>
      <c r="H6507" s="221"/>
      <c r="I6507" s="221"/>
      <c r="J6507" s="221"/>
      <c r="K6507" s="221"/>
      <c r="L6507" s="221"/>
      <c r="M6507" s="221"/>
    </row>
    <row r="6508" spans="5:13">
      <c r="E6508" s="221"/>
      <c r="F6508" s="221"/>
      <c r="G6508" s="221"/>
      <c r="H6508" s="221"/>
      <c r="I6508" s="221"/>
      <c r="J6508" s="221"/>
      <c r="K6508" s="221"/>
      <c r="L6508" s="221"/>
      <c r="M6508" s="221"/>
    </row>
    <row r="6509" spans="5:13">
      <c r="E6509" s="221"/>
      <c r="F6509" s="221"/>
      <c r="G6509" s="221"/>
      <c r="H6509" s="221"/>
      <c r="I6509" s="221"/>
      <c r="J6509" s="221"/>
      <c r="K6509" s="221"/>
      <c r="L6509" s="221"/>
      <c r="M6509" s="221"/>
    </row>
    <row r="6510" spans="5:13">
      <c r="E6510" s="221"/>
      <c r="F6510" s="221"/>
      <c r="G6510" s="221"/>
      <c r="H6510" s="221"/>
      <c r="I6510" s="221"/>
      <c r="J6510" s="221"/>
      <c r="K6510" s="221"/>
      <c r="L6510" s="221"/>
      <c r="M6510" s="221"/>
    </row>
    <row r="6511" spans="5:13">
      <c r="E6511" s="221"/>
      <c r="F6511" s="221"/>
      <c r="G6511" s="221"/>
      <c r="H6511" s="221"/>
      <c r="I6511" s="221"/>
      <c r="J6511" s="221"/>
      <c r="K6511" s="221"/>
      <c r="L6511" s="221"/>
      <c r="M6511" s="221"/>
    </row>
    <row r="6512" spans="5:13">
      <c r="E6512" s="221"/>
      <c r="F6512" s="221"/>
      <c r="G6512" s="221"/>
      <c r="H6512" s="221"/>
      <c r="I6512" s="221"/>
      <c r="J6512" s="221"/>
      <c r="K6512" s="221"/>
      <c r="L6512" s="221"/>
      <c r="M6512" s="221"/>
    </row>
    <row r="6513" spans="5:13">
      <c r="E6513" s="221"/>
      <c r="F6513" s="221"/>
      <c r="G6513" s="221"/>
      <c r="H6513" s="221"/>
      <c r="I6513" s="221"/>
      <c r="J6513" s="221"/>
      <c r="K6513" s="221"/>
      <c r="L6513" s="221"/>
      <c r="M6513" s="221"/>
    </row>
    <row r="6514" spans="5:13">
      <c r="E6514" s="221"/>
      <c r="F6514" s="221"/>
      <c r="G6514" s="221"/>
      <c r="H6514" s="221"/>
      <c r="I6514" s="221"/>
      <c r="J6514" s="221"/>
      <c r="K6514" s="221"/>
      <c r="L6514" s="221"/>
      <c r="M6514" s="221"/>
    </row>
    <row r="6515" spans="5:13">
      <c r="E6515" s="221"/>
      <c r="F6515" s="221"/>
      <c r="G6515" s="221"/>
      <c r="H6515" s="221"/>
      <c r="I6515" s="221"/>
      <c r="J6515" s="221"/>
      <c r="K6515" s="221"/>
      <c r="L6515" s="221"/>
      <c r="M6515" s="221"/>
    </row>
    <row r="6516" spans="5:13">
      <c r="E6516" s="221"/>
      <c r="F6516" s="221"/>
      <c r="G6516" s="221"/>
      <c r="H6516" s="221"/>
      <c r="I6516" s="221"/>
      <c r="J6516" s="221"/>
      <c r="K6516" s="221"/>
      <c r="L6516" s="221"/>
      <c r="M6516" s="221"/>
    </row>
    <row r="6517" spans="5:13">
      <c r="E6517" s="221"/>
      <c r="F6517" s="221"/>
      <c r="G6517" s="221"/>
      <c r="H6517" s="221"/>
      <c r="I6517" s="221"/>
      <c r="J6517" s="221"/>
      <c r="K6517" s="221"/>
      <c r="L6517" s="221"/>
      <c r="M6517" s="221"/>
    </row>
    <row r="6518" spans="5:13">
      <c r="E6518" s="221"/>
      <c r="F6518" s="221"/>
      <c r="G6518" s="221"/>
      <c r="H6518" s="221"/>
      <c r="I6518" s="221"/>
      <c r="J6518" s="221"/>
      <c r="K6518" s="221"/>
      <c r="L6518" s="221"/>
      <c r="M6518" s="221"/>
    </row>
    <row r="6519" spans="5:13">
      <c r="E6519" s="221"/>
      <c r="F6519" s="221"/>
      <c r="G6519" s="221"/>
      <c r="H6519" s="221"/>
      <c r="I6519" s="221"/>
      <c r="J6519" s="221"/>
      <c r="K6519" s="221"/>
      <c r="L6519" s="221"/>
      <c r="M6519" s="221"/>
    </row>
    <row r="6520" spans="5:13">
      <c r="E6520" s="221"/>
      <c r="F6520" s="221"/>
      <c r="G6520" s="221"/>
      <c r="H6520" s="221"/>
      <c r="I6520" s="221"/>
      <c r="J6520" s="221"/>
      <c r="K6520" s="221"/>
      <c r="L6520" s="221"/>
      <c r="M6520" s="221"/>
    </row>
    <row r="6521" spans="5:13">
      <c r="E6521" s="221"/>
      <c r="F6521" s="221"/>
      <c r="G6521" s="221"/>
      <c r="H6521" s="221"/>
      <c r="I6521" s="221"/>
      <c r="J6521" s="221"/>
      <c r="K6521" s="221"/>
      <c r="L6521" s="221"/>
      <c r="M6521" s="221"/>
    </row>
    <row r="6522" spans="5:13">
      <c r="E6522" s="221"/>
      <c r="F6522" s="221"/>
      <c r="G6522" s="221"/>
      <c r="H6522" s="221"/>
      <c r="I6522" s="221"/>
      <c r="J6522" s="221"/>
      <c r="K6522" s="221"/>
      <c r="L6522" s="221"/>
      <c r="M6522" s="221"/>
    </row>
    <row r="6523" spans="5:13">
      <c r="E6523" s="221"/>
      <c r="F6523" s="221"/>
      <c r="G6523" s="221"/>
      <c r="H6523" s="221"/>
      <c r="I6523" s="221"/>
      <c r="J6523" s="221"/>
      <c r="K6523" s="221"/>
      <c r="L6523" s="221"/>
      <c r="M6523" s="221"/>
    </row>
    <row r="6524" spans="5:13">
      <c r="E6524" s="221"/>
      <c r="F6524" s="221"/>
      <c r="G6524" s="221"/>
      <c r="H6524" s="221"/>
      <c r="I6524" s="221"/>
      <c r="J6524" s="221"/>
      <c r="K6524" s="221"/>
      <c r="L6524" s="221"/>
      <c r="M6524" s="221"/>
    </row>
    <row r="6525" spans="5:13">
      <c r="E6525" s="221"/>
      <c r="F6525" s="221"/>
      <c r="G6525" s="221"/>
      <c r="H6525" s="221"/>
      <c r="I6525" s="221"/>
      <c r="J6525" s="221"/>
      <c r="K6525" s="221"/>
      <c r="L6525" s="221"/>
      <c r="M6525" s="221"/>
    </row>
    <row r="6526" spans="5:13">
      <c r="E6526" s="221"/>
      <c r="F6526" s="221"/>
      <c r="G6526" s="221"/>
      <c r="H6526" s="221"/>
      <c r="I6526" s="221"/>
      <c r="J6526" s="221"/>
      <c r="K6526" s="221"/>
      <c r="L6526" s="221"/>
      <c r="M6526" s="221"/>
    </row>
    <row r="6527" spans="5:13">
      <c r="E6527" s="221"/>
      <c r="F6527" s="221"/>
      <c r="G6527" s="221"/>
      <c r="H6527" s="221"/>
      <c r="I6527" s="221"/>
      <c r="J6527" s="221"/>
      <c r="K6527" s="221"/>
      <c r="L6527" s="221"/>
      <c r="M6527" s="221"/>
    </row>
    <row r="6528" spans="5:13">
      <c r="E6528" s="221"/>
      <c r="F6528" s="221"/>
      <c r="G6528" s="221"/>
      <c r="H6528" s="221"/>
      <c r="I6528" s="221"/>
      <c r="J6528" s="221"/>
      <c r="K6528" s="221"/>
      <c r="L6528" s="221"/>
      <c r="M6528" s="221"/>
    </row>
    <row r="6529" spans="5:13">
      <c r="E6529" s="221"/>
      <c r="F6529" s="221"/>
      <c r="G6529" s="221"/>
      <c r="H6529" s="221"/>
      <c r="I6529" s="221"/>
      <c r="J6529" s="221"/>
      <c r="K6529" s="221"/>
      <c r="L6529" s="221"/>
      <c r="M6529" s="221"/>
    </row>
    <row r="6530" spans="5:13">
      <c r="E6530" s="221"/>
      <c r="F6530" s="221"/>
      <c r="G6530" s="221"/>
      <c r="H6530" s="221"/>
      <c r="I6530" s="221"/>
      <c r="J6530" s="221"/>
      <c r="K6530" s="221"/>
      <c r="L6530" s="221"/>
      <c r="M6530" s="221"/>
    </row>
    <row r="6531" spans="5:13">
      <c r="E6531" s="221"/>
      <c r="F6531" s="221"/>
      <c r="G6531" s="221"/>
      <c r="H6531" s="221"/>
      <c r="I6531" s="221"/>
      <c r="J6531" s="221"/>
      <c r="K6531" s="221"/>
      <c r="L6531" s="221"/>
      <c r="M6531" s="221"/>
    </row>
    <row r="6532" spans="5:13">
      <c r="E6532" s="221"/>
      <c r="F6532" s="221"/>
      <c r="G6532" s="221"/>
      <c r="H6532" s="221"/>
      <c r="I6532" s="221"/>
      <c r="J6532" s="221"/>
      <c r="K6532" s="221"/>
      <c r="L6532" s="221"/>
      <c r="M6532" s="221"/>
    </row>
    <row r="6533" spans="5:13">
      <c r="E6533" s="221"/>
      <c r="F6533" s="221"/>
      <c r="G6533" s="221"/>
      <c r="H6533" s="221"/>
      <c r="I6533" s="221"/>
      <c r="J6533" s="221"/>
      <c r="K6533" s="221"/>
      <c r="L6533" s="221"/>
      <c r="M6533" s="221"/>
    </row>
    <row r="6534" spans="5:13">
      <c r="E6534" s="221"/>
      <c r="F6534" s="221"/>
      <c r="G6534" s="221"/>
      <c r="H6534" s="221"/>
      <c r="I6534" s="221"/>
      <c r="J6534" s="221"/>
      <c r="K6534" s="221"/>
      <c r="L6534" s="221"/>
      <c r="M6534" s="221"/>
    </row>
    <row r="6535" spans="5:13">
      <c r="E6535" s="221"/>
      <c r="F6535" s="221"/>
      <c r="G6535" s="221"/>
      <c r="H6535" s="221"/>
      <c r="I6535" s="221"/>
      <c r="J6535" s="221"/>
      <c r="K6535" s="221"/>
      <c r="L6535" s="221"/>
      <c r="M6535" s="221"/>
    </row>
    <row r="6536" spans="5:13">
      <c r="E6536" s="221"/>
      <c r="F6536" s="221"/>
      <c r="G6536" s="221"/>
      <c r="H6536" s="221"/>
      <c r="I6536" s="221"/>
      <c r="J6536" s="221"/>
      <c r="K6536" s="221"/>
      <c r="L6536" s="221"/>
      <c r="M6536" s="221"/>
    </row>
    <row r="6537" spans="5:13">
      <c r="E6537" s="221"/>
      <c r="F6537" s="221"/>
      <c r="G6537" s="221"/>
      <c r="H6537" s="221"/>
      <c r="I6537" s="221"/>
      <c r="J6537" s="221"/>
      <c r="K6537" s="221"/>
      <c r="L6537" s="221"/>
      <c r="M6537" s="221"/>
    </row>
    <row r="6538" spans="5:13">
      <c r="E6538" s="221"/>
      <c r="F6538" s="221"/>
      <c r="G6538" s="221"/>
      <c r="H6538" s="221"/>
      <c r="I6538" s="221"/>
      <c r="J6538" s="221"/>
      <c r="K6538" s="221"/>
      <c r="L6538" s="221"/>
      <c r="M6538" s="221"/>
    </row>
    <row r="6539" spans="5:13">
      <c r="E6539" s="221"/>
      <c r="F6539" s="221"/>
      <c r="G6539" s="221"/>
      <c r="H6539" s="221"/>
      <c r="I6539" s="221"/>
      <c r="J6539" s="221"/>
      <c r="K6539" s="221"/>
      <c r="L6539" s="221"/>
      <c r="M6539" s="221"/>
    </row>
    <row r="6540" spans="5:13">
      <c r="E6540" s="221"/>
      <c r="F6540" s="221"/>
      <c r="G6540" s="221"/>
      <c r="H6540" s="221"/>
      <c r="I6540" s="221"/>
      <c r="J6540" s="221"/>
      <c r="K6540" s="221"/>
      <c r="L6540" s="221"/>
      <c r="M6540" s="221"/>
    </row>
    <row r="6541" spans="5:13">
      <c r="E6541" s="221"/>
      <c r="F6541" s="221"/>
      <c r="G6541" s="221"/>
      <c r="H6541" s="221"/>
      <c r="I6541" s="221"/>
      <c r="J6541" s="221"/>
      <c r="K6541" s="221"/>
      <c r="L6541" s="221"/>
      <c r="M6541" s="221"/>
    </row>
    <row r="6542" spans="5:13">
      <c r="E6542" s="221"/>
      <c r="F6542" s="221"/>
      <c r="G6542" s="221"/>
      <c r="H6542" s="221"/>
      <c r="I6542" s="221"/>
      <c r="J6542" s="221"/>
      <c r="K6542" s="221"/>
      <c r="L6542" s="221"/>
      <c r="M6542" s="221"/>
    </row>
    <row r="6543" spans="5:13">
      <c r="E6543" s="221"/>
      <c r="F6543" s="221"/>
      <c r="G6543" s="221"/>
      <c r="H6543" s="221"/>
      <c r="I6543" s="221"/>
      <c r="J6543" s="221"/>
      <c r="K6543" s="221"/>
      <c r="L6543" s="221"/>
      <c r="M6543" s="221"/>
    </row>
    <row r="6544" spans="5:13">
      <c r="E6544" s="221"/>
      <c r="F6544" s="221"/>
      <c r="G6544" s="221"/>
      <c r="H6544" s="221"/>
      <c r="I6544" s="221"/>
      <c r="J6544" s="221"/>
      <c r="K6544" s="221"/>
      <c r="L6544" s="221"/>
      <c r="M6544" s="221"/>
    </row>
    <row r="6545" spans="5:13">
      <c r="E6545" s="221"/>
      <c r="F6545" s="221"/>
      <c r="G6545" s="221"/>
      <c r="H6545" s="221"/>
      <c r="I6545" s="221"/>
      <c r="J6545" s="221"/>
      <c r="K6545" s="221"/>
      <c r="L6545" s="221"/>
      <c r="M6545" s="221"/>
    </row>
    <row r="6546" spans="5:13">
      <c r="E6546" s="221"/>
      <c r="F6546" s="221"/>
      <c r="G6546" s="221"/>
      <c r="H6546" s="221"/>
      <c r="I6546" s="221"/>
      <c r="J6546" s="221"/>
      <c r="K6546" s="221"/>
      <c r="L6546" s="221"/>
      <c r="M6546" s="221"/>
    </row>
    <row r="6547" spans="5:13">
      <c r="E6547" s="221"/>
      <c r="F6547" s="221"/>
      <c r="G6547" s="221"/>
      <c r="H6547" s="221"/>
      <c r="I6547" s="221"/>
      <c r="J6547" s="221"/>
      <c r="K6547" s="221"/>
      <c r="L6547" s="221"/>
      <c r="M6547" s="221"/>
    </row>
    <row r="6548" spans="5:13">
      <c r="E6548" s="221"/>
      <c r="F6548" s="221"/>
      <c r="G6548" s="221"/>
      <c r="H6548" s="221"/>
      <c r="I6548" s="221"/>
      <c r="J6548" s="221"/>
      <c r="K6548" s="221"/>
      <c r="L6548" s="221"/>
      <c r="M6548" s="221"/>
    </row>
    <row r="6549" spans="5:13">
      <c r="E6549" s="221"/>
      <c r="F6549" s="221"/>
      <c r="G6549" s="221"/>
      <c r="H6549" s="221"/>
      <c r="I6549" s="221"/>
      <c r="J6549" s="221"/>
      <c r="K6549" s="221"/>
      <c r="L6549" s="221"/>
      <c r="M6549" s="221"/>
    </row>
    <row r="6550" spans="5:13">
      <c r="E6550" s="221"/>
      <c r="F6550" s="221"/>
      <c r="G6550" s="221"/>
      <c r="H6550" s="221"/>
      <c r="I6550" s="221"/>
      <c r="J6550" s="221"/>
      <c r="K6550" s="221"/>
      <c r="L6550" s="221"/>
      <c r="M6550" s="221"/>
    </row>
    <row r="6551" spans="5:13">
      <c r="E6551" s="221"/>
      <c r="F6551" s="221"/>
      <c r="G6551" s="221"/>
      <c r="H6551" s="221"/>
      <c r="I6551" s="221"/>
      <c r="J6551" s="221"/>
      <c r="K6551" s="221"/>
      <c r="L6551" s="221"/>
      <c r="M6551" s="221"/>
    </row>
    <row r="6552" spans="5:13">
      <c r="E6552" s="221"/>
      <c r="F6552" s="221"/>
      <c r="G6552" s="221"/>
      <c r="H6552" s="221"/>
      <c r="I6552" s="221"/>
      <c r="J6552" s="221"/>
      <c r="K6552" s="221"/>
      <c r="L6552" s="221"/>
      <c r="M6552" s="221"/>
    </row>
    <row r="6553" spans="5:13">
      <c r="E6553" s="221"/>
      <c r="F6553" s="221"/>
      <c r="G6553" s="221"/>
      <c r="H6553" s="221"/>
      <c r="I6553" s="221"/>
      <c r="J6553" s="221"/>
      <c r="K6553" s="221"/>
      <c r="L6553" s="221"/>
      <c r="M6553" s="221"/>
    </row>
    <row r="6554" spans="5:13">
      <c r="E6554" s="221"/>
      <c r="F6554" s="221"/>
      <c r="G6554" s="221"/>
      <c r="H6554" s="221"/>
      <c r="I6554" s="221"/>
      <c r="J6554" s="221"/>
      <c r="K6554" s="221"/>
      <c r="L6554" s="221"/>
      <c r="M6554" s="221"/>
    </row>
    <row r="6555" spans="5:13">
      <c r="E6555" s="221"/>
      <c r="F6555" s="221"/>
      <c r="G6555" s="221"/>
      <c r="H6555" s="221"/>
      <c r="I6555" s="221"/>
      <c r="J6555" s="221"/>
      <c r="K6555" s="221"/>
      <c r="L6555" s="221"/>
      <c r="M6555" s="221"/>
    </row>
    <row r="6556" spans="5:13">
      <c r="E6556" s="221"/>
      <c r="F6556" s="221"/>
      <c r="G6556" s="221"/>
      <c r="H6556" s="221"/>
      <c r="I6556" s="221"/>
      <c r="J6556" s="221"/>
      <c r="K6556" s="221"/>
      <c r="L6556" s="221"/>
      <c r="M6556" s="221"/>
    </row>
    <row r="6557" spans="5:13">
      <c r="E6557" s="221"/>
      <c r="F6557" s="221"/>
      <c r="G6557" s="221"/>
      <c r="H6557" s="221"/>
      <c r="I6557" s="221"/>
      <c r="J6557" s="221"/>
      <c r="K6557" s="221"/>
      <c r="L6557" s="221"/>
      <c r="M6557" s="221"/>
    </row>
    <row r="6558" spans="5:13">
      <c r="E6558" s="221"/>
      <c r="F6558" s="221"/>
      <c r="G6558" s="221"/>
      <c r="H6558" s="221"/>
      <c r="I6558" s="221"/>
      <c r="J6558" s="221"/>
      <c r="K6558" s="221"/>
      <c r="L6558" s="221"/>
      <c r="M6558" s="221"/>
    </row>
    <row r="6559" spans="5:13">
      <c r="E6559" s="221"/>
      <c r="F6559" s="221"/>
      <c r="G6559" s="221"/>
      <c r="H6559" s="221"/>
      <c r="I6559" s="221"/>
      <c r="J6559" s="221"/>
      <c r="K6559" s="221"/>
      <c r="L6559" s="221"/>
      <c r="M6559" s="221"/>
    </row>
    <row r="6560" spans="5:13">
      <c r="E6560" s="221"/>
      <c r="F6560" s="221"/>
      <c r="G6560" s="221"/>
      <c r="H6560" s="221"/>
      <c r="I6560" s="221"/>
      <c r="J6560" s="221"/>
      <c r="K6560" s="221"/>
      <c r="L6560" s="221"/>
      <c r="M6560" s="221"/>
    </row>
    <row r="6561" spans="5:13">
      <c r="E6561" s="221"/>
      <c r="F6561" s="221"/>
      <c r="G6561" s="221"/>
      <c r="H6561" s="221"/>
      <c r="I6561" s="221"/>
      <c r="J6561" s="221"/>
      <c r="K6561" s="221"/>
      <c r="L6561" s="221"/>
      <c r="M6561" s="221"/>
    </row>
    <row r="6562" spans="5:13">
      <c r="E6562" s="221"/>
      <c r="F6562" s="221"/>
      <c r="G6562" s="221"/>
      <c r="H6562" s="221"/>
      <c r="I6562" s="221"/>
      <c r="J6562" s="221"/>
      <c r="K6562" s="221"/>
      <c r="L6562" s="221"/>
      <c r="M6562" s="221"/>
    </row>
    <row r="6563" spans="5:13">
      <c r="E6563" s="221"/>
      <c r="F6563" s="221"/>
      <c r="G6563" s="221"/>
      <c r="H6563" s="221"/>
      <c r="I6563" s="221"/>
      <c r="J6563" s="221"/>
      <c r="K6563" s="221"/>
      <c r="L6563" s="221"/>
      <c r="M6563" s="221"/>
    </row>
    <row r="6564" spans="5:13">
      <c r="E6564" s="221"/>
      <c r="F6564" s="221"/>
      <c r="G6564" s="221"/>
      <c r="H6564" s="221"/>
      <c r="I6564" s="221"/>
      <c r="J6564" s="221"/>
      <c r="K6564" s="221"/>
      <c r="L6564" s="221"/>
      <c r="M6564" s="221"/>
    </row>
    <row r="6565" spans="5:13">
      <c r="E6565" s="221"/>
      <c r="F6565" s="221"/>
      <c r="G6565" s="221"/>
      <c r="H6565" s="221"/>
      <c r="I6565" s="221"/>
      <c r="J6565" s="221"/>
      <c r="K6565" s="221"/>
      <c r="L6565" s="221"/>
      <c r="M6565" s="221"/>
    </row>
    <row r="6566" spans="5:13">
      <c r="E6566" s="221"/>
      <c r="F6566" s="221"/>
      <c r="G6566" s="221"/>
      <c r="H6566" s="221"/>
      <c r="I6566" s="221"/>
      <c r="J6566" s="221"/>
      <c r="K6566" s="221"/>
      <c r="L6566" s="221"/>
      <c r="M6566" s="221"/>
    </row>
    <row r="6567" spans="5:13">
      <c r="E6567" s="221"/>
      <c r="F6567" s="221"/>
      <c r="G6567" s="221"/>
      <c r="H6567" s="221"/>
      <c r="I6567" s="221"/>
      <c r="J6567" s="221"/>
      <c r="K6567" s="221"/>
      <c r="L6567" s="221"/>
      <c r="M6567" s="221"/>
    </row>
    <row r="6568" spans="5:13">
      <c r="E6568" s="221"/>
      <c r="F6568" s="221"/>
      <c r="G6568" s="221"/>
      <c r="H6568" s="221"/>
      <c r="I6568" s="221"/>
      <c r="J6568" s="221"/>
      <c r="K6568" s="221"/>
      <c r="L6568" s="221"/>
      <c r="M6568" s="221"/>
    </row>
    <row r="6569" spans="5:13">
      <c r="E6569" s="221"/>
      <c r="F6569" s="221"/>
      <c r="G6569" s="221"/>
      <c r="H6569" s="221"/>
      <c r="I6569" s="221"/>
      <c r="J6569" s="221"/>
      <c r="K6569" s="221"/>
      <c r="L6569" s="221"/>
      <c r="M6569" s="221"/>
    </row>
    <row r="6570" spans="5:13">
      <c r="E6570" s="221"/>
      <c r="F6570" s="221"/>
      <c r="G6570" s="221"/>
      <c r="H6570" s="221"/>
      <c r="I6570" s="221"/>
      <c r="J6570" s="221"/>
      <c r="K6570" s="221"/>
      <c r="L6570" s="221"/>
      <c r="M6570" s="221"/>
    </row>
    <row r="6571" spans="5:13">
      <c r="E6571" s="221"/>
      <c r="F6571" s="221"/>
      <c r="G6571" s="221"/>
      <c r="H6571" s="221"/>
      <c r="I6571" s="221"/>
      <c r="J6571" s="221"/>
      <c r="K6571" s="221"/>
      <c r="L6571" s="221"/>
      <c r="M6571" s="221"/>
    </row>
    <row r="6572" spans="5:13">
      <c r="E6572" s="221"/>
      <c r="F6572" s="221"/>
      <c r="G6572" s="221"/>
      <c r="H6572" s="221"/>
      <c r="I6572" s="221"/>
      <c r="J6572" s="221"/>
      <c r="K6572" s="221"/>
      <c r="L6572" s="221"/>
      <c r="M6572" s="221"/>
    </row>
    <row r="6573" spans="5:13">
      <c r="E6573" s="221"/>
      <c r="F6573" s="221"/>
      <c r="G6573" s="221"/>
      <c r="H6573" s="221"/>
      <c r="I6573" s="221"/>
      <c r="J6573" s="221"/>
      <c r="K6573" s="221"/>
      <c r="L6573" s="221"/>
      <c r="M6573" s="221"/>
    </row>
    <row r="6574" spans="5:13">
      <c r="E6574" s="221"/>
      <c r="F6574" s="221"/>
      <c r="G6574" s="221"/>
      <c r="H6574" s="221"/>
      <c r="I6574" s="221"/>
      <c r="J6574" s="221"/>
      <c r="K6574" s="221"/>
      <c r="L6574" s="221"/>
      <c r="M6574" s="221"/>
    </row>
    <row r="6575" spans="5:13">
      <c r="E6575" s="221"/>
      <c r="F6575" s="221"/>
      <c r="G6575" s="221"/>
      <c r="H6575" s="221"/>
      <c r="I6575" s="221"/>
      <c r="J6575" s="221"/>
      <c r="K6575" s="221"/>
      <c r="L6575" s="221"/>
      <c r="M6575" s="221"/>
    </row>
    <row r="6576" spans="5:13">
      <c r="E6576" s="221"/>
      <c r="F6576" s="221"/>
      <c r="G6576" s="221"/>
      <c r="H6576" s="221"/>
      <c r="I6576" s="221"/>
      <c r="J6576" s="221"/>
      <c r="K6576" s="221"/>
      <c r="L6576" s="221"/>
      <c r="M6576" s="221"/>
    </row>
    <row r="6577" spans="5:13">
      <c r="E6577" s="221"/>
      <c r="F6577" s="221"/>
      <c r="G6577" s="221"/>
      <c r="H6577" s="221"/>
      <c r="I6577" s="221"/>
      <c r="J6577" s="221"/>
      <c r="K6577" s="221"/>
      <c r="L6577" s="221"/>
      <c r="M6577" s="221"/>
    </row>
    <row r="6578" spans="5:13">
      <c r="E6578" s="221"/>
      <c r="F6578" s="221"/>
      <c r="G6578" s="221"/>
      <c r="H6578" s="221"/>
      <c r="I6578" s="221"/>
      <c r="J6578" s="221"/>
      <c r="K6578" s="221"/>
      <c r="L6578" s="221"/>
      <c r="M6578" s="221"/>
    </row>
    <row r="6579" spans="5:13">
      <c r="E6579" s="221"/>
      <c r="F6579" s="221"/>
      <c r="G6579" s="221"/>
      <c r="H6579" s="221"/>
      <c r="I6579" s="221"/>
      <c r="J6579" s="221"/>
      <c r="K6579" s="221"/>
      <c r="L6579" s="221"/>
      <c r="M6579" s="221"/>
    </row>
    <row r="6580" spans="5:13">
      <c r="E6580" s="221"/>
      <c r="F6580" s="221"/>
      <c r="G6580" s="221"/>
      <c r="H6580" s="221"/>
      <c r="I6580" s="221"/>
      <c r="J6580" s="221"/>
      <c r="K6580" s="221"/>
      <c r="L6580" s="221"/>
      <c r="M6580" s="221"/>
    </row>
    <row r="6581" spans="5:13">
      <c r="E6581" s="221"/>
      <c r="F6581" s="221"/>
      <c r="G6581" s="221"/>
      <c r="H6581" s="221"/>
      <c r="I6581" s="221"/>
      <c r="J6581" s="221"/>
      <c r="K6581" s="221"/>
      <c r="L6581" s="221"/>
      <c r="M6581" s="221"/>
    </row>
    <row r="6582" spans="5:13">
      <c r="E6582" s="221"/>
      <c r="F6582" s="221"/>
      <c r="G6582" s="221"/>
      <c r="H6582" s="221"/>
      <c r="I6582" s="221"/>
      <c r="J6582" s="221"/>
      <c r="K6582" s="221"/>
      <c r="L6582" s="221"/>
      <c r="M6582" s="221"/>
    </row>
    <row r="6583" spans="5:13">
      <c r="E6583" s="221"/>
      <c r="F6583" s="221"/>
      <c r="G6583" s="221"/>
      <c r="H6583" s="221"/>
      <c r="I6583" s="221"/>
      <c r="J6583" s="221"/>
      <c r="K6583" s="221"/>
      <c r="L6583" s="221"/>
      <c r="M6583" s="221"/>
    </row>
    <row r="6584" spans="5:13">
      <c r="E6584" s="221"/>
      <c r="F6584" s="221"/>
      <c r="G6584" s="221"/>
      <c r="H6584" s="221"/>
      <c r="I6584" s="221"/>
      <c r="J6584" s="221"/>
      <c r="K6584" s="221"/>
      <c r="L6584" s="221"/>
      <c r="M6584" s="221"/>
    </row>
    <row r="6585" spans="5:13">
      <c r="E6585" s="221"/>
      <c r="F6585" s="221"/>
      <c r="G6585" s="221"/>
      <c r="H6585" s="221"/>
      <c r="I6585" s="221"/>
      <c r="J6585" s="221"/>
      <c r="K6585" s="221"/>
      <c r="L6585" s="221"/>
      <c r="M6585" s="221"/>
    </row>
    <row r="6586" spans="5:13">
      <c r="E6586" s="221"/>
      <c r="F6586" s="221"/>
      <c r="G6586" s="221"/>
      <c r="H6586" s="221"/>
      <c r="I6586" s="221"/>
      <c r="J6586" s="221"/>
      <c r="K6586" s="221"/>
      <c r="L6586" s="221"/>
      <c r="M6586" s="221"/>
    </row>
    <row r="6587" spans="5:13">
      <c r="E6587" s="221"/>
      <c r="F6587" s="221"/>
      <c r="G6587" s="221"/>
      <c r="H6587" s="221"/>
      <c r="I6587" s="221"/>
      <c r="J6587" s="221"/>
      <c r="K6587" s="221"/>
      <c r="L6587" s="221"/>
      <c r="M6587" s="221"/>
    </row>
    <row r="6588" spans="5:13">
      <c r="E6588" s="221"/>
      <c r="F6588" s="221"/>
      <c r="G6588" s="221"/>
      <c r="H6588" s="221"/>
      <c r="I6588" s="221"/>
      <c r="J6588" s="221"/>
      <c r="K6588" s="221"/>
      <c r="L6588" s="221"/>
      <c r="M6588" s="221"/>
    </row>
    <row r="6589" spans="5:13">
      <c r="E6589" s="221"/>
      <c r="F6589" s="221"/>
      <c r="G6589" s="221"/>
      <c r="H6589" s="221"/>
      <c r="I6589" s="221"/>
      <c r="J6589" s="221"/>
      <c r="K6589" s="221"/>
      <c r="L6589" s="221"/>
      <c r="M6589" s="221"/>
    </row>
    <row r="6590" spans="5:13">
      <c r="E6590" s="221"/>
      <c r="F6590" s="221"/>
      <c r="G6590" s="221"/>
      <c r="H6590" s="221"/>
      <c r="I6590" s="221"/>
      <c r="J6590" s="221"/>
      <c r="K6590" s="221"/>
      <c r="L6590" s="221"/>
      <c r="M6590" s="221"/>
    </row>
    <row r="6591" spans="5:13">
      <c r="E6591" s="221"/>
      <c r="F6591" s="221"/>
      <c r="G6591" s="221"/>
      <c r="H6591" s="221"/>
      <c r="I6591" s="221"/>
      <c r="J6591" s="221"/>
      <c r="K6591" s="221"/>
      <c r="L6591" s="221"/>
      <c r="M6591" s="221"/>
    </row>
    <row r="6592" spans="5:13">
      <c r="E6592" s="221"/>
      <c r="F6592" s="221"/>
      <c r="G6592" s="221"/>
      <c r="H6592" s="221"/>
      <c r="I6592" s="221"/>
      <c r="J6592" s="221"/>
      <c r="K6592" s="221"/>
      <c r="L6592" s="221"/>
      <c r="M6592" s="221"/>
    </row>
    <row r="6593" spans="5:13">
      <c r="E6593" s="221"/>
      <c r="F6593" s="221"/>
      <c r="G6593" s="221"/>
      <c r="H6593" s="221"/>
      <c r="I6593" s="221"/>
      <c r="J6593" s="221"/>
      <c r="K6593" s="221"/>
      <c r="L6593" s="221"/>
      <c r="M6593" s="221"/>
    </row>
    <row r="6594" spans="5:13">
      <c r="E6594" s="221"/>
      <c r="F6594" s="221"/>
      <c r="G6594" s="221"/>
      <c r="H6594" s="221"/>
      <c r="I6594" s="221"/>
      <c r="J6594" s="221"/>
      <c r="K6594" s="221"/>
      <c r="L6594" s="221"/>
      <c r="M6594" s="221"/>
    </row>
    <row r="6595" spans="5:13">
      <c r="E6595" s="221"/>
      <c r="F6595" s="221"/>
      <c r="G6595" s="221"/>
      <c r="H6595" s="221"/>
      <c r="I6595" s="221"/>
      <c r="J6595" s="221"/>
      <c r="K6595" s="221"/>
      <c r="L6595" s="221"/>
      <c r="M6595" s="221"/>
    </row>
    <row r="6596" spans="5:13">
      <c r="E6596" s="221"/>
      <c r="F6596" s="221"/>
      <c r="G6596" s="221"/>
      <c r="H6596" s="221"/>
      <c r="I6596" s="221"/>
      <c r="J6596" s="221"/>
      <c r="K6596" s="221"/>
      <c r="L6596" s="221"/>
      <c r="M6596" s="221"/>
    </row>
    <row r="6597" spans="5:13">
      <c r="E6597" s="221"/>
      <c r="F6597" s="221"/>
      <c r="G6597" s="221"/>
      <c r="H6597" s="221"/>
      <c r="I6597" s="221"/>
      <c r="J6597" s="221"/>
      <c r="K6597" s="221"/>
      <c r="L6597" s="221"/>
      <c r="M6597" s="221"/>
    </row>
    <row r="6598" spans="5:13">
      <c r="E6598" s="221"/>
      <c r="F6598" s="221"/>
      <c r="G6598" s="221"/>
      <c r="H6598" s="221"/>
      <c r="I6598" s="221"/>
      <c r="J6598" s="221"/>
      <c r="K6598" s="221"/>
      <c r="L6598" s="221"/>
      <c r="M6598" s="221"/>
    </row>
    <row r="6599" spans="5:13">
      <c r="E6599" s="221"/>
      <c r="F6599" s="221"/>
      <c r="G6599" s="221"/>
      <c r="H6599" s="221"/>
      <c r="I6599" s="221"/>
      <c r="J6599" s="221"/>
      <c r="K6599" s="221"/>
      <c r="L6599" s="221"/>
      <c r="M6599" s="221"/>
    </row>
    <row r="6600" spans="5:13">
      <c r="E6600" s="221"/>
      <c r="F6600" s="221"/>
      <c r="G6600" s="221"/>
      <c r="H6600" s="221"/>
      <c r="I6600" s="221"/>
      <c r="J6600" s="221"/>
      <c r="K6600" s="221"/>
      <c r="L6600" s="221"/>
      <c r="M6600" s="221"/>
    </row>
    <row r="6601" spans="5:13">
      <c r="E6601" s="221"/>
      <c r="F6601" s="221"/>
      <c r="G6601" s="221"/>
      <c r="H6601" s="221"/>
      <c r="I6601" s="221"/>
      <c r="J6601" s="221"/>
      <c r="K6601" s="221"/>
      <c r="L6601" s="221"/>
      <c r="M6601" s="221"/>
    </row>
    <row r="6602" spans="5:13">
      <c r="E6602" s="221"/>
      <c r="F6602" s="221"/>
      <c r="G6602" s="221"/>
      <c r="H6602" s="221"/>
      <c r="I6602" s="221"/>
      <c r="J6602" s="221"/>
      <c r="K6602" s="221"/>
      <c r="L6602" s="221"/>
      <c r="M6602" s="221"/>
    </row>
    <row r="6603" spans="5:13">
      <c r="E6603" s="221"/>
      <c r="F6603" s="221"/>
      <c r="G6603" s="221"/>
      <c r="H6603" s="221"/>
      <c r="I6603" s="221"/>
      <c r="J6603" s="221"/>
      <c r="K6603" s="221"/>
      <c r="L6603" s="221"/>
      <c r="M6603" s="221"/>
    </row>
    <row r="6604" spans="5:13">
      <c r="E6604" s="221"/>
      <c r="F6604" s="221"/>
      <c r="G6604" s="221"/>
      <c r="H6604" s="221"/>
      <c r="I6604" s="221"/>
      <c r="J6604" s="221"/>
      <c r="K6604" s="221"/>
      <c r="L6604" s="221"/>
      <c r="M6604" s="221"/>
    </row>
    <row r="6605" spans="5:13">
      <c r="E6605" s="221"/>
      <c r="F6605" s="221"/>
      <c r="G6605" s="221"/>
      <c r="H6605" s="221"/>
      <c r="I6605" s="221"/>
      <c r="J6605" s="221"/>
      <c r="K6605" s="221"/>
      <c r="L6605" s="221"/>
      <c r="M6605" s="221"/>
    </row>
    <row r="6606" spans="5:13">
      <c r="E6606" s="221"/>
      <c r="F6606" s="221"/>
      <c r="G6606" s="221"/>
      <c r="H6606" s="221"/>
      <c r="I6606" s="221"/>
      <c r="J6606" s="221"/>
      <c r="K6606" s="221"/>
      <c r="L6606" s="221"/>
      <c r="M6606" s="221"/>
    </row>
    <row r="6607" spans="5:13">
      <c r="E6607" s="221"/>
      <c r="F6607" s="221"/>
      <c r="G6607" s="221"/>
      <c r="H6607" s="221"/>
      <c r="I6607" s="221"/>
      <c r="J6607" s="221"/>
      <c r="K6607" s="221"/>
      <c r="L6607" s="221"/>
      <c r="M6607" s="221"/>
    </row>
    <row r="6608" spans="5:13">
      <c r="E6608" s="221"/>
      <c r="F6608" s="221"/>
      <c r="G6608" s="221"/>
      <c r="H6608" s="221"/>
      <c r="I6608" s="221"/>
      <c r="J6608" s="221"/>
      <c r="K6608" s="221"/>
      <c r="L6608" s="221"/>
      <c r="M6608" s="221"/>
    </row>
    <row r="6609" spans="5:13">
      <c r="E6609" s="221"/>
      <c r="F6609" s="221"/>
      <c r="G6609" s="221"/>
      <c r="H6609" s="221"/>
      <c r="I6609" s="221"/>
      <c r="J6609" s="221"/>
      <c r="K6609" s="221"/>
      <c r="L6609" s="221"/>
      <c r="M6609" s="221"/>
    </row>
    <row r="6610" spans="5:13">
      <c r="E6610" s="221"/>
      <c r="F6610" s="221"/>
      <c r="G6610" s="221"/>
      <c r="H6610" s="221"/>
      <c r="I6610" s="221"/>
      <c r="J6610" s="221"/>
      <c r="K6610" s="221"/>
      <c r="L6610" s="221"/>
      <c r="M6610" s="221"/>
    </row>
    <row r="6611" spans="5:13">
      <c r="E6611" s="221"/>
      <c r="F6611" s="221"/>
      <c r="G6611" s="221"/>
      <c r="H6611" s="221"/>
      <c r="I6611" s="221"/>
      <c r="J6611" s="221"/>
      <c r="K6611" s="221"/>
      <c r="L6611" s="221"/>
      <c r="M6611" s="221"/>
    </row>
    <row r="6612" spans="5:13">
      <c r="E6612" s="221"/>
      <c r="F6612" s="221"/>
      <c r="G6612" s="221"/>
      <c r="H6612" s="221"/>
      <c r="I6612" s="221"/>
      <c r="J6612" s="221"/>
      <c r="K6612" s="221"/>
      <c r="L6612" s="221"/>
      <c r="M6612" s="221"/>
    </row>
    <row r="6613" spans="5:13">
      <c r="E6613" s="221"/>
      <c r="F6613" s="221"/>
      <c r="G6613" s="221"/>
      <c r="H6613" s="221"/>
      <c r="I6613" s="221"/>
      <c r="J6613" s="221"/>
      <c r="K6613" s="221"/>
      <c r="L6613" s="221"/>
      <c r="M6613" s="221"/>
    </row>
    <row r="6614" spans="5:13">
      <c r="E6614" s="221"/>
      <c r="F6614" s="221"/>
      <c r="G6614" s="221"/>
      <c r="H6614" s="221"/>
      <c r="I6614" s="221"/>
      <c r="J6614" s="221"/>
      <c r="K6614" s="221"/>
      <c r="L6614" s="221"/>
      <c r="M6614" s="221"/>
    </row>
    <row r="6615" spans="5:13">
      <c r="E6615" s="221"/>
      <c r="F6615" s="221"/>
      <c r="G6615" s="221"/>
      <c r="H6615" s="221"/>
      <c r="I6615" s="221"/>
      <c r="J6615" s="221"/>
      <c r="K6615" s="221"/>
      <c r="L6615" s="221"/>
      <c r="M6615" s="221"/>
    </row>
    <row r="6616" spans="5:13">
      <c r="E6616" s="221"/>
      <c r="F6616" s="221"/>
      <c r="G6616" s="221"/>
      <c r="H6616" s="221"/>
      <c r="I6616" s="221"/>
      <c r="J6616" s="221"/>
      <c r="K6616" s="221"/>
      <c r="L6616" s="221"/>
      <c r="M6616" s="221"/>
    </row>
    <row r="6617" spans="5:13">
      <c r="E6617" s="221"/>
      <c r="F6617" s="221"/>
      <c r="G6617" s="221"/>
      <c r="H6617" s="221"/>
      <c r="I6617" s="221"/>
      <c r="J6617" s="221"/>
      <c r="K6617" s="221"/>
      <c r="L6617" s="221"/>
      <c r="M6617" s="221"/>
    </row>
    <row r="6618" spans="5:13">
      <c r="E6618" s="221"/>
      <c r="F6618" s="221"/>
      <c r="G6618" s="221"/>
      <c r="H6618" s="221"/>
      <c r="I6618" s="221"/>
      <c r="J6618" s="221"/>
      <c r="K6618" s="221"/>
      <c r="L6618" s="221"/>
      <c r="M6618" s="221"/>
    </row>
    <row r="6619" spans="5:13">
      <c r="E6619" s="221"/>
      <c r="F6619" s="221"/>
      <c r="G6619" s="221"/>
      <c r="H6619" s="221"/>
      <c r="I6619" s="221"/>
      <c r="J6619" s="221"/>
      <c r="K6619" s="221"/>
      <c r="L6619" s="221"/>
      <c r="M6619" s="221"/>
    </row>
    <row r="6620" spans="5:13">
      <c r="E6620" s="221"/>
      <c r="F6620" s="221"/>
      <c r="G6620" s="221"/>
      <c r="H6620" s="221"/>
      <c r="I6620" s="221"/>
      <c r="J6620" s="221"/>
      <c r="K6620" s="221"/>
      <c r="L6620" s="221"/>
      <c r="M6620" s="221"/>
    </row>
    <row r="6621" spans="5:13">
      <c r="E6621" s="221"/>
      <c r="F6621" s="221"/>
      <c r="G6621" s="221"/>
      <c r="H6621" s="221"/>
      <c r="I6621" s="221"/>
      <c r="J6621" s="221"/>
      <c r="K6621" s="221"/>
      <c r="L6621" s="221"/>
      <c r="M6621" s="221"/>
    </row>
    <row r="6622" spans="5:13">
      <c r="E6622" s="221"/>
      <c r="F6622" s="221"/>
      <c r="G6622" s="221"/>
      <c r="H6622" s="221"/>
      <c r="I6622" s="221"/>
      <c r="J6622" s="221"/>
      <c r="K6622" s="221"/>
      <c r="L6622" s="221"/>
      <c r="M6622" s="221"/>
    </row>
    <row r="6623" spans="5:13">
      <c r="E6623" s="221"/>
      <c r="F6623" s="221"/>
      <c r="G6623" s="221"/>
      <c r="H6623" s="221"/>
      <c r="I6623" s="221"/>
      <c r="J6623" s="221"/>
      <c r="K6623" s="221"/>
      <c r="L6623" s="221"/>
      <c r="M6623" s="221"/>
    </row>
    <row r="6624" spans="5:13">
      <c r="E6624" s="221"/>
      <c r="F6624" s="221"/>
      <c r="G6624" s="221"/>
      <c r="H6624" s="221"/>
      <c r="I6624" s="221"/>
      <c r="J6624" s="221"/>
      <c r="K6624" s="221"/>
      <c r="L6624" s="221"/>
      <c r="M6624" s="221"/>
    </row>
    <row r="6625" spans="5:13">
      <c r="E6625" s="221"/>
      <c r="F6625" s="221"/>
      <c r="G6625" s="221"/>
      <c r="H6625" s="221"/>
      <c r="I6625" s="221"/>
      <c r="J6625" s="221"/>
      <c r="K6625" s="221"/>
      <c r="L6625" s="221"/>
      <c r="M6625" s="221"/>
    </row>
    <row r="6626" spans="5:13">
      <c r="E6626" s="221"/>
      <c r="F6626" s="221"/>
      <c r="G6626" s="221"/>
      <c r="H6626" s="221"/>
      <c r="I6626" s="221"/>
      <c r="J6626" s="221"/>
      <c r="K6626" s="221"/>
      <c r="L6626" s="221"/>
      <c r="M6626" s="221"/>
    </row>
    <row r="6627" spans="5:13">
      <c r="E6627" s="221"/>
      <c r="F6627" s="221"/>
      <c r="G6627" s="221"/>
      <c r="H6627" s="221"/>
      <c r="I6627" s="221"/>
      <c r="J6627" s="221"/>
      <c r="K6627" s="221"/>
      <c r="L6627" s="221"/>
      <c r="M6627" s="221"/>
    </row>
    <row r="6628" spans="5:13">
      <c r="E6628" s="221"/>
      <c r="F6628" s="221"/>
      <c r="G6628" s="221"/>
      <c r="H6628" s="221"/>
      <c r="I6628" s="221"/>
      <c r="J6628" s="221"/>
      <c r="K6628" s="221"/>
      <c r="L6628" s="221"/>
      <c r="M6628" s="221"/>
    </row>
    <row r="6629" spans="5:13">
      <c r="E6629" s="221"/>
      <c r="F6629" s="221"/>
      <c r="G6629" s="221"/>
      <c r="H6629" s="221"/>
      <c r="I6629" s="221"/>
      <c r="J6629" s="221"/>
      <c r="K6629" s="221"/>
      <c r="L6629" s="221"/>
      <c r="M6629" s="221"/>
    </row>
    <row r="6630" spans="5:13">
      <c r="E6630" s="221"/>
      <c r="F6630" s="221"/>
      <c r="G6630" s="221"/>
      <c r="H6630" s="221"/>
      <c r="I6630" s="221"/>
      <c r="J6630" s="221"/>
      <c r="K6630" s="221"/>
      <c r="L6630" s="221"/>
      <c r="M6630" s="221"/>
    </row>
    <row r="6631" spans="5:13">
      <c r="E6631" s="221"/>
      <c r="F6631" s="221"/>
      <c r="G6631" s="221"/>
      <c r="H6631" s="221"/>
      <c r="I6631" s="221"/>
      <c r="J6631" s="221"/>
      <c r="K6631" s="221"/>
      <c r="L6631" s="221"/>
      <c r="M6631" s="221"/>
    </row>
    <row r="6632" spans="5:13">
      <c r="E6632" s="221"/>
      <c r="F6632" s="221"/>
      <c r="G6632" s="221"/>
      <c r="H6632" s="221"/>
      <c r="I6632" s="221"/>
      <c r="J6632" s="221"/>
      <c r="K6632" s="221"/>
      <c r="L6632" s="221"/>
      <c r="M6632" s="221"/>
    </row>
    <row r="6633" spans="5:13">
      <c r="E6633" s="221"/>
      <c r="F6633" s="221"/>
      <c r="G6633" s="221"/>
      <c r="H6633" s="221"/>
      <c r="I6633" s="221"/>
      <c r="J6633" s="221"/>
      <c r="K6633" s="221"/>
      <c r="L6633" s="221"/>
      <c r="M6633" s="221"/>
    </row>
    <row r="6634" spans="5:13">
      <c r="E6634" s="221"/>
      <c r="F6634" s="221"/>
      <c r="G6634" s="221"/>
      <c r="H6634" s="221"/>
      <c r="I6634" s="221"/>
      <c r="J6634" s="221"/>
      <c r="K6634" s="221"/>
      <c r="L6634" s="221"/>
      <c r="M6634" s="221"/>
    </row>
    <row r="6635" spans="5:13">
      <c r="E6635" s="221"/>
      <c r="F6635" s="221"/>
      <c r="G6635" s="221"/>
      <c r="H6635" s="221"/>
      <c r="I6635" s="221"/>
      <c r="J6635" s="221"/>
      <c r="K6635" s="221"/>
      <c r="L6635" s="221"/>
      <c r="M6635" s="221"/>
    </row>
    <row r="6636" spans="5:13">
      <c r="E6636" s="221"/>
      <c r="F6636" s="221"/>
      <c r="G6636" s="221"/>
      <c r="H6636" s="221"/>
      <c r="I6636" s="221"/>
      <c r="J6636" s="221"/>
      <c r="K6636" s="221"/>
      <c r="L6636" s="221"/>
      <c r="M6636" s="221"/>
    </row>
    <row r="6637" spans="5:13">
      <c r="E6637" s="221"/>
      <c r="F6637" s="221"/>
      <c r="G6637" s="221"/>
      <c r="H6637" s="221"/>
      <c r="I6637" s="221"/>
      <c r="J6637" s="221"/>
      <c r="K6637" s="221"/>
      <c r="L6637" s="221"/>
      <c r="M6637" s="221"/>
    </row>
    <row r="6638" spans="5:13">
      <c r="E6638" s="221"/>
      <c r="F6638" s="221"/>
      <c r="G6638" s="221"/>
      <c r="H6638" s="221"/>
      <c r="I6638" s="221"/>
      <c r="J6638" s="221"/>
      <c r="K6638" s="221"/>
      <c r="L6638" s="221"/>
      <c r="M6638" s="221"/>
    </row>
    <row r="6639" spans="5:13">
      <c r="E6639" s="221"/>
      <c r="F6639" s="221"/>
      <c r="G6639" s="221"/>
      <c r="H6639" s="221"/>
      <c r="I6639" s="221"/>
      <c r="J6639" s="221"/>
      <c r="K6639" s="221"/>
      <c r="L6639" s="221"/>
      <c r="M6639" s="221"/>
    </row>
    <row r="6640" spans="5:13">
      <c r="E6640" s="221"/>
      <c r="F6640" s="221"/>
      <c r="G6640" s="221"/>
      <c r="H6640" s="221"/>
      <c r="I6640" s="221"/>
      <c r="J6640" s="221"/>
      <c r="K6640" s="221"/>
      <c r="L6640" s="221"/>
      <c r="M6640" s="221"/>
    </row>
    <row r="6641" spans="5:13">
      <c r="E6641" s="221"/>
      <c r="F6641" s="221"/>
      <c r="G6641" s="221"/>
      <c r="H6641" s="221"/>
      <c r="I6641" s="221"/>
      <c r="J6641" s="221"/>
      <c r="K6641" s="221"/>
      <c r="L6641" s="221"/>
      <c r="M6641" s="221"/>
    </row>
    <row r="6642" spans="5:13">
      <c r="E6642" s="221"/>
      <c r="F6642" s="221"/>
      <c r="G6642" s="221"/>
      <c r="H6642" s="221"/>
      <c r="I6642" s="221"/>
      <c r="J6642" s="221"/>
      <c r="K6642" s="221"/>
      <c r="L6642" s="221"/>
      <c r="M6642" s="221"/>
    </row>
    <row r="6643" spans="5:13">
      <c r="E6643" s="221"/>
      <c r="F6643" s="221"/>
      <c r="G6643" s="221"/>
      <c r="H6643" s="221"/>
      <c r="I6643" s="221"/>
      <c r="J6643" s="221"/>
      <c r="K6643" s="221"/>
      <c r="L6643" s="221"/>
      <c r="M6643" s="221"/>
    </row>
    <row r="6644" spans="5:13">
      <c r="E6644" s="221"/>
      <c r="F6644" s="221"/>
      <c r="G6644" s="221"/>
      <c r="H6644" s="221"/>
      <c r="I6644" s="221"/>
      <c r="J6644" s="221"/>
      <c r="K6644" s="221"/>
      <c r="L6644" s="221"/>
      <c r="M6644" s="221"/>
    </row>
    <row r="6645" spans="5:13">
      <c r="E6645" s="221"/>
      <c r="F6645" s="221"/>
      <c r="G6645" s="221"/>
      <c r="H6645" s="221"/>
      <c r="I6645" s="221"/>
      <c r="J6645" s="221"/>
      <c r="K6645" s="221"/>
      <c r="L6645" s="221"/>
      <c r="M6645" s="221"/>
    </row>
    <row r="6646" spans="5:13">
      <c r="E6646" s="221"/>
      <c r="F6646" s="221"/>
      <c r="G6646" s="221"/>
      <c r="H6646" s="221"/>
      <c r="I6646" s="221"/>
      <c r="J6646" s="221"/>
      <c r="K6646" s="221"/>
      <c r="L6646" s="221"/>
      <c r="M6646" s="221"/>
    </row>
    <row r="6647" spans="5:13">
      <c r="E6647" s="221"/>
      <c r="F6647" s="221"/>
      <c r="G6647" s="221"/>
      <c r="H6647" s="221"/>
      <c r="I6647" s="221"/>
      <c r="J6647" s="221"/>
      <c r="K6647" s="221"/>
      <c r="L6647" s="221"/>
      <c r="M6647" s="221"/>
    </row>
    <row r="6648" spans="5:13">
      <c r="E6648" s="221"/>
      <c r="F6648" s="221"/>
      <c r="G6648" s="221"/>
      <c r="H6648" s="221"/>
      <c r="I6648" s="221"/>
      <c r="J6648" s="221"/>
      <c r="K6648" s="221"/>
      <c r="L6648" s="221"/>
      <c r="M6648" s="221"/>
    </row>
    <row r="6649" spans="5:13">
      <c r="E6649" s="221"/>
      <c r="F6649" s="221"/>
      <c r="G6649" s="221"/>
      <c r="H6649" s="221"/>
      <c r="I6649" s="221"/>
      <c r="J6649" s="221"/>
      <c r="K6649" s="221"/>
      <c r="L6649" s="221"/>
      <c r="M6649" s="221"/>
    </row>
    <row r="6650" spans="5:13">
      <c r="E6650" s="221"/>
      <c r="F6650" s="221"/>
      <c r="G6650" s="221"/>
      <c r="H6650" s="221"/>
      <c r="I6650" s="221"/>
      <c r="J6650" s="221"/>
      <c r="K6650" s="221"/>
      <c r="L6650" s="221"/>
      <c r="M6650" s="221"/>
    </row>
    <row r="6651" spans="5:13">
      <c r="E6651" s="221"/>
      <c r="F6651" s="221"/>
      <c r="G6651" s="221"/>
      <c r="H6651" s="221"/>
      <c r="I6651" s="221"/>
      <c r="J6651" s="221"/>
      <c r="K6651" s="221"/>
      <c r="L6651" s="221"/>
      <c r="M6651" s="221"/>
    </row>
    <row r="6652" spans="5:13">
      <c r="E6652" s="221"/>
      <c r="F6652" s="221"/>
      <c r="G6652" s="221"/>
      <c r="H6652" s="221"/>
      <c r="I6652" s="221"/>
      <c r="J6652" s="221"/>
      <c r="K6652" s="221"/>
      <c r="L6652" s="221"/>
      <c r="M6652" s="221"/>
    </row>
    <row r="6653" spans="5:13">
      <c r="E6653" s="221"/>
      <c r="F6653" s="221"/>
      <c r="G6653" s="221"/>
      <c r="H6653" s="221"/>
      <c r="I6653" s="221"/>
      <c r="J6653" s="221"/>
      <c r="K6653" s="221"/>
      <c r="L6653" s="221"/>
      <c r="M6653" s="221"/>
    </row>
    <row r="6654" spans="5:13">
      <c r="E6654" s="221"/>
      <c r="F6654" s="221"/>
      <c r="G6654" s="221"/>
      <c r="H6654" s="221"/>
      <c r="I6654" s="221"/>
      <c r="J6654" s="221"/>
      <c r="K6654" s="221"/>
      <c r="L6654" s="221"/>
      <c r="M6654" s="221"/>
    </row>
    <row r="6655" spans="5:13">
      <c r="E6655" s="221"/>
      <c r="F6655" s="221"/>
      <c r="G6655" s="221"/>
      <c r="H6655" s="221"/>
      <c r="I6655" s="221"/>
      <c r="J6655" s="221"/>
      <c r="K6655" s="221"/>
      <c r="L6655" s="221"/>
      <c r="M6655" s="221"/>
    </row>
    <row r="6656" spans="5:13">
      <c r="E6656" s="221"/>
      <c r="F6656" s="221"/>
      <c r="G6656" s="221"/>
      <c r="H6656" s="221"/>
      <c r="I6656" s="221"/>
      <c r="J6656" s="221"/>
      <c r="K6656" s="221"/>
      <c r="L6656" s="221"/>
      <c r="M6656" s="221"/>
    </row>
    <row r="6657" spans="5:13">
      <c r="E6657" s="221"/>
      <c r="F6657" s="221"/>
      <c r="G6657" s="221"/>
      <c r="H6657" s="221"/>
      <c r="I6657" s="221"/>
      <c r="J6657" s="221"/>
      <c r="K6657" s="221"/>
      <c r="L6657" s="221"/>
      <c r="M6657" s="221"/>
    </row>
    <row r="6658" spans="5:13">
      <c r="E6658" s="221"/>
      <c r="F6658" s="221"/>
      <c r="G6658" s="221"/>
      <c r="H6658" s="221"/>
      <c r="I6658" s="221"/>
      <c r="J6658" s="221"/>
      <c r="K6658" s="221"/>
      <c r="L6658" s="221"/>
      <c r="M6658" s="221"/>
    </row>
    <row r="6659" spans="5:13">
      <c r="E6659" s="221"/>
      <c r="F6659" s="221"/>
      <c r="G6659" s="221"/>
      <c r="H6659" s="221"/>
      <c r="I6659" s="221"/>
      <c r="J6659" s="221"/>
      <c r="K6659" s="221"/>
      <c r="L6659" s="221"/>
      <c r="M6659" s="221"/>
    </row>
    <row r="6660" spans="5:13">
      <c r="E6660" s="221"/>
      <c r="F6660" s="221"/>
      <c r="G6660" s="221"/>
      <c r="H6660" s="221"/>
      <c r="I6660" s="221"/>
      <c r="J6660" s="221"/>
      <c r="K6660" s="221"/>
      <c r="L6660" s="221"/>
      <c r="M6660" s="221"/>
    </row>
    <row r="6661" spans="5:13">
      <c r="E6661" s="221"/>
      <c r="F6661" s="221"/>
      <c r="G6661" s="221"/>
      <c r="H6661" s="221"/>
      <c r="I6661" s="221"/>
      <c r="J6661" s="221"/>
      <c r="K6661" s="221"/>
      <c r="L6661" s="221"/>
      <c r="M6661" s="221"/>
    </row>
    <row r="6662" spans="5:13">
      <c r="E6662" s="221"/>
      <c r="F6662" s="221"/>
      <c r="G6662" s="221"/>
      <c r="H6662" s="221"/>
      <c r="I6662" s="221"/>
      <c r="J6662" s="221"/>
      <c r="K6662" s="221"/>
      <c r="L6662" s="221"/>
      <c r="M6662" s="221"/>
    </row>
    <row r="6663" spans="5:13">
      <c r="E6663" s="221"/>
      <c r="F6663" s="221"/>
      <c r="G6663" s="221"/>
      <c r="H6663" s="221"/>
      <c r="I6663" s="221"/>
      <c r="J6663" s="221"/>
      <c r="K6663" s="221"/>
      <c r="L6663" s="221"/>
      <c r="M6663" s="221"/>
    </row>
    <row r="6664" spans="5:13">
      <c r="E6664" s="221"/>
      <c r="F6664" s="221"/>
      <c r="G6664" s="221"/>
      <c r="H6664" s="221"/>
      <c r="I6664" s="221"/>
      <c r="J6664" s="221"/>
      <c r="K6664" s="221"/>
      <c r="L6664" s="221"/>
      <c r="M6664" s="221"/>
    </row>
    <row r="6665" spans="5:13">
      <c r="E6665" s="221"/>
      <c r="F6665" s="221"/>
      <c r="G6665" s="221"/>
      <c r="H6665" s="221"/>
      <c r="I6665" s="221"/>
      <c r="J6665" s="221"/>
      <c r="K6665" s="221"/>
      <c r="L6665" s="221"/>
      <c r="M6665" s="221"/>
    </row>
    <row r="6666" spans="5:13">
      <c r="E6666" s="221"/>
      <c r="F6666" s="221"/>
      <c r="G6666" s="221"/>
      <c r="H6666" s="221"/>
      <c r="I6666" s="221"/>
      <c r="J6666" s="221"/>
      <c r="K6666" s="221"/>
      <c r="L6666" s="221"/>
      <c r="M6666" s="221"/>
    </row>
    <row r="6667" spans="5:13">
      <c r="E6667" s="221"/>
      <c r="F6667" s="221"/>
      <c r="G6667" s="221"/>
      <c r="H6667" s="221"/>
      <c r="I6667" s="221"/>
      <c r="J6667" s="221"/>
      <c r="K6667" s="221"/>
      <c r="L6667" s="221"/>
      <c r="M6667" s="221"/>
    </row>
    <row r="6668" spans="5:13">
      <c r="E6668" s="221"/>
      <c r="F6668" s="221"/>
      <c r="G6668" s="221"/>
      <c r="H6668" s="221"/>
      <c r="I6668" s="221"/>
      <c r="J6668" s="221"/>
      <c r="K6668" s="221"/>
      <c r="L6668" s="221"/>
      <c r="M6668" s="221"/>
    </row>
    <row r="6669" spans="5:13">
      <c r="E6669" s="221"/>
      <c r="F6669" s="221"/>
      <c r="G6669" s="221"/>
      <c r="H6669" s="221"/>
      <c r="I6669" s="221"/>
      <c r="J6669" s="221"/>
      <c r="K6669" s="221"/>
      <c r="L6669" s="221"/>
      <c r="M6669" s="221"/>
    </row>
    <row r="6670" spans="5:13">
      <c r="E6670" s="221"/>
      <c r="F6670" s="221"/>
      <c r="G6670" s="221"/>
      <c r="H6670" s="221"/>
      <c r="I6670" s="221"/>
      <c r="J6670" s="221"/>
      <c r="K6670" s="221"/>
      <c r="L6670" s="221"/>
      <c r="M6670" s="221"/>
    </row>
    <row r="6671" spans="5:13">
      <c r="E6671" s="221"/>
      <c r="F6671" s="221"/>
      <c r="G6671" s="221"/>
      <c r="H6671" s="221"/>
      <c r="I6671" s="221"/>
      <c r="J6671" s="221"/>
      <c r="K6671" s="221"/>
      <c r="L6671" s="221"/>
      <c r="M6671" s="221"/>
    </row>
    <row r="6672" spans="5:13">
      <c r="E6672" s="221"/>
      <c r="F6672" s="221"/>
      <c r="G6672" s="221"/>
      <c r="H6672" s="221"/>
      <c r="I6672" s="221"/>
      <c r="J6672" s="221"/>
      <c r="K6672" s="221"/>
      <c r="L6672" s="221"/>
      <c r="M6672" s="221"/>
    </row>
    <row r="6673" spans="5:13">
      <c r="E6673" s="221"/>
      <c r="F6673" s="221"/>
      <c r="G6673" s="221"/>
      <c r="H6673" s="221"/>
      <c r="I6673" s="221"/>
      <c r="J6673" s="221"/>
      <c r="K6673" s="221"/>
      <c r="L6673" s="221"/>
      <c r="M6673" s="221"/>
    </row>
    <row r="6674" spans="5:13">
      <c r="E6674" s="221"/>
      <c r="F6674" s="221"/>
      <c r="G6674" s="221"/>
      <c r="H6674" s="221"/>
      <c r="I6674" s="221"/>
      <c r="J6674" s="221"/>
      <c r="K6674" s="221"/>
      <c r="L6674" s="221"/>
      <c r="M6674" s="221"/>
    </row>
    <row r="6675" spans="5:13">
      <c r="E6675" s="221"/>
      <c r="F6675" s="221"/>
      <c r="G6675" s="221"/>
      <c r="H6675" s="221"/>
      <c r="I6675" s="221"/>
      <c r="J6675" s="221"/>
      <c r="K6675" s="221"/>
      <c r="L6675" s="221"/>
      <c r="M6675" s="221"/>
    </row>
    <row r="6676" spans="5:13">
      <c r="E6676" s="221"/>
      <c r="F6676" s="221"/>
      <c r="G6676" s="221"/>
      <c r="H6676" s="221"/>
      <c r="I6676" s="221"/>
      <c r="J6676" s="221"/>
      <c r="K6676" s="221"/>
      <c r="L6676" s="221"/>
      <c r="M6676" s="221"/>
    </row>
    <row r="6677" spans="5:13">
      <c r="E6677" s="221"/>
      <c r="F6677" s="221"/>
      <c r="G6677" s="221"/>
      <c r="H6677" s="221"/>
      <c r="I6677" s="221"/>
      <c r="J6677" s="221"/>
      <c r="K6677" s="221"/>
      <c r="L6677" s="221"/>
      <c r="M6677" s="221"/>
    </row>
    <row r="6678" spans="5:13">
      <c r="E6678" s="221"/>
      <c r="F6678" s="221"/>
      <c r="G6678" s="221"/>
      <c r="H6678" s="221"/>
      <c r="I6678" s="221"/>
      <c r="J6678" s="221"/>
      <c r="K6678" s="221"/>
      <c r="L6678" s="221"/>
      <c r="M6678" s="221"/>
    </row>
    <row r="6679" spans="5:13">
      <c r="E6679" s="221"/>
      <c r="F6679" s="221"/>
      <c r="G6679" s="221"/>
      <c r="H6679" s="221"/>
      <c r="I6679" s="221"/>
      <c r="J6679" s="221"/>
      <c r="K6679" s="221"/>
      <c r="L6679" s="221"/>
      <c r="M6679" s="221"/>
    </row>
    <row r="6680" spans="5:13">
      <c r="E6680" s="221"/>
      <c r="F6680" s="221"/>
      <c r="G6680" s="221"/>
      <c r="H6680" s="221"/>
      <c r="I6680" s="221"/>
      <c r="J6680" s="221"/>
      <c r="K6680" s="221"/>
      <c r="L6680" s="221"/>
      <c r="M6680" s="221"/>
    </row>
    <row r="6681" spans="5:13">
      <c r="E6681" s="221"/>
      <c r="F6681" s="221"/>
      <c r="G6681" s="221"/>
      <c r="H6681" s="221"/>
      <c r="I6681" s="221"/>
      <c r="J6681" s="221"/>
      <c r="K6681" s="221"/>
      <c r="L6681" s="221"/>
      <c r="M6681" s="221"/>
    </row>
    <row r="6682" spans="5:13">
      <c r="E6682" s="221"/>
      <c r="F6682" s="221"/>
      <c r="G6682" s="221"/>
      <c r="H6682" s="221"/>
      <c r="I6682" s="221"/>
      <c r="J6682" s="221"/>
      <c r="K6682" s="221"/>
      <c r="L6682" s="221"/>
      <c r="M6682" s="221"/>
    </row>
    <row r="6683" spans="5:13">
      <c r="E6683" s="221"/>
      <c r="F6683" s="221"/>
      <c r="G6683" s="221"/>
      <c r="H6683" s="221"/>
      <c r="I6683" s="221"/>
      <c r="J6683" s="221"/>
      <c r="K6683" s="221"/>
      <c r="L6683" s="221"/>
      <c r="M6683" s="221"/>
    </row>
    <row r="6684" spans="5:13">
      <c r="E6684" s="221"/>
      <c r="F6684" s="221"/>
      <c r="G6684" s="221"/>
      <c r="H6684" s="221"/>
      <c r="I6684" s="221"/>
      <c r="J6684" s="221"/>
      <c r="K6684" s="221"/>
      <c r="L6684" s="221"/>
      <c r="M6684" s="221"/>
    </row>
    <row r="6685" spans="5:13">
      <c r="E6685" s="221"/>
      <c r="F6685" s="221"/>
      <c r="G6685" s="221"/>
      <c r="H6685" s="221"/>
      <c r="I6685" s="221"/>
      <c r="J6685" s="221"/>
      <c r="K6685" s="221"/>
      <c r="L6685" s="221"/>
      <c r="M6685" s="221"/>
    </row>
    <row r="6686" spans="5:13">
      <c r="E6686" s="221"/>
      <c r="F6686" s="221"/>
      <c r="G6686" s="221"/>
      <c r="H6686" s="221"/>
      <c r="I6686" s="221"/>
      <c r="J6686" s="221"/>
      <c r="K6686" s="221"/>
      <c r="L6686" s="221"/>
      <c r="M6686" s="221"/>
    </row>
    <row r="6687" spans="5:13">
      <c r="E6687" s="221"/>
      <c r="F6687" s="221"/>
      <c r="G6687" s="221"/>
      <c r="H6687" s="221"/>
      <c r="I6687" s="221"/>
      <c r="J6687" s="221"/>
      <c r="K6687" s="221"/>
      <c r="L6687" s="221"/>
      <c r="M6687" s="221"/>
    </row>
    <row r="6688" spans="5:13">
      <c r="E6688" s="221"/>
      <c r="F6688" s="221"/>
      <c r="G6688" s="221"/>
      <c r="H6688" s="221"/>
      <c r="I6688" s="221"/>
      <c r="J6688" s="221"/>
      <c r="K6688" s="221"/>
      <c r="L6688" s="221"/>
      <c r="M6688" s="221"/>
    </row>
    <row r="6689" spans="5:13">
      <c r="E6689" s="221"/>
      <c r="F6689" s="221"/>
      <c r="G6689" s="221"/>
      <c r="H6689" s="221"/>
      <c r="I6689" s="221"/>
      <c r="J6689" s="221"/>
      <c r="K6689" s="221"/>
      <c r="L6689" s="221"/>
      <c r="M6689" s="221"/>
    </row>
    <row r="6690" spans="5:13">
      <c r="E6690" s="221"/>
      <c r="F6690" s="221"/>
      <c r="G6690" s="221"/>
      <c r="H6690" s="221"/>
      <c r="I6690" s="221"/>
      <c r="J6690" s="221"/>
      <c r="K6690" s="221"/>
      <c r="L6690" s="221"/>
      <c r="M6690" s="221"/>
    </row>
    <row r="6691" spans="5:13">
      <c r="E6691" s="221"/>
      <c r="F6691" s="221"/>
      <c r="G6691" s="221"/>
      <c r="H6691" s="221"/>
      <c r="I6691" s="221"/>
      <c r="J6691" s="221"/>
      <c r="K6691" s="221"/>
      <c r="L6691" s="221"/>
      <c r="M6691" s="221"/>
    </row>
    <row r="6692" spans="5:13">
      <c r="E6692" s="221"/>
      <c r="F6692" s="221"/>
      <c r="G6692" s="221"/>
      <c r="H6692" s="221"/>
      <c r="I6692" s="221"/>
      <c r="J6692" s="221"/>
      <c r="K6692" s="221"/>
      <c r="L6692" s="221"/>
      <c r="M6692" s="221"/>
    </row>
    <row r="6693" spans="5:13">
      <c r="E6693" s="221"/>
      <c r="F6693" s="221"/>
      <c r="G6693" s="221"/>
      <c r="H6693" s="221"/>
      <c r="I6693" s="221"/>
      <c r="J6693" s="221"/>
      <c r="K6693" s="221"/>
      <c r="L6693" s="221"/>
      <c r="M6693" s="221"/>
    </row>
    <row r="6694" spans="5:13">
      <c r="E6694" s="221"/>
      <c r="F6694" s="221"/>
      <c r="G6694" s="221"/>
      <c r="H6694" s="221"/>
      <c r="I6694" s="221"/>
      <c r="J6694" s="221"/>
      <c r="K6694" s="221"/>
      <c r="L6694" s="221"/>
      <c r="M6694" s="221"/>
    </row>
    <row r="6695" spans="5:13">
      <c r="E6695" s="221"/>
      <c r="F6695" s="221"/>
      <c r="G6695" s="221"/>
      <c r="H6695" s="221"/>
      <c r="I6695" s="221"/>
      <c r="J6695" s="221"/>
      <c r="K6695" s="221"/>
      <c r="L6695" s="221"/>
      <c r="M6695" s="221"/>
    </row>
    <row r="6696" spans="5:13">
      <c r="E6696" s="221"/>
      <c r="F6696" s="221"/>
      <c r="G6696" s="221"/>
      <c r="H6696" s="221"/>
      <c r="I6696" s="221"/>
      <c r="J6696" s="221"/>
      <c r="K6696" s="221"/>
      <c r="L6696" s="221"/>
      <c r="M6696" s="221"/>
    </row>
    <row r="6697" spans="5:13">
      <c r="E6697" s="221"/>
      <c r="F6697" s="221"/>
      <c r="G6697" s="221"/>
      <c r="H6697" s="221"/>
      <c r="I6697" s="221"/>
      <c r="J6697" s="221"/>
      <c r="K6697" s="221"/>
      <c r="L6697" s="221"/>
      <c r="M6697" s="221"/>
    </row>
    <row r="6698" spans="5:13">
      <c r="E6698" s="221"/>
      <c r="F6698" s="221"/>
      <c r="G6698" s="221"/>
      <c r="H6698" s="221"/>
      <c r="I6698" s="221"/>
      <c r="J6698" s="221"/>
      <c r="K6698" s="221"/>
      <c r="L6698" s="221"/>
      <c r="M6698" s="221"/>
    </row>
    <row r="6699" spans="5:13">
      <c r="E6699" s="221"/>
      <c r="F6699" s="221"/>
      <c r="G6699" s="221"/>
      <c r="H6699" s="221"/>
      <c r="I6699" s="221"/>
      <c r="J6699" s="221"/>
      <c r="K6699" s="221"/>
      <c r="L6699" s="221"/>
      <c r="M6699" s="221"/>
    </row>
    <row r="6700" spans="5:13">
      <c r="E6700" s="221"/>
      <c r="F6700" s="221"/>
      <c r="G6700" s="221"/>
      <c r="H6700" s="221"/>
      <c r="I6700" s="221"/>
      <c r="J6700" s="221"/>
      <c r="K6700" s="221"/>
      <c r="L6700" s="221"/>
      <c r="M6700" s="221"/>
    </row>
    <row r="6701" spans="5:13">
      <c r="E6701" s="221"/>
      <c r="F6701" s="221"/>
      <c r="G6701" s="221"/>
      <c r="H6701" s="221"/>
      <c r="I6701" s="221"/>
      <c r="J6701" s="221"/>
      <c r="K6701" s="221"/>
      <c r="L6701" s="221"/>
      <c r="M6701" s="221"/>
    </row>
    <row r="6702" spans="5:13">
      <c r="E6702" s="221"/>
      <c r="F6702" s="221"/>
      <c r="G6702" s="221"/>
      <c r="H6702" s="221"/>
      <c r="I6702" s="221"/>
      <c r="J6702" s="221"/>
      <c r="K6702" s="221"/>
      <c r="L6702" s="221"/>
      <c r="M6702" s="221"/>
    </row>
    <row r="6703" spans="5:13">
      <c r="E6703" s="221"/>
      <c r="F6703" s="221"/>
      <c r="G6703" s="221"/>
      <c r="H6703" s="221"/>
      <c r="I6703" s="221"/>
      <c r="J6703" s="221"/>
      <c r="K6703" s="221"/>
      <c r="L6703" s="221"/>
      <c r="M6703" s="221"/>
    </row>
    <row r="6704" spans="5:13">
      <c r="E6704" s="221"/>
      <c r="F6704" s="221"/>
      <c r="G6704" s="221"/>
      <c r="H6704" s="221"/>
      <c r="I6704" s="221"/>
      <c r="J6704" s="221"/>
      <c r="K6704" s="221"/>
      <c r="L6704" s="221"/>
      <c r="M6704" s="221"/>
    </row>
    <row r="6705" spans="5:13">
      <c r="E6705" s="221"/>
      <c r="F6705" s="221"/>
      <c r="G6705" s="221"/>
      <c r="H6705" s="221"/>
      <c r="I6705" s="221"/>
      <c r="J6705" s="221"/>
      <c r="K6705" s="221"/>
      <c r="L6705" s="221"/>
      <c r="M6705" s="221"/>
    </row>
    <row r="6706" spans="5:13">
      <c r="E6706" s="221"/>
      <c r="F6706" s="221"/>
      <c r="G6706" s="221"/>
      <c r="H6706" s="221"/>
      <c r="I6706" s="221"/>
      <c r="J6706" s="221"/>
      <c r="K6706" s="221"/>
      <c r="L6706" s="221"/>
      <c r="M6706" s="221"/>
    </row>
    <row r="6707" spans="5:13">
      <c r="E6707" s="221"/>
      <c r="F6707" s="221"/>
      <c r="G6707" s="221"/>
      <c r="H6707" s="221"/>
      <c r="I6707" s="221"/>
      <c r="J6707" s="221"/>
      <c r="K6707" s="221"/>
      <c r="L6707" s="221"/>
      <c r="M6707" s="221"/>
    </row>
    <row r="6708" spans="5:13">
      <c r="E6708" s="221"/>
      <c r="F6708" s="221"/>
      <c r="G6708" s="221"/>
      <c r="H6708" s="221"/>
      <c r="I6708" s="221"/>
      <c r="J6708" s="221"/>
      <c r="K6708" s="221"/>
      <c r="L6708" s="221"/>
      <c r="M6708" s="221"/>
    </row>
    <row r="6709" spans="5:13">
      <c r="E6709" s="221"/>
      <c r="F6709" s="221"/>
      <c r="G6709" s="221"/>
      <c r="H6709" s="221"/>
      <c r="I6709" s="221"/>
      <c r="J6709" s="221"/>
      <c r="K6709" s="221"/>
      <c r="L6709" s="221"/>
      <c r="M6709" s="221"/>
    </row>
    <row r="6710" spans="5:13">
      <c r="E6710" s="221"/>
      <c r="F6710" s="221"/>
      <c r="G6710" s="221"/>
      <c r="H6710" s="221"/>
      <c r="I6710" s="221"/>
      <c r="J6710" s="221"/>
      <c r="K6710" s="221"/>
      <c r="L6710" s="221"/>
      <c r="M6710" s="221"/>
    </row>
    <row r="6711" spans="5:13">
      <c r="E6711" s="221"/>
      <c r="F6711" s="221"/>
      <c r="G6711" s="221"/>
      <c r="H6711" s="221"/>
      <c r="I6711" s="221"/>
      <c r="J6711" s="221"/>
      <c r="K6711" s="221"/>
      <c r="L6711" s="221"/>
      <c r="M6711" s="221"/>
    </row>
    <row r="6712" spans="5:13">
      <c r="E6712" s="221"/>
      <c r="F6712" s="221"/>
      <c r="G6712" s="221"/>
      <c r="H6712" s="221"/>
      <c r="I6712" s="221"/>
      <c r="J6712" s="221"/>
      <c r="K6712" s="221"/>
      <c r="L6712" s="221"/>
      <c r="M6712" s="221"/>
    </row>
    <row r="6713" spans="5:13">
      <c r="E6713" s="221"/>
      <c r="F6713" s="221"/>
      <c r="G6713" s="221"/>
      <c r="H6713" s="221"/>
      <c r="I6713" s="221"/>
      <c r="J6713" s="221"/>
      <c r="K6713" s="221"/>
      <c r="L6713" s="221"/>
      <c r="M6713" s="221"/>
    </row>
    <row r="6714" spans="5:13">
      <c r="E6714" s="221"/>
      <c r="F6714" s="221"/>
      <c r="G6714" s="221"/>
      <c r="H6714" s="221"/>
      <c r="I6714" s="221"/>
      <c r="J6714" s="221"/>
      <c r="K6714" s="221"/>
      <c r="L6714" s="221"/>
      <c r="M6714" s="221"/>
    </row>
    <row r="6715" spans="5:13">
      <c r="E6715" s="221"/>
      <c r="F6715" s="221"/>
      <c r="G6715" s="221"/>
      <c r="H6715" s="221"/>
      <c r="I6715" s="221"/>
      <c r="J6715" s="221"/>
      <c r="K6715" s="221"/>
      <c r="L6715" s="221"/>
      <c r="M6715" s="221"/>
    </row>
    <row r="6716" spans="5:13">
      <c r="E6716" s="221"/>
      <c r="F6716" s="221"/>
      <c r="G6716" s="221"/>
      <c r="H6716" s="221"/>
      <c r="I6716" s="221"/>
      <c r="J6716" s="221"/>
      <c r="K6716" s="221"/>
      <c r="L6716" s="221"/>
      <c r="M6716" s="221"/>
    </row>
    <row r="6717" spans="5:13">
      <c r="E6717" s="221"/>
      <c r="F6717" s="221"/>
      <c r="G6717" s="221"/>
      <c r="H6717" s="221"/>
      <c r="I6717" s="221"/>
      <c r="J6717" s="221"/>
      <c r="K6717" s="221"/>
      <c r="L6717" s="221"/>
      <c r="M6717" s="221"/>
    </row>
    <row r="6718" spans="5:13">
      <c r="E6718" s="221"/>
      <c r="F6718" s="221"/>
      <c r="G6718" s="221"/>
      <c r="H6718" s="221"/>
      <c r="I6718" s="221"/>
      <c r="J6718" s="221"/>
      <c r="K6718" s="221"/>
      <c r="L6718" s="221"/>
      <c r="M6718" s="221"/>
    </row>
    <row r="6719" spans="5:13">
      <c r="E6719" s="221"/>
      <c r="F6719" s="221"/>
      <c r="G6719" s="221"/>
      <c r="H6719" s="221"/>
      <c r="I6719" s="221"/>
      <c r="J6719" s="221"/>
      <c r="K6719" s="221"/>
      <c r="L6719" s="221"/>
      <c r="M6719" s="221"/>
    </row>
    <row r="6720" spans="5:13">
      <c r="E6720" s="221"/>
      <c r="F6720" s="221"/>
      <c r="G6720" s="221"/>
      <c r="H6720" s="221"/>
      <c r="I6720" s="221"/>
      <c r="J6720" s="221"/>
      <c r="K6720" s="221"/>
      <c r="L6720" s="221"/>
      <c r="M6720" s="221"/>
    </row>
    <row r="6721" spans="5:13">
      <c r="E6721" s="221"/>
      <c r="F6721" s="221"/>
      <c r="G6721" s="221"/>
      <c r="H6721" s="221"/>
      <c r="I6721" s="221"/>
      <c r="J6721" s="221"/>
      <c r="K6721" s="221"/>
      <c r="L6721" s="221"/>
      <c r="M6721" s="221"/>
    </row>
    <row r="6722" spans="5:13">
      <c r="E6722" s="221"/>
      <c r="F6722" s="221"/>
      <c r="G6722" s="221"/>
      <c r="H6722" s="221"/>
      <c r="I6722" s="221"/>
      <c r="J6722" s="221"/>
      <c r="K6722" s="221"/>
      <c r="L6722" s="221"/>
      <c r="M6722" s="221"/>
    </row>
    <row r="6723" spans="5:13">
      <c r="E6723" s="221"/>
      <c r="F6723" s="221"/>
      <c r="G6723" s="221"/>
      <c r="H6723" s="221"/>
      <c r="I6723" s="221"/>
      <c r="J6723" s="221"/>
      <c r="K6723" s="221"/>
      <c r="L6723" s="221"/>
      <c r="M6723" s="221"/>
    </row>
    <row r="6724" spans="5:13">
      <c r="E6724" s="221"/>
      <c r="F6724" s="221"/>
      <c r="G6724" s="221"/>
      <c r="H6724" s="221"/>
      <c r="I6724" s="221"/>
      <c r="J6724" s="221"/>
      <c r="K6724" s="221"/>
      <c r="L6724" s="221"/>
      <c r="M6724" s="221"/>
    </row>
    <row r="6725" spans="5:13">
      <c r="E6725" s="221"/>
      <c r="F6725" s="221"/>
      <c r="G6725" s="221"/>
      <c r="H6725" s="221"/>
      <c r="I6725" s="221"/>
      <c r="J6725" s="221"/>
      <c r="K6725" s="221"/>
      <c r="L6725" s="221"/>
      <c r="M6725" s="221"/>
    </row>
    <row r="6726" spans="5:13">
      <c r="E6726" s="221"/>
      <c r="F6726" s="221"/>
      <c r="G6726" s="221"/>
      <c r="H6726" s="221"/>
      <c r="I6726" s="221"/>
      <c r="J6726" s="221"/>
      <c r="K6726" s="221"/>
      <c r="L6726" s="221"/>
      <c r="M6726" s="221"/>
    </row>
    <row r="6727" spans="5:13">
      <c r="E6727" s="221"/>
      <c r="F6727" s="221"/>
      <c r="G6727" s="221"/>
      <c r="H6727" s="221"/>
      <c r="I6727" s="221"/>
      <c r="J6727" s="221"/>
      <c r="K6727" s="221"/>
      <c r="L6727" s="221"/>
      <c r="M6727" s="221"/>
    </row>
    <row r="6728" spans="5:13">
      <c r="E6728" s="221"/>
      <c r="F6728" s="221"/>
      <c r="G6728" s="221"/>
      <c r="H6728" s="221"/>
      <c r="I6728" s="221"/>
      <c r="J6728" s="221"/>
      <c r="K6728" s="221"/>
      <c r="L6728" s="221"/>
      <c r="M6728" s="221"/>
    </row>
    <row r="6729" spans="5:13">
      <c r="E6729" s="221"/>
      <c r="F6729" s="221"/>
      <c r="G6729" s="221"/>
      <c r="H6729" s="221"/>
      <c r="I6729" s="221"/>
      <c r="J6729" s="221"/>
      <c r="K6729" s="221"/>
      <c r="L6729" s="221"/>
      <c r="M6729" s="221"/>
    </row>
    <row r="6730" spans="5:13">
      <c r="E6730" s="221"/>
      <c r="F6730" s="221"/>
      <c r="G6730" s="221"/>
      <c r="H6730" s="221"/>
      <c r="I6730" s="221"/>
      <c r="J6730" s="221"/>
      <c r="K6730" s="221"/>
      <c r="L6730" s="221"/>
      <c r="M6730" s="221"/>
    </row>
    <row r="6731" spans="5:13">
      <c r="E6731" s="221"/>
      <c r="F6731" s="221"/>
      <c r="G6731" s="221"/>
      <c r="H6731" s="221"/>
      <c r="I6731" s="221"/>
      <c r="J6731" s="221"/>
      <c r="K6731" s="221"/>
      <c r="L6731" s="221"/>
      <c r="M6731" s="221"/>
    </row>
    <row r="6732" spans="5:13">
      <c r="E6732" s="221"/>
      <c r="F6732" s="221"/>
      <c r="G6732" s="221"/>
      <c r="H6732" s="221"/>
      <c r="I6732" s="221"/>
      <c r="J6732" s="221"/>
      <c r="K6732" s="221"/>
      <c r="L6732" s="221"/>
      <c r="M6732" s="221"/>
    </row>
    <row r="6733" spans="5:13">
      <c r="E6733" s="221"/>
      <c r="F6733" s="221"/>
      <c r="G6733" s="221"/>
      <c r="H6733" s="221"/>
      <c r="I6733" s="221"/>
      <c r="J6733" s="221"/>
      <c r="K6733" s="221"/>
      <c r="L6733" s="221"/>
      <c r="M6733" s="221"/>
    </row>
    <row r="6734" spans="5:13">
      <c r="E6734" s="221"/>
      <c r="F6734" s="221"/>
      <c r="G6734" s="221"/>
      <c r="H6734" s="221"/>
      <c r="I6734" s="221"/>
      <c r="J6734" s="221"/>
      <c r="K6734" s="221"/>
      <c r="L6734" s="221"/>
      <c r="M6734" s="221"/>
    </row>
    <row r="6735" spans="5:13">
      <c r="E6735" s="221"/>
      <c r="F6735" s="221"/>
      <c r="G6735" s="221"/>
      <c r="H6735" s="221"/>
      <c r="I6735" s="221"/>
      <c r="J6735" s="221"/>
      <c r="K6735" s="221"/>
      <c r="L6735" s="221"/>
      <c r="M6735" s="221"/>
    </row>
    <row r="6736" spans="5:13">
      <c r="E6736" s="221"/>
      <c r="F6736" s="221"/>
      <c r="G6736" s="221"/>
      <c r="H6736" s="221"/>
      <c r="I6736" s="221"/>
      <c r="J6736" s="221"/>
      <c r="K6736" s="221"/>
      <c r="L6736" s="221"/>
      <c r="M6736" s="221"/>
    </row>
    <row r="6737" spans="5:13">
      <c r="E6737" s="221"/>
      <c r="F6737" s="221"/>
      <c r="G6737" s="221"/>
      <c r="H6737" s="221"/>
      <c r="I6737" s="221"/>
      <c r="J6737" s="221"/>
      <c r="K6737" s="221"/>
      <c r="L6737" s="221"/>
      <c r="M6737" s="221"/>
    </row>
    <row r="6738" spans="5:13">
      <c r="E6738" s="221"/>
      <c r="F6738" s="221"/>
      <c r="G6738" s="221"/>
      <c r="H6738" s="221"/>
      <c r="I6738" s="221"/>
      <c r="J6738" s="221"/>
      <c r="K6738" s="221"/>
      <c r="L6738" s="221"/>
      <c r="M6738" s="221"/>
    </row>
    <row r="6739" spans="5:13">
      <c r="E6739" s="221"/>
      <c r="F6739" s="221"/>
      <c r="G6739" s="221"/>
      <c r="H6739" s="221"/>
      <c r="I6739" s="221"/>
      <c r="J6739" s="221"/>
      <c r="K6739" s="221"/>
      <c r="L6739" s="221"/>
      <c r="M6739" s="221"/>
    </row>
    <row r="6740" spans="5:13">
      <c r="E6740" s="221"/>
      <c r="F6740" s="221"/>
      <c r="G6740" s="221"/>
      <c r="H6740" s="221"/>
      <c r="I6740" s="221"/>
      <c r="J6740" s="221"/>
      <c r="K6740" s="221"/>
      <c r="L6740" s="221"/>
      <c r="M6740" s="221"/>
    </row>
    <row r="6741" spans="5:13">
      <c r="E6741" s="221"/>
      <c r="F6741" s="221"/>
      <c r="G6741" s="221"/>
      <c r="H6741" s="221"/>
      <c r="I6741" s="221"/>
      <c r="J6741" s="221"/>
      <c r="K6741" s="221"/>
      <c r="L6741" s="221"/>
      <c r="M6741" s="221"/>
    </row>
    <row r="6742" spans="5:13">
      <c r="E6742" s="221"/>
      <c r="F6742" s="221"/>
      <c r="G6742" s="221"/>
      <c r="H6742" s="221"/>
      <c r="I6742" s="221"/>
      <c r="J6742" s="221"/>
      <c r="K6742" s="221"/>
      <c r="L6742" s="221"/>
      <c r="M6742" s="221"/>
    </row>
    <row r="6743" spans="5:13">
      <c r="E6743" s="221"/>
      <c r="F6743" s="221"/>
      <c r="G6743" s="221"/>
      <c r="H6743" s="221"/>
      <c r="I6743" s="221"/>
      <c r="J6743" s="221"/>
      <c r="K6743" s="221"/>
      <c r="L6743" s="221"/>
      <c r="M6743" s="221"/>
    </row>
    <row r="6744" spans="5:13">
      <c r="E6744" s="221"/>
      <c r="F6744" s="221"/>
      <c r="G6744" s="221"/>
      <c r="H6744" s="221"/>
      <c r="I6744" s="221"/>
      <c r="J6744" s="221"/>
      <c r="K6744" s="221"/>
      <c r="L6744" s="221"/>
      <c r="M6744" s="221"/>
    </row>
    <row r="6745" spans="5:13">
      <c r="E6745" s="221"/>
      <c r="F6745" s="221"/>
      <c r="G6745" s="221"/>
      <c r="H6745" s="221"/>
      <c r="I6745" s="221"/>
      <c r="J6745" s="221"/>
      <c r="K6745" s="221"/>
      <c r="L6745" s="221"/>
      <c r="M6745" s="221"/>
    </row>
    <row r="6746" spans="5:13">
      <c r="E6746" s="221"/>
      <c r="F6746" s="221"/>
      <c r="G6746" s="221"/>
      <c r="H6746" s="221"/>
      <c r="I6746" s="221"/>
      <c r="J6746" s="221"/>
      <c r="K6746" s="221"/>
      <c r="L6746" s="221"/>
      <c r="M6746" s="221"/>
    </row>
    <row r="6747" spans="5:13">
      <c r="E6747" s="221"/>
      <c r="F6747" s="221"/>
      <c r="G6747" s="221"/>
      <c r="H6747" s="221"/>
      <c r="I6747" s="221"/>
      <c r="J6747" s="221"/>
      <c r="K6747" s="221"/>
      <c r="L6747" s="221"/>
      <c r="M6747" s="221"/>
    </row>
    <row r="6748" spans="5:13">
      <c r="E6748" s="221"/>
      <c r="F6748" s="221"/>
      <c r="G6748" s="221"/>
      <c r="H6748" s="221"/>
      <c r="I6748" s="221"/>
      <c r="J6748" s="221"/>
      <c r="K6748" s="221"/>
      <c r="L6748" s="221"/>
      <c r="M6748" s="221"/>
    </row>
    <row r="6749" spans="5:13">
      <c r="E6749" s="221"/>
      <c r="F6749" s="221"/>
      <c r="G6749" s="221"/>
      <c r="H6749" s="221"/>
      <c r="I6749" s="221"/>
      <c r="J6749" s="221"/>
      <c r="K6749" s="221"/>
      <c r="L6749" s="221"/>
      <c r="M6749" s="221"/>
    </row>
    <row r="6750" spans="5:13">
      <c r="E6750" s="221"/>
      <c r="F6750" s="221"/>
      <c r="G6750" s="221"/>
      <c r="H6750" s="221"/>
      <c r="I6750" s="221"/>
      <c r="J6750" s="221"/>
      <c r="K6750" s="221"/>
      <c r="L6750" s="221"/>
      <c r="M6750" s="221"/>
    </row>
    <row r="6751" spans="5:13">
      <c r="E6751" s="221"/>
      <c r="F6751" s="221"/>
      <c r="G6751" s="221"/>
      <c r="H6751" s="221"/>
      <c r="I6751" s="221"/>
      <c r="J6751" s="221"/>
      <c r="K6751" s="221"/>
      <c r="L6751" s="221"/>
      <c r="M6751" s="221"/>
    </row>
    <row r="6752" spans="5:13">
      <c r="E6752" s="221"/>
      <c r="F6752" s="221"/>
      <c r="G6752" s="221"/>
      <c r="H6752" s="221"/>
      <c r="I6752" s="221"/>
      <c r="J6752" s="221"/>
      <c r="K6752" s="221"/>
      <c r="L6752" s="221"/>
      <c r="M6752" s="221"/>
    </row>
    <row r="6753" spans="5:13">
      <c r="E6753" s="221"/>
      <c r="F6753" s="221"/>
      <c r="G6753" s="221"/>
      <c r="H6753" s="221"/>
      <c r="I6753" s="221"/>
      <c r="J6753" s="221"/>
      <c r="K6753" s="221"/>
      <c r="L6753" s="221"/>
      <c r="M6753" s="221"/>
    </row>
    <row r="6754" spans="5:13">
      <c r="E6754" s="221"/>
      <c r="F6754" s="221"/>
      <c r="G6754" s="221"/>
      <c r="H6754" s="221"/>
      <c r="I6754" s="221"/>
      <c r="J6754" s="221"/>
      <c r="K6754" s="221"/>
      <c r="L6754" s="221"/>
      <c r="M6754" s="221"/>
    </row>
    <row r="6755" spans="5:13">
      <c r="E6755" s="221"/>
      <c r="F6755" s="221"/>
      <c r="G6755" s="221"/>
      <c r="H6755" s="221"/>
      <c r="I6755" s="221"/>
      <c r="J6755" s="221"/>
      <c r="K6755" s="221"/>
      <c r="L6755" s="221"/>
      <c r="M6755" s="221"/>
    </row>
    <row r="6756" spans="5:13">
      <c r="E6756" s="221"/>
      <c r="F6756" s="221"/>
      <c r="G6756" s="221"/>
      <c r="H6756" s="221"/>
      <c r="I6756" s="221"/>
      <c r="J6756" s="221"/>
      <c r="K6756" s="221"/>
      <c r="L6756" s="221"/>
      <c r="M6756" s="221"/>
    </row>
    <row r="6757" spans="5:13">
      <c r="E6757" s="221"/>
      <c r="F6757" s="221"/>
      <c r="G6757" s="221"/>
      <c r="H6757" s="221"/>
      <c r="I6757" s="221"/>
      <c r="J6757" s="221"/>
      <c r="K6757" s="221"/>
      <c r="L6757" s="221"/>
      <c r="M6757" s="221"/>
    </row>
    <row r="6758" spans="5:13">
      <c r="E6758" s="221"/>
      <c r="F6758" s="221"/>
      <c r="G6758" s="221"/>
      <c r="H6758" s="221"/>
      <c r="I6758" s="221"/>
      <c r="J6758" s="221"/>
      <c r="K6758" s="221"/>
      <c r="L6758" s="221"/>
      <c r="M6758" s="221"/>
    </row>
    <row r="6759" spans="5:13">
      <c r="E6759" s="221"/>
      <c r="F6759" s="221"/>
      <c r="G6759" s="221"/>
      <c r="H6759" s="221"/>
      <c r="I6759" s="221"/>
      <c r="J6759" s="221"/>
      <c r="K6759" s="221"/>
      <c r="L6759" s="221"/>
      <c r="M6759" s="221"/>
    </row>
    <row r="6760" spans="5:13">
      <c r="E6760" s="221"/>
      <c r="F6760" s="221"/>
      <c r="G6760" s="221"/>
      <c r="H6760" s="221"/>
      <c r="I6760" s="221"/>
      <c r="J6760" s="221"/>
      <c r="K6760" s="221"/>
      <c r="L6760" s="221"/>
      <c r="M6760" s="221"/>
    </row>
    <row r="6761" spans="5:13">
      <c r="E6761" s="221"/>
      <c r="F6761" s="221"/>
      <c r="G6761" s="221"/>
      <c r="H6761" s="221"/>
      <c r="I6761" s="221"/>
      <c r="J6761" s="221"/>
      <c r="K6761" s="221"/>
      <c r="L6761" s="221"/>
      <c r="M6761" s="221"/>
    </row>
    <row r="6762" spans="5:13">
      <c r="E6762" s="221"/>
      <c r="F6762" s="221"/>
      <c r="G6762" s="221"/>
      <c r="H6762" s="221"/>
      <c r="I6762" s="221"/>
      <c r="J6762" s="221"/>
      <c r="K6762" s="221"/>
      <c r="L6762" s="221"/>
      <c r="M6762" s="221"/>
    </row>
    <row r="6763" spans="5:13">
      <c r="E6763" s="221"/>
      <c r="F6763" s="221"/>
      <c r="G6763" s="221"/>
      <c r="H6763" s="221"/>
      <c r="I6763" s="221"/>
      <c r="J6763" s="221"/>
      <c r="K6763" s="221"/>
      <c r="L6763" s="221"/>
      <c r="M6763" s="221"/>
    </row>
    <row r="6764" spans="5:13">
      <c r="E6764" s="221"/>
      <c r="F6764" s="221"/>
      <c r="G6764" s="221"/>
      <c r="H6764" s="221"/>
      <c r="I6764" s="221"/>
      <c r="J6764" s="221"/>
      <c r="K6764" s="221"/>
      <c r="L6764" s="221"/>
      <c r="M6764" s="221"/>
    </row>
    <row r="6765" spans="5:13">
      <c r="E6765" s="221"/>
      <c r="F6765" s="221"/>
      <c r="G6765" s="221"/>
      <c r="H6765" s="221"/>
      <c r="I6765" s="221"/>
      <c r="J6765" s="221"/>
      <c r="K6765" s="221"/>
      <c r="L6765" s="221"/>
      <c r="M6765" s="221"/>
    </row>
    <row r="6766" spans="5:13">
      <c r="E6766" s="221"/>
      <c r="F6766" s="221"/>
      <c r="G6766" s="221"/>
      <c r="H6766" s="221"/>
      <c r="I6766" s="221"/>
      <c r="J6766" s="221"/>
      <c r="K6766" s="221"/>
      <c r="L6766" s="221"/>
      <c r="M6766" s="221"/>
    </row>
    <row r="6767" spans="5:13">
      <c r="E6767" s="221"/>
      <c r="F6767" s="221"/>
      <c r="G6767" s="221"/>
      <c r="H6767" s="221"/>
      <c r="I6767" s="221"/>
      <c r="J6767" s="221"/>
      <c r="K6767" s="221"/>
      <c r="L6767" s="221"/>
      <c r="M6767" s="221"/>
    </row>
    <row r="6768" spans="5:13">
      <c r="E6768" s="221"/>
      <c r="F6768" s="221"/>
      <c r="G6768" s="221"/>
      <c r="H6768" s="221"/>
      <c r="I6768" s="221"/>
      <c r="J6768" s="221"/>
      <c r="K6768" s="221"/>
      <c r="L6768" s="221"/>
      <c r="M6768" s="221"/>
    </row>
    <row r="6769" spans="5:13">
      <c r="E6769" s="221"/>
      <c r="F6769" s="221"/>
      <c r="G6769" s="221"/>
      <c r="H6769" s="221"/>
      <c r="I6769" s="221"/>
      <c r="J6769" s="221"/>
      <c r="K6769" s="221"/>
      <c r="L6769" s="221"/>
      <c r="M6769" s="221"/>
    </row>
    <row r="6770" spans="5:13">
      <c r="E6770" s="221"/>
      <c r="F6770" s="221"/>
      <c r="G6770" s="221"/>
      <c r="H6770" s="221"/>
      <c r="I6770" s="221"/>
      <c r="J6770" s="221"/>
      <c r="K6770" s="221"/>
      <c r="L6770" s="221"/>
      <c r="M6770" s="221"/>
    </row>
    <row r="6771" spans="5:13">
      <c r="E6771" s="221"/>
      <c r="F6771" s="221"/>
      <c r="G6771" s="221"/>
      <c r="H6771" s="221"/>
      <c r="I6771" s="221"/>
      <c r="J6771" s="221"/>
      <c r="K6771" s="221"/>
      <c r="L6771" s="221"/>
      <c r="M6771" s="221"/>
    </row>
    <row r="6772" spans="5:13">
      <c r="E6772" s="221"/>
      <c r="F6772" s="221"/>
      <c r="G6772" s="221"/>
      <c r="H6772" s="221"/>
      <c r="I6772" s="221"/>
      <c r="J6772" s="221"/>
      <c r="K6772" s="221"/>
      <c r="L6772" s="221"/>
      <c r="M6772" s="221"/>
    </row>
    <row r="6773" spans="5:13">
      <c r="E6773" s="221"/>
      <c r="F6773" s="221"/>
      <c r="G6773" s="221"/>
      <c r="H6773" s="221"/>
      <c r="I6773" s="221"/>
      <c r="J6773" s="221"/>
      <c r="K6773" s="221"/>
      <c r="L6773" s="221"/>
      <c r="M6773" s="221"/>
    </row>
    <row r="6774" spans="5:13">
      <c r="E6774" s="221"/>
      <c r="F6774" s="221"/>
      <c r="G6774" s="221"/>
      <c r="H6774" s="221"/>
      <c r="I6774" s="221"/>
      <c r="J6774" s="221"/>
      <c r="K6774" s="221"/>
      <c r="L6774" s="221"/>
      <c r="M6774" s="221"/>
    </row>
    <row r="6775" spans="5:13">
      <c r="E6775" s="221"/>
      <c r="F6775" s="221"/>
      <c r="G6775" s="221"/>
      <c r="H6775" s="221"/>
      <c r="I6775" s="221"/>
      <c r="J6775" s="221"/>
      <c r="K6775" s="221"/>
      <c r="L6775" s="221"/>
      <c r="M6775" s="221"/>
    </row>
    <row r="6776" spans="5:13">
      <c r="E6776" s="221"/>
      <c r="F6776" s="221"/>
      <c r="G6776" s="221"/>
      <c r="H6776" s="221"/>
      <c r="I6776" s="221"/>
      <c r="J6776" s="221"/>
      <c r="K6776" s="221"/>
      <c r="L6776" s="221"/>
      <c r="M6776" s="221"/>
    </row>
    <row r="6777" spans="5:13">
      <c r="E6777" s="221"/>
      <c r="F6777" s="221"/>
      <c r="G6777" s="221"/>
      <c r="H6777" s="221"/>
      <c r="I6777" s="221"/>
      <c r="J6777" s="221"/>
      <c r="K6777" s="221"/>
      <c r="L6777" s="221"/>
      <c r="M6777" s="221"/>
    </row>
    <row r="6778" spans="5:13">
      <c r="E6778" s="221"/>
      <c r="F6778" s="221"/>
      <c r="G6778" s="221"/>
      <c r="H6778" s="221"/>
      <c r="I6778" s="221"/>
      <c r="J6778" s="221"/>
      <c r="K6778" s="221"/>
      <c r="L6778" s="221"/>
      <c r="M6778" s="221"/>
    </row>
    <row r="6779" spans="5:13">
      <c r="E6779" s="221"/>
      <c r="F6779" s="221"/>
      <c r="G6779" s="221"/>
      <c r="H6779" s="221"/>
      <c r="I6779" s="221"/>
      <c r="J6779" s="221"/>
      <c r="K6779" s="221"/>
      <c r="L6779" s="221"/>
      <c r="M6779" s="221"/>
    </row>
    <row r="6780" spans="5:13">
      <c r="E6780" s="221"/>
      <c r="F6780" s="221"/>
      <c r="G6780" s="221"/>
      <c r="H6780" s="221"/>
      <c r="I6780" s="221"/>
      <c r="J6780" s="221"/>
      <c r="K6780" s="221"/>
      <c r="L6780" s="221"/>
      <c r="M6780" s="221"/>
    </row>
    <row r="6781" spans="5:13">
      <c r="E6781" s="221"/>
      <c r="F6781" s="221"/>
      <c r="G6781" s="221"/>
      <c r="H6781" s="221"/>
      <c r="I6781" s="221"/>
      <c r="J6781" s="221"/>
      <c r="K6781" s="221"/>
      <c r="L6781" s="221"/>
      <c r="M6781" s="221"/>
    </row>
    <row r="6782" spans="5:13">
      <c r="E6782" s="221"/>
      <c r="F6782" s="221"/>
      <c r="G6782" s="221"/>
      <c r="H6782" s="221"/>
      <c r="I6782" s="221"/>
      <c r="J6782" s="221"/>
      <c r="K6782" s="221"/>
      <c r="L6782" s="221"/>
      <c r="M6782" s="221"/>
    </row>
    <row r="6783" spans="5:13">
      <c r="E6783" s="221"/>
      <c r="F6783" s="221"/>
      <c r="G6783" s="221"/>
      <c r="H6783" s="221"/>
      <c r="I6783" s="221"/>
      <c r="J6783" s="221"/>
      <c r="K6783" s="221"/>
      <c r="L6783" s="221"/>
      <c r="M6783" s="221"/>
    </row>
    <row r="6784" spans="5:13">
      <c r="E6784" s="221"/>
      <c r="F6784" s="221"/>
      <c r="G6784" s="221"/>
      <c r="H6784" s="221"/>
      <c r="I6784" s="221"/>
      <c r="J6784" s="221"/>
      <c r="K6784" s="221"/>
      <c r="L6784" s="221"/>
      <c r="M6784" s="221"/>
    </row>
    <row r="6785" spans="5:13">
      <c r="E6785" s="221"/>
      <c r="F6785" s="221"/>
      <c r="G6785" s="221"/>
      <c r="H6785" s="221"/>
      <c r="I6785" s="221"/>
      <c r="J6785" s="221"/>
      <c r="K6785" s="221"/>
      <c r="L6785" s="221"/>
      <c r="M6785" s="221"/>
    </row>
    <row r="6786" spans="5:13">
      <c r="E6786" s="221"/>
      <c r="F6786" s="221"/>
      <c r="G6786" s="221"/>
      <c r="H6786" s="221"/>
      <c r="I6786" s="221"/>
      <c r="J6786" s="221"/>
      <c r="K6786" s="221"/>
      <c r="L6786" s="221"/>
      <c r="M6786" s="221"/>
    </row>
    <row r="6787" spans="5:13">
      <c r="E6787" s="221"/>
      <c r="F6787" s="221"/>
      <c r="G6787" s="221"/>
      <c r="H6787" s="221"/>
      <c r="I6787" s="221"/>
      <c r="J6787" s="221"/>
      <c r="K6787" s="221"/>
      <c r="L6787" s="221"/>
      <c r="M6787" s="221"/>
    </row>
    <row r="6788" spans="5:13">
      <c r="E6788" s="221"/>
      <c r="F6788" s="221"/>
      <c r="G6788" s="221"/>
      <c r="H6788" s="221"/>
      <c r="I6788" s="221"/>
      <c r="J6788" s="221"/>
      <c r="K6788" s="221"/>
      <c r="L6788" s="221"/>
      <c r="M6788" s="221"/>
    </row>
    <row r="6789" spans="5:13">
      <c r="E6789" s="221"/>
      <c r="F6789" s="221"/>
      <c r="G6789" s="221"/>
      <c r="H6789" s="221"/>
      <c r="I6789" s="221"/>
      <c r="J6789" s="221"/>
      <c r="K6789" s="221"/>
      <c r="L6789" s="221"/>
      <c r="M6789" s="221"/>
    </row>
    <row r="6790" spans="5:13">
      <c r="E6790" s="221"/>
      <c r="F6790" s="221"/>
      <c r="G6790" s="221"/>
      <c r="H6790" s="221"/>
      <c r="I6790" s="221"/>
      <c r="J6790" s="221"/>
      <c r="K6790" s="221"/>
      <c r="L6790" s="221"/>
      <c r="M6790" s="221"/>
    </row>
    <row r="6791" spans="5:13">
      <c r="E6791" s="221"/>
      <c r="F6791" s="221"/>
      <c r="G6791" s="221"/>
      <c r="H6791" s="221"/>
      <c r="I6791" s="221"/>
      <c r="J6791" s="221"/>
      <c r="K6791" s="221"/>
      <c r="L6791" s="221"/>
      <c r="M6791" s="221"/>
    </row>
    <row r="6792" spans="5:13">
      <c r="E6792" s="221"/>
      <c r="F6792" s="221"/>
      <c r="G6792" s="221"/>
      <c r="H6792" s="221"/>
      <c r="I6792" s="221"/>
      <c r="J6792" s="221"/>
      <c r="K6792" s="221"/>
      <c r="L6792" s="221"/>
      <c r="M6792" s="221"/>
    </row>
    <row r="6793" spans="5:13">
      <c r="E6793" s="221"/>
      <c r="F6793" s="221"/>
      <c r="G6793" s="221"/>
      <c r="H6793" s="221"/>
      <c r="I6793" s="221"/>
      <c r="J6793" s="221"/>
      <c r="K6793" s="221"/>
      <c r="L6793" s="221"/>
      <c r="M6793" s="221"/>
    </row>
    <row r="6794" spans="5:13">
      <c r="E6794" s="221"/>
      <c r="F6794" s="221"/>
      <c r="G6794" s="221"/>
      <c r="H6794" s="221"/>
      <c r="I6794" s="221"/>
      <c r="J6794" s="221"/>
      <c r="K6794" s="221"/>
      <c r="L6794" s="221"/>
      <c r="M6794" s="221"/>
    </row>
    <row r="6795" spans="5:13">
      <c r="E6795" s="221"/>
      <c r="F6795" s="221"/>
      <c r="G6795" s="221"/>
      <c r="H6795" s="221"/>
      <c r="I6795" s="221"/>
      <c r="J6795" s="221"/>
      <c r="K6795" s="221"/>
      <c r="L6795" s="221"/>
      <c r="M6795" s="221"/>
    </row>
    <row r="6796" spans="5:13">
      <c r="E6796" s="221"/>
      <c r="F6796" s="221"/>
      <c r="G6796" s="221"/>
      <c r="H6796" s="221"/>
      <c r="I6796" s="221"/>
      <c r="J6796" s="221"/>
      <c r="K6796" s="221"/>
      <c r="L6796" s="221"/>
      <c r="M6796" s="221"/>
    </row>
    <row r="6797" spans="5:13">
      <c r="E6797" s="221"/>
      <c r="F6797" s="221"/>
      <c r="G6797" s="221"/>
      <c r="H6797" s="221"/>
      <c r="I6797" s="221"/>
      <c r="J6797" s="221"/>
      <c r="K6797" s="221"/>
      <c r="L6797" s="221"/>
      <c r="M6797" s="221"/>
    </row>
    <row r="6798" spans="5:13">
      <c r="E6798" s="221"/>
      <c r="F6798" s="221"/>
      <c r="G6798" s="221"/>
      <c r="H6798" s="221"/>
      <c r="I6798" s="221"/>
      <c r="J6798" s="221"/>
      <c r="K6798" s="221"/>
      <c r="L6798" s="221"/>
      <c r="M6798" s="221"/>
    </row>
    <row r="6799" spans="5:13">
      <c r="E6799" s="221"/>
      <c r="F6799" s="221"/>
      <c r="G6799" s="221"/>
      <c r="H6799" s="221"/>
      <c r="I6799" s="221"/>
      <c r="J6799" s="221"/>
      <c r="K6799" s="221"/>
      <c r="L6799" s="221"/>
      <c r="M6799" s="221"/>
    </row>
    <row r="6800" spans="5:13">
      <c r="E6800" s="221"/>
      <c r="F6800" s="221"/>
      <c r="G6800" s="221"/>
      <c r="H6800" s="221"/>
      <c r="I6800" s="221"/>
      <c r="J6800" s="221"/>
      <c r="K6800" s="221"/>
      <c r="L6800" s="221"/>
      <c r="M6800" s="221"/>
    </row>
    <row r="6801" spans="5:13">
      <c r="E6801" s="221"/>
      <c r="F6801" s="221"/>
      <c r="G6801" s="221"/>
      <c r="H6801" s="221"/>
      <c r="I6801" s="221"/>
      <c r="J6801" s="221"/>
      <c r="K6801" s="221"/>
      <c r="L6801" s="221"/>
      <c r="M6801" s="221"/>
    </row>
    <row r="6802" spans="5:13">
      <c r="E6802" s="221"/>
      <c r="F6802" s="221"/>
      <c r="G6802" s="221"/>
      <c r="H6802" s="221"/>
      <c r="I6802" s="221"/>
      <c r="J6802" s="221"/>
      <c r="K6802" s="221"/>
      <c r="L6802" s="221"/>
      <c r="M6802" s="221"/>
    </row>
    <row r="6803" spans="5:13">
      <c r="E6803" s="221"/>
      <c r="F6803" s="221"/>
      <c r="G6803" s="221"/>
      <c r="H6803" s="221"/>
      <c r="I6803" s="221"/>
      <c r="J6803" s="221"/>
      <c r="K6803" s="221"/>
      <c r="L6803" s="221"/>
      <c r="M6803" s="221"/>
    </row>
    <row r="6804" spans="5:13">
      <c r="E6804" s="221"/>
      <c r="F6804" s="221"/>
      <c r="G6804" s="221"/>
      <c r="H6804" s="221"/>
      <c r="I6804" s="221"/>
      <c r="J6804" s="221"/>
      <c r="K6804" s="221"/>
      <c r="L6804" s="221"/>
      <c r="M6804" s="221"/>
    </row>
    <row r="6805" spans="5:13">
      <c r="E6805" s="221"/>
      <c r="F6805" s="221"/>
      <c r="G6805" s="221"/>
      <c r="H6805" s="221"/>
      <c r="I6805" s="221"/>
      <c r="J6805" s="221"/>
      <c r="K6805" s="221"/>
      <c r="L6805" s="221"/>
      <c r="M6805" s="221"/>
    </row>
    <row r="6806" spans="5:13">
      <c r="E6806" s="221"/>
      <c r="F6806" s="221"/>
      <c r="G6806" s="221"/>
      <c r="H6806" s="221"/>
      <c r="I6806" s="221"/>
      <c r="J6806" s="221"/>
      <c r="K6806" s="221"/>
      <c r="L6806" s="221"/>
      <c r="M6806" s="221"/>
    </row>
    <row r="6807" spans="5:13">
      <c r="E6807" s="221"/>
      <c r="F6807" s="221"/>
      <c r="G6807" s="221"/>
      <c r="H6807" s="221"/>
      <c r="I6807" s="221"/>
      <c r="J6807" s="221"/>
      <c r="K6807" s="221"/>
      <c r="L6807" s="221"/>
      <c r="M6807" s="221"/>
    </row>
    <row r="6808" spans="5:13">
      <c r="E6808" s="221"/>
      <c r="F6808" s="221"/>
      <c r="G6808" s="221"/>
      <c r="H6808" s="221"/>
      <c r="I6808" s="221"/>
      <c r="J6808" s="221"/>
      <c r="K6808" s="221"/>
      <c r="L6808" s="221"/>
      <c r="M6808" s="221"/>
    </row>
    <row r="6809" spans="5:13">
      <c r="E6809" s="221"/>
      <c r="F6809" s="221"/>
      <c r="G6809" s="221"/>
      <c r="H6809" s="221"/>
      <c r="I6809" s="221"/>
      <c r="J6809" s="221"/>
      <c r="K6809" s="221"/>
      <c r="L6809" s="221"/>
      <c r="M6809" s="221"/>
    </row>
    <row r="6810" spans="5:13">
      <c r="E6810" s="221"/>
      <c r="F6810" s="221"/>
      <c r="G6810" s="221"/>
      <c r="H6810" s="221"/>
      <c r="I6810" s="221"/>
      <c r="J6810" s="221"/>
      <c r="K6810" s="221"/>
      <c r="L6810" s="221"/>
      <c r="M6810" s="221"/>
    </row>
    <row r="6811" spans="5:13">
      <c r="E6811" s="221"/>
      <c r="F6811" s="221"/>
      <c r="G6811" s="221"/>
      <c r="H6811" s="221"/>
      <c r="I6811" s="221"/>
      <c r="J6811" s="221"/>
      <c r="K6811" s="221"/>
      <c r="L6811" s="221"/>
      <c r="M6811" s="221"/>
    </row>
    <row r="6812" spans="5:13">
      <c r="E6812" s="221"/>
      <c r="F6812" s="221"/>
      <c r="G6812" s="221"/>
      <c r="H6812" s="221"/>
      <c r="I6812" s="221"/>
      <c r="J6812" s="221"/>
      <c r="K6812" s="221"/>
      <c r="L6812" s="221"/>
      <c r="M6812" s="221"/>
    </row>
    <row r="6813" spans="5:13">
      <c r="E6813" s="221"/>
      <c r="F6813" s="221"/>
      <c r="G6813" s="221"/>
      <c r="H6813" s="221"/>
      <c r="I6813" s="221"/>
      <c r="J6813" s="221"/>
      <c r="K6813" s="221"/>
      <c r="L6813" s="221"/>
      <c r="M6813" s="221"/>
    </row>
    <row r="6814" spans="5:13">
      <c r="E6814" s="221"/>
      <c r="F6814" s="221"/>
      <c r="G6814" s="221"/>
      <c r="H6814" s="221"/>
      <c r="I6814" s="221"/>
      <c r="J6814" s="221"/>
      <c r="K6814" s="221"/>
      <c r="L6814" s="221"/>
      <c r="M6814" s="221"/>
    </row>
    <row r="6815" spans="5:13">
      <c r="E6815" s="221"/>
      <c r="F6815" s="221"/>
      <c r="G6815" s="221"/>
      <c r="H6815" s="221"/>
      <c r="I6815" s="221"/>
      <c r="J6815" s="221"/>
      <c r="K6815" s="221"/>
      <c r="L6815" s="221"/>
      <c r="M6815" s="221"/>
    </row>
    <row r="6816" spans="5:13">
      <c r="E6816" s="221"/>
      <c r="F6816" s="221"/>
      <c r="G6816" s="221"/>
      <c r="H6816" s="221"/>
      <c r="I6816" s="221"/>
      <c r="J6816" s="221"/>
      <c r="K6816" s="221"/>
      <c r="L6816" s="221"/>
      <c r="M6816" s="221"/>
    </row>
    <row r="6817" spans="5:13">
      <c r="E6817" s="221"/>
      <c r="F6817" s="221"/>
      <c r="G6817" s="221"/>
      <c r="H6817" s="221"/>
      <c r="I6817" s="221"/>
      <c r="J6817" s="221"/>
      <c r="K6817" s="221"/>
      <c r="L6817" s="221"/>
      <c r="M6817" s="221"/>
    </row>
    <row r="6818" spans="5:13">
      <c r="E6818" s="221"/>
      <c r="F6818" s="221"/>
      <c r="G6818" s="221"/>
      <c r="H6818" s="221"/>
      <c r="I6818" s="221"/>
      <c r="J6818" s="221"/>
      <c r="K6818" s="221"/>
      <c r="L6818" s="221"/>
      <c r="M6818" s="221"/>
    </row>
    <row r="6819" spans="5:13">
      <c r="E6819" s="221"/>
      <c r="F6819" s="221"/>
      <c r="G6819" s="221"/>
      <c r="H6819" s="221"/>
      <c r="I6819" s="221"/>
      <c r="J6819" s="221"/>
      <c r="K6819" s="221"/>
      <c r="L6819" s="221"/>
      <c r="M6819" s="221"/>
    </row>
    <row r="6820" spans="5:13">
      <c r="E6820" s="221"/>
      <c r="F6820" s="221"/>
      <c r="G6820" s="221"/>
      <c r="H6820" s="221"/>
      <c r="I6820" s="221"/>
      <c r="J6820" s="221"/>
      <c r="K6820" s="221"/>
      <c r="L6820" s="221"/>
      <c r="M6820" s="221"/>
    </row>
    <row r="6821" spans="5:13">
      <c r="E6821" s="221"/>
      <c r="F6821" s="221"/>
      <c r="G6821" s="221"/>
      <c r="H6821" s="221"/>
      <c r="I6821" s="221"/>
      <c r="J6821" s="221"/>
      <c r="K6821" s="221"/>
      <c r="L6821" s="221"/>
      <c r="M6821" s="221"/>
    </row>
    <row r="6822" spans="5:13">
      <c r="E6822" s="221"/>
      <c r="F6822" s="221"/>
      <c r="G6822" s="221"/>
      <c r="H6822" s="221"/>
      <c r="I6822" s="221"/>
      <c r="J6822" s="221"/>
      <c r="K6822" s="221"/>
      <c r="L6822" s="221"/>
      <c r="M6822" s="221"/>
    </row>
    <row r="6823" spans="5:13">
      <c r="E6823" s="221"/>
      <c r="F6823" s="221"/>
      <c r="G6823" s="221"/>
      <c r="H6823" s="221"/>
      <c r="I6823" s="221"/>
      <c r="J6823" s="221"/>
      <c r="K6823" s="221"/>
      <c r="L6823" s="221"/>
      <c r="M6823" s="221"/>
    </row>
    <row r="6824" spans="5:13">
      <c r="E6824" s="221"/>
      <c r="F6824" s="221"/>
      <c r="G6824" s="221"/>
      <c r="H6824" s="221"/>
      <c r="I6824" s="221"/>
      <c r="J6824" s="221"/>
      <c r="K6824" s="221"/>
      <c r="L6824" s="221"/>
      <c r="M6824" s="221"/>
    </row>
    <row r="6825" spans="5:13">
      <c r="E6825" s="221"/>
      <c r="F6825" s="221"/>
      <c r="G6825" s="221"/>
      <c r="H6825" s="221"/>
      <c r="I6825" s="221"/>
      <c r="J6825" s="221"/>
      <c r="K6825" s="221"/>
      <c r="L6825" s="221"/>
      <c r="M6825" s="221"/>
    </row>
    <row r="6826" spans="5:13">
      <c r="E6826" s="221"/>
      <c r="F6826" s="221"/>
      <c r="G6826" s="221"/>
      <c r="H6826" s="221"/>
      <c r="I6826" s="221"/>
      <c r="J6826" s="221"/>
      <c r="K6826" s="221"/>
      <c r="L6826" s="221"/>
      <c r="M6826" s="221"/>
    </row>
    <row r="6827" spans="5:13">
      <c r="E6827" s="221"/>
      <c r="F6827" s="221"/>
      <c r="G6827" s="221"/>
      <c r="H6827" s="221"/>
      <c r="I6827" s="221"/>
      <c r="J6827" s="221"/>
      <c r="K6827" s="221"/>
      <c r="L6827" s="221"/>
      <c r="M6827" s="221"/>
    </row>
    <row r="6828" spans="5:13">
      <c r="E6828" s="221"/>
      <c r="F6828" s="221"/>
      <c r="G6828" s="221"/>
      <c r="H6828" s="221"/>
      <c r="I6828" s="221"/>
      <c r="J6828" s="221"/>
      <c r="K6828" s="221"/>
      <c r="L6828" s="221"/>
      <c r="M6828" s="221"/>
    </row>
    <row r="6829" spans="5:13">
      <c r="E6829" s="221"/>
      <c r="F6829" s="221"/>
      <c r="G6829" s="221"/>
      <c r="H6829" s="221"/>
      <c r="I6829" s="221"/>
      <c r="J6829" s="221"/>
      <c r="K6829" s="221"/>
      <c r="L6829" s="221"/>
      <c r="M6829" s="221"/>
    </row>
    <row r="6830" spans="5:13">
      <c r="E6830" s="221"/>
      <c r="F6830" s="221"/>
      <c r="G6830" s="221"/>
      <c r="H6830" s="221"/>
      <c r="I6830" s="221"/>
      <c r="J6830" s="221"/>
      <c r="K6830" s="221"/>
      <c r="L6830" s="221"/>
      <c r="M6830" s="221"/>
    </row>
    <row r="6831" spans="5:13">
      <c r="E6831" s="221"/>
      <c r="F6831" s="221"/>
      <c r="G6831" s="221"/>
      <c r="H6831" s="221"/>
      <c r="I6831" s="221"/>
      <c r="J6831" s="221"/>
      <c r="K6831" s="221"/>
      <c r="L6831" s="221"/>
      <c r="M6831" s="221"/>
    </row>
    <row r="6832" spans="5:13">
      <c r="E6832" s="221"/>
      <c r="F6832" s="221"/>
      <c r="G6832" s="221"/>
      <c r="H6832" s="221"/>
      <c r="I6832" s="221"/>
      <c r="J6832" s="221"/>
      <c r="K6832" s="221"/>
      <c r="L6832" s="221"/>
      <c r="M6832" s="221"/>
    </row>
    <row r="6833" spans="5:13">
      <c r="E6833" s="221"/>
      <c r="F6833" s="221"/>
      <c r="G6833" s="221"/>
      <c r="H6833" s="221"/>
      <c r="I6833" s="221"/>
      <c r="J6833" s="221"/>
      <c r="K6833" s="221"/>
      <c r="L6833" s="221"/>
      <c r="M6833" s="221"/>
    </row>
    <row r="6834" spans="5:13">
      <c r="E6834" s="221"/>
      <c r="F6834" s="221"/>
      <c r="G6834" s="221"/>
      <c r="H6834" s="221"/>
      <c r="I6834" s="221"/>
      <c r="J6834" s="221"/>
      <c r="K6834" s="221"/>
      <c r="L6834" s="221"/>
      <c r="M6834" s="221"/>
    </row>
    <row r="6835" spans="5:13">
      <c r="E6835" s="221"/>
      <c r="F6835" s="221"/>
      <c r="G6835" s="221"/>
      <c r="H6835" s="221"/>
      <c r="I6835" s="221"/>
      <c r="J6835" s="221"/>
      <c r="K6835" s="221"/>
      <c r="L6835" s="221"/>
      <c r="M6835" s="221"/>
    </row>
    <row r="6836" spans="5:13">
      <c r="E6836" s="221"/>
      <c r="F6836" s="221"/>
      <c r="G6836" s="221"/>
      <c r="H6836" s="221"/>
      <c r="I6836" s="221"/>
      <c r="J6836" s="221"/>
      <c r="K6836" s="221"/>
      <c r="L6836" s="221"/>
      <c r="M6836" s="221"/>
    </row>
    <row r="6837" spans="5:13">
      <c r="E6837" s="221"/>
      <c r="F6837" s="221"/>
      <c r="G6837" s="221"/>
      <c r="H6837" s="221"/>
      <c r="I6837" s="221"/>
      <c r="J6837" s="221"/>
      <c r="K6837" s="221"/>
      <c r="L6837" s="221"/>
      <c r="M6837" s="221"/>
    </row>
    <row r="6838" spans="5:13">
      <c r="E6838" s="221"/>
      <c r="F6838" s="221"/>
      <c r="G6838" s="221"/>
      <c r="H6838" s="221"/>
      <c r="I6838" s="221"/>
      <c r="J6838" s="221"/>
      <c r="K6838" s="221"/>
      <c r="L6838" s="221"/>
      <c r="M6838" s="221"/>
    </row>
    <row r="6839" spans="5:13">
      <c r="E6839" s="221"/>
      <c r="F6839" s="221"/>
      <c r="G6839" s="221"/>
      <c r="H6839" s="221"/>
      <c r="I6839" s="221"/>
      <c r="J6839" s="221"/>
      <c r="K6839" s="221"/>
      <c r="L6839" s="221"/>
      <c r="M6839" s="221"/>
    </row>
    <row r="6840" spans="5:13">
      <c r="E6840" s="221"/>
      <c r="F6840" s="221"/>
      <c r="G6840" s="221"/>
      <c r="H6840" s="221"/>
      <c r="I6840" s="221"/>
      <c r="J6840" s="221"/>
      <c r="K6840" s="221"/>
      <c r="L6840" s="221"/>
      <c r="M6840" s="221"/>
    </row>
    <row r="6841" spans="5:13">
      <c r="E6841" s="221"/>
      <c r="F6841" s="221"/>
      <c r="G6841" s="221"/>
      <c r="H6841" s="221"/>
      <c r="I6841" s="221"/>
      <c r="J6841" s="221"/>
      <c r="K6841" s="221"/>
      <c r="L6841" s="221"/>
      <c r="M6841" s="221"/>
    </row>
    <row r="6842" spans="5:13">
      <c r="E6842" s="221"/>
      <c r="F6842" s="221"/>
      <c r="G6842" s="221"/>
      <c r="H6842" s="221"/>
      <c r="I6842" s="221"/>
      <c r="J6842" s="221"/>
      <c r="K6842" s="221"/>
      <c r="L6842" s="221"/>
      <c r="M6842" s="221"/>
    </row>
    <row r="6843" spans="5:13">
      <c r="E6843" s="221"/>
      <c r="F6843" s="221"/>
      <c r="G6843" s="221"/>
      <c r="H6843" s="221"/>
      <c r="I6843" s="221"/>
      <c r="J6843" s="221"/>
      <c r="K6843" s="221"/>
      <c r="L6843" s="221"/>
      <c r="M6843" s="221"/>
    </row>
    <row r="6844" spans="5:13">
      <c r="E6844" s="221"/>
      <c r="F6844" s="221"/>
      <c r="G6844" s="221"/>
      <c r="H6844" s="221"/>
      <c r="I6844" s="221"/>
      <c r="J6844" s="221"/>
      <c r="K6844" s="221"/>
      <c r="L6844" s="221"/>
      <c r="M6844" s="221"/>
    </row>
    <row r="6845" spans="5:13">
      <c r="E6845" s="221"/>
      <c r="F6845" s="221"/>
      <c r="G6845" s="221"/>
      <c r="H6845" s="221"/>
      <c r="I6845" s="221"/>
      <c r="J6845" s="221"/>
      <c r="K6845" s="221"/>
      <c r="L6845" s="221"/>
      <c r="M6845" s="221"/>
    </row>
    <row r="6846" spans="5:13">
      <c r="E6846" s="221"/>
      <c r="F6846" s="221"/>
      <c r="G6846" s="221"/>
      <c r="H6846" s="221"/>
      <c r="I6846" s="221"/>
      <c r="J6846" s="221"/>
      <c r="K6846" s="221"/>
      <c r="L6846" s="221"/>
      <c r="M6846" s="221"/>
    </row>
    <row r="6847" spans="5:13">
      <c r="E6847" s="221"/>
      <c r="F6847" s="221"/>
      <c r="G6847" s="221"/>
      <c r="H6847" s="221"/>
      <c r="I6847" s="221"/>
      <c r="J6847" s="221"/>
      <c r="K6847" s="221"/>
      <c r="L6847" s="221"/>
      <c r="M6847" s="221"/>
    </row>
    <row r="6848" spans="5:13">
      <c r="E6848" s="221"/>
      <c r="F6848" s="221"/>
      <c r="G6848" s="221"/>
      <c r="H6848" s="221"/>
      <c r="I6848" s="221"/>
      <c r="J6848" s="221"/>
      <c r="K6848" s="221"/>
      <c r="L6848" s="221"/>
      <c r="M6848" s="221"/>
    </row>
    <row r="6849" spans="5:13">
      <c r="E6849" s="221"/>
      <c r="F6849" s="221"/>
      <c r="G6849" s="221"/>
      <c r="H6849" s="221"/>
      <c r="I6849" s="221"/>
      <c r="J6849" s="221"/>
      <c r="K6849" s="221"/>
      <c r="L6849" s="221"/>
      <c r="M6849" s="221"/>
    </row>
    <row r="6850" spans="5:13">
      <c r="E6850" s="221"/>
      <c r="F6850" s="221"/>
      <c r="G6850" s="221"/>
      <c r="H6850" s="221"/>
      <c r="I6850" s="221"/>
      <c r="J6850" s="221"/>
      <c r="K6850" s="221"/>
      <c r="L6850" s="221"/>
      <c r="M6850" s="221"/>
    </row>
    <row r="6851" spans="5:13">
      <c r="E6851" s="221"/>
      <c r="F6851" s="221"/>
      <c r="G6851" s="221"/>
      <c r="H6851" s="221"/>
      <c r="I6851" s="221"/>
      <c r="J6851" s="221"/>
      <c r="K6851" s="221"/>
      <c r="L6851" s="221"/>
      <c r="M6851" s="221"/>
    </row>
    <row r="6852" spans="5:13">
      <c r="E6852" s="221"/>
      <c r="F6852" s="221"/>
      <c r="G6852" s="221"/>
      <c r="H6852" s="221"/>
      <c r="I6852" s="221"/>
      <c r="J6852" s="221"/>
      <c r="K6852" s="221"/>
      <c r="L6852" s="221"/>
      <c r="M6852" s="221"/>
    </row>
    <row r="6853" spans="5:13">
      <c r="E6853" s="221"/>
      <c r="F6853" s="221"/>
      <c r="G6853" s="221"/>
      <c r="H6853" s="221"/>
      <c r="I6853" s="221"/>
      <c r="J6853" s="221"/>
      <c r="K6853" s="221"/>
      <c r="L6853" s="221"/>
      <c r="M6853" s="221"/>
    </row>
    <row r="6854" spans="5:13">
      <c r="E6854" s="221"/>
      <c r="F6854" s="221"/>
      <c r="G6854" s="221"/>
      <c r="H6854" s="221"/>
      <c r="I6854" s="221"/>
      <c r="J6854" s="221"/>
      <c r="K6854" s="221"/>
      <c r="L6854" s="221"/>
      <c r="M6854" s="221"/>
    </row>
    <row r="6855" spans="5:13">
      <c r="E6855" s="221"/>
      <c r="F6855" s="221"/>
      <c r="G6855" s="221"/>
      <c r="H6855" s="221"/>
      <c r="I6855" s="221"/>
      <c r="J6855" s="221"/>
      <c r="K6855" s="221"/>
      <c r="L6855" s="221"/>
      <c r="M6855" s="221"/>
    </row>
    <row r="6856" spans="5:13">
      <c r="E6856" s="221"/>
      <c r="F6856" s="221"/>
      <c r="G6856" s="221"/>
      <c r="H6856" s="221"/>
      <c r="I6856" s="221"/>
      <c r="J6856" s="221"/>
      <c r="K6856" s="221"/>
      <c r="L6856" s="221"/>
      <c r="M6856" s="221"/>
    </row>
    <row r="6857" spans="5:13">
      <c r="E6857" s="221"/>
      <c r="F6857" s="221"/>
      <c r="G6857" s="221"/>
      <c r="H6857" s="221"/>
      <c r="I6857" s="221"/>
      <c r="J6857" s="221"/>
      <c r="K6857" s="221"/>
      <c r="L6857" s="221"/>
      <c r="M6857" s="221"/>
    </row>
    <row r="6858" spans="5:13">
      <c r="E6858" s="221"/>
      <c r="F6858" s="221"/>
      <c r="G6858" s="221"/>
      <c r="H6858" s="221"/>
      <c r="I6858" s="221"/>
      <c r="J6858" s="221"/>
      <c r="K6858" s="221"/>
      <c r="L6858" s="221"/>
      <c r="M6858" s="221"/>
    </row>
    <row r="6859" spans="5:13">
      <c r="E6859" s="221"/>
      <c r="F6859" s="221"/>
      <c r="G6859" s="221"/>
      <c r="H6859" s="221"/>
      <c r="I6859" s="221"/>
      <c r="J6859" s="221"/>
      <c r="K6859" s="221"/>
      <c r="L6859" s="221"/>
      <c r="M6859" s="221"/>
    </row>
    <row r="6860" spans="5:13">
      <c r="E6860" s="221"/>
      <c r="F6860" s="221"/>
      <c r="G6860" s="221"/>
      <c r="H6860" s="221"/>
      <c r="I6860" s="221"/>
      <c r="J6860" s="221"/>
      <c r="K6860" s="221"/>
      <c r="L6860" s="221"/>
      <c r="M6860" s="221"/>
    </row>
    <row r="6861" spans="5:13">
      <c r="E6861" s="221"/>
      <c r="F6861" s="221"/>
      <c r="G6861" s="221"/>
      <c r="H6861" s="221"/>
      <c r="I6861" s="221"/>
      <c r="J6861" s="221"/>
      <c r="K6861" s="221"/>
      <c r="L6861" s="221"/>
      <c r="M6861" s="221"/>
    </row>
    <row r="6862" spans="5:13">
      <c r="E6862" s="221"/>
      <c r="F6862" s="221"/>
      <c r="G6862" s="221"/>
      <c r="H6862" s="221"/>
      <c r="I6862" s="221"/>
      <c r="J6862" s="221"/>
      <c r="K6862" s="221"/>
      <c r="L6862" s="221"/>
      <c r="M6862" s="221"/>
    </row>
    <row r="6863" spans="5:13">
      <c r="E6863" s="221"/>
      <c r="F6863" s="221"/>
      <c r="G6863" s="221"/>
      <c r="H6863" s="221"/>
      <c r="I6863" s="221"/>
      <c r="J6863" s="221"/>
      <c r="K6863" s="221"/>
      <c r="L6863" s="221"/>
      <c r="M6863" s="221"/>
    </row>
    <row r="6864" spans="5:13">
      <c r="E6864" s="221"/>
      <c r="F6864" s="221"/>
      <c r="G6864" s="221"/>
      <c r="H6864" s="221"/>
      <c r="I6864" s="221"/>
      <c r="J6864" s="221"/>
      <c r="K6864" s="221"/>
      <c r="L6864" s="221"/>
      <c r="M6864" s="221"/>
    </row>
    <row r="6865" spans="5:13">
      <c r="E6865" s="221"/>
      <c r="F6865" s="221"/>
      <c r="G6865" s="221"/>
      <c r="H6865" s="221"/>
      <c r="I6865" s="221"/>
      <c r="J6865" s="221"/>
      <c r="K6865" s="221"/>
      <c r="L6865" s="221"/>
      <c r="M6865" s="221"/>
    </row>
    <row r="6866" spans="5:13">
      <c r="E6866" s="221"/>
      <c r="F6866" s="221"/>
      <c r="G6866" s="221"/>
      <c r="H6866" s="221"/>
      <c r="I6866" s="221"/>
      <c r="J6866" s="221"/>
      <c r="K6866" s="221"/>
      <c r="L6866" s="221"/>
      <c r="M6866" s="221"/>
    </row>
    <row r="6867" spans="5:13">
      <c r="E6867" s="221"/>
      <c r="F6867" s="221"/>
      <c r="G6867" s="221"/>
      <c r="H6867" s="221"/>
      <c r="I6867" s="221"/>
      <c r="J6867" s="221"/>
      <c r="K6867" s="221"/>
      <c r="L6867" s="221"/>
      <c r="M6867" s="221"/>
    </row>
    <row r="6868" spans="5:13">
      <c r="E6868" s="221"/>
      <c r="F6868" s="221"/>
      <c r="G6868" s="221"/>
      <c r="H6868" s="221"/>
      <c r="I6868" s="221"/>
      <c r="J6868" s="221"/>
      <c r="K6868" s="221"/>
      <c r="L6868" s="221"/>
      <c r="M6868" s="221"/>
    </row>
    <row r="6869" spans="5:13">
      <c r="E6869" s="221"/>
      <c r="F6869" s="221"/>
      <c r="G6869" s="221"/>
      <c r="H6869" s="221"/>
      <c r="I6869" s="221"/>
      <c r="J6869" s="221"/>
      <c r="K6869" s="221"/>
      <c r="L6869" s="221"/>
      <c r="M6869" s="221"/>
    </row>
    <row r="6870" spans="5:13">
      <c r="E6870" s="221"/>
      <c r="F6870" s="221"/>
      <c r="G6870" s="221"/>
      <c r="H6870" s="221"/>
      <c r="I6870" s="221"/>
      <c r="J6870" s="221"/>
      <c r="K6870" s="221"/>
      <c r="L6870" s="221"/>
      <c r="M6870" s="221"/>
    </row>
    <row r="6871" spans="5:13">
      <c r="E6871" s="221"/>
      <c r="F6871" s="221"/>
      <c r="G6871" s="221"/>
      <c r="H6871" s="221"/>
      <c r="I6871" s="221"/>
      <c r="J6871" s="221"/>
      <c r="K6871" s="221"/>
      <c r="L6871" s="221"/>
      <c r="M6871" s="221"/>
    </row>
    <row r="6872" spans="5:13">
      <c r="E6872" s="221"/>
      <c r="F6872" s="221"/>
      <c r="G6872" s="221"/>
      <c r="H6872" s="221"/>
      <c r="I6872" s="221"/>
      <c r="J6872" s="221"/>
      <c r="K6872" s="221"/>
      <c r="L6872" s="221"/>
      <c r="M6872" s="221"/>
    </row>
    <row r="6873" spans="5:13">
      <c r="E6873" s="221"/>
      <c r="F6873" s="221"/>
      <c r="G6873" s="221"/>
      <c r="H6873" s="221"/>
      <c r="I6873" s="221"/>
      <c r="J6873" s="221"/>
      <c r="K6873" s="221"/>
      <c r="L6873" s="221"/>
      <c r="M6873" s="221"/>
    </row>
    <row r="6874" spans="5:13">
      <c r="E6874" s="221"/>
      <c r="F6874" s="221"/>
      <c r="G6874" s="221"/>
      <c r="H6874" s="221"/>
      <c r="I6874" s="221"/>
      <c r="J6874" s="221"/>
      <c r="K6874" s="221"/>
      <c r="L6874" s="221"/>
      <c r="M6874" s="221"/>
    </row>
    <row r="6875" spans="5:13">
      <c r="E6875" s="221"/>
      <c r="F6875" s="221"/>
      <c r="G6875" s="221"/>
      <c r="H6875" s="221"/>
      <c r="I6875" s="221"/>
      <c r="J6875" s="221"/>
      <c r="K6875" s="221"/>
      <c r="L6875" s="221"/>
      <c r="M6875" s="221"/>
    </row>
    <row r="6876" spans="5:13">
      <c r="E6876" s="221"/>
      <c r="F6876" s="221"/>
      <c r="G6876" s="221"/>
      <c r="H6876" s="221"/>
      <c r="I6876" s="221"/>
      <c r="J6876" s="221"/>
      <c r="K6876" s="221"/>
      <c r="L6876" s="221"/>
      <c r="M6876" s="221"/>
    </row>
    <row r="6877" spans="5:13">
      <c r="E6877" s="221"/>
      <c r="F6877" s="221"/>
      <c r="G6877" s="221"/>
      <c r="H6877" s="221"/>
      <c r="I6877" s="221"/>
      <c r="J6877" s="221"/>
      <c r="K6877" s="221"/>
      <c r="L6877" s="221"/>
      <c r="M6877" s="221"/>
    </row>
    <row r="6878" spans="5:13">
      <c r="E6878" s="221"/>
      <c r="F6878" s="221"/>
      <c r="G6878" s="221"/>
      <c r="H6878" s="221"/>
      <c r="I6878" s="221"/>
      <c r="J6878" s="221"/>
      <c r="K6878" s="221"/>
      <c r="L6878" s="221"/>
      <c r="M6878" s="221"/>
    </row>
    <row r="6879" spans="5:13">
      <c r="E6879" s="221"/>
      <c r="F6879" s="221"/>
      <c r="G6879" s="221"/>
      <c r="H6879" s="221"/>
      <c r="I6879" s="221"/>
      <c r="J6879" s="221"/>
      <c r="K6879" s="221"/>
      <c r="L6879" s="221"/>
      <c r="M6879" s="221"/>
    </row>
    <row r="6880" spans="5:13">
      <c r="E6880" s="221"/>
      <c r="F6880" s="221"/>
      <c r="G6880" s="221"/>
      <c r="H6880" s="221"/>
      <c r="I6880" s="221"/>
      <c r="J6880" s="221"/>
      <c r="K6880" s="221"/>
      <c r="L6880" s="221"/>
      <c r="M6880" s="221"/>
    </row>
    <row r="6881" spans="5:13">
      <c r="E6881" s="221"/>
      <c r="F6881" s="221"/>
      <c r="G6881" s="221"/>
      <c r="H6881" s="221"/>
      <c r="I6881" s="221"/>
      <c r="J6881" s="221"/>
      <c r="K6881" s="221"/>
      <c r="L6881" s="221"/>
      <c r="M6881" s="221"/>
    </row>
    <row r="6882" spans="5:13">
      <c r="E6882" s="221"/>
      <c r="F6882" s="221"/>
      <c r="G6882" s="221"/>
      <c r="H6882" s="221"/>
      <c r="I6882" s="221"/>
      <c r="J6882" s="221"/>
      <c r="K6882" s="221"/>
      <c r="L6882" s="221"/>
      <c r="M6882" s="221"/>
    </row>
    <row r="6883" spans="5:13">
      <c r="E6883" s="221"/>
      <c r="F6883" s="221"/>
      <c r="G6883" s="221"/>
      <c r="H6883" s="221"/>
      <c r="I6883" s="221"/>
      <c r="J6883" s="221"/>
      <c r="K6883" s="221"/>
      <c r="L6883" s="221"/>
      <c r="M6883" s="221"/>
    </row>
    <row r="6884" spans="5:13">
      <c r="E6884" s="221"/>
      <c r="F6884" s="221"/>
      <c r="G6884" s="221"/>
      <c r="H6884" s="221"/>
      <c r="I6884" s="221"/>
      <c r="J6884" s="221"/>
      <c r="K6884" s="221"/>
      <c r="L6884" s="221"/>
      <c r="M6884" s="221"/>
    </row>
    <row r="6885" spans="5:13">
      <c r="E6885" s="221"/>
      <c r="F6885" s="221"/>
      <c r="G6885" s="221"/>
      <c r="H6885" s="221"/>
      <c r="I6885" s="221"/>
      <c r="J6885" s="221"/>
      <c r="K6885" s="221"/>
      <c r="L6885" s="221"/>
      <c r="M6885" s="221"/>
    </row>
    <row r="6886" spans="5:13">
      <c r="E6886" s="221"/>
      <c r="F6886" s="221"/>
      <c r="G6886" s="221"/>
      <c r="H6886" s="221"/>
      <c r="I6886" s="221"/>
      <c r="J6886" s="221"/>
      <c r="K6886" s="221"/>
      <c r="L6886" s="221"/>
      <c r="M6886" s="221"/>
    </row>
    <row r="6887" spans="5:13">
      <c r="E6887" s="221"/>
      <c r="F6887" s="221"/>
      <c r="G6887" s="221"/>
      <c r="H6887" s="221"/>
      <c r="I6887" s="221"/>
      <c r="J6887" s="221"/>
      <c r="K6887" s="221"/>
      <c r="L6887" s="221"/>
      <c r="M6887" s="221"/>
    </row>
    <row r="6888" spans="5:13">
      <c r="E6888" s="221"/>
      <c r="F6888" s="221"/>
      <c r="G6888" s="221"/>
      <c r="H6888" s="221"/>
      <c r="I6888" s="221"/>
      <c r="J6888" s="221"/>
      <c r="K6888" s="221"/>
      <c r="L6888" s="221"/>
      <c r="M6888" s="221"/>
    </row>
    <row r="6889" spans="5:13">
      <c r="E6889" s="221"/>
      <c r="F6889" s="221"/>
      <c r="G6889" s="221"/>
      <c r="H6889" s="221"/>
      <c r="I6889" s="221"/>
      <c r="J6889" s="221"/>
      <c r="K6889" s="221"/>
      <c r="L6889" s="221"/>
      <c r="M6889" s="221"/>
    </row>
    <row r="6890" spans="5:13">
      <c r="E6890" s="221"/>
      <c r="F6890" s="221"/>
      <c r="G6890" s="221"/>
      <c r="H6890" s="221"/>
      <c r="I6890" s="221"/>
      <c r="J6890" s="221"/>
      <c r="K6890" s="221"/>
      <c r="L6890" s="221"/>
      <c r="M6890" s="221"/>
    </row>
    <row r="6891" spans="5:13">
      <c r="E6891" s="221"/>
      <c r="F6891" s="221"/>
      <c r="G6891" s="221"/>
      <c r="H6891" s="221"/>
      <c r="I6891" s="221"/>
      <c r="J6891" s="221"/>
      <c r="K6891" s="221"/>
      <c r="L6891" s="221"/>
      <c r="M6891" s="221"/>
    </row>
    <row r="6892" spans="5:13">
      <c r="E6892" s="221"/>
      <c r="F6892" s="221"/>
      <c r="G6892" s="221"/>
      <c r="H6892" s="221"/>
      <c r="I6892" s="221"/>
      <c r="J6892" s="221"/>
      <c r="K6892" s="221"/>
      <c r="L6892" s="221"/>
      <c r="M6892" s="221"/>
    </row>
    <row r="6893" spans="5:13">
      <c r="E6893" s="221"/>
      <c r="F6893" s="221"/>
      <c r="G6893" s="221"/>
      <c r="H6893" s="221"/>
      <c r="I6893" s="221"/>
      <c r="J6893" s="221"/>
      <c r="K6893" s="221"/>
      <c r="L6893" s="221"/>
      <c r="M6893" s="221"/>
    </row>
    <row r="6894" spans="5:13">
      <c r="E6894" s="221"/>
      <c r="F6894" s="221"/>
      <c r="G6894" s="221"/>
      <c r="H6894" s="221"/>
      <c r="I6894" s="221"/>
      <c r="J6894" s="221"/>
      <c r="K6894" s="221"/>
      <c r="L6894" s="221"/>
      <c r="M6894" s="221"/>
    </row>
    <row r="6895" spans="5:13">
      <c r="E6895" s="221"/>
      <c r="F6895" s="221"/>
      <c r="G6895" s="221"/>
      <c r="H6895" s="221"/>
      <c r="I6895" s="221"/>
      <c r="J6895" s="221"/>
      <c r="K6895" s="221"/>
      <c r="L6895" s="221"/>
      <c r="M6895" s="221"/>
    </row>
    <row r="6896" spans="5:13">
      <c r="E6896" s="221"/>
      <c r="F6896" s="221"/>
      <c r="G6896" s="221"/>
      <c r="H6896" s="221"/>
      <c r="I6896" s="221"/>
      <c r="J6896" s="221"/>
      <c r="K6896" s="221"/>
      <c r="L6896" s="221"/>
      <c r="M6896" s="221"/>
    </row>
    <row r="6897" spans="5:13">
      <c r="E6897" s="221"/>
      <c r="F6897" s="221"/>
      <c r="G6897" s="221"/>
      <c r="H6897" s="221"/>
      <c r="I6897" s="221"/>
      <c r="J6897" s="221"/>
      <c r="K6897" s="221"/>
      <c r="L6897" s="221"/>
      <c r="M6897" s="221"/>
    </row>
    <row r="6898" spans="5:13">
      <c r="E6898" s="221"/>
      <c r="F6898" s="221"/>
      <c r="G6898" s="221"/>
      <c r="H6898" s="221"/>
      <c r="I6898" s="221"/>
      <c r="J6898" s="221"/>
      <c r="K6898" s="221"/>
      <c r="L6898" s="221"/>
      <c r="M6898" s="221"/>
    </row>
    <row r="6899" spans="5:13">
      <c r="E6899" s="221"/>
      <c r="F6899" s="221"/>
      <c r="G6899" s="221"/>
      <c r="H6899" s="221"/>
      <c r="I6899" s="221"/>
      <c r="J6899" s="221"/>
      <c r="K6899" s="221"/>
      <c r="L6899" s="221"/>
      <c r="M6899" s="221"/>
    </row>
    <row r="6900" spans="5:13">
      <c r="E6900" s="221"/>
      <c r="F6900" s="221"/>
      <c r="G6900" s="221"/>
      <c r="H6900" s="221"/>
      <c r="I6900" s="221"/>
      <c r="J6900" s="221"/>
      <c r="K6900" s="221"/>
      <c r="L6900" s="221"/>
      <c r="M6900" s="221"/>
    </row>
    <row r="6901" spans="5:13">
      <c r="E6901" s="221"/>
      <c r="F6901" s="221"/>
      <c r="G6901" s="221"/>
      <c r="H6901" s="221"/>
      <c r="I6901" s="221"/>
      <c r="J6901" s="221"/>
      <c r="K6901" s="221"/>
      <c r="L6901" s="221"/>
      <c r="M6901" s="221"/>
    </row>
    <row r="6902" spans="5:13">
      <c r="E6902" s="221"/>
      <c r="F6902" s="221"/>
      <c r="G6902" s="221"/>
      <c r="H6902" s="221"/>
      <c r="I6902" s="221"/>
      <c r="J6902" s="221"/>
      <c r="K6902" s="221"/>
      <c r="L6902" s="221"/>
      <c r="M6902" s="221"/>
    </row>
    <row r="6903" spans="5:13">
      <c r="E6903" s="221"/>
      <c r="F6903" s="221"/>
      <c r="G6903" s="221"/>
      <c r="H6903" s="221"/>
      <c r="I6903" s="221"/>
      <c r="J6903" s="221"/>
      <c r="K6903" s="221"/>
      <c r="L6903" s="221"/>
      <c r="M6903" s="221"/>
    </row>
    <row r="6904" spans="5:13">
      <c r="E6904" s="221"/>
      <c r="F6904" s="221"/>
      <c r="G6904" s="221"/>
      <c r="H6904" s="221"/>
      <c r="I6904" s="221"/>
      <c r="J6904" s="221"/>
      <c r="K6904" s="221"/>
      <c r="L6904" s="221"/>
      <c r="M6904" s="221"/>
    </row>
    <row r="6905" spans="5:13">
      <c r="E6905" s="221"/>
      <c r="F6905" s="221"/>
      <c r="G6905" s="221"/>
      <c r="H6905" s="221"/>
      <c r="I6905" s="221"/>
      <c r="J6905" s="221"/>
      <c r="K6905" s="221"/>
      <c r="L6905" s="221"/>
      <c r="M6905" s="221"/>
    </row>
    <row r="6906" spans="5:13">
      <c r="E6906" s="221"/>
      <c r="F6906" s="221"/>
      <c r="G6906" s="221"/>
      <c r="H6906" s="221"/>
      <c r="I6906" s="221"/>
      <c r="J6906" s="221"/>
      <c r="K6906" s="221"/>
      <c r="L6906" s="221"/>
      <c r="M6906" s="221"/>
    </row>
    <row r="6907" spans="5:13">
      <c r="E6907" s="221"/>
      <c r="F6907" s="221"/>
      <c r="G6907" s="221"/>
      <c r="H6907" s="221"/>
      <c r="I6907" s="221"/>
      <c r="J6907" s="221"/>
      <c r="K6907" s="221"/>
      <c r="L6907" s="221"/>
      <c r="M6907" s="221"/>
    </row>
    <row r="6908" spans="5:13">
      <c r="E6908" s="221"/>
      <c r="F6908" s="221"/>
      <c r="G6908" s="221"/>
      <c r="H6908" s="221"/>
      <c r="I6908" s="221"/>
      <c r="J6908" s="221"/>
      <c r="K6908" s="221"/>
      <c r="L6908" s="221"/>
      <c r="M6908" s="221"/>
    </row>
    <row r="6909" spans="5:13">
      <c r="E6909" s="221"/>
      <c r="F6909" s="221"/>
      <c r="G6909" s="221"/>
      <c r="H6909" s="221"/>
      <c r="I6909" s="221"/>
      <c r="J6909" s="221"/>
      <c r="K6909" s="221"/>
      <c r="L6909" s="221"/>
      <c r="M6909" s="221"/>
    </row>
    <row r="6910" spans="5:13">
      <c r="E6910" s="221"/>
      <c r="F6910" s="221"/>
      <c r="G6910" s="221"/>
      <c r="H6910" s="221"/>
      <c r="I6910" s="221"/>
      <c r="J6910" s="221"/>
      <c r="K6910" s="221"/>
      <c r="L6910" s="221"/>
      <c r="M6910" s="221"/>
    </row>
    <row r="6911" spans="5:13">
      <c r="E6911" s="221"/>
      <c r="F6911" s="221"/>
      <c r="G6911" s="221"/>
      <c r="H6911" s="221"/>
      <c r="I6911" s="221"/>
      <c r="J6911" s="221"/>
      <c r="K6911" s="221"/>
      <c r="L6911" s="221"/>
      <c r="M6911" s="221"/>
    </row>
    <row r="6912" spans="5:13">
      <c r="E6912" s="221"/>
      <c r="F6912" s="221"/>
      <c r="G6912" s="221"/>
      <c r="H6912" s="221"/>
      <c r="I6912" s="221"/>
      <c r="J6912" s="221"/>
      <c r="K6912" s="221"/>
      <c r="L6912" s="221"/>
      <c r="M6912" s="221"/>
    </row>
    <row r="6913" spans="5:13">
      <c r="E6913" s="221"/>
      <c r="F6913" s="221"/>
      <c r="G6913" s="221"/>
      <c r="H6913" s="221"/>
      <c r="I6913" s="221"/>
      <c r="J6913" s="221"/>
      <c r="K6913" s="221"/>
      <c r="L6913" s="221"/>
      <c r="M6913" s="221"/>
    </row>
    <row r="6914" spans="5:13">
      <c r="E6914" s="221"/>
      <c r="F6914" s="221"/>
      <c r="G6914" s="221"/>
      <c r="H6914" s="221"/>
      <c r="I6914" s="221"/>
      <c r="J6914" s="221"/>
      <c r="K6914" s="221"/>
      <c r="L6914" s="221"/>
      <c r="M6914" s="221"/>
    </row>
    <row r="6915" spans="5:13">
      <c r="E6915" s="221"/>
      <c r="F6915" s="221"/>
      <c r="G6915" s="221"/>
      <c r="H6915" s="221"/>
      <c r="I6915" s="221"/>
      <c r="J6915" s="221"/>
      <c r="K6915" s="221"/>
      <c r="L6915" s="221"/>
      <c r="M6915" s="221"/>
    </row>
    <row r="6916" spans="5:13">
      <c r="E6916" s="221"/>
      <c r="F6916" s="221"/>
      <c r="G6916" s="221"/>
      <c r="H6916" s="221"/>
      <c r="I6916" s="221"/>
      <c r="J6916" s="221"/>
      <c r="K6916" s="221"/>
      <c r="L6916" s="221"/>
      <c r="M6916" s="221"/>
    </row>
    <row r="6917" spans="5:13">
      <c r="E6917" s="221"/>
      <c r="F6917" s="221"/>
      <c r="G6917" s="221"/>
      <c r="H6917" s="221"/>
      <c r="I6917" s="221"/>
      <c r="J6917" s="221"/>
      <c r="K6917" s="221"/>
      <c r="L6917" s="221"/>
      <c r="M6917" s="221"/>
    </row>
    <row r="6918" spans="5:13">
      <c r="E6918" s="221"/>
      <c r="F6918" s="221"/>
      <c r="G6918" s="221"/>
      <c r="H6918" s="221"/>
      <c r="I6918" s="221"/>
      <c r="J6918" s="221"/>
      <c r="K6918" s="221"/>
      <c r="L6918" s="221"/>
      <c r="M6918" s="221"/>
    </row>
    <row r="6919" spans="5:13">
      <c r="E6919" s="221"/>
      <c r="F6919" s="221"/>
      <c r="G6919" s="221"/>
      <c r="H6919" s="221"/>
      <c r="I6919" s="221"/>
      <c r="J6919" s="221"/>
      <c r="K6919" s="221"/>
      <c r="L6919" s="221"/>
      <c r="M6919" s="221"/>
    </row>
    <row r="6920" spans="5:13">
      <c r="E6920" s="221"/>
      <c r="F6920" s="221"/>
      <c r="G6920" s="221"/>
      <c r="H6920" s="221"/>
      <c r="I6920" s="221"/>
      <c r="J6920" s="221"/>
      <c r="K6920" s="221"/>
      <c r="L6920" s="221"/>
      <c r="M6920" s="221"/>
    </row>
    <row r="6921" spans="5:13">
      <c r="E6921" s="221"/>
      <c r="F6921" s="221"/>
      <c r="G6921" s="221"/>
      <c r="H6921" s="221"/>
      <c r="I6921" s="221"/>
      <c r="J6921" s="221"/>
      <c r="K6921" s="221"/>
      <c r="L6921" s="221"/>
      <c r="M6921" s="221"/>
    </row>
    <row r="6922" spans="5:13">
      <c r="E6922" s="221"/>
      <c r="F6922" s="221"/>
      <c r="G6922" s="221"/>
      <c r="H6922" s="221"/>
      <c r="I6922" s="221"/>
      <c r="J6922" s="221"/>
      <c r="K6922" s="221"/>
      <c r="L6922" s="221"/>
      <c r="M6922" s="221"/>
    </row>
    <row r="6923" spans="5:13">
      <c r="E6923" s="221"/>
      <c r="F6923" s="221"/>
      <c r="G6923" s="221"/>
      <c r="H6923" s="221"/>
      <c r="I6923" s="221"/>
      <c r="J6923" s="221"/>
      <c r="K6923" s="221"/>
      <c r="L6923" s="221"/>
      <c r="M6923" s="221"/>
    </row>
    <row r="6924" spans="5:13">
      <c r="E6924" s="221"/>
      <c r="F6924" s="221"/>
      <c r="G6924" s="221"/>
      <c r="H6924" s="221"/>
      <c r="I6924" s="221"/>
      <c r="J6924" s="221"/>
      <c r="K6924" s="221"/>
      <c r="L6924" s="221"/>
      <c r="M6924" s="221"/>
    </row>
    <row r="6925" spans="5:13">
      <c r="E6925" s="221"/>
      <c r="F6925" s="221"/>
      <c r="G6925" s="221"/>
      <c r="H6925" s="221"/>
      <c r="I6925" s="221"/>
      <c r="J6925" s="221"/>
      <c r="K6925" s="221"/>
      <c r="L6925" s="221"/>
      <c r="M6925" s="221"/>
    </row>
    <row r="6926" spans="5:13">
      <c r="E6926" s="221"/>
      <c r="F6926" s="221"/>
      <c r="G6926" s="221"/>
      <c r="H6926" s="221"/>
      <c r="I6926" s="221"/>
      <c r="J6926" s="221"/>
      <c r="K6926" s="221"/>
      <c r="L6926" s="221"/>
      <c r="M6926" s="221"/>
    </row>
    <row r="6927" spans="5:13">
      <c r="E6927" s="221"/>
      <c r="F6927" s="221"/>
      <c r="G6927" s="221"/>
      <c r="H6927" s="221"/>
      <c r="I6927" s="221"/>
      <c r="J6927" s="221"/>
      <c r="K6927" s="221"/>
      <c r="L6927" s="221"/>
      <c r="M6927" s="221"/>
    </row>
    <row r="6928" spans="5:13">
      <c r="E6928" s="221"/>
      <c r="F6928" s="221"/>
      <c r="G6928" s="221"/>
      <c r="H6928" s="221"/>
      <c r="I6928" s="221"/>
      <c r="J6928" s="221"/>
      <c r="K6928" s="221"/>
      <c r="L6928" s="221"/>
      <c r="M6928" s="221"/>
    </row>
    <row r="6929" spans="5:13">
      <c r="E6929" s="221"/>
      <c r="F6929" s="221"/>
      <c r="G6929" s="221"/>
      <c r="H6929" s="221"/>
      <c r="I6929" s="221"/>
      <c r="J6929" s="221"/>
      <c r="K6929" s="221"/>
      <c r="L6929" s="221"/>
      <c r="M6929" s="221"/>
    </row>
    <row r="6930" spans="5:13">
      <c r="E6930" s="221"/>
      <c r="F6930" s="221"/>
      <c r="G6930" s="221"/>
      <c r="H6930" s="221"/>
      <c r="I6930" s="221"/>
      <c r="J6930" s="221"/>
      <c r="K6930" s="221"/>
      <c r="L6930" s="221"/>
      <c r="M6930" s="221"/>
    </row>
    <row r="6931" spans="5:13">
      <c r="E6931" s="221"/>
      <c r="F6931" s="221"/>
      <c r="G6931" s="221"/>
      <c r="H6931" s="221"/>
      <c r="I6931" s="221"/>
      <c r="J6931" s="221"/>
      <c r="K6931" s="221"/>
      <c r="L6931" s="221"/>
      <c r="M6931" s="221"/>
    </row>
    <row r="6932" spans="5:13">
      <c r="E6932" s="221"/>
      <c r="F6932" s="221"/>
      <c r="G6932" s="221"/>
      <c r="H6932" s="221"/>
      <c r="I6932" s="221"/>
      <c r="J6932" s="221"/>
      <c r="K6932" s="221"/>
      <c r="L6932" s="221"/>
      <c r="M6932" s="221"/>
    </row>
    <row r="6933" spans="5:13">
      <c r="E6933" s="221"/>
      <c r="F6933" s="221"/>
      <c r="G6933" s="221"/>
      <c r="H6933" s="221"/>
      <c r="I6933" s="221"/>
      <c r="J6933" s="221"/>
      <c r="K6933" s="221"/>
      <c r="L6933" s="221"/>
      <c r="M6933" s="221"/>
    </row>
    <row r="6934" spans="5:13">
      <c r="E6934" s="221"/>
      <c r="F6934" s="221"/>
      <c r="G6934" s="221"/>
      <c r="H6934" s="221"/>
      <c r="I6934" s="221"/>
      <c r="J6934" s="221"/>
      <c r="K6934" s="221"/>
      <c r="L6934" s="221"/>
      <c r="M6934" s="221"/>
    </row>
    <row r="6935" spans="5:13">
      <c r="E6935" s="221"/>
      <c r="F6935" s="221"/>
      <c r="G6935" s="221"/>
      <c r="H6935" s="221"/>
      <c r="I6935" s="221"/>
      <c r="J6935" s="221"/>
      <c r="K6935" s="221"/>
      <c r="L6935" s="221"/>
      <c r="M6935" s="221"/>
    </row>
    <row r="6936" spans="5:13">
      <c r="E6936" s="221"/>
      <c r="F6936" s="221"/>
      <c r="G6936" s="221"/>
      <c r="H6936" s="221"/>
      <c r="I6936" s="221"/>
      <c r="J6936" s="221"/>
      <c r="K6936" s="221"/>
      <c r="L6936" s="221"/>
      <c r="M6936" s="221"/>
    </row>
    <row r="6937" spans="5:13">
      <c r="E6937" s="221"/>
      <c r="F6937" s="221"/>
      <c r="G6937" s="221"/>
      <c r="H6937" s="221"/>
      <c r="I6937" s="221"/>
      <c r="J6937" s="221"/>
      <c r="K6937" s="221"/>
      <c r="L6937" s="221"/>
      <c r="M6937" s="221"/>
    </row>
    <row r="6938" spans="5:13">
      <c r="E6938" s="221"/>
      <c r="F6938" s="221"/>
      <c r="G6938" s="221"/>
      <c r="H6938" s="221"/>
      <c r="I6938" s="221"/>
      <c r="J6938" s="221"/>
      <c r="K6938" s="221"/>
      <c r="L6938" s="221"/>
      <c r="M6938" s="221"/>
    </row>
    <row r="6939" spans="5:13">
      <c r="E6939" s="221"/>
      <c r="F6939" s="221"/>
      <c r="G6939" s="221"/>
      <c r="H6939" s="221"/>
      <c r="I6939" s="221"/>
      <c r="J6939" s="221"/>
      <c r="K6939" s="221"/>
      <c r="L6939" s="221"/>
      <c r="M6939" s="221"/>
    </row>
    <row r="6940" spans="5:13">
      <c r="E6940" s="221"/>
      <c r="F6940" s="221"/>
      <c r="G6940" s="221"/>
      <c r="H6940" s="221"/>
      <c r="I6940" s="221"/>
      <c r="J6940" s="221"/>
      <c r="K6940" s="221"/>
      <c r="L6940" s="221"/>
      <c r="M6940" s="221"/>
    </row>
    <row r="6941" spans="5:13">
      <c r="E6941" s="221"/>
      <c r="F6941" s="221"/>
      <c r="G6941" s="221"/>
      <c r="H6941" s="221"/>
      <c r="I6941" s="221"/>
      <c r="J6941" s="221"/>
      <c r="K6941" s="221"/>
      <c r="L6941" s="221"/>
      <c r="M6941" s="221"/>
    </row>
    <row r="6942" spans="5:13">
      <c r="E6942" s="221"/>
      <c r="F6942" s="221"/>
      <c r="G6942" s="221"/>
      <c r="H6942" s="221"/>
      <c r="I6942" s="221"/>
      <c r="J6942" s="221"/>
      <c r="K6942" s="221"/>
      <c r="L6942" s="221"/>
      <c r="M6942" s="221"/>
    </row>
    <row r="6943" spans="5:13">
      <c r="E6943" s="221"/>
      <c r="F6943" s="221"/>
      <c r="G6943" s="221"/>
      <c r="H6943" s="221"/>
      <c r="I6943" s="221"/>
      <c r="J6943" s="221"/>
      <c r="K6943" s="221"/>
      <c r="L6943" s="221"/>
      <c r="M6943" s="221"/>
    </row>
    <row r="6944" spans="5:13">
      <c r="E6944" s="221"/>
      <c r="F6944" s="221"/>
      <c r="G6944" s="221"/>
      <c r="H6944" s="221"/>
      <c r="I6944" s="221"/>
      <c r="J6944" s="221"/>
      <c r="K6944" s="221"/>
      <c r="L6944" s="221"/>
      <c r="M6944" s="221"/>
    </row>
    <row r="6945" spans="5:13">
      <c r="E6945" s="221"/>
      <c r="F6945" s="221"/>
      <c r="G6945" s="221"/>
      <c r="H6945" s="221"/>
      <c r="I6945" s="221"/>
      <c r="J6945" s="221"/>
      <c r="K6945" s="221"/>
      <c r="L6945" s="221"/>
      <c r="M6945" s="221"/>
    </row>
    <row r="6946" spans="5:13">
      <c r="E6946" s="221"/>
      <c r="F6946" s="221"/>
      <c r="G6946" s="221"/>
      <c r="H6946" s="221"/>
      <c r="I6946" s="221"/>
      <c r="J6946" s="221"/>
      <c r="K6946" s="221"/>
      <c r="L6946" s="221"/>
      <c r="M6946" s="221"/>
    </row>
    <row r="6947" spans="5:13">
      <c r="E6947" s="221"/>
      <c r="F6947" s="221"/>
      <c r="G6947" s="221"/>
      <c r="H6947" s="221"/>
      <c r="I6947" s="221"/>
      <c r="J6947" s="221"/>
      <c r="K6947" s="221"/>
      <c r="L6947" s="221"/>
      <c r="M6947" s="221"/>
    </row>
    <row r="6948" spans="5:13">
      <c r="E6948" s="221"/>
      <c r="F6948" s="221"/>
      <c r="G6948" s="221"/>
      <c r="H6948" s="221"/>
      <c r="I6948" s="221"/>
      <c r="J6948" s="221"/>
      <c r="K6948" s="221"/>
      <c r="L6948" s="221"/>
      <c r="M6948" s="221"/>
    </row>
    <row r="6949" spans="5:13">
      <c r="E6949" s="221"/>
      <c r="F6949" s="221"/>
      <c r="G6949" s="221"/>
      <c r="H6949" s="221"/>
      <c r="I6949" s="221"/>
      <c r="J6949" s="221"/>
      <c r="K6949" s="221"/>
      <c r="L6949" s="221"/>
      <c r="M6949" s="221"/>
    </row>
    <row r="6950" spans="5:13">
      <c r="E6950" s="221"/>
      <c r="F6950" s="221"/>
      <c r="G6950" s="221"/>
      <c r="H6950" s="221"/>
      <c r="I6950" s="221"/>
      <c r="J6950" s="221"/>
      <c r="K6950" s="221"/>
      <c r="L6950" s="221"/>
      <c r="M6950" s="221"/>
    </row>
    <row r="6951" spans="5:13">
      <c r="E6951" s="221"/>
      <c r="F6951" s="221"/>
      <c r="G6951" s="221"/>
      <c r="H6951" s="221"/>
      <c r="I6951" s="221"/>
      <c r="J6951" s="221"/>
      <c r="K6951" s="221"/>
      <c r="L6951" s="221"/>
      <c r="M6951" s="221"/>
    </row>
    <row r="6952" spans="5:13">
      <c r="E6952" s="221"/>
      <c r="F6952" s="221"/>
      <c r="G6952" s="221"/>
      <c r="H6952" s="221"/>
      <c r="I6952" s="221"/>
      <c r="J6952" s="221"/>
      <c r="K6952" s="221"/>
      <c r="L6952" s="221"/>
      <c r="M6952" s="221"/>
    </row>
    <row r="6953" spans="5:13">
      <c r="E6953" s="221"/>
      <c r="F6953" s="221"/>
      <c r="G6953" s="221"/>
      <c r="H6953" s="221"/>
      <c r="I6953" s="221"/>
      <c r="J6953" s="221"/>
      <c r="K6953" s="221"/>
      <c r="L6953" s="221"/>
      <c r="M6953" s="221"/>
    </row>
    <row r="6954" spans="5:13">
      <c r="E6954" s="221"/>
      <c r="F6954" s="221"/>
      <c r="G6954" s="221"/>
      <c r="H6954" s="221"/>
      <c r="I6954" s="221"/>
      <c r="J6954" s="221"/>
      <c r="K6954" s="221"/>
      <c r="L6954" s="221"/>
      <c r="M6954" s="221"/>
    </row>
    <row r="6955" spans="5:13">
      <c r="E6955" s="221"/>
      <c r="F6955" s="221"/>
      <c r="G6955" s="221"/>
      <c r="H6955" s="221"/>
      <c r="I6955" s="221"/>
      <c r="J6955" s="221"/>
      <c r="K6955" s="221"/>
      <c r="L6955" s="221"/>
      <c r="M6955" s="221"/>
    </row>
    <row r="6956" spans="5:13">
      <c r="E6956" s="221"/>
      <c r="F6956" s="221"/>
      <c r="G6956" s="221"/>
      <c r="H6956" s="221"/>
      <c r="I6956" s="221"/>
      <c r="J6956" s="221"/>
      <c r="K6956" s="221"/>
      <c r="L6956" s="221"/>
      <c r="M6956" s="221"/>
    </row>
    <row r="6957" spans="5:13">
      <c r="E6957" s="221"/>
      <c r="F6957" s="221"/>
      <c r="G6957" s="221"/>
      <c r="H6957" s="221"/>
      <c r="I6957" s="221"/>
      <c r="J6957" s="221"/>
      <c r="K6957" s="221"/>
      <c r="L6957" s="221"/>
      <c r="M6957" s="221"/>
    </row>
    <row r="6958" spans="5:13">
      <c r="E6958" s="221"/>
      <c r="F6958" s="221"/>
      <c r="G6958" s="221"/>
      <c r="H6958" s="221"/>
      <c r="I6958" s="221"/>
      <c r="J6958" s="221"/>
      <c r="K6958" s="221"/>
      <c r="L6958" s="221"/>
      <c r="M6958" s="221"/>
    </row>
    <row r="6959" spans="5:13">
      <c r="E6959" s="221"/>
      <c r="F6959" s="221"/>
      <c r="G6959" s="221"/>
      <c r="H6959" s="221"/>
      <c r="I6959" s="221"/>
      <c r="J6959" s="221"/>
      <c r="K6959" s="221"/>
      <c r="L6959" s="221"/>
      <c r="M6959" s="221"/>
    </row>
    <row r="6960" spans="5:13">
      <c r="E6960" s="221"/>
      <c r="F6960" s="221"/>
      <c r="G6960" s="221"/>
      <c r="H6960" s="221"/>
      <c r="I6960" s="221"/>
      <c r="J6960" s="221"/>
      <c r="K6960" s="221"/>
      <c r="L6960" s="221"/>
      <c r="M6960" s="221"/>
    </row>
    <row r="6961" spans="5:13">
      <c r="E6961" s="221"/>
      <c r="F6961" s="221"/>
      <c r="G6961" s="221"/>
      <c r="H6961" s="221"/>
      <c r="I6961" s="221"/>
      <c r="J6961" s="221"/>
      <c r="K6961" s="221"/>
      <c r="L6961" s="221"/>
      <c r="M6961" s="221"/>
    </row>
    <row r="6962" spans="5:13">
      <c r="E6962" s="221"/>
      <c r="F6962" s="221"/>
      <c r="G6962" s="221"/>
      <c r="H6962" s="221"/>
      <c r="I6962" s="221"/>
      <c r="J6962" s="221"/>
      <c r="K6962" s="221"/>
      <c r="L6962" s="221"/>
      <c r="M6962" s="221"/>
    </row>
    <row r="6963" spans="5:13">
      <c r="E6963" s="221"/>
      <c r="F6963" s="221"/>
      <c r="G6963" s="221"/>
      <c r="H6963" s="221"/>
      <c r="I6963" s="221"/>
      <c r="J6963" s="221"/>
      <c r="K6963" s="221"/>
      <c r="L6963" s="221"/>
      <c r="M6963" s="221"/>
    </row>
    <row r="6964" spans="5:13">
      <c r="E6964" s="221"/>
      <c r="F6964" s="221"/>
      <c r="G6964" s="221"/>
      <c r="H6964" s="221"/>
      <c r="I6964" s="221"/>
      <c r="J6964" s="221"/>
      <c r="K6964" s="221"/>
      <c r="L6964" s="221"/>
      <c r="M6964" s="221"/>
    </row>
    <row r="6965" spans="5:13">
      <c r="E6965" s="221"/>
      <c r="F6965" s="221"/>
      <c r="G6965" s="221"/>
      <c r="H6965" s="221"/>
      <c r="I6965" s="221"/>
      <c r="J6965" s="221"/>
      <c r="K6965" s="221"/>
      <c r="L6965" s="221"/>
      <c r="M6965" s="221"/>
    </row>
    <row r="6966" spans="5:13">
      <c r="E6966" s="221"/>
      <c r="F6966" s="221"/>
      <c r="G6966" s="221"/>
      <c r="H6966" s="221"/>
      <c r="I6966" s="221"/>
      <c r="J6966" s="221"/>
      <c r="K6966" s="221"/>
      <c r="L6966" s="221"/>
      <c r="M6966" s="221"/>
    </row>
    <row r="6967" spans="5:13">
      <c r="E6967" s="221"/>
      <c r="F6967" s="221"/>
      <c r="G6967" s="221"/>
      <c r="H6967" s="221"/>
      <c r="I6967" s="221"/>
      <c r="J6967" s="221"/>
      <c r="K6967" s="221"/>
      <c r="L6967" s="221"/>
      <c r="M6967" s="221"/>
    </row>
    <row r="6968" spans="5:13">
      <c r="E6968" s="221"/>
      <c r="F6968" s="221"/>
      <c r="G6968" s="221"/>
      <c r="H6968" s="221"/>
      <c r="I6968" s="221"/>
      <c r="J6968" s="221"/>
      <c r="K6968" s="221"/>
      <c r="L6968" s="221"/>
      <c r="M6968" s="221"/>
    </row>
    <row r="6969" spans="5:13">
      <c r="E6969" s="221"/>
      <c r="F6969" s="221"/>
      <c r="G6969" s="221"/>
      <c r="H6969" s="221"/>
      <c r="I6969" s="221"/>
      <c r="J6969" s="221"/>
      <c r="K6969" s="221"/>
      <c r="L6969" s="221"/>
      <c r="M6969" s="221"/>
    </row>
    <row r="6970" spans="5:13">
      <c r="E6970" s="221"/>
      <c r="F6970" s="221"/>
      <c r="G6970" s="221"/>
      <c r="H6970" s="221"/>
      <c r="I6970" s="221"/>
      <c r="J6970" s="221"/>
      <c r="K6970" s="221"/>
      <c r="L6970" s="221"/>
      <c r="M6970" s="221"/>
    </row>
    <row r="6971" spans="5:13">
      <c r="E6971" s="221"/>
      <c r="F6971" s="221"/>
      <c r="G6971" s="221"/>
      <c r="H6971" s="221"/>
      <c r="I6971" s="221"/>
      <c r="J6971" s="221"/>
      <c r="K6971" s="221"/>
      <c r="L6971" s="221"/>
      <c r="M6971" s="221"/>
    </row>
    <row r="6972" spans="5:13">
      <c r="E6972" s="221"/>
      <c r="F6972" s="221"/>
      <c r="G6972" s="221"/>
      <c r="H6972" s="221"/>
      <c r="I6972" s="221"/>
      <c r="J6972" s="221"/>
      <c r="K6972" s="221"/>
      <c r="L6972" s="221"/>
      <c r="M6972" s="221"/>
    </row>
    <row r="6973" spans="5:13">
      <c r="E6973" s="221"/>
      <c r="F6973" s="221"/>
      <c r="G6973" s="221"/>
      <c r="H6973" s="221"/>
      <c r="I6973" s="221"/>
      <c r="J6973" s="221"/>
      <c r="K6973" s="221"/>
      <c r="L6973" s="221"/>
      <c r="M6973" s="221"/>
    </row>
    <row r="6974" spans="5:13">
      <c r="E6974" s="221"/>
      <c r="F6974" s="221"/>
      <c r="G6974" s="221"/>
      <c r="H6974" s="221"/>
      <c r="I6974" s="221"/>
      <c r="J6974" s="221"/>
      <c r="K6974" s="221"/>
      <c r="L6974" s="221"/>
      <c r="M6974" s="221"/>
    </row>
    <row r="6975" spans="5:13">
      <c r="E6975" s="221"/>
      <c r="F6975" s="221"/>
      <c r="G6975" s="221"/>
      <c r="H6975" s="221"/>
      <c r="I6975" s="221"/>
      <c r="J6975" s="221"/>
      <c r="K6975" s="221"/>
      <c r="L6975" s="221"/>
      <c r="M6975" s="221"/>
    </row>
    <row r="6976" spans="5:13">
      <c r="E6976" s="221"/>
      <c r="F6976" s="221"/>
      <c r="G6976" s="221"/>
      <c r="H6976" s="221"/>
      <c r="I6976" s="221"/>
      <c r="J6976" s="221"/>
      <c r="K6976" s="221"/>
      <c r="L6976" s="221"/>
      <c r="M6976" s="221"/>
    </row>
    <row r="6977" spans="5:13">
      <c r="E6977" s="221"/>
      <c r="F6977" s="221"/>
      <c r="G6977" s="221"/>
      <c r="H6977" s="221"/>
      <c r="I6977" s="221"/>
      <c r="J6977" s="221"/>
      <c r="K6977" s="221"/>
      <c r="L6977" s="221"/>
      <c r="M6977" s="221"/>
    </row>
    <row r="6978" spans="5:13">
      <c r="E6978" s="221"/>
      <c r="F6978" s="221"/>
      <c r="G6978" s="221"/>
      <c r="H6978" s="221"/>
      <c r="I6978" s="221"/>
      <c r="J6978" s="221"/>
      <c r="K6978" s="221"/>
      <c r="L6978" s="221"/>
      <c r="M6978" s="221"/>
    </row>
    <row r="6979" spans="5:13">
      <c r="E6979" s="221"/>
      <c r="F6979" s="221"/>
      <c r="G6979" s="221"/>
      <c r="H6979" s="221"/>
      <c r="I6979" s="221"/>
      <c r="J6979" s="221"/>
      <c r="K6979" s="221"/>
      <c r="L6979" s="221"/>
      <c r="M6979" s="221"/>
    </row>
    <row r="6980" spans="5:13">
      <c r="E6980" s="221"/>
      <c r="F6980" s="221"/>
      <c r="G6980" s="221"/>
      <c r="H6980" s="221"/>
      <c r="I6980" s="221"/>
      <c r="J6980" s="221"/>
      <c r="K6980" s="221"/>
      <c r="L6980" s="221"/>
      <c r="M6980" s="221"/>
    </row>
    <row r="6981" spans="5:13">
      <c r="E6981" s="221"/>
      <c r="F6981" s="221"/>
      <c r="G6981" s="221"/>
      <c r="H6981" s="221"/>
      <c r="I6981" s="221"/>
      <c r="J6981" s="221"/>
      <c r="K6981" s="221"/>
      <c r="L6981" s="221"/>
      <c r="M6981" s="221"/>
    </row>
    <row r="6982" spans="5:13">
      <c r="E6982" s="221"/>
      <c r="F6982" s="221"/>
      <c r="G6982" s="221"/>
      <c r="H6982" s="221"/>
      <c r="I6982" s="221"/>
      <c r="J6982" s="221"/>
      <c r="K6982" s="221"/>
      <c r="L6982" s="221"/>
      <c r="M6982" s="221"/>
    </row>
    <row r="6983" spans="5:13">
      <c r="E6983" s="221"/>
      <c r="F6983" s="221"/>
      <c r="G6983" s="221"/>
      <c r="H6983" s="221"/>
      <c r="I6983" s="221"/>
      <c r="J6983" s="221"/>
      <c r="K6983" s="221"/>
      <c r="L6983" s="221"/>
      <c r="M6983" s="221"/>
    </row>
    <row r="6984" spans="5:13">
      <c r="E6984" s="221"/>
      <c r="F6984" s="221"/>
      <c r="G6984" s="221"/>
      <c r="H6984" s="221"/>
      <c r="I6984" s="221"/>
      <c r="J6984" s="221"/>
      <c r="K6984" s="221"/>
      <c r="L6984" s="221"/>
      <c r="M6984" s="221"/>
    </row>
    <row r="6985" spans="5:13">
      <c r="E6985" s="221"/>
      <c r="F6985" s="221"/>
      <c r="G6985" s="221"/>
      <c r="H6985" s="221"/>
      <c r="I6985" s="221"/>
      <c r="J6985" s="221"/>
      <c r="K6985" s="221"/>
      <c r="L6985" s="221"/>
      <c r="M6985" s="221"/>
    </row>
    <row r="6986" spans="5:13">
      <c r="E6986" s="221"/>
      <c r="F6986" s="221"/>
      <c r="G6986" s="221"/>
      <c r="H6986" s="221"/>
      <c r="I6986" s="221"/>
      <c r="J6986" s="221"/>
      <c r="K6986" s="221"/>
      <c r="L6986" s="221"/>
      <c r="M6986" s="221"/>
    </row>
    <row r="6987" spans="5:13">
      <c r="E6987" s="221"/>
      <c r="F6987" s="221"/>
      <c r="G6987" s="221"/>
      <c r="H6987" s="221"/>
      <c r="I6987" s="221"/>
      <c r="J6987" s="221"/>
      <c r="K6987" s="221"/>
      <c r="L6987" s="221"/>
      <c r="M6987" s="221"/>
    </row>
    <row r="6988" spans="5:13">
      <c r="E6988" s="221"/>
      <c r="F6988" s="221"/>
      <c r="G6988" s="221"/>
      <c r="H6988" s="221"/>
      <c r="I6988" s="221"/>
      <c r="J6988" s="221"/>
      <c r="K6988" s="221"/>
      <c r="L6988" s="221"/>
      <c r="M6988" s="221"/>
    </row>
    <row r="6989" spans="5:13">
      <c r="E6989" s="221"/>
      <c r="F6989" s="221"/>
      <c r="G6989" s="221"/>
      <c r="H6989" s="221"/>
      <c r="I6989" s="221"/>
      <c r="J6989" s="221"/>
      <c r="K6989" s="221"/>
      <c r="L6989" s="221"/>
      <c r="M6989" s="221"/>
    </row>
    <row r="6990" spans="5:13">
      <c r="E6990" s="221"/>
      <c r="F6990" s="221"/>
      <c r="G6990" s="221"/>
      <c r="H6990" s="221"/>
      <c r="I6990" s="221"/>
      <c r="J6990" s="221"/>
      <c r="K6990" s="221"/>
      <c r="L6990" s="221"/>
      <c r="M6990" s="221"/>
    </row>
    <row r="6991" spans="5:13">
      <c r="E6991" s="221"/>
      <c r="F6991" s="221"/>
      <c r="G6991" s="221"/>
      <c r="H6991" s="221"/>
      <c r="I6991" s="221"/>
      <c r="J6991" s="221"/>
      <c r="K6991" s="221"/>
      <c r="L6991" s="221"/>
      <c r="M6991" s="221"/>
    </row>
    <row r="6992" spans="5:13">
      <c r="E6992" s="221"/>
      <c r="F6992" s="221"/>
      <c r="G6992" s="221"/>
      <c r="H6992" s="221"/>
      <c r="I6992" s="221"/>
      <c r="J6992" s="221"/>
      <c r="K6992" s="221"/>
      <c r="L6992" s="221"/>
      <c r="M6992" s="221"/>
    </row>
    <row r="6993" spans="5:13">
      <c r="E6993" s="221"/>
      <c r="F6993" s="221"/>
      <c r="G6993" s="221"/>
      <c r="H6993" s="221"/>
      <c r="I6993" s="221"/>
      <c r="J6993" s="221"/>
      <c r="K6993" s="221"/>
      <c r="L6993" s="221"/>
      <c r="M6993" s="221"/>
    </row>
    <row r="6994" spans="5:13">
      <c r="E6994" s="221"/>
      <c r="F6994" s="221"/>
      <c r="G6994" s="221"/>
      <c r="H6994" s="221"/>
      <c r="I6994" s="221"/>
      <c r="J6994" s="221"/>
      <c r="K6994" s="221"/>
      <c r="L6994" s="221"/>
      <c r="M6994" s="221"/>
    </row>
    <row r="6995" spans="5:13">
      <c r="E6995" s="221"/>
      <c r="F6995" s="221"/>
      <c r="G6995" s="221"/>
      <c r="H6995" s="221"/>
      <c r="I6995" s="221"/>
      <c r="J6995" s="221"/>
      <c r="K6995" s="221"/>
      <c r="L6995" s="221"/>
      <c r="M6995" s="221"/>
    </row>
    <row r="6996" spans="5:13">
      <c r="E6996" s="221"/>
      <c r="F6996" s="221"/>
      <c r="G6996" s="221"/>
      <c r="H6996" s="221"/>
      <c r="I6996" s="221"/>
      <c r="J6996" s="221"/>
      <c r="K6996" s="221"/>
      <c r="L6996" s="221"/>
      <c r="M6996" s="221"/>
    </row>
    <row r="6997" spans="5:13">
      <c r="E6997" s="221"/>
      <c r="F6997" s="221"/>
      <c r="G6997" s="221"/>
      <c r="H6997" s="221"/>
      <c r="I6997" s="221"/>
      <c r="J6997" s="221"/>
      <c r="K6997" s="221"/>
      <c r="L6997" s="221"/>
      <c r="M6997" s="221"/>
    </row>
    <row r="6998" spans="5:13">
      <c r="E6998" s="221"/>
      <c r="F6998" s="221"/>
      <c r="G6998" s="221"/>
      <c r="H6998" s="221"/>
      <c r="I6998" s="221"/>
      <c r="J6998" s="221"/>
      <c r="K6998" s="221"/>
      <c r="L6998" s="221"/>
      <c r="M6998" s="221"/>
    </row>
    <row r="6999" spans="5:13">
      <c r="E6999" s="221"/>
      <c r="F6999" s="221"/>
      <c r="G6999" s="221"/>
      <c r="H6999" s="221"/>
      <c r="I6999" s="221"/>
      <c r="J6999" s="221"/>
      <c r="K6999" s="221"/>
      <c r="L6999" s="221"/>
      <c r="M6999" s="221"/>
    </row>
    <row r="7000" spans="5:13">
      <c r="E7000" s="221"/>
      <c r="F7000" s="221"/>
      <c r="G7000" s="221"/>
      <c r="H7000" s="221"/>
      <c r="I7000" s="221"/>
      <c r="J7000" s="221"/>
      <c r="K7000" s="221"/>
      <c r="L7000" s="221"/>
      <c r="M7000" s="221"/>
    </row>
    <row r="7001" spans="5:13">
      <c r="E7001" s="221"/>
      <c r="F7001" s="221"/>
      <c r="G7001" s="221"/>
      <c r="H7001" s="221"/>
      <c r="I7001" s="221"/>
      <c r="J7001" s="221"/>
      <c r="K7001" s="221"/>
      <c r="L7001" s="221"/>
      <c r="M7001" s="221"/>
    </row>
    <row r="7002" spans="5:13">
      <c r="E7002" s="221"/>
      <c r="F7002" s="221"/>
      <c r="G7002" s="221"/>
      <c r="H7002" s="221"/>
      <c r="I7002" s="221"/>
      <c r="J7002" s="221"/>
      <c r="K7002" s="221"/>
      <c r="L7002" s="221"/>
      <c r="M7002" s="221"/>
    </row>
    <row r="7003" spans="5:13">
      <c r="E7003" s="221"/>
      <c r="F7003" s="221"/>
      <c r="G7003" s="221"/>
      <c r="H7003" s="221"/>
      <c r="I7003" s="221"/>
      <c r="J7003" s="221"/>
      <c r="K7003" s="221"/>
      <c r="L7003" s="221"/>
      <c r="M7003" s="221"/>
    </row>
    <row r="7004" spans="5:13">
      <c r="E7004" s="221"/>
      <c r="F7004" s="221"/>
      <c r="G7004" s="221"/>
      <c r="H7004" s="221"/>
      <c r="I7004" s="221"/>
      <c r="J7004" s="221"/>
      <c r="K7004" s="221"/>
      <c r="L7004" s="221"/>
      <c r="M7004" s="221"/>
    </row>
    <row r="7005" spans="5:13">
      <c r="E7005" s="221"/>
      <c r="F7005" s="221"/>
      <c r="G7005" s="221"/>
      <c r="H7005" s="221"/>
      <c r="I7005" s="221"/>
      <c r="J7005" s="221"/>
      <c r="K7005" s="221"/>
      <c r="L7005" s="221"/>
      <c r="M7005" s="221"/>
    </row>
    <row r="7006" spans="5:13">
      <c r="E7006" s="221"/>
      <c r="F7006" s="221"/>
      <c r="G7006" s="221"/>
      <c r="H7006" s="221"/>
      <c r="I7006" s="221"/>
      <c r="J7006" s="221"/>
      <c r="K7006" s="221"/>
      <c r="L7006" s="221"/>
      <c r="M7006" s="221"/>
    </row>
    <row r="7007" spans="5:13">
      <c r="E7007" s="221"/>
      <c r="F7007" s="221"/>
      <c r="G7007" s="221"/>
      <c r="H7007" s="221"/>
      <c r="I7007" s="221"/>
      <c r="J7007" s="221"/>
      <c r="K7007" s="221"/>
      <c r="L7007" s="221"/>
      <c r="M7007" s="221"/>
    </row>
    <row r="7008" spans="5:13">
      <c r="E7008" s="221"/>
      <c r="F7008" s="221"/>
      <c r="G7008" s="221"/>
      <c r="H7008" s="221"/>
      <c r="I7008" s="221"/>
      <c r="J7008" s="221"/>
      <c r="K7008" s="221"/>
      <c r="L7008" s="221"/>
      <c r="M7008" s="221"/>
    </row>
    <row r="7009" spans="5:13">
      <c r="E7009" s="221"/>
      <c r="F7009" s="221"/>
      <c r="G7009" s="221"/>
      <c r="H7009" s="221"/>
      <c r="I7009" s="221"/>
      <c r="J7009" s="221"/>
      <c r="K7009" s="221"/>
      <c r="L7009" s="221"/>
      <c r="M7009" s="221"/>
    </row>
    <row r="7010" spans="5:13">
      <c r="E7010" s="221"/>
      <c r="F7010" s="221"/>
      <c r="G7010" s="221"/>
      <c r="H7010" s="221"/>
      <c r="I7010" s="221"/>
      <c r="J7010" s="221"/>
      <c r="K7010" s="221"/>
      <c r="L7010" s="221"/>
      <c r="M7010" s="221"/>
    </row>
    <row r="7011" spans="5:13">
      <c r="E7011" s="221"/>
      <c r="F7011" s="221"/>
      <c r="G7011" s="221"/>
      <c r="H7011" s="221"/>
      <c r="I7011" s="221"/>
      <c r="J7011" s="221"/>
      <c r="K7011" s="221"/>
      <c r="L7011" s="221"/>
      <c r="M7011" s="221"/>
    </row>
    <row r="7012" spans="5:13">
      <c r="E7012" s="221"/>
      <c r="F7012" s="221"/>
      <c r="G7012" s="221"/>
      <c r="H7012" s="221"/>
      <c r="I7012" s="221"/>
      <c r="J7012" s="221"/>
      <c r="K7012" s="221"/>
      <c r="L7012" s="221"/>
      <c r="M7012" s="221"/>
    </row>
    <row r="7013" spans="5:13">
      <c r="E7013" s="221"/>
      <c r="F7013" s="221"/>
      <c r="G7013" s="221"/>
      <c r="H7013" s="221"/>
      <c r="I7013" s="221"/>
      <c r="J7013" s="221"/>
      <c r="K7013" s="221"/>
      <c r="L7013" s="221"/>
      <c r="M7013" s="221"/>
    </row>
    <row r="7014" spans="5:13">
      <c r="E7014" s="221"/>
      <c r="F7014" s="221"/>
      <c r="G7014" s="221"/>
      <c r="H7014" s="221"/>
      <c r="I7014" s="221"/>
      <c r="J7014" s="221"/>
      <c r="K7014" s="221"/>
      <c r="L7014" s="221"/>
      <c r="M7014" s="221"/>
    </row>
    <row r="7015" spans="5:13">
      <c r="E7015" s="221"/>
      <c r="F7015" s="221"/>
      <c r="G7015" s="221"/>
      <c r="H7015" s="221"/>
      <c r="I7015" s="221"/>
      <c r="J7015" s="221"/>
      <c r="K7015" s="221"/>
      <c r="L7015" s="221"/>
      <c r="M7015" s="221"/>
    </row>
    <row r="7016" spans="5:13">
      <c r="E7016" s="221"/>
      <c r="F7016" s="221"/>
      <c r="G7016" s="221"/>
      <c r="H7016" s="221"/>
      <c r="I7016" s="221"/>
      <c r="J7016" s="221"/>
      <c r="K7016" s="221"/>
      <c r="L7016" s="221"/>
      <c r="M7016" s="221"/>
    </row>
    <row r="7017" spans="5:13">
      <c r="E7017" s="221"/>
      <c r="F7017" s="221"/>
      <c r="G7017" s="221"/>
      <c r="H7017" s="221"/>
      <c r="I7017" s="221"/>
      <c r="J7017" s="221"/>
      <c r="K7017" s="221"/>
      <c r="L7017" s="221"/>
      <c r="M7017" s="221"/>
    </row>
    <row r="7018" spans="5:13">
      <c r="E7018" s="221"/>
      <c r="F7018" s="221"/>
      <c r="G7018" s="221"/>
      <c r="H7018" s="221"/>
      <c r="I7018" s="221"/>
      <c r="J7018" s="221"/>
      <c r="K7018" s="221"/>
      <c r="L7018" s="221"/>
      <c r="M7018" s="221"/>
    </row>
    <row r="7019" spans="5:13">
      <c r="E7019" s="221"/>
      <c r="F7019" s="221"/>
      <c r="G7019" s="221"/>
      <c r="H7019" s="221"/>
      <c r="I7019" s="221"/>
      <c r="J7019" s="221"/>
      <c r="K7019" s="221"/>
      <c r="L7019" s="221"/>
      <c r="M7019" s="221"/>
    </row>
    <row r="7020" spans="5:13">
      <c r="E7020" s="221"/>
      <c r="F7020" s="221"/>
      <c r="G7020" s="221"/>
      <c r="H7020" s="221"/>
      <c r="I7020" s="221"/>
      <c r="J7020" s="221"/>
      <c r="K7020" s="221"/>
      <c r="L7020" s="221"/>
      <c r="M7020" s="221"/>
    </row>
    <row r="7021" spans="5:13">
      <c r="E7021" s="221"/>
      <c r="F7021" s="221"/>
      <c r="G7021" s="221"/>
      <c r="H7021" s="221"/>
      <c r="I7021" s="221"/>
      <c r="J7021" s="221"/>
      <c r="K7021" s="221"/>
      <c r="L7021" s="221"/>
      <c r="M7021" s="221"/>
    </row>
    <row r="7022" spans="5:13">
      <c r="E7022" s="221"/>
      <c r="F7022" s="221"/>
      <c r="G7022" s="221"/>
      <c r="H7022" s="221"/>
      <c r="I7022" s="221"/>
      <c r="J7022" s="221"/>
      <c r="K7022" s="221"/>
      <c r="L7022" s="221"/>
      <c r="M7022" s="221"/>
    </row>
    <row r="7023" spans="5:13">
      <c r="E7023" s="221"/>
      <c r="F7023" s="221"/>
      <c r="G7023" s="221"/>
      <c r="H7023" s="221"/>
      <c r="I7023" s="221"/>
      <c r="J7023" s="221"/>
      <c r="K7023" s="221"/>
      <c r="L7023" s="221"/>
      <c r="M7023" s="221"/>
    </row>
    <row r="7024" spans="5:13">
      <c r="E7024" s="221"/>
      <c r="F7024" s="221"/>
      <c r="G7024" s="221"/>
      <c r="H7024" s="221"/>
      <c r="I7024" s="221"/>
      <c r="J7024" s="221"/>
      <c r="K7024" s="221"/>
      <c r="L7024" s="221"/>
      <c r="M7024" s="221"/>
    </row>
    <row r="7025" spans="5:13">
      <c r="E7025" s="221"/>
      <c r="F7025" s="221"/>
      <c r="G7025" s="221"/>
      <c r="H7025" s="221"/>
      <c r="I7025" s="221"/>
      <c r="J7025" s="221"/>
      <c r="K7025" s="221"/>
      <c r="L7025" s="221"/>
      <c r="M7025" s="221"/>
    </row>
    <row r="7026" spans="5:13">
      <c r="E7026" s="221"/>
      <c r="F7026" s="221"/>
      <c r="G7026" s="221"/>
      <c r="H7026" s="221"/>
      <c r="I7026" s="221"/>
      <c r="J7026" s="221"/>
      <c r="K7026" s="221"/>
      <c r="L7026" s="221"/>
      <c r="M7026" s="221"/>
    </row>
    <row r="7027" spans="5:13">
      <c r="E7027" s="221"/>
      <c r="F7027" s="221"/>
      <c r="G7027" s="221"/>
      <c r="H7027" s="221"/>
      <c r="I7027" s="221"/>
      <c r="J7027" s="221"/>
      <c r="K7027" s="221"/>
      <c r="L7027" s="221"/>
      <c r="M7027" s="221"/>
    </row>
    <row r="7028" spans="5:13">
      <c r="E7028" s="221"/>
      <c r="F7028" s="221"/>
      <c r="G7028" s="221"/>
      <c r="H7028" s="221"/>
      <c r="I7028" s="221"/>
      <c r="J7028" s="221"/>
      <c r="K7028" s="221"/>
      <c r="L7028" s="221"/>
      <c r="M7028" s="221"/>
    </row>
    <row r="7029" spans="5:13">
      <c r="E7029" s="221"/>
      <c r="F7029" s="221"/>
      <c r="G7029" s="221"/>
      <c r="H7029" s="221"/>
      <c r="I7029" s="221"/>
      <c r="J7029" s="221"/>
      <c r="K7029" s="221"/>
      <c r="L7029" s="221"/>
      <c r="M7029" s="221"/>
    </row>
    <row r="7030" spans="5:13">
      <c r="E7030" s="221"/>
      <c r="F7030" s="221"/>
      <c r="G7030" s="221"/>
      <c r="H7030" s="221"/>
      <c r="I7030" s="221"/>
      <c r="J7030" s="221"/>
      <c r="K7030" s="221"/>
      <c r="L7030" s="221"/>
      <c r="M7030" s="221"/>
    </row>
    <row r="7031" spans="5:13">
      <c r="E7031" s="221"/>
      <c r="F7031" s="221"/>
      <c r="G7031" s="221"/>
      <c r="H7031" s="221"/>
      <c r="I7031" s="221"/>
      <c r="J7031" s="221"/>
      <c r="K7031" s="221"/>
      <c r="L7031" s="221"/>
      <c r="M7031" s="221"/>
    </row>
    <row r="7032" spans="5:13">
      <c r="E7032" s="221"/>
      <c r="F7032" s="221"/>
      <c r="G7032" s="221"/>
      <c r="H7032" s="221"/>
      <c r="I7032" s="221"/>
      <c r="J7032" s="221"/>
      <c r="K7032" s="221"/>
      <c r="L7032" s="221"/>
      <c r="M7032" s="221"/>
    </row>
    <row r="7033" spans="5:13">
      <c r="E7033" s="221"/>
      <c r="F7033" s="221"/>
      <c r="G7033" s="221"/>
      <c r="H7033" s="221"/>
      <c r="I7033" s="221"/>
      <c r="J7033" s="221"/>
      <c r="K7033" s="221"/>
      <c r="L7033" s="221"/>
      <c r="M7033" s="221"/>
    </row>
    <row r="7034" spans="5:13">
      <c r="E7034" s="221"/>
      <c r="F7034" s="221"/>
      <c r="G7034" s="221"/>
      <c r="H7034" s="221"/>
      <c r="I7034" s="221"/>
      <c r="J7034" s="221"/>
      <c r="K7034" s="221"/>
      <c r="L7034" s="221"/>
      <c r="M7034" s="221"/>
    </row>
    <row r="7035" spans="5:13">
      <c r="E7035" s="221"/>
      <c r="F7035" s="221"/>
      <c r="G7035" s="221"/>
      <c r="H7035" s="221"/>
      <c r="I7035" s="221"/>
      <c r="J7035" s="221"/>
      <c r="K7035" s="221"/>
      <c r="L7035" s="221"/>
      <c r="M7035" s="221"/>
    </row>
    <row r="7036" spans="5:13">
      <c r="E7036" s="221"/>
      <c r="F7036" s="221"/>
      <c r="G7036" s="221"/>
      <c r="H7036" s="221"/>
      <c r="I7036" s="221"/>
      <c r="J7036" s="221"/>
      <c r="K7036" s="221"/>
      <c r="L7036" s="221"/>
      <c r="M7036" s="221"/>
    </row>
    <row r="7037" spans="5:13">
      <c r="E7037" s="221"/>
      <c r="F7037" s="221"/>
      <c r="G7037" s="221"/>
      <c r="H7037" s="221"/>
      <c r="I7037" s="221"/>
      <c r="J7037" s="221"/>
      <c r="K7037" s="221"/>
      <c r="L7037" s="221"/>
      <c r="M7037" s="221"/>
    </row>
    <row r="7038" spans="5:13">
      <c r="E7038" s="221"/>
      <c r="F7038" s="221"/>
      <c r="G7038" s="221"/>
      <c r="H7038" s="221"/>
      <c r="I7038" s="221"/>
      <c r="J7038" s="221"/>
      <c r="K7038" s="221"/>
      <c r="L7038" s="221"/>
      <c r="M7038" s="221"/>
    </row>
    <row r="7039" spans="5:13">
      <c r="E7039" s="221"/>
      <c r="F7039" s="221"/>
      <c r="G7039" s="221"/>
      <c r="H7039" s="221"/>
      <c r="I7039" s="221"/>
      <c r="J7039" s="221"/>
      <c r="K7039" s="221"/>
      <c r="L7039" s="221"/>
      <c r="M7039" s="221"/>
    </row>
    <row r="7040" spans="5:13">
      <c r="E7040" s="221"/>
      <c r="F7040" s="221"/>
      <c r="G7040" s="221"/>
      <c r="H7040" s="221"/>
      <c r="I7040" s="221"/>
      <c r="J7040" s="221"/>
      <c r="K7040" s="221"/>
      <c r="L7040" s="221"/>
      <c r="M7040" s="221"/>
    </row>
    <row r="7041" spans="5:13">
      <c r="E7041" s="221"/>
      <c r="F7041" s="221"/>
      <c r="G7041" s="221"/>
      <c r="H7041" s="221"/>
      <c r="I7041" s="221"/>
      <c r="J7041" s="221"/>
      <c r="K7041" s="221"/>
      <c r="L7041" s="221"/>
      <c r="M7041" s="221"/>
    </row>
    <row r="7042" spans="5:13">
      <c r="E7042" s="221"/>
      <c r="F7042" s="221"/>
      <c r="G7042" s="221"/>
      <c r="H7042" s="221"/>
      <c r="I7042" s="221"/>
      <c r="J7042" s="221"/>
      <c r="K7042" s="221"/>
      <c r="L7042" s="221"/>
      <c r="M7042" s="221"/>
    </row>
    <row r="7043" spans="5:13">
      <c r="E7043" s="221"/>
      <c r="F7043" s="221"/>
      <c r="G7043" s="221"/>
      <c r="H7043" s="221"/>
      <c r="I7043" s="221"/>
      <c r="J7043" s="221"/>
      <c r="K7043" s="221"/>
      <c r="L7043" s="221"/>
      <c r="M7043" s="221"/>
    </row>
    <row r="7044" spans="5:13">
      <c r="E7044" s="221"/>
      <c r="F7044" s="221"/>
      <c r="G7044" s="221"/>
      <c r="H7044" s="221"/>
      <c r="I7044" s="221"/>
      <c r="J7044" s="221"/>
      <c r="K7044" s="221"/>
      <c r="L7044" s="221"/>
      <c r="M7044" s="221"/>
    </row>
    <row r="7045" spans="5:13">
      <c r="E7045" s="221"/>
      <c r="F7045" s="221"/>
      <c r="G7045" s="221"/>
      <c r="H7045" s="221"/>
      <c r="I7045" s="221"/>
      <c r="J7045" s="221"/>
      <c r="K7045" s="221"/>
      <c r="L7045" s="221"/>
      <c r="M7045" s="221"/>
    </row>
    <row r="7046" spans="5:13">
      <c r="E7046" s="221"/>
      <c r="F7046" s="221"/>
      <c r="G7046" s="221"/>
      <c r="H7046" s="221"/>
      <c r="I7046" s="221"/>
      <c r="J7046" s="221"/>
      <c r="K7046" s="221"/>
      <c r="L7046" s="221"/>
      <c r="M7046" s="221"/>
    </row>
    <row r="7047" spans="5:13">
      <c r="E7047" s="221"/>
      <c r="F7047" s="221"/>
      <c r="G7047" s="221"/>
      <c r="H7047" s="221"/>
      <c r="I7047" s="221"/>
      <c r="J7047" s="221"/>
      <c r="K7047" s="221"/>
      <c r="L7047" s="221"/>
      <c r="M7047" s="221"/>
    </row>
    <row r="7048" spans="5:13">
      <c r="E7048" s="221"/>
      <c r="F7048" s="221"/>
      <c r="G7048" s="221"/>
      <c r="H7048" s="221"/>
      <c r="I7048" s="221"/>
      <c r="J7048" s="221"/>
      <c r="K7048" s="221"/>
      <c r="L7048" s="221"/>
      <c r="M7048" s="221"/>
    </row>
    <row r="7049" spans="5:13">
      <c r="E7049" s="221"/>
      <c r="F7049" s="221"/>
      <c r="G7049" s="221"/>
      <c r="H7049" s="221"/>
      <c r="I7049" s="221"/>
      <c r="J7049" s="221"/>
      <c r="K7049" s="221"/>
      <c r="L7049" s="221"/>
      <c r="M7049" s="221"/>
    </row>
    <row r="7050" spans="5:13">
      <c r="E7050" s="221"/>
      <c r="F7050" s="221"/>
      <c r="G7050" s="221"/>
      <c r="H7050" s="221"/>
      <c r="I7050" s="221"/>
      <c r="J7050" s="221"/>
      <c r="K7050" s="221"/>
      <c r="L7050" s="221"/>
      <c r="M7050" s="221"/>
    </row>
    <row r="7051" spans="5:13">
      <c r="E7051" s="221"/>
      <c r="F7051" s="221"/>
      <c r="G7051" s="221"/>
      <c r="H7051" s="221"/>
      <c r="I7051" s="221"/>
      <c r="J7051" s="221"/>
      <c r="K7051" s="221"/>
      <c r="L7051" s="221"/>
      <c r="M7051" s="221"/>
    </row>
    <row r="7052" spans="5:13">
      <c r="E7052" s="221"/>
      <c r="F7052" s="221"/>
      <c r="G7052" s="221"/>
      <c r="H7052" s="221"/>
      <c r="I7052" s="221"/>
      <c r="J7052" s="221"/>
      <c r="K7052" s="221"/>
      <c r="L7052" s="221"/>
      <c r="M7052" s="221"/>
    </row>
    <row r="7053" spans="5:13">
      <c r="E7053" s="221"/>
      <c r="F7053" s="221"/>
      <c r="G7053" s="221"/>
      <c r="H7053" s="221"/>
      <c r="I7053" s="221"/>
      <c r="J7053" s="221"/>
      <c r="K7053" s="221"/>
      <c r="L7053" s="221"/>
      <c r="M7053" s="221"/>
    </row>
    <row r="7054" spans="5:13">
      <c r="E7054" s="221"/>
      <c r="F7054" s="221"/>
      <c r="G7054" s="221"/>
      <c r="H7054" s="221"/>
      <c r="I7054" s="221"/>
      <c r="J7054" s="221"/>
      <c r="K7054" s="221"/>
      <c r="L7054" s="221"/>
      <c r="M7054" s="221"/>
    </row>
    <row r="7055" spans="5:13">
      <c r="E7055" s="221"/>
      <c r="F7055" s="221"/>
      <c r="G7055" s="221"/>
      <c r="H7055" s="221"/>
      <c r="I7055" s="221"/>
      <c r="J7055" s="221"/>
      <c r="K7055" s="221"/>
      <c r="L7055" s="221"/>
      <c r="M7055" s="221"/>
    </row>
    <row r="7056" spans="5:13">
      <c r="E7056" s="221"/>
      <c r="F7056" s="221"/>
      <c r="G7056" s="221"/>
      <c r="H7056" s="221"/>
      <c r="I7056" s="221"/>
      <c r="J7056" s="221"/>
      <c r="K7056" s="221"/>
      <c r="L7056" s="221"/>
      <c r="M7056" s="221"/>
    </row>
    <row r="7057" spans="5:13">
      <c r="E7057" s="221"/>
      <c r="F7057" s="221"/>
      <c r="G7057" s="221"/>
      <c r="H7057" s="221"/>
      <c r="I7057" s="221"/>
      <c r="J7057" s="221"/>
      <c r="K7057" s="221"/>
      <c r="L7057" s="221"/>
      <c r="M7057" s="221"/>
    </row>
    <row r="7058" spans="5:13">
      <c r="E7058" s="221"/>
      <c r="F7058" s="221"/>
      <c r="G7058" s="221"/>
      <c r="H7058" s="221"/>
      <c r="I7058" s="221"/>
      <c r="J7058" s="221"/>
      <c r="K7058" s="221"/>
      <c r="L7058" s="221"/>
      <c r="M7058" s="221"/>
    </row>
    <row r="7059" spans="5:13">
      <c r="E7059" s="221"/>
      <c r="F7059" s="221"/>
      <c r="G7059" s="221"/>
      <c r="H7059" s="221"/>
      <c r="I7059" s="221"/>
      <c r="J7059" s="221"/>
      <c r="K7059" s="221"/>
      <c r="L7059" s="221"/>
      <c r="M7059" s="221"/>
    </row>
    <row r="7060" spans="5:13">
      <c r="E7060" s="221"/>
      <c r="F7060" s="221"/>
      <c r="G7060" s="221"/>
      <c r="H7060" s="221"/>
      <c r="I7060" s="221"/>
      <c r="J7060" s="221"/>
      <c r="K7060" s="221"/>
      <c r="L7060" s="221"/>
      <c r="M7060" s="221"/>
    </row>
    <row r="7061" spans="5:13">
      <c r="E7061" s="221"/>
      <c r="F7061" s="221"/>
      <c r="G7061" s="221"/>
      <c r="H7061" s="221"/>
      <c r="I7061" s="221"/>
      <c r="J7061" s="221"/>
      <c r="K7061" s="221"/>
      <c r="L7061" s="221"/>
      <c r="M7061" s="221"/>
    </row>
    <row r="7062" spans="5:13">
      <c r="E7062" s="221"/>
      <c r="F7062" s="221"/>
      <c r="G7062" s="221"/>
      <c r="H7062" s="221"/>
      <c r="I7062" s="221"/>
      <c r="J7062" s="221"/>
      <c r="K7062" s="221"/>
      <c r="L7062" s="221"/>
      <c r="M7062" s="221"/>
    </row>
    <row r="7063" spans="5:13">
      <c r="E7063" s="221"/>
      <c r="F7063" s="221"/>
      <c r="G7063" s="221"/>
      <c r="H7063" s="221"/>
      <c r="I7063" s="221"/>
      <c r="J7063" s="221"/>
      <c r="K7063" s="221"/>
      <c r="L7063" s="221"/>
      <c r="M7063" s="221"/>
    </row>
    <row r="7064" spans="5:13">
      <c r="E7064" s="221"/>
      <c r="F7064" s="221"/>
      <c r="G7064" s="221"/>
      <c r="H7064" s="221"/>
      <c r="I7064" s="221"/>
      <c r="J7064" s="221"/>
      <c r="K7064" s="221"/>
      <c r="L7064" s="221"/>
      <c r="M7064" s="221"/>
    </row>
    <row r="7065" spans="5:13">
      <c r="E7065" s="221"/>
      <c r="F7065" s="221"/>
      <c r="G7065" s="221"/>
      <c r="H7065" s="221"/>
      <c r="I7065" s="221"/>
      <c r="J7065" s="221"/>
      <c r="K7065" s="221"/>
      <c r="L7065" s="221"/>
      <c r="M7065" s="221"/>
    </row>
    <row r="7066" spans="5:13">
      <c r="E7066" s="221"/>
      <c r="F7066" s="221"/>
      <c r="G7066" s="221"/>
      <c r="H7066" s="221"/>
      <c r="I7066" s="221"/>
      <c r="J7066" s="221"/>
      <c r="K7066" s="221"/>
      <c r="L7066" s="221"/>
      <c r="M7066" s="221"/>
    </row>
    <row r="7067" spans="5:13">
      <c r="E7067" s="221"/>
      <c r="F7067" s="221"/>
      <c r="G7067" s="221"/>
      <c r="H7067" s="221"/>
      <c r="I7067" s="221"/>
      <c r="J7067" s="221"/>
      <c r="K7067" s="221"/>
      <c r="L7067" s="221"/>
      <c r="M7067" s="221"/>
    </row>
    <row r="7068" spans="5:13">
      <c r="E7068" s="221"/>
      <c r="F7068" s="221"/>
      <c r="G7068" s="221"/>
      <c r="H7068" s="221"/>
      <c r="I7068" s="221"/>
      <c r="J7068" s="221"/>
      <c r="K7068" s="221"/>
      <c r="L7068" s="221"/>
      <c r="M7068" s="221"/>
    </row>
    <row r="7069" spans="5:13">
      <c r="E7069" s="221"/>
      <c r="F7069" s="221"/>
      <c r="G7069" s="221"/>
      <c r="H7069" s="221"/>
      <c r="I7069" s="221"/>
      <c r="J7069" s="221"/>
      <c r="K7069" s="221"/>
      <c r="L7069" s="221"/>
      <c r="M7069" s="221"/>
    </row>
    <row r="7070" spans="5:13">
      <c r="E7070" s="221"/>
      <c r="F7070" s="221"/>
      <c r="G7070" s="221"/>
      <c r="H7070" s="221"/>
      <c r="I7070" s="221"/>
      <c r="J7070" s="221"/>
      <c r="K7070" s="221"/>
      <c r="L7070" s="221"/>
      <c r="M7070" s="221"/>
    </row>
    <row r="7071" spans="5:13">
      <c r="E7071" s="221"/>
      <c r="F7071" s="221"/>
      <c r="G7071" s="221"/>
      <c r="H7071" s="221"/>
      <c r="I7071" s="221"/>
      <c r="J7071" s="221"/>
      <c r="K7071" s="221"/>
      <c r="L7071" s="221"/>
      <c r="M7071" s="221"/>
    </row>
    <row r="7072" spans="5:13">
      <c r="E7072" s="221"/>
      <c r="F7072" s="221"/>
      <c r="G7072" s="221"/>
      <c r="H7072" s="221"/>
      <c r="I7072" s="221"/>
      <c r="J7072" s="221"/>
      <c r="K7072" s="221"/>
      <c r="L7072" s="221"/>
      <c r="M7072" s="221"/>
    </row>
    <row r="7073" spans="5:13">
      <c r="E7073" s="221"/>
      <c r="F7073" s="221"/>
      <c r="G7073" s="221"/>
      <c r="H7073" s="221"/>
      <c r="I7073" s="221"/>
      <c r="J7073" s="221"/>
      <c r="K7073" s="221"/>
      <c r="L7073" s="221"/>
      <c r="M7073" s="221"/>
    </row>
    <row r="7074" spans="5:13">
      <c r="E7074" s="221"/>
      <c r="F7074" s="221"/>
      <c r="G7074" s="221"/>
      <c r="H7074" s="221"/>
      <c r="I7074" s="221"/>
      <c r="J7074" s="221"/>
      <c r="K7074" s="221"/>
      <c r="L7074" s="221"/>
      <c r="M7074" s="221"/>
    </row>
    <row r="7075" spans="5:13">
      <c r="E7075" s="221"/>
      <c r="F7075" s="221"/>
      <c r="G7075" s="221"/>
      <c r="H7075" s="221"/>
      <c r="I7075" s="221"/>
      <c r="J7075" s="221"/>
      <c r="K7075" s="221"/>
      <c r="L7075" s="221"/>
      <c r="M7075" s="221"/>
    </row>
    <row r="7076" spans="5:13">
      <c r="E7076" s="221"/>
      <c r="F7076" s="221"/>
      <c r="G7076" s="221"/>
      <c r="H7076" s="221"/>
      <c r="I7076" s="221"/>
      <c r="J7076" s="221"/>
      <c r="K7076" s="221"/>
      <c r="L7076" s="221"/>
      <c r="M7076" s="221"/>
    </row>
    <row r="7077" spans="5:13">
      <c r="E7077" s="221"/>
      <c r="F7077" s="221"/>
      <c r="G7077" s="221"/>
      <c r="H7077" s="221"/>
      <c r="I7077" s="221"/>
      <c r="J7077" s="221"/>
      <c r="K7077" s="221"/>
      <c r="L7077" s="221"/>
      <c r="M7077" s="221"/>
    </row>
    <row r="7078" spans="5:13">
      <c r="E7078" s="221"/>
      <c r="F7078" s="221"/>
      <c r="G7078" s="221"/>
      <c r="H7078" s="221"/>
      <c r="I7078" s="221"/>
      <c r="J7078" s="221"/>
      <c r="K7078" s="221"/>
      <c r="L7078" s="221"/>
      <c r="M7078" s="221"/>
    </row>
    <row r="7079" spans="5:13">
      <c r="E7079" s="221"/>
      <c r="F7079" s="221"/>
      <c r="G7079" s="221"/>
      <c r="H7079" s="221"/>
      <c r="I7079" s="221"/>
      <c r="J7079" s="221"/>
      <c r="K7079" s="221"/>
      <c r="L7079" s="221"/>
      <c r="M7079" s="221"/>
    </row>
    <row r="7080" spans="5:13">
      <c r="E7080" s="221"/>
      <c r="F7080" s="221"/>
      <c r="G7080" s="221"/>
      <c r="H7080" s="221"/>
      <c r="I7080" s="221"/>
      <c r="J7080" s="221"/>
      <c r="K7080" s="221"/>
      <c r="L7080" s="221"/>
      <c r="M7080" s="221"/>
    </row>
    <row r="7081" spans="5:13">
      <c r="E7081" s="221"/>
      <c r="F7081" s="221"/>
      <c r="G7081" s="221"/>
      <c r="H7081" s="221"/>
      <c r="I7081" s="221"/>
      <c r="J7081" s="221"/>
      <c r="K7081" s="221"/>
      <c r="L7081" s="221"/>
      <c r="M7081" s="221"/>
    </row>
    <row r="7082" spans="5:13">
      <c r="E7082" s="221"/>
      <c r="F7082" s="221"/>
      <c r="G7082" s="221"/>
      <c r="H7082" s="221"/>
      <c r="I7082" s="221"/>
      <c r="J7082" s="221"/>
      <c r="K7082" s="221"/>
      <c r="L7082" s="221"/>
      <c r="M7082" s="221"/>
    </row>
    <row r="7083" spans="5:13">
      <c r="E7083" s="221"/>
      <c r="F7083" s="221"/>
      <c r="G7083" s="221"/>
      <c r="H7083" s="221"/>
      <c r="I7083" s="221"/>
      <c r="J7083" s="221"/>
      <c r="K7083" s="221"/>
      <c r="L7083" s="221"/>
      <c r="M7083" s="221"/>
    </row>
    <row r="7084" spans="5:13">
      <c r="E7084" s="221"/>
      <c r="F7084" s="221"/>
      <c r="G7084" s="221"/>
      <c r="H7084" s="221"/>
      <c r="I7084" s="221"/>
      <c r="J7084" s="221"/>
      <c r="K7084" s="221"/>
      <c r="L7084" s="221"/>
      <c r="M7084" s="221"/>
    </row>
    <row r="7085" spans="5:13">
      <c r="E7085" s="221"/>
      <c r="F7085" s="221"/>
      <c r="G7085" s="221"/>
      <c r="H7085" s="221"/>
      <c r="I7085" s="221"/>
      <c r="J7085" s="221"/>
      <c r="K7085" s="221"/>
      <c r="L7085" s="221"/>
      <c r="M7085" s="221"/>
    </row>
    <row r="7086" spans="5:13">
      <c r="E7086" s="221"/>
      <c r="F7086" s="221"/>
      <c r="G7086" s="221"/>
      <c r="H7086" s="221"/>
      <c r="I7086" s="221"/>
      <c r="J7086" s="221"/>
      <c r="K7086" s="221"/>
      <c r="L7086" s="221"/>
      <c r="M7086" s="221"/>
    </row>
    <row r="7087" spans="5:13">
      <c r="E7087" s="221"/>
      <c r="F7087" s="221"/>
      <c r="G7087" s="221"/>
      <c r="H7087" s="221"/>
      <c r="I7087" s="221"/>
      <c r="J7087" s="221"/>
      <c r="K7087" s="221"/>
      <c r="L7087" s="221"/>
      <c r="M7087" s="221"/>
    </row>
    <row r="7088" spans="5:13">
      <c r="E7088" s="221"/>
      <c r="F7088" s="221"/>
      <c r="G7088" s="221"/>
      <c r="H7088" s="221"/>
      <c r="I7088" s="221"/>
      <c r="J7088" s="221"/>
      <c r="K7088" s="221"/>
      <c r="L7088" s="221"/>
      <c r="M7088" s="221"/>
    </row>
    <row r="7089" spans="5:13">
      <c r="E7089" s="221"/>
      <c r="F7089" s="221"/>
      <c r="G7089" s="221"/>
      <c r="H7089" s="221"/>
      <c r="I7089" s="221"/>
      <c r="J7089" s="221"/>
      <c r="K7089" s="221"/>
      <c r="L7089" s="221"/>
      <c r="M7089" s="221"/>
    </row>
    <row r="7090" spans="5:13">
      <c r="E7090" s="221"/>
      <c r="F7090" s="221"/>
      <c r="G7090" s="221"/>
      <c r="H7090" s="221"/>
      <c r="I7090" s="221"/>
      <c r="J7090" s="221"/>
      <c r="K7090" s="221"/>
      <c r="L7090" s="221"/>
      <c r="M7090" s="221"/>
    </row>
    <row r="7091" spans="5:13">
      <c r="E7091" s="221"/>
      <c r="F7091" s="221"/>
      <c r="G7091" s="221"/>
      <c r="H7091" s="221"/>
      <c r="I7091" s="221"/>
      <c r="J7091" s="221"/>
      <c r="K7091" s="221"/>
      <c r="L7091" s="221"/>
      <c r="M7091" s="221"/>
    </row>
    <row r="7092" spans="5:13">
      <c r="E7092" s="221"/>
      <c r="F7092" s="221"/>
      <c r="G7092" s="221"/>
      <c r="H7092" s="221"/>
      <c r="I7092" s="221"/>
      <c r="J7092" s="221"/>
      <c r="K7092" s="221"/>
      <c r="L7092" s="221"/>
      <c r="M7092" s="221"/>
    </row>
    <row r="7093" spans="5:13">
      <c r="E7093" s="221"/>
      <c r="F7093" s="221"/>
      <c r="G7093" s="221"/>
      <c r="H7093" s="221"/>
      <c r="I7093" s="221"/>
      <c r="J7093" s="221"/>
      <c r="K7093" s="221"/>
      <c r="L7093" s="221"/>
      <c r="M7093" s="221"/>
    </row>
    <row r="7094" spans="5:13">
      <c r="E7094" s="221"/>
      <c r="F7094" s="221"/>
      <c r="G7094" s="221"/>
      <c r="H7094" s="221"/>
      <c r="I7094" s="221"/>
      <c r="J7094" s="221"/>
      <c r="K7094" s="221"/>
      <c r="L7094" s="221"/>
      <c r="M7094" s="221"/>
    </row>
    <row r="7095" spans="5:13">
      <c r="E7095" s="221"/>
      <c r="F7095" s="221"/>
      <c r="G7095" s="221"/>
      <c r="H7095" s="221"/>
      <c r="I7095" s="221"/>
      <c r="J7095" s="221"/>
      <c r="K7095" s="221"/>
      <c r="L7095" s="221"/>
      <c r="M7095" s="221"/>
    </row>
    <row r="7096" spans="5:13">
      <c r="E7096" s="221"/>
      <c r="F7096" s="221"/>
      <c r="G7096" s="221"/>
      <c r="H7096" s="221"/>
      <c r="I7096" s="221"/>
      <c r="J7096" s="221"/>
      <c r="K7096" s="221"/>
      <c r="L7096" s="221"/>
      <c r="M7096" s="221"/>
    </row>
    <row r="7097" spans="5:13">
      <c r="E7097" s="221"/>
      <c r="F7097" s="221"/>
      <c r="G7097" s="221"/>
      <c r="H7097" s="221"/>
      <c r="I7097" s="221"/>
      <c r="J7097" s="221"/>
      <c r="K7097" s="221"/>
      <c r="L7097" s="221"/>
      <c r="M7097" s="221"/>
    </row>
    <row r="7098" spans="5:13">
      <c r="E7098" s="221"/>
      <c r="F7098" s="221"/>
      <c r="G7098" s="221"/>
      <c r="H7098" s="221"/>
      <c r="I7098" s="221"/>
      <c r="J7098" s="221"/>
      <c r="K7098" s="221"/>
      <c r="L7098" s="221"/>
      <c r="M7098" s="221"/>
    </row>
    <row r="7099" spans="5:13">
      <c r="E7099" s="221"/>
      <c r="F7099" s="221"/>
      <c r="G7099" s="221"/>
      <c r="H7099" s="221"/>
      <c r="I7099" s="221"/>
      <c r="J7099" s="221"/>
      <c r="K7099" s="221"/>
      <c r="L7099" s="221"/>
      <c r="M7099" s="221"/>
    </row>
    <row r="7100" spans="5:13">
      <c r="E7100" s="221"/>
      <c r="F7100" s="221"/>
      <c r="G7100" s="221"/>
      <c r="H7100" s="221"/>
      <c r="I7100" s="221"/>
      <c r="J7100" s="221"/>
      <c r="K7100" s="221"/>
      <c r="L7100" s="221"/>
      <c r="M7100" s="221"/>
    </row>
    <row r="7101" spans="5:13">
      <c r="E7101" s="221"/>
      <c r="F7101" s="221"/>
      <c r="G7101" s="221"/>
      <c r="H7101" s="221"/>
      <c r="I7101" s="221"/>
      <c r="J7101" s="221"/>
      <c r="K7101" s="221"/>
      <c r="L7101" s="221"/>
      <c r="M7101" s="221"/>
    </row>
    <row r="7102" spans="5:13">
      <c r="E7102" s="221"/>
      <c r="F7102" s="221"/>
      <c r="G7102" s="221"/>
      <c r="H7102" s="221"/>
      <c r="I7102" s="221"/>
      <c r="J7102" s="221"/>
      <c r="K7102" s="221"/>
      <c r="L7102" s="221"/>
      <c r="M7102" s="221"/>
    </row>
    <row r="7103" spans="5:13">
      <c r="E7103" s="221"/>
      <c r="F7103" s="221"/>
      <c r="G7103" s="221"/>
      <c r="H7103" s="221"/>
      <c r="I7103" s="221"/>
      <c r="J7103" s="221"/>
      <c r="K7103" s="221"/>
      <c r="L7103" s="221"/>
      <c r="M7103" s="221"/>
    </row>
    <row r="7104" spans="5:13">
      <c r="E7104" s="221"/>
      <c r="F7104" s="221"/>
      <c r="G7104" s="221"/>
      <c r="H7104" s="221"/>
      <c r="I7104" s="221"/>
      <c r="J7104" s="221"/>
      <c r="K7104" s="221"/>
      <c r="L7104" s="221"/>
      <c r="M7104" s="221"/>
    </row>
    <row r="7105" spans="5:13">
      <c r="E7105" s="221"/>
      <c r="F7105" s="221"/>
      <c r="G7105" s="221"/>
      <c r="H7105" s="221"/>
      <c r="I7105" s="221"/>
      <c r="J7105" s="221"/>
      <c r="K7105" s="221"/>
      <c r="L7105" s="221"/>
      <c r="M7105" s="221"/>
    </row>
    <row r="7106" spans="5:13">
      <c r="E7106" s="221"/>
      <c r="F7106" s="221"/>
      <c r="G7106" s="221"/>
      <c r="H7106" s="221"/>
      <c r="I7106" s="221"/>
      <c r="J7106" s="221"/>
      <c r="K7106" s="221"/>
      <c r="L7106" s="221"/>
      <c r="M7106" s="221"/>
    </row>
    <row r="7107" spans="5:13">
      <c r="E7107" s="221"/>
      <c r="F7107" s="221"/>
      <c r="G7107" s="221"/>
      <c r="H7107" s="221"/>
      <c r="I7107" s="221"/>
      <c r="J7107" s="221"/>
      <c r="K7107" s="221"/>
      <c r="L7107" s="221"/>
      <c r="M7107" s="221"/>
    </row>
    <row r="7108" spans="5:13">
      <c r="E7108" s="221"/>
      <c r="F7108" s="221"/>
      <c r="G7108" s="221"/>
      <c r="H7108" s="221"/>
      <c r="I7108" s="221"/>
      <c r="J7108" s="221"/>
      <c r="K7108" s="221"/>
      <c r="L7108" s="221"/>
      <c r="M7108" s="221"/>
    </row>
    <row r="7109" spans="5:13">
      <c r="E7109" s="221"/>
      <c r="F7109" s="221"/>
      <c r="G7109" s="221"/>
      <c r="H7109" s="221"/>
      <c r="I7109" s="221"/>
      <c r="J7109" s="221"/>
      <c r="K7109" s="221"/>
      <c r="L7109" s="221"/>
      <c r="M7109" s="221"/>
    </row>
    <row r="7110" spans="5:13">
      <c r="E7110" s="221"/>
      <c r="F7110" s="221"/>
      <c r="G7110" s="221"/>
      <c r="H7110" s="221"/>
      <c r="I7110" s="221"/>
      <c r="J7110" s="221"/>
      <c r="K7110" s="221"/>
      <c r="L7110" s="221"/>
      <c r="M7110" s="221"/>
    </row>
    <row r="7111" spans="5:13">
      <c r="E7111" s="221"/>
      <c r="F7111" s="221"/>
      <c r="G7111" s="221"/>
      <c r="H7111" s="221"/>
      <c r="I7111" s="221"/>
      <c r="J7111" s="221"/>
      <c r="K7111" s="221"/>
      <c r="L7111" s="221"/>
      <c r="M7111" s="221"/>
    </row>
    <row r="7112" spans="5:13">
      <c r="E7112" s="221"/>
      <c r="F7112" s="221"/>
      <c r="G7112" s="221"/>
      <c r="H7112" s="221"/>
      <c r="I7112" s="221"/>
      <c r="J7112" s="221"/>
      <c r="K7112" s="221"/>
      <c r="L7112" s="221"/>
      <c r="M7112" s="221"/>
    </row>
    <row r="7113" spans="5:13">
      <c r="E7113" s="221"/>
      <c r="F7113" s="221"/>
      <c r="G7113" s="221"/>
      <c r="H7113" s="221"/>
      <c r="I7113" s="221"/>
      <c r="J7113" s="221"/>
      <c r="K7113" s="221"/>
      <c r="L7113" s="221"/>
      <c r="M7113" s="221"/>
    </row>
    <row r="7114" spans="5:13">
      <c r="E7114" s="221"/>
      <c r="F7114" s="221"/>
      <c r="G7114" s="221"/>
      <c r="H7114" s="221"/>
      <c r="I7114" s="221"/>
      <c r="J7114" s="221"/>
      <c r="K7114" s="221"/>
      <c r="L7114" s="221"/>
      <c r="M7114" s="221"/>
    </row>
    <row r="7115" spans="5:13">
      <c r="E7115" s="221"/>
      <c r="F7115" s="221"/>
      <c r="G7115" s="221"/>
      <c r="H7115" s="221"/>
      <c r="I7115" s="221"/>
      <c r="J7115" s="221"/>
      <c r="K7115" s="221"/>
      <c r="L7115" s="221"/>
      <c r="M7115" s="221"/>
    </row>
    <row r="7116" spans="5:13">
      <c r="E7116" s="221"/>
      <c r="F7116" s="221"/>
      <c r="G7116" s="221"/>
      <c r="H7116" s="221"/>
      <c r="I7116" s="221"/>
      <c r="J7116" s="221"/>
      <c r="K7116" s="221"/>
      <c r="L7116" s="221"/>
      <c r="M7116" s="221"/>
    </row>
    <row r="7117" spans="5:13">
      <c r="E7117" s="221"/>
      <c r="F7117" s="221"/>
      <c r="G7117" s="221"/>
      <c r="H7117" s="221"/>
      <c r="I7117" s="221"/>
      <c r="J7117" s="221"/>
      <c r="K7117" s="221"/>
      <c r="L7117" s="221"/>
      <c r="M7117" s="221"/>
    </row>
    <row r="7118" spans="5:13">
      <c r="E7118" s="221"/>
      <c r="F7118" s="221"/>
      <c r="G7118" s="221"/>
      <c r="H7118" s="221"/>
      <c r="I7118" s="221"/>
      <c r="J7118" s="221"/>
      <c r="K7118" s="221"/>
      <c r="L7118" s="221"/>
      <c r="M7118" s="221"/>
    </row>
    <row r="7119" spans="5:13">
      <c r="E7119" s="221"/>
      <c r="F7119" s="221"/>
      <c r="G7119" s="221"/>
      <c r="H7119" s="221"/>
      <c r="I7119" s="221"/>
      <c r="J7119" s="221"/>
      <c r="K7119" s="221"/>
      <c r="L7119" s="221"/>
      <c r="M7119" s="221"/>
    </row>
    <row r="7120" spans="5:13">
      <c r="E7120" s="221"/>
      <c r="F7120" s="221"/>
      <c r="G7120" s="221"/>
      <c r="H7120" s="221"/>
      <c r="I7120" s="221"/>
      <c r="J7120" s="221"/>
      <c r="K7120" s="221"/>
      <c r="L7120" s="221"/>
      <c r="M7120" s="221"/>
    </row>
    <row r="7121" spans="5:13">
      <c r="E7121" s="221"/>
      <c r="F7121" s="221"/>
      <c r="G7121" s="221"/>
      <c r="H7121" s="221"/>
      <c r="I7121" s="221"/>
      <c r="J7121" s="221"/>
      <c r="K7121" s="221"/>
      <c r="L7121" s="221"/>
      <c r="M7121" s="221"/>
    </row>
    <row r="7122" spans="5:13">
      <c r="E7122" s="221"/>
      <c r="F7122" s="221"/>
      <c r="G7122" s="221"/>
      <c r="H7122" s="221"/>
      <c r="I7122" s="221"/>
      <c r="J7122" s="221"/>
      <c r="K7122" s="221"/>
      <c r="L7122" s="221"/>
      <c r="M7122" s="221"/>
    </row>
    <row r="7123" spans="5:13">
      <c r="E7123" s="221"/>
      <c r="F7123" s="221"/>
      <c r="G7123" s="221"/>
      <c r="H7123" s="221"/>
      <c r="I7123" s="221"/>
      <c r="J7123" s="221"/>
      <c r="K7123" s="221"/>
      <c r="L7123" s="221"/>
      <c r="M7123" s="221"/>
    </row>
    <row r="7124" spans="5:13">
      <c r="E7124" s="221"/>
      <c r="F7124" s="221"/>
      <c r="G7124" s="221"/>
      <c r="H7124" s="221"/>
      <c r="I7124" s="221"/>
      <c r="J7124" s="221"/>
      <c r="K7124" s="221"/>
      <c r="L7124" s="221"/>
      <c r="M7124" s="221"/>
    </row>
    <row r="7125" spans="5:13">
      <c r="E7125" s="221"/>
      <c r="F7125" s="221"/>
      <c r="G7125" s="221"/>
      <c r="H7125" s="221"/>
      <c r="I7125" s="221"/>
      <c r="J7125" s="221"/>
      <c r="K7125" s="221"/>
      <c r="L7125" s="221"/>
      <c r="M7125" s="221"/>
    </row>
    <row r="7126" spans="5:13">
      <c r="E7126" s="221"/>
      <c r="F7126" s="221"/>
      <c r="G7126" s="221"/>
      <c r="H7126" s="221"/>
      <c r="I7126" s="221"/>
      <c r="J7126" s="221"/>
      <c r="K7126" s="221"/>
      <c r="L7126" s="221"/>
      <c r="M7126" s="221"/>
    </row>
    <row r="7127" spans="5:13">
      <c r="E7127" s="221"/>
      <c r="F7127" s="221"/>
      <c r="G7127" s="221"/>
      <c r="H7127" s="221"/>
      <c r="I7127" s="221"/>
      <c r="J7127" s="221"/>
      <c r="K7127" s="221"/>
      <c r="L7127" s="221"/>
      <c r="M7127" s="221"/>
    </row>
    <row r="7128" spans="5:13">
      <c r="E7128" s="221"/>
      <c r="F7128" s="221"/>
      <c r="G7128" s="221"/>
      <c r="H7128" s="221"/>
      <c r="I7128" s="221"/>
      <c r="J7128" s="221"/>
      <c r="K7128" s="221"/>
      <c r="L7128" s="221"/>
      <c r="M7128" s="221"/>
    </row>
    <row r="7129" spans="5:13">
      <c r="E7129" s="221"/>
      <c r="F7129" s="221"/>
      <c r="G7129" s="221"/>
      <c r="H7129" s="221"/>
      <c r="I7129" s="221"/>
      <c r="J7129" s="221"/>
      <c r="K7129" s="221"/>
      <c r="L7129" s="221"/>
      <c r="M7129" s="221"/>
    </row>
    <row r="7130" spans="5:13">
      <c r="E7130" s="221"/>
      <c r="F7130" s="221"/>
      <c r="G7130" s="221"/>
      <c r="H7130" s="221"/>
      <c r="I7130" s="221"/>
      <c r="J7130" s="221"/>
      <c r="K7130" s="221"/>
      <c r="L7130" s="221"/>
      <c r="M7130" s="221"/>
    </row>
    <row r="7131" spans="5:13">
      <c r="E7131" s="221"/>
      <c r="F7131" s="221"/>
      <c r="G7131" s="221"/>
      <c r="H7131" s="221"/>
      <c r="I7131" s="221"/>
      <c r="J7131" s="221"/>
      <c r="K7131" s="221"/>
      <c r="L7131" s="221"/>
      <c r="M7131" s="221"/>
    </row>
    <row r="7132" spans="5:13">
      <c r="E7132" s="221"/>
      <c r="F7132" s="221"/>
      <c r="G7132" s="221"/>
      <c r="H7132" s="221"/>
      <c r="I7132" s="221"/>
      <c r="J7132" s="221"/>
      <c r="K7132" s="221"/>
      <c r="L7132" s="221"/>
      <c r="M7132" s="221"/>
    </row>
    <row r="7133" spans="5:13">
      <c r="E7133" s="221"/>
      <c r="F7133" s="221"/>
      <c r="G7133" s="221"/>
      <c r="H7133" s="221"/>
      <c r="I7133" s="221"/>
      <c r="J7133" s="221"/>
      <c r="K7133" s="221"/>
      <c r="L7133" s="221"/>
      <c r="M7133" s="221"/>
    </row>
    <row r="7134" spans="5:13">
      <c r="E7134" s="221"/>
      <c r="F7134" s="221"/>
      <c r="G7134" s="221"/>
      <c r="H7134" s="221"/>
      <c r="I7134" s="221"/>
      <c r="J7134" s="221"/>
      <c r="K7134" s="221"/>
      <c r="L7134" s="221"/>
      <c r="M7134" s="221"/>
    </row>
    <row r="7135" spans="5:13">
      <c r="E7135" s="221"/>
      <c r="F7135" s="221"/>
      <c r="G7135" s="221"/>
      <c r="H7135" s="221"/>
      <c r="I7135" s="221"/>
      <c r="J7135" s="221"/>
      <c r="K7135" s="221"/>
      <c r="L7135" s="221"/>
      <c r="M7135" s="221"/>
    </row>
    <row r="7136" spans="5:13">
      <c r="E7136" s="221"/>
      <c r="F7136" s="221"/>
      <c r="G7136" s="221"/>
      <c r="H7136" s="221"/>
      <c r="I7136" s="221"/>
      <c r="J7136" s="221"/>
      <c r="K7136" s="221"/>
      <c r="L7136" s="221"/>
      <c r="M7136" s="221"/>
    </row>
    <row r="7137" spans="5:13">
      <c r="E7137" s="221"/>
      <c r="F7137" s="221"/>
      <c r="G7137" s="221"/>
      <c r="H7137" s="221"/>
      <c r="I7137" s="221"/>
      <c r="J7137" s="221"/>
      <c r="K7137" s="221"/>
      <c r="L7137" s="221"/>
      <c r="M7137" s="221"/>
    </row>
    <row r="7138" spans="5:13">
      <c r="E7138" s="221"/>
      <c r="F7138" s="221"/>
      <c r="G7138" s="221"/>
      <c r="H7138" s="221"/>
      <c r="I7138" s="221"/>
      <c r="J7138" s="221"/>
      <c r="K7138" s="221"/>
      <c r="L7138" s="221"/>
      <c r="M7138" s="221"/>
    </row>
    <row r="7139" spans="5:13">
      <c r="E7139" s="221"/>
      <c r="F7139" s="221"/>
      <c r="G7139" s="221"/>
      <c r="H7139" s="221"/>
      <c r="I7139" s="221"/>
      <c r="J7139" s="221"/>
      <c r="K7139" s="221"/>
      <c r="L7139" s="221"/>
      <c r="M7139" s="221"/>
    </row>
    <row r="7140" spans="5:13">
      <c r="E7140" s="221"/>
      <c r="F7140" s="221"/>
      <c r="G7140" s="221"/>
      <c r="H7140" s="221"/>
      <c r="I7140" s="221"/>
      <c r="J7140" s="221"/>
      <c r="K7140" s="221"/>
      <c r="L7140" s="221"/>
      <c r="M7140" s="221"/>
    </row>
    <row r="7141" spans="5:13">
      <c r="E7141" s="221"/>
      <c r="F7141" s="221"/>
      <c r="G7141" s="221"/>
      <c r="H7141" s="221"/>
      <c r="I7141" s="221"/>
      <c r="J7141" s="221"/>
      <c r="K7141" s="221"/>
      <c r="L7141" s="221"/>
      <c r="M7141" s="221"/>
    </row>
    <row r="7142" spans="5:13">
      <c r="E7142" s="221"/>
      <c r="F7142" s="221"/>
      <c r="G7142" s="221"/>
      <c r="H7142" s="221"/>
      <c r="I7142" s="221"/>
      <c r="J7142" s="221"/>
      <c r="K7142" s="221"/>
      <c r="L7142" s="221"/>
      <c r="M7142" s="221"/>
    </row>
    <row r="7143" spans="5:13">
      <c r="E7143" s="221"/>
      <c r="F7143" s="221"/>
      <c r="G7143" s="221"/>
      <c r="H7143" s="221"/>
      <c r="I7143" s="221"/>
      <c r="J7143" s="221"/>
      <c r="K7143" s="221"/>
      <c r="L7143" s="221"/>
      <c r="M7143" s="221"/>
    </row>
    <row r="7144" spans="5:13">
      <c r="E7144" s="221"/>
      <c r="F7144" s="221"/>
      <c r="G7144" s="221"/>
      <c r="H7144" s="221"/>
      <c r="I7144" s="221"/>
      <c r="J7144" s="221"/>
      <c r="K7144" s="221"/>
      <c r="L7144" s="221"/>
      <c r="M7144" s="221"/>
    </row>
    <row r="7145" spans="5:13">
      <c r="E7145" s="221"/>
      <c r="F7145" s="221"/>
      <c r="G7145" s="221"/>
      <c r="H7145" s="221"/>
      <c r="I7145" s="221"/>
      <c r="J7145" s="221"/>
      <c r="K7145" s="221"/>
      <c r="L7145" s="221"/>
      <c r="M7145" s="221"/>
    </row>
    <row r="7146" spans="5:13">
      <c r="E7146" s="221"/>
      <c r="F7146" s="221"/>
      <c r="G7146" s="221"/>
      <c r="H7146" s="221"/>
      <c r="I7146" s="221"/>
      <c r="J7146" s="221"/>
      <c r="K7146" s="221"/>
      <c r="L7146" s="221"/>
      <c r="M7146" s="221"/>
    </row>
    <row r="7147" spans="5:13">
      <c r="E7147" s="221"/>
      <c r="F7147" s="221"/>
      <c r="G7147" s="221"/>
      <c r="H7147" s="221"/>
      <c r="I7147" s="221"/>
      <c r="J7147" s="221"/>
      <c r="K7147" s="221"/>
      <c r="L7147" s="221"/>
      <c r="M7147" s="221"/>
    </row>
    <row r="7148" spans="5:13">
      <c r="E7148" s="221"/>
      <c r="F7148" s="221"/>
      <c r="G7148" s="221"/>
      <c r="H7148" s="221"/>
      <c r="I7148" s="221"/>
      <c r="J7148" s="221"/>
      <c r="K7148" s="221"/>
      <c r="L7148" s="221"/>
      <c r="M7148" s="221"/>
    </row>
    <row r="7149" spans="5:13">
      <c r="E7149" s="221"/>
      <c r="F7149" s="221"/>
      <c r="G7149" s="221"/>
      <c r="H7149" s="221"/>
      <c r="I7149" s="221"/>
      <c r="J7149" s="221"/>
      <c r="K7149" s="221"/>
      <c r="L7149" s="221"/>
      <c r="M7149" s="221"/>
    </row>
    <row r="7150" spans="5:13">
      <c r="E7150" s="221"/>
      <c r="F7150" s="221"/>
      <c r="G7150" s="221"/>
      <c r="H7150" s="221"/>
      <c r="I7150" s="221"/>
      <c r="J7150" s="221"/>
      <c r="K7150" s="221"/>
      <c r="L7150" s="221"/>
      <c r="M7150" s="221"/>
    </row>
    <row r="7151" spans="5:13">
      <c r="E7151" s="221"/>
      <c r="F7151" s="221"/>
      <c r="G7151" s="221"/>
      <c r="H7151" s="221"/>
      <c r="I7151" s="221"/>
      <c r="J7151" s="221"/>
      <c r="K7151" s="221"/>
      <c r="L7151" s="221"/>
      <c r="M7151" s="221"/>
    </row>
    <row r="7152" spans="5:13">
      <c r="E7152" s="221"/>
      <c r="F7152" s="221"/>
      <c r="G7152" s="221"/>
      <c r="H7152" s="221"/>
      <c r="I7152" s="221"/>
      <c r="J7152" s="221"/>
      <c r="K7152" s="221"/>
      <c r="L7152" s="221"/>
      <c r="M7152" s="221"/>
    </row>
    <row r="7153" spans="5:13">
      <c r="E7153" s="221"/>
      <c r="F7153" s="221"/>
      <c r="G7153" s="221"/>
      <c r="H7153" s="221"/>
      <c r="I7153" s="221"/>
      <c r="J7153" s="221"/>
      <c r="K7153" s="221"/>
      <c r="L7153" s="221"/>
      <c r="M7153" s="221"/>
    </row>
    <row r="7154" spans="5:13">
      <c r="E7154" s="221"/>
      <c r="F7154" s="221"/>
      <c r="G7154" s="221"/>
      <c r="H7154" s="221"/>
      <c r="I7154" s="221"/>
      <c r="J7154" s="221"/>
      <c r="K7154" s="221"/>
      <c r="L7154" s="221"/>
      <c r="M7154" s="221"/>
    </row>
    <row r="7155" spans="5:13">
      <c r="E7155" s="221"/>
      <c r="F7155" s="221"/>
      <c r="G7155" s="221"/>
      <c r="H7155" s="221"/>
      <c r="I7155" s="221"/>
      <c r="J7155" s="221"/>
      <c r="K7155" s="221"/>
      <c r="L7155" s="221"/>
      <c r="M7155" s="221"/>
    </row>
    <row r="7156" spans="5:13">
      <c r="E7156" s="221"/>
      <c r="F7156" s="221"/>
      <c r="G7156" s="221"/>
      <c r="H7156" s="221"/>
      <c r="I7156" s="221"/>
      <c r="J7156" s="221"/>
      <c r="K7156" s="221"/>
      <c r="L7156" s="221"/>
      <c r="M7156" s="221"/>
    </row>
    <row r="7157" spans="5:13">
      <c r="E7157" s="221"/>
      <c r="F7157" s="221"/>
      <c r="G7157" s="221"/>
      <c r="H7157" s="221"/>
      <c r="I7157" s="221"/>
      <c r="J7157" s="221"/>
      <c r="K7157" s="221"/>
      <c r="L7157" s="221"/>
      <c r="M7157" s="221"/>
    </row>
    <row r="7158" spans="5:13">
      <c r="E7158" s="221"/>
      <c r="F7158" s="221"/>
      <c r="G7158" s="221"/>
      <c r="H7158" s="221"/>
      <c r="I7158" s="221"/>
      <c r="J7158" s="221"/>
      <c r="K7158" s="221"/>
      <c r="L7158" s="221"/>
      <c r="M7158" s="221"/>
    </row>
    <row r="7159" spans="5:13">
      <c r="E7159" s="221"/>
      <c r="F7159" s="221"/>
      <c r="G7159" s="221"/>
      <c r="H7159" s="221"/>
      <c r="I7159" s="221"/>
      <c r="J7159" s="221"/>
      <c r="K7159" s="221"/>
      <c r="L7159" s="221"/>
      <c r="M7159" s="221"/>
    </row>
    <row r="7160" spans="5:13">
      <c r="E7160" s="221"/>
      <c r="F7160" s="221"/>
      <c r="G7160" s="221"/>
      <c r="H7160" s="221"/>
      <c r="I7160" s="221"/>
      <c r="J7160" s="221"/>
      <c r="K7160" s="221"/>
      <c r="L7160" s="221"/>
      <c r="M7160" s="221"/>
    </row>
    <row r="7161" spans="5:13">
      <c r="E7161" s="221"/>
      <c r="F7161" s="221"/>
      <c r="G7161" s="221"/>
      <c r="H7161" s="221"/>
      <c r="I7161" s="221"/>
      <c r="J7161" s="221"/>
      <c r="K7161" s="221"/>
      <c r="L7161" s="221"/>
      <c r="M7161" s="221"/>
    </row>
    <row r="7162" spans="5:13">
      <c r="E7162" s="221"/>
      <c r="F7162" s="221"/>
      <c r="G7162" s="221"/>
      <c r="H7162" s="221"/>
      <c r="I7162" s="221"/>
      <c r="J7162" s="221"/>
      <c r="K7162" s="221"/>
      <c r="L7162" s="221"/>
      <c r="M7162" s="221"/>
    </row>
    <row r="7163" spans="5:13">
      <c r="E7163" s="221"/>
      <c r="F7163" s="221"/>
      <c r="G7163" s="221"/>
      <c r="H7163" s="221"/>
      <c r="I7163" s="221"/>
      <c r="J7163" s="221"/>
      <c r="K7163" s="221"/>
      <c r="L7163" s="221"/>
      <c r="M7163" s="221"/>
    </row>
    <row r="7164" spans="5:13">
      <c r="E7164" s="221"/>
      <c r="F7164" s="221"/>
      <c r="G7164" s="221"/>
      <c r="H7164" s="221"/>
      <c r="I7164" s="221"/>
      <c r="J7164" s="221"/>
      <c r="K7164" s="221"/>
      <c r="L7164" s="221"/>
      <c r="M7164" s="221"/>
    </row>
    <row r="7165" spans="5:13">
      <c r="E7165" s="221"/>
      <c r="F7165" s="221"/>
      <c r="G7165" s="221"/>
      <c r="H7165" s="221"/>
      <c r="I7165" s="221"/>
      <c r="J7165" s="221"/>
      <c r="K7165" s="221"/>
      <c r="L7165" s="221"/>
      <c r="M7165" s="221"/>
    </row>
    <row r="7166" spans="5:13">
      <c r="E7166" s="221"/>
      <c r="F7166" s="221"/>
      <c r="G7166" s="221"/>
      <c r="H7166" s="221"/>
      <c r="I7166" s="221"/>
      <c r="J7166" s="221"/>
      <c r="K7166" s="221"/>
      <c r="L7166" s="221"/>
      <c r="M7166" s="221"/>
    </row>
    <row r="7167" spans="5:13">
      <c r="E7167" s="221"/>
      <c r="F7167" s="221"/>
      <c r="G7167" s="221"/>
      <c r="H7167" s="221"/>
      <c r="I7167" s="221"/>
      <c r="J7167" s="221"/>
      <c r="K7167" s="221"/>
      <c r="L7167" s="221"/>
      <c r="M7167" s="221"/>
    </row>
    <row r="7168" spans="5:13">
      <c r="E7168" s="221"/>
      <c r="F7168" s="221"/>
      <c r="G7168" s="221"/>
      <c r="H7168" s="221"/>
      <c r="I7168" s="221"/>
      <c r="J7168" s="221"/>
      <c r="K7168" s="221"/>
      <c r="L7168" s="221"/>
      <c r="M7168" s="221"/>
    </row>
    <row r="7169" spans="5:13">
      <c r="E7169" s="221"/>
      <c r="F7169" s="221"/>
      <c r="G7169" s="221"/>
      <c r="H7169" s="221"/>
      <c r="I7169" s="221"/>
      <c r="J7169" s="221"/>
      <c r="K7169" s="221"/>
      <c r="L7169" s="221"/>
      <c r="M7169" s="221"/>
    </row>
    <row r="7170" spans="5:13">
      <c r="E7170" s="221"/>
      <c r="F7170" s="221"/>
      <c r="G7170" s="221"/>
      <c r="H7170" s="221"/>
      <c r="I7170" s="221"/>
      <c r="J7170" s="221"/>
      <c r="K7170" s="221"/>
      <c r="L7170" s="221"/>
      <c r="M7170" s="221"/>
    </row>
    <row r="7171" spans="5:13">
      <c r="E7171" s="221"/>
      <c r="F7171" s="221"/>
      <c r="G7171" s="221"/>
      <c r="H7171" s="221"/>
      <c r="I7171" s="221"/>
      <c r="J7171" s="221"/>
      <c r="K7171" s="221"/>
      <c r="L7171" s="221"/>
      <c r="M7171" s="221"/>
    </row>
    <row r="7172" spans="5:13">
      <c r="E7172" s="221"/>
      <c r="F7172" s="221"/>
      <c r="G7172" s="221"/>
      <c r="H7172" s="221"/>
      <c r="I7172" s="221"/>
      <c r="J7172" s="221"/>
      <c r="K7172" s="221"/>
      <c r="L7172" s="221"/>
      <c r="M7172" s="221"/>
    </row>
    <row r="7173" spans="5:13">
      <c r="E7173" s="221"/>
      <c r="F7173" s="221"/>
      <c r="G7173" s="221"/>
      <c r="H7173" s="221"/>
      <c r="I7173" s="221"/>
      <c r="J7173" s="221"/>
      <c r="K7173" s="221"/>
      <c r="L7173" s="221"/>
      <c r="M7173" s="221"/>
    </row>
    <row r="7174" spans="5:13">
      <c r="E7174" s="221"/>
      <c r="F7174" s="221"/>
      <c r="G7174" s="221"/>
      <c r="H7174" s="221"/>
      <c r="I7174" s="221"/>
      <c r="J7174" s="221"/>
      <c r="K7174" s="221"/>
      <c r="L7174" s="221"/>
      <c r="M7174" s="221"/>
    </row>
    <row r="7175" spans="5:13">
      <c r="E7175" s="221"/>
      <c r="F7175" s="221"/>
      <c r="G7175" s="221"/>
      <c r="H7175" s="221"/>
      <c r="I7175" s="221"/>
      <c r="J7175" s="221"/>
      <c r="K7175" s="221"/>
      <c r="L7175" s="221"/>
      <c r="M7175" s="221"/>
    </row>
    <row r="7176" spans="5:13">
      <c r="E7176" s="221"/>
      <c r="F7176" s="221"/>
      <c r="G7176" s="221"/>
      <c r="H7176" s="221"/>
      <c r="I7176" s="221"/>
      <c r="J7176" s="221"/>
      <c r="K7176" s="221"/>
      <c r="L7176" s="221"/>
      <c r="M7176" s="221"/>
    </row>
    <row r="7177" spans="5:13">
      <c r="E7177" s="221"/>
      <c r="F7177" s="221"/>
      <c r="G7177" s="221"/>
      <c r="H7177" s="221"/>
      <c r="I7177" s="221"/>
      <c r="J7177" s="221"/>
      <c r="K7177" s="221"/>
      <c r="L7177" s="221"/>
      <c r="M7177" s="221"/>
    </row>
    <row r="7178" spans="5:13">
      <c r="E7178" s="221"/>
      <c r="F7178" s="221"/>
      <c r="G7178" s="221"/>
      <c r="H7178" s="221"/>
      <c r="I7178" s="221"/>
      <c r="J7178" s="221"/>
      <c r="K7178" s="221"/>
      <c r="L7178" s="221"/>
      <c r="M7178" s="221"/>
    </row>
    <row r="7179" spans="5:13">
      <c r="E7179" s="221"/>
      <c r="F7179" s="221"/>
      <c r="G7179" s="221"/>
      <c r="H7179" s="221"/>
      <c r="I7179" s="221"/>
      <c r="J7179" s="221"/>
      <c r="K7179" s="221"/>
      <c r="L7179" s="221"/>
      <c r="M7179" s="221"/>
    </row>
    <row r="7180" spans="5:13">
      <c r="E7180" s="221"/>
      <c r="F7180" s="221"/>
      <c r="G7180" s="221"/>
      <c r="H7180" s="221"/>
      <c r="I7180" s="221"/>
      <c r="J7180" s="221"/>
      <c r="K7180" s="221"/>
      <c r="L7180" s="221"/>
      <c r="M7180" s="221"/>
    </row>
    <row r="7181" spans="5:13">
      <c r="E7181" s="221"/>
      <c r="F7181" s="221"/>
      <c r="G7181" s="221"/>
      <c r="H7181" s="221"/>
      <c r="I7181" s="221"/>
      <c r="J7181" s="221"/>
      <c r="K7181" s="221"/>
      <c r="L7181" s="221"/>
      <c r="M7181" s="221"/>
    </row>
    <row r="7182" spans="5:13">
      <c r="E7182" s="221"/>
      <c r="F7182" s="221"/>
      <c r="G7182" s="221"/>
      <c r="H7182" s="221"/>
      <c r="I7182" s="221"/>
      <c r="J7182" s="221"/>
      <c r="K7182" s="221"/>
      <c r="L7182" s="221"/>
      <c r="M7182" s="221"/>
    </row>
    <row r="7183" spans="5:13">
      <c r="E7183" s="221"/>
      <c r="F7183" s="221"/>
      <c r="G7183" s="221"/>
      <c r="H7183" s="221"/>
      <c r="I7183" s="221"/>
      <c r="J7183" s="221"/>
      <c r="K7183" s="221"/>
      <c r="L7183" s="221"/>
      <c r="M7183" s="221"/>
    </row>
    <row r="7184" spans="5:13">
      <c r="E7184" s="221"/>
      <c r="F7184" s="221"/>
      <c r="G7184" s="221"/>
      <c r="H7184" s="221"/>
      <c r="I7184" s="221"/>
      <c r="J7184" s="221"/>
      <c r="K7184" s="221"/>
      <c r="L7184" s="221"/>
      <c r="M7184" s="221"/>
    </row>
    <row r="7185" spans="5:13">
      <c r="E7185" s="221"/>
      <c r="F7185" s="221"/>
      <c r="G7185" s="221"/>
      <c r="H7185" s="221"/>
      <c r="I7185" s="221"/>
      <c r="J7185" s="221"/>
      <c r="K7185" s="221"/>
      <c r="L7185" s="221"/>
      <c r="M7185" s="221"/>
    </row>
    <row r="7186" spans="5:13">
      <c r="E7186" s="221"/>
      <c r="F7186" s="221"/>
      <c r="G7186" s="221"/>
      <c r="H7186" s="221"/>
      <c r="I7186" s="221"/>
      <c r="J7186" s="221"/>
      <c r="K7186" s="221"/>
      <c r="L7186" s="221"/>
      <c r="M7186" s="221"/>
    </row>
    <row r="7187" spans="5:13">
      <c r="E7187" s="221"/>
      <c r="F7187" s="221"/>
      <c r="G7187" s="221"/>
      <c r="H7187" s="221"/>
      <c r="I7187" s="221"/>
      <c r="J7187" s="221"/>
      <c r="K7187" s="221"/>
      <c r="L7187" s="221"/>
      <c r="M7187" s="221"/>
    </row>
    <row r="7188" spans="5:13">
      <c r="E7188" s="221"/>
      <c r="F7188" s="221"/>
      <c r="G7188" s="221"/>
      <c r="H7188" s="221"/>
      <c r="I7188" s="221"/>
      <c r="J7188" s="221"/>
      <c r="K7188" s="221"/>
      <c r="L7188" s="221"/>
      <c r="M7188" s="221"/>
    </row>
    <row r="7189" spans="5:13">
      <c r="E7189" s="221"/>
      <c r="F7189" s="221"/>
      <c r="G7189" s="221"/>
      <c r="H7189" s="221"/>
      <c r="I7189" s="221"/>
      <c r="J7189" s="221"/>
      <c r="K7189" s="221"/>
      <c r="L7189" s="221"/>
      <c r="M7189" s="221"/>
    </row>
    <row r="7190" spans="5:13">
      <c r="E7190" s="221"/>
      <c r="F7190" s="221"/>
      <c r="G7190" s="221"/>
      <c r="H7190" s="221"/>
      <c r="I7190" s="221"/>
      <c r="J7190" s="221"/>
      <c r="K7190" s="221"/>
      <c r="L7190" s="221"/>
      <c r="M7190" s="221"/>
    </row>
    <row r="7191" spans="5:13">
      <c r="E7191" s="221"/>
      <c r="F7191" s="221"/>
      <c r="G7191" s="221"/>
      <c r="H7191" s="221"/>
      <c r="I7191" s="221"/>
      <c r="J7191" s="221"/>
      <c r="K7191" s="221"/>
      <c r="L7191" s="221"/>
      <c r="M7191" s="221"/>
    </row>
    <row r="7192" spans="5:13">
      <c r="E7192" s="221"/>
      <c r="F7192" s="221"/>
      <c r="G7192" s="221"/>
      <c r="H7192" s="221"/>
      <c r="I7192" s="221"/>
      <c r="J7192" s="221"/>
      <c r="K7192" s="221"/>
      <c r="L7192" s="221"/>
      <c r="M7192" s="221"/>
    </row>
    <row r="7193" spans="5:13">
      <c r="E7193" s="221"/>
      <c r="F7193" s="221"/>
      <c r="G7193" s="221"/>
      <c r="H7193" s="221"/>
      <c r="I7193" s="221"/>
      <c r="J7193" s="221"/>
      <c r="K7193" s="221"/>
      <c r="L7193" s="221"/>
      <c r="M7193" s="221"/>
    </row>
    <row r="7194" spans="5:13">
      <c r="E7194" s="221"/>
      <c r="F7194" s="221"/>
      <c r="G7194" s="221"/>
      <c r="H7194" s="221"/>
      <c r="I7194" s="221"/>
      <c r="J7194" s="221"/>
      <c r="K7194" s="221"/>
      <c r="L7194" s="221"/>
      <c r="M7194" s="221"/>
    </row>
    <row r="7195" spans="5:13">
      <c r="E7195" s="221"/>
      <c r="F7195" s="221"/>
      <c r="G7195" s="221"/>
      <c r="H7195" s="221"/>
      <c r="I7195" s="221"/>
      <c r="J7195" s="221"/>
      <c r="K7195" s="221"/>
      <c r="L7195" s="221"/>
      <c r="M7195" s="221"/>
    </row>
    <row r="7196" spans="5:13">
      <c r="E7196" s="221"/>
      <c r="F7196" s="221"/>
      <c r="G7196" s="221"/>
      <c r="H7196" s="221"/>
      <c r="I7196" s="221"/>
      <c r="J7196" s="221"/>
      <c r="K7196" s="221"/>
      <c r="L7196" s="221"/>
      <c r="M7196" s="221"/>
    </row>
    <row r="7197" spans="5:13">
      <c r="E7197" s="221"/>
      <c r="F7197" s="221"/>
      <c r="G7197" s="221"/>
      <c r="H7197" s="221"/>
      <c r="I7197" s="221"/>
      <c r="J7197" s="221"/>
      <c r="K7197" s="221"/>
      <c r="L7197" s="221"/>
      <c r="M7197" s="221"/>
    </row>
    <row r="7198" spans="5:13">
      <c r="E7198" s="221"/>
      <c r="F7198" s="221"/>
      <c r="G7198" s="221"/>
      <c r="H7198" s="221"/>
      <c r="I7198" s="221"/>
      <c r="J7198" s="221"/>
      <c r="K7198" s="221"/>
      <c r="L7198" s="221"/>
      <c r="M7198" s="221"/>
    </row>
    <row r="7199" spans="5:13">
      <c r="E7199" s="221"/>
      <c r="F7199" s="221"/>
      <c r="G7199" s="221"/>
      <c r="H7199" s="221"/>
      <c r="I7199" s="221"/>
      <c r="J7199" s="221"/>
      <c r="K7199" s="221"/>
      <c r="L7199" s="221"/>
      <c r="M7199" s="221"/>
    </row>
    <row r="7200" spans="5:13">
      <c r="E7200" s="221"/>
      <c r="F7200" s="221"/>
      <c r="G7200" s="221"/>
      <c r="H7200" s="221"/>
      <c r="I7200" s="221"/>
      <c r="J7200" s="221"/>
      <c r="K7200" s="221"/>
      <c r="L7200" s="221"/>
      <c r="M7200" s="221"/>
    </row>
    <row r="7201" spans="5:13">
      <c r="E7201" s="221"/>
      <c r="F7201" s="221"/>
      <c r="G7201" s="221"/>
      <c r="H7201" s="221"/>
      <c r="I7201" s="221"/>
      <c r="J7201" s="221"/>
      <c r="K7201" s="221"/>
      <c r="L7201" s="221"/>
      <c r="M7201" s="221"/>
    </row>
    <row r="7202" spans="5:13">
      <c r="E7202" s="221"/>
      <c r="F7202" s="221"/>
      <c r="G7202" s="221"/>
      <c r="H7202" s="221"/>
      <c r="I7202" s="221"/>
      <c r="J7202" s="221"/>
      <c r="K7202" s="221"/>
      <c r="L7202" s="221"/>
      <c r="M7202" s="221"/>
    </row>
    <row r="7203" spans="5:13">
      <c r="E7203" s="221"/>
      <c r="F7203" s="221"/>
      <c r="G7203" s="221"/>
      <c r="H7203" s="221"/>
      <c r="I7203" s="221"/>
      <c r="J7203" s="221"/>
      <c r="K7203" s="221"/>
      <c r="L7203" s="221"/>
      <c r="M7203" s="221"/>
    </row>
    <row r="7204" spans="5:13">
      <c r="E7204" s="221"/>
      <c r="F7204" s="221"/>
      <c r="G7204" s="221"/>
      <c r="H7204" s="221"/>
      <c r="I7204" s="221"/>
      <c r="J7204" s="221"/>
      <c r="K7204" s="221"/>
      <c r="L7204" s="221"/>
      <c r="M7204" s="221"/>
    </row>
    <row r="7205" spans="5:13">
      <c r="E7205" s="221"/>
      <c r="F7205" s="221"/>
      <c r="G7205" s="221"/>
      <c r="H7205" s="221"/>
      <c r="I7205" s="221"/>
      <c r="J7205" s="221"/>
      <c r="K7205" s="221"/>
      <c r="L7205" s="221"/>
      <c r="M7205" s="221"/>
    </row>
    <row r="7206" spans="5:13">
      <c r="E7206" s="221"/>
      <c r="F7206" s="221"/>
      <c r="G7206" s="221"/>
      <c r="H7206" s="221"/>
      <c r="I7206" s="221"/>
      <c r="J7206" s="221"/>
      <c r="K7206" s="221"/>
      <c r="L7206" s="221"/>
      <c r="M7206" s="221"/>
    </row>
    <row r="7207" spans="5:13">
      <c r="E7207" s="221"/>
      <c r="F7207" s="221"/>
      <c r="G7207" s="221"/>
      <c r="H7207" s="221"/>
      <c r="I7207" s="221"/>
      <c r="J7207" s="221"/>
      <c r="K7207" s="221"/>
      <c r="L7207" s="221"/>
      <c r="M7207" s="221"/>
    </row>
    <row r="7208" spans="5:13">
      <c r="E7208" s="221"/>
      <c r="F7208" s="221"/>
      <c r="G7208" s="221"/>
      <c r="H7208" s="221"/>
      <c r="I7208" s="221"/>
      <c r="J7208" s="221"/>
      <c r="K7208" s="221"/>
      <c r="L7208" s="221"/>
      <c r="M7208" s="221"/>
    </row>
    <row r="7209" spans="5:13">
      <c r="E7209" s="221"/>
      <c r="F7209" s="221"/>
      <c r="G7209" s="221"/>
      <c r="H7209" s="221"/>
      <c r="I7209" s="221"/>
      <c r="J7209" s="221"/>
      <c r="K7209" s="221"/>
      <c r="L7209" s="221"/>
      <c r="M7209" s="221"/>
    </row>
    <row r="7210" spans="5:13">
      <c r="E7210" s="221"/>
      <c r="F7210" s="221"/>
      <c r="G7210" s="221"/>
      <c r="H7210" s="221"/>
      <c r="I7210" s="221"/>
      <c r="J7210" s="221"/>
      <c r="K7210" s="221"/>
      <c r="L7210" s="221"/>
      <c r="M7210" s="221"/>
    </row>
    <row r="7211" spans="5:13">
      <c r="E7211" s="221"/>
      <c r="F7211" s="221"/>
      <c r="G7211" s="221"/>
      <c r="H7211" s="221"/>
      <c r="I7211" s="221"/>
      <c r="J7211" s="221"/>
      <c r="K7211" s="221"/>
      <c r="L7211" s="221"/>
      <c r="M7211" s="221"/>
    </row>
    <row r="7212" spans="5:13">
      <c r="E7212" s="221"/>
      <c r="F7212" s="221"/>
      <c r="G7212" s="221"/>
      <c r="H7212" s="221"/>
      <c r="I7212" s="221"/>
      <c r="J7212" s="221"/>
      <c r="K7212" s="221"/>
      <c r="L7212" s="221"/>
      <c r="M7212" s="221"/>
    </row>
    <row r="7213" spans="5:13">
      <c r="E7213" s="221"/>
      <c r="F7213" s="221"/>
      <c r="G7213" s="221"/>
      <c r="H7213" s="221"/>
      <c r="I7213" s="221"/>
      <c r="J7213" s="221"/>
      <c r="K7213" s="221"/>
      <c r="L7213" s="221"/>
      <c r="M7213" s="221"/>
    </row>
    <row r="7214" spans="5:13">
      <c r="E7214" s="221"/>
      <c r="F7214" s="221"/>
      <c r="G7214" s="221"/>
      <c r="H7214" s="221"/>
      <c r="I7214" s="221"/>
      <c r="J7214" s="221"/>
      <c r="K7214" s="221"/>
      <c r="L7214" s="221"/>
      <c r="M7214" s="221"/>
    </row>
    <row r="7215" spans="5:13">
      <c r="E7215" s="221"/>
      <c r="F7215" s="221"/>
      <c r="G7215" s="221"/>
      <c r="H7215" s="221"/>
      <c r="I7215" s="221"/>
      <c r="J7215" s="221"/>
      <c r="K7215" s="221"/>
      <c r="L7215" s="221"/>
      <c r="M7215" s="221"/>
    </row>
    <row r="7216" spans="5:13">
      <c r="E7216" s="221"/>
      <c r="F7216" s="221"/>
      <c r="G7216" s="221"/>
      <c r="H7216" s="221"/>
      <c r="I7216" s="221"/>
      <c r="J7216" s="221"/>
      <c r="K7216" s="221"/>
      <c r="L7216" s="221"/>
      <c r="M7216" s="221"/>
    </row>
    <row r="7217" spans="5:13">
      <c r="E7217" s="221"/>
      <c r="F7217" s="221"/>
      <c r="G7217" s="221"/>
      <c r="H7217" s="221"/>
      <c r="I7217" s="221"/>
      <c r="J7217" s="221"/>
      <c r="K7217" s="221"/>
      <c r="L7217" s="221"/>
      <c r="M7217" s="221"/>
    </row>
    <row r="7218" spans="5:13">
      <c r="E7218" s="221"/>
      <c r="F7218" s="221"/>
      <c r="G7218" s="221"/>
      <c r="H7218" s="221"/>
      <c r="I7218" s="221"/>
      <c r="J7218" s="221"/>
      <c r="K7218" s="221"/>
      <c r="L7218" s="221"/>
      <c r="M7218" s="221"/>
    </row>
    <row r="7219" spans="5:13">
      <c r="E7219" s="221"/>
      <c r="F7219" s="221"/>
      <c r="G7219" s="221"/>
      <c r="H7219" s="221"/>
      <c r="I7219" s="221"/>
      <c r="J7219" s="221"/>
      <c r="K7219" s="221"/>
      <c r="L7219" s="221"/>
      <c r="M7219" s="221"/>
    </row>
    <row r="7220" spans="5:13">
      <c r="E7220" s="221"/>
      <c r="F7220" s="221"/>
      <c r="G7220" s="221"/>
      <c r="H7220" s="221"/>
      <c r="I7220" s="221"/>
      <c r="J7220" s="221"/>
      <c r="K7220" s="221"/>
      <c r="L7220" s="221"/>
      <c r="M7220" s="221"/>
    </row>
    <row r="7221" spans="5:13">
      <c r="E7221" s="221"/>
      <c r="F7221" s="221"/>
      <c r="G7221" s="221"/>
      <c r="H7221" s="221"/>
      <c r="I7221" s="221"/>
      <c r="J7221" s="221"/>
      <c r="K7221" s="221"/>
      <c r="L7221" s="221"/>
      <c r="M7221" s="221"/>
    </row>
    <row r="7222" spans="5:13">
      <c r="E7222" s="221"/>
      <c r="F7222" s="221"/>
      <c r="G7222" s="221"/>
      <c r="H7222" s="221"/>
      <c r="I7222" s="221"/>
      <c r="J7222" s="221"/>
      <c r="K7222" s="221"/>
      <c r="L7222" s="221"/>
      <c r="M7222" s="221"/>
    </row>
    <row r="7223" spans="5:13">
      <c r="E7223" s="221"/>
      <c r="F7223" s="221"/>
      <c r="G7223" s="221"/>
      <c r="H7223" s="221"/>
      <c r="I7223" s="221"/>
      <c r="J7223" s="221"/>
      <c r="K7223" s="221"/>
      <c r="L7223" s="221"/>
      <c r="M7223" s="221"/>
    </row>
    <row r="7224" spans="5:13">
      <c r="E7224" s="221"/>
      <c r="F7224" s="221"/>
      <c r="G7224" s="221"/>
      <c r="H7224" s="221"/>
      <c r="I7224" s="221"/>
      <c r="J7224" s="221"/>
      <c r="K7224" s="221"/>
      <c r="L7224" s="221"/>
      <c r="M7224" s="221"/>
    </row>
    <row r="7225" spans="5:13">
      <c r="E7225" s="221"/>
      <c r="F7225" s="221"/>
      <c r="G7225" s="221"/>
      <c r="H7225" s="221"/>
      <c r="I7225" s="221"/>
      <c r="J7225" s="221"/>
      <c r="K7225" s="221"/>
      <c r="L7225" s="221"/>
      <c r="M7225" s="221"/>
    </row>
    <row r="7226" spans="5:13">
      <c r="E7226" s="221"/>
      <c r="F7226" s="221"/>
      <c r="G7226" s="221"/>
      <c r="H7226" s="221"/>
      <c r="I7226" s="221"/>
      <c r="J7226" s="221"/>
      <c r="K7226" s="221"/>
      <c r="L7226" s="221"/>
      <c r="M7226" s="221"/>
    </row>
    <row r="7227" spans="5:13">
      <c r="E7227" s="221"/>
      <c r="F7227" s="221"/>
      <c r="G7227" s="221"/>
      <c r="H7227" s="221"/>
      <c r="I7227" s="221"/>
      <c r="J7227" s="221"/>
      <c r="K7227" s="221"/>
      <c r="L7227" s="221"/>
      <c r="M7227" s="221"/>
    </row>
    <row r="7228" spans="5:13">
      <c r="E7228" s="221"/>
      <c r="F7228" s="221"/>
      <c r="G7228" s="221"/>
      <c r="H7228" s="221"/>
      <c r="I7228" s="221"/>
      <c r="J7228" s="221"/>
      <c r="K7228" s="221"/>
      <c r="L7228" s="221"/>
      <c r="M7228" s="221"/>
    </row>
    <row r="7229" spans="5:13">
      <c r="E7229" s="221"/>
      <c r="F7229" s="221"/>
      <c r="G7229" s="221"/>
      <c r="H7229" s="221"/>
      <c r="I7229" s="221"/>
      <c r="J7229" s="221"/>
      <c r="K7229" s="221"/>
      <c r="L7229" s="221"/>
      <c r="M7229" s="221"/>
    </row>
    <row r="7230" spans="5:13">
      <c r="E7230" s="221"/>
      <c r="F7230" s="221"/>
      <c r="G7230" s="221"/>
      <c r="H7230" s="221"/>
      <c r="I7230" s="221"/>
      <c r="J7230" s="221"/>
      <c r="K7230" s="221"/>
      <c r="L7230" s="221"/>
      <c r="M7230" s="221"/>
    </row>
    <row r="7231" spans="5:13">
      <c r="E7231" s="221"/>
      <c r="F7231" s="221"/>
      <c r="G7231" s="221"/>
      <c r="H7231" s="221"/>
      <c r="I7231" s="221"/>
      <c r="J7231" s="221"/>
      <c r="K7231" s="221"/>
      <c r="L7231" s="221"/>
      <c r="M7231" s="221"/>
    </row>
    <row r="7232" spans="5:13">
      <c r="E7232" s="221"/>
      <c r="F7232" s="221"/>
      <c r="G7232" s="221"/>
      <c r="H7232" s="221"/>
      <c r="I7232" s="221"/>
      <c r="J7232" s="221"/>
      <c r="K7232" s="221"/>
      <c r="L7232" s="221"/>
      <c r="M7232" s="221"/>
    </row>
    <row r="7233" spans="5:13">
      <c r="E7233" s="221"/>
      <c r="F7233" s="221"/>
      <c r="G7233" s="221"/>
      <c r="H7233" s="221"/>
      <c r="I7233" s="221"/>
      <c r="J7233" s="221"/>
      <c r="K7233" s="221"/>
      <c r="L7233" s="221"/>
      <c r="M7233" s="221"/>
    </row>
    <row r="7234" spans="5:13">
      <c r="E7234" s="221"/>
      <c r="F7234" s="221"/>
      <c r="G7234" s="221"/>
      <c r="H7234" s="221"/>
      <c r="I7234" s="221"/>
      <c r="J7234" s="221"/>
      <c r="K7234" s="221"/>
      <c r="L7234" s="221"/>
      <c r="M7234" s="221"/>
    </row>
    <row r="7235" spans="5:13">
      <c r="E7235" s="221"/>
      <c r="F7235" s="221"/>
      <c r="G7235" s="221"/>
      <c r="H7235" s="221"/>
      <c r="I7235" s="221"/>
      <c r="J7235" s="221"/>
      <c r="K7235" s="221"/>
      <c r="L7235" s="221"/>
      <c r="M7235" s="221"/>
    </row>
    <row r="7236" spans="5:13">
      <c r="E7236" s="221"/>
      <c r="F7236" s="221"/>
      <c r="G7236" s="221"/>
      <c r="H7236" s="221"/>
      <c r="I7236" s="221"/>
      <c r="J7236" s="221"/>
      <c r="K7236" s="221"/>
      <c r="L7236" s="221"/>
      <c r="M7236" s="221"/>
    </row>
    <row r="7237" spans="5:13">
      <c r="E7237" s="221"/>
      <c r="F7237" s="221"/>
      <c r="G7237" s="221"/>
      <c r="H7237" s="221"/>
      <c r="I7237" s="221"/>
      <c r="J7237" s="221"/>
      <c r="K7237" s="221"/>
      <c r="L7237" s="221"/>
      <c r="M7237" s="221"/>
    </row>
    <row r="7238" spans="5:13">
      <c r="E7238" s="221"/>
      <c r="F7238" s="221"/>
      <c r="G7238" s="221"/>
      <c r="H7238" s="221"/>
      <c r="I7238" s="221"/>
      <c r="J7238" s="221"/>
      <c r="K7238" s="221"/>
      <c r="L7238" s="221"/>
      <c r="M7238" s="221"/>
    </row>
    <row r="7239" spans="5:13">
      <c r="E7239" s="221"/>
      <c r="F7239" s="221"/>
      <c r="G7239" s="221"/>
      <c r="H7239" s="221"/>
      <c r="I7239" s="221"/>
      <c r="J7239" s="221"/>
      <c r="K7239" s="221"/>
      <c r="L7239" s="221"/>
      <c r="M7239" s="221"/>
    </row>
    <row r="7240" spans="5:13">
      <c r="E7240" s="221"/>
      <c r="F7240" s="221"/>
      <c r="G7240" s="221"/>
      <c r="H7240" s="221"/>
      <c r="I7240" s="221"/>
      <c r="J7240" s="221"/>
      <c r="K7240" s="221"/>
      <c r="L7240" s="221"/>
      <c r="M7240" s="221"/>
    </row>
    <row r="7241" spans="5:13">
      <c r="E7241" s="221"/>
      <c r="F7241" s="221"/>
      <c r="G7241" s="221"/>
      <c r="H7241" s="221"/>
      <c r="I7241" s="221"/>
      <c r="J7241" s="221"/>
      <c r="K7241" s="221"/>
      <c r="L7241" s="221"/>
      <c r="M7241" s="221"/>
    </row>
    <row r="7242" spans="5:13">
      <c r="E7242" s="221"/>
      <c r="F7242" s="221"/>
      <c r="G7242" s="221"/>
      <c r="H7242" s="221"/>
      <c r="I7242" s="221"/>
      <c r="J7242" s="221"/>
      <c r="K7242" s="221"/>
      <c r="L7242" s="221"/>
      <c r="M7242" s="221"/>
    </row>
    <row r="7243" spans="5:13">
      <c r="E7243" s="221"/>
      <c r="F7243" s="221"/>
      <c r="G7243" s="221"/>
      <c r="H7243" s="221"/>
      <c r="I7243" s="221"/>
      <c r="J7243" s="221"/>
      <c r="K7243" s="221"/>
      <c r="L7243" s="221"/>
      <c r="M7243" s="221"/>
    </row>
    <row r="7244" spans="5:13">
      <c r="E7244" s="221"/>
      <c r="F7244" s="221"/>
      <c r="G7244" s="221"/>
      <c r="H7244" s="221"/>
      <c r="I7244" s="221"/>
      <c r="J7244" s="221"/>
      <c r="K7244" s="221"/>
      <c r="L7244" s="221"/>
      <c r="M7244" s="221"/>
    </row>
    <row r="7245" spans="5:13">
      <c r="E7245" s="221"/>
      <c r="F7245" s="221"/>
      <c r="G7245" s="221"/>
      <c r="H7245" s="221"/>
      <c r="I7245" s="221"/>
      <c r="J7245" s="221"/>
      <c r="K7245" s="221"/>
      <c r="L7245" s="221"/>
      <c r="M7245" s="221"/>
    </row>
    <row r="7246" spans="5:13">
      <c r="E7246" s="221"/>
      <c r="F7246" s="221"/>
      <c r="G7246" s="221"/>
      <c r="H7246" s="221"/>
      <c r="I7246" s="221"/>
      <c r="J7246" s="221"/>
      <c r="K7246" s="221"/>
      <c r="L7246" s="221"/>
      <c r="M7246" s="221"/>
    </row>
    <row r="7247" spans="5:13">
      <c r="E7247" s="221"/>
      <c r="F7247" s="221"/>
      <c r="G7247" s="221"/>
      <c r="H7247" s="221"/>
      <c r="I7247" s="221"/>
      <c r="J7247" s="221"/>
      <c r="K7247" s="221"/>
      <c r="L7247" s="221"/>
      <c r="M7247" s="221"/>
    </row>
    <row r="7248" spans="5:13">
      <c r="E7248" s="221"/>
      <c r="F7248" s="221"/>
      <c r="G7248" s="221"/>
      <c r="H7248" s="221"/>
      <c r="I7248" s="221"/>
      <c r="J7248" s="221"/>
      <c r="K7248" s="221"/>
      <c r="L7248" s="221"/>
      <c r="M7248" s="221"/>
    </row>
    <row r="7249" spans="5:13">
      <c r="E7249" s="221"/>
      <c r="F7249" s="221"/>
      <c r="G7249" s="221"/>
      <c r="H7249" s="221"/>
      <c r="I7249" s="221"/>
      <c r="J7249" s="221"/>
      <c r="K7249" s="221"/>
      <c r="L7249" s="221"/>
      <c r="M7249" s="221"/>
    </row>
    <row r="7250" spans="5:13">
      <c r="E7250" s="221"/>
      <c r="F7250" s="221"/>
      <c r="G7250" s="221"/>
      <c r="H7250" s="221"/>
      <c r="I7250" s="221"/>
      <c r="J7250" s="221"/>
      <c r="K7250" s="221"/>
      <c r="L7250" s="221"/>
      <c r="M7250" s="221"/>
    </row>
    <row r="7251" spans="5:13">
      <c r="E7251" s="221"/>
      <c r="F7251" s="221"/>
      <c r="G7251" s="221"/>
      <c r="H7251" s="221"/>
      <c r="I7251" s="221"/>
      <c r="J7251" s="221"/>
      <c r="K7251" s="221"/>
      <c r="L7251" s="221"/>
      <c r="M7251" s="221"/>
    </row>
    <row r="7252" spans="5:13">
      <c r="E7252" s="221"/>
      <c r="F7252" s="221"/>
      <c r="G7252" s="221"/>
      <c r="H7252" s="221"/>
      <c r="I7252" s="221"/>
      <c r="J7252" s="221"/>
      <c r="K7252" s="221"/>
      <c r="L7252" s="221"/>
      <c r="M7252" s="221"/>
    </row>
    <row r="7253" spans="5:13">
      <c r="E7253" s="221"/>
      <c r="F7253" s="221"/>
      <c r="G7253" s="221"/>
      <c r="H7253" s="221"/>
      <c r="I7253" s="221"/>
      <c r="J7253" s="221"/>
      <c r="K7253" s="221"/>
      <c r="L7253" s="221"/>
      <c r="M7253" s="221"/>
    </row>
    <row r="7254" spans="5:13">
      <c r="E7254" s="221"/>
      <c r="F7254" s="221"/>
      <c r="G7254" s="221"/>
      <c r="H7254" s="221"/>
      <c r="I7254" s="221"/>
      <c r="J7254" s="221"/>
      <c r="K7254" s="221"/>
      <c r="L7254" s="221"/>
      <c r="M7254" s="221"/>
    </row>
    <row r="7255" spans="5:13">
      <c r="E7255" s="221"/>
      <c r="F7255" s="221"/>
      <c r="G7255" s="221"/>
      <c r="H7255" s="221"/>
      <c r="I7255" s="221"/>
      <c r="J7255" s="221"/>
      <c r="K7255" s="221"/>
      <c r="L7255" s="221"/>
      <c r="M7255" s="221"/>
    </row>
    <row r="7256" spans="5:13">
      <c r="E7256" s="221"/>
      <c r="F7256" s="221"/>
      <c r="G7256" s="221"/>
      <c r="H7256" s="221"/>
      <c r="I7256" s="221"/>
      <c r="J7256" s="221"/>
      <c r="K7256" s="221"/>
      <c r="L7256" s="221"/>
      <c r="M7256" s="221"/>
    </row>
    <row r="7257" spans="5:13">
      <c r="E7257" s="221"/>
      <c r="F7257" s="221"/>
      <c r="G7257" s="221"/>
      <c r="H7257" s="221"/>
      <c r="I7257" s="221"/>
      <c r="J7257" s="221"/>
      <c r="K7257" s="221"/>
      <c r="L7257" s="221"/>
      <c r="M7257" s="221"/>
    </row>
    <row r="7258" spans="5:13">
      <c r="E7258" s="221"/>
      <c r="F7258" s="221"/>
      <c r="G7258" s="221"/>
      <c r="H7258" s="221"/>
      <c r="I7258" s="221"/>
      <c r="J7258" s="221"/>
      <c r="K7258" s="221"/>
      <c r="L7258" s="221"/>
      <c r="M7258" s="221"/>
    </row>
    <row r="7259" spans="5:13">
      <c r="E7259" s="221"/>
      <c r="F7259" s="221"/>
      <c r="G7259" s="221"/>
      <c r="H7259" s="221"/>
      <c r="I7259" s="221"/>
      <c r="J7259" s="221"/>
      <c r="K7259" s="221"/>
      <c r="L7259" s="221"/>
      <c r="M7259" s="221"/>
    </row>
    <row r="7260" spans="5:13">
      <c r="E7260" s="221"/>
      <c r="F7260" s="221"/>
      <c r="G7260" s="221"/>
      <c r="H7260" s="221"/>
      <c r="I7260" s="221"/>
      <c r="J7260" s="221"/>
      <c r="K7260" s="221"/>
      <c r="L7260" s="221"/>
      <c r="M7260" s="221"/>
    </row>
    <row r="7261" spans="5:13">
      <c r="E7261" s="221"/>
      <c r="F7261" s="221"/>
      <c r="G7261" s="221"/>
      <c r="H7261" s="221"/>
      <c r="I7261" s="221"/>
      <c r="J7261" s="221"/>
      <c r="K7261" s="221"/>
      <c r="L7261" s="221"/>
      <c r="M7261" s="221"/>
    </row>
    <row r="7262" spans="5:13">
      <c r="E7262" s="221"/>
      <c r="F7262" s="221"/>
      <c r="G7262" s="221"/>
      <c r="H7262" s="221"/>
      <c r="I7262" s="221"/>
      <c r="J7262" s="221"/>
      <c r="K7262" s="221"/>
      <c r="L7262" s="221"/>
      <c r="M7262" s="221"/>
    </row>
    <row r="7263" spans="5:13">
      <c r="E7263" s="221"/>
      <c r="F7263" s="221"/>
      <c r="G7263" s="221"/>
      <c r="H7263" s="221"/>
      <c r="I7263" s="221"/>
      <c r="J7263" s="221"/>
      <c r="K7263" s="221"/>
      <c r="L7263" s="221"/>
      <c r="M7263" s="221"/>
    </row>
    <row r="7264" spans="5:13">
      <c r="E7264" s="221"/>
      <c r="F7264" s="221"/>
      <c r="G7264" s="221"/>
      <c r="H7264" s="221"/>
      <c r="I7264" s="221"/>
      <c r="J7264" s="221"/>
      <c r="K7264" s="221"/>
      <c r="L7264" s="221"/>
      <c r="M7264" s="221"/>
    </row>
    <row r="7265" spans="5:13">
      <c r="E7265" s="221"/>
      <c r="F7265" s="221"/>
      <c r="G7265" s="221"/>
      <c r="H7265" s="221"/>
      <c r="I7265" s="221"/>
      <c r="J7265" s="221"/>
      <c r="K7265" s="221"/>
      <c r="L7265" s="221"/>
      <c r="M7265" s="221"/>
    </row>
    <row r="7266" spans="5:13">
      <c r="E7266" s="221"/>
      <c r="F7266" s="221"/>
      <c r="G7266" s="221"/>
      <c r="H7266" s="221"/>
      <c r="I7266" s="221"/>
      <c r="J7266" s="221"/>
      <c r="K7266" s="221"/>
      <c r="L7266" s="221"/>
      <c r="M7266" s="221"/>
    </row>
    <row r="7267" spans="5:13">
      <c r="E7267" s="221"/>
      <c r="F7267" s="221"/>
      <c r="G7267" s="221"/>
      <c r="H7267" s="221"/>
      <c r="I7267" s="221"/>
      <c r="J7267" s="221"/>
      <c r="K7267" s="221"/>
      <c r="L7267" s="221"/>
      <c r="M7267" s="221"/>
    </row>
    <row r="7268" spans="5:13">
      <c r="E7268" s="221"/>
      <c r="F7268" s="221"/>
      <c r="G7268" s="221"/>
      <c r="H7268" s="221"/>
      <c r="I7268" s="221"/>
      <c r="J7268" s="221"/>
      <c r="K7268" s="221"/>
      <c r="L7268" s="221"/>
      <c r="M7268" s="221"/>
    </row>
    <row r="7269" spans="5:13">
      <c r="E7269" s="221"/>
      <c r="F7269" s="221"/>
      <c r="G7269" s="221"/>
      <c r="H7269" s="221"/>
      <c r="I7269" s="221"/>
      <c r="J7269" s="221"/>
      <c r="K7269" s="221"/>
      <c r="L7269" s="221"/>
      <c r="M7269" s="221"/>
    </row>
    <row r="7270" spans="5:13">
      <c r="E7270" s="221"/>
      <c r="F7270" s="221"/>
      <c r="G7270" s="221"/>
      <c r="H7270" s="221"/>
      <c r="I7270" s="221"/>
      <c r="J7270" s="221"/>
      <c r="K7270" s="221"/>
      <c r="L7270" s="221"/>
      <c r="M7270" s="221"/>
    </row>
    <row r="7271" spans="5:13">
      <c r="E7271" s="221"/>
      <c r="F7271" s="221"/>
      <c r="G7271" s="221"/>
      <c r="H7271" s="221"/>
      <c r="I7271" s="221"/>
      <c r="J7271" s="221"/>
      <c r="K7271" s="221"/>
      <c r="L7271" s="221"/>
      <c r="M7271" s="221"/>
    </row>
    <row r="7272" spans="5:13">
      <c r="E7272" s="221"/>
      <c r="F7272" s="221"/>
      <c r="G7272" s="221"/>
      <c r="H7272" s="221"/>
      <c r="I7272" s="221"/>
      <c r="J7272" s="221"/>
      <c r="K7272" s="221"/>
      <c r="L7272" s="221"/>
      <c r="M7272" s="221"/>
    </row>
    <row r="7273" spans="5:13">
      <c r="E7273" s="221"/>
      <c r="F7273" s="221"/>
      <c r="G7273" s="221"/>
      <c r="H7273" s="221"/>
      <c r="I7273" s="221"/>
      <c r="J7273" s="221"/>
      <c r="K7273" s="221"/>
      <c r="L7273" s="221"/>
      <c r="M7273" s="221"/>
    </row>
    <row r="7274" spans="5:13">
      <c r="E7274" s="221"/>
      <c r="F7274" s="221"/>
      <c r="G7274" s="221"/>
      <c r="H7274" s="221"/>
      <c r="I7274" s="221"/>
      <c r="J7274" s="221"/>
      <c r="K7274" s="221"/>
      <c r="L7274" s="221"/>
      <c r="M7274" s="221"/>
    </row>
    <row r="7275" spans="5:13">
      <c r="E7275" s="221"/>
      <c r="F7275" s="221"/>
      <c r="G7275" s="221"/>
      <c r="H7275" s="221"/>
      <c r="I7275" s="221"/>
      <c r="J7275" s="221"/>
      <c r="K7275" s="221"/>
      <c r="L7275" s="221"/>
      <c r="M7275" s="221"/>
    </row>
    <row r="7276" spans="5:13">
      <c r="E7276" s="221"/>
      <c r="F7276" s="221"/>
      <c r="G7276" s="221"/>
      <c r="H7276" s="221"/>
      <c r="I7276" s="221"/>
      <c r="J7276" s="221"/>
      <c r="K7276" s="221"/>
      <c r="L7276" s="221"/>
      <c r="M7276" s="221"/>
    </row>
    <row r="7277" spans="5:13">
      <c r="E7277" s="221"/>
      <c r="F7277" s="221"/>
      <c r="G7277" s="221"/>
      <c r="H7277" s="221"/>
      <c r="I7277" s="221"/>
      <c r="J7277" s="221"/>
      <c r="K7277" s="221"/>
      <c r="L7277" s="221"/>
      <c r="M7277" s="221"/>
    </row>
    <row r="7278" spans="5:13">
      <c r="E7278" s="221"/>
      <c r="F7278" s="221"/>
      <c r="G7278" s="221"/>
      <c r="H7278" s="221"/>
      <c r="I7278" s="221"/>
      <c r="J7278" s="221"/>
      <c r="K7278" s="221"/>
      <c r="L7278" s="221"/>
      <c r="M7278" s="221"/>
    </row>
    <row r="7279" spans="5:13">
      <c r="E7279" s="221"/>
      <c r="F7279" s="221"/>
      <c r="G7279" s="221"/>
      <c r="H7279" s="221"/>
      <c r="I7279" s="221"/>
      <c r="J7279" s="221"/>
      <c r="K7279" s="221"/>
      <c r="L7279" s="221"/>
      <c r="M7279" s="221"/>
    </row>
    <row r="7280" spans="5:13">
      <c r="E7280" s="221"/>
      <c r="F7280" s="221"/>
      <c r="G7280" s="221"/>
      <c r="H7280" s="221"/>
      <c r="I7280" s="221"/>
      <c r="J7280" s="221"/>
      <c r="K7280" s="221"/>
      <c r="L7280" s="221"/>
      <c r="M7280" s="221"/>
    </row>
    <row r="7281" spans="5:13">
      <c r="E7281" s="221"/>
      <c r="F7281" s="221"/>
      <c r="G7281" s="221"/>
      <c r="H7281" s="221"/>
      <c r="I7281" s="221"/>
      <c r="J7281" s="221"/>
      <c r="K7281" s="221"/>
      <c r="L7281" s="221"/>
      <c r="M7281" s="221"/>
    </row>
    <row r="7282" spans="5:13">
      <c r="E7282" s="221"/>
      <c r="F7282" s="221"/>
      <c r="G7282" s="221"/>
      <c r="H7282" s="221"/>
      <c r="I7282" s="221"/>
      <c r="J7282" s="221"/>
      <c r="K7282" s="221"/>
      <c r="L7282" s="221"/>
      <c r="M7282" s="221"/>
    </row>
    <row r="7283" spans="5:13">
      <c r="E7283" s="221"/>
      <c r="F7283" s="221"/>
      <c r="G7283" s="221"/>
      <c r="H7283" s="221"/>
      <c r="I7283" s="221"/>
      <c r="J7283" s="221"/>
      <c r="K7283" s="221"/>
      <c r="L7283" s="221"/>
      <c r="M7283" s="221"/>
    </row>
    <row r="7284" spans="5:13">
      <c r="E7284" s="221"/>
      <c r="F7284" s="221"/>
      <c r="G7284" s="221"/>
      <c r="H7284" s="221"/>
      <c r="I7284" s="221"/>
      <c r="J7284" s="221"/>
      <c r="K7284" s="221"/>
      <c r="L7284" s="221"/>
      <c r="M7284" s="221"/>
    </row>
    <row r="7285" spans="5:13">
      <c r="E7285" s="221"/>
      <c r="F7285" s="221"/>
      <c r="G7285" s="221"/>
      <c r="H7285" s="221"/>
      <c r="I7285" s="221"/>
      <c r="J7285" s="221"/>
      <c r="K7285" s="221"/>
      <c r="L7285" s="221"/>
      <c r="M7285" s="221"/>
    </row>
    <row r="7286" spans="5:13">
      <c r="E7286" s="221"/>
      <c r="F7286" s="221"/>
      <c r="G7286" s="221"/>
      <c r="H7286" s="221"/>
      <c r="I7286" s="221"/>
      <c r="J7286" s="221"/>
      <c r="K7286" s="221"/>
      <c r="L7286" s="221"/>
      <c r="M7286" s="221"/>
    </row>
    <row r="7287" spans="5:13">
      <c r="E7287" s="221"/>
      <c r="F7287" s="221"/>
      <c r="G7287" s="221"/>
      <c r="H7287" s="221"/>
      <c r="I7287" s="221"/>
      <c r="J7287" s="221"/>
      <c r="K7287" s="221"/>
      <c r="L7287" s="221"/>
      <c r="M7287" s="221"/>
    </row>
    <row r="7288" spans="5:13">
      <c r="E7288" s="221"/>
      <c r="F7288" s="221"/>
      <c r="G7288" s="221"/>
      <c r="H7288" s="221"/>
      <c r="I7288" s="221"/>
      <c r="J7288" s="221"/>
      <c r="K7288" s="221"/>
      <c r="L7288" s="221"/>
      <c r="M7288" s="221"/>
    </row>
    <row r="7289" spans="5:13">
      <c r="E7289" s="221"/>
      <c r="F7289" s="221"/>
      <c r="G7289" s="221"/>
      <c r="H7289" s="221"/>
      <c r="I7289" s="221"/>
      <c r="J7289" s="221"/>
      <c r="K7289" s="221"/>
      <c r="L7289" s="221"/>
      <c r="M7289" s="221"/>
    </row>
    <row r="7290" spans="5:13">
      <c r="E7290" s="221"/>
      <c r="F7290" s="221"/>
      <c r="G7290" s="221"/>
      <c r="H7290" s="221"/>
      <c r="I7290" s="221"/>
      <c r="J7290" s="221"/>
      <c r="K7290" s="221"/>
      <c r="L7290" s="221"/>
      <c r="M7290" s="221"/>
    </row>
    <row r="7291" spans="5:13">
      <c r="E7291" s="221"/>
      <c r="F7291" s="221"/>
      <c r="G7291" s="221"/>
      <c r="H7291" s="221"/>
      <c r="I7291" s="221"/>
      <c r="J7291" s="221"/>
      <c r="K7291" s="221"/>
      <c r="L7291" s="221"/>
      <c r="M7291" s="221"/>
    </row>
    <row r="7292" spans="5:13">
      <c r="E7292" s="221"/>
      <c r="F7292" s="221"/>
      <c r="G7292" s="221"/>
      <c r="H7292" s="221"/>
      <c r="I7292" s="221"/>
      <c r="J7292" s="221"/>
      <c r="K7292" s="221"/>
      <c r="L7292" s="221"/>
      <c r="M7292" s="221"/>
    </row>
    <row r="7293" spans="5:13">
      <c r="E7293" s="221"/>
      <c r="F7293" s="221"/>
      <c r="G7293" s="221"/>
      <c r="H7293" s="221"/>
      <c r="I7293" s="221"/>
      <c r="J7293" s="221"/>
      <c r="K7293" s="221"/>
      <c r="L7293" s="221"/>
      <c r="M7293" s="221"/>
    </row>
    <row r="7294" spans="5:13">
      <c r="E7294" s="221"/>
      <c r="F7294" s="221"/>
      <c r="G7294" s="221"/>
      <c r="H7294" s="221"/>
      <c r="I7294" s="221"/>
      <c r="J7294" s="221"/>
      <c r="K7294" s="221"/>
      <c r="L7294" s="221"/>
      <c r="M7294" s="221"/>
    </row>
    <row r="7295" spans="5:13">
      <c r="E7295" s="221"/>
      <c r="F7295" s="221"/>
      <c r="G7295" s="221"/>
      <c r="H7295" s="221"/>
      <c r="I7295" s="221"/>
      <c r="J7295" s="221"/>
      <c r="K7295" s="221"/>
      <c r="L7295" s="221"/>
      <c r="M7295" s="221"/>
    </row>
    <row r="7296" spans="5:13">
      <c r="E7296" s="221"/>
      <c r="F7296" s="221"/>
      <c r="G7296" s="221"/>
      <c r="H7296" s="221"/>
      <c r="I7296" s="221"/>
      <c r="J7296" s="221"/>
      <c r="K7296" s="221"/>
      <c r="L7296" s="221"/>
      <c r="M7296" s="221"/>
    </row>
    <row r="7297" spans="5:13">
      <c r="E7297" s="221"/>
      <c r="F7297" s="221"/>
      <c r="G7297" s="221"/>
      <c r="H7297" s="221"/>
      <c r="I7297" s="221"/>
      <c r="J7297" s="221"/>
      <c r="K7297" s="221"/>
      <c r="L7297" s="221"/>
      <c r="M7297" s="221"/>
    </row>
    <row r="7298" spans="5:13">
      <c r="E7298" s="221"/>
      <c r="F7298" s="221"/>
      <c r="G7298" s="221"/>
      <c r="H7298" s="221"/>
      <c r="I7298" s="221"/>
      <c r="J7298" s="221"/>
      <c r="K7298" s="221"/>
      <c r="L7298" s="221"/>
      <c r="M7298" s="221"/>
    </row>
    <row r="7299" spans="5:13">
      <c r="E7299" s="221"/>
      <c r="F7299" s="221"/>
      <c r="G7299" s="221"/>
      <c r="H7299" s="221"/>
      <c r="I7299" s="221"/>
      <c r="J7299" s="221"/>
      <c r="K7299" s="221"/>
      <c r="L7299" s="221"/>
      <c r="M7299" s="221"/>
    </row>
    <row r="7300" spans="5:13">
      <c r="E7300" s="221"/>
      <c r="F7300" s="221"/>
      <c r="G7300" s="221"/>
      <c r="H7300" s="221"/>
      <c r="I7300" s="221"/>
      <c r="J7300" s="221"/>
      <c r="K7300" s="221"/>
      <c r="L7300" s="221"/>
      <c r="M7300" s="221"/>
    </row>
    <row r="7301" spans="5:13">
      <c r="E7301" s="221"/>
      <c r="F7301" s="221"/>
      <c r="G7301" s="221"/>
      <c r="H7301" s="221"/>
      <c r="I7301" s="221"/>
      <c r="J7301" s="221"/>
      <c r="K7301" s="221"/>
      <c r="L7301" s="221"/>
      <c r="M7301" s="221"/>
    </row>
    <row r="7302" spans="5:13">
      <c r="E7302" s="221"/>
      <c r="F7302" s="221"/>
      <c r="G7302" s="221"/>
      <c r="H7302" s="221"/>
      <c r="I7302" s="221"/>
      <c r="J7302" s="221"/>
      <c r="K7302" s="221"/>
      <c r="L7302" s="221"/>
      <c r="M7302" s="221"/>
    </row>
    <row r="7303" spans="5:13">
      <c r="E7303" s="221"/>
      <c r="F7303" s="221"/>
      <c r="G7303" s="221"/>
      <c r="H7303" s="221"/>
      <c r="I7303" s="221"/>
      <c r="J7303" s="221"/>
      <c r="K7303" s="221"/>
      <c r="L7303" s="221"/>
      <c r="M7303" s="221"/>
    </row>
    <row r="7304" spans="5:13">
      <c r="E7304" s="221"/>
      <c r="F7304" s="221"/>
      <c r="G7304" s="221"/>
      <c r="H7304" s="221"/>
      <c r="I7304" s="221"/>
      <c r="J7304" s="221"/>
      <c r="K7304" s="221"/>
      <c r="L7304" s="221"/>
      <c r="M7304" s="221"/>
    </row>
    <row r="7305" spans="5:13">
      <c r="E7305" s="221"/>
      <c r="F7305" s="221"/>
      <c r="G7305" s="221"/>
      <c r="H7305" s="221"/>
      <c r="I7305" s="221"/>
      <c r="J7305" s="221"/>
      <c r="K7305" s="221"/>
      <c r="L7305" s="221"/>
      <c r="M7305" s="221"/>
    </row>
    <row r="7306" spans="5:13">
      <c r="E7306" s="221"/>
      <c r="F7306" s="221"/>
      <c r="G7306" s="221"/>
      <c r="H7306" s="221"/>
      <c r="I7306" s="221"/>
      <c r="J7306" s="221"/>
      <c r="K7306" s="221"/>
      <c r="L7306" s="221"/>
      <c r="M7306" s="221"/>
    </row>
    <row r="7307" spans="5:13">
      <c r="E7307" s="221"/>
      <c r="F7307" s="221"/>
      <c r="G7307" s="221"/>
      <c r="H7307" s="221"/>
      <c r="I7307" s="221"/>
      <c r="J7307" s="221"/>
      <c r="K7307" s="221"/>
      <c r="L7307" s="221"/>
      <c r="M7307" s="221"/>
    </row>
    <row r="7308" spans="5:13">
      <c r="E7308" s="221"/>
      <c r="F7308" s="221"/>
      <c r="G7308" s="221"/>
      <c r="H7308" s="221"/>
      <c r="I7308" s="221"/>
      <c r="J7308" s="221"/>
      <c r="K7308" s="221"/>
      <c r="L7308" s="221"/>
      <c r="M7308" s="221"/>
    </row>
    <row r="7309" spans="5:13">
      <c r="E7309" s="221"/>
      <c r="F7309" s="221"/>
      <c r="G7309" s="221"/>
      <c r="H7309" s="221"/>
      <c r="I7309" s="221"/>
      <c r="J7309" s="221"/>
      <c r="K7309" s="221"/>
      <c r="L7309" s="221"/>
      <c r="M7309" s="221"/>
    </row>
    <row r="7310" spans="5:13">
      <c r="E7310" s="221"/>
      <c r="F7310" s="221"/>
      <c r="G7310" s="221"/>
      <c r="H7310" s="221"/>
      <c r="I7310" s="221"/>
      <c r="J7310" s="221"/>
      <c r="K7310" s="221"/>
      <c r="L7310" s="221"/>
      <c r="M7310" s="221"/>
    </row>
    <row r="7311" spans="5:13">
      <c r="E7311" s="221"/>
      <c r="F7311" s="221"/>
      <c r="G7311" s="221"/>
      <c r="H7311" s="221"/>
      <c r="I7311" s="221"/>
      <c r="J7311" s="221"/>
      <c r="K7311" s="221"/>
      <c r="L7311" s="221"/>
      <c r="M7311" s="221"/>
    </row>
    <row r="7312" spans="5:13">
      <c r="E7312" s="221"/>
      <c r="F7312" s="221"/>
      <c r="G7312" s="221"/>
      <c r="H7312" s="221"/>
      <c r="I7312" s="221"/>
      <c r="J7312" s="221"/>
      <c r="K7312" s="221"/>
      <c r="L7312" s="221"/>
      <c r="M7312" s="221"/>
    </row>
    <row r="7313" spans="5:13">
      <c r="E7313" s="221"/>
      <c r="F7313" s="221"/>
      <c r="G7313" s="221"/>
      <c r="H7313" s="221"/>
      <c r="I7313" s="221"/>
      <c r="J7313" s="221"/>
      <c r="K7313" s="221"/>
      <c r="L7313" s="221"/>
      <c r="M7313" s="221"/>
    </row>
    <row r="7314" spans="5:13">
      <c r="E7314" s="221"/>
      <c r="F7314" s="221"/>
      <c r="G7314" s="221"/>
      <c r="H7314" s="221"/>
      <c r="I7314" s="221"/>
      <c r="J7314" s="221"/>
      <c r="K7314" s="221"/>
      <c r="L7314" s="221"/>
      <c r="M7314" s="221"/>
    </row>
    <row r="7315" spans="5:13">
      <c r="E7315" s="221"/>
      <c r="F7315" s="221"/>
      <c r="G7315" s="221"/>
      <c r="H7315" s="221"/>
      <c r="I7315" s="221"/>
      <c r="J7315" s="221"/>
      <c r="K7315" s="221"/>
      <c r="L7315" s="221"/>
      <c r="M7315" s="221"/>
    </row>
    <row r="7316" spans="5:13">
      <c r="E7316" s="221"/>
      <c r="F7316" s="221"/>
      <c r="G7316" s="221"/>
      <c r="H7316" s="221"/>
      <c r="I7316" s="221"/>
      <c r="J7316" s="221"/>
      <c r="K7316" s="221"/>
      <c r="L7316" s="221"/>
      <c r="M7316" s="221"/>
    </row>
    <row r="7317" spans="5:13">
      <c r="E7317" s="221"/>
      <c r="F7317" s="221"/>
      <c r="G7317" s="221"/>
      <c r="H7317" s="221"/>
      <c r="I7317" s="221"/>
      <c r="J7317" s="221"/>
      <c r="K7317" s="221"/>
      <c r="L7317" s="221"/>
      <c r="M7317" s="221"/>
    </row>
    <row r="7318" spans="5:13">
      <c r="E7318" s="221"/>
      <c r="F7318" s="221"/>
      <c r="G7318" s="221"/>
      <c r="H7318" s="221"/>
      <c r="I7318" s="221"/>
      <c r="J7318" s="221"/>
      <c r="K7318" s="221"/>
      <c r="L7318" s="221"/>
      <c r="M7318" s="221"/>
    </row>
    <row r="7319" spans="5:13">
      <c r="E7319" s="221"/>
      <c r="F7319" s="221"/>
      <c r="G7319" s="221"/>
      <c r="H7319" s="221"/>
      <c r="I7319" s="221"/>
      <c r="J7319" s="221"/>
      <c r="K7319" s="221"/>
      <c r="L7319" s="221"/>
      <c r="M7319" s="221"/>
    </row>
    <row r="7320" spans="5:13">
      <c r="E7320" s="221"/>
      <c r="F7320" s="221"/>
      <c r="G7320" s="221"/>
      <c r="H7320" s="221"/>
      <c r="I7320" s="221"/>
      <c r="J7320" s="221"/>
      <c r="K7320" s="221"/>
      <c r="L7320" s="221"/>
      <c r="M7320" s="221"/>
    </row>
    <row r="7321" spans="5:13">
      <c r="E7321" s="221"/>
      <c r="F7321" s="221"/>
      <c r="G7321" s="221"/>
      <c r="H7321" s="221"/>
      <c r="I7321" s="221"/>
      <c r="J7321" s="221"/>
      <c r="K7321" s="221"/>
      <c r="L7321" s="221"/>
      <c r="M7321" s="221"/>
    </row>
    <row r="7322" spans="5:13">
      <c r="E7322" s="221"/>
      <c r="F7322" s="221"/>
      <c r="G7322" s="221"/>
      <c r="H7322" s="221"/>
      <c r="I7322" s="221"/>
      <c r="J7322" s="221"/>
      <c r="K7322" s="221"/>
      <c r="L7322" s="221"/>
      <c r="M7322" s="221"/>
    </row>
    <row r="7323" spans="5:13">
      <c r="E7323" s="221"/>
      <c r="F7323" s="221"/>
      <c r="G7323" s="221"/>
      <c r="H7323" s="221"/>
      <c r="I7323" s="221"/>
      <c r="J7323" s="221"/>
      <c r="K7323" s="221"/>
      <c r="L7323" s="221"/>
      <c r="M7323" s="221"/>
    </row>
    <row r="7324" spans="5:13">
      <c r="E7324" s="221"/>
      <c r="F7324" s="221"/>
      <c r="G7324" s="221"/>
      <c r="H7324" s="221"/>
      <c r="I7324" s="221"/>
      <c r="J7324" s="221"/>
      <c r="K7324" s="221"/>
      <c r="L7324" s="221"/>
      <c r="M7324" s="221"/>
    </row>
    <row r="7325" spans="5:13">
      <c r="E7325" s="221"/>
      <c r="F7325" s="221"/>
      <c r="G7325" s="221"/>
      <c r="H7325" s="221"/>
      <c r="I7325" s="221"/>
      <c r="J7325" s="221"/>
      <c r="K7325" s="221"/>
      <c r="L7325" s="221"/>
      <c r="M7325" s="221"/>
    </row>
    <row r="7326" spans="5:13">
      <c r="E7326" s="221"/>
      <c r="F7326" s="221"/>
      <c r="G7326" s="221"/>
      <c r="H7326" s="221"/>
      <c r="I7326" s="221"/>
      <c r="J7326" s="221"/>
      <c r="K7326" s="221"/>
      <c r="L7326" s="221"/>
      <c r="M7326" s="221"/>
    </row>
    <row r="7327" spans="5:13">
      <c r="E7327" s="221"/>
      <c r="F7327" s="221"/>
      <c r="G7327" s="221"/>
      <c r="H7327" s="221"/>
      <c r="I7327" s="221"/>
      <c r="J7327" s="221"/>
      <c r="K7327" s="221"/>
      <c r="L7327" s="221"/>
      <c r="M7327" s="221"/>
    </row>
    <row r="7328" spans="5:13">
      <c r="E7328" s="221"/>
      <c r="F7328" s="221"/>
      <c r="G7328" s="221"/>
      <c r="H7328" s="221"/>
      <c r="I7328" s="221"/>
      <c r="J7328" s="221"/>
      <c r="K7328" s="221"/>
      <c r="L7328" s="221"/>
      <c r="M7328" s="221"/>
    </row>
    <row r="7329" spans="5:13">
      <c r="E7329" s="221"/>
      <c r="F7329" s="221"/>
      <c r="G7329" s="221"/>
      <c r="H7329" s="221"/>
      <c r="I7329" s="221"/>
      <c r="J7329" s="221"/>
      <c r="K7329" s="221"/>
      <c r="L7329" s="221"/>
      <c r="M7329" s="221"/>
    </row>
    <row r="7330" spans="5:13">
      <c r="E7330" s="221"/>
      <c r="F7330" s="221"/>
      <c r="G7330" s="221"/>
      <c r="H7330" s="221"/>
      <c r="I7330" s="221"/>
      <c r="J7330" s="221"/>
      <c r="K7330" s="221"/>
      <c r="L7330" s="221"/>
      <c r="M7330" s="221"/>
    </row>
    <row r="7331" spans="5:13">
      <c r="E7331" s="221"/>
      <c r="F7331" s="221"/>
      <c r="G7331" s="221"/>
      <c r="H7331" s="221"/>
      <c r="I7331" s="221"/>
      <c r="J7331" s="221"/>
      <c r="K7331" s="221"/>
      <c r="L7331" s="221"/>
      <c r="M7331" s="221"/>
    </row>
    <row r="7332" spans="5:13">
      <c r="E7332" s="221"/>
      <c r="F7332" s="221"/>
      <c r="G7332" s="221"/>
      <c r="H7332" s="221"/>
      <c r="I7332" s="221"/>
      <c r="J7332" s="221"/>
      <c r="K7332" s="221"/>
      <c r="L7332" s="221"/>
      <c r="M7332" s="221"/>
    </row>
    <row r="7333" spans="5:13">
      <c r="E7333" s="221"/>
      <c r="F7333" s="221"/>
      <c r="G7333" s="221"/>
      <c r="H7333" s="221"/>
      <c r="I7333" s="221"/>
      <c r="J7333" s="221"/>
      <c r="K7333" s="221"/>
      <c r="L7333" s="221"/>
      <c r="M7333" s="221"/>
    </row>
    <row r="7334" spans="5:13">
      <c r="E7334" s="221"/>
      <c r="F7334" s="221"/>
      <c r="G7334" s="221"/>
      <c r="H7334" s="221"/>
      <c r="I7334" s="221"/>
      <c r="J7334" s="221"/>
      <c r="K7334" s="221"/>
      <c r="L7334" s="221"/>
      <c r="M7334" s="221"/>
    </row>
    <row r="7335" spans="5:13">
      <c r="E7335" s="221"/>
      <c r="F7335" s="221"/>
      <c r="G7335" s="221"/>
      <c r="H7335" s="221"/>
      <c r="I7335" s="221"/>
      <c r="J7335" s="221"/>
      <c r="K7335" s="221"/>
      <c r="L7335" s="221"/>
      <c r="M7335" s="221"/>
    </row>
    <row r="7336" spans="5:13">
      <c r="E7336" s="221"/>
      <c r="F7336" s="221"/>
      <c r="G7336" s="221"/>
      <c r="H7336" s="221"/>
      <c r="I7336" s="221"/>
      <c r="J7336" s="221"/>
      <c r="K7336" s="221"/>
      <c r="L7336" s="221"/>
      <c r="M7336" s="221"/>
    </row>
    <row r="7337" spans="5:13">
      <c r="E7337" s="221"/>
      <c r="F7337" s="221"/>
      <c r="G7337" s="221"/>
      <c r="H7337" s="221"/>
      <c r="I7337" s="221"/>
      <c r="J7337" s="221"/>
      <c r="K7337" s="221"/>
      <c r="L7337" s="221"/>
      <c r="M7337" s="221"/>
    </row>
    <row r="7338" spans="5:13">
      <c r="E7338" s="221"/>
      <c r="F7338" s="221"/>
      <c r="G7338" s="221"/>
      <c r="H7338" s="221"/>
      <c r="I7338" s="221"/>
      <c r="J7338" s="221"/>
      <c r="K7338" s="221"/>
      <c r="L7338" s="221"/>
      <c r="M7338" s="221"/>
    </row>
    <row r="7339" spans="5:13">
      <c r="E7339" s="221"/>
      <c r="F7339" s="221"/>
      <c r="G7339" s="221"/>
      <c r="H7339" s="221"/>
      <c r="I7339" s="221"/>
      <c r="J7339" s="221"/>
      <c r="K7339" s="221"/>
      <c r="L7339" s="221"/>
      <c r="M7339" s="221"/>
    </row>
    <row r="7340" spans="5:13">
      <c r="E7340" s="221"/>
      <c r="F7340" s="221"/>
      <c r="G7340" s="221"/>
      <c r="H7340" s="221"/>
      <c r="I7340" s="221"/>
      <c r="J7340" s="221"/>
      <c r="K7340" s="221"/>
      <c r="L7340" s="221"/>
      <c r="M7340" s="221"/>
    </row>
    <row r="7341" spans="5:13">
      <c r="E7341" s="221"/>
      <c r="F7341" s="221"/>
      <c r="G7341" s="221"/>
      <c r="H7341" s="221"/>
      <c r="I7341" s="221"/>
      <c r="J7341" s="221"/>
      <c r="K7341" s="221"/>
      <c r="L7341" s="221"/>
      <c r="M7341" s="221"/>
    </row>
    <row r="7342" spans="5:13">
      <c r="E7342" s="221"/>
      <c r="F7342" s="221"/>
      <c r="G7342" s="221"/>
      <c r="H7342" s="221"/>
      <c r="I7342" s="221"/>
      <c r="J7342" s="221"/>
      <c r="K7342" s="221"/>
      <c r="L7342" s="221"/>
      <c r="M7342" s="221"/>
    </row>
    <row r="7343" spans="5:13">
      <c r="E7343" s="221"/>
      <c r="F7343" s="221"/>
      <c r="G7343" s="221"/>
      <c r="H7343" s="221"/>
      <c r="I7343" s="221"/>
      <c r="J7343" s="221"/>
      <c r="K7343" s="221"/>
      <c r="L7343" s="221"/>
      <c r="M7343" s="221"/>
    </row>
    <row r="7344" spans="5:13">
      <c r="E7344" s="221"/>
      <c r="F7344" s="221"/>
      <c r="G7344" s="221"/>
      <c r="H7344" s="221"/>
      <c r="I7344" s="221"/>
      <c r="J7344" s="221"/>
      <c r="K7344" s="221"/>
      <c r="L7344" s="221"/>
      <c r="M7344" s="221"/>
    </row>
    <row r="7345" spans="5:13">
      <c r="E7345" s="221"/>
      <c r="F7345" s="221"/>
      <c r="G7345" s="221"/>
      <c r="H7345" s="221"/>
      <c r="I7345" s="221"/>
      <c r="J7345" s="221"/>
      <c r="K7345" s="221"/>
      <c r="L7345" s="221"/>
      <c r="M7345" s="221"/>
    </row>
    <row r="7346" spans="5:13">
      <c r="E7346" s="221"/>
      <c r="F7346" s="221"/>
      <c r="G7346" s="221"/>
      <c r="H7346" s="221"/>
      <c r="I7346" s="221"/>
      <c r="J7346" s="221"/>
      <c r="K7346" s="221"/>
      <c r="L7346" s="221"/>
      <c r="M7346" s="221"/>
    </row>
    <row r="7347" spans="5:13">
      <c r="E7347" s="221"/>
      <c r="F7347" s="221"/>
      <c r="G7347" s="221"/>
      <c r="H7347" s="221"/>
      <c r="I7347" s="221"/>
      <c r="J7347" s="221"/>
      <c r="K7347" s="221"/>
      <c r="L7347" s="221"/>
      <c r="M7347" s="221"/>
    </row>
    <row r="7348" spans="5:13">
      <c r="E7348" s="221"/>
      <c r="F7348" s="221"/>
      <c r="G7348" s="221"/>
      <c r="H7348" s="221"/>
      <c r="I7348" s="221"/>
      <c r="J7348" s="221"/>
      <c r="K7348" s="221"/>
      <c r="L7348" s="221"/>
      <c r="M7348" s="221"/>
    </row>
    <row r="7349" spans="5:13">
      <c r="E7349" s="221"/>
      <c r="F7349" s="221"/>
      <c r="G7349" s="221"/>
      <c r="H7349" s="221"/>
      <c r="I7349" s="221"/>
      <c r="J7349" s="221"/>
      <c r="K7349" s="221"/>
      <c r="L7349" s="221"/>
      <c r="M7349" s="221"/>
    </row>
    <row r="7350" spans="5:13">
      <c r="E7350" s="221"/>
      <c r="F7350" s="221"/>
      <c r="G7350" s="221"/>
      <c r="H7350" s="221"/>
      <c r="I7350" s="221"/>
      <c r="J7350" s="221"/>
      <c r="K7350" s="221"/>
      <c r="L7350" s="221"/>
      <c r="M7350" s="221"/>
    </row>
    <row r="7351" spans="5:13">
      <c r="E7351" s="221"/>
      <c r="F7351" s="221"/>
      <c r="G7351" s="221"/>
      <c r="H7351" s="221"/>
      <c r="I7351" s="221"/>
      <c r="J7351" s="221"/>
      <c r="K7351" s="221"/>
      <c r="L7351" s="221"/>
      <c r="M7351" s="221"/>
    </row>
    <row r="7352" spans="5:13">
      <c r="E7352" s="221"/>
      <c r="F7352" s="221"/>
      <c r="G7352" s="221"/>
      <c r="H7352" s="221"/>
      <c r="I7352" s="221"/>
      <c r="J7352" s="221"/>
      <c r="K7352" s="221"/>
      <c r="L7352" s="221"/>
      <c r="M7352" s="221"/>
    </row>
    <row r="7353" spans="5:13">
      <c r="E7353" s="221"/>
      <c r="F7353" s="221"/>
      <c r="G7353" s="221"/>
      <c r="H7353" s="221"/>
      <c r="I7353" s="221"/>
      <c r="J7353" s="221"/>
      <c r="K7353" s="221"/>
      <c r="L7353" s="221"/>
      <c r="M7353" s="221"/>
    </row>
    <row r="7354" spans="5:13">
      <c r="E7354" s="221"/>
      <c r="F7354" s="221"/>
      <c r="G7354" s="221"/>
      <c r="H7354" s="221"/>
      <c r="I7354" s="221"/>
      <c r="J7354" s="221"/>
      <c r="K7354" s="221"/>
      <c r="L7354" s="221"/>
      <c r="M7354" s="221"/>
    </row>
    <row r="7355" spans="5:13">
      <c r="E7355" s="221"/>
      <c r="F7355" s="221"/>
      <c r="G7355" s="221"/>
      <c r="H7355" s="221"/>
      <c r="I7355" s="221"/>
      <c r="J7355" s="221"/>
      <c r="K7355" s="221"/>
      <c r="L7355" s="221"/>
      <c r="M7355" s="221"/>
    </row>
    <row r="7356" spans="5:13">
      <c r="E7356" s="221"/>
      <c r="F7356" s="221"/>
      <c r="G7356" s="221"/>
      <c r="H7356" s="221"/>
      <c r="I7356" s="221"/>
      <c r="J7356" s="221"/>
      <c r="K7356" s="221"/>
      <c r="L7356" s="221"/>
      <c r="M7356" s="221"/>
    </row>
    <row r="7357" spans="5:13">
      <c r="E7357" s="221"/>
      <c r="F7357" s="221"/>
      <c r="G7357" s="221"/>
      <c r="H7357" s="221"/>
      <c r="I7357" s="221"/>
      <c r="J7357" s="221"/>
      <c r="K7357" s="221"/>
      <c r="L7357" s="221"/>
      <c r="M7357" s="221"/>
    </row>
    <row r="7358" spans="5:13">
      <c r="E7358" s="221"/>
      <c r="F7358" s="221"/>
      <c r="G7358" s="221"/>
      <c r="H7358" s="221"/>
      <c r="I7358" s="221"/>
      <c r="J7358" s="221"/>
      <c r="K7358" s="221"/>
      <c r="L7358" s="221"/>
      <c r="M7358" s="221"/>
    </row>
    <row r="7359" spans="5:13">
      <c r="E7359" s="221"/>
      <c r="F7359" s="221"/>
      <c r="G7359" s="221"/>
      <c r="H7359" s="221"/>
      <c r="I7359" s="221"/>
      <c r="J7359" s="221"/>
      <c r="K7359" s="221"/>
      <c r="L7359" s="221"/>
      <c r="M7359" s="221"/>
    </row>
    <row r="7360" spans="5:13">
      <c r="E7360" s="221"/>
      <c r="F7360" s="221"/>
      <c r="G7360" s="221"/>
      <c r="H7360" s="221"/>
      <c r="I7360" s="221"/>
      <c r="J7360" s="221"/>
      <c r="K7360" s="221"/>
      <c r="L7360" s="221"/>
      <c r="M7360" s="221"/>
    </row>
    <row r="7361" spans="5:13">
      <c r="E7361" s="221"/>
      <c r="F7361" s="221"/>
      <c r="G7361" s="221"/>
      <c r="H7361" s="221"/>
      <c r="I7361" s="221"/>
      <c r="J7361" s="221"/>
      <c r="K7361" s="221"/>
      <c r="L7361" s="221"/>
      <c r="M7361" s="221"/>
    </row>
    <row r="7362" spans="5:13">
      <c r="E7362" s="221"/>
      <c r="F7362" s="221"/>
      <c r="G7362" s="221"/>
      <c r="H7362" s="221"/>
      <c r="I7362" s="221"/>
      <c r="J7362" s="221"/>
      <c r="K7362" s="221"/>
      <c r="L7362" s="221"/>
      <c r="M7362" s="221"/>
    </row>
    <row r="7363" spans="5:13">
      <c r="E7363" s="221"/>
      <c r="F7363" s="221"/>
      <c r="G7363" s="221"/>
      <c r="H7363" s="221"/>
      <c r="I7363" s="221"/>
      <c r="J7363" s="221"/>
      <c r="K7363" s="221"/>
      <c r="L7363" s="221"/>
      <c r="M7363" s="221"/>
    </row>
    <row r="7364" spans="5:13">
      <c r="E7364" s="221"/>
      <c r="F7364" s="221"/>
      <c r="G7364" s="221"/>
      <c r="H7364" s="221"/>
      <c r="I7364" s="221"/>
      <c r="J7364" s="221"/>
      <c r="K7364" s="221"/>
      <c r="L7364" s="221"/>
      <c r="M7364" s="221"/>
    </row>
    <row r="7365" spans="5:13">
      <c r="E7365" s="221"/>
      <c r="F7365" s="221"/>
      <c r="G7365" s="221"/>
      <c r="H7365" s="221"/>
      <c r="I7365" s="221"/>
      <c r="J7365" s="221"/>
      <c r="K7365" s="221"/>
      <c r="L7365" s="221"/>
      <c r="M7365" s="221"/>
    </row>
    <row r="7366" spans="5:13">
      <c r="E7366" s="221"/>
      <c r="F7366" s="221"/>
      <c r="G7366" s="221"/>
      <c r="H7366" s="221"/>
      <c r="I7366" s="221"/>
      <c r="J7366" s="221"/>
      <c r="K7366" s="221"/>
      <c r="L7366" s="221"/>
      <c r="M7366" s="221"/>
    </row>
    <row r="7367" spans="5:13">
      <c r="E7367" s="221"/>
      <c r="F7367" s="221"/>
      <c r="G7367" s="221"/>
      <c r="H7367" s="221"/>
      <c r="I7367" s="221"/>
      <c r="J7367" s="221"/>
      <c r="K7367" s="221"/>
      <c r="L7367" s="221"/>
      <c r="M7367" s="221"/>
    </row>
    <row r="7368" spans="5:13">
      <c r="E7368" s="221"/>
      <c r="F7368" s="221"/>
      <c r="G7368" s="221"/>
      <c r="H7368" s="221"/>
      <c r="I7368" s="221"/>
      <c r="J7368" s="221"/>
      <c r="K7368" s="221"/>
      <c r="L7368" s="221"/>
      <c r="M7368" s="221"/>
    </row>
    <row r="7369" spans="5:13">
      <c r="E7369" s="221"/>
      <c r="F7369" s="221"/>
      <c r="G7369" s="221"/>
      <c r="H7369" s="221"/>
      <c r="I7369" s="221"/>
      <c r="J7369" s="221"/>
      <c r="K7369" s="221"/>
      <c r="L7369" s="221"/>
      <c r="M7369" s="221"/>
    </row>
    <row r="7370" spans="5:13">
      <c r="E7370" s="221"/>
      <c r="F7370" s="221"/>
      <c r="G7370" s="221"/>
      <c r="H7370" s="221"/>
      <c r="I7370" s="221"/>
      <c r="J7370" s="221"/>
      <c r="K7370" s="221"/>
      <c r="L7370" s="221"/>
      <c r="M7370" s="221"/>
    </row>
    <row r="7371" spans="5:13">
      <c r="E7371" s="221"/>
      <c r="F7371" s="221"/>
      <c r="G7371" s="221"/>
      <c r="H7371" s="221"/>
      <c r="I7371" s="221"/>
      <c r="J7371" s="221"/>
      <c r="K7371" s="221"/>
      <c r="L7371" s="221"/>
      <c r="M7371" s="221"/>
    </row>
    <row r="7372" spans="5:13">
      <c r="E7372" s="221"/>
      <c r="F7372" s="221"/>
      <c r="G7372" s="221"/>
      <c r="H7372" s="221"/>
      <c r="I7372" s="221"/>
      <c r="J7372" s="221"/>
      <c r="K7372" s="221"/>
      <c r="L7372" s="221"/>
      <c r="M7372" s="221"/>
    </row>
    <row r="7373" spans="5:13">
      <c r="E7373" s="221"/>
      <c r="F7373" s="221"/>
      <c r="G7373" s="221"/>
      <c r="H7373" s="221"/>
      <c r="I7373" s="221"/>
      <c r="J7373" s="221"/>
      <c r="K7373" s="221"/>
      <c r="L7373" s="221"/>
      <c r="M7373" s="221"/>
    </row>
    <row r="7374" spans="5:13">
      <c r="E7374" s="221"/>
      <c r="F7374" s="221"/>
      <c r="G7374" s="221"/>
      <c r="H7374" s="221"/>
      <c r="I7374" s="221"/>
      <c r="J7374" s="221"/>
      <c r="K7374" s="221"/>
      <c r="L7374" s="221"/>
      <c r="M7374" s="221"/>
    </row>
    <row r="7375" spans="5:13">
      <c r="E7375" s="221"/>
      <c r="F7375" s="221"/>
      <c r="G7375" s="221"/>
      <c r="H7375" s="221"/>
      <c r="I7375" s="221"/>
      <c r="J7375" s="221"/>
      <c r="K7375" s="221"/>
      <c r="L7375" s="221"/>
      <c r="M7375" s="221"/>
    </row>
    <row r="7376" spans="5:13">
      <c r="E7376" s="221"/>
      <c r="F7376" s="221"/>
      <c r="G7376" s="221"/>
      <c r="H7376" s="221"/>
      <c r="I7376" s="221"/>
      <c r="J7376" s="221"/>
      <c r="K7376" s="221"/>
      <c r="L7376" s="221"/>
      <c r="M7376" s="221"/>
    </row>
    <row r="7377" spans="5:13">
      <c r="E7377" s="221"/>
      <c r="F7377" s="221"/>
      <c r="G7377" s="221"/>
      <c r="H7377" s="221"/>
      <c r="I7377" s="221"/>
      <c r="J7377" s="221"/>
      <c r="K7377" s="221"/>
      <c r="L7377" s="221"/>
      <c r="M7377" s="221"/>
    </row>
    <row r="7378" spans="5:13">
      <c r="E7378" s="221"/>
      <c r="F7378" s="221"/>
      <c r="G7378" s="221"/>
      <c r="H7378" s="221"/>
      <c r="I7378" s="221"/>
      <c r="J7378" s="221"/>
      <c r="K7378" s="221"/>
      <c r="L7378" s="221"/>
      <c r="M7378" s="221"/>
    </row>
    <row r="7379" spans="5:13">
      <c r="E7379" s="221"/>
      <c r="F7379" s="221"/>
      <c r="G7379" s="221"/>
      <c r="H7379" s="221"/>
      <c r="I7379" s="221"/>
      <c r="J7379" s="221"/>
      <c r="K7379" s="221"/>
      <c r="L7379" s="221"/>
      <c r="M7379" s="221"/>
    </row>
    <row r="7380" spans="5:13">
      <c r="E7380" s="221"/>
      <c r="F7380" s="221"/>
      <c r="G7380" s="221"/>
      <c r="H7380" s="221"/>
      <c r="I7380" s="221"/>
      <c r="J7380" s="221"/>
      <c r="K7380" s="221"/>
      <c r="L7380" s="221"/>
      <c r="M7380" s="221"/>
    </row>
    <row r="7381" spans="5:13">
      <c r="E7381" s="221"/>
      <c r="F7381" s="221"/>
      <c r="G7381" s="221"/>
      <c r="H7381" s="221"/>
      <c r="I7381" s="221"/>
      <c r="J7381" s="221"/>
      <c r="K7381" s="221"/>
      <c r="L7381" s="221"/>
      <c r="M7381" s="221"/>
    </row>
    <row r="7382" spans="5:13">
      <c r="E7382" s="221"/>
      <c r="F7382" s="221"/>
      <c r="G7382" s="221"/>
      <c r="H7382" s="221"/>
      <c r="I7382" s="221"/>
      <c r="J7382" s="221"/>
      <c r="K7382" s="221"/>
      <c r="L7382" s="221"/>
      <c r="M7382" s="221"/>
    </row>
    <row r="7383" spans="5:13">
      <c r="E7383" s="221"/>
      <c r="F7383" s="221"/>
      <c r="G7383" s="221"/>
      <c r="H7383" s="221"/>
      <c r="I7383" s="221"/>
      <c r="J7383" s="221"/>
      <c r="K7383" s="221"/>
      <c r="L7383" s="221"/>
      <c r="M7383" s="221"/>
    </row>
    <row r="7384" spans="5:13">
      <c r="E7384" s="221"/>
      <c r="F7384" s="221"/>
      <c r="G7384" s="221"/>
      <c r="H7384" s="221"/>
      <c r="I7384" s="221"/>
      <c r="J7384" s="221"/>
      <c r="K7384" s="221"/>
      <c r="L7384" s="221"/>
      <c r="M7384" s="221"/>
    </row>
    <row r="7385" spans="5:13">
      <c r="E7385" s="221"/>
      <c r="F7385" s="221"/>
      <c r="G7385" s="221"/>
      <c r="H7385" s="221"/>
      <c r="I7385" s="221"/>
      <c r="J7385" s="221"/>
      <c r="K7385" s="221"/>
      <c r="L7385" s="221"/>
      <c r="M7385" s="221"/>
    </row>
    <row r="7386" spans="5:13">
      <c r="E7386" s="221"/>
      <c r="F7386" s="221"/>
      <c r="G7386" s="221"/>
      <c r="H7386" s="221"/>
      <c r="I7386" s="221"/>
      <c r="J7386" s="221"/>
      <c r="K7386" s="221"/>
      <c r="L7386" s="221"/>
      <c r="M7386" s="221"/>
    </row>
    <row r="7387" spans="5:13">
      <c r="E7387" s="221"/>
      <c r="F7387" s="221"/>
      <c r="G7387" s="221"/>
      <c r="H7387" s="221"/>
      <c r="I7387" s="221"/>
      <c r="J7387" s="221"/>
      <c r="K7387" s="221"/>
      <c r="L7387" s="221"/>
      <c r="M7387" s="221"/>
    </row>
    <row r="7388" spans="5:13">
      <c r="E7388" s="221"/>
      <c r="F7388" s="221"/>
      <c r="G7388" s="221"/>
      <c r="H7388" s="221"/>
      <c r="I7388" s="221"/>
      <c r="J7388" s="221"/>
      <c r="K7388" s="221"/>
      <c r="L7388" s="221"/>
      <c r="M7388" s="221"/>
    </row>
    <row r="7389" spans="5:13">
      <c r="E7389" s="221"/>
      <c r="F7389" s="221"/>
      <c r="G7389" s="221"/>
      <c r="H7389" s="221"/>
      <c r="I7389" s="221"/>
      <c r="J7389" s="221"/>
      <c r="K7389" s="221"/>
      <c r="L7389" s="221"/>
      <c r="M7389" s="221"/>
    </row>
    <row r="7390" spans="5:13">
      <c r="E7390" s="221"/>
      <c r="F7390" s="221"/>
      <c r="G7390" s="221"/>
      <c r="H7390" s="221"/>
      <c r="I7390" s="221"/>
      <c r="J7390" s="221"/>
      <c r="K7390" s="221"/>
      <c r="L7390" s="221"/>
      <c r="M7390" s="221"/>
    </row>
    <row r="7391" spans="5:13">
      <c r="E7391" s="221"/>
      <c r="F7391" s="221"/>
      <c r="G7391" s="221"/>
      <c r="H7391" s="221"/>
      <c r="I7391" s="221"/>
      <c r="J7391" s="221"/>
      <c r="K7391" s="221"/>
      <c r="L7391" s="221"/>
      <c r="M7391" s="221"/>
    </row>
    <row r="7392" spans="5:13">
      <c r="E7392" s="221"/>
      <c r="F7392" s="221"/>
      <c r="G7392" s="221"/>
      <c r="H7392" s="221"/>
      <c r="I7392" s="221"/>
      <c r="J7392" s="221"/>
      <c r="K7392" s="221"/>
      <c r="L7392" s="221"/>
      <c r="M7392" s="221"/>
    </row>
    <row r="7393" spans="5:13">
      <c r="E7393" s="221"/>
      <c r="F7393" s="221"/>
      <c r="G7393" s="221"/>
      <c r="H7393" s="221"/>
      <c r="I7393" s="221"/>
      <c r="J7393" s="221"/>
      <c r="K7393" s="221"/>
      <c r="L7393" s="221"/>
      <c r="M7393" s="221"/>
    </row>
    <row r="7394" spans="5:13">
      <c r="E7394" s="221"/>
      <c r="F7394" s="221"/>
      <c r="G7394" s="221"/>
      <c r="H7394" s="221"/>
      <c r="I7394" s="221"/>
      <c r="J7394" s="221"/>
      <c r="K7394" s="221"/>
      <c r="L7394" s="221"/>
      <c r="M7394" s="221"/>
    </row>
    <row r="7395" spans="5:13">
      <c r="E7395" s="221"/>
      <c r="F7395" s="221"/>
      <c r="G7395" s="221"/>
      <c r="H7395" s="221"/>
      <c r="I7395" s="221"/>
      <c r="J7395" s="221"/>
      <c r="K7395" s="221"/>
      <c r="L7395" s="221"/>
      <c r="M7395" s="221"/>
    </row>
    <row r="7396" spans="5:13">
      <c r="E7396" s="221"/>
      <c r="F7396" s="221"/>
      <c r="G7396" s="221"/>
      <c r="H7396" s="221"/>
      <c r="I7396" s="221"/>
      <c r="J7396" s="221"/>
      <c r="K7396" s="221"/>
      <c r="L7396" s="221"/>
      <c r="M7396" s="221"/>
    </row>
    <row r="7397" spans="5:13">
      <c r="E7397" s="221"/>
      <c r="F7397" s="221"/>
      <c r="G7397" s="221"/>
      <c r="H7397" s="221"/>
      <c r="I7397" s="221"/>
      <c r="J7397" s="221"/>
      <c r="K7397" s="221"/>
      <c r="L7397" s="221"/>
      <c r="M7397" s="221"/>
    </row>
    <row r="7398" spans="5:13">
      <c r="E7398" s="221"/>
      <c r="F7398" s="221"/>
      <c r="G7398" s="221"/>
      <c r="H7398" s="221"/>
      <c r="I7398" s="221"/>
      <c r="J7398" s="221"/>
      <c r="K7398" s="221"/>
      <c r="L7398" s="221"/>
      <c r="M7398" s="221"/>
    </row>
    <row r="7399" spans="5:13">
      <c r="E7399" s="221"/>
      <c r="F7399" s="221"/>
      <c r="G7399" s="221"/>
      <c r="H7399" s="221"/>
      <c r="I7399" s="221"/>
      <c r="J7399" s="221"/>
      <c r="K7399" s="221"/>
      <c r="L7399" s="221"/>
      <c r="M7399" s="221"/>
    </row>
    <row r="7400" spans="5:13">
      <c r="E7400" s="221"/>
      <c r="F7400" s="221"/>
      <c r="G7400" s="221"/>
      <c r="H7400" s="221"/>
      <c r="I7400" s="221"/>
      <c r="J7400" s="221"/>
      <c r="K7400" s="221"/>
      <c r="L7400" s="221"/>
      <c r="M7400" s="221"/>
    </row>
    <row r="7401" spans="5:13">
      <c r="E7401" s="221"/>
      <c r="F7401" s="221"/>
      <c r="G7401" s="221"/>
      <c r="H7401" s="221"/>
      <c r="I7401" s="221"/>
      <c r="J7401" s="221"/>
      <c r="K7401" s="221"/>
      <c r="L7401" s="221"/>
      <c r="M7401" s="221"/>
    </row>
    <row r="7402" spans="5:13">
      <c r="E7402" s="221"/>
      <c r="F7402" s="221"/>
      <c r="G7402" s="221"/>
      <c r="H7402" s="221"/>
      <c r="I7402" s="221"/>
      <c r="J7402" s="221"/>
      <c r="K7402" s="221"/>
      <c r="L7402" s="221"/>
      <c r="M7402" s="221"/>
    </row>
    <row r="7403" spans="5:13">
      <c r="E7403" s="221"/>
      <c r="F7403" s="221"/>
      <c r="G7403" s="221"/>
      <c r="H7403" s="221"/>
      <c r="I7403" s="221"/>
      <c r="J7403" s="221"/>
      <c r="K7403" s="221"/>
      <c r="L7403" s="221"/>
      <c r="M7403" s="221"/>
    </row>
    <row r="7404" spans="5:13">
      <c r="E7404" s="221"/>
      <c r="F7404" s="221"/>
      <c r="G7404" s="221"/>
      <c r="H7404" s="221"/>
      <c r="I7404" s="221"/>
      <c r="J7404" s="221"/>
      <c r="K7404" s="221"/>
      <c r="L7404" s="221"/>
      <c r="M7404" s="221"/>
    </row>
    <row r="7405" spans="5:13">
      <c r="E7405" s="221"/>
      <c r="F7405" s="221"/>
      <c r="G7405" s="221"/>
      <c r="H7405" s="221"/>
      <c r="I7405" s="221"/>
      <c r="J7405" s="221"/>
      <c r="K7405" s="221"/>
      <c r="L7405" s="221"/>
      <c r="M7405" s="221"/>
    </row>
    <row r="7406" spans="5:13">
      <c r="E7406" s="221"/>
      <c r="F7406" s="221"/>
      <c r="G7406" s="221"/>
      <c r="H7406" s="221"/>
      <c r="I7406" s="221"/>
      <c r="J7406" s="221"/>
      <c r="K7406" s="221"/>
      <c r="L7406" s="221"/>
      <c r="M7406" s="221"/>
    </row>
    <row r="7407" spans="5:13">
      <c r="E7407" s="221"/>
      <c r="F7407" s="221"/>
      <c r="G7407" s="221"/>
      <c r="H7407" s="221"/>
      <c r="I7407" s="221"/>
      <c r="J7407" s="221"/>
      <c r="K7407" s="221"/>
      <c r="L7407" s="221"/>
      <c r="M7407" s="221"/>
    </row>
    <row r="7408" spans="5:13">
      <c r="E7408" s="221"/>
      <c r="F7408" s="221"/>
      <c r="G7408" s="221"/>
      <c r="H7408" s="221"/>
      <c r="I7408" s="221"/>
      <c r="J7408" s="221"/>
      <c r="K7408" s="221"/>
      <c r="L7408" s="221"/>
      <c r="M7408" s="221"/>
    </row>
    <row r="7409" spans="5:13">
      <c r="E7409" s="221"/>
      <c r="F7409" s="221"/>
      <c r="G7409" s="221"/>
      <c r="H7409" s="221"/>
      <c r="I7409" s="221"/>
      <c r="J7409" s="221"/>
      <c r="K7409" s="221"/>
      <c r="L7409" s="221"/>
      <c r="M7409" s="221"/>
    </row>
    <row r="7410" spans="5:13">
      <c r="E7410" s="221"/>
      <c r="F7410" s="221"/>
      <c r="G7410" s="221"/>
      <c r="H7410" s="221"/>
      <c r="I7410" s="221"/>
      <c r="J7410" s="221"/>
      <c r="K7410" s="221"/>
      <c r="L7410" s="221"/>
      <c r="M7410" s="221"/>
    </row>
    <row r="7411" spans="5:13">
      <c r="E7411" s="221"/>
      <c r="F7411" s="221"/>
      <c r="G7411" s="221"/>
      <c r="H7411" s="221"/>
      <c r="I7411" s="221"/>
      <c r="J7411" s="221"/>
      <c r="K7411" s="221"/>
      <c r="L7411" s="221"/>
      <c r="M7411" s="221"/>
    </row>
    <row r="7412" spans="5:13">
      <c r="E7412" s="221"/>
      <c r="F7412" s="221"/>
      <c r="G7412" s="221"/>
      <c r="H7412" s="221"/>
      <c r="I7412" s="221"/>
      <c r="J7412" s="221"/>
      <c r="K7412" s="221"/>
      <c r="L7412" s="221"/>
      <c r="M7412" s="221"/>
    </row>
    <row r="7413" spans="5:13">
      <c r="E7413" s="221"/>
      <c r="F7413" s="221"/>
      <c r="G7413" s="221"/>
      <c r="H7413" s="221"/>
      <c r="I7413" s="221"/>
      <c r="J7413" s="221"/>
      <c r="K7413" s="221"/>
      <c r="L7413" s="221"/>
      <c r="M7413" s="221"/>
    </row>
    <row r="7414" spans="5:13">
      <c r="E7414" s="221"/>
      <c r="F7414" s="221"/>
      <c r="G7414" s="221"/>
      <c r="H7414" s="221"/>
      <c r="I7414" s="221"/>
      <c r="J7414" s="221"/>
      <c r="K7414" s="221"/>
      <c r="L7414" s="221"/>
      <c r="M7414" s="221"/>
    </row>
    <row r="7415" spans="5:13">
      <c r="E7415" s="221"/>
      <c r="F7415" s="221"/>
      <c r="G7415" s="221"/>
      <c r="H7415" s="221"/>
      <c r="I7415" s="221"/>
      <c r="J7415" s="221"/>
      <c r="K7415" s="221"/>
      <c r="L7415" s="221"/>
      <c r="M7415" s="221"/>
    </row>
    <row r="7416" spans="5:13">
      <c r="E7416" s="221"/>
      <c r="F7416" s="221"/>
      <c r="G7416" s="221"/>
      <c r="H7416" s="221"/>
      <c r="I7416" s="221"/>
      <c r="J7416" s="221"/>
      <c r="K7416" s="221"/>
      <c r="L7416" s="221"/>
      <c r="M7416" s="221"/>
    </row>
    <row r="7417" spans="5:13">
      <c r="E7417" s="221"/>
      <c r="F7417" s="221"/>
      <c r="G7417" s="221"/>
      <c r="H7417" s="221"/>
      <c r="I7417" s="221"/>
      <c r="J7417" s="221"/>
      <c r="K7417" s="221"/>
      <c r="L7417" s="221"/>
      <c r="M7417" s="221"/>
    </row>
    <row r="7418" spans="5:13">
      <c r="E7418" s="221"/>
      <c r="F7418" s="221"/>
      <c r="G7418" s="221"/>
      <c r="H7418" s="221"/>
      <c r="I7418" s="221"/>
      <c r="J7418" s="221"/>
      <c r="K7418" s="221"/>
      <c r="L7418" s="221"/>
      <c r="M7418" s="221"/>
    </row>
    <row r="7419" spans="5:13">
      <c r="E7419" s="221"/>
      <c r="F7419" s="221"/>
      <c r="G7419" s="221"/>
      <c r="H7419" s="221"/>
      <c r="I7419" s="221"/>
      <c r="J7419" s="221"/>
      <c r="K7419" s="221"/>
      <c r="L7419" s="221"/>
      <c r="M7419" s="221"/>
    </row>
    <row r="7420" spans="5:13">
      <c r="E7420" s="221"/>
      <c r="F7420" s="221"/>
      <c r="G7420" s="221"/>
      <c r="H7420" s="221"/>
      <c r="I7420" s="221"/>
      <c r="J7420" s="221"/>
      <c r="K7420" s="221"/>
      <c r="L7420" s="221"/>
      <c r="M7420" s="221"/>
    </row>
    <row r="7421" spans="5:13">
      <c r="E7421" s="221"/>
      <c r="F7421" s="221"/>
      <c r="G7421" s="221"/>
      <c r="H7421" s="221"/>
      <c r="I7421" s="221"/>
      <c r="J7421" s="221"/>
      <c r="K7421" s="221"/>
      <c r="L7421" s="221"/>
      <c r="M7421" s="221"/>
    </row>
    <row r="7422" spans="5:13">
      <c r="E7422" s="221"/>
      <c r="F7422" s="221"/>
      <c r="G7422" s="221"/>
      <c r="H7422" s="221"/>
      <c r="I7422" s="221"/>
      <c r="J7422" s="221"/>
      <c r="K7422" s="221"/>
      <c r="L7422" s="221"/>
      <c r="M7422" s="221"/>
    </row>
    <row r="7423" spans="5:13">
      <c r="E7423" s="221"/>
      <c r="F7423" s="221"/>
      <c r="G7423" s="221"/>
      <c r="H7423" s="221"/>
      <c r="I7423" s="221"/>
      <c r="J7423" s="221"/>
      <c r="K7423" s="221"/>
      <c r="L7423" s="221"/>
      <c r="M7423" s="221"/>
    </row>
    <row r="7424" spans="5:13">
      <c r="E7424" s="221"/>
      <c r="F7424" s="221"/>
      <c r="G7424" s="221"/>
      <c r="H7424" s="221"/>
      <c r="I7424" s="221"/>
      <c r="J7424" s="221"/>
      <c r="K7424" s="221"/>
      <c r="L7424" s="221"/>
      <c r="M7424" s="221"/>
    </row>
    <row r="7425" spans="5:13">
      <c r="E7425" s="221"/>
      <c r="F7425" s="221"/>
      <c r="G7425" s="221"/>
      <c r="H7425" s="221"/>
      <c r="I7425" s="221"/>
      <c r="J7425" s="221"/>
      <c r="K7425" s="221"/>
      <c r="L7425" s="221"/>
      <c r="M7425" s="221"/>
    </row>
    <row r="7426" spans="5:13">
      <c r="E7426" s="221"/>
      <c r="F7426" s="221"/>
      <c r="G7426" s="221"/>
      <c r="H7426" s="221"/>
      <c r="I7426" s="221"/>
      <c r="J7426" s="221"/>
      <c r="K7426" s="221"/>
      <c r="L7426" s="221"/>
      <c r="M7426" s="221"/>
    </row>
    <row r="7427" spans="5:13">
      <c r="E7427" s="221"/>
      <c r="F7427" s="221"/>
      <c r="G7427" s="221"/>
      <c r="H7427" s="221"/>
      <c r="I7427" s="221"/>
      <c r="J7427" s="221"/>
      <c r="K7427" s="221"/>
      <c r="L7427" s="221"/>
      <c r="M7427" s="221"/>
    </row>
    <row r="7428" spans="5:13">
      <c r="E7428" s="221"/>
      <c r="F7428" s="221"/>
      <c r="G7428" s="221"/>
      <c r="H7428" s="221"/>
      <c r="I7428" s="221"/>
      <c r="J7428" s="221"/>
      <c r="K7428" s="221"/>
      <c r="L7428" s="221"/>
      <c r="M7428" s="221"/>
    </row>
    <row r="7429" spans="5:13">
      <c r="E7429" s="221"/>
      <c r="F7429" s="221"/>
      <c r="G7429" s="221"/>
      <c r="H7429" s="221"/>
      <c r="I7429" s="221"/>
      <c r="J7429" s="221"/>
      <c r="K7429" s="221"/>
      <c r="L7429" s="221"/>
      <c r="M7429" s="221"/>
    </row>
    <row r="7430" spans="5:13">
      <c r="E7430" s="221"/>
      <c r="F7430" s="221"/>
      <c r="G7430" s="221"/>
      <c r="H7430" s="221"/>
      <c r="I7430" s="221"/>
      <c r="J7430" s="221"/>
      <c r="K7430" s="221"/>
      <c r="L7430" s="221"/>
      <c r="M7430" s="221"/>
    </row>
    <row r="7431" spans="5:13">
      <c r="E7431" s="221"/>
      <c r="F7431" s="221"/>
      <c r="G7431" s="221"/>
      <c r="H7431" s="221"/>
      <c r="I7431" s="221"/>
      <c r="J7431" s="221"/>
      <c r="K7431" s="221"/>
      <c r="L7431" s="221"/>
      <c r="M7431" s="221"/>
    </row>
    <row r="7432" spans="5:13">
      <c r="E7432" s="221"/>
      <c r="F7432" s="221"/>
      <c r="G7432" s="221"/>
      <c r="H7432" s="221"/>
      <c r="I7432" s="221"/>
      <c r="J7432" s="221"/>
      <c r="K7432" s="221"/>
      <c r="L7432" s="221"/>
      <c r="M7432" s="221"/>
    </row>
    <row r="7433" spans="5:13">
      <c r="E7433" s="221"/>
      <c r="F7433" s="221"/>
      <c r="G7433" s="221"/>
      <c r="H7433" s="221"/>
      <c r="I7433" s="221"/>
      <c r="J7433" s="221"/>
      <c r="K7433" s="221"/>
      <c r="L7433" s="221"/>
      <c r="M7433" s="221"/>
    </row>
    <row r="7434" spans="5:13">
      <c r="E7434" s="221"/>
      <c r="F7434" s="221"/>
      <c r="G7434" s="221"/>
      <c r="H7434" s="221"/>
      <c r="I7434" s="221"/>
      <c r="J7434" s="221"/>
      <c r="K7434" s="221"/>
      <c r="L7434" s="221"/>
      <c r="M7434" s="221"/>
    </row>
    <row r="7435" spans="5:13">
      <c r="E7435" s="221"/>
      <c r="F7435" s="221"/>
      <c r="G7435" s="221"/>
      <c r="H7435" s="221"/>
      <c r="I7435" s="221"/>
      <c r="J7435" s="221"/>
      <c r="K7435" s="221"/>
      <c r="L7435" s="221"/>
      <c r="M7435" s="221"/>
    </row>
    <row r="7436" spans="5:13">
      <c r="E7436" s="221"/>
      <c r="F7436" s="221"/>
      <c r="G7436" s="221"/>
      <c r="H7436" s="221"/>
      <c r="I7436" s="221"/>
      <c r="J7436" s="221"/>
      <c r="K7436" s="221"/>
      <c r="L7436" s="221"/>
      <c r="M7436" s="221"/>
    </row>
    <row r="7437" spans="5:13">
      <c r="E7437" s="221"/>
      <c r="F7437" s="221"/>
      <c r="G7437" s="221"/>
      <c r="H7437" s="221"/>
      <c r="I7437" s="221"/>
      <c r="J7437" s="221"/>
      <c r="K7437" s="221"/>
      <c r="L7437" s="221"/>
      <c r="M7437" s="221"/>
    </row>
    <row r="7438" spans="5:13">
      <c r="E7438" s="221"/>
      <c r="F7438" s="221"/>
      <c r="G7438" s="221"/>
      <c r="H7438" s="221"/>
      <c r="I7438" s="221"/>
      <c r="J7438" s="221"/>
      <c r="K7438" s="221"/>
      <c r="L7438" s="221"/>
      <c r="M7438" s="221"/>
    </row>
    <row r="7439" spans="5:13">
      <c r="E7439" s="221"/>
      <c r="F7439" s="221"/>
      <c r="G7439" s="221"/>
      <c r="H7439" s="221"/>
      <c r="I7439" s="221"/>
      <c r="J7439" s="221"/>
      <c r="K7439" s="221"/>
      <c r="L7439" s="221"/>
      <c r="M7439" s="221"/>
    </row>
    <row r="7440" spans="5:13">
      <c r="E7440" s="221"/>
      <c r="F7440" s="221"/>
      <c r="G7440" s="221"/>
      <c r="H7440" s="221"/>
      <c r="I7440" s="221"/>
      <c r="J7440" s="221"/>
      <c r="K7440" s="221"/>
      <c r="L7440" s="221"/>
      <c r="M7440" s="221"/>
    </row>
    <row r="7441" spans="5:13">
      <c r="E7441" s="221"/>
      <c r="F7441" s="221"/>
      <c r="G7441" s="221"/>
      <c r="H7441" s="221"/>
      <c r="I7441" s="221"/>
      <c r="J7441" s="221"/>
      <c r="K7441" s="221"/>
      <c r="L7441" s="221"/>
      <c r="M7441" s="221"/>
    </row>
    <row r="7442" spans="5:13">
      <c r="E7442" s="221"/>
      <c r="F7442" s="221"/>
      <c r="G7442" s="221"/>
      <c r="H7442" s="221"/>
      <c r="I7442" s="221"/>
      <c r="J7442" s="221"/>
      <c r="K7442" s="221"/>
      <c r="L7442" s="221"/>
      <c r="M7442" s="221"/>
    </row>
    <row r="7443" spans="5:13">
      <c r="E7443" s="221"/>
      <c r="F7443" s="221"/>
      <c r="G7443" s="221"/>
      <c r="H7443" s="221"/>
      <c r="I7443" s="221"/>
      <c r="J7443" s="221"/>
      <c r="K7443" s="221"/>
      <c r="L7443" s="221"/>
      <c r="M7443" s="221"/>
    </row>
    <row r="7444" spans="5:13">
      <c r="E7444" s="221"/>
      <c r="F7444" s="221"/>
      <c r="G7444" s="221"/>
      <c r="H7444" s="221"/>
      <c r="I7444" s="221"/>
      <c r="J7444" s="221"/>
      <c r="K7444" s="221"/>
      <c r="L7444" s="221"/>
      <c r="M7444" s="221"/>
    </row>
    <row r="7445" spans="5:13">
      <c r="E7445" s="221"/>
      <c r="F7445" s="221"/>
      <c r="G7445" s="221"/>
      <c r="H7445" s="221"/>
      <c r="I7445" s="221"/>
      <c r="J7445" s="221"/>
      <c r="K7445" s="221"/>
      <c r="L7445" s="221"/>
      <c r="M7445" s="221"/>
    </row>
    <row r="7446" spans="5:13">
      <c r="E7446" s="221"/>
      <c r="F7446" s="221"/>
      <c r="G7446" s="221"/>
      <c r="H7446" s="221"/>
      <c r="I7446" s="221"/>
      <c r="J7446" s="221"/>
      <c r="K7446" s="221"/>
      <c r="L7446" s="221"/>
      <c r="M7446" s="221"/>
    </row>
    <row r="7447" spans="5:13">
      <c r="E7447" s="221"/>
      <c r="F7447" s="221"/>
      <c r="G7447" s="221"/>
      <c r="H7447" s="221"/>
      <c r="I7447" s="221"/>
      <c r="J7447" s="221"/>
      <c r="K7447" s="221"/>
      <c r="L7447" s="221"/>
      <c r="M7447" s="221"/>
    </row>
    <row r="7448" spans="5:13">
      <c r="E7448" s="221"/>
      <c r="F7448" s="221"/>
      <c r="G7448" s="221"/>
      <c r="H7448" s="221"/>
      <c r="I7448" s="221"/>
      <c r="J7448" s="221"/>
      <c r="K7448" s="221"/>
      <c r="L7448" s="221"/>
      <c r="M7448" s="221"/>
    </row>
    <row r="7449" spans="5:13">
      <c r="E7449" s="221"/>
      <c r="F7449" s="221"/>
      <c r="G7449" s="221"/>
      <c r="H7449" s="221"/>
      <c r="I7449" s="221"/>
      <c r="J7449" s="221"/>
      <c r="K7449" s="221"/>
      <c r="L7449" s="221"/>
      <c r="M7449" s="221"/>
    </row>
    <row r="7450" spans="5:13">
      <c r="E7450" s="221"/>
      <c r="F7450" s="221"/>
      <c r="G7450" s="221"/>
      <c r="H7450" s="221"/>
      <c r="I7450" s="221"/>
      <c r="J7450" s="221"/>
      <c r="K7450" s="221"/>
      <c r="L7450" s="221"/>
      <c r="M7450" s="221"/>
    </row>
    <row r="7451" spans="5:13">
      <c r="E7451" s="221"/>
      <c r="F7451" s="221"/>
      <c r="G7451" s="221"/>
      <c r="H7451" s="221"/>
      <c r="I7451" s="221"/>
      <c r="J7451" s="221"/>
      <c r="K7451" s="221"/>
      <c r="L7451" s="221"/>
      <c r="M7451" s="221"/>
    </row>
    <row r="7452" spans="5:13">
      <c r="E7452" s="221"/>
      <c r="F7452" s="221"/>
      <c r="G7452" s="221"/>
      <c r="H7452" s="221"/>
      <c r="I7452" s="221"/>
      <c r="J7452" s="221"/>
      <c r="K7452" s="221"/>
      <c r="L7452" s="221"/>
      <c r="M7452" s="221"/>
    </row>
    <row r="7453" spans="5:13">
      <c r="E7453" s="221"/>
      <c r="F7453" s="221"/>
      <c r="G7453" s="221"/>
      <c r="H7453" s="221"/>
      <c r="I7453" s="221"/>
      <c r="J7453" s="221"/>
      <c r="K7453" s="221"/>
      <c r="L7453" s="221"/>
      <c r="M7453" s="221"/>
    </row>
    <row r="7454" spans="5:13">
      <c r="E7454" s="221"/>
      <c r="F7454" s="221"/>
      <c r="G7454" s="221"/>
      <c r="H7454" s="221"/>
      <c r="I7454" s="221"/>
      <c r="J7454" s="221"/>
      <c r="K7454" s="221"/>
      <c r="L7454" s="221"/>
      <c r="M7454" s="221"/>
    </row>
    <row r="7455" spans="5:13">
      <c r="E7455" s="221"/>
      <c r="F7455" s="221"/>
      <c r="G7455" s="221"/>
      <c r="H7455" s="221"/>
      <c r="I7455" s="221"/>
      <c r="J7455" s="221"/>
      <c r="K7455" s="221"/>
      <c r="L7455" s="221"/>
      <c r="M7455" s="221"/>
    </row>
    <row r="7456" spans="5:13">
      <c r="E7456" s="221"/>
      <c r="F7456" s="221"/>
      <c r="G7456" s="221"/>
      <c r="H7456" s="221"/>
      <c r="I7456" s="221"/>
      <c r="J7456" s="221"/>
      <c r="K7456" s="221"/>
      <c r="L7456" s="221"/>
      <c r="M7456" s="221"/>
    </row>
    <row r="7457" spans="5:13">
      <c r="E7457" s="221"/>
      <c r="F7457" s="221"/>
      <c r="G7457" s="221"/>
      <c r="H7457" s="221"/>
      <c r="I7457" s="221"/>
      <c r="J7457" s="221"/>
      <c r="K7457" s="221"/>
      <c r="L7457" s="221"/>
      <c r="M7457" s="221"/>
    </row>
    <row r="7458" spans="5:13">
      <c r="E7458" s="221"/>
      <c r="F7458" s="221"/>
      <c r="G7458" s="221"/>
      <c r="H7458" s="221"/>
      <c r="I7458" s="221"/>
      <c r="J7458" s="221"/>
      <c r="K7458" s="221"/>
      <c r="L7458" s="221"/>
      <c r="M7458" s="221"/>
    </row>
    <row r="7459" spans="5:13">
      <c r="E7459" s="221"/>
      <c r="F7459" s="221"/>
      <c r="G7459" s="221"/>
      <c r="H7459" s="221"/>
      <c r="I7459" s="221"/>
      <c r="J7459" s="221"/>
      <c r="K7459" s="221"/>
      <c r="L7459" s="221"/>
      <c r="M7459" s="221"/>
    </row>
    <row r="7460" spans="5:13">
      <c r="E7460" s="221"/>
      <c r="F7460" s="221"/>
      <c r="G7460" s="221"/>
      <c r="H7460" s="221"/>
      <c r="I7460" s="221"/>
      <c r="J7460" s="221"/>
      <c r="K7460" s="221"/>
      <c r="L7460" s="221"/>
      <c r="M7460" s="221"/>
    </row>
    <row r="7461" spans="5:13">
      <c r="E7461" s="221"/>
      <c r="F7461" s="221"/>
      <c r="G7461" s="221"/>
      <c r="H7461" s="221"/>
      <c r="I7461" s="221"/>
      <c r="J7461" s="221"/>
      <c r="K7461" s="221"/>
      <c r="L7461" s="221"/>
      <c r="M7461" s="221"/>
    </row>
    <row r="7462" spans="5:13">
      <c r="E7462" s="221"/>
      <c r="F7462" s="221"/>
      <c r="G7462" s="221"/>
      <c r="H7462" s="221"/>
      <c r="I7462" s="221"/>
      <c r="J7462" s="221"/>
      <c r="K7462" s="221"/>
      <c r="L7462" s="221"/>
      <c r="M7462" s="221"/>
    </row>
    <row r="7463" spans="5:13">
      <c r="E7463" s="221"/>
      <c r="F7463" s="221"/>
      <c r="G7463" s="221"/>
      <c r="H7463" s="221"/>
      <c r="I7463" s="221"/>
      <c r="J7463" s="221"/>
      <c r="K7463" s="221"/>
      <c r="L7463" s="221"/>
      <c r="M7463" s="221"/>
    </row>
    <row r="7464" spans="5:13">
      <c r="E7464" s="221"/>
      <c r="F7464" s="221"/>
      <c r="G7464" s="221"/>
      <c r="H7464" s="221"/>
      <c r="I7464" s="221"/>
      <c r="J7464" s="221"/>
      <c r="K7464" s="221"/>
      <c r="L7464" s="221"/>
      <c r="M7464" s="221"/>
    </row>
    <row r="7465" spans="5:13">
      <c r="E7465" s="221"/>
      <c r="F7465" s="221"/>
      <c r="G7465" s="221"/>
      <c r="H7465" s="221"/>
      <c r="I7465" s="221"/>
      <c r="J7465" s="221"/>
      <c r="K7465" s="221"/>
      <c r="L7465" s="221"/>
      <c r="M7465" s="221"/>
    </row>
    <row r="7466" spans="5:13">
      <c r="E7466" s="221"/>
      <c r="F7466" s="221"/>
      <c r="G7466" s="221"/>
      <c r="H7466" s="221"/>
      <c r="I7466" s="221"/>
      <c r="J7466" s="221"/>
      <c r="K7466" s="221"/>
      <c r="L7466" s="221"/>
      <c r="M7466" s="221"/>
    </row>
    <row r="7467" spans="5:13">
      <c r="E7467" s="221"/>
      <c r="F7467" s="221"/>
      <c r="G7467" s="221"/>
      <c r="H7467" s="221"/>
      <c r="I7467" s="221"/>
      <c r="J7467" s="221"/>
      <c r="K7467" s="221"/>
      <c r="L7467" s="221"/>
      <c r="M7467" s="221"/>
    </row>
    <row r="7468" spans="5:13">
      <c r="E7468" s="221"/>
      <c r="F7468" s="221"/>
      <c r="G7468" s="221"/>
      <c r="H7468" s="221"/>
      <c r="I7468" s="221"/>
      <c r="J7468" s="221"/>
      <c r="K7468" s="221"/>
      <c r="L7468" s="221"/>
      <c r="M7468" s="221"/>
    </row>
    <row r="7469" spans="5:13">
      <c r="E7469" s="221"/>
      <c r="F7469" s="221"/>
      <c r="G7469" s="221"/>
      <c r="H7469" s="221"/>
      <c r="I7469" s="221"/>
      <c r="J7469" s="221"/>
      <c r="K7469" s="221"/>
      <c r="L7469" s="221"/>
      <c r="M7469" s="221"/>
    </row>
    <row r="7470" spans="5:13">
      <c r="E7470" s="221"/>
      <c r="F7470" s="221"/>
      <c r="G7470" s="221"/>
      <c r="H7470" s="221"/>
      <c r="I7470" s="221"/>
      <c r="J7470" s="221"/>
      <c r="K7470" s="221"/>
      <c r="L7470" s="221"/>
      <c r="M7470" s="221"/>
    </row>
    <row r="7471" spans="5:13">
      <c r="E7471" s="221"/>
      <c r="F7471" s="221"/>
      <c r="G7471" s="221"/>
      <c r="H7471" s="221"/>
      <c r="I7471" s="221"/>
      <c r="J7471" s="221"/>
      <c r="K7471" s="221"/>
      <c r="L7471" s="221"/>
      <c r="M7471" s="221"/>
    </row>
    <row r="7472" spans="5:13">
      <c r="E7472" s="221"/>
      <c r="F7472" s="221"/>
      <c r="G7472" s="221"/>
      <c r="H7472" s="221"/>
      <c r="I7472" s="221"/>
      <c r="J7472" s="221"/>
      <c r="K7472" s="221"/>
      <c r="L7472" s="221"/>
      <c r="M7472" s="221"/>
    </row>
    <row r="7473" spans="5:13">
      <c r="E7473" s="221"/>
      <c r="F7473" s="221"/>
      <c r="G7473" s="221"/>
      <c r="H7473" s="221"/>
      <c r="I7473" s="221"/>
      <c r="J7473" s="221"/>
      <c r="K7473" s="221"/>
      <c r="L7473" s="221"/>
      <c r="M7473" s="221"/>
    </row>
    <row r="7474" spans="5:13">
      <c r="E7474" s="221"/>
      <c r="F7474" s="221"/>
      <c r="G7474" s="221"/>
      <c r="H7474" s="221"/>
      <c r="I7474" s="221"/>
      <c r="J7474" s="221"/>
      <c r="K7474" s="221"/>
      <c r="L7474" s="221"/>
      <c r="M7474" s="221"/>
    </row>
    <row r="7475" spans="5:13">
      <c r="E7475" s="221"/>
      <c r="F7475" s="221"/>
      <c r="G7475" s="221"/>
      <c r="H7475" s="221"/>
      <c r="I7475" s="221"/>
      <c r="J7475" s="221"/>
      <c r="K7475" s="221"/>
      <c r="L7475" s="221"/>
      <c r="M7475" s="221"/>
    </row>
    <row r="7476" spans="5:13">
      <c r="E7476" s="221"/>
      <c r="F7476" s="221"/>
      <c r="G7476" s="221"/>
      <c r="H7476" s="221"/>
      <c r="I7476" s="221"/>
      <c r="J7476" s="221"/>
      <c r="K7476" s="221"/>
      <c r="L7476" s="221"/>
      <c r="M7476" s="221"/>
    </row>
    <row r="7477" spans="5:13">
      <c r="E7477" s="221"/>
      <c r="F7477" s="221"/>
      <c r="G7477" s="221"/>
      <c r="H7477" s="221"/>
      <c r="I7477" s="221"/>
      <c r="J7477" s="221"/>
      <c r="K7477" s="221"/>
      <c r="L7477" s="221"/>
      <c r="M7477" s="221"/>
    </row>
    <row r="7478" spans="5:13">
      <c r="E7478" s="221"/>
      <c r="F7478" s="221"/>
      <c r="G7478" s="221"/>
      <c r="H7478" s="221"/>
      <c r="I7478" s="221"/>
      <c r="J7478" s="221"/>
      <c r="K7478" s="221"/>
      <c r="L7478" s="221"/>
      <c r="M7478" s="221"/>
    </row>
    <row r="7479" spans="5:13">
      <c r="E7479" s="221"/>
      <c r="F7479" s="221"/>
      <c r="G7479" s="221"/>
      <c r="H7479" s="221"/>
      <c r="I7479" s="221"/>
      <c r="J7479" s="221"/>
      <c r="K7479" s="221"/>
      <c r="L7479" s="221"/>
      <c r="M7479" s="221"/>
    </row>
    <row r="7480" spans="5:13">
      <c r="E7480" s="221"/>
      <c r="F7480" s="221"/>
      <c r="G7480" s="221"/>
      <c r="H7480" s="221"/>
      <c r="I7480" s="221"/>
      <c r="J7480" s="221"/>
      <c r="K7480" s="221"/>
      <c r="L7480" s="221"/>
      <c r="M7480" s="221"/>
    </row>
    <row r="7481" spans="5:13">
      <c r="E7481" s="221"/>
      <c r="F7481" s="221"/>
      <c r="G7481" s="221"/>
      <c r="H7481" s="221"/>
      <c r="I7481" s="221"/>
      <c r="J7481" s="221"/>
      <c r="K7481" s="221"/>
      <c r="L7481" s="221"/>
      <c r="M7481" s="221"/>
    </row>
    <row r="7482" spans="5:13">
      <c r="E7482" s="221"/>
      <c r="F7482" s="221"/>
      <c r="G7482" s="221"/>
      <c r="H7482" s="221"/>
      <c r="I7482" s="221"/>
      <c r="J7482" s="221"/>
      <c r="K7482" s="221"/>
      <c r="L7482" s="221"/>
      <c r="M7482" s="221"/>
    </row>
    <row r="7483" spans="5:13">
      <c r="E7483" s="221"/>
      <c r="F7483" s="221"/>
      <c r="G7483" s="221"/>
      <c r="H7483" s="221"/>
      <c r="I7483" s="221"/>
      <c r="J7483" s="221"/>
      <c r="K7483" s="221"/>
      <c r="L7483" s="221"/>
      <c r="M7483" s="221"/>
    </row>
    <row r="7484" spans="5:13">
      <c r="E7484" s="221"/>
      <c r="F7484" s="221"/>
      <c r="G7484" s="221"/>
      <c r="H7484" s="221"/>
      <c r="I7484" s="221"/>
      <c r="J7484" s="221"/>
      <c r="K7484" s="221"/>
      <c r="L7484" s="221"/>
      <c r="M7484" s="221"/>
    </row>
    <row r="7485" spans="5:13">
      <c r="E7485" s="221"/>
      <c r="F7485" s="221"/>
      <c r="G7485" s="221"/>
      <c r="H7485" s="221"/>
      <c r="I7485" s="221"/>
      <c r="J7485" s="221"/>
      <c r="K7485" s="221"/>
      <c r="L7485" s="221"/>
      <c r="M7485" s="221"/>
    </row>
    <row r="7486" spans="5:13">
      <c r="E7486" s="221"/>
      <c r="F7486" s="221"/>
      <c r="G7486" s="221"/>
      <c r="H7486" s="221"/>
      <c r="I7486" s="221"/>
      <c r="J7486" s="221"/>
      <c r="K7486" s="221"/>
      <c r="L7486" s="221"/>
      <c r="M7486" s="221"/>
    </row>
    <row r="7487" spans="5:13">
      <c r="E7487" s="221"/>
      <c r="F7487" s="221"/>
      <c r="G7487" s="221"/>
      <c r="H7487" s="221"/>
      <c r="I7487" s="221"/>
      <c r="J7487" s="221"/>
      <c r="K7487" s="221"/>
      <c r="L7487" s="221"/>
      <c r="M7487" s="221"/>
    </row>
    <row r="7488" spans="5:13">
      <c r="E7488" s="221"/>
      <c r="F7488" s="221"/>
      <c r="G7488" s="221"/>
      <c r="H7488" s="221"/>
      <c r="I7488" s="221"/>
      <c r="J7488" s="221"/>
      <c r="K7488" s="221"/>
      <c r="L7488" s="221"/>
      <c r="M7488" s="221"/>
    </row>
    <row r="7489" spans="5:13">
      <c r="E7489" s="221"/>
      <c r="F7489" s="221"/>
      <c r="G7489" s="221"/>
      <c r="H7489" s="221"/>
      <c r="I7489" s="221"/>
      <c r="J7489" s="221"/>
      <c r="K7489" s="221"/>
      <c r="L7489" s="221"/>
      <c r="M7489" s="221"/>
    </row>
    <row r="7490" spans="5:13">
      <c r="E7490" s="221"/>
      <c r="F7490" s="221"/>
      <c r="G7490" s="221"/>
      <c r="H7490" s="221"/>
      <c r="I7490" s="221"/>
      <c r="J7490" s="221"/>
      <c r="K7490" s="221"/>
      <c r="L7490" s="221"/>
      <c r="M7490" s="221"/>
    </row>
    <row r="7491" spans="5:13">
      <c r="E7491" s="221"/>
      <c r="F7491" s="221"/>
      <c r="G7491" s="221"/>
      <c r="H7491" s="221"/>
      <c r="I7491" s="221"/>
      <c r="J7491" s="221"/>
      <c r="K7491" s="221"/>
      <c r="L7491" s="221"/>
      <c r="M7491" s="221"/>
    </row>
    <row r="7492" spans="5:13">
      <c r="E7492" s="221"/>
      <c r="F7492" s="221"/>
      <c r="G7492" s="221"/>
      <c r="H7492" s="221"/>
      <c r="I7492" s="221"/>
      <c r="J7492" s="221"/>
      <c r="K7492" s="221"/>
      <c r="L7492" s="221"/>
      <c r="M7492" s="221"/>
    </row>
    <row r="7493" spans="5:13">
      <c r="E7493" s="221"/>
      <c r="F7493" s="221"/>
      <c r="G7493" s="221"/>
      <c r="H7493" s="221"/>
      <c r="I7493" s="221"/>
      <c r="J7493" s="221"/>
      <c r="K7493" s="221"/>
      <c r="L7493" s="221"/>
      <c r="M7493" s="221"/>
    </row>
    <row r="7494" spans="5:13">
      <c r="E7494" s="221"/>
      <c r="F7494" s="221"/>
      <c r="G7494" s="221"/>
      <c r="H7494" s="221"/>
      <c r="I7494" s="221"/>
      <c r="J7494" s="221"/>
      <c r="K7494" s="221"/>
      <c r="L7494" s="221"/>
      <c r="M7494" s="221"/>
    </row>
    <row r="7495" spans="5:13">
      <c r="E7495" s="221"/>
      <c r="F7495" s="221"/>
      <c r="G7495" s="221"/>
      <c r="H7495" s="221"/>
      <c r="I7495" s="221"/>
      <c r="J7495" s="221"/>
      <c r="K7495" s="221"/>
      <c r="L7495" s="221"/>
      <c r="M7495" s="221"/>
    </row>
    <row r="7496" spans="5:13">
      <c r="E7496" s="221"/>
      <c r="F7496" s="221"/>
      <c r="G7496" s="221"/>
      <c r="H7496" s="221"/>
      <c r="I7496" s="221"/>
      <c r="J7496" s="221"/>
      <c r="K7496" s="221"/>
      <c r="L7496" s="221"/>
      <c r="M7496" s="221"/>
    </row>
    <row r="7497" spans="5:13">
      <c r="E7497" s="221"/>
      <c r="F7497" s="221"/>
      <c r="G7497" s="221"/>
      <c r="H7497" s="221"/>
      <c r="I7497" s="221"/>
      <c r="J7497" s="221"/>
      <c r="K7497" s="221"/>
      <c r="L7497" s="221"/>
      <c r="M7497" s="221"/>
    </row>
    <row r="7498" spans="5:13">
      <c r="E7498" s="221"/>
      <c r="F7498" s="221"/>
      <c r="G7498" s="221"/>
      <c r="H7498" s="221"/>
      <c r="I7498" s="221"/>
      <c r="J7498" s="221"/>
      <c r="K7498" s="221"/>
      <c r="L7498" s="221"/>
      <c r="M7498" s="221"/>
    </row>
    <row r="7499" spans="5:13">
      <c r="E7499" s="221"/>
      <c r="F7499" s="221"/>
      <c r="G7499" s="221"/>
      <c r="H7499" s="221"/>
      <c r="I7499" s="221"/>
      <c r="J7499" s="221"/>
      <c r="K7499" s="221"/>
      <c r="L7499" s="221"/>
      <c r="M7499" s="221"/>
    </row>
    <row r="7500" spans="5:13">
      <c r="E7500" s="221"/>
      <c r="F7500" s="221"/>
      <c r="G7500" s="221"/>
      <c r="H7500" s="221"/>
      <c r="I7500" s="221"/>
      <c r="J7500" s="221"/>
      <c r="K7500" s="221"/>
      <c r="L7500" s="221"/>
      <c r="M7500" s="221"/>
    </row>
    <row r="7501" spans="5:13">
      <c r="E7501" s="221"/>
      <c r="F7501" s="221"/>
      <c r="G7501" s="221"/>
      <c r="H7501" s="221"/>
      <c r="I7501" s="221"/>
      <c r="J7501" s="221"/>
      <c r="K7501" s="221"/>
      <c r="L7501" s="221"/>
      <c r="M7501" s="221"/>
    </row>
    <row r="7502" spans="5:13">
      <c r="E7502" s="221"/>
      <c r="F7502" s="221"/>
      <c r="G7502" s="221"/>
      <c r="H7502" s="221"/>
      <c r="I7502" s="221"/>
      <c r="J7502" s="221"/>
      <c r="K7502" s="221"/>
      <c r="L7502" s="221"/>
      <c r="M7502" s="221"/>
    </row>
    <row r="7503" spans="5:13">
      <c r="E7503" s="221"/>
      <c r="F7503" s="221"/>
      <c r="G7503" s="221"/>
      <c r="H7503" s="221"/>
      <c r="I7503" s="221"/>
      <c r="J7503" s="221"/>
      <c r="K7503" s="221"/>
      <c r="L7503" s="221"/>
      <c r="M7503" s="221"/>
    </row>
    <row r="7504" spans="5:13">
      <c r="E7504" s="221"/>
      <c r="F7504" s="221"/>
      <c r="G7504" s="221"/>
      <c r="H7504" s="221"/>
      <c r="I7504" s="221"/>
      <c r="J7504" s="221"/>
      <c r="K7504" s="221"/>
      <c r="L7504" s="221"/>
      <c r="M7504" s="221"/>
    </row>
    <row r="7505" spans="5:13">
      <c r="E7505" s="221"/>
      <c r="F7505" s="221"/>
      <c r="G7505" s="221"/>
      <c r="H7505" s="221"/>
      <c r="I7505" s="221"/>
      <c r="J7505" s="221"/>
      <c r="K7505" s="221"/>
      <c r="L7505" s="221"/>
      <c r="M7505" s="221"/>
    </row>
    <row r="7506" spans="5:13">
      <c r="E7506" s="221"/>
      <c r="F7506" s="221"/>
      <c r="G7506" s="221"/>
      <c r="H7506" s="221"/>
      <c r="I7506" s="221"/>
      <c r="J7506" s="221"/>
      <c r="K7506" s="221"/>
      <c r="L7506" s="221"/>
      <c r="M7506" s="221"/>
    </row>
    <row r="7507" spans="5:13">
      <c r="E7507" s="221"/>
      <c r="F7507" s="221"/>
      <c r="G7507" s="221"/>
      <c r="H7507" s="221"/>
      <c r="I7507" s="221"/>
      <c r="J7507" s="221"/>
      <c r="K7507" s="221"/>
      <c r="L7507" s="221"/>
      <c r="M7507" s="221"/>
    </row>
    <row r="7508" spans="5:13">
      <c r="E7508" s="221"/>
      <c r="F7508" s="221"/>
      <c r="G7508" s="221"/>
      <c r="H7508" s="221"/>
      <c r="I7508" s="221"/>
      <c r="J7508" s="221"/>
      <c r="K7508" s="221"/>
      <c r="L7508" s="221"/>
      <c r="M7508" s="221"/>
    </row>
    <row r="7509" spans="5:13">
      <c r="E7509" s="221"/>
      <c r="F7509" s="221"/>
      <c r="G7509" s="221"/>
      <c r="H7509" s="221"/>
      <c r="I7509" s="221"/>
      <c r="J7509" s="221"/>
      <c r="K7509" s="221"/>
      <c r="L7509" s="221"/>
      <c r="M7509" s="221"/>
    </row>
    <row r="7510" spans="5:13">
      <c r="E7510" s="221"/>
      <c r="F7510" s="221"/>
      <c r="G7510" s="221"/>
      <c r="H7510" s="221"/>
      <c r="I7510" s="221"/>
      <c r="J7510" s="221"/>
      <c r="K7510" s="221"/>
      <c r="L7510" s="221"/>
      <c r="M7510" s="221"/>
    </row>
    <row r="7511" spans="5:13">
      <c r="E7511" s="221"/>
      <c r="F7511" s="221"/>
      <c r="G7511" s="221"/>
      <c r="H7511" s="221"/>
      <c r="I7511" s="221"/>
      <c r="J7511" s="221"/>
      <c r="K7511" s="221"/>
      <c r="L7511" s="221"/>
      <c r="M7511" s="221"/>
    </row>
    <row r="7512" spans="5:13">
      <c r="E7512" s="221"/>
      <c r="F7512" s="221"/>
      <c r="G7512" s="221"/>
      <c r="H7512" s="221"/>
      <c r="I7512" s="221"/>
      <c r="J7512" s="221"/>
      <c r="K7512" s="221"/>
      <c r="L7512" s="221"/>
      <c r="M7512" s="221"/>
    </row>
    <row r="7513" spans="5:13">
      <c r="E7513" s="221"/>
      <c r="F7513" s="221"/>
      <c r="G7513" s="221"/>
      <c r="H7513" s="221"/>
      <c r="I7513" s="221"/>
      <c r="J7513" s="221"/>
      <c r="K7513" s="221"/>
      <c r="L7513" s="221"/>
      <c r="M7513" s="221"/>
    </row>
    <row r="7514" spans="5:13">
      <c r="E7514" s="221"/>
      <c r="F7514" s="221"/>
      <c r="G7514" s="221"/>
      <c r="H7514" s="221"/>
      <c r="I7514" s="221"/>
      <c r="J7514" s="221"/>
      <c r="K7514" s="221"/>
      <c r="L7514" s="221"/>
      <c r="M7514" s="221"/>
    </row>
    <row r="7515" spans="5:13">
      <c r="E7515" s="221"/>
      <c r="F7515" s="221"/>
      <c r="G7515" s="221"/>
      <c r="H7515" s="221"/>
      <c r="I7515" s="221"/>
      <c r="J7515" s="221"/>
      <c r="K7515" s="221"/>
      <c r="L7515" s="221"/>
      <c r="M7515" s="221"/>
    </row>
    <row r="7516" spans="5:13">
      <c r="E7516" s="221"/>
      <c r="F7516" s="221"/>
      <c r="G7516" s="221"/>
      <c r="H7516" s="221"/>
      <c r="I7516" s="221"/>
      <c r="J7516" s="221"/>
      <c r="K7516" s="221"/>
      <c r="L7516" s="221"/>
      <c r="M7516" s="221"/>
    </row>
    <row r="7517" spans="5:13">
      <c r="E7517" s="221"/>
      <c r="F7517" s="221"/>
      <c r="G7517" s="221"/>
      <c r="H7517" s="221"/>
      <c r="I7517" s="221"/>
      <c r="J7517" s="221"/>
      <c r="K7517" s="221"/>
      <c r="L7517" s="221"/>
      <c r="M7517" s="221"/>
    </row>
    <row r="7518" spans="5:13">
      <c r="E7518" s="221"/>
      <c r="F7518" s="221"/>
      <c r="G7518" s="221"/>
      <c r="H7518" s="221"/>
      <c r="I7518" s="221"/>
      <c r="J7518" s="221"/>
      <c r="K7518" s="221"/>
      <c r="L7518" s="221"/>
      <c r="M7518" s="221"/>
    </row>
    <row r="7519" spans="5:13">
      <c r="E7519" s="221"/>
      <c r="F7519" s="221"/>
      <c r="G7519" s="221"/>
      <c r="H7519" s="221"/>
      <c r="I7519" s="221"/>
      <c r="J7519" s="221"/>
      <c r="K7519" s="221"/>
      <c r="L7519" s="221"/>
      <c r="M7519" s="221"/>
    </row>
    <row r="7520" spans="5:13">
      <c r="E7520" s="221"/>
      <c r="F7520" s="221"/>
      <c r="G7520" s="221"/>
      <c r="H7520" s="221"/>
      <c r="I7520" s="221"/>
      <c r="J7520" s="221"/>
      <c r="K7520" s="221"/>
      <c r="L7520" s="221"/>
      <c r="M7520" s="221"/>
    </row>
    <row r="7521" spans="5:13">
      <c r="E7521" s="221"/>
      <c r="F7521" s="221"/>
      <c r="G7521" s="221"/>
      <c r="H7521" s="221"/>
      <c r="I7521" s="221"/>
      <c r="J7521" s="221"/>
      <c r="K7521" s="221"/>
      <c r="L7521" s="221"/>
      <c r="M7521" s="221"/>
    </row>
    <row r="7522" spans="5:13">
      <c r="E7522" s="221"/>
      <c r="F7522" s="221"/>
      <c r="G7522" s="221"/>
      <c r="H7522" s="221"/>
      <c r="I7522" s="221"/>
      <c r="J7522" s="221"/>
      <c r="K7522" s="221"/>
      <c r="L7522" s="221"/>
      <c r="M7522" s="221"/>
    </row>
    <row r="7523" spans="5:13">
      <c r="E7523" s="221"/>
      <c r="F7523" s="221"/>
      <c r="G7523" s="221"/>
      <c r="H7523" s="221"/>
      <c r="I7523" s="221"/>
      <c r="J7523" s="221"/>
      <c r="K7523" s="221"/>
      <c r="L7523" s="221"/>
      <c r="M7523" s="221"/>
    </row>
    <row r="7524" spans="5:13">
      <c r="E7524" s="221"/>
      <c r="F7524" s="221"/>
      <c r="G7524" s="221"/>
      <c r="H7524" s="221"/>
      <c r="I7524" s="221"/>
      <c r="J7524" s="221"/>
      <c r="K7524" s="221"/>
      <c r="L7524" s="221"/>
      <c r="M7524" s="221"/>
    </row>
    <row r="7525" spans="5:13">
      <c r="E7525" s="221"/>
      <c r="F7525" s="221"/>
      <c r="G7525" s="221"/>
      <c r="H7525" s="221"/>
      <c r="I7525" s="221"/>
      <c r="J7525" s="221"/>
      <c r="K7525" s="221"/>
      <c r="L7525" s="221"/>
      <c r="M7525" s="221"/>
    </row>
    <row r="7526" spans="5:13">
      <c r="E7526" s="221"/>
      <c r="F7526" s="221"/>
      <c r="G7526" s="221"/>
      <c r="H7526" s="221"/>
      <c r="I7526" s="221"/>
      <c r="J7526" s="221"/>
      <c r="K7526" s="221"/>
      <c r="L7526" s="221"/>
      <c r="M7526" s="221"/>
    </row>
    <row r="7527" spans="5:13">
      <c r="E7527" s="221"/>
      <c r="F7527" s="221"/>
      <c r="G7527" s="221"/>
      <c r="H7527" s="221"/>
      <c r="I7527" s="221"/>
      <c r="J7527" s="221"/>
      <c r="K7527" s="221"/>
      <c r="L7527" s="221"/>
      <c r="M7527" s="221"/>
    </row>
    <row r="7528" spans="5:13">
      <c r="E7528" s="221"/>
      <c r="F7528" s="221"/>
      <c r="G7528" s="221"/>
      <c r="H7528" s="221"/>
      <c r="I7528" s="221"/>
      <c r="J7528" s="221"/>
      <c r="K7528" s="221"/>
      <c r="L7528" s="221"/>
      <c r="M7528" s="221"/>
    </row>
    <row r="7529" spans="5:13">
      <c r="E7529" s="221"/>
      <c r="F7529" s="221"/>
      <c r="G7529" s="221"/>
      <c r="H7529" s="221"/>
      <c r="I7529" s="221"/>
      <c r="J7529" s="221"/>
      <c r="K7529" s="221"/>
      <c r="L7529" s="221"/>
      <c r="M7529" s="221"/>
    </row>
    <row r="7530" spans="5:13">
      <c r="E7530" s="221"/>
      <c r="F7530" s="221"/>
      <c r="G7530" s="221"/>
      <c r="H7530" s="221"/>
      <c r="I7530" s="221"/>
      <c r="J7530" s="221"/>
      <c r="K7530" s="221"/>
      <c r="L7530" s="221"/>
      <c r="M7530" s="221"/>
    </row>
    <row r="7531" spans="5:13">
      <c r="E7531" s="221"/>
      <c r="F7531" s="221"/>
      <c r="G7531" s="221"/>
      <c r="H7531" s="221"/>
      <c r="I7531" s="221"/>
      <c r="J7531" s="221"/>
      <c r="K7531" s="221"/>
      <c r="L7531" s="221"/>
      <c r="M7531" s="221"/>
    </row>
    <row r="7532" spans="5:13">
      <c r="E7532" s="221"/>
      <c r="F7532" s="221"/>
      <c r="G7532" s="221"/>
      <c r="H7532" s="221"/>
      <c r="I7532" s="221"/>
      <c r="J7532" s="221"/>
      <c r="K7532" s="221"/>
      <c r="L7532" s="221"/>
      <c r="M7532" s="221"/>
    </row>
    <row r="7533" spans="5:13">
      <c r="E7533" s="221"/>
      <c r="F7533" s="221"/>
      <c r="G7533" s="221"/>
      <c r="H7533" s="221"/>
      <c r="I7533" s="221"/>
      <c r="J7533" s="221"/>
      <c r="K7533" s="221"/>
      <c r="L7533" s="221"/>
      <c r="M7533" s="221"/>
    </row>
    <row r="7534" spans="5:13">
      <c r="E7534" s="221"/>
      <c r="F7534" s="221"/>
      <c r="G7534" s="221"/>
      <c r="H7534" s="221"/>
      <c r="I7534" s="221"/>
      <c r="J7534" s="221"/>
      <c r="K7534" s="221"/>
      <c r="L7534" s="221"/>
      <c r="M7534" s="221"/>
    </row>
    <row r="7535" spans="5:13">
      <c r="E7535" s="221"/>
      <c r="F7535" s="221"/>
      <c r="G7535" s="221"/>
      <c r="H7535" s="221"/>
      <c r="I7535" s="221"/>
      <c r="J7535" s="221"/>
      <c r="K7535" s="221"/>
      <c r="L7535" s="221"/>
      <c r="M7535" s="221"/>
    </row>
    <row r="7536" spans="5:13">
      <c r="E7536" s="221"/>
      <c r="F7536" s="221"/>
      <c r="G7536" s="221"/>
      <c r="H7536" s="221"/>
      <c r="I7536" s="221"/>
      <c r="J7536" s="221"/>
      <c r="K7536" s="221"/>
      <c r="L7536" s="221"/>
      <c r="M7536" s="221"/>
    </row>
    <row r="7537" spans="5:13">
      <c r="E7537" s="221"/>
      <c r="F7537" s="221"/>
      <c r="G7537" s="221"/>
      <c r="H7537" s="221"/>
      <c r="I7537" s="221"/>
      <c r="J7537" s="221"/>
      <c r="K7537" s="221"/>
      <c r="L7537" s="221"/>
      <c r="M7537" s="221"/>
    </row>
    <row r="7538" spans="5:13">
      <c r="E7538" s="221"/>
      <c r="F7538" s="221"/>
      <c r="G7538" s="221"/>
      <c r="H7538" s="221"/>
      <c r="I7538" s="221"/>
      <c r="J7538" s="221"/>
      <c r="K7538" s="221"/>
      <c r="L7538" s="221"/>
      <c r="M7538" s="221"/>
    </row>
    <row r="7539" spans="5:13">
      <c r="E7539" s="221"/>
      <c r="F7539" s="221"/>
      <c r="G7539" s="221"/>
      <c r="H7539" s="221"/>
      <c r="I7539" s="221"/>
      <c r="J7539" s="221"/>
      <c r="K7539" s="221"/>
      <c r="L7539" s="221"/>
      <c r="M7539" s="221"/>
    </row>
    <row r="7540" spans="5:13">
      <c r="E7540" s="221"/>
      <c r="F7540" s="221"/>
      <c r="G7540" s="221"/>
      <c r="H7540" s="221"/>
      <c r="I7540" s="221"/>
      <c r="J7540" s="221"/>
      <c r="K7540" s="221"/>
      <c r="L7540" s="221"/>
      <c r="M7540" s="221"/>
    </row>
    <row r="7541" spans="5:13">
      <c r="E7541" s="221"/>
      <c r="F7541" s="221"/>
      <c r="G7541" s="221"/>
      <c r="H7541" s="221"/>
      <c r="I7541" s="221"/>
      <c r="J7541" s="221"/>
      <c r="K7541" s="221"/>
      <c r="L7541" s="221"/>
      <c r="M7541" s="221"/>
    </row>
    <row r="7542" spans="5:13">
      <c r="E7542" s="221"/>
      <c r="F7542" s="221"/>
      <c r="G7542" s="221"/>
      <c r="H7542" s="221"/>
      <c r="I7542" s="221"/>
      <c r="J7542" s="221"/>
      <c r="K7542" s="221"/>
      <c r="L7542" s="221"/>
      <c r="M7542" s="221"/>
    </row>
    <row r="7543" spans="5:13">
      <c r="E7543" s="221"/>
      <c r="F7543" s="221"/>
      <c r="G7543" s="221"/>
      <c r="H7543" s="221"/>
      <c r="I7543" s="221"/>
      <c r="J7543" s="221"/>
      <c r="K7543" s="221"/>
      <c r="L7543" s="221"/>
      <c r="M7543" s="221"/>
    </row>
    <row r="7544" spans="5:13">
      <c r="E7544" s="221"/>
      <c r="F7544" s="221"/>
      <c r="G7544" s="221"/>
      <c r="H7544" s="221"/>
      <c r="I7544" s="221"/>
      <c r="J7544" s="221"/>
      <c r="K7544" s="221"/>
      <c r="L7544" s="221"/>
      <c r="M7544" s="221"/>
    </row>
    <row r="7545" spans="5:13">
      <c r="E7545" s="221"/>
      <c r="F7545" s="221"/>
      <c r="G7545" s="221"/>
      <c r="H7545" s="221"/>
      <c r="I7545" s="221"/>
      <c r="J7545" s="221"/>
      <c r="K7545" s="221"/>
      <c r="L7545" s="221"/>
      <c r="M7545" s="221"/>
    </row>
    <row r="7546" spans="5:13">
      <c r="E7546" s="221"/>
      <c r="F7546" s="221"/>
      <c r="G7546" s="221"/>
      <c r="H7546" s="221"/>
      <c r="I7546" s="221"/>
      <c r="J7546" s="221"/>
      <c r="K7546" s="221"/>
      <c r="L7546" s="221"/>
      <c r="M7546" s="221"/>
    </row>
    <row r="7547" spans="5:13">
      <c r="E7547" s="221"/>
      <c r="F7547" s="221"/>
      <c r="G7547" s="221"/>
      <c r="H7547" s="221"/>
      <c r="I7547" s="221"/>
      <c r="J7547" s="221"/>
      <c r="K7547" s="221"/>
      <c r="L7547" s="221"/>
      <c r="M7547" s="221"/>
    </row>
    <row r="7548" spans="5:13">
      <c r="E7548" s="221"/>
      <c r="F7548" s="221"/>
      <c r="G7548" s="221"/>
      <c r="H7548" s="221"/>
      <c r="I7548" s="221"/>
      <c r="J7548" s="221"/>
      <c r="K7548" s="221"/>
      <c r="L7548" s="221"/>
      <c r="M7548" s="221"/>
    </row>
    <row r="7549" spans="5:13">
      <c r="E7549" s="221"/>
      <c r="F7549" s="221"/>
      <c r="G7549" s="221"/>
      <c r="H7549" s="221"/>
      <c r="I7549" s="221"/>
      <c r="J7549" s="221"/>
      <c r="K7549" s="221"/>
      <c r="L7549" s="221"/>
      <c r="M7549" s="221"/>
    </row>
    <row r="7550" spans="5:13">
      <c r="E7550" s="221"/>
      <c r="F7550" s="221"/>
      <c r="G7550" s="221"/>
      <c r="H7550" s="221"/>
      <c r="I7550" s="221"/>
      <c r="J7550" s="221"/>
      <c r="K7550" s="221"/>
      <c r="L7550" s="221"/>
      <c r="M7550" s="221"/>
    </row>
    <row r="7551" spans="5:13">
      <c r="E7551" s="221"/>
      <c r="F7551" s="221"/>
      <c r="G7551" s="221"/>
      <c r="H7551" s="221"/>
      <c r="I7551" s="221"/>
      <c r="J7551" s="221"/>
      <c r="K7551" s="221"/>
      <c r="L7551" s="221"/>
      <c r="M7551" s="221"/>
    </row>
    <row r="7552" spans="5:13">
      <c r="E7552" s="221"/>
      <c r="F7552" s="221"/>
      <c r="G7552" s="221"/>
      <c r="H7552" s="221"/>
      <c r="I7552" s="221"/>
      <c r="J7552" s="221"/>
      <c r="K7552" s="221"/>
      <c r="L7552" s="221"/>
      <c r="M7552" s="221"/>
    </row>
    <row r="7553" spans="5:13">
      <c r="E7553" s="221"/>
      <c r="F7553" s="221"/>
      <c r="G7553" s="221"/>
      <c r="H7553" s="221"/>
      <c r="I7553" s="221"/>
      <c r="J7553" s="221"/>
      <c r="K7553" s="221"/>
      <c r="L7553" s="221"/>
      <c r="M7553" s="221"/>
    </row>
    <row r="7554" spans="5:13">
      <c r="E7554" s="221"/>
      <c r="F7554" s="221"/>
      <c r="G7554" s="221"/>
      <c r="H7554" s="221"/>
      <c r="I7554" s="221"/>
      <c r="J7554" s="221"/>
      <c r="K7554" s="221"/>
      <c r="L7554" s="221"/>
      <c r="M7554" s="221"/>
    </row>
    <row r="7555" spans="5:13">
      <c r="E7555" s="221"/>
      <c r="F7555" s="221"/>
      <c r="G7555" s="221"/>
      <c r="H7555" s="221"/>
      <c r="I7555" s="221"/>
      <c r="J7555" s="221"/>
      <c r="K7555" s="221"/>
      <c r="L7555" s="221"/>
      <c r="M7555" s="221"/>
    </row>
    <row r="7556" spans="5:13">
      <c r="E7556" s="221"/>
      <c r="F7556" s="221"/>
      <c r="G7556" s="221"/>
      <c r="H7556" s="221"/>
      <c r="I7556" s="221"/>
      <c r="J7556" s="221"/>
      <c r="K7556" s="221"/>
      <c r="L7556" s="221"/>
      <c r="M7556" s="221"/>
    </row>
    <row r="7557" spans="5:13">
      <c r="E7557" s="221"/>
      <c r="F7557" s="221"/>
      <c r="G7557" s="221"/>
      <c r="H7557" s="221"/>
      <c r="I7557" s="221"/>
      <c r="J7557" s="221"/>
      <c r="K7557" s="221"/>
      <c r="L7557" s="221"/>
      <c r="M7557" s="221"/>
    </row>
    <row r="7558" spans="5:13">
      <c r="E7558" s="221"/>
      <c r="F7558" s="221"/>
      <c r="G7558" s="221"/>
      <c r="H7558" s="221"/>
      <c r="I7558" s="221"/>
      <c r="J7558" s="221"/>
      <c r="K7558" s="221"/>
      <c r="L7558" s="221"/>
      <c r="M7558" s="221"/>
    </row>
    <row r="7559" spans="5:13">
      <c r="E7559" s="221"/>
      <c r="F7559" s="221"/>
      <c r="G7559" s="221"/>
      <c r="H7559" s="221"/>
      <c r="I7559" s="221"/>
      <c r="J7559" s="221"/>
      <c r="K7559" s="221"/>
      <c r="L7559" s="221"/>
      <c r="M7559" s="221"/>
    </row>
    <row r="7560" spans="5:13">
      <c r="E7560" s="221"/>
      <c r="F7560" s="221"/>
      <c r="G7560" s="221"/>
      <c r="H7560" s="221"/>
      <c r="I7560" s="221"/>
      <c r="J7560" s="221"/>
      <c r="K7560" s="221"/>
      <c r="L7560" s="221"/>
      <c r="M7560" s="221"/>
    </row>
    <row r="7561" spans="5:13">
      <c r="E7561" s="221"/>
      <c r="F7561" s="221"/>
      <c r="G7561" s="221"/>
      <c r="H7561" s="221"/>
      <c r="I7561" s="221"/>
      <c r="J7561" s="221"/>
      <c r="K7561" s="221"/>
      <c r="L7561" s="221"/>
      <c r="M7561" s="221"/>
    </row>
    <row r="7562" spans="5:13">
      <c r="E7562" s="221"/>
      <c r="F7562" s="221"/>
      <c r="G7562" s="221"/>
      <c r="H7562" s="221"/>
      <c r="I7562" s="221"/>
      <c r="J7562" s="221"/>
      <c r="K7562" s="221"/>
      <c r="L7562" s="221"/>
      <c r="M7562" s="221"/>
    </row>
    <row r="7563" spans="5:13">
      <c r="E7563" s="221"/>
      <c r="F7563" s="221"/>
      <c r="G7563" s="221"/>
      <c r="H7563" s="221"/>
      <c r="I7563" s="221"/>
      <c r="J7563" s="221"/>
      <c r="K7563" s="221"/>
      <c r="L7563" s="221"/>
      <c r="M7563" s="221"/>
    </row>
    <row r="7564" spans="5:13">
      <c r="E7564" s="221"/>
      <c r="F7564" s="221"/>
      <c r="G7564" s="221"/>
      <c r="H7564" s="221"/>
      <c r="I7564" s="221"/>
      <c r="J7564" s="221"/>
      <c r="K7564" s="221"/>
      <c r="L7564" s="221"/>
      <c r="M7564" s="221"/>
    </row>
    <row r="7565" spans="5:13">
      <c r="E7565" s="221"/>
      <c r="F7565" s="221"/>
      <c r="G7565" s="221"/>
      <c r="H7565" s="221"/>
      <c r="I7565" s="221"/>
      <c r="J7565" s="221"/>
      <c r="K7565" s="221"/>
      <c r="L7565" s="221"/>
      <c r="M7565" s="221"/>
    </row>
    <row r="7566" spans="5:13">
      <c r="E7566" s="221"/>
      <c r="F7566" s="221"/>
      <c r="G7566" s="221"/>
      <c r="H7566" s="221"/>
      <c r="I7566" s="221"/>
      <c r="J7566" s="221"/>
      <c r="K7566" s="221"/>
      <c r="L7566" s="221"/>
      <c r="M7566" s="221"/>
    </row>
    <row r="7567" spans="5:13">
      <c r="E7567" s="221"/>
      <c r="F7567" s="221"/>
      <c r="G7567" s="221"/>
      <c r="H7567" s="221"/>
      <c r="I7567" s="221"/>
      <c r="J7567" s="221"/>
      <c r="K7567" s="221"/>
      <c r="L7567" s="221"/>
      <c r="M7567" s="221"/>
    </row>
    <row r="7568" spans="5:13">
      <c r="E7568" s="221"/>
      <c r="F7568" s="221"/>
      <c r="G7568" s="221"/>
      <c r="H7568" s="221"/>
      <c r="I7568" s="221"/>
      <c r="J7568" s="221"/>
      <c r="K7568" s="221"/>
      <c r="L7568" s="221"/>
      <c r="M7568" s="221"/>
    </row>
    <row r="7569" spans="5:13">
      <c r="E7569" s="221"/>
      <c r="F7569" s="221"/>
      <c r="G7569" s="221"/>
      <c r="H7569" s="221"/>
      <c r="I7569" s="221"/>
      <c r="J7569" s="221"/>
      <c r="K7569" s="221"/>
      <c r="L7569" s="221"/>
      <c r="M7569" s="221"/>
    </row>
    <row r="7570" spans="5:13">
      <c r="E7570" s="221"/>
      <c r="F7570" s="221"/>
      <c r="G7570" s="221"/>
      <c r="H7570" s="221"/>
      <c r="I7570" s="221"/>
      <c r="J7570" s="221"/>
      <c r="K7570" s="221"/>
      <c r="L7570" s="221"/>
      <c r="M7570" s="221"/>
    </row>
    <row r="7571" spans="5:13">
      <c r="E7571" s="221"/>
      <c r="F7571" s="221"/>
      <c r="G7571" s="221"/>
      <c r="H7571" s="221"/>
      <c r="I7571" s="221"/>
      <c r="J7571" s="221"/>
      <c r="K7571" s="221"/>
      <c r="L7571" s="221"/>
      <c r="M7571" s="221"/>
    </row>
    <row r="7572" spans="5:13">
      <c r="E7572" s="221"/>
      <c r="F7572" s="221"/>
      <c r="G7572" s="221"/>
      <c r="H7572" s="221"/>
      <c r="I7572" s="221"/>
      <c r="J7572" s="221"/>
      <c r="K7572" s="221"/>
      <c r="L7572" s="221"/>
      <c r="M7572" s="221"/>
    </row>
    <row r="7573" spans="5:13">
      <c r="E7573" s="221"/>
      <c r="F7573" s="221"/>
      <c r="G7573" s="221"/>
      <c r="H7573" s="221"/>
      <c r="I7573" s="221"/>
      <c r="J7573" s="221"/>
      <c r="K7573" s="221"/>
      <c r="L7573" s="221"/>
      <c r="M7573" s="221"/>
    </row>
    <row r="7574" spans="5:13">
      <c r="E7574" s="221"/>
      <c r="F7574" s="221"/>
      <c r="G7574" s="221"/>
      <c r="H7574" s="221"/>
      <c r="I7574" s="221"/>
      <c r="J7574" s="221"/>
      <c r="K7574" s="221"/>
      <c r="L7574" s="221"/>
      <c r="M7574" s="221"/>
    </row>
    <row r="7575" spans="5:13">
      <c r="E7575" s="221"/>
      <c r="F7575" s="221"/>
      <c r="G7575" s="221"/>
      <c r="H7575" s="221"/>
      <c r="I7575" s="221"/>
      <c r="J7575" s="221"/>
      <c r="K7575" s="221"/>
      <c r="L7575" s="221"/>
      <c r="M7575" s="221"/>
    </row>
    <row r="7576" spans="5:13">
      <c r="E7576" s="221"/>
      <c r="F7576" s="221"/>
      <c r="G7576" s="221"/>
      <c r="H7576" s="221"/>
      <c r="I7576" s="221"/>
      <c r="J7576" s="221"/>
      <c r="K7576" s="221"/>
      <c r="L7576" s="221"/>
      <c r="M7576" s="221"/>
    </row>
    <row r="7577" spans="5:13">
      <c r="E7577" s="221"/>
      <c r="F7577" s="221"/>
      <c r="G7577" s="221"/>
      <c r="H7577" s="221"/>
      <c r="I7577" s="221"/>
      <c r="J7577" s="221"/>
      <c r="K7577" s="221"/>
      <c r="L7577" s="221"/>
      <c r="M7577" s="221"/>
    </row>
    <row r="7578" spans="5:13">
      <c r="E7578" s="221"/>
      <c r="F7578" s="221"/>
      <c r="G7578" s="221"/>
      <c r="H7578" s="221"/>
      <c r="I7578" s="221"/>
      <c r="J7578" s="221"/>
      <c r="K7578" s="221"/>
      <c r="L7578" s="221"/>
      <c r="M7578" s="221"/>
    </row>
    <row r="7579" spans="5:13">
      <c r="E7579" s="221"/>
      <c r="F7579" s="221"/>
      <c r="G7579" s="221"/>
      <c r="H7579" s="221"/>
      <c r="I7579" s="221"/>
      <c r="J7579" s="221"/>
      <c r="K7579" s="221"/>
      <c r="L7579" s="221"/>
      <c r="M7579" s="221"/>
    </row>
    <row r="7580" spans="5:13">
      <c r="E7580" s="221"/>
      <c r="F7580" s="221"/>
      <c r="G7580" s="221"/>
      <c r="H7580" s="221"/>
      <c r="I7580" s="221"/>
      <c r="J7580" s="221"/>
      <c r="K7580" s="221"/>
      <c r="L7580" s="221"/>
      <c r="M7580" s="221"/>
    </row>
    <row r="7581" spans="5:13">
      <c r="E7581" s="221"/>
      <c r="F7581" s="221"/>
      <c r="G7581" s="221"/>
      <c r="H7581" s="221"/>
      <c r="I7581" s="221"/>
      <c r="J7581" s="221"/>
      <c r="K7581" s="221"/>
      <c r="L7581" s="221"/>
      <c r="M7581" s="221"/>
    </row>
    <row r="7582" spans="5:13">
      <c r="E7582" s="221"/>
      <c r="F7582" s="221"/>
      <c r="G7582" s="221"/>
      <c r="H7582" s="221"/>
      <c r="I7582" s="221"/>
      <c r="J7582" s="221"/>
      <c r="K7582" s="221"/>
      <c r="L7582" s="221"/>
      <c r="M7582" s="221"/>
    </row>
    <row r="7583" spans="5:13">
      <c r="E7583" s="221"/>
      <c r="F7583" s="221"/>
      <c r="G7583" s="221"/>
      <c r="H7583" s="221"/>
      <c r="I7583" s="221"/>
      <c r="J7583" s="221"/>
      <c r="K7583" s="221"/>
      <c r="L7583" s="221"/>
      <c r="M7583" s="221"/>
    </row>
    <row r="7584" spans="5:13">
      <c r="E7584" s="221"/>
      <c r="F7584" s="221"/>
      <c r="G7584" s="221"/>
      <c r="H7584" s="221"/>
      <c r="I7584" s="221"/>
      <c r="J7584" s="221"/>
      <c r="K7584" s="221"/>
      <c r="L7584" s="221"/>
      <c r="M7584" s="221"/>
    </row>
    <row r="7585" spans="5:13">
      <c r="E7585" s="221"/>
      <c r="F7585" s="221"/>
      <c r="G7585" s="221"/>
      <c r="H7585" s="221"/>
      <c r="I7585" s="221"/>
      <c r="J7585" s="221"/>
      <c r="K7585" s="221"/>
      <c r="L7585" s="221"/>
      <c r="M7585" s="221"/>
    </row>
    <row r="7586" spans="5:13">
      <c r="E7586" s="221"/>
      <c r="F7586" s="221"/>
      <c r="G7586" s="221"/>
      <c r="H7586" s="221"/>
      <c r="I7586" s="221"/>
      <c r="J7586" s="221"/>
      <c r="K7586" s="221"/>
      <c r="L7586" s="221"/>
      <c r="M7586" s="221"/>
    </row>
    <row r="7587" spans="5:13">
      <c r="E7587" s="221"/>
      <c r="F7587" s="221"/>
      <c r="G7587" s="221"/>
      <c r="H7587" s="221"/>
      <c r="I7587" s="221"/>
      <c r="J7587" s="221"/>
      <c r="K7587" s="221"/>
      <c r="L7587" s="221"/>
      <c r="M7587" s="221"/>
    </row>
    <row r="7588" spans="5:13">
      <c r="E7588" s="221"/>
      <c r="F7588" s="221"/>
      <c r="G7588" s="221"/>
      <c r="H7588" s="221"/>
      <c r="I7588" s="221"/>
      <c r="J7588" s="221"/>
      <c r="K7588" s="221"/>
      <c r="L7588" s="221"/>
      <c r="M7588" s="221"/>
    </row>
    <row r="7589" spans="5:13">
      <c r="E7589" s="221"/>
      <c r="F7589" s="221"/>
      <c r="G7589" s="221"/>
      <c r="H7589" s="221"/>
      <c r="I7589" s="221"/>
      <c r="J7589" s="221"/>
      <c r="K7589" s="221"/>
      <c r="L7589" s="221"/>
      <c r="M7589" s="221"/>
    </row>
    <row r="7590" spans="5:13">
      <c r="E7590" s="221"/>
      <c r="F7590" s="221"/>
      <c r="G7590" s="221"/>
      <c r="H7590" s="221"/>
      <c r="I7590" s="221"/>
      <c r="J7590" s="221"/>
      <c r="K7590" s="221"/>
      <c r="L7590" s="221"/>
      <c r="M7590" s="221"/>
    </row>
    <row r="7591" spans="5:13">
      <c r="E7591" s="221"/>
      <c r="F7591" s="221"/>
      <c r="G7591" s="221"/>
      <c r="H7591" s="221"/>
      <c r="I7591" s="221"/>
      <c r="J7591" s="221"/>
      <c r="K7591" s="221"/>
      <c r="L7591" s="221"/>
      <c r="M7591" s="221"/>
    </row>
    <row r="7592" spans="5:13">
      <c r="E7592" s="221"/>
      <c r="F7592" s="221"/>
      <c r="G7592" s="221"/>
      <c r="H7592" s="221"/>
      <c r="I7592" s="221"/>
      <c r="J7592" s="221"/>
      <c r="K7592" s="221"/>
      <c r="L7592" s="221"/>
      <c r="M7592" s="221"/>
    </row>
    <row r="7593" spans="5:13">
      <c r="E7593" s="221"/>
      <c r="F7593" s="221"/>
      <c r="G7593" s="221"/>
      <c r="H7593" s="221"/>
      <c r="I7593" s="221"/>
      <c r="J7593" s="221"/>
      <c r="K7593" s="221"/>
      <c r="L7593" s="221"/>
      <c r="M7593" s="221"/>
    </row>
    <row r="7594" spans="5:13">
      <c r="E7594" s="221"/>
      <c r="F7594" s="221"/>
      <c r="G7594" s="221"/>
      <c r="H7594" s="221"/>
      <c r="I7594" s="221"/>
      <c r="J7594" s="221"/>
      <c r="K7594" s="221"/>
      <c r="L7594" s="221"/>
      <c r="M7594" s="221"/>
    </row>
    <row r="7595" spans="5:13">
      <c r="E7595" s="221"/>
      <c r="F7595" s="221"/>
      <c r="G7595" s="221"/>
      <c r="H7595" s="221"/>
      <c r="I7595" s="221"/>
      <c r="J7595" s="221"/>
      <c r="K7595" s="221"/>
      <c r="L7595" s="221"/>
      <c r="M7595" s="221"/>
    </row>
    <row r="7596" spans="5:13">
      <c r="E7596" s="221"/>
      <c r="F7596" s="221"/>
      <c r="G7596" s="221"/>
      <c r="H7596" s="221"/>
      <c r="I7596" s="221"/>
      <c r="J7596" s="221"/>
      <c r="K7596" s="221"/>
      <c r="L7596" s="221"/>
      <c r="M7596" s="221"/>
    </row>
    <row r="7597" spans="5:13">
      <c r="E7597" s="221"/>
      <c r="F7597" s="221"/>
      <c r="G7597" s="221"/>
      <c r="H7597" s="221"/>
      <c r="I7597" s="221"/>
      <c r="J7597" s="221"/>
      <c r="K7597" s="221"/>
      <c r="L7597" s="221"/>
      <c r="M7597" s="221"/>
    </row>
    <row r="7598" spans="5:13">
      <c r="E7598" s="221"/>
      <c r="F7598" s="221"/>
      <c r="G7598" s="221"/>
      <c r="H7598" s="221"/>
      <c r="I7598" s="221"/>
      <c r="J7598" s="221"/>
      <c r="K7598" s="221"/>
      <c r="L7598" s="221"/>
      <c r="M7598" s="221"/>
    </row>
    <row r="7599" spans="5:13">
      <c r="E7599" s="221"/>
      <c r="F7599" s="221"/>
      <c r="G7599" s="221"/>
      <c r="H7599" s="221"/>
      <c r="I7599" s="221"/>
      <c r="J7599" s="221"/>
      <c r="K7599" s="221"/>
      <c r="L7599" s="221"/>
      <c r="M7599" s="221"/>
    </row>
    <row r="7600" spans="5:13">
      <c r="E7600" s="221"/>
      <c r="F7600" s="221"/>
      <c r="G7600" s="221"/>
      <c r="H7600" s="221"/>
      <c r="I7600" s="221"/>
      <c r="J7600" s="221"/>
      <c r="K7600" s="221"/>
      <c r="L7600" s="221"/>
      <c r="M7600" s="221"/>
    </row>
    <row r="7601" spans="5:13">
      <c r="E7601" s="221"/>
      <c r="F7601" s="221"/>
      <c r="G7601" s="221"/>
      <c r="H7601" s="221"/>
      <c r="I7601" s="221"/>
      <c r="J7601" s="221"/>
      <c r="K7601" s="221"/>
      <c r="L7601" s="221"/>
      <c r="M7601" s="221"/>
    </row>
    <row r="7602" spans="5:13">
      <c r="E7602" s="221"/>
      <c r="F7602" s="221"/>
      <c r="G7602" s="221"/>
      <c r="H7602" s="221"/>
      <c r="I7602" s="221"/>
      <c r="J7602" s="221"/>
      <c r="K7602" s="221"/>
      <c r="L7602" s="221"/>
      <c r="M7602" s="221"/>
    </row>
    <row r="7603" spans="5:13">
      <c r="E7603" s="221"/>
      <c r="F7603" s="221"/>
      <c r="G7603" s="221"/>
      <c r="H7603" s="221"/>
      <c r="I7603" s="221"/>
      <c r="J7603" s="221"/>
      <c r="K7603" s="221"/>
      <c r="L7603" s="221"/>
      <c r="M7603" s="221"/>
    </row>
    <row r="7604" spans="5:13">
      <c r="E7604" s="221"/>
      <c r="F7604" s="221"/>
      <c r="G7604" s="221"/>
      <c r="H7604" s="221"/>
      <c r="I7604" s="221"/>
      <c r="J7604" s="221"/>
      <c r="K7604" s="221"/>
      <c r="L7604" s="221"/>
      <c r="M7604" s="221"/>
    </row>
    <row r="7605" spans="5:13">
      <c r="E7605" s="221"/>
      <c r="F7605" s="221"/>
      <c r="G7605" s="221"/>
      <c r="H7605" s="221"/>
      <c r="I7605" s="221"/>
      <c r="J7605" s="221"/>
      <c r="K7605" s="221"/>
      <c r="L7605" s="221"/>
      <c r="M7605" s="221"/>
    </row>
    <row r="7606" spans="5:13">
      <c r="E7606" s="221"/>
      <c r="F7606" s="221"/>
      <c r="G7606" s="221"/>
      <c r="H7606" s="221"/>
      <c r="I7606" s="221"/>
      <c r="J7606" s="221"/>
      <c r="K7606" s="221"/>
      <c r="L7606" s="221"/>
      <c r="M7606" s="221"/>
    </row>
    <row r="7607" spans="5:13">
      <c r="E7607" s="221"/>
      <c r="F7607" s="221"/>
      <c r="G7607" s="221"/>
      <c r="H7607" s="221"/>
      <c r="I7607" s="221"/>
      <c r="J7607" s="221"/>
      <c r="K7607" s="221"/>
      <c r="L7607" s="221"/>
      <c r="M7607" s="221"/>
    </row>
    <row r="7608" spans="5:13">
      <c r="E7608" s="221"/>
      <c r="F7608" s="221"/>
      <c r="G7608" s="221"/>
      <c r="H7608" s="221"/>
      <c r="I7608" s="221"/>
      <c r="J7608" s="221"/>
      <c r="K7608" s="221"/>
      <c r="L7608" s="221"/>
      <c r="M7608" s="221"/>
    </row>
    <row r="7609" spans="5:13">
      <c r="E7609" s="221"/>
      <c r="F7609" s="221"/>
      <c r="G7609" s="221"/>
      <c r="H7609" s="221"/>
      <c r="I7609" s="221"/>
      <c r="J7609" s="221"/>
      <c r="K7609" s="221"/>
      <c r="L7609" s="221"/>
      <c r="M7609" s="221"/>
    </row>
    <row r="7610" spans="5:13">
      <c r="E7610" s="221"/>
      <c r="F7610" s="221"/>
      <c r="G7610" s="221"/>
      <c r="H7610" s="221"/>
      <c r="I7610" s="221"/>
      <c r="J7610" s="221"/>
      <c r="K7610" s="221"/>
      <c r="L7610" s="221"/>
      <c r="M7610" s="221"/>
    </row>
    <row r="7611" spans="5:13">
      <c r="E7611" s="221"/>
      <c r="F7611" s="221"/>
      <c r="G7611" s="221"/>
      <c r="H7611" s="221"/>
      <c r="I7611" s="221"/>
      <c r="J7611" s="221"/>
      <c r="K7611" s="221"/>
      <c r="L7611" s="221"/>
      <c r="M7611" s="221"/>
    </row>
    <row r="7612" spans="5:13">
      <c r="E7612" s="221"/>
      <c r="F7612" s="221"/>
      <c r="G7612" s="221"/>
      <c r="H7612" s="221"/>
      <c r="I7612" s="221"/>
      <c r="J7612" s="221"/>
      <c r="K7612" s="221"/>
      <c r="L7612" s="221"/>
      <c r="M7612" s="221"/>
    </row>
    <row r="7613" spans="5:13">
      <c r="E7613" s="221"/>
      <c r="F7613" s="221"/>
      <c r="G7613" s="221"/>
      <c r="H7613" s="221"/>
      <c r="I7613" s="221"/>
      <c r="J7613" s="221"/>
      <c r="K7613" s="221"/>
      <c r="L7613" s="221"/>
      <c r="M7613" s="221"/>
    </row>
    <row r="7614" spans="5:13">
      <c r="E7614" s="221"/>
      <c r="F7614" s="221"/>
      <c r="G7614" s="221"/>
      <c r="H7614" s="221"/>
      <c r="I7614" s="221"/>
      <c r="J7614" s="221"/>
      <c r="K7614" s="221"/>
      <c r="L7614" s="221"/>
      <c r="M7614" s="221"/>
    </row>
    <row r="7615" spans="5:13">
      <c r="E7615" s="221"/>
      <c r="F7615" s="221"/>
      <c r="G7615" s="221"/>
      <c r="H7615" s="221"/>
      <c r="I7615" s="221"/>
      <c r="J7615" s="221"/>
      <c r="K7615" s="221"/>
      <c r="L7615" s="221"/>
      <c r="M7615" s="221"/>
    </row>
    <row r="7616" spans="5:13">
      <c r="E7616" s="221"/>
      <c r="F7616" s="221"/>
      <c r="G7616" s="221"/>
      <c r="H7616" s="221"/>
      <c r="I7616" s="221"/>
      <c r="J7616" s="221"/>
      <c r="K7616" s="221"/>
      <c r="L7616" s="221"/>
      <c r="M7616" s="221"/>
    </row>
    <row r="7617" spans="5:13">
      <c r="E7617" s="221"/>
      <c r="F7617" s="221"/>
      <c r="G7617" s="221"/>
      <c r="H7617" s="221"/>
      <c r="I7617" s="221"/>
      <c r="J7617" s="221"/>
      <c r="K7617" s="221"/>
      <c r="L7617" s="221"/>
      <c r="M7617" s="221"/>
    </row>
    <row r="7618" spans="5:13">
      <c r="E7618" s="221"/>
      <c r="F7618" s="221"/>
      <c r="G7618" s="221"/>
      <c r="H7618" s="221"/>
      <c r="I7618" s="221"/>
      <c r="J7618" s="221"/>
      <c r="K7618" s="221"/>
      <c r="L7618" s="221"/>
      <c r="M7618" s="221"/>
    </row>
    <row r="7619" spans="5:13">
      <c r="E7619" s="221"/>
      <c r="F7619" s="221"/>
      <c r="G7619" s="221"/>
      <c r="H7619" s="221"/>
      <c r="I7619" s="221"/>
      <c r="J7619" s="221"/>
      <c r="K7619" s="221"/>
      <c r="L7619" s="221"/>
      <c r="M7619" s="221"/>
    </row>
    <row r="7620" spans="5:13">
      <c r="E7620" s="221"/>
      <c r="F7620" s="221"/>
      <c r="G7620" s="221"/>
      <c r="H7620" s="221"/>
      <c r="I7620" s="221"/>
      <c r="J7620" s="221"/>
      <c r="K7620" s="221"/>
      <c r="L7620" s="221"/>
      <c r="M7620" s="221"/>
    </row>
    <row r="7621" spans="5:13">
      <c r="E7621" s="221"/>
      <c r="F7621" s="221"/>
      <c r="G7621" s="221"/>
      <c r="H7621" s="221"/>
      <c r="I7621" s="221"/>
      <c r="J7621" s="221"/>
      <c r="K7621" s="221"/>
      <c r="L7621" s="221"/>
      <c r="M7621" s="221"/>
    </row>
    <row r="7622" spans="5:13">
      <c r="E7622" s="221"/>
      <c r="F7622" s="221"/>
      <c r="G7622" s="221"/>
      <c r="H7622" s="221"/>
      <c r="I7622" s="221"/>
      <c r="J7622" s="221"/>
      <c r="K7622" s="221"/>
      <c r="L7622" s="221"/>
      <c r="M7622" s="221"/>
    </row>
    <row r="7623" spans="5:13">
      <c r="E7623" s="221"/>
      <c r="F7623" s="221"/>
      <c r="G7623" s="221"/>
      <c r="H7623" s="221"/>
      <c r="I7623" s="221"/>
      <c r="J7623" s="221"/>
      <c r="K7623" s="221"/>
      <c r="L7623" s="221"/>
      <c r="M7623" s="221"/>
    </row>
    <row r="7624" spans="5:13">
      <c r="E7624" s="221"/>
      <c r="F7624" s="221"/>
      <c r="G7624" s="221"/>
      <c r="H7624" s="221"/>
      <c r="I7624" s="221"/>
      <c r="J7624" s="221"/>
      <c r="K7624" s="221"/>
      <c r="L7624" s="221"/>
      <c r="M7624" s="221"/>
    </row>
    <row r="7625" spans="5:13">
      <c r="E7625" s="221"/>
      <c r="F7625" s="221"/>
      <c r="G7625" s="221"/>
      <c r="H7625" s="221"/>
      <c r="I7625" s="221"/>
      <c r="J7625" s="221"/>
      <c r="K7625" s="221"/>
      <c r="L7625" s="221"/>
      <c r="M7625" s="221"/>
    </row>
    <row r="7626" spans="5:13">
      <c r="E7626" s="221"/>
      <c r="F7626" s="221"/>
      <c r="G7626" s="221"/>
      <c r="H7626" s="221"/>
      <c r="I7626" s="221"/>
      <c r="J7626" s="221"/>
      <c r="K7626" s="221"/>
      <c r="L7626" s="221"/>
      <c r="M7626" s="221"/>
    </row>
    <row r="7627" spans="5:13">
      <c r="E7627" s="221"/>
      <c r="F7627" s="221"/>
      <c r="G7627" s="221"/>
      <c r="H7627" s="221"/>
      <c r="I7627" s="221"/>
      <c r="J7627" s="221"/>
      <c r="K7627" s="221"/>
      <c r="L7627" s="221"/>
      <c r="M7627" s="221"/>
    </row>
    <row r="7628" spans="5:13">
      <c r="E7628" s="221"/>
      <c r="F7628" s="221"/>
      <c r="G7628" s="221"/>
      <c r="H7628" s="221"/>
      <c r="I7628" s="221"/>
      <c r="J7628" s="221"/>
      <c r="K7628" s="221"/>
      <c r="L7628" s="221"/>
      <c r="M7628" s="221"/>
    </row>
    <row r="7629" spans="5:13">
      <c r="E7629" s="221"/>
      <c r="F7629" s="221"/>
      <c r="G7629" s="221"/>
      <c r="H7629" s="221"/>
      <c r="I7629" s="221"/>
      <c r="J7629" s="221"/>
      <c r="K7629" s="221"/>
      <c r="L7629" s="221"/>
      <c r="M7629" s="221"/>
    </row>
    <row r="7630" spans="5:13">
      <c r="E7630" s="221"/>
      <c r="F7630" s="221"/>
      <c r="G7630" s="221"/>
      <c r="H7630" s="221"/>
      <c r="I7630" s="221"/>
      <c r="J7630" s="221"/>
      <c r="K7630" s="221"/>
      <c r="L7630" s="221"/>
      <c r="M7630" s="221"/>
    </row>
    <row r="7631" spans="5:13">
      <c r="E7631" s="221"/>
      <c r="F7631" s="221"/>
      <c r="G7631" s="221"/>
      <c r="H7631" s="221"/>
      <c r="I7631" s="221"/>
      <c r="J7631" s="221"/>
      <c r="K7631" s="221"/>
      <c r="L7631" s="221"/>
      <c r="M7631" s="221"/>
    </row>
    <row r="7632" spans="5:13">
      <c r="E7632" s="221"/>
      <c r="F7632" s="221"/>
      <c r="G7632" s="221"/>
      <c r="H7632" s="221"/>
      <c r="I7632" s="221"/>
      <c r="J7632" s="221"/>
      <c r="K7632" s="221"/>
      <c r="L7632" s="221"/>
      <c r="M7632" s="221"/>
    </row>
    <row r="7633" spans="5:13">
      <c r="E7633" s="221"/>
      <c r="F7633" s="221"/>
      <c r="G7633" s="221"/>
      <c r="H7633" s="221"/>
      <c r="I7633" s="221"/>
      <c r="J7633" s="221"/>
      <c r="K7633" s="221"/>
      <c r="L7633" s="221"/>
      <c r="M7633" s="221"/>
    </row>
    <row r="7634" spans="5:13">
      <c r="E7634" s="221"/>
      <c r="F7634" s="221"/>
      <c r="G7634" s="221"/>
      <c r="H7634" s="221"/>
      <c r="I7634" s="221"/>
      <c r="J7634" s="221"/>
      <c r="K7634" s="221"/>
      <c r="L7634" s="221"/>
      <c r="M7634" s="221"/>
    </row>
    <row r="7635" spans="5:13">
      <c r="E7635" s="221"/>
      <c r="F7635" s="221"/>
      <c r="G7635" s="221"/>
      <c r="H7635" s="221"/>
      <c r="I7635" s="221"/>
      <c r="J7635" s="221"/>
      <c r="K7635" s="221"/>
      <c r="L7635" s="221"/>
      <c r="M7635" s="221"/>
    </row>
    <row r="7636" spans="5:13">
      <c r="E7636" s="221"/>
      <c r="F7636" s="221"/>
      <c r="G7636" s="221"/>
      <c r="H7636" s="221"/>
      <c r="I7636" s="221"/>
      <c r="J7636" s="221"/>
      <c r="K7636" s="221"/>
      <c r="L7636" s="221"/>
      <c r="M7636" s="221"/>
    </row>
    <row r="7637" spans="5:13">
      <c r="E7637" s="221"/>
      <c r="F7637" s="221"/>
      <c r="G7637" s="221"/>
      <c r="H7637" s="221"/>
      <c r="I7637" s="221"/>
      <c r="J7637" s="221"/>
      <c r="K7637" s="221"/>
      <c r="L7637" s="221"/>
      <c r="M7637" s="221"/>
    </row>
    <row r="7638" spans="5:13">
      <c r="E7638" s="221"/>
      <c r="F7638" s="221"/>
      <c r="G7638" s="221"/>
      <c r="H7638" s="221"/>
      <c r="I7638" s="221"/>
      <c r="J7638" s="221"/>
      <c r="K7638" s="221"/>
      <c r="L7638" s="221"/>
      <c r="M7638" s="221"/>
    </row>
    <row r="7639" spans="5:13">
      <c r="E7639" s="221"/>
      <c r="F7639" s="221"/>
      <c r="G7639" s="221"/>
      <c r="H7639" s="221"/>
      <c r="I7639" s="221"/>
      <c r="J7639" s="221"/>
      <c r="K7639" s="221"/>
      <c r="L7639" s="221"/>
      <c r="M7639" s="221"/>
    </row>
    <row r="7640" spans="5:13">
      <c r="E7640" s="221"/>
      <c r="F7640" s="221"/>
      <c r="G7640" s="221"/>
      <c r="H7640" s="221"/>
      <c r="I7640" s="221"/>
      <c r="J7640" s="221"/>
      <c r="K7640" s="221"/>
      <c r="L7640" s="221"/>
      <c r="M7640" s="221"/>
    </row>
    <row r="7641" spans="5:13">
      <c r="E7641" s="221"/>
      <c r="F7641" s="221"/>
      <c r="G7641" s="221"/>
      <c r="H7641" s="221"/>
      <c r="I7641" s="221"/>
      <c r="J7641" s="221"/>
      <c r="K7641" s="221"/>
      <c r="L7641" s="221"/>
      <c r="M7641" s="221"/>
    </row>
    <row r="7642" spans="5:13">
      <c r="E7642" s="221"/>
      <c r="F7642" s="221"/>
      <c r="G7642" s="221"/>
      <c r="H7642" s="221"/>
      <c r="I7642" s="221"/>
      <c r="J7642" s="221"/>
      <c r="K7642" s="221"/>
      <c r="L7642" s="221"/>
      <c r="M7642" s="221"/>
    </row>
    <row r="7643" spans="5:13">
      <c r="E7643" s="221"/>
      <c r="F7643" s="221"/>
      <c r="G7643" s="221"/>
      <c r="H7643" s="221"/>
      <c r="I7643" s="221"/>
      <c r="J7643" s="221"/>
      <c r="K7643" s="221"/>
      <c r="L7643" s="221"/>
      <c r="M7643" s="221"/>
    </row>
    <row r="7644" spans="5:13">
      <c r="E7644" s="221"/>
      <c r="F7644" s="221"/>
      <c r="G7644" s="221"/>
      <c r="H7644" s="221"/>
      <c r="I7644" s="221"/>
      <c r="J7644" s="221"/>
      <c r="K7644" s="221"/>
      <c r="L7644" s="221"/>
      <c r="M7644" s="221"/>
    </row>
    <row r="7645" spans="5:13">
      <c r="E7645" s="221"/>
      <c r="F7645" s="221"/>
      <c r="G7645" s="221"/>
      <c r="H7645" s="221"/>
      <c r="I7645" s="221"/>
      <c r="J7645" s="221"/>
      <c r="K7645" s="221"/>
      <c r="L7645" s="221"/>
      <c r="M7645" s="221"/>
    </row>
    <row r="7646" spans="5:13">
      <c r="E7646" s="221"/>
      <c r="F7646" s="221"/>
      <c r="G7646" s="221"/>
      <c r="H7646" s="221"/>
      <c r="I7646" s="221"/>
      <c r="J7646" s="221"/>
      <c r="K7646" s="221"/>
      <c r="L7646" s="221"/>
      <c r="M7646" s="221"/>
    </row>
    <row r="7647" spans="5:13">
      <c r="E7647" s="221"/>
      <c r="F7647" s="221"/>
      <c r="G7647" s="221"/>
      <c r="H7647" s="221"/>
      <c r="I7647" s="221"/>
      <c r="J7647" s="221"/>
      <c r="K7647" s="221"/>
      <c r="L7647" s="221"/>
      <c r="M7647" s="221"/>
    </row>
    <row r="7648" spans="5:13">
      <c r="E7648" s="221"/>
      <c r="F7648" s="221"/>
      <c r="G7648" s="221"/>
      <c r="H7648" s="221"/>
      <c r="I7648" s="221"/>
      <c r="J7648" s="221"/>
      <c r="K7648" s="221"/>
      <c r="L7648" s="221"/>
      <c r="M7648" s="221"/>
    </row>
    <row r="7649" spans="5:13">
      <c r="E7649" s="221"/>
      <c r="F7649" s="221"/>
      <c r="G7649" s="221"/>
      <c r="H7649" s="221"/>
      <c r="I7649" s="221"/>
      <c r="J7649" s="221"/>
      <c r="K7649" s="221"/>
      <c r="L7649" s="221"/>
      <c r="M7649" s="221"/>
    </row>
    <row r="7650" spans="5:13">
      <c r="E7650" s="221"/>
      <c r="F7650" s="221"/>
      <c r="G7650" s="221"/>
      <c r="H7650" s="221"/>
      <c r="I7650" s="221"/>
      <c r="J7650" s="221"/>
      <c r="K7650" s="221"/>
      <c r="L7650" s="221"/>
      <c r="M7650" s="221"/>
    </row>
    <row r="7651" spans="5:13">
      <c r="E7651" s="221"/>
      <c r="F7651" s="221"/>
      <c r="G7651" s="221"/>
      <c r="H7651" s="221"/>
      <c r="I7651" s="221"/>
      <c r="J7651" s="221"/>
      <c r="K7651" s="221"/>
      <c r="L7651" s="221"/>
      <c r="M7651" s="221"/>
    </row>
    <row r="7652" spans="5:13">
      <c r="E7652" s="221"/>
      <c r="F7652" s="221"/>
      <c r="G7652" s="221"/>
      <c r="H7652" s="221"/>
      <c r="I7652" s="221"/>
      <c r="J7652" s="221"/>
      <c r="K7652" s="221"/>
      <c r="L7652" s="221"/>
      <c r="M7652" s="221"/>
    </row>
    <row r="7653" spans="5:13">
      <c r="E7653" s="221"/>
      <c r="F7653" s="221"/>
      <c r="G7653" s="221"/>
      <c r="H7653" s="221"/>
      <c r="I7653" s="221"/>
      <c r="J7653" s="221"/>
      <c r="K7653" s="221"/>
      <c r="L7653" s="221"/>
      <c r="M7653" s="221"/>
    </row>
    <row r="7654" spans="5:13">
      <c r="E7654" s="221"/>
      <c r="F7654" s="221"/>
      <c r="G7654" s="221"/>
      <c r="H7654" s="221"/>
      <c r="I7654" s="221"/>
      <c r="J7654" s="221"/>
      <c r="K7654" s="221"/>
      <c r="L7654" s="221"/>
      <c r="M7654" s="221"/>
    </row>
    <row r="7655" spans="5:13">
      <c r="E7655" s="221"/>
      <c r="F7655" s="221"/>
      <c r="G7655" s="221"/>
      <c r="H7655" s="221"/>
      <c r="I7655" s="221"/>
      <c r="J7655" s="221"/>
      <c r="K7655" s="221"/>
      <c r="L7655" s="221"/>
      <c r="M7655" s="221"/>
    </row>
    <row r="7656" spans="5:13">
      <c r="E7656" s="221"/>
      <c r="F7656" s="221"/>
      <c r="G7656" s="221"/>
      <c r="H7656" s="221"/>
      <c r="I7656" s="221"/>
      <c r="J7656" s="221"/>
      <c r="K7656" s="221"/>
      <c r="L7656" s="221"/>
      <c r="M7656" s="221"/>
    </row>
    <row r="7657" spans="5:13">
      <c r="E7657" s="221"/>
      <c r="F7657" s="221"/>
      <c r="G7657" s="221"/>
      <c r="H7657" s="221"/>
      <c r="I7657" s="221"/>
      <c r="J7657" s="221"/>
      <c r="K7657" s="221"/>
      <c r="L7657" s="221"/>
      <c r="M7657" s="221"/>
    </row>
    <row r="7658" spans="5:13">
      <c r="E7658" s="221"/>
      <c r="F7658" s="221"/>
      <c r="G7658" s="221"/>
      <c r="H7658" s="221"/>
      <c r="I7658" s="221"/>
      <c r="J7658" s="221"/>
      <c r="K7658" s="221"/>
      <c r="L7658" s="221"/>
      <c r="M7658" s="221"/>
    </row>
    <row r="7659" spans="5:13">
      <c r="E7659" s="221"/>
      <c r="F7659" s="221"/>
      <c r="G7659" s="221"/>
      <c r="H7659" s="221"/>
      <c r="I7659" s="221"/>
      <c r="J7659" s="221"/>
      <c r="K7659" s="221"/>
      <c r="L7659" s="221"/>
      <c r="M7659" s="221"/>
    </row>
    <row r="7660" spans="5:13">
      <c r="E7660" s="221"/>
      <c r="F7660" s="221"/>
      <c r="G7660" s="221"/>
      <c r="H7660" s="221"/>
      <c r="I7660" s="221"/>
      <c r="J7660" s="221"/>
      <c r="K7660" s="221"/>
      <c r="L7660" s="221"/>
      <c r="M7660" s="221"/>
    </row>
    <row r="7661" spans="5:13">
      <c r="E7661" s="221"/>
      <c r="F7661" s="221"/>
      <c r="G7661" s="221"/>
      <c r="H7661" s="221"/>
      <c r="I7661" s="221"/>
      <c r="J7661" s="221"/>
      <c r="K7661" s="221"/>
      <c r="L7661" s="221"/>
      <c r="M7661" s="221"/>
    </row>
    <row r="7662" spans="5:13">
      <c r="E7662" s="221"/>
      <c r="F7662" s="221"/>
      <c r="G7662" s="221"/>
      <c r="H7662" s="221"/>
      <c r="I7662" s="221"/>
      <c r="J7662" s="221"/>
      <c r="K7662" s="221"/>
      <c r="L7662" s="221"/>
      <c r="M7662" s="221"/>
    </row>
    <row r="7663" spans="5:13">
      <c r="E7663" s="221"/>
      <c r="F7663" s="221"/>
      <c r="G7663" s="221"/>
      <c r="H7663" s="221"/>
      <c r="I7663" s="221"/>
      <c r="J7663" s="221"/>
      <c r="K7663" s="221"/>
      <c r="L7663" s="221"/>
      <c r="M7663" s="221"/>
    </row>
    <row r="7664" spans="5:13">
      <c r="E7664" s="221"/>
      <c r="F7664" s="221"/>
      <c r="G7664" s="221"/>
      <c r="H7664" s="221"/>
      <c r="I7664" s="221"/>
      <c r="J7664" s="221"/>
      <c r="K7664" s="221"/>
      <c r="L7664" s="221"/>
      <c r="M7664" s="221"/>
    </row>
    <row r="7665" spans="5:13">
      <c r="E7665" s="221"/>
      <c r="F7665" s="221"/>
      <c r="G7665" s="221"/>
      <c r="H7665" s="221"/>
      <c r="I7665" s="221"/>
      <c r="J7665" s="221"/>
      <c r="K7665" s="221"/>
      <c r="L7665" s="221"/>
      <c r="M7665" s="221"/>
    </row>
    <row r="7666" spans="5:13">
      <c r="E7666" s="221"/>
      <c r="F7666" s="221"/>
      <c r="G7666" s="221"/>
      <c r="H7666" s="221"/>
      <c r="I7666" s="221"/>
      <c r="J7666" s="221"/>
      <c r="K7666" s="221"/>
      <c r="L7666" s="221"/>
      <c r="M7666" s="221"/>
    </row>
    <row r="7667" spans="5:13">
      <c r="E7667" s="221"/>
      <c r="F7667" s="221"/>
      <c r="G7667" s="221"/>
      <c r="H7667" s="221"/>
      <c r="I7667" s="221"/>
      <c r="J7667" s="221"/>
      <c r="K7667" s="221"/>
      <c r="L7667" s="221"/>
      <c r="M7667" s="221"/>
    </row>
    <row r="7668" spans="5:13">
      <c r="E7668" s="221"/>
      <c r="F7668" s="221"/>
      <c r="G7668" s="221"/>
      <c r="H7668" s="221"/>
      <c r="I7668" s="221"/>
      <c r="J7668" s="221"/>
      <c r="K7668" s="221"/>
      <c r="L7668" s="221"/>
      <c r="M7668" s="221"/>
    </row>
    <row r="7669" spans="5:13">
      <c r="E7669" s="221"/>
      <c r="F7669" s="221"/>
      <c r="G7669" s="221"/>
      <c r="H7669" s="221"/>
      <c r="I7669" s="221"/>
      <c r="J7669" s="221"/>
      <c r="K7669" s="221"/>
      <c r="L7669" s="221"/>
      <c r="M7669" s="221"/>
    </row>
    <row r="7670" spans="5:13">
      <c r="E7670" s="221"/>
      <c r="F7670" s="221"/>
      <c r="G7670" s="221"/>
      <c r="H7670" s="221"/>
      <c r="I7670" s="221"/>
      <c r="J7670" s="221"/>
      <c r="K7670" s="221"/>
      <c r="L7670" s="221"/>
      <c r="M7670" s="221"/>
    </row>
    <row r="7671" spans="5:13">
      <c r="E7671" s="221"/>
      <c r="F7671" s="221"/>
      <c r="G7671" s="221"/>
      <c r="H7671" s="221"/>
      <c r="I7671" s="221"/>
      <c r="J7671" s="221"/>
      <c r="K7671" s="221"/>
      <c r="L7671" s="221"/>
      <c r="M7671" s="221"/>
    </row>
    <row r="7672" spans="5:13">
      <c r="E7672" s="221"/>
      <c r="F7672" s="221"/>
      <c r="G7672" s="221"/>
      <c r="H7672" s="221"/>
      <c r="I7672" s="221"/>
      <c r="J7672" s="221"/>
      <c r="K7672" s="221"/>
      <c r="L7672" s="221"/>
      <c r="M7672" s="221"/>
    </row>
    <row r="7673" spans="5:13">
      <c r="E7673" s="221"/>
      <c r="F7673" s="221"/>
      <c r="G7673" s="221"/>
      <c r="H7673" s="221"/>
      <c r="I7673" s="221"/>
      <c r="J7673" s="221"/>
      <c r="K7673" s="221"/>
      <c r="L7673" s="221"/>
      <c r="M7673" s="221"/>
    </row>
    <row r="7674" spans="5:13">
      <c r="E7674" s="221"/>
      <c r="F7674" s="221"/>
      <c r="G7674" s="221"/>
      <c r="H7674" s="221"/>
      <c r="I7674" s="221"/>
      <c r="J7674" s="221"/>
      <c r="K7674" s="221"/>
      <c r="L7674" s="221"/>
      <c r="M7674" s="221"/>
    </row>
    <row r="7675" spans="5:13">
      <c r="E7675" s="221"/>
      <c r="F7675" s="221"/>
      <c r="G7675" s="221"/>
      <c r="H7675" s="221"/>
      <c r="I7675" s="221"/>
      <c r="J7675" s="221"/>
      <c r="K7675" s="221"/>
      <c r="L7675" s="221"/>
      <c r="M7675" s="221"/>
    </row>
    <row r="7676" spans="5:13">
      <c r="E7676" s="221"/>
      <c r="F7676" s="221"/>
      <c r="G7676" s="221"/>
      <c r="H7676" s="221"/>
      <c r="I7676" s="221"/>
      <c r="J7676" s="221"/>
      <c r="K7676" s="221"/>
      <c r="L7676" s="221"/>
      <c r="M7676" s="221"/>
    </row>
    <row r="7677" spans="5:13">
      <c r="E7677" s="221"/>
      <c r="F7677" s="221"/>
      <c r="G7677" s="221"/>
      <c r="H7677" s="221"/>
      <c r="I7677" s="221"/>
      <c r="J7677" s="221"/>
      <c r="K7677" s="221"/>
      <c r="L7677" s="221"/>
      <c r="M7677" s="221"/>
    </row>
    <row r="7678" spans="5:13">
      <c r="E7678" s="221"/>
      <c r="F7678" s="221"/>
      <c r="G7678" s="221"/>
      <c r="H7678" s="221"/>
      <c r="I7678" s="221"/>
      <c r="J7678" s="221"/>
      <c r="K7678" s="221"/>
      <c r="L7678" s="221"/>
      <c r="M7678" s="221"/>
    </row>
    <row r="7679" spans="5:13">
      <c r="E7679" s="221"/>
      <c r="F7679" s="221"/>
      <c r="G7679" s="221"/>
      <c r="H7679" s="221"/>
      <c r="I7679" s="221"/>
      <c r="J7679" s="221"/>
      <c r="K7679" s="221"/>
      <c r="L7679" s="221"/>
      <c r="M7679" s="221"/>
    </row>
    <row r="7680" spans="5:13">
      <c r="E7680" s="221"/>
      <c r="F7680" s="221"/>
      <c r="G7680" s="221"/>
      <c r="H7680" s="221"/>
      <c r="I7680" s="221"/>
      <c r="J7680" s="221"/>
      <c r="K7680" s="221"/>
      <c r="L7680" s="221"/>
      <c r="M7680" s="221"/>
    </row>
    <row r="7681" spans="5:13">
      <c r="E7681" s="221"/>
      <c r="F7681" s="221"/>
      <c r="G7681" s="221"/>
      <c r="H7681" s="221"/>
      <c r="I7681" s="221"/>
      <c r="J7681" s="221"/>
      <c r="K7681" s="221"/>
      <c r="L7681" s="221"/>
      <c r="M7681" s="221"/>
    </row>
    <row r="7682" spans="5:13">
      <c r="E7682" s="221"/>
      <c r="F7682" s="221"/>
      <c r="G7682" s="221"/>
      <c r="H7682" s="221"/>
      <c r="I7682" s="221"/>
      <c r="J7682" s="221"/>
      <c r="K7682" s="221"/>
      <c r="L7682" s="221"/>
      <c r="M7682" s="221"/>
    </row>
    <row r="7683" spans="5:13">
      <c r="E7683" s="221"/>
      <c r="F7683" s="221"/>
      <c r="G7683" s="221"/>
      <c r="H7683" s="221"/>
      <c r="I7683" s="221"/>
      <c r="J7683" s="221"/>
      <c r="K7683" s="221"/>
      <c r="L7683" s="221"/>
      <c r="M7683" s="221"/>
    </row>
    <row r="7684" spans="5:13">
      <c r="E7684" s="221"/>
      <c r="F7684" s="221"/>
      <c r="G7684" s="221"/>
      <c r="H7684" s="221"/>
      <c r="I7684" s="221"/>
      <c r="J7684" s="221"/>
      <c r="K7684" s="221"/>
      <c r="L7684" s="221"/>
      <c r="M7684" s="221"/>
    </row>
    <row r="7685" spans="5:13">
      <c r="E7685" s="221"/>
      <c r="F7685" s="221"/>
      <c r="G7685" s="221"/>
      <c r="H7685" s="221"/>
      <c r="I7685" s="221"/>
      <c r="J7685" s="221"/>
      <c r="K7685" s="221"/>
      <c r="L7685" s="221"/>
      <c r="M7685" s="221"/>
    </row>
    <row r="7686" spans="5:13">
      <c r="E7686" s="221"/>
      <c r="F7686" s="221"/>
      <c r="G7686" s="221"/>
      <c r="H7686" s="221"/>
      <c r="I7686" s="221"/>
      <c r="J7686" s="221"/>
      <c r="K7686" s="221"/>
      <c r="L7686" s="221"/>
      <c r="M7686" s="221"/>
    </row>
    <row r="7687" spans="5:13">
      <c r="E7687" s="221"/>
      <c r="F7687" s="221"/>
      <c r="G7687" s="221"/>
      <c r="H7687" s="221"/>
      <c r="I7687" s="221"/>
      <c r="J7687" s="221"/>
      <c r="K7687" s="221"/>
      <c r="L7687" s="221"/>
      <c r="M7687" s="221"/>
    </row>
    <row r="7688" spans="5:13">
      <c r="E7688" s="221"/>
      <c r="F7688" s="221"/>
      <c r="G7688" s="221"/>
      <c r="H7688" s="221"/>
      <c r="I7688" s="221"/>
      <c r="J7688" s="221"/>
      <c r="K7688" s="221"/>
      <c r="L7688" s="221"/>
      <c r="M7688" s="221"/>
    </row>
    <row r="7689" spans="5:13">
      <c r="E7689" s="221"/>
      <c r="F7689" s="221"/>
      <c r="G7689" s="221"/>
      <c r="H7689" s="221"/>
      <c r="I7689" s="221"/>
      <c r="J7689" s="221"/>
      <c r="K7689" s="221"/>
      <c r="L7689" s="221"/>
      <c r="M7689" s="221"/>
    </row>
    <row r="7690" spans="5:13">
      <c r="E7690" s="221"/>
      <c r="F7690" s="221"/>
      <c r="G7690" s="221"/>
      <c r="H7690" s="221"/>
      <c r="I7690" s="221"/>
      <c r="J7690" s="221"/>
      <c r="K7690" s="221"/>
      <c r="L7690" s="221"/>
      <c r="M7690" s="221"/>
    </row>
    <row r="7691" spans="5:13">
      <c r="E7691" s="221"/>
      <c r="F7691" s="221"/>
      <c r="G7691" s="221"/>
      <c r="H7691" s="221"/>
      <c r="I7691" s="221"/>
      <c r="J7691" s="221"/>
      <c r="K7691" s="221"/>
      <c r="L7691" s="221"/>
      <c r="M7691" s="221"/>
    </row>
    <row r="7692" spans="5:13">
      <c r="E7692" s="221"/>
      <c r="F7692" s="221"/>
      <c r="G7692" s="221"/>
      <c r="H7692" s="221"/>
      <c r="I7692" s="221"/>
      <c r="J7692" s="221"/>
      <c r="K7692" s="221"/>
      <c r="L7692" s="221"/>
      <c r="M7692" s="221"/>
    </row>
    <row r="7693" spans="5:13">
      <c r="E7693" s="221"/>
      <c r="F7693" s="221"/>
      <c r="G7693" s="221"/>
      <c r="H7693" s="221"/>
      <c r="I7693" s="221"/>
      <c r="J7693" s="221"/>
      <c r="K7693" s="221"/>
      <c r="L7693" s="221"/>
      <c r="M7693" s="221"/>
    </row>
    <row r="7694" spans="5:13">
      <c r="E7694" s="221"/>
      <c r="F7694" s="221"/>
      <c r="G7694" s="221"/>
      <c r="H7694" s="221"/>
      <c r="I7694" s="221"/>
      <c r="J7694" s="221"/>
      <c r="K7694" s="221"/>
      <c r="L7694" s="221"/>
      <c r="M7694" s="221"/>
    </row>
    <row r="7695" spans="5:13">
      <c r="E7695" s="221"/>
      <c r="F7695" s="221"/>
      <c r="G7695" s="221"/>
      <c r="H7695" s="221"/>
      <c r="I7695" s="221"/>
      <c r="J7695" s="221"/>
      <c r="K7695" s="221"/>
      <c r="L7695" s="221"/>
      <c r="M7695" s="221"/>
    </row>
    <row r="7696" spans="5:13">
      <c r="E7696" s="221"/>
      <c r="F7696" s="221"/>
      <c r="G7696" s="221"/>
      <c r="H7696" s="221"/>
      <c r="I7696" s="221"/>
      <c r="J7696" s="221"/>
      <c r="K7696" s="221"/>
      <c r="L7696" s="221"/>
      <c r="M7696" s="221"/>
    </row>
    <row r="7697" spans="5:13">
      <c r="E7697" s="221"/>
      <c r="F7697" s="221"/>
      <c r="G7697" s="221"/>
      <c r="H7697" s="221"/>
      <c r="I7697" s="221"/>
      <c r="J7697" s="221"/>
      <c r="K7697" s="221"/>
      <c r="L7697" s="221"/>
      <c r="M7697" s="221"/>
    </row>
    <row r="7698" spans="5:13">
      <c r="E7698" s="221"/>
      <c r="F7698" s="221"/>
      <c r="G7698" s="221"/>
      <c r="H7698" s="221"/>
      <c r="I7698" s="221"/>
      <c r="J7698" s="221"/>
      <c r="K7698" s="221"/>
      <c r="L7698" s="221"/>
      <c r="M7698" s="221"/>
    </row>
    <row r="7699" spans="5:13">
      <c r="E7699" s="221"/>
      <c r="F7699" s="221"/>
      <c r="G7699" s="221"/>
      <c r="H7699" s="221"/>
      <c r="I7699" s="221"/>
      <c r="J7699" s="221"/>
      <c r="K7699" s="221"/>
      <c r="L7699" s="221"/>
      <c r="M7699" s="221"/>
    </row>
    <row r="7700" spans="5:13">
      <c r="E7700" s="221"/>
      <c r="F7700" s="221"/>
      <c r="G7700" s="221"/>
      <c r="H7700" s="221"/>
      <c r="I7700" s="221"/>
      <c r="J7700" s="221"/>
      <c r="K7700" s="221"/>
      <c r="L7700" s="221"/>
      <c r="M7700" s="221"/>
    </row>
    <row r="7701" spans="5:13">
      <c r="E7701" s="221"/>
      <c r="F7701" s="221"/>
      <c r="G7701" s="221"/>
      <c r="H7701" s="221"/>
      <c r="I7701" s="221"/>
      <c r="J7701" s="221"/>
      <c r="K7701" s="221"/>
      <c r="L7701" s="221"/>
      <c r="M7701" s="221"/>
    </row>
    <row r="7702" spans="5:13">
      <c r="E7702" s="221"/>
      <c r="F7702" s="221"/>
      <c r="G7702" s="221"/>
      <c r="H7702" s="221"/>
      <c r="I7702" s="221"/>
      <c r="J7702" s="221"/>
      <c r="K7702" s="221"/>
      <c r="L7702" s="221"/>
      <c r="M7702" s="221"/>
    </row>
    <row r="7703" spans="5:13">
      <c r="E7703" s="221"/>
      <c r="F7703" s="221"/>
      <c r="G7703" s="221"/>
      <c r="H7703" s="221"/>
      <c r="I7703" s="221"/>
      <c r="J7703" s="221"/>
      <c r="K7703" s="221"/>
      <c r="L7703" s="221"/>
      <c r="M7703" s="221"/>
    </row>
    <row r="7704" spans="5:13">
      <c r="E7704" s="221"/>
      <c r="F7704" s="221"/>
      <c r="G7704" s="221"/>
      <c r="H7704" s="221"/>
      <c r="I7704" s="221"/>
      <c r="J7704" s="221"/>
      <c r="K7704" s="221"/>
      <c r="L7704" s="221"/>
      <c r="M7704" s="221"/>
    </row>
    <row r="7705" spans="5:13">
      <c r="E7705" s="221"/>
      <c r="F7705" s="221"/>
      <c r="G7705" s="221"/>
      <c r="H7705" s="221"/>
      <c r="I7705" s="221"/>
      <c r="J7705" s="221"/>
      <c r="K7705" s="221"/>
      <c r="L7705" s="221"/>
      <c r="M7705" s="221"/>
    </row>
    <row r="7706" spans="5:13">
      <c r="E7706" s="221"/>
      <c r="F7706" s="221"/>
      <c r="G7706" s="221"/>
      <c r="H7706" s="221"/>
      <c r="I7706" s="221"/>
      <c r="J7706" s="221"/>
      <c r="K7706" s="221"/>
      <c r="L7706" s="221"/>
      <c r="M7706" s="221"/>
    </row>
    <row r="7707" spans="5:13">
      <c r="E7707" s="221"/>
      <c r="F7707" s="221"/>
      <c r="G7707" s="221"/>
      <c r="H7707" s="221"/>
      <c r="I7707" s="221"/>
      <c r="J7707" s="221"/>
      <c r="K7707" s="221"/>
      <c r="L7707" s="221"/>
      <c r="M7707" s="221"/>
    </row>
    <row r="7708" spans="5:13">
      <c r="E7708" s="221"/>
      <c r="F7708" s="221"/>
      <c r="G7708" s="221"/>
      <c r="H7708" s="221"/>
      <c r="I7708" s="221"/>
      <c r="J7708" s="221"/>
      <c r="K7708" s="221"/>
      <c r="L7708" s="221"/>
      <c r="M7708" s="221"/>
    </row>
    <row r="7709" spans="5:13">
      <c r="E7709" s="221"/>
      <c r="F7709" s="221"/>
      <c r="G7709" s="221"/>
      <c r="H7709" s="221"/>
      <c r="I7709" s="221"/>
      <c r="J7709" s="221"/>
      <c r="K7709" s="221"/>
      <c r="L7709" s="221"/>
      <c r="M7709" s="221"/>
    </row>
    <row r="7710" spans="5:13">
      <c r="E7710" s="221"/>
      <c r="F7710" s="221"/>
      <c r="G7710" s="221"/>
      <c r="H7710" s="221"/>
      <c r="I7710" s="221"/>
      <c r="J7710" s="221"/>
      <c r="K7710" s="221"/>
      <c r="L7710" s="221"/>
      <c r="M7710" s="221"/>
    </row>
    <row r="7711" spans="5:13">
      <c r="E7711" s="221"/>
      <c r="F7711" s="221"/>
      <c r="G7711" s="221"/>
      <c r="H7711" s="221"/>
      <c r="I7711" s="221"/>
      <c r="J7711" s="221"/>
      <c r="K7711" s="221"/>
      <c r="L7711" s="221"/>
      <c r="M7711" s="221"/>
    </row>
    <row r="7712" spans="5:13">
      <c r="E7712" s="221"/>
      <c r="F7712" s="221"/>
      <c r="G7712" s="221"/>
      <c r="H7712" s="221"/>
      <c r="I7712" s="221"/>
      <c r="J7712" s="221"/>
      <c r="K7712" s="221"/>
      <c r="L7712" s="221"/>
      <c r="M7712" s="221"/>
    </row>
    <row r="7713" spans="5:13">
      <c r="E7713" s="221"/>
      <c r="F7713" s="221"/>
      <c r="G7713" s="221"/>
      <c r="H7713" s="221"/>
      <c r="I7713" s="221"/>
      <c r="J7713" s="221"/>
      <c r="K7713" s="221"/>
      <c r="L7713" s="221"/>
      <c r="M7713" s="221"/>
    </row>
    <row r="7714" spans="5:13">
      <c r="E7714" s="221"/>
      <c r="F7714" s="221"/>
      <c r="G7714" s="221"/>
      <c r="H7714" s="221"/>
      <c r="I7714" s="221"/>
      <c r="J7714" s="221"/>
      <c r="K7714" s="221"/>
      <c r="L7714" s="221"/>
      <c r="M7714" s="221"/>
    </row>
    <row r="7715" spans="5:13">
      <c r="E7715" s="221"/>
      <c r="F7715" s="221"/>
      <c r="G7715" s="221"/>
      <c r="H7715" s="221"/>
      <c r="I7715" s="221"/>
      <c r="J7715" s="221"/>
      <c r="K7715" s="221"/>
      <c r="L7715" s="221"/>
      <c r="M7715" s="221"/>
    </row>
    <row r="7716" spans="5:13">
      <c r="E7716" s="221"/>
      <c r="F7716" s="221"/>
      <c r="G7716" s="221"/>
      <c r="H7716" s="221"/>
      <c r="I7716" s="221"/>
      <c r="J7716" s="221"/>
      <c r="K7716" s="221"/>
      <c r="L7716" s="221"/>
      <c r="M7716" s="221"/>
    </row>
    <row r="7717" spans="5:13">
      <c r="E7717" s="221"/>
      <c r="F7717" s="221"/>
      <c r="G7717" s="221"/>
      <c r="H7717" s="221"/>
      <c r="I7717" s="221"/>
      <c r="J7717" s="221"/>
      <c r="K7717" s="221"/>
      <c r="L7717" s="221"/>
      <c r="M7717" s="221"/>
    </row>
    <row r="7718" spans="5:13">
      <c r="E7718" s="221"/>
      <c r="F7718" s="221"/>
      <c r="G7718" s="221"/>
      <c r="H7718" s="221"/>
      <c r="I7718" s="221"/>
      <c r="J7718" s="221"/>
      <c r="K7718" s="221"/>
      <c r="L7718" s="221"/>
      <c r="M7718" s="221"/>
    </row>
    <row r="7719" spans="5:13">
      <c r="E7719" s="221"/>
      <c r="F7719" s="221"/>
      <c r="G7719" s="221"/>
      <c r="H7719" s="221"/>
      <c r="I7719" s="221"/>
      <c r="J7719" s="221"/>
      <c r="K7719" s="221"/>
      <c r="L7719" s="221"/>
      <c r="M7719" s="221"/>
    </row>
    <row r="7720" spans="5:13">
      <c r="E7720" s="221"/>
      <c r="F7720" s="221"/>
      <c r="G7720" s="221"/>
      <c r="H7720" s="221"/>
      <c r="I7720" s="221"/>
      <c r="J7720" s="221"/>
      <c r="K7720" s="221"/>
      <c r="L7720" s="221"/>
      <c r="M7720" s="221"/>
    </row>
    <row r="7721" spans="5:13">
      <c r="E7721" s="221"/>
      <c r="F7721" s="221"/>
      <c r="G7721" s="221"/>
      <c r="H7721" s="221"/>
      <c r="I7721" s="221"/>
      <c r="J7721" s="221"/>
      <c r="K7721" s="221"/>
      <c r="L7721" s="221"/>
      <c r="M7721" s="221"/>
    </row>
    <row r="7722" spans="5:13">
      <c r="E7722" s="221"/>
      <c r="F7722" s="221"/>
      <c r="G7722" s="221"/>
      <c r="H7722" s="221"/>
      <c r="I7722" s="221"/>
      <c r="J7722" s="221"/>
      <c r="K7722" s="221"/>
      <c r="L7722" s="221"/>
      <c r="M7722" s="221"/>
    </row>
    <row r="7723" spans="5:13">
      <c r="E7723" s="221"/>
      <c r="F7723" s="221"/>
      <c r="G7723" s="221"/>
      <c r="H7723" s="221"/>
      <c r="I7723" s="221"/>
      <c r="J7723" s="221"/>
      <c r="K7723" s="221"/>
      <c r="L7723" s="221"/>
      <c r="M7723" s="221"/>
    </row>
    <row r="7724" spans="5:13">
      <c r="E7724" s="221"/>
      <c r="F7724" s="221"/>
      <c r="G7724" s="221"/>
      <c r="H7724" s="221"/>
      <c r="I7724" s="221"/>
      <c r="J7724" s="221"/>
      <c r="K7724" s="221"/>
      <c r="L7724" s="221"/>
      <c r="M7724" s="221"/>
    </row>
    <row r="7725" spans="5:13">
      <c r="E7725" s="221"/>
      <c r="F7725" s="221"/>
      <c r="G7725" s="221"/>
      <c r="H7725" s="221"/>
      <c r="I7725" s="221"/>
      <c r="J7725" s="221"/>
      <c r="K7725" s="221"/>
      <c r="L7725" s="221"/>
      <c r="M7725" s="221"/>
    </row>
    <row r="7726" spans="5:13">
      <c r="E7726" s="221"/>
      <c r="F7726" s="221"/>
      <c r="G7726" s="221"/>
      <c r="H7726" s="221"/>
      <c r="I7726" s="221"/>
      <c r="J7726" s="221"/>
      <c r="K7726" s="221"/>
      <c r="L7726" s="221"/>
      <c r="M7726" s="221"/>
    </row>
    <row r="7727" spans="5:13">
      <c r="E7727" s="221"/>
      <c r="F7727" s="221"/>
      <c r="G7727" s="221"/>
      <c r="H7727" s="221"/>
      <c r="I7727" s="221"/>
      <c r="J7727" s="221"/>
      <c r="K7727" s="221"/>
      <c r="L7727" s="221"/>
      <c r="M7727" s="221"/>
    </row>
    <row r="7728" spans="5:13">
      <c r="E7728" s="221"/>
      <c r="F7728" s="221"/>
      <c r="G7728" s="221"/>
      <c r="H7728" s="221"/>
      <c r="I7728" s="221"/>
      <c r="J7728" s="221"/>
      <c r="K7728" s="221"/>
      <c r="L7728" s="221"/>
      <c r="M7728" s="221"/>
    </row>
    <row r="7729" spans="5:13">
      <c r="E7729" s="221"/>
      <c r="F7729" s="221"/>
      <c r="G7729" s="221"/>
      <c r="H7729" s="221"/>
      <c r="I7729" s="221"/>
      <c r="J7729" s="221"/>
      <c r="K7729" s="221"/>
      <c r="L7729" s="221"/>
      <c r="M7729" s="221"/>
    </row>
    <row r="7730" spans="5:13">
      <c r="E7730" s="221"/>
      <c r="F7730" s="221"/>
      <c r="G7730" s="221"/>
      <c r="H7730" s="221"/>
      <c r="I7730" s="221"/>
      <c r="J7730" s="221"/>
      <c r="K7730" s="221"/>
      <c r="L7730" s="221"/>
      <c r="M7730" s="221"/>
    </row>
    <row r="7731" spans="5:13">
      <c r="E7731" s="221"/>
      <c r="F7731" s="221"/>
      <c r="G7731" s="221"/>
      <c r="H7731" s="221"/>
      <c r="I7731" s="221"/>
      <c r="J7731" s="221"/>
      <c r="K7731" s="221"/>
      <c r="L7731" s="221"/>
      <c r="M7731" s="221"/>
    </row>
    <row r="7732" spans="5:13">
      <c r="E7732" s="221"/>
      <c r="F7732" s="221"/>
      <c r="G7732" s="221"/>
      <c r="H7732" s="221"/>
      <c r="I7732" s="221"/>
      <c r="J7732" s="221"/>
      <c r="K7732" s="221"/>
      <c r="L7732" s="221"/>
      <c r="M7732" s="221"/>
    </row>
    <row r="7733" spans="5:13">
      <c r="E7733" s="221"/>
      <c r="F7733" s="221"/>
      <c r="G7733" s="221"/>
      <c r="H7733" s="221"/>
      <c r="I7733" s="221"/>
      <c r="J7733" s="221"/>
      <c r="K7733" s="221"/>
      <c r="L7733" s="221"/>
      <c r="M7733" s="221"/>
    </row>
    <row r="7734" spans="5:13">
      <c r="E7734" s="221"/>
      <c r="F7734" s="221"/>
      <c r="G7734" s="221"/>
      <c r="H7734" s="221"/>
      <c r="I7734" s="221"/>
      <c r="J7734" s="221"/>
      <c r="K7734" s="221"/>
      <c r="L7734" s="221"/>
      <c r="M7734" s="221"/>
    </row>
    <row r="7735" spans="5:13">
      <c r="E7735" s="221"/>
      <c r="F7735" s="221"/>
      <c r="G7735" s="221"/>
      <c r="H7735" s="221"/>
      <c r="I7735" s="221"/>
      <c r="J7735" s="221"/>
      <c r="K7735" s="221"/>
      <c r="L7735" s="221"/>
      <c r="M7735" s="221"/>
    </row>
    <row r="7736" spans="5:13">
      <c r="E7736" s="221"/>
      <c r="F7736" s="221"/>
      <c r="G7736" s="221"/>
      <c r="H7736" s="221"/>
      <c r="I7736" s="221"/>
      <c r="J7736" s="221"/>
      <c r="K7736" s="221"/>
      <c r="L7736" s="221"/>
      <c r="M7736" s="221"/>
    </row>
    <row r="7737" spans="5:13">
      <c r="E7737" s="221"/>
      <c r="F7737" s="221"/>
      <c r="G7737" s="221"/>
      <c r="H7737" s="221"/>
      <c r="I7737" s="221"/>
      <c r="J7737" s="221"/>
      <c r="K7737" s="221"/>
      <c r="L7737" s="221"/>
      <c r="M7737" s="221"/>
    </row>
    <row r="7738" spans="5:13">
      <c r="E7738" s="221"/>
      <c r="F7738" s="221"/>
      <c r="G7738" s="221"/>
      <c r="H7738" s="221"/>
      <c r="I7738" s="221"/>
      <c r="J7738" s="221"/>
      <c r="K7738" s="221"/>
      <c r="L7738" s="221"/>
      <c r="M7738" s="221"/>
    </row>
    <row r="7739" spans="5:13">
      <c r="E7739" s="221"/>
      <c r="F7739" s="221"/>
      <c r="G7739" s="221"/>
      <c r="H7739" s="221"/>
      <c r="I7739" s="221"/>
      <c r="J7739" s="221"/>
      <c r="K7739" s="221"/>
      <c r="L7739" s="221"/>
      <c r="M7739" s="221"/>
    </row>
    <row r="7740" spans="5:13">
      <c r="E7740" s="221"/>
      <c r="F7740" s="221"/>
      <c r="G7740" s="221"/>
      <c r="H7740" s="221"/>
      <c r="I7740" s="221"/>
      <c r="J7740" s="221"/>
      <c r="K7740" s="221"/>
      <c r="L7740" s="221"/>
      <c r="M7740" s="221"/>
    </row>
    <row r="7741" spans="5:13">
      <c r="E7741" s="221"/>
      <c r="F7741" s="221"/>
      <c r="G7741" s="221"/>
      <c r="H7741" s="221"/>
      <c r="I7741" s="221"/>
      <c r="J7741" s="221"/>
      <c r="K7741" s="221"/>
      <c r="L7741" s="221"/>
      <c r="M7741" s="221"/>
    </row>
    <row r="7742" spans="5:13">
      <c r="E7742" s="221"/>
      <c r="F7742" s="221"/>
      <c r="G7742" s="221"/>
      <c r="H7742" s="221"/>
      <c r="I7742" s="221"/>
      <c r="J7742" s="221"/>
      <c r="K7742" s="221"/>
      <c r="L7742" s="221"/>
      <c r="M7742" s="221"/>
    </row>
    <row r="7743" spans="5:13">
      <c r="E7743" s="221"/>
      <c r="F7743" s="221"/>
      <c r="G7743" s="221"/>
      <c r="H7743" s="221"/>
      <c r="I7743" s="221"/>
      <c r="J7743" s="221"/>
      <c r="K7743" s="221"/>
      <c r="L7743" s="221"/>
      <c r="M7743" s="221"/>
    </row>
    <row r="7744" spans="5:13">
      <c r="E7744" s="221"/>
      <c r="F7744" s="221"/>
      <c r="G7744" s="221"/>
      <c r="H7744" s="221"/>
      <c r="I7744" s="221"/>
      <c r="J7744" s="221"/>
      <c r="K7744" s="221"/>
      <c r="L7744" s="221"/>
      <c r="M7744" s="221"/>
    </row>
    <row r="7745" spans="5:13">
      <c r="E7745" s="221"/>
      <c r="F7745" s="221"/>
      <c r="G7745" s="221"/>
      <c r="H7745" s="221"/>
      <c r="I7745" s="221"/>
      <c r="J7745" s="221"/>
      <c r="K7745" s="221"/>
      <c r="L7745" s="221"/>
      <c r="M7745" s="221"/>
    </row>
    <row r="7746" spans="5:13">
      <c r="E7746" s="221"/>
      <c r="F7746" s="221"/>
      <c r="G7746" s="221"/>
      <c r="H7746" s="221"/>
      <c r="I7746" s="221"/>
      <c r="J7746" s="221"/>
      <c r="K7746" s="221"/>
      <c r="L7746" s="221"/>
      <c r="M7746" s="221"/>
    </row>
    <row r="7747" spans="5:13">
      <c r="E7747" s="221"/>
      <c r="F7747" s="221"/>
      <c r="G7747" s="221"/>
      <c r="H7747" s="221"/>
      <c r="I7747" s="221"/>
      <c r="J7747" s="221"/>
      <c r="K7747" s="221"/>
      <c r="L7747" s="221"/>
      <c r="M7747" s="221"/>
    </row>
    <row r="7748" spans="5:13">
      <c r="E7748" s="221"/>
      <c r="F7748" s="221"/>
      <c r="G7748" s="221"/>
      <c r="H7748" s="221"/>
      <c r="I7748" s="221"/>
      <c r="J7748" s="221"/>
      <c r="K7748" s="221"/>
      <c r="L7748" s="221"/>
      <c r="M7748" s="221"/>
    </row>
    <row r="7749" spans="5:13">
      <c r="E7749" s="221"/>
      <c r="F7749" s="221"/>
      <c r="G7749" s="221"/>
      <c r="H7749" s="221"/>
      <c r="I7749" s="221"/>
      <c r="J7749" s="221"/>
      <c r="K7749" s="221"/>
      <c r="L7749" s="221"/>
      <c r="M7749" s="221"/>
    </row>
    <row r="7750" spans="5:13">
      <c r="E7750" s="221"/>
      <c r="F7750" s="221"/>
      <c r="G7750" s="221"/>
      <c r="H7750" s="221"/>
      <c r="I7750" s="221"/>
      <c r="J7750" s="221"/>
      <c r="K7750" s="221"/>
      <c r="L7750" s="221"/>
      <c r="M7750" s="221"/>
    </row>
    <row r="7751" spans="5:13">
      <c r="E7751" s="221"/>
      <c r="F7751" s="221"/>
      <c r="G7751" s="221"/>
      <c r="H7751" s="221"/>
      <c r="I7751" s="221"/>
      <c r="J7751" s="221"/>
      <c r="K7751" s="221"/>
      <c r="L7751" s="221"/>
      <c r="M7751" s="221"/>
    </row>
    <row r="7752" spans="5:13">
      <c r="E7752" s="221"/>
      <c r="F7752" s="221"/>
      <c r="G7752" s="221"/>
      <c r="H7752" s="221"/>
      <c r="I7752" s="221"/>
      <c r="J7752" s="221"/>
      <c r="K7752" s="221"/>
      <c r="L7752" s="221"/>
      <c r="M7752" s="221"/>
    </row>
    <row r="7753" spans="5:13">
      <c r="E7753" s="221"/>
      <c r="F7753" s="221"/>
      <c r="G7753" s="221"/>
      <c r="H7753" s="221"/>
      <c r="I7753" s="221"/>
      <c r="J7753" s="221"/>
      <c r="K7753" s="221"/>
      <c r="L7753" s="221"/>
      <c r="M7753" s="221"/>
    </row>
    <row r="7754" spans="5:13">
      <c r="E7754" s="221"/>
      <c r="F7754" s="221"/>
      <c r="G7754" s="221"/>
      <c r="H7754" s="221"/>
      <c r="I7754" s="221"/>
      <c r="J7754" s="221"/>
      <c r="K7754" s="221"/>
      <c r="L7754" s="221"/>
      <c r="M7754" s="221"/>
    </row>
    <row r="7755" spans="5:13">
      <c r="E7755" s="221"/>
      <c r="F7755" s="221"/>
      <c r="G7755" s="221"/>
      <c r="H7755" s="221"/>
      <c r="I7755" s="221"/>
      <c r="J7755" s="221"/>
      <c r="K7755" s="221"/>
      <c r="L7755" s="221"/>
      <c r="M7755" s="221"/>
    </row>
    <row r="7756" spans="5:13">
      <c r="E7756" s="221"/>
      <c r="F7756" s="221"/>
      <c r="G7756" s="221"/>
      <c r="H7756" s="221"/>
      <c r="I7756" s="221"/>
      <c r="J7756" s="221"/>
      <c r="K7756" s="221"/>
      <c r="L7756" s="221"/>
      <c r="M7756" s="221"/>
    </row>
    <row r="7757" spans="5:13">
      <c r="E7757" s="221"/>
      <c r="F7757" s="221"/>
      <c r="G7757" s="221"/>
      <c r="H7757" s="221"/>
      <c r="I7757" s="221"/>
      <c r="J7757" s="221"/>
      <c r="K7757" s="221"/>
      <c r="L7757" s="221"/>
      <c r="M7757" s="221"/>
    </row>
    <row r="7758" spans="5:13">
      <c r="E7758" s="221"/>
      <c r="F7758" s="221"/>
      <c r="G7758" s="221"/>
      <c r="H7758" s="221"/>
      <c r="I7758" s="221"/>
      <c r="J7758" s="221"/>
      <c r="K7758" s="221"/>
      <c r="L7758" s="221"/>
      <c r="M7758" s="221"/>
    </row>
    <row r="7759" spans="5:13">
      <c r="E7759" s="221"/>
      <c r="F7759" s="221"/>
      <c r="G7759" s="221"/>
      <c r="H7759" s="221"/>
      <c r="I7759" s="221"/>
      <c r="J7759" s="221"/>
      <c r="K7759" s="221"/>
      <c r="L7759" s="221"/>
      <c r="M7759" s="221"/>
    </row>
    <row r="7760" spans="5:13">
      <c r="E7760" s="221"/>
      <c r="F7760" s="221"/>
      <c r="G7760" s="221"/>
      <c r="H7760" s="221"/>
      <c r="I7760" s="221"/>
      <c r="J7760" s="221"/>
      <c r="K7760" s="221"/>
      <c r="L7760" s="221"/>
      <c r="M7760" s="221"/>
    </row>
    <row r="7761" spans="5:13">
      <c r="E7761" s="221"/>
      <c r="F7761" s="221"/>
      <c r="G7761" s="221"/>
      <c r="H7761" s="221"/>
      <c r="I7761" s="221"/>
      <c r="J7761" s="221"/>
      <c r="K7761" s="221"/>
      <c r="L7761" s="221"/>
      <c r="M7761" s="221"/>
    </row>
    <row r="7762" spans="5:13">
      <c r="E7762" s="221"/>
      <c r="F7762" s="221"/>
      <c r="G7762" s="221"/>
      <c r="H7762" s="221"/>
      <c r="I7762" s="221"/>
      <c r="J7762" s="221"/>
      <c r="K7762" s="221"/>
      <c r="L7762" s="221"/>
      <c r="M7762" s="221"/>
    </row>
    <row r="7763" spans="5:13">
      <c r="E7763" s="221"/>
      <c r="F7763" s="221"/>
      <c r="G7763" s="221"/>
      <c r="H7763" s="221"/>
      <c r="I7763" s="221"/>
      <c r="J7763" s="221"/>
      <c r="K7763" s="221"/>
      <c r="L7763" s="221"/>
      <c r="M7763" s="221"/>
    </row>
    <row r="7764" spans="5:13">
      <c r="E7764" s="221"/>
      <c r="F7764" s="221"/>
      <c r="G7764" s="221"/>
      <c r="H7764" s="221"/>
      <c r="I7764" s="221"/>
      <c r="J7764" s="221"/>
      <c r="K7764" s="221"/>
      <c r="L7764" s="221"/>
      <c r="M7764" s="221"/>
    </row>
    <row r="7765" spans="5:13">
      <c r="E7765" s="221"/>
      <c r="F7765" s="221"/>
      <c r="G7765" s="221"/>
      <c r="H7765" s="221"/>
      <c r="I7765" s="221"/>
      <c r="J7765" s="221"/>
      <c r="K7765" s="221"/>
      <c r="L7765" s="221"/>
      <c r="M7765" s="221"/>
    </row>
    <row r="7766" spans="5:13">
      <c r="E7766" s="221"/>
      <c r="F7766" s="221"/>
      <c r="G7766" s="221"/>
      <c r="H7766" s="221"/>
      <c r="I7766" s="221"/>
      <c r="J7766" s="221"/>
      <c r="K7766" s="221"/>
      <c r="L7766" s="221"/>
      <c r="M7766" s="221"/>
    </row>
    <row r="7767" spans="5:13">
      <c r="E7767" s="221"/>
      <c r="F7767" s="221"/>
      <c r="G7767" s="221"/>
      <c r="H7767" s="221"/>
      <c r="I7767" s="221"/>
      <c r="J7767" s="221"/>
      <c r="K7767" s="221"/>
      <c r="L7767" s="221"/>
      <c r="M7767" s="221"/>
    </row>
    <row r="7768" spans="5:13">
      <c r="E7768" s="221"/>
      <c r="F7768" s="221"/>
      <c r="G7768" s="221"/>
      <c r="H7768" s="221"/>
      <c r="I7768" s="221"/>
      <c r="J7768" s="221"/>
      <c r="K7768" s="221"/>
      <c r="L7768" s="221"/>
      <c r="M7768" s="221"/>
    </row>
    <row r="7769" spans="5:13">
      <c r="E7769" s="221"/>
      <c r="F7769" s="221"/>
      <c r="G7769" s="221"/>
      <c r="H7769" s="221"/>
      <c r="I7769" s="221"/>
      <c r="J7769" s="221"/>
      <c r="K7769" s="221"/>
      <c r="L7769" s="221"/>
      <c r="M7769" s="221"/>
    </row>
    <row r="7770" spans="5:13">
      <c r="E7770" s="221"/>
      <c r="F7770" s="221"/>
      <c r="G7770" s="221"/>
      <c r="H7770" s="221"/>
      <c r="I7770" s="221"/>
      <c r="J7770" s="221"/>
      <c r="K7770" s="221"/>
      <c r="L7770" s="221"/>
      <c r="M7770" s="221"/>
    </row>
    <row r="7771" spans="5:13">
      <c r="E7771" s="221"/>
      <c r="F7771" s="221"/>
      <c r="G7771" s="221"/>
      <c r="H7771" s="221"/>
      <c r="I7771" s="221"/>
      <c r="J7771" s="221"/>
      <c r="K7771" s="221"/>
      <c r="L7771" s="221"/>
      <c r="M7771" s="221"/>
    </row>
    <row r="7772" spans="5:13">
      <c r="E7772" s="221"/>
      <c r="F7772" s="221"/>
      <c r="G7772" s="221"/>
      <c r="H7772" s="221"/>
      <c r="I7772" s="221"/>
      <c r="J7772" s="221"/>
      <c r="K7772" s="221"/>
      <c r="L7772" s="221"/>
      <c r="M7772" s="221"/>
    </row>
    <row r="7773" spans="5:13">
      <c r="E7773" s="221"/>
      <c r="F7773" s="221"/>
      <c r="G7773" s="221"/>
      <c r="H7773" s="221"/>
      <c r="I7773" s="221"/>
      <c r="J7773" s="221"/>
      <c r="K7773" s="221"/>
      <c r="L7773" s="221"/>
      <c r="M7773" s="221"/>
    </row>
    <row r="7774" spans="5:13">
      <c r="E7774" s="221"/>
      <c r="F7774" s="221"/>
      <c r="G7774" s="221"/>
      <c r="H7774" s="221"/>
      <c r="I7774" s="221"/>
      <c r="J7774" s="221"/>
      <c r="K7774" s="221"/>
      <c r="L7774" s="221"/>
      <c r="M7774" s="221"/>
    </row>
    <row r="7775" spans="5:13">
      <c r="E7775" s="221"/>
      <c r="F7775" s="221"/>
      <c r="G7775" s="221"/>
      <c r="H7775" s="221"/>
      <c r="I7775" s="221"/>
      <c r="J7775" s="221"/>
      <c r="K7775" s="221"/>
      <c r="L7775" s="221"/>
      <c r="M7775" s="221"/>
    </row>
    <row r="7776" spans="5:13">
      <c r="E7776" s="221"/>
      <c r="F7776" s="221"/>
      <c r="G7776" s="221"/>
      <c r="H7776" s="221"/>
      <c r="I7776" s="221"/>
      <c r="J7776" s="221"/>
      <c r="K7776" s="221"/>
      <c r="L7776" s="221"/>
      <c r="M7776" s="221"/>
    </row>
    <row r="7777" spans="5:13">
      <c r="E7777" s="221"/>
      <c r="F7777" s="221"/>
      <c r="G7777" s="221"/>
      <c r="H7777" s="221"/>
      <c r="I7777" s="221"/>
      <c r="J7777" s="221"/>
      <c r="K7777" s="221"/>
      <c r="L7777" s="221"/>
      <c r="M7777" s="221"/>
    </row>
    <row r="7778" spans="5:13">
      <c r="E7778" s="221"/>
      <c r="F7778" s="221"/>
      <c r="G7778" s="221"/>
      <c r="H7778" s="221"/>
      <c r="I7778" s="221"/>
      <c r="J7778" s="221"/>
      <c r="K7778" s="221"/>
      <c r="L7778" s="221"/>
      <c r="M7778" s="221"/>
    </row>
    <row r="7779" spans="5:13">
      <c r="E7779" s="221"/>
      <c r="F7779" s="221"/>
      <c r="G7779" s="221"/>
      <c r="H7779" s="221"/>
      <c r="I7779" s="221"/>
      <c r="J7779" s="221"/>
      <c r="K7779" s="221"/>
      <c r="L7779" s="221"/>
      <c r="M7779" s="221"/>
    </row>
    <row r="7780" spans="5:13">
      <c r="E7780" s="221"/>
      <c r="F7780" s="221"/>
      <c r="G7780" s="221"/>
      <c r="H7780" s="221"/>
      <c r="I7780" s="221"/>
      <c r="J7780" s="221"/>
      <c r="K7780" s="221"/>
      <c r="L7780" s="221"/>
      <c r="M7780" s="221"/>
    </row>
    <row r="7781" spans="5:13">
      <c r="E7781" s="221"/>
      <c r="F7781" s="221"/>
      <c r="G7781" s="221"/>
      <c r="H7781" s="221"/>
      <c r="I7781" s="221"/>
      <c r="J7781" s="221"/>
      <c r="K7781" s="221"/>
      <c r="L7781" s="221"/>
      <c r="M7781" s="221"/>
    </row>
    <row r="7782" spans="5:13">
      <c r="E7782" s="221"/>
      <c r="F7782" s="221"/>
      <c r="G7782" s="221"/>
      <c r="H7782" s="221"/>
      <c r="I7782" s="221"/>
      <c r="J7782" s="221"/>
      <c r="K7782" s="221"/>
      <c r="L7782" s="221"/>
      <c r="M7782" s="221"/>
    </row>
    <row r="7783" spans="5:13">
      <c r="E7783" s="221"/>
      <c r="F7783" s="221"/>
      <c r="G7783" s="221"/>
      <c r="H7783" s="221"/>
      <c r="I7783" s="221"/>
      <c r="J7783" s="221"/>
      <c r="K7783" s="221"/>
      <c r="L7783" s="221"/>
      <c r="M7783" s="221"/>
    </row>
    <row r="7784" spans="5:13">
      <c r="E7784" s="221"/>
      <c r="F7784" s="221"/>
      <c r="G7784" s="221"/>
      <c r="H7784" s="221"/>
      <c r="I7784" s="221"/>
      <c r="J7784" s="221"/>
      <c r="K7784" s="221"/>
      <c r="L7784" s="221"/>
      <c r="M7784" s="221"/>
    </row>
    <row r="7785" spans="5:13">
      <c r="E7785" s="221"/>
      <c r="F7785" s="221"/>
      <c r="G7785" s="221"/>
      <c r="H7785" s="221"/>
      <c r="I7785" s="221"/>
      <c r="J7785" s="221"/>
      <c r="K7785" s="221"/>
      <c r="L7785" s="221"/>
      <c r="M7785" s="221"/>
    </row>
    <row r="7786" spans="5:13">
      <c r="E7786" s="221"/>
      <c r="F7786" s="221"/>
      <c r="G7786" s="221"/>
      <c r="H7786" s="221"/>
      <c r="I7786" s="221"/>
      <c r="J7786" s="221"/>
      <c r="K7786" s="221"/>
      <c r="L7786" s="221"/>
      <c r="M7786" s="221"/>
    </row>
    <row r="7787" spans="5:13">
      <c r="E7787" s="221"/>
      <c r="F7787" s="221"/>
      <c r="G7787" s="221"/>
      <c r="H7787" s="221"/>
      <c r="I7787" s="221"/>
      <c r="J7787" s="221"/>
      <c r="K7787" s="221"/>
      <c r="L7787" s="221"/>
      <c r="M7787" s="221"/>
    </row>
    <row r="7788" spans="5:13">
      <c r="E7788" s="221"/>
      <c r="F7788" s="221"/>
      <c r="G7788" s="221"/>
      <c r="H7788" s="221"/>
      <c r="I7788" s="221"/>
      <c r="J7788" s="221"/>
      <c r="K7788" s="221"/>
      <c r="L7788" s="221"/>
      <c r="M7788" s="221"/>
    </row>
    <row r="7789" spans="5:13">
      <c r="E7789" s="221"/>
      <c r="F7789" s="221"/>
      <c r="G7789" s="221"/>
      <c r="H7789" s="221"/>
      <c r="I7789" s="221"/>
      <c r="J7789" s="221"/>
      <c r="K7789" s="221"/>
      <c r="L7789" s="221"/>
      <c r="M7789" s="221"/>
    </row>
    <row r="7790" spans="5:13">
      <c r="E7790" s="221"/>
      <c r="F7790" s="221"/>
      <c r="G7790" s="221"/>
      <c r="H7790" s="221"/>
      <c r="I7790" s="221"/>
      <c r="J7790" s="221"/>
      <c r="K7790" s="221"/>
      <c r="L7790" s="221"/>
      <c r="M7790" s="221"/>
    </row>
    <row r="7791" spans="5:13">
      <c r="E7791" s="221"/>
      <c r="F7791" s="221"/>
      <c r="G7791" s="221"/>
      <c r="H7791" s="221"/>
      <c r="I7791" s="221"/>
      <c r="J7791" s="221"/>
      <c r="K7791" s="221"/>
      <c r="L7791" s="221"/>
      <c r="M7791" s="221"/>
    </row>
    <row r="7792" spans="5:13">
      <c r="E7792" s="221"/>
      <c r="F7792" s="221"/>
      <c r="G7792" s="221"/>
      <c r="H7792" s="221"/>
      <c r="I7792" s="221"/>
      <c r="J7792" s="221"/>
      <c r="K7792" s="221"/>
      <c r="L7792" s="221"/>
      <c r="M7792" s="221"/>
    </row>
    <row r="7793" spans="5:13">
      <c r="E7793" s="221"/>
      <c r="F7793" s="221"/>
      <c r="G7793" s="221"/>
      <c r="H7793" s="221"/>
      <c r="I7793" s="221"/>
      <c r="J7793" s="221"/>
      <c r="K7793" s="221"/>
      <c r="L7793" s="221"/>
      <c r="M7793" s="221"/>
    </row>
    <row r="7794" spans="5:13">
      <c r="E7794" s="221"/>
      <c r="F7794" s="221"/>
      <c r="G7794" s="221"/>
      <c r="H7794" s="221"/>
      <c r="I7794" s="221"/>
      <c r="J7794" s="221"/>
      <c r="K7794" s="221"/>
      <c r="L7794" s="221"/>
      <c r="M7794" s="221"/>
    </row>
    <row r="7795" spans="5:13">
      <c r="E7795" s="221"/>
      <c r="F7795" s="221"/>
      <c r="G7795" s="221"/>
      <c r="H7795" s="221"/>
      <c r="I7795" s="221"/>
      <c r="J7795" s="221"/>
      <c r="K7795" s="221"/>
      <c r="L7795" s="221"/>
      <c r="M7795" s="221"/>
    </row>
    <row r="7796" spans="5:13">
      <c r="E7796" s="221"/>
      <c r="F7796" s="221"/>
      <c r="G7796" s="221"/>
      <c r="H7796" s="221"/>
      <c r="I7796" s="221"/>
      <c r="J7796" s="221"/>
      <c r="K7796" s="221"/>
      <c r="L7796" s="221"/>
      <c r="M7796" s="221"/>
    </row>
    <row r="7797" spans="5:13">
      <c r="E7797" s="221"/>
      <c r="F7797" s="221"/>
      <c r="G7797" s="221"/>
      <c r="H7797" s="221"/>
      <c r="I7797" s="221"/>
      <c r="J7797" s="221"/>
      <c r="K7797" s="221"/>
      <c r="L7797" s="221"/>
      <c r="M7797" s="221"/>
    </row>
    <row r="7798" spans="5:13">
      <c r="E7798" s="221"/>
      <c r="F7798" s="221"/>
      <c r="G7798" s="221"/>
      <c r="H7798" s="221"/>
      <c r="I7798" s="221"/>
      <c r="J7798" s="221"/>
      <c r="K7798" s="221"/>
      <c r="L7798" s="221"/>
      <c r="M7798" s="221"/>
    </row>
    <row r="7799" spans="5:13">
      <c r="E7799" s="221"/>
      <c r="F7799" s="221"/>
      <c r="G7799" s="221"/>
      <c r="H7799" s="221"/>
      <c r="I7799" s="221"/>
      <c r="J7799" s="221"/>
      <c r="K7799" s="221"/>
      <c r="L7799" s="221"/>
      <c r="M7799" s="221"/>
    </row>
    <row r="7800" spans="5:13">
      <c r="E7800" s="221"/>
      <c r="F7800" s="221"/>
      <c r="G7800" s="221"/>
      <c r="H7800" s="221"/>
      <c r="I7800" s="221"/>
      <c r="J7800" s="221"/>
      <c r="K7800" s="221"/>
      <c r="L7800" s="221"/>
      <c r="M7800" s="221"/>
    </row>
    <row r="7801" spans="5:13">
      <c r="E7801" s="221"/>
      <c r="F7801" s="221"/>
      <c r="G7801" s="221"/>
      <c r="H7801" s="221"/>
      <c r="I7801" s="221"/>
      <c r="J7801" s="221"/>
      <c r="K7801" s="221"/>
      <c r="L7801" s="221"/>
      <c r="M7801" s="221"/>
    </row>
    <row r="7802" spans="5:13">
      <c r="E7802" s="221"/>
      <c r="F7802" s="221"/>
      <c r="G7802" s="221"/>
      <c r="H7802" s="221"/>
      <c r="I7802" s="221"/>
      <c r="J7802" s="221"/>
      <c r="K7802" s="221"/>
      <c r="L7802" s="221"/>
      <c r="M7802" s="221"/>
    </row>
    <row r="7803" spans="5:13">
      <c r="E7803" s="221"/>
      <c r="F7803" s="221"/>
      <c r="G7803" s="221"/>
      <c r="H7803" s="221"/>
      <c r="I7803" s="221"/>
      <c r="J7803" s="221"/>
      <c r="K7803" s="221"/>
      <c r="L7803" s="221"/>
      <c r="M7803" s="221"/>
    </row>
    <row r="7804" spans="5:13">
      <c r="E7804" s="221"/>
      <c r="F7804" s="221"/>
      <c r="G7804" s="221"/>
      <c r="H7804" s="221"/>
      <c r="I7804" s="221"/>
      <c r="J7804" s="221"/>
      <c r="K7804" s="221"/>
      <c r="L7804" s="221"/>
      <c r="M7804" s="221"/>
    </row>
    <row r="7805" spans="5:13">
      <c r="E7805" s="221"/>
      <c r="F7805" s="221"/>
      <c r="G7805" s="221"/>
      <c r="H7805" s="221"/>
      <c r="I7805" s="221"/>
      <c r="J7805" s="221"/>
      <c r="K7805" s="221"/>
      <c r="L7805" s="221"/>
      <c r="M7805" s="221"/>
    </row>
    <row r="7806" spans="5:13">
      <c r="E7806" s="221"/>
      <c r="F7806" s="221"/>
      <c r="G7806" s="221"/>
      <c r="H7806" s="221"/>
      <c r="I7806" s="221"/>
      <c r="J7806" s="221"/>
      <c r="K7806" s="221"/>
      <c r="L7806" s="221"/>
      <c r="M7806" s="221"/>
    </row>
    <row r="7807" spans="5:13">
      <c r="E7807" s="221"/>
      <c r="F7807" s="221"/>
      <c r="G7807" s="221"/>
      <c r="H7807" s="221"/>
      <c r="I7807" s="221"/>
      <c r="J7807" s="221"/>
      <c r="K7807" s="221"/>
      <c r="L7807" s="221"/>
      <c r="M7807" s="221"/>
    </row>
    <row r="7808" spans="5:13">
      <c r="E7808" s="221"/>
      <c r="F7808" s="221"/>
      <c r="G7808" s="221"/>
      <c r="H7808" s="221"/>
      <c r="I7808" s="221"/>
      <c r="J7808" s="221"/>
      <c r="K7808" s="221"/>
      <c r="L7808" s="221"/>
      <c r="M7808" s="221"/>
    </row>
    <row r="7809" spans="5:13">
      <c r="E7809" s="221"/>
      <c r="F7809" s="221"/>
      <c r="G7809" s="221"/>
      <c r="H7809" s="221"/>
      <c r="I7809" s="221"/>
      <c r="J7809" s="221"/>
      <c r="K7809" s="221"/>
      <c r="L7809" s="221"/>
      <c r="M7809" s="221"/>
    </row>
    <row r="7810" spans="5:13">
      <c r="E7810" s="221"/>
      <c r="F7810" s="221"/>
      <c r="G7810" s="221"/>
      <c r="H7810" s="221"/>
      <c r="I7810" s="221"/>
      <c r="J7810" s="221"/>
      <c r="K7810" s="221"/>
      <c r="L7810" s="221"/>
      <c r="M7810" s="221"/>
    </row>
    <row r="7811" spans="5:13">
      <c r="E7811" s="221"/>
      <c r="F7811" s="221"/>
      <c r="G7811" s="221"/>
      <c r="H7811" s="221"/>
      <c r="I7811" s="221"/>
      <c r="J7811" s="221"/>
      <c r="K7811" s="221"/>
      <c r="L7811" s="221"/>
      <c r="M7811" s="221"/>
    </row>
    <row r="7812" spans="5:13">
      <c r="E7812" s="221"/>
      <c r="F7812" s="221"/>
      <c r="G7812" s="221"/>
      <c r="H7812" s="221"/>
      <c r="I7812" s="221"/>
      <c r="J7812" s="221"/>
      <c r="K7812" s="221"/>
      <c r="L7812" s="221"/>
      <c r="M7812" s="221"/>
    </row>
    <row r="7813" spans="5:13">
      <c r="E7813" s="221"/>
      <c r="F7813" s="221"/>
      <c r="G7813" s="221"/>
      <c r="H7813" s="221"/>
      <c r="I7813" s="221"/>
      <c r="J7813" s="221"/>
      <c r="K7813" s="221"/>
      <c r="L7813" s="221"/>
      <c r="M7813" s="221"/>
    </row>
    <row r="7814" spans="5:13">
      <c r="E7814" s="221"/>
      <c r="F7814" s="221"/>
      <c r="G7814" s="221"/>
      <c r="H7814" s="221"/>
      <c r="I7814" s="221"/>
      <c r="J7814" s="221"/>
      <c r="K7814" s="221"/>
      <c r="L7814" s="221"/>
      <c r="M7814" s="221"/>
    </row>
    <row r="7815" spans="5:13">
      <c r="E7815" s="221"/>
      <c r="F7815" s="221"/>
      <c r="G7815" s="221"/>
      <c r="H7815" s="221"/>
      <c r="I7815" s="221"/>
      <c r="J7815" s="221"/>
      <c r="K7815" s="221"/>
      <c r="L7815" s="221"/>
      <c r="M7815" s="221"/>
    </row>
    <row r="7816" spans="5:13">
      <c r="E7816" s="221"/>
      <c r="F7816" s="221"/>
      <c r="G7816" s="221"/>
      <c r="H7816" s="221"/>
      <c r="I7816" s="221"/>
      <c r="J7816" s="221"/>
      <c r="K7816" s="221"/>
      <c r="L7816" s="221"/>
      <c r="M7816" s="221"/>
    </row>
    <row r="7817" spans="5:13">
      <c r="E7817" s="221"/>
      <c r="F7817" s="221"/>
      <c r="G7817" s="221"/>
      <c r="H7817" s="221"/>
      <c r="I7817" s="221"/>
      <c r="J7817" s="221"/>
      <c r="K7817" s="221"/>
      <c r="L7817" s="221"/>
      <c r="M7817" s="221"/>
    </row>
    <row r="7818" spans="5:13">
      <c r="E7818" s="221"/>
      <c r="F7818" s="221"/>
      <c r="G7818" s="221"/>
      <c r="H7818" s="221"/>
      <c r="I7818" s="221"/>
      <c r="J7818" s="221"/>
      <c r="K7818" s="221"/>
      <c r="L7818" s="221"/>
      <c r="M7818" s="221"/>
    </row>
    <row r="7819" spans="5:13">
      <c r="E7819" s="221"/>
      <c r="F7819" s="221"/>
      <c r="G7819" s="221"/>
      <c r="H7819" s="221"/>
      <c r="I7819" s="221"/>
      <c r="J7819" s="221"/>
      <c r="K7819" s="221"/>
      <c r="L7819" s="221"/>
      <c r="M7819" s="221"/>
    </row>
    <row r="7820" spans="5:13">
      <c r="E7820" s="221"/>
      <c r="F7820" s="221"/>
      <c r="G7820" s="221"/>
      <c r="H7820" s="221"/>
      <c r="I7820" s="221"/>
      <c r="J7820" s="221"/>
      <c r="K7820" s="221"/>
      <c r="L7820" s="221"/>
      <c r="M7820" s="221"/>
    </row>
    <row r="7821" spans="5:13">
      <c r="E7821" s="221"/>
      <c r="F7821" s="221"/>
      <c r="G7821" s="221"/>
      <c r="H7821" s="221"/>
      <c r="I7821" s="221"/>
      <c r="J7821" s="221"/>
      <c r="K7821" s="221"/>
      <c r="L7821" s="221"/>
      <c r="M7821" s="221"/>
    </row>
    <row r="7822" spans="5:13">
      <c r="E7822" s="221"/>
      <c r="F7822" s="221"/>
      <c r="G7822" s="221"/>
      <c r="H7822" s="221"/>
      <c r="I7822" s="221"/>
      <c r="J7822" s="221"/>
      <c r="K7822" s="221"/>
      <c r="L7822" s="221"/>
      <c r="M7822" s="221"/>
    </row>
    <row r="7823" spans="5:13">
      <c r="E7823" s="221"/>
      <c r="F7823" s="221"/>
      <c r="G7823" s="221"/>
      <c r="H7823" s="221"/>
      <c r="I7823" s="221"/>
      <c r="J7823" s="221"/>
      <c r="K7823" s="221"/>
      <c r="L7823" s="221"/>
      <c r="M7823" s="221"/>
    </row>
    <row r="7824" spans="5:13">
      <c r="E7824" s="221"/>
      <c r="F7824" s="221"/>
      <c r="G7824" s="221"/>
      <c r="H7824" s="221"/>
      <c r="I7824" s="221"/>
      <c r="J7824" s="221"/>
      <c r="K7824" s="221"/>
      <c r="L7824" s="221"/>
      <c r="M7824" s="221"/>
    </row>
    <row r="7825" spans="5:13">
      <c r="E7825" s="221"/>
      <c r="F7825" s="221"/>
      <c r="G7825" s="221"/>
      <c r="H7825" s="221"/>
      <c r="I7825" s="221"/>
      <c r="J7825" s="221"/>
      <c r="K7825" s="221"/>
      <c r="L7825" s="221"/>
      <c r="M7825" s="221"/>
    </row>
    <row r="7826" spans="5:13">
      <c r="E7826" s="221"/>
      <c r="F7826" s="221"/>
      <c r="G7826" s="221"/>
      <c r="H7826" s="221"/>
      <c r="I7826" s="221"/>
      <c r="J7826" s="221"/>
      <c r="K7826" s="221"/>
      <c r="L7826" s="221"/>
      <c r="M7826" s="221"/>
    </row>
    <row r="7827" spans="5:13">
      <c r="E7827" s="221"/>
      <c r="F7827" s="221"/>
      <c r="G7827" s="221"/>
      <c r="H7827" s="221"/>
      <c r="I7827" s="221"/>
      <c r="J7827" s="221"/>
      <c r="K7827" s="221"/>
      <c r="L7827" s="221"/>
      <c r="M7827" s="221"/>
    </row>
    <row r="7828" spans="5:13">
      <c r="E7828" s="221"/>
      <c r="F7828" s="221"/>
      <c r="G7828" s="221"/>
      <c r="H7828" s="221"/>
      <c r="I7828" s="221"/>
      <c r="J7828" s="221"/>
      <c r="K7828" s="221"/>
      <c r="L7828" s="221"/>
      <c r="M7828" s="221"/>
    </row>
    <row r="7829" spans="5:13">
      <c r="E7829" s="221"/>
      <c r="F7829" s="221"/>
      <c r="G7829" s="221"/>
      <c r="H7829" s="221"/>
      <c r="I7829" s="221"/>
      <c r="J7829" s="221"/>
      <c r="K7829" s="221"/>
      <c r="L7829" s="221"/>
      <c r="M7829" s="221"/>
    </row>
    <row r="7830" spans="5:13">
      <c r="E7830" s="221"/>
      <c r="F7830" s="221"/>
      <c r="G7830" s="221"/>
      <c r="H7830" s="221"/>
      <c r="I7830" s="221"/>
      <c r="J7830" s="221"/>
      <c r="K7830" s="221"/>
      <c r="L7830" s="221"/>
      <c r="M7830" s="221"/>
    </row>
    <row r="7831" spans="5:13">
      <c r="E7831" s="221"/>
      <c r="F7831" s="221"/>
      <c r="G7831" s="221"/>
      <c r="H7831" s="221"/>
      <c r="I7831" s="221"/>
      <c r="J7831" s="221"/>
      <c r="K7831" s="221"/>
      <c r="L7831" s="221"/>
      <c r="M7831" s="221"/>
    </row>
    <row r="7832" spans="5:13">
      <c r="E7832" s="221"/>
      <c r="F7832" s="221"/>
      <c r="G7832" s="221"/>
      <c r="H7832" s="221"/>
      <c r="I7832" s="221"/>
      <c r="J7832" s="221"/>
      <c r="K7832" s="221"/>
      <c r="L7832" s="221"/>
      <c r="M7832" s="221"/>
    </row>
    <row r="7833" spans="5:13">
      <c r="E7833" s="221"/>
      <c r="F7833" s="221"/>
      <c r="G7833" s="221"/>
      <c r="H7833" s="221"/>
      <c r="I7833" s="221"/>
      <c r="J7833" s="221"/>
      <c r="K7833" s="221"/>
      <c r="L7833" s="221"/>
      <c r="M7833" s="221"/>
    </row>
    <row r="7834" spans="5:13">
      <c r="E7834" s="221"/>
      <c r="F7834" s="221"/>
      <c r="G7834" s="221"/>
      <c r="H7834" s="221"/>
      <c r="I7834" s="221"/>
      <c r="J7834" s="221"/>
      <c r="K7834" s="221"/>
      <c r="L7834" s="221"/>
      <c r="M7834" s="221"/>
    </row>
    <row r="7835" spans="5:13">
      <c r="E7835" s="221"/>
      <c r="F7835" s="221"/>
      <c r="G7835" s="221"/>
      <c r="H7835" s="221"/>
      <c r="I7835" s="221"/>
      <c r="J7835" s="221"/>
      <c r="K7835" s="221"/>
      <c r="L7835" s="221"/>
      <c r="M7835" s="221"/>
    </row>
    <row r="7836" spans="5:13">
      <c r="E7836" s="221"/>
      <c r="F7836" s="221"/>
      <c r="G7836" s="221"/>
      <c r="H7836" s="221"/>
      <c r="I7836" s="221"/>
      <c r="J7836" s="221"/>
      <c r="K7836" s="221"/>
      <c r="L7836" s="221"/>
      <c r="M7836" s="221"/>
    </row>
    <row r="7837" spans="5:13">
      <c r="E7837" s="221"/>
      <c r="F7837" s="221"/>
      <c r="G7837" s="221"/>
      <c r="H7837" s="221"/>
      <c r="I7837" s="221"/>
      <c r="J7837" s="221"/>
      <c r="K7837" s="221"/>
      <c r="L7837" s="221"/>
      <c r="M7837" s="221"/>
    </row>
    <row r="7838" spans="5:13">
      <c r="E7838" s="221"/>
      <c r="F7838" s="221"/>
      <c r="G7838" s="221"/>
      <c r="H7838" s="221"/>
      <c r="I7838" s="221"/>
      <c r="J7838" s="221"/>
      <c r="K7838" s="221"/>
      <c r="L7838" s="221"/>
      <c r="M7838" s="221"/>
    </row>
    <row r="7839" spans="5:13">
      <c r="E7839" s="221"/>
      <c r="F7839" s="221"/>
      <c r="G7839" s="221"/>
      <c r="H7839" s="221"/>
      <c r="I7839" s="221"/>
      <c r="J7839" s="221"/>
      <c r="K7839" s="221"/>
      <c r="L7839" s="221"/>
      <c r="M7839" s="221"/>
    </row>
    <row r="7840" spans="5:13">
      <c r="E7840" s="221"/>
      <c r="F7840" s="221"/>
      <c r="G7840" s="221"/>
      <c r="H7840" s="221"/>
      <c r="I7840" s="221"/>
      <c r="J7840" s="221"/>
      <c r="K7840" s="221"/>
      <c r="L7840" s="221"/>
      <c r="M7840" s="221"/>
    </row>
    <row r="7841" spans="5:13">
      <c r="E7841" s="221"/>
      <c r="F7841" s="221"/>
      <c r="G7841" s="221"/>
      <c r="H7841" s="221"/>
      <c r="I7841" s="221"/>
      <c r="J7841" s="221"/>
      <c r="K7841" s="221"/>
      <c r="L7841" s="221"/>
      <c r="M7841" s="221"/>
    </row>
    <row r="7842" spans="5:13">
      <c r="E7842" s="221"/>
      <c r="F7842" s="221"/>
      <c r="G7842" s="221"/>
      <c r="H7842" s="221"/>
      <c r="I7842" s="221"/>
      <c r="J7842" s="221"/>
      <c r="K7842" s="221"/>
      <c r="L7842" s="221"/>
      <c r="M7842" s="221"/>
    </row>
    <row r="7843" spans="5:13">
      <c r="E7843" s="221"/>
      <c r="F7843" s="221"/>
      <c r="G7843" s="221"/>
      <c r="H7843" s="221"/>
      <c r="I7843" s="221"/>
      <c r="J7843" s="221"/>
      <c r="K7843" s="221"/>
      <c r="L7843" s="221"/>
      <c r="M7843" s="221"/>
    </row>
    <row r="7844" spans="5:13">
      <c r="E7844" s="221"/>
      <c r="F7844" s="221"/>
      <c r="G7844" s="221"/>
      <c r="H7844" s="221"/>
      <c r="I7844" s="221"/>
      <c r="J7844" s="221"/>
      <c r="K7844" s="221"/>
      <c r="L7844" s="221"/>
      <c r="M7844" s="221"/>
    </row>
    <row r="7845" spans="5:13">
      <c r="E7845" s="221"/>
      <c r="F7845" s="221"/>
      <c r="G7845" s="221"/>
      <c r="H7845" s="221"/>
      <c r="I7845" s="221"/>
      <c r="J7845" s="221"/>
      <c r="K7845" s="221"/>
      <c r="L7845" s="221"/>
      <c r="M7845" s="221"/>
    </row>
    <row r="7846" spans="5:13">
      <c r="E7846" s="221"/>
      <c r="F7846" s="221"/>
      <c r="G7846" s="221"/>
      <c r="H7846" s="221"/>
      <c r="I7846" s="221"/>
      <c r="J7846" s="221"/>
      <c r="K7846" s="221"/>
      <c r="L7846" s="221"/>
      <c r="M7846" s="221"/>
    </row>
    <row r="7847" spans="5:13">
      <c r="E7847" s="221"/>
      <c r="F7847" s="221"/>
      <c r="G7847" s="221"/>
      <c r="H7847" s="221"/>
      <c r="I7847" s="221"/>
      <c r="J7847" s="221"/>
      <c r="K7847" s="221"/>
      <c r="L7847" s="221"/>
      <c r="M7847" s="221"/>
    </row>
    <row r="7848" spans="5:13">
      <c r="E7848" s="221"/>
      <c r="F7848" s="221"/>
      <c r="G7848" s="221"/>
      <c r="H7848" s="221"/>
      <c r="I7848" s="221"/>
      <c r="J7848" s="221"/>
      <c r="K7848" s="221"/>
      <c r="L7848" s="221"/>
      <c r="M7848" s="221"/>
    </row>
    <row r="7849" spans="5:13">
      <c r="E7849" s="221"/>
      <c r="F7849" s="221"/>
      <c r="G7849" s="221"/>
      <c r="H7849" s="221"/>
      <c r="I7849" s="221"/>
      <c r="J7849" s="221"/>
      <c r="K7849" s="221"/>
      <c r="L7849" s="221"/>
      <c r="M7849" s="221"/>
    </row>
    <row r="7850" spans="5:13">
      <c r="E7850" s="221"/>
      <c r="F7850" s="221"/>
      <c r="G7850" s="221"/>
      <c r="H7850" s="221"/>
      <c r="I7850" s="221"/>
      <c r="J7850" s="221"/>
      <c r="K7850" s="221"/>
      <c r="L7850" s="221"/>
      <c r="M7850" s="221"/>
    </row>
    <row r="7851" spans="5:13">
      <c r="E7851" s="221"/>
      <c r="F7851" s="221"/>
      <c r="G7851" s="221"/>
      <c r="H7851" s="221"/>
      <c r="I7851" s="221"/>
      <c r="J7851" s="221"/>
      <c r="K7851" s="221"/>
      <c r="L7851" s="221"/>
      <c r="M7851" s="221"/>
    </row>
    <row r="7852" spans="5:13">
      <c r="E7852" s="221"/>
      <c r="F7852" s="221"/>
      <c r="G7852" s="221"/>
      <c r="H7852" s="221"/>
      <c r="I7852" s="221"/>
      <c r="J7852" s="221"/>
      <c r="K7852" s="221"/>
      <c r="L7852" s="221"/>
      <c r="M7852" s="221"/>
    </row>
    <row r="7853" spans="5:13">
      <c r="E7853" s="221"/>
      <c r="F7853" s="221"/>
      <c r="G7853" s="221"/>
      <c r="H7853" s="221"/>
      <c r="I7853" s="221"/>
      <c r="J7853" s="221"/>
      <c r="K7853" s="221"/>
      <c r="L7853" s="221"/>
      <c r="M7853" s="221"/>
    </row>
    <row r="7854" spans="5:13">
      <c r="E7854" s="221"/>
      <c r="F7854" s="221"/>
      <c r="G7854" s="221"/>
      <c r="H7854" s="221"/>
      <c r="I7854" s="221"/>
      <c r="J7854" s="221"/>
      <c r="K7854" s="221"/>
      <c r="L7854" s="221"/>
      <c r="M7854" s="221"/>
    </row>
    <row r="7855" spans="5:13">
      <c r="E7855" s="221"/>
      <c r="F7855" s="221"/>
      <c r="G7855" s="221"/>
      <c r="H7855" s="221"/>
      <c r="I7855" s="221"/>
      <c r="J7855" s="221"/>
      <c r="K7855" s="221"/>
      <c r="L7855" s="221"/>
      <c r="M7855" s="221"/>
    </row>
    <row r="7856" spans="5:13">
      <c r="E7856" s="221"/>
      <c r="F7856" s="221"/>
      <c r="G7856" s="221"/>
      <c r="H7856" s="221"/>
      <c r="I7856" s="221"/>
      <c r="J7856" s="221"/>
      <c r="K7856" s="221"/>
      <c r="L7856" s="221"/>
      <c r="M7856" s="221"/>
    </row>
    <row r="7857" spans="5:13">
      <c r="E7857" s="221"/>
      <c r="F7857" s="221"/>
      <c r="G7857" s="221"/>
      <c r="H7857" s="221"/>
      <c r="I7857" s="221"/>
      <c r="J7857" s="221"/>
      <c r="K7857" s="221"/>
      <c r="L7857" s="221"/>
      <c r="M7857" s="221"/>
    </row>
    <row r="7858" spans="5:13">
      <c r="E7858" s="221"/>
      <c r="F7858" s="221"/>
      <c r="G7858" s="221"/>
      <c r="H7858" s="221"/>
      <c r="I7858" s="221"/>
      <c r="J7858" s="221"/>
      <c r="K7858" s="221"/>
      <c r="L7858" s="221"/>
      <c r="M7858" s="221"/>
    </row>
    <row r="7859" spans="5:13">
      <c r="E7859" s="221"/>
      <c r="F7859" s="221"/>
      <c r="G7859" s="221"/>
      <c r="H7859" s="221"/>
      <c r="I7859" s="221"/>
      <c r="J7859" s="221"/>
      <c r="K7859" s="221"/>
      <c r="L7859" s="221"/>
      <c r="M7859" s="221"/>
    </row>
    <row r="7860" spans="5:13">
      <c r="E7860" s="221"/>
      <c r="F7860" s="221"/>
      <c r="G7860" s="221"/>
      <c r="H7860" s="221"/>
      <c r="I7860" s="221"/>
      <c r="J7860" s="221"/>
      <c r="K7860" s="221"/>
      <c r="L7860" s="221"/>
      <c r="M7860" s="221"/>
    </row>
    <row r="7861" spans="5:13">
      <c r="E7861" s="221"/>
      <c r="F7861" s="221"/>
      <c r="G7861" s="221"/>
      <c r="H7861" s="221"/>
      <c r="I7861" s="221"/>
      <c r="J7861" s="221"/>
      <c r="K7861" s="221"/>
      <c r="L7861" s="221"/>
      <c r="M7861" s="221"/>
    </row>
    <row r="7862" spans="5:13">
      <c r="E7862" s="221"/>
      <c r="F7862" s="221"/>
      <c r="G7862" s="221"/>
      <c r="H7862" s="221"/>
      <c r="I7862" s="221"/>
      <c r="J7862" s="221"/>
      <c r="K7862" s="221"/>
      <c r="L7862" s="221"/>
      <c r="M7862" s="221"/>
    </row>
    <row r="7863" spans="5:13">
      <c r="E7863" s="221"/>
      <c r="F7863" s="221"/>
      <c r="G7863" s="221"/>
      <c r="H7863" s="221"/>
      <c r="I7863" s="221"/>
      <c r="J7863" s="221"/>
      <c r="K7863" s="221"/>
      <c r="L7863" s="221"/>
      <c r="M7863" s="221"/>
    </row>
    <row r="7864" spans="5:13">
      <c r="E7864" s="221"/>
      <c r="F7864" s="221"/>
      <c r="G7864" s="221"/>
      <c r="H7864" s="221"/>
      <c r="I7864" s="221"/>
      <c r="J7864" s="221"/>
      <c r="K7864" s="221"/>
      <c r="L7864" s="221"/>
      <c r="M7864" s="221"/>
    </row>
    <row r="7865" spans="5:13">
      <c r="E7865" s="221"/>
      <c r="F7865" s="221"/>
      <c r="G7865" s="221"/>
      <c r="H7865" s="221"/>
      <c r="I7865" s="221"/>
      <c r="J7865" s="221"/>
      <c r="K7865" s="221"/>
      <c r="L7865" s="221"/>
      <c r="M7865" s="221"/>
    </row>
    <row r="7866" spans="5:13">
      <c r="E7866" s="221"/>
      <c r="F7866" s="221"/>
      <c r="G7866" s="221"/>
      <c r="H7866" s="221"/>
      <c r="I7866" s="221"/>
      <c r="J7866" s="221"/>
      <c r="K7866" s="221"/>
      <c r="L7866" s="221"/>
      <c r="M7866" s="221"/>
    </row>
    <row r="7867" spans="5:13">
      <c r="E7867" s="221"/>
      <c r="F7867" s="221"/>
      <c r="G7867" s="221"/>
      <c r="H7867" s="221"/>
      <c r="I7867" s="221"/>
      <c r="J7867" s="221"/>
      <c r="K7867" s="221"/>
      <c r="L7867" s="221"/>
      <c r="M7867" s="221"/>
    </row>
    <row r="7868" spans="5:13">
      <c r="E7868" s="221"/>
      <c r="F7868" s="221"/>
      <c r="G7868" s="221"/>
      <c r="H7868" s="221"/>
      <c r="I7868" s="221"/>
      <c r="J7868" s="221"/>
      <c r="K7868" s="221"/>
      <c r="L7868" s="221"/>
      <c r="M7868" s="221"/>
    </row>
    <row r="7869" spans="5:13">
      <c r="E7869" s="221"/>
      <c r="F7869" s="221"/>
      <c r="G7869" s="221"/>
      <c r="H7869" s="221"/>
      <c r="I7869" s="221"/>
      <c r="J7869" s="221"/>
      <c r="K7869" s="221"/>
      <c r="L7869" s="221"/>
      <c r="M7869" s="221"/>
    </row>
    <row r="7870" spans="5:13">
      <c r="E7870" s="221"/>
      <c r="F7870" s="221"/>
      <c r="G7870" s="221"/>
      <c r="H7870" s="221"/>
      <c r="I7870" s="221"/>
      <c r="J7870" s="221"/>
      <c r="K7870" s="221"/>
      <c r="L7870" s="221"/>
      <c r="M7870" s="221"/>
    </row>
    <row r="7871" spans="5:13">
      <c r="E7871" s="221"/>
      <c r="F7871" s="221"/>
      <c r="G7871" s="221"/>
      <c r="H7871" s="221"/>
      <c r="I7871" s="221"/>
      <c r="J7871" s="221"/>
      <c r="K7871" s="221"/>
      <c r="L7871" s="221"/>
      <c r="M7871" s="221"/>
    </row>
    <row r="7872" spans="5:13">
      <c r="E7872" s="221"/>
      <c r="F7872" s="221"/>
      <c r="G7872" s="221"/>
      <c r="H7872" s="221"/>
      <c r="I7872" s="221"/>
      <c r="J7872" s="221"/>
      <c r="K7872" s="221"/>
      <c r="L7872" s="221"/>
      <c r="M7872" s="221"/>
    </row>
    <row r="7873" spans="5:13">
      <c r="E7873" s="221"/>
      <c r="F7873" s="221"/>
      <c r="G7873" s="221"/>
      <c r="H7873" s="221"/>
      <c r="I7873" s="221"/>
      <c r="J7873" s="221"/>
      <c r="K7873" s="221"/>
      <c r="L7873" s="221"/>
      <c r="M7873" s="221"/>
    </row>
    <row r="7874" spans="5:13">
      <c r="E7874" s="221"/>
      <c r="F7874" s="221"/>
      <c r="G7874" s="221"/>
      <c r="H7874" s="221"/>
      <c r="I7874" s="221"/>
      <c r="J7874" s="221"/>
      <c r="K7874" s="221"/>
      <c r="L7874" s="221"/>
      <c r="M7874" s="221"/>
    </row>
    <row r="7875" spans="5:13">
      <c r="E7875" s="221"/>
      <c r="F7875" s="221"/>
      <c r="G7875" s="221"/>
      <c r="H7875" s="221"/>
      <c r="I7875" s="221"/>
      <c r="J7875" s="221"/>
      <c r="K7875" s="221"/>
      <c r="L7875" s="221"/>
      <c r="M7875" s="221"/>
    </row>
    <row r="7876" spans="5:13">
      <c r="E7876" s="221"/>
      <c r="F7876" s="221"/>
      <c r="G7876" s="221"/>
      <c r="H7876" s="221"/>
      <c r="I7876" s="221"/>
      <c r="J7876" s="221"/>
      <c r="K7876" s="221"/>
      <c r="L7876" s="221"/>
      <c r="M7876" s="221"/>
    </row>
    <row r="7877" spans="5:13">
      <c r="E7877" s="221"/>
      <c r="F7877" s="221"/>
      <c r="G7877" s="221"/>
      <c r="H7877" s="221"/>
      <c r="I7877" s="221"/>
      <c r="J7877" s="221"/>
      <c r="K7877" s="221"/>
      <c r="L7877" s="221"/>
      <c r="M7877" s="221"/>
    </row>
    <row r="7878" spans="5:13">
      <c r="E7878" s="221"/>
      <c r="F7878" s="221"/>
      <c r="G7878" s="221"/>
      <c r="H7878" s="221"/>
      <c r="I7878" s="221"/>
      <c r="J7878" s="221"/>
      <c r="K7878" s="221"/>
      <c r="L7878" s="221"/>
      <c r="M7878" s="221"/>
    </row>
    <row r="7879" spans="5:13">
      <c r="E7879" s="221"/>
      <c r="F7879" s="221"/>
      <c r="G7879" s="221"/>
      <c r="H7879" s="221"/>
      <c r="I7879" s="221"/>
      <c r="J7879" s="221"/>
      <c r="K7879" s="221"/>
      <c r="L7879" s="221"/>
      <c r="M7879" s="221"/>
    </row>
    <row r="7880" spans="5:13">
      <c r="E7880" s="221"/>
      <c r="F7880" s="221"/>
      <c r="G7880" s="221"/>
      <c r="H7880" s="221"/>
      <c r="I7880" s="221"/>
      <c r="J7880" s="221"/>
      <c r="K7880" s="221"/>
      <c r="L7880" s="221"/>
      <c r="M7880" s="221"/>
    </row>
    <row r="7881" spans="5:13">
      <c r="E7881" s="221"/>
      <c r="F7881" s="221"/>
      <c r="G7881" s="221"/>
      <c r="H7881" s="221"/>
      <c r="I7881" s="221"/>
      <c r="J7881" s="221"/>
      <c r="K7881" s="221"/>
      <c r="L7881" s="221"/>
      <c r="M7881" s="221"/>
    </row>
    <row r="7882" spans="5:13">
      <c r="E7882" s="221"/>
      <c r="F7882" s="221"/>
      <c r="G7882" s="221"/>
      <c r="H7882" s="221"/>
      <c r="I7882" s="221"/>
      <c r="J7882" s="221"/>
      <c r="K7882" s="221"/>
      <c r="L7882" s="221"/>
      <c r="M7882" s="221"/>
    </row>
    <row r="7883" spans="5:13">
      <c r="E7883" s="221"/>
      <c r="F7883" s="221"/>
      <c r="G7883" s="221"/>
      <c r="H7883" s="221"/>
      <c r="I7883" s="221"/>
      <c r="J7883" s="221"/>
      <c r="K7883" s="221"/>
      <c r="L7883" s="221"/>
      <c r="M7883" s="221"/>
    </row>
    <row r="7884" spans="5:13">
      <c r="E7884" s="221"/>
      <c r="F7884" s="221"/>
      <c r="G7884" s="221"/>
      <c r="H7884" s="221"/>
      <c r="I7884" s="221"/>
      <c r="J7884" s="221"/>
      <c r="K7884" s="221"/>
      <c r="L7884" s="221"/>
      <c r="M7884" s="221"/>
    </row>
    <row r="7885" spans="5:13">
      <c r="E7885" s="221"/>
      <c r="F7885" s="221"/>
      <c r="G7885" s="221"/>
      <c r="H7885" s="221"/>
      <c r="I7885" s="221"/>
      <c r="J7885" s="221"/>
      <c r="K7885" s="221"/>
      <c r="L7885" s="221"/>
      <c r="M7885" s="221"/>
    </row>
    <row r="7886" spans="5:13">
      <c r="E7886" s="221"/>
      <c r="F7886" s="221"/>
      <c r="G7886" s="221"/>
      <c r="H7886" s="221"/>
      <c r="I7886" s="221"/>
      <c r="J7886" s="221"/>
      <c r="K7886" s="221"/>
      <c r="L7886" s="221"/>
      <c r="M7886" s="221"/>
    </row>
    <row r="7887" spans="5:13">
      <c r="E7887" s="221"/>
      <c r="F7887" s="221"/>
      <c r="G7887" s="221"/>
      <c r="H7887" s="221"/>
      <c r="I7887" s="221"/>
      <c r="J7887" s="221"/>
      <c r="K7887" s="221"/>
      <c r="L7887" s="221"/>
      <c r="M7887" s="221"/>
    </row>
    <row r="7888" spans="5:13">
      <c r="E7888" s="221"/>
      <c r="F7888" s="221"/>
      <c r="G7888" s="221"/>
      <c r="H7888" s="221"/>
      <c r="I7888" s="221"/>
      <c r="J7888" s="221"/>
      <c r="K7888" s="221"/>
      <c r="L7888" s="221"/>
      <c r="M7888" s="221"/>
    </row>
    <row r="7889" spans="5:13">
      <c r="E7889" s="221"/>
      <c r="F7889" s="221"/>
      <c r="G7889" s="221"/>
      <c r="H7889" s="221"/>
      <c r="I7889" s="221"/>
      <c r="J7889" s="221"/>
      <c r="K7889" s="221"/>
      <c r="L7889" s="221"/>
      <c r="M7889" s="221"/>
    </row>
    <row r="7890" spans="5:13">
      <c r="E7890" s="221"/>
      <c r="F7890" s="221"/>
      <c r="G7890" s="221"/>
      <c r="H7890" s="221"/>
      <c r="I7890" s="221"/>
      <c r="J7890" s="221"/>
      <c r="K7890" s="221"/>
      <c r="L7890" s="221"/>
      <c r="M7890" s="221"/>
    </row>
    <row r="7891" spans="5:13">
      <c r="E7891" s="221"/>
      <c r="F7891" s="221"/>
      <c r="G7891" s="221"/>
      <c r="H7891" s="221"/>
      <c r="I7891" s="221"/>
      <c r="J7891" s="221"/>
      <c r="K7891" s="221"/>
      <c r="L7891" s="221"/>
      <c r="M7891" s="221"/>
    </row>
    <row r="7892" spans="5:13">
      <c r="E7892" s="221"/>
      <c r="F7892" s="221"/>
      <c r="G7892" s="221"/>
      <c r="H7892" s="221"/>
      <c r="I7892" s="221"/>
      <c r="J7892" s="221"/>
      <c r="K7892" s="221"/>
      <c r="L7892" s="221"/>
      <c r="M7892" s="221"/>
    </row>
    <row r="7893" spans="5:13">
      <c r="E7893" s="221"/>
      <c r="F7893" s="221"/>
      <c r="G7893" s="221"/>
      <c r="H7893" s="221"/>
      <c r="I7893" s="221"/>
      <c r="J7893" s="221"/>
      <c r="K7893" s="221"/>
      <c r="L7893" s="221"/>
      <c r="M7893" s="221"/>
    </row>
    <row r="7894" spans="5:13">
      <c r="E7894" s="221"/>
      <c r="F7894" s="221"/>
      <c r="G7894" s="221"/>
      <c r="H7894" s="221"/>
      <c r="I7894" s="221"/>
      <c r="J7894" s="221"/>
      <c r="K7894" s="221"/>
      <c r="L7894" s="221"/>
      <c r="M7894" s="221"/>
    </row>
    <row r="7895" spans="5:13">
      <c r="E7895" s="221"/>
      <c r="F7895" s="221"/>
      <c r="G7895" s="221"/>
      <c r="H7895" s="221"/>
      <c r="I7895" s="221"/>
      <c r="J7895" s="221"/>
      <c r="K7895" s="221"/>
      <c r="L7895" s="221"/>
      <c r="M7895" s="221"/>
    </row>
    <row r="7896" spans="5:13">
      <c r="E7896" s="221"/>
      <c r="F7896" s="221"/>
      <c r="G7896" s="221"/>
      <c r="H7896" s="221"/>
      <c r="I7896" s="221"/>
      <c r="J7896" s="221"/>
      <c r="K7896" s="221"/>
      <c r="L7896" s="221"/>
      <c r="M7896" s="221"/>
    </row>
    <row r="7897" spans="5:13">
      <c r="E7897" s="221"/>
      <c r="F7897" s="221"/>
      <c r="G7897" s="221"/>
      <c r="H7897" s="221"/>
      <c r="I7897" s="221"/>
      <c r="J7897" s="221"/>
      <c r="K7897" s="221"/>
      <c r="L7897" s="221"/>
      <c r="M7897" s="221"/>
    </row>
    <row r="7898" spans="5:13">
      <c r="E7898" s="221"/>
      <c r="F7898" s="221"/>
      <c r="G7898" s="221"/>
      <c r="H7898" s="221"/>
      <c r="I7898" s="221"/>
      <c r="J7898" s="221"/>
      <c r="K7898" s="221"/>
      <c r="L7898" s="221"/>
      <c r="M7898" s="221"/>
    </row>
    <row r="7899" spans="5:13">
      <c r="E7899" s="221"/>
      <c r="F7899" s="221"/>
      <c r="G7899" s="221"/>
      <c r="H7899" s="221"/>
      <c r="I7899" s="221"/>
      <c r="J7899" s="221"/>
      <c r="K7899" s="221"/>
      <c r="L7899" s="221"/>
      <c r="M7899" s="221"/>
    </row>
    <row r="7900" spans="5:13">
      <c r="E7900" s="221"/>
      <c r="F7900" s="221"/>
      <c r="G7900" s="221"/>
      <c r="H7900" s="221"/>
      <c r="I7900" s="221"/>
      <c r="J7900" s="221"/>
      <c r="K7900" s="221"/>
      <c r="L7900" s="221"/>
      <c r="M7900" s="221"/>
    </row>
    <row r="7901" spans="5:13">
      <c r="E7901" s="221"/>
      <c r="F7901" s="221"/>
      <c r="G7901" s="221"/>
      <c r="H7901" s="221"/>
      <c r="I7901" s="221"/>
      <c r="J7901" s="221"/>
      <c r="K7901" s="221"/>
      <c r="L7901" s="221"/>
      <c r="M7901" s="221"/>
    </row>
    <row r="7902" spans="5:13">
      <c r="E7902" s="221"/>
      <c r="F7902" s="221"/>
      <c r="G7902" s="221"/>
      <c r="H7902" s="221"/>
      <c r="I7902" s="221"/>
      <c r="J7902" s="221"/>
      <c r="K7902" s="221"/>
      <c r="L7902" s="221"/>
      <c r="M7902" s="221"/>
    </row>
    <row r="7903" spans="5:13">
      <c r="E7903" s="221"/>
      <c r="F7903" s="221"/>
      <c r="G7903" s="221"/>
      <c r="H7903" s="221"/>
      <c r="I7903" s="221"/>
      <c r="J7903" s="221"/>
      <c r="K7903" s="221"/>
      <c r="L7903" s="221"/>
      <c r="M7903" s="221"/>
    </row>
    <row r="7904" spans="5:13">
      <c r="E7904" s="221"/>
      <c r="F7904" s="221"/>
      <c r="G7904" s="221"/>
      <c r="H7904" s="221"/>
      <c r="I7904" s="221"/>
      <c r="J7904" s="221"/>
      <c r="K7904" s="221"/>
      <c r="L7904" s="221"/>
      <c r="M7904" s="221"/>
    </row>
    <row r="7905" spans="5:13">
      <c r="E7905" s="221"/>
      <c r="F7905" s="221"/>
      <c r="G7905" s="221"/>
      <c r="H7905" s="221"/>
      <c r="I7905" s="221"/>
      <c r="J7905" s="221"/>
      <c r="K7905" s="221"/>
      <c r="L7905" s="221"/>
      <c r="M7905" s="221"/>
    </row>
    <row r="7906" spans="5:13">
      <c r="E7906" s="221"/>
      <c r="F7906" s="221"/>
      <c r="G7906" s="221"/>
      <c r="H7906" s="221"/>
      <c r="I7906" s="221"/>
      <c r="J7906" s="221"/>
      <c r="K7906" s="221"/>
      <c r="L7906" s="221"/>
      <c r="M7906" s="221"/>
    </row>
    <row r="7907" spans="5:13">
      <c r="E7907" s="221"/>
      <c r="F7907" s="221"/>
      <c r="G7907" s="221"/>
      <c r="H7907" s="221"/>
      <c r="I7907" s="221"/>
      <c r="J7907" s="221"/>
      <c r="K7907" s="221"/>
      <c r="L7907" s="221"/>
      <c r="M7907" s="221"/>
    </row>
    <row r="7908" spans="5:13">
      <c r="E7908" s="221"/>
      <c r="F7908" s="221"/>
      <c r="G7908" s="221"/>
      <c r="H7908" s="221"/>
      <c r="I7908" s="221"/>
      <c r="J7908" s="221"/>
      <c r="K7908" s="221"/>
      <c r="L7908" s="221"/>
      <c r="M7908" s="221"/>
    </row>
    <row r="7909" spans="5:13">
      <c r="E7909" s="221"/>
      <c r="F7909" s="221"/>
      <c r="G7909" s="221"/>
      <c r="H7909" s="221"/>
      <c r="I7909" s="221"/>
      <c r="J7909" s="221"/>
      <c r="K7909" s="221"/>
      <c r="L7909" s="221"/>
      <c r="M7909" s="221"/>
    </row>
    <row r="7910" spans="5:13">
      <c r="E7910" s="221"/>
      <c r="F7910" s="221"/>
      <c r="G7910" s="221"/>
      <c r="H7910" s="221"/>
      <c r="I7910" s="221"/>
      <c r="J7910" s="221"/>
      <c r="K7910" s="221"/>
      <c r="L7910" s="221"/>
      <c r="M7910" s="221"/>
    </row>
    <row r="7911" spans="5:13">
      <c r="E7911" s="221"/>
      <c r="F7911" s="221"/>
      <c r="G7911" s="221"/>
      <c r="H7911" s="221"/>
      <c r="I7911" s="221"/>
      <c r="J7911" s="221"/>
      <c r="K7911" s="221"/>
      <c r="L7911" s="221"/>
      <c r="M7911" s="221"/>
    </row>
    <row r="7912" spans="5:13">
      <c r="E7912" s="221"/>
      <c r="F7912" s="221"/>
      <c r="G7912" s="221"/>
      <c r="H7912" s="221"/>
      <c r="I7912" s="221"/>
      <c r="J7912" s="221"/>
      <c r="K7912" s="221"/>
      <c r="L7912" s="221"/>
      <c r="M7912" s="221"/>
    </row>
    <row r="7913" spans="5:13">
      <c r="E7913" s="221"/>
      <c r="F7913" s="221"/>
      <c r="G7913" s="221"/>
      <c r="H7913" s="221"/>
      <c r="I7913" s="221"/>
      <c r="J7913" s="221"/>
      <c r="K7913" s="221"/>
      <c r="L7913" s="221"/>
      <c r="M7913" s="221"/>
    </row>
    <row r="7914" spans="5:13">
      <c r="H7914" s="142"/>
    </row>
    <row r="7915" spans="5:13">
      <c r="H7915" s="142"/>
    </row>
    <row r="7916" spans="5:13">
      <c r="H7916" s="142"/>
    </row>
    <row r="7917" spans="5:13">
      <c r="H7917" s="142"/>
    </row>
    <row r="7918" spans="5:13">
      <c r="H7918" s="142"/>
    </row>
    <row r="7919" spans="5:13">
      <c r="H7919" s="142"/>
    </row>
    <row r="7920" spans="5:13">
      <c r="H7920" s="142"/>
    </row>
    <row r="7921" spans="8:8">
      <c r="H7921" s="142"/>
    </row>
    <row r="7922" spans="8:8">
      <c r="H7922" s="142"/>
    </row>
    <row r="7923" spans="8:8">
      <c r="H7923" s="142"/>
    </row>
    <row r="7924" spans="8:8">
      <c r="H7924" s="142"/>
    </row>
    <row r="7925" spans="8:8">
      <c r="H7925" s="142"/>
    </row>
    <row r="7926" spans="8:8">
      <c r="H7926" s="142"/>
    </row>
    <row r="7927" spans="8:8">
      <c r="H7927" s="142"/>
    </row>
    <row r="7928" spans="8:8">
      <c r="H7928" s="142"/>
    </row>
    <row r="7929" spans="8:8">
      <c r="H7929" s="142"/>
    </row>
    <row r="7930" spans="8:8">
      <c r="H7930" s="142"/>
    </row>
    <row r="7931" spans="8:8">
      <c r="H7931" s="142"/>
    </row>
    <row r="7932" spans="8:8">
      <c r="H7932" s="142"/>
    </row>
    <row r="7933" spans="8:8">
      <c r="H7933" s="142"/>
    </row>
    <row r="7934" spans="8:8">
      <c r="H7934" s="142"/>
    </row>
    <row r="7935" spans="8:8">
      <c r="H7935" s="142"/>
    </row>
    <row r="7936" spans="8:8">
      <c r="H7936" s="142"/>
    </row>
    <row r="7937" spans="8:8">
      <c r="H7937" s="142"/>
    </row>
    <row r="7938" spans="8:8">
      <c r="H7938" s="142"/>
    </row>
    <row r="7939" spans="8:8">
      <c r="H7939" s="142"/>
    </row>
    <row r="7940" spans="8:8">
      <c r="H7940" s="142"/>
    </row>
    <row r="7941" spans="8:8">
      <c r="H7941" s="142"/>
    </row>
    <row r="7942" spans="8:8">
      <c r="H7942" s="142"/>
    </row>
    <row r="7943" spans="8:8">
      <c r="H7943" s="142"/>
    </row>
    <row r="7944" spans="8:8">
      <c r="H7944" s="142"/>
    </row>
    <row r="7945" spans="8:8">
      <c r="H7945" s="142"/>
    </row>
    <row r="7946" spans="8:8">
      <c r="H7946" s="142"/>
    </row>
    <row r="7947" spans="8:8">
      <c r="H7947" s="142"/>
    </row>
    <row r="7948" spans="8:8">
      <c r="H7948" s="142"/>
    </row>
    <row r="7949" spans="8:8">
      <c r="H7949" s="142"/>
    </row>
    <row r="7950" spans="8:8">
      <c r="H7950" s="142"/>
    </row>
    <row r="7951" spans="8:8">
      <c r="H7951" s="142"/>
    </row>
    <row r="7952" spans="8:8">
      <c r="H7952" s="142"/>
    </row>
    <row r="7953" spans="8:8">
      <c r="H7953" s="142"/>
    </row>
    <row r="7954" spans="8:8">
      <c r="H7954" s="142"/>
    </row>
    <row r="7955" spans="8:8">
      <c r="H7955" s="142"/>
    </row>
    <row r="7956" spans="8:8">
      <c r="H7956" s="142"/>
    </row>
    <row r="7957" spans="8:8">
      <c r="H7957" s="142"/>
    </row>
    <row r="7958" spans="8:8">
      <c r="H7958" s="142"/>
    </row>
    <row r="7959" spans="8:8">
      <c r="H7959" s="142"/>
    </row>
    <row r="7960" spans="8:8">
      <c r="H7960" s="142"/>
    </row>
    <row r="7961" spans="8:8">
      <c r="H7961" s="142"/>
    </row>
    <row r="7962" spans="8:8">
      <c r="H7962" s="142"/>
    </row>
    <row r="7963" spans="8:8">
      <c r="H7963" s="142"/>
    </row>
    <row r="7964" spans="8:8">
      <c r="H7964" s="142"/>
    </row>
    <row r="7965" spans="8:8">
      <c r="H7965" s="142"/>
    </row>
    <row r="7966" spans="8:8">
      <c r="H7966" s="142"/>
    </row>
    <row r="7967" spans="8:8">
      <c r="H7967" s="142"/>
    </row>
    <row r="7968" spans="8:8">
      <c r="H7968" s="142"/>
    </row>
    <row r="7969" spans="8:8">
      <c r="H7969" s="142"/>
    </row>
    <row r="7970" spans="8:8">
      <c r="H7970" s="142"/>
    </row>
    <row r="7971" spans="8:8">
      <c r="H7971" s="142"/>
    </row>
    <row r="7972" spans="8:8">
      <c r="H7972" s="142"/>
    </row>
    <row r="7973" spans="8:8">
      <c r="H7973" s="142"/>
    </row>
    <row r="7974" spans="8:8">
      <c r="H7974" s="142"/>
    </row>
    <row r="7975" spans="8:8">
      <c r="H7975" s="142"/>
    </row>
    <row r="7976" spans="8:8">
      <c r="H7976" s="142"/>
    </row>
    <row r="7977" spans="8:8">
      <c r="H7977" s="142"/>
    </row>
    <row r="7978" spans="8:8">
      <c r="H7978" s="142"/>
    </row>
    <row r="7979" spans="8:8">
      <c r="H7979" s="142"/>
    </row>
    <row r="7980" spans="8:8">
      <c r="H7980" s="142"/>
    </row>
    <row r="7981" spans="8:8">
      <c r="H7981" s="142"/>
    </row>
    <row r="7982" spans="8:8">
      <c r="H7982" s="142"/>
    </row>
    <row r="7983" spans="8:8">
      <c r="H7983" s="142"/>
    </row>
    <row r="7984" spans="8:8">
      <c r="H7984" s="142"/>
    </row>
    <row r="7985" spans="8:8">
      <c r="H7985" s="142"/>
    </row>
    <row r="7986" spans="8:8">
      <c r="H7986" s="142"/>
    </row>
    <row r="7987" spans="8:8">
      <c r="H7987" s="142"/>
    </row>
    <row r="7988" spans="8:8">
      <c r="H7988" s="142"/>
    </row>
    <row r="7989" spans="8:8">
      <c r="H7989" s="142"/>
    </row>
    <row r="7990" spans="8:8">
      <c r="H7990" s="142"/>
    </row>
    <row r="7991" spans="8:8">
      <c r="H7991" s="142"/>
    </row>
    <row r="7992" spans="8:8">
      <c r="H7992" s="142"/>
    </row>
    <row r="7993" spans="8:8">
      <c r="H7993" s="142"/>
    </row>
    <row r="7994" spans="8:8">
      <c r="H7994" s="142"/>
    </row>
    <row r="7995" spans="8:8">
      <c r="H7995" s="142"/>
    </row>
    <row r="7996" spans="8:8">
      <c r="H7996" s="142"/>
    </row>
    <row r="7997" spans="8:8">
      <c r="H7997" s="142"/>
    </row>
    <row r="7998" spans="8:8">
      <c r="H7998" s="142"/>
    </row>
    <row r="7999" spans="8:8">
      <c r="H7999" s="142"/>
    </row>
    <row r="8000" spans="8:8">
      <c r="H8000" s="142"/>
    </row>
    <row r="8001" spans="8:8">
      <c r="H8001" s="142"/>
    </row>
    <row r="8002" spans="8:8">
      <c r="H8002" s="142"/>
    </row>
    <row r="8003" spans="8:8">
      <c r="H8003" s="142"/>
    </row>
    <row r="8004" spans="8:8">
      <c r="H8004" s="142"/>
    </row>
    <row r="8005" spans="8:8">
      <c r="H8005" s="142"/>
    </row>
    <row r="8006" spans="8:8">
      <c r="H8006" s="142"/>
    </row>
    <row r="8007" spans="8:8">
      <c r="H8007" s="142"/>
    </row>
    <row r="8008" spans="8:8">
      <c r="H8008" s="142"/>
    </row>
    <row r="8009" spans="8:8">
      <c r="H8009" s="142"/>
    </row>
    <row r="8010" spans="8:8">
      <c r="H8010" s="142"/>
    </row>
    <row r="8011" spans="8:8">
      <c r="H8011" s="142"/>
    </row>
    <row r="8012" spans="8:8">
      <c r="H8012" s="142"/>
    </row>
    <row r="8013" spans="8:8">
      <c r="H8013" s="142"/>
    </row>
    <row r="8014" spans="8:8">
      <c r="H8014" s="142"/>
    </row>
    <row r="8015" spans="8:8">
      <c r="H8015" s="142"/>
    </row>
    <row r="8016" spans="8:8">
      <c r="H8016" s="142"/>
    </row>
    <row r="8017" spans="8:8">
      <c r="H8017" s="142"/>
    </row>
    <row r="8018" spans="8:8">
      <c r="H8018" s="142"/>
    </row>
    <row r="8019" spans="8:8">
      <c r="H8019" s="142"/>
    </row>
    <row r="8020" spans="8:8">
      <c r="H8020" s="142"/>
    </row>
    <row r="8021" spans="8:8">
      <c r="H8021" s="142"/>
    </row>
    <row r="8022" spans="8:8">
      <c r="H8022" s="142"/>
    </row>
    <row r="8023" spans="8:8">
      <c r="H8023" s="142"/>
    </row>
    <row r="8024" spans="8:8">
      <c r="H8024" s="142"/>
    </row>
    <row r="8025" spans="8:8">
      <c r="H8025" s="142"/>
    </row>
    <row r="8026" spans="8:8">
      <c r="H8026" s="142"/>
    </row>
    <row r="8027" spans="8:8">
      <c r="H8027" s="142"/>
    </row>
    <row r="8028" spans="8:8">
      <c r="H8028" s="142"/>
    </row>
    <row r="8029" spans="8:8">
      <c r="H8029" s="142"/>
    </row>
    <row r="8030" spans="8:8">
      <c r="H8030" s="142"/>
    </row>
    <row r="8031" spans="8:8">
      <c r="H8031" s="142"/>
    </row>
    <row r="8032" spans="8:8">
      <c r="H8032" s="142"/>
    </row>
    <row r="8033" spans="8:8">
      <c r="H8033" s="142"/>
    </row>
    <row r="8034" spans="8:8">
      <c r="H8034" s="142"/>
    </row>
    <row r="8035" spans="8:8">
      <c r="H8035" s="142"/>
    </row>
    <row r="8036" spans="8:8">
      <c r="H8036" s="142"/>
    </row>
    <row r="8037" spans="8:8">
      <c r="H8037" s="142"/>
    </row>
    <row r="8038" spans="8:8">
      <c r="H8038" s="142"/>
    </row>
    <row r="8039" spans="8:8">
      <c r="H8039" s="142"/>
    </row>
    <row r="8040" spans="8:8">
      <c r="H8040" s="142"/>
    </row>
    <row r="8041" spans="8:8">
      <c r="H8041" s="142"/>
    </row>
    <row r="8042" spans="8:8">
      <c r="H8042" s="142"/>
    </row>
    <row r="8043" spans="8:8">
      <c r="H8043" s="142"/>
    </row>
    <row r="8044" spans="8:8">
      <c r="H8044" s="142"/>
    </row>
    <row r="8045" spans="8:8">
      <c r="H8045" s="142"/>
    </row>
    <row r="8046" spans="8:8">
      <c r="H8046" s="142"/>
    </row>
    <row r="8047" spans="8:8">
      <c r="H8047" s="142"/>
    </row>
    <row r="8048" spans="8:8">
      <c r="H8048" s="142"/>
    </row>
    <row r="8049" spans="8:8">
      <c r="H8049" s="142"/>
    </row>
    <row r="8050" spans="8:8">
      <c r="H8050" s="142"/>
    </row>
    <row r="8051" spans="8:8">
      <c r="H8051" s="142"/>
    </row>
    <row r="8052" spans="8:8">
      <c r="H8052" s="142"/>
    </row>
    <row r="8053" spans="8:8">
      <c r="H8053" s="142"/>
    </row>
    <row r="8054" spans="8:8">
      <c r="H8054" s="142"/>
    </row>
    <row r="8055" spans="8:8">
      <c r="H8055" s="142"/>
    </row>
    <row r="8056" spans="8:8">
      <c r="H8056" s="142"/>
    </row>
    <row r="8057" spans="8:8">
      <c r="H8057" s="142"/>
    </row>
    <row r="8058" spans="8:8">
      <c r="H8058" s="142"/>
    </row>
    <row r="8059" spans="8:8">
      <c r="H8059" s="142"/>
    </row>
    <row r="8060" spans="8:8">
      <c r="H8060" s="142"/>
    </row>
    <row r="8061" spans="8:8">
      <c r="H8061" s="142"/>
    </row>
    <row r="8062" spans="8:8">
      <c r="H8062" s="142"/>
    </row>
    <row r="8063" spans="8:8">
      <c r="H8063" s="142"/>
    </row>
    <row r="8064" spans="8:8">
      <c r="H8064" s="142"/>
    </row>
    <row r="8065" spans="8:8">
      <c r="H8065" s="142"/>
    </row>
    <row r="8066" spans="8:8">
      <c r="H8066" s="142"/>
    </row>
    <row r="8067" spans="8:8">
      <c r="H8067" s="142"/>
    </row>
    <row r="8068" spans="8:8">
      <c r="H8068" s="142"/>
    </row>
    <row r="8069" spans="8:8">
      <c r="H8069" s="142"/>
    </row>
    <row r="8070" spans="8:8">
      <c r="H8070" s="142"/>
    </row>
    <row r="8071" spans="8:8">
      <c r="H8071" s="142"/>
    </row>
    <row r="8072" spans="8:8">
      <c r="H8072" s="142"/>
    </row>
    <row r="8073" spans="8:8">
      <c r="H8073" s="142"/>
    </row>
    <row r="8074" spans="8:8">
      <c r="H8074" s="142"/>
    </row>
    <row r="8075" spans="8:8">
      <c r="H8075" s="142"/>
    </row>
    <row r="8076" spans="8:8">
      <c r="H8076" s="142"/>
    </row>
    <row r="8077" spans="8:8">
      <c r="H8077" s="142"/>
    </row>
    <row r="8078" spans="8:8">
      <c r="H8078" s="142"/>
    </row>
    <row r="8079" spans="8:8">
      <c r="H8079" s="142"/>
    </row>
    <row r="8080" spans="8:8">
      <c r="H8080" s="142"/>
    </row>
    <row r="8081" spans="8:8">
      <c r="H8081" s="142"/>
    </row>
    <row r="8082" spans="8:8">
      <c r="H8082" s="142"/>
    </row>
    <row r="8083" spans="8:8">
      <c r="H8083" s="142"/>
    </row>
    <row r="8084" spans="8:8">
      <c r="H8084" s="142"/>
    </row>
    <row r="8085" spans="8:8">
      <c r="H8085" s="142"/>
    </row>
    <row r="8086" spans="8:8">
      <c r="H8086" s="142"/>
    </row>
    <row r="8087" spans="8:8">
      <c r="H8087" s="142"/>
    </row>
    <row r="8088" spans="8:8">
      <c r="H8088" s="142"/>
    </row>
    <row r="8089" spans="8:8">
      <c r="H8089" s="142"/>
    </row>
    <row r="8090" spans="8:8">
      <c r="H8090" s="142"/>
    </row>
    <row r="8091" spans="8:8">
      <c r="H8091" s="142"/>
    </row>
    <row r="8092" spans="8:8">
      <c r="H8092" s="142"/>
    </row>
    <row r="8093" spans="8:8">
      <c r="H8093" s="142"/>
    </row>
    <row r="8094" spans="8:8">
      <c r="H8094" s="142"/>
    </row>
    <row r="8095" spans="8:8">
      <c r="H8095" s="142"/>
    </row>
    <row r="8096" spans="8:8">
      <c r="H8096" s="142"/>
    </row>
    <row r="8097" spans="8:8">
      <c r="H8097" s="142"/>
    </row>
    <row r="8098" spans="8:8">
      <c r="H8098" s="142"/>
    </row>
    <row r="8099" spans="8:8">
      <c r="H8099" s="142"/>
    </row>
    <row r="8100" spans="8:8">
      <c r="H8100" s="142"/>
    </row>
    <row r="8101" spans="8:8">
      <c r="H8101" s="142"/>
    </row>
    <row r="8102" spans="8:8">
      <c r="H8102" s="142"/>
    </row>
    <row r="8103" spans="8:8">
      <c r="H8103" s="142"/>
    </row>
    <row r="8104" spans="8:8">
      <c r="H8104" s="142"/>
    </row>
    <row r="8105" spans="8:8">
      <c r="H8105" s="142"/>
    </row>
    <row r="8106" spans="8:8">
      <c r="H8106" s="142"/>
    </row>
    <row r="8107" spans="8:8">
      <c r="H8107" s="142"/>
    </row>
    <row r="8108" spans="8:8">
      <c r="H8108" s="142"/>
    </row>
    <row r="8109" spans="8:8">
      <c r="H8109" s="142"/>
    </row>
    <row r="8110" spans="8:8">
      <c r="H8110" s="142"/>
    </row>
    <row r="8111" spans="8:8">
      <c r="H8111" s="142"/>
    </row>
    <row r="8112" spans="8:8">
      <c r="H8112" s="142"/>
    </row>
    <row r="8113" spans="8:8">
      <c r="H8113" s="142"/>
    </row>
    <row r="8114" spans="8:8">
      <c r="H8114" s="142"/>
    </row>
    <row r="8115" spans="8:8">
      <c r="H8115" s="142"/>
    </row>
    <row r="8116" spans="8:8">
      <c r="H8116" s="142"/>
    </row>
    <row r="8117" spans="8:8">
      <c r="H8117" s="142"/>
    </row>
    <row r="8118" spans="8:8">
      <c r="H8118" s="142"/>
    </row>
    <row r="8119" spans="8:8">
      <c r="H8119" s="142"/>
    </row>
    <row r="8120" spans="8:8">
      <c r="H8120" s="142"/>
    </row>
    <row r="8121" spans="8:8">
      <c r="H8121" s="142"/>
    </row>
    <row r="8122" spans="8:8">
      <c r="H8122" s="142"/>
    </row>
    <row r="8123" spans="8:8">
      <c r="H8123" s="142"/>
    </row>
    <row r="8124" spans="8:8">
      <c r="H8124" s="142"/>
    </row>
    <row r="8125" spans="8:8">
      <c r="H8125" s="142"/>
    </row>
    <row r="8126" spans="8:8">
      <c r="H8126" s="142"/>
    </row>
    <row r="8127" spans="8:8">
      <c r="H8127" s="142"/>
    </row>
    <row r="8128" spans="8:8">
      <c r="H8128" s="142"/>
    </row>
    <row r="8129" spans="8:8">
      <c r="H8129" s="142"/>
    </row>
    <row r="8130" spans="8:8">
      <c r="H8130" s="142"/>
    </row>
    <row r="8131" spans="8:8">
      <c r="H8131" s="142"/>
    </row>
    <row r="8132" spans="8:8">
      <c r="H8132" s="142"/>
    </row>
    <row r="8133" spans="8:8">
      <c r="H8133" s="142"/>
    </row>
    <row r="8134" spans="8:8">
      <c r="H8134" s="142"/>
    </row>
    <row r="8135" spans="8:8">
      <c r="H8135" s="142"/>
    </row>
    <row r="8136" spans="8:8">
      <c r="H8136" s="142"/>
    </row>
    <row r="8137" spans="8:8">
      <c r="H8137" s="142"/>
    </row>
    <row r="8138" spans="8:8">
      <c r="H8138" s="142"/>
    </row>
    <row r="8139" spans="8:8">
      <c r="H8139" s="142"/>
    </row>
    <row r="8140" spans="8:8">
      <c r="H8140" s="142"/>
    </row>
    <row r="8141" spans="8:8">
      <c r="H8141" s="142"/>
    </row>
    <row r="8142" spans="8:8">
      <c r="H8142" s="142"/>
    </row>
    <row r="8143" spans="8:8">
      <c r="H8143" s="142"/>
    </row>
    <row r="8144" spans="8:8">
      <c r="H8144" s="142"/>
    </row>
    <row r="8145" spans="8:8">
      <c r="H8145" s="142"/>
    </row>
    <row r="8146" spans="8:8">
      <c r="H8146" s="142"/>
    </row>
    <row r="8147" spans="8:8">
      <c r="H8147" s="142"/>
    </row>
    <row r="8148" spans="8:8">
      <c r="H8148" s="142"/>
    </row>
    <row r="8149" spans="8:8">
      <c r="H8149" s="142"/>
    </row>
    <row r="8150" spans="8:8">
      <c r="H8150" s="142"/>
    </row>
    <row r="8151" spans="8:8">
      <c r="H8151" s="142"/>
    </row>
    <row r="8152" spans="8:8">
      <c r="H8152" s="142"/>
    </row>
    <row r="8153" spans="8:8">
      <c r="H8153" s="142"/>
    </row>
    <row r="8154" spans="8:8">
      <c r="H8154" s="142"/>
    </row>
    <row r="8155" spans="8:8">
      <c r="H8155" s="142"/>
    </row>
    <row r="8156" spans="8:8">
      <c r="H8156" s="142"/>
    </row>
    <row r="8157" spans="8:8">
      <c r="H8157" s="142"/>
    </row>
    <row r="8158" spans="8:8">
      <c r="H8158" s="142"/>
    </row>
    <row r="8159" spans="8:8">
      <c r="H8159" s="142"/>
    </row>
    <row r="8160" spans="8:8">
      <c r="H8160" s="142"/>
    </row>
    <row r="8161" spans="8:8">
      <c r="H8161" s="142"/>
    </row>
    <row r="8162" spans="8:8">
      <c r="H8162" s="142"/>
    </row>
    <row r="8163" spans="8:8">
      <c r="H8163" s="142"/>
    </row>
    <row r="8164" spans="8:8">
      <c r="H8164" s="142"/>
    </row>
    <row r="8165" spans="8:8">
      <c r="H8165" s="142"/>
    </row>
    <row r="8166" spans="8:8">
      <c r="H8166" s="142"/>
    </row>
    <row r="8167" spans="8:8">
      <c r="H8167" s="142"/>
    </row>
    <row r="8168" spans="8:8">
      <c r="H8168" s="142"/>
    </row>
    <row r="8169" spans="8:8">
      <c r="H8169" s="142"/>
    </row>
    <row r="8170" spans="8:8">
      <c r="H8170" s="142"/>
    </row>
    <row r="8171" spans="8:8">
      <c r="H8171" s="142"/>
    </row>
    <row r="8172" spans="8:8">
      <c r="H8172" s="142"/>
    </row>
    <row r="8173" spans="8:8">
      <c r="H8173" s="142"/>
    </row>
    <row r="8174" spans="8:8">
      <c r="H8174" s="142"/>
    </row>
    <row r="8175" spans="8:8">
      <c r="H8175" s="142"/>
    </row>
    <row r="8176" spans="8:8">
      <c r="H8176" s="142"/>
    </row>
    <row r="8177" spans="8:8">
      <c r="H8177" s="142"/>
    </row>
    <row r="8178" spans="8:8">
      <c r="H8178" s="142"/>
    </row>
    <row r="8179" spans="8:8">
      <c r="H8179" s="142"/>
    </row>
    <row r="8180" spans="8:8">
      <c r="H8180" s="142"/>
    </row>
    <row r="8181" spans="8:8">
      <c r="H8181" s="142"/>
    </row>
    <row r="8182" spans="8:8">
      <c r="H8182" s="142"/>
    </row>
    <row r="8183" spans="8:8">
      <c r="H8183" s="142"/>
    </row>
    <row r="8184" spans="8:8">
      <c r="H8184" s="142"/>
    </row>
    <row r="8185" spans="8:8">
      <c r="H8185" s="142"/>
    </row>
    <row r="8186" spans="8:8">
      <c r="H8186" s="142"/>
    </row>
    <row r="8187" spans="8:8">
      <c r="H8187" s="142"/>
    </row>
    <row r="8188" spans="8:8">
      <c r="H8188" s="142"/>
    </row>
    <row r="8189" spans="8:8">
      <c r="H8189" s="142"/>
    </row>
    <row r="8190" spans="8:8">
      <c r="H8190" s="142"/>
    </row>
    <row r="8191" spans="8:8">
      <c r="H8191" s="142"/>
    </row>
    <row r="8192" spans="8:8">
      <c r="H8192" s="142"/>
    </row>
    <row r="8193" spans="8:8">
      <c r="H8193" s="142"/>
    </row>
    <row r="8194" spans="8:8">
      <c r="H8194" s="142"/>
    </row>
    <row r="8195" spans="8:8">
      <c r="H8195" s="142"/>
    </row>
    <row r="8196" spans="8:8">
      <c r="H8196" s="142"/>
    </row>
    <row r="8197" spans="8:8">
      <c r="H8197" s="142"/>
    </row>
    <row r="8198" spans="8:8">
      <c r="H8198" s="142"/>
    </row>
    <row r="8199" spans="8:8">
      <c r="H8199" s="142"/>
    </row>
    <row r="8200" spans="8:8">
      <c r="H8200" s="142"/>
    </row>
    <row r="8201" spans="8:8">
      <c r="H8201" s="142"/>
    </row>
    <row r="8202" spans="8:8">
      <c r="H8202" s="142"/>
    </row>
    <row r="8203" spans="8:8">
      <c r="H8203" s="142"/>
    </row>
    <row r="8204" spans="8:8">
      <c r="H8204" s="142"/>
    </row>
    <row r="8205" spans="8:8">
      <c r="H8205" s="142"/>
    </row>
    <row r="8206" spans="8:8">
      <c r="H8206" s="142"/>
    </row>
    <row r="8207" spans="8:8">
      <c r="H8207" s="142"/>
    </row>
    <row r="8208" spans="8:8">
      <c r="H8208" s="142"/>
    </row>
    <row r="8209" spans="8:8">
      <c r="H8209" s="142"/>
    </row>
    <row r="8210" spans="8:8">
      <c r="H8210" s="142"/>
    </row>
    <row r="8211" spans="8:8">
      <c r="H8211" s="142"/>
    </row>
    <row r="8212" spans="8:8">
      <c r="H8212" s="142"/>
    </row>
    <row r="8213" spans="8:8">
      <c r="H8213" s="142"/>
    </row>
    <row r="8214" spans="8:8">
      <c r="H8214" s="142"/>
    </row>
    <row r="8215" spans="8:8">
      <c r="H8215" s="142"/>
    </row>
    <row r="8216" spans="8:8">
      <c r="H8216" s="142"/>
    </row>
    <row r="8217" spans="8:8">
      <c r="H8217" s="142"/>
    </row>
    <row r="8218" spans="8:8">
      <c r="H8218" s="142"/>
    </row>
    <row r="8219" spans="8:8">
      <c r="H8219" s="142"/>
    </row>
    <row r="8220" spans="8:8">
      <c r="H8220" s="142"/>
    </row>
    <row r="8221" spans="8:8">
      <c r="H8221" s="142"/>
    </row>
    <row r="8222" spans="8:8">
      <c r="H8222" s="142"/>
    </row>
    <row r="8223" spans="8:8">
      <c r="H8223" s="142"/>
    </row>
    <row r="8224" spans="8:8">
      <c r="H8224" s="142"/>
    </row>
    <row r="8225" spans="8:8">
      <c r="H8225" s="142"/>
    </row>
    <row r="8226" spans="8:8">
      <c r="H8226" s="142"/>
    </row>
    <row r="8227" spans="8:8">
      <c r="H8227" s="142"/>
    </row>
    <row r="8228" spans="8:8">
      <c r="H8228" s="142"/>
    </row>
    <row r="8229" spans="8:8">
      <c r="H8229" s="142"/>
    </row>
    <row r="8230" spans="8:8">
      <c r="H8230" s="142"/>
    </row>
    <row r="8231" spans="8:8">
      <c r="H8231" s="142"/>
    </row>
    <row r="8232" spans="8:8">
      <c r="H8232" s="142"/>
    </row>
    <row r="8233" spans="8:8">
      <c r="H8233" s="142"/>
    </row>
    <row r="8234" spans="8:8">
      <c r="H8234" s="142"/>
    </row>
    <row r="8235" spans="8:8">
      <c r="H8235" s="142"/>
    </row>
    <row r="8236" spans="8:8">
      <c r="H8236" s="142"/>
    </row>
    <row r="8237" spans="8:8">
      <c r="H8237" s="142"/>
    </row>
    <row r="8238" spans="8:8">
      <c r="H8238" s="142"/>
    </row>
    <row r="8239" spans="8:8">
      <c r="H8239" s="142"/>
    </row>
    <row r="8240" spans="8:8">
      <c r="H8240" s="142"/>
    </row>
    <row r="8241" spans="8:8">
      <c r="H8241" s="142"/>
    </row>
    <row r="8242" spans="8:8">
      <c r="H8242" s="142"/>
    </row>
    <row r="8243" spans="8:8">
      <c r="H8243" s="142"/>
    </row>
    <row r="8244" spans="8:8">
      <c r="H8244" s="142"/>
    </row>
    <row r="8245" spans="8:8">
      <c r="H8245" s="142"/>
    </row>
    <row r="8246" spans="8:8">
      <c r="H8246" s="142"/>
    </row>
    <row r="8247" spans="8:8">
      <c r="H8247" s="142"/>
    </row>
    <row r="8248" spans="8:8">
      <c r="H8248" s="142"/>
    </row>
    <row r="8249" spans="8:8">
      <c r="H8249" s="142"/>
    </row>
    <row r="8250" spans="8:8">
      <c r="H8250" s="142"/>
    </row>
    <row r="8251" spans="8:8">
      <c r="H8251" s="142"/>
    </row>
    <row r="8252" spans="8:8">
      <c r="H8252" s="142"/>
    </row>
    <row r="8253" spans="8:8">
      <c r="H8253" s="142"/>
    </row>
    <row r="8254" spans="8:8">
      <c r="H8254" s="142"/>
    </row>
    <row r="8255" spans="8:8">
      <c r="H8255" s="142"/>
    </row>
    <row r="8256" spans="8:8">
      <c r="H8256" s="142"/>
    </row>
    <row r="8257" spans="8:8">
      <c r="H8257" s="142"/>
    </row>
    <row r="8258" spans="8:8">
      <c r="H8258" s="142"/>
    </row>
    <row r="8259" spans="8:8">
      <c r="H8259" s="142"/>
    </row>
    <row r="8260" spans="8:8">
      <c r="H8260" s="142"/>
    </row>
    <row r="8261" spans="8:8">
      <c r="H8261" s="142"/>
    </row>
    <row r="8262" spans="8:8">
      <c r="H8262" s="142"/>
    </row>
    <row r="8263" spans="8:8">
      <c r="H8263" s="142"/>
    </row>
    <row r="8264" spans="8:8">
      <c r="H8264" s="142"/>
    </row>
    <row r="8265" spans="8:8">
      <c r="H8265" s="142"/>
    </row>
    <row r="8266" spans="8:8">
      <c r="H8266" s="142"/>
    </row>
    <row r="8267" spans="8:8">
      <c r="H8267" s="142"/>
    </row>
    <row r="8268" spans="8:8">
      <c r="H8268" s="142"/>
    </row>
    <row r="8269" spans="8:8">
      <c r="H8269" s="142"/>
    </row>
    <row r="8270" spans="8:8">
      <c r="H8270" s="142"/>
    </row>
    <row r="8271" spans="8:8">
      <c r="H8271" s="142"/>
    </row>
    <row r="8272" spans="8:8">
      <c r="H8272" s="142"/>
    </row>
    <row r="8273" spans="8:8">
      <c r="H8273" s="142"/>
    </row>
    <row r="8274" spans="8:8">
      <c r="H8274" s="142"/>
    </row>
    <row r="8275" spans="8:8">
      <c r="H8275" s="142"/>
    </row>
    <row r="8276" spans="8:8">
      <c r="H8276" s="142"/>
    </row>
    <row r="8277" spans="8:8">
      <c r="H8277" s="142"/>
    </row>
    <row r="8278" spans="8:8">
      <c r="H8278" s="142"/>
    </row>
    <row r="8279" spans="8:8">
      <c r="H8279" s="142"/>
    </row>
    <row r="8280" spans="8:8">
      <c r="H8280" s="142"/>
    </row>
    <row r="8281" spans="8:8">
      <c r="H8281" s="142"/>
    </row>
    <row r="8282" spans="8:8">
      <c r="H8282" s="142"/>
    </row>
    <row r="8283" spans="8:8">
      <c r="H8283" s="142"/>
    </row>
    <row r="8284" spans="8:8">
      <c r="H8284" s="142"/>
    </row>
    <row r="8285" spans="8:8">
      <c r="H8285" s="142"/>
    </row>
    <row r="8286" spans="8:8">
      <c r="H8286" s="142"/>
    </row>
    <row r="8287" spans="8:8">
      <c r="H8287" s="142"/>
    </row>
    <row r="8288" spans="8:8">
      <c r="H8288" s="142"/>
    </row>
    <row r="8289" spans="8:8">
      <c r="H8289" s="142"/>
    </row>
    <row r="8290" spans="8:8">
      <c r="H8290" s="142"/>
    </row>
    <row r="8291" spans="8:8">
      <c r="H8291" s="142"/>
    </row>
    <row r="8292" spans="8:8">
      <c r="H8292" s="142"/>
    </row>
    <row r="8293" spans="8:8">
      <c r="H8293" s="142"/>
    </row>
    <row r="8294" spans="8:8">
      <c r="H8294" s="142"/>
    </row>
    <row r="8295" spans="8:8">
      <c r="H8295" s="142"/>
    </row>
    <row r="8296" spans="8:8">
      <c r="H8296" s="142"/>
    </row>
    <row r="8297" spans="8:8">
      <c r="H8297" s="142"/>
    </row>
    <row r="8298" spans="8:8">
      <c r="H8298" s="142"/>
    </row>
    <row r="8299" spans="8:8">
      <c r="H8299" s="142"/>
    </row>
    <row r="8300" spans="8:8">
      <c r="H8300" s="142"/>
    </row>
    <row r="8301" spans="8:8">
      <c r="H8301" s="142"/>
    </row>
    <row r="8302" spans="8:8">
      <c r="H8302" s="142"/>
    </row>
    <row r="8303" spans="8:8">
      <c r="H8303" s="142"/>
    </row>
    <row r="8304" spans="8:8">
      <c r="H8304" s="142"/>
    </row>
    <row r="8305" spans="8:8">
      <c r="H8305" s="142"/>
    </row>
  </sheetData>
  <mergeCells count="14">
    <mergeCell ref="P3667:Q3667"/>
    <mergeCell ref="P3645:Q3645"/>
    <mergeCell ref="E2341:K2341"/>
    <mergeCell ref="F2370:G2370"/>
    <mergeCell ref="F2374:G2374"/>
    <mergeCell ref="I2374:J2374"/>
    <mergeCell ref="M3611:R3611"/>
    <mergeCell ref="P3619:Q3619"/>
    <mergeCell ref="M3610:R3610"/>
    <mergeCell ref="O3111:P3111"/>
    <mergeCell ref="H2713:I2713"/>
    <mergeCell ref="I2390:J2390"/>
    <mergeCell ref="M3641:R3641"/>
    <mergeCell ref="M3659:R3659"/>
  </mergeCells>
  <phoneticPr fontId="0" type="noConversion"/>
  <printOptions horizontalCentered="1"/>
  <pageMargins left="0.55118110236220497" right="0.511811023622047" top="0.46" bottom="0.59055118110236204" header="0.31496062992126" footer="0.23622047244094499"/>
  <pageSetup paperSize="9" scale="70" orientation="portrait" r:id="rId1"/>
  <headerFooter alignWithMargins="0">
    <oddHeader>&amp;CElectrical Data 2021-2022
&amp;R&amp;P</oddHeader>
  </headerFooter>
  <rowBreaks count="2" manualBreakCount="2">
    <brk id="2865" min="12" max="18" man="1"/>
    <brk id="3121" min="12" max="18" man="1"/>
  </rowBreaks>
  <drawing r:id="rId2"/>
</worksheet>
</file>

<file path=xl/worksheets/sheet8.xml><?xml version="1.0" encoding="utf-8"?>
<worksheet xmlns="http://schemas.openxmlformats.org/spreadsheetml/2006/main" xmlns:r="http://schemas.openxmlformats.org/officeDocument/2006/relationships">
  <dimension ref="A1:K704"/>
  <sheetViews>
    <sheetView topLeftCell="A22" workbookViewId="0">
      <selection activeCell="D40" sqref="D40"/>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9" bestFit="1" customWidth="1"/>
    <col min="10" max="10" width="8.88671875" customWidth="1"/>
  </cols>
  <sheetData>
    <row r="1" spans="1:6">
      <c r="C1" s="24" t="s">
        <v>1766</v>
      </c>
    </row>
    <row r="2" spans="1:6">
      <c r="C2" s="27" t="s">
        <v>3970</v>
      </c>
    </row>
    <row r="5" spans="1:6">
      <c r="A5" s="47">
        <v>2.2800000000000001E-2</v>
      </c>
      <c r="B5" s="37" t="s">
        <v>878</v>
      </c>
      <c r="C5" s="38" t="s">
        <v>3181</v>
      </c>
      <c r="D5" s="38">
        <f>[3]Data!I2634</f>
        <v>121800</v>
      </c>
      <c r="E5" s="44" t="s">
        <v>878</v>
      </c>
      <c r="F5" s="38">
        <f>D5*A5</f>
        <v>2777.04</v>
      </c>
    </row>
    <row r="6" spans="1:6">
      <c r="A6" s="47">
        <v>3.5400000000000001E-2</v>
      </c>
      <c r="B6" s="37" t="s">
        <v>878</v>
      </c>
      <c r="C6" s="38" t="s">
        <v>2522</v>
      </c>
      <c r="D6" s="38">
        <f>[3]Data!I2635</f>
        <v>108400</v>
      </c>
      <c r="E6" s="44" t="s">
        <v>878</v>
      </c>
      <c r="F6" s="38">
        <f t="shared" ref="F6:F15" si="0">D6*A6</f>
        <v>3837.36</v>
      </c>
    </row>
    <row r="7" spans="1:6">
      <c r="A7" s="48">
        <v>3.2300000000000002E-2</v>
      </c>
      <c r="B7" s="37" t="s">
        <v>878</v>
      </c>
      <c r="C7" t="s">
        <v>4005</v>
      </c>
      <c r="D7" s="38">
        <f>[3]Data!I2636</f>
        <v>116700</v>
      </c>
      <c r="E7" s="44" t="s">
        <v>878</v>
      </c>
      <c r="F7" s="38">
        <f t="shared" si="0"/>
        <v>3769.41</v>
      </c>
    </row>
    <row r="8" spans="1:6">
      <c r="A8" s="46">
        <v>2.835</v>
      </c>
      <c r="B8" s="37" t="s">
        <v>615</v>
      </c>
      <c r="C8" s="38" t="s">
        <v>892</v>
      </c>
      <c r="D8" s="38">
        <v>843</v>
      </c>
      <c r="E8" s="44" t="s">
        <v>615</v>
      </c>
      <c r="F8" s="38">
        <f t="shared" si="0"/>
        <v>2389.91</v>
      </c>
    </row>
    <row r="9" spans="1:6">
      <c r="A9" s="38">
        <v>2</v>
      </c>
      <c r="B9" s="37" t="s">
        <v>1898</v>
      </c>
      <c r="C9" t="s">
        <v>3785</v>
      </c>
      <c r="D9" s="302">
        <v>450</v>
      </c>
      <c r="E9" s="44" t="s">
        <v>1418</v>
      </c>
      <c r="F9" s="38">
        <f t="shared" si="0"/>
        <v>900</v>
      </c>
    </row>
    <row r="10" spans="1:6">
      <c r="A10" s="38">
        <v>6</v>
      </c>
      <c r="B10" s="37" t="s">
        <v>1898</v>
      </c>
      <c r="C10" t="s">
        <v>3786</v>
      </c>
      <c r="D10" s="302">
        <v>79</v>
      </c>
      <c r="E10" s="44" t="s">
        <v>1418</v>
      </c>
      <c r="F10" s="38">
        <f t="shared" si="0"/>
        <v>474</v>
      </c>
    </row>
    <row r="11" spans="1:6">
      <c r="A11" s="38">
        <v>4</v>
      </c>
      <c r="B11" s="37" t="s">
        <v>1898</v>
      </c>
      <c r="C11" t="s">
        <v>3787</v>
      </c>
      <c r="D11" s="302">
        <v>130</v>
      </c>
      <c r="E11" s="44" t="s">
        <v>1418</v>
      </c>
      <c r="F11" s="38">
        <f t="shared" si="0"/>
        <v>520</v>
      </c>
    </row>
    <row r="12" spans="1:6">
      <c r="A12" s="38">
        <v>1</v>
      </c>
      <c r="B12" s="37" t="s">
        <v>1898</v>
      </c>
      <c r="C12" t="s">
        <v>3788</v>
      </c>
      <c r="D12" s="302">
        <v>985</v>
      </c>
      <c r="E12" s="44" t="s">
        <v>1418</v>
      </c>
      <c r="F12" s="38">
        <f t="shared" si="0"/>
        <v>985</v>
      </c>
    </row>
    <row r="13" spans="1:6">
      <c r="A13" s="38">
        <v>2</v>
      </c>
      <c r="B13" s="37" t="s">
        <v>1898</v>
      </c>
      <c r="C13" t="s">
        <v>3780</v>
      </c>
      <c r="D13" s="302">
        <v>24.6</v>
      </c>
      <c r="E13" s="44" t="s">
        <v>1418</v>
      </c>
      <c r="F13" s="38">
        <f t="shared" si="0"/>
        <v>49.2</v>
      </c>
    </row>
    <row r="14" spans="1:6">
      <c r="A14" s="38">
        <v>2</v>
      </c>
      <c r="B14" s="37" t="s">
        <v>1898</v>
      </c>
      <c r="C14" s="38" t="s">
        <v>2007</v>
      </c>
      <c r="D14" s="38">
        <v>51.3</v>
      </c>
      <c r="E14" s="44" t="s">
        <v>1418</v>
      </c>
      <c r="F14" s="38">
        <f t="shared" si="0"/>
        <v>102.6</v>
      </c>
    </row>
    <row r="15" spans="1:6">
      <c r="A15" s="272">
        <v>118</v>
      </c>
      <c r="B15" s="45"/>
      <c r="C15" s="272" t="s">
        <v>1159</v>
      </c>
      <c r="D15" s="38">
        <v>2.4500000000000002</v>
      </c>
      <c r="E15" s="44"/>
      <c r="F15" s="38">
        <f t="shared" si="0"/>
        <v>289.10000000000002</v>
      </c>
    </row>
    <row r="16" spans="1:6">
      <c r="E16" s="44"/>
      <c r="F16" s="25">
        <f>SUM(F5:F15)</f>
        <v>16093.62</v>
      </c>
    </row>
    <row r="17" spans="1:7">
      <c r="A17" s="38"/>
      <c r="B17" s="45"/>
      <c r="C17" s="25"/>
      <c r="D17" s="38"/>
      <c r="E17" s="44"/>
      <c r="F17" s="40" t="s">
        <v>148</v>
      </c>
    </row>
    <row r="18" spans="1:7">
      <c r="A18" s="38"/>
      <c r="B18" s="45"/>
      <c r="C18" s="25" t="s">
        <v>2108</v>
      </c>
      <c r="D18" s="38"/>
      <c r="E18" s="44"/>
      <c r="F18" s="25">
        <f>F16/2.835</f>
        <v>5676.76</v>
      </c>
    </row>
    <row r="19" spans="1:7">
      <c r="A19" s="38"/>
      <c r="B19" s="45"/>
      <c r="E19" s="9"/>
      <c r="F19" s="39" t="s">
        <v>148</v>
      </c>
    </row>
    <row r="20" spans="1:7">
      <c r="B20" s="3"/>
      <c r="E20" s="9"/>
    </row>
    <row r="21" spans="1:7" ht="16.5">
      <c r="A21" s="1856" t="s">
        <v>3971</v>
      </c>
      <c r="B21" s="1856"/>
      <c r="C21" s="1856"/>
      <c r="D21" s="329"/>
      <c r="E21" s="330"/>
      <c r="F21" s="331"/>
      <c r="G21" s="332"/>
    </row>
    <row r="22" spans="1:7" ht="16.5">
      <c r="A22" s="1856"/>
      <c r="B22" s="1856"/>
      <c r="C22" s="1856"/>
      <c r="D22" s="1858"/>
      <c r="E22" s="1858"/>
      <c r="F22" s="1858"/>
      <c r="G22" s="1858"/>
    </row>
    <row r="23" spans="1:7" ht="16.5">
      <c r="A23" s="333">
        <v>11.61</v>
      </c>
      <c r="B23" s="334" t="s">
        <v>922</v>
      </c>
      <c r="C23" s="335" t="s">
        <v>1879</v>
      </c>
      <c r="D23" s="331">
        <f>Data!V1349</f>
        <v>301</v>
      </c>
      <c r="E23" s="334" t="s">
        <v>922</v>
      </c>
      <c r="F23" s="331">
        <f>D23*A23</f>
        <v>3494.61</v>
      </c>
      <c r="G23" s="332"/>
    </row>
    <row r="24" spans="1:7" ht="16.5">
      <c r="A24" s="333">
        <v>7.8</v>
      </c>
      <c r="B24" s="334" t="s">
        <v>835</v>
      </c>
      <c r="C24" s="335" t="s">
        <v>3972</v>
      </c>
      <c r="D24" s="331">
        <f>Data!V1354</f>
        <v>28.8</v>
      </c>
      <c r="E24" s="334" t="s">
        <v>835</v>
      </c>
      <c r="F24" s="331">
        <f t="shared" ref="F24:F29" si="1">D24*A24</f>
        <v>224.64</v>
      </c>
      <c r="G24" s="332"/>
    </row>
    <row r="25" spans="1:7" ht="16.5">
      <c r="A25" s="333">
        <v>1.62</v>
      </c>
      <c r="B25" s="334" t="s">
        <v>236</v>
      </c>
      <c r="C25" s="335" t="s">
        <v>3973</v>
      </c>
      <c r="D25" s="331">
        <v>208.8</v>
      </c>
      <c r="E25" s="334" t="s">
        <v>236</v>
      </c>
      <c r="F25" s="331">
        <f t="shared" si="1"/>
        <v>338.26</v>
      </c>
      <c r="G25" s="332"/>
    </row>
    <row r="26" spans="1:7" ht="16.5">
      <c r="A26" s="333">
        <v>2</v>
      </c>
      <c r="B26" s="334" t="s">
        <v>778</v>
      </c>
      <c r="C26" s="335" t="s">
        <v>3974</v>
      </c>
      <c r="D26" s="331">
        <v>48</v>
      </c>
      <c r="E26" s="334" t="s">
        <v>778</v>
      </c>
      <c r="F26" s="331">
        <f t="shared" si="1"/>
        <v>96</v>
      </c>
      <c r="G26" s="332"/>
    </row>
    <row r="27" spans="1:7" ht="16.5">
      <c r="A27" s="333">
        <v>2</v>
      </c>
      <c r="B27" s="334" t="s">
        <v>778</v>
      </c>
      <c r="C27" s="335" t="s">
        <v>3975</v>
      </c>
      <c r="D27" s="331">
        <v>350</v>
      </c>
      <c r="E27" s="334" t="s">
        <v>778</v>
      </c>
      <c r="F27" s="331">
        <f t="shared" si="1"/>
        <v>700</v>
      </c>
      <c r="G27" s="332"/>
    </row>
    <row r="28" spans="1:7" ht="16.5">
      <c r="A28" s="333">
        <v>4</v>
      </c>
      <c r="B28" s="334" t="s">
        <v>778</v>
      </c>
      <c r="C28" s="335" t="s">
        <v>3976</v>
      </c>
      <c r="D28" s="331">
        <v>15</v>
      </c>
      <c r="E28" s="334" t="s">
        <v>778</v>
      </c>
      <c r="F28" s="331">
        <f t="shared" si="1"/>
        <v>60</v>
      </c>
      <c r="G28" s="332"/>
    </row>
    <row r="29" spans="1:7" ht="16.5">
      <c r="A29" s="333">
        <v>1.62</v>
      </c>
      <c r="B29" s="334" t="s">
        <v>2308</v>
      </c>
      <c r="C29" s="335" t="s">
        <v>3977</v>
      </c>
      <c r="D29" s="331">
        <f>D42</f>
        <v>1724</v>
      </c>
      <c r="E29" s="334" t="s">
        <v>2308</v>
      </c>
      <c r="F29" s="331">
        <f t="shared" si="1"/>
        <v>2792.88</v>
      </c>
      <c r="G29" s="332"/>
    </row>
    <row r="30" spans="1:7" ht="16.5">
      <c r="A30" s="329"/>
      <c r="B30" s="336"/>
      <c r="C30" s="335" t="s">
        <v>2296</v>
      </c>
      <c r="D30" s="329"/>
      <c r="E30" s="330"/>
      <c r="F30" s="331"/>
      <c r="G30" s="332"/>
    </row>
    <row r="31" spans="1:7" ht="16.5">
      <c r="A31" s="329"/>
      <c r="B31" s="329"/>
      <c r="C31" s="337" t="s">
        <v>3892</v>
      </c>
      <c r="D31" s="329"/>
      <c r="E31" s="329"/>
      <c r="F31" s="338">
        <f>SUM(F23:F30)</f>
        <v>7706.39</v>
      </c>
      <c r="G31" s="339" t="s">
        <v>1418</v>
      </c>
    </row>
    <row r="32" spans="1:7" ht="16.5">
      <c r="A32" s="329"/>
      <c r="B32" s="329"/>
      <c r="C32" s="25" t="s">
        <v>3978</v>
      </c>
      <c r="D32" s="329"/>
      <c r="E32" s="329"/>
      <c r="F32" s="25">
        <f>F31/A29</f>
        <v>4757.03</v>
      </c>
      <c r="G32" s="329" t="s">
        <v>2308</v>
      </c>
    </row>
    <row r="33" spans="1:11" ht="16.5">
      <c r="A33" s="339"/>
      <c r="B33" s="339"/>
      <c r="C33" s="340"/>
      <c r="D33" s="339"/>
      <c r="E33" s="339"/>
      <c r="F33" s="339"/>
      <c r="G33" s="329"/>
    </row>
    <row r="34" spans="1:11" ht="16.5">
      <c r="A34" s="329"/>
      <c r="B34" s="336"/>
      <c r="C34" s="328" t="s">
        <v>3979</v>
      </c>
      <c r="D34" s="328"/>
      <c r="E34" s="328"/>
      <c r="F34" s="328"/>
      <c r="G34" s="329"/>
    </row>
    <row r="35" spans="1:11" ht="16.5">
      <c r="A35" s="333"/>
      <c r="B35" s="334"/>
      <c r="C35" s="341" t="s">
        <v>3980</v>
      </c>
      <c r="D35" s="331"/>
      <c r="E35" s="334"/>
      <c r="F35" s="331"/>
      <c r="G35" s="329"/>
    </row>
    <row r="36" spans="1:11" ht="16.5">
      <c r="A36" s="333">
        <v>12.08</v>
      </c>
      <c r="B36" s="334" t="s">
        <v>922</v>
      </c>
      <c r="C36" s="335" t="s">
        <v>1879</v>
      </c>
      <c r="D36" s="331">
        <f>D23</f>
        <v>301</v>
      </c>
      <c r="E36" s="334" t="s">
        <v>922</v>
      </c>
      <c r="F36" s="331">
        <f>D36*A36</f>
        <v>3636.08</v>
      </c>
      <c r="G36" s="329"/>
      <c r="I36">
        <f>Data!I4003</f>
        <v>301</v>
      </c>
      <c r="J36" s="35">
        <f>Data!F4003</f>
        <v>12.08</v>
      </c>
      <c r="K36">
        <f>Data!K4003</f>
        <v>3636.08</v>
      </c>
    </row>
    <row r="37" spans="1:11" ht="16.5">
      <c r="A37" s="333">
        <v>8.1</v>
      </c>
      <c r="B37" s="334" t="s">
        <v>236</v>
      </c>
      <c r="C37" s="335" t="s">
        <v>3972</v>
      </c>
      <c r="D37" s="331">
        <v>27.1</v>
      </c>
      <c r="E37" s="334" t="s">
        <v>236</v>
      </c>
      <c r="F37" s="331">
        <f t="shared" ref="F37:F42" si="2">D37*A37</f>
        <v>219.51</v>
      </c>
      <c r="G37" s="329"/>
      <c r="I37">
        <f>Data!I4004</f>
        <v>303.89999999999998</v>
      </c>
      <c r="J37" s="35">
        <f>Data!F4004</f>
        <v>1.823</v>
      </c>
    </row>
    <row r="38" spans="1:11" ht="16.5">
      <c r="A38" s="333">
        <v>1.823</v>
      </c>
      <c r="B38" s="334" t="s">
        <v>835</v>
      </c>
      <c r="C38" s="335" t="s">
        <v>3973</v>
      </c>
      <c r="D38" s="331">
        <f>D25</f>
        <v>208.8</v>
      </c>
      <c r="E38" s="334" t="s">
        <v>835</v>
      </c>
      <c r="F38" s="331">
        <f t="shared" si="2"/>
        <v>380.64</v>
      </c>
      <c r="G38" s="329"/>
      <c r="I38">
        <f>Data!I4005</f>
        <v>28.8</v>
      </c>
      <c r="J38" s="35">
        <f>Data!F4005</f>
        <v>8.1</v>
      </c>
    </row>
    <row r="39" spans="1:11" ht="16.5">
      <c r="A39" s="333">
        <v>2</v>
      </c>
      <c r="B39" s="334" t="s">
        <v>3981</v>
      </c>
      <c r="C39" s="335" t="s">
        <v>3974</v>
      </c>
      <c r="D39" s="331">
        <f>D26</f>
        <v>48</v>
      </c>
      <c r="E39" s="334" t="s">
        <v>778</v>
      </c>
      <c r="F39" s="331">
        <f t="shared" si="2"/>
        <v>96</v>
      </c>
      <c r="G39" s="329"/>
      <c r="I39">
        <f>Data!I4006</f>
        <v>350</v>
      </c>
      <c r="J39" s="35">
        <f>Data!F4006</f>
        <v>2</v>
      </c>
    </row>
    <row r="40" spans="1:11" ht="16.5">
      <c r="A40" s="333">
        <v>2</v>
      </c>
      <c r="B40" s="334" t="s">
        <v>778</v>
      </c>
      <c r="C40" s="335" t="s">
        <v>3975</v>
      </c>
      <c r="D40" s="331">
        <f>D27</f>
        <v>350</v>
      </c>
      <c r="E40" s="334" t="s">
        <v>778</v>
      </c>
      <c r="F40" s="331">
        <f t="shared" si="2"/>
        <v>700</v>
      </c>
      <c r="G40" s="329"/>
      <c r="I40">
        <f>Data!I4007</f>
        <v>53.4</v>
      </c>
      <c r="J40" s="35">
        <f>Data!F4007</f>
        <v>2</v>
      </c>
    </row>
    <row r="41" spans="1:11" ht="16.5">
      <c r="A41" s="333">
        <v>4</v>
      </c>
      <c r="B41" s="334" t="s">
        <v>778</v>
      </c>
      <c r="C41" s="335" t="s">
        <v>3976</v>
      </c>
      <c r="D41" s="331">
        <f>D28</f>
        <v>15</v>
      </c>
      <c r="E41" s="334" t="s">
        <v>778</v>
      </c>
      <c r="F41" s="331">
        <f t="shared" si="2"/>
        <v>60</v>
      </c>
      <c r="G41" s="329"/>
      <c r="I41">
        <f>Data!I4008</f>
        <v>15</v>
      </c>
      <c r="J41" s="35">
        <f>Data!F4008</f>
        <v>4</v>
      </c>
    </row>
    <row r="42" spans="1:11" ht="16.5">
      <c r="A42" s="333">
        <v>1.823</v>
      </c>
      <c r="B42" s="334" t="s">
        <v>2308</v>
      </c>
      <c r="C42" s="335" t="s">
        <v>3977</v>
      </c>
      <c r="D42" s="329">
        <f>F52</f>
        <v>1724</v>
      </c>
      <c r="E42" s="334" t="s">
        <v>2308</v>
      </c>
      <c r="F42" s="331">
        <f t="shared" si="2"/>
        <v>3142.85</v>
      </c>
      <c r="G42" s="329"/>
      <c r="I42">
        <f>Data!I4009</f>
        <v>1724</v>
      </c>
      <c r="J42" s="35">
        <f>Data!F4009</f>
        <v>1.823</v>
      </c>
    </row>
    <row r="43" spans="1:11" ht="16.5">
      <c r="A43" s="333"/>
      <c r="B43" s="334"/>
      <c r="C43" s="335" t="s">
        <v>2296</v>
      </c>
      <c r="D43" s="329"/>
      <c r="E43" s="330"/>
      <c r="F43" s="331"/>
      <c r="G43" s="329"/>
    </row>
    <row r="44" spans="1:11" ht="16.5">
      <c r="A44" s="329"/>
      <c r="B44" s="336"/>
      <c r="C44" s="335"/>
      <c r="D44" s="329"/>
      <c r="E44" s="330"/>
      <c r="F44" s="331"/>
      <c r="G44" s="329"/>
    </row>
    <row r="45" spans="1:11" ht="16.5">
      <c r="A45" s="329"/>
      <c r="B45" s="329"/>
      <c r="C45" s="342" t="s">
        <v>3892</v>
      </c>
      <c r="D45" s="329"/>
      <c r="E45" s="329"/>
      <c r="F45" s="338">
        <f>SUM(F36:F44)</f>
        <v>8235.08</v>
      </c>
      <c r="G45" s="339" t="s">
        <v>1418</v>
      </c>
    </row>
    <row r="46" spans="1:11" ht="16.5">
      <c r="A46" s="329"/>
      <c r="B46" s="329"/>
      <c r="C46" s="25" t="s">
        <v>3982</v>
      </c>
      <c r="D46" s="329"/>
      <c r="E46" s="329"/>
      <c r="F46" s="25">
        <f>F45/A42</f>
        <v>4517.32</v>
      </c>
      <c r="G46" s="329" t="s">
        <v>2308</v>
      </c>
    </row>
    <row r="47" spans="1:11" ht="16.5">
      <c r="A47" s="329"/>
      <c r="B47" s="329"/>
      <c r="C47" s="342"/>
      <c r="D47" s="329"/>
      <c r="E47" s="329"/>
      <c r="F47" s="329"/>
      <c r="G47" s="329"/>
    </row>
    <row r="48" spans="1:11" ht="16.5">
      <c r="A48" s="331">
        <v>1</v>
      </c>
      <c r="B48" s="334" t="s">
        <v>877</v>
      </c>
      <c r="C48" s="335" t="s">
        <v>3983</v>
      </c>
      <c r="D48" s="331">
        <f>Data!AE15</f>
        <v>760</v>
      </c>
      <c r="E48" s="335" t="s">
        <v>877</v>
      </c>
      <c r="F48" s="331">
        <f>D48*A48</f>
        <v>760</v>
      </c>
      <c r="G48" s="329"/>
    </row>
    <row r="49" spans="1:7" ht="16.5">
      <c r="A49" s="331">
        <v>1</v>
      </c>
      <c r="B49" s="334" t="s">
        <v>877</v>
      </c>
      <c r="C49" s="335" t="s">
        <v>3984</v>
      </c>
      <c r="D49" s="331">
        <f>Data!AE9</f>
        <v>562</v>
      </c>
      <c r="E49" s="335" t="s">
        <v>877</v>
      </c>
      <c r="F49" s="331">
        <f>D49*A49</f>
        <v>562</v>
      </c>
      <c r="G49" s="329"/>
    </row>
    <row r="50" spans="1:7" ht="16.5">
      <c r="A50" s="331">
        <v>0.5</v>
      </c>
      <c r="B50" s="334" t="s">
        <v>877</v>
      </c>
      <c r="C50" s="335" t="s">
        <v>3985</v>
      </c>
      <c r="D50" s="331">
        <f>Data!AE18</f>
        <v>804</v>
      </c>
      <c r="E50" s="335" t="s">
        <v>877</v>
      </c>
      <c r="F50" s="331">
        <f>D50*A50</f>
        <v>402</v>
      </c>
      <c r="G50" s="329"/>
    </row>
    <row r="51" spans="1:7" ht="16.5">
      <c r="A51" s="329"/>
      <c r="B51" s="336"/>
      <c r="C51" s="329"/>
      <c r="D51" s="329"/>
      <c r="E51" s="343"/>
      <c r="F51" s="344" t="s">
        <v>1609</v>
      </c>
      <c r="G51" s="329"/>
    </row>
    <row r="52" spans="1:7" ht="16.5">
      <c r="A52" s="329"/>
      <c r="B52" s="336"/>
      <c r="C52" s="335" t="s">
        <v>3986</v>
      </c>
      <c r="D52" s="329"/>
      <c r="E52" s="343"/>
      <c r="F52" s="338">
        <f>SUM(F48:F51)</f>
        <v>1724</v>
      </c>
      <c r="G52" s="329"/>
    </row>
    <row r="53" spans="1:7" ht="16.5">
      <c r="A53" s="329"/>
      <c r="B53" s="336"/>
      <c r="C53" s="329"/>
      <c r="D53" s="329"/>
      <c r="E53" s="343"/>
      <c r="F53" s="344" t="s">
        <v>1609</v>
      </c>
      <c r="G53" s="329"/>
    </row>
    <row r="54" spans="1:7" ht="16.5">
      <c r="A54" s="339"/>
      <c r="B54" s="339"/>
      <c r="C54" s="340"/>
      <c r="D54" s="339"/>
      <c r="E54" s="339"/>
      <c r="F54" s="339"/>
      <c r="G54" s="329"/>
    </row>
    <row r="55" spans="1:7" ht="16.5">
      <c r="A55" s="329"/>
      <c r="B55" s="1856" t="s">
        <v>3987</v>
      </c>
      <c r="C55" s="1856"/>
      <c r="D55" s="1856"/>
      <c r="E55" s="1856"/>
      <c r="F55" s="1856"/>
      <c r="G55" s="329"/>
    </row>
    <row r="56" spans="1:7" ht="16.5">
      <c r="A56" s="333"/>
      <c r="B56" s="334"/>
      <c r="C56" s="341" t="s">
        <v>3988</v>
      </c>
      <c r="D56" s="331"/>
      <c r="E56" s="334"/>
      <c r="F56" s="331"/>
      <c r="G56" s="329"/>
    </row>
    <row r="57" spans="1:7" ht="16.5">
      <c r="A57" s="333"/>
      <c r="B57" s="334"/>
      <c r="C57" s="335"/>
      <c r="D57" s="331"/>
      <c r="E57" s="334"/>
      <c r="F57" s="331"/>
      <c r="G57" s="329"/>
    </row>
    <row r="58" spans="1:7" ht="16.5">
      <c r="A58" s="333"/>
      <c r="B58" s="334"/>
      <c r="C58" s="335"/>
      <c r="D58" s="331"/>
      <c r="E58" s="334"/>
      <c r="F58" s="331"/>
      <c r="G58" s="329"/>
    </row>
    <row r="59" spans="1:7" ht="16.5">
      <c r="A59" s="333">
        <v>17.510000000000002</v>
      </c>
      <c r="B59" s="334" t="s">
        <v>922</v>
      </c>
      <c r="C59" s="335" t="s">
        <v>3989</v>
      </c>
      <c r="D59" s="331">
        <f>D36</f>
        <v>301</v>
      </c>
      <c r="E59" s="334" t="s">
        <v>922</v>
      </c>
      <c r="F59" s="331">
        <f>D59*A59</f>
        <v>5270.51</v>
      </c>
      <c r="G59" s="329"/>
    </row>
    <row r="60" spans="1:7" ht="16.5">
      <c r="A60" s="333">
        <v>2.48</v>
      </c>
      <c r="B60" s="334" t="s">
        <v>236</v>
      </c>
      <c r="C60" s="335" t="s">
        <v>3973</v>
      </c>
      <c r="D60" s="331">
        <f>D38</f>
        <v>208.8</v>
      </c>
      <c r="E60" s="334" t="s">
        <v>236</v>
      </c>
      <c r="F60" s="331">
        <f t="shared" ref="F60:F65" si="3">D60*A60</f>
        <v>517.82000000000005</v>
      </c>
      <c r="G60" s="329"/>
    </row>
    <row r="61" spans="1:7" ht="16.5">
      <c r="A61" s="333">
        <v>14.7</v>
      </c>
      <c r="B61" s="334" t="s">
        <v>835</v>
      </c>
      <c r="C61" s="335" t="s">
        <v>4186</v>
      </c>
      <c r="D61" s="331">
        <v>27.1</v>
      </c>
      <c r="E61" s="334" t="s">
        <v>835</v>
      </c>
      <c r="F61" s="331">
        <f t="shared" si="3"/>
        <v>398.37</v>
      </c>
      <c r="G61" s="329"/>
    </row>
    <row r="62" spans="1:7" ht="16.5">
      <c r="A62" s="333">
        <v>3</v>
      </c>
      <c r="B62" s="334" t="s">
        <v>3981</v>
      </c>
      <c r="C62" s="335" t="s">
        <v>3975</v>
      </c>
      <c r="D62" s="331">
        <v>175</v>
      </c>
      <c r="E62" s="334" t="s">
        <v>778</v>
      </c>
      <c r="F62" s="331">
        <f t="shared" si="3"/>
        <v>525</v>
      </c>
      <c r="G62" s="329"/>
    </row>
    <row r="63" spans="1:7" ht="16.5">
      <c r="A63" s="333">
        <v>3</v>
      </c>
      <c r="B63" s="334" t="s">
        <v>778</v>
      </c>
      <c r="C63" s="335" t="s">
        <v>3974</v>
      </c>
      <c r="D63" s="331">
        <v>60</v>
      </c>
      <c r="E63" s="334" t="s">
        <v>778</v>
      </c>
      <c r="F63" s="331">
        <f t="shared" si="3"/>
        <v>180</v>
      </c>
      <c r="G63" s="329"/>
    </row>
    <row r="64" spans="1:7" ht="16.5">
      <c r="A64" s="333">
        <v>6</v>
      </c>
      <c r="B64" s="334" t="s">
        <v>778</v>
      </c>
      <c r="C64" s="335" t="s">
        <v>3976</v>
      </c>
      <c r="D64" s="331">
        <v>15</v>
      </c>
      <c r="E64" s="334" t="s">
        <v>778</v>
      </c>
      <c r="F64" s="331">
        <f t="shared" si="3"/>
        <v>90</v>
      </c>
      <c r="G64" s="329"/>
    </row>
    <row r="65" spans="1:7" ht="16.5">
      <c r="A65" s="333">
        <v>2.48</v>
      </c>
      <c r="B65" s="334" t="s">
        <v>2308</v>
      </c>
      <c r="C65" s="335" t="s">
        <v>3977</v>
      </c>
      <c r="D65" s="329">
        <f>F76</f>
        <v>1724</v>
      </c>
      <c r="E65" s="334" t="s">
        <v>2308</v>
      </c>
      <c r="F65" s="331">
        <f t="shared" si="3"/>
        <v>4275.5200000000004</v>
      </c>
      <c r="G65" s="329"/>
    </row>
    <row r="66" spans="1:7" ht="16.5">
      <c r="A66" s="333"/>
      <c r="B66" s="334"/>
      <c r="C66" s="335" t="s">
        <v>2296</v>
      </c>
      <c r="D66" s="329"/>
      <c r="E66" s="330"/>
      <c r="F66" s="331"/>
      <c r="G66" s="329"/>
    </row>
    <row r="67" spans="1:7" ht="16.5">
      <c r="A67" s="329"/>
      <c r="B67" s="336"/>
      <c r="C67" s="335"/>
      <c r="D67" s="329"/>
      <c r="E67" s="330"/>
      <c r="F67" s="331"/>
      <c r="G67" s="329"/>
    </row>
    <row r="68" spans="1:7" ht="16.5">
      <c r="A68" s="329"/>
      <c r="B68" s="329"/>
      <c r="C68" s="342" t="s">
        <v>3892</v>
      </c>
      <c r="D68" s="329"/>
      <c r="E68" s="329"/>
      <c r="F68" s="338">
        <f>SUM(F59:F67)</f>
        <v>11257.22</v>
      </c>
      <c r="G68" s="339" t="s">
        <v>1418</v>
      </c>
    </row>
    <row r="69" spans="1:7" ht="16.5">
      <c r="A69" s="329"/>
      <c r="B69" s="329"/>
      <c r="C69" s="342"/>
      <c r="D69" s="329"/>
      <c r="E69" s="329"/>
      <c r="F69" s="25">
        <f>F68/A65</f>
        <v>4539.2</v>
      </c>
      <c r="G69" s="329" t="s">
        <v>2308</v>
      </c>
    </row>
    <row r="70" spans="1:7" ht="16.5">
      <c r="A70" s="329"/>
      <c r="B70" s="329"/>
      <c r="C70" s="342"/>
      <c r="D70" s="329"/>
      <c r="E70" s="329"/>
      <c r="F70" s="329"/>
      <c r="G70" s="329"/>
    </row>
    <row r="71" spans="1:7" ht="16.5">
      <c r="A71" s="331">
        <v>1</v>
      </c>
      <c r="B71" s="334" t="s">
        <v>877</v>
      </c>
      <c r="C71" s="335" t="s">
        <v>3983</v>
      </c>
      <c r="D71" s="331">
        <f>D48</f>
        <v>760</v>
      </c>
      <c r="E71" s="335" t="s">
        <v>877</v>
      </c>
      <c r="F71" s="331">
        <f>D71*A71</f>
        <v>760</v>
      </c>
      <c r="G71" s="329"/>
    </row>
    <row r="72" spans="1:7" ht="16.5">
      <c r="A72" s="331">
        <v>1</v>
      </c>
      <c r="B72" s="334" t="s">
        <v>877</v>
      </c>
      <c r="C72" s="335" t="s">
        <v>3984</v>
      </c>
      <c r="D72" s="331">
        <f>D49</f>
        <v>562</v>
      </c>
      <c r="E72" s="335" t="s">
        <v>877</v>
      </c>
      <c r="F72" s="331">
        <f>D72*A72</f>
        <v>562</v>
      </c>
      <c r="G72" s="329"/>
    </row>
    <row r="73" spans="1:7" ht="16.5">
      <c r="A73" s="331">
        <v>0.5</v>
      </c>
      <c r="B73" s="334" t="s">
        <v>877</v>
      </c>
      <c r="C73" s="335" t="s">
        <v>3985</v>
      </c>
      <c r="D73" s="331">
        <f>D50</f>
        <v>804</v>
      </c>
      <c r="E73" s="335" t="s">
        <v>877</v>
      </c>
      <c r="F73" s="331">
        <f>D73*A73</f>
        <v>402</v>
      </c>
      <c r="G73" s="329"/>
    </row>
    <row r="74" spans="1:7" ht="16.5">
      <c r="A74" s="329"/>
      <c r="B74" s="334" t="s">
        <v>450</v>
      </c>
      <c r="C74" s="335" t="s">
        <v>1861</v>
      </c>
      <c r="D74" s="335" t="s">
        <v>987</v>
      </c>
      <c r="E74" s="335" t="s">
        <v>450</v>
      </c>
      <c r="F74" s="331"/>
      <c r="G74" s="329"/>
    </row>
    <row r="75" spans="1:7" ht="16.5">
      <c r="A75" s="329"/>
      <c r="B75" s="336"/>
      <c r="C75" s="329"/>
      <c r="D75" s="329"/>
      <c r="E75" s="343"/>
      <c r="F75" s="344" t="s">
        <v>1609</v>
      </c>
      <c r="G75" s="329"/>
    </row>
    <row r="76" spans="1:7" ht="16.5">
      <c r="A76" s="329"/>
      <c r="B76" s="336"/>
      <c r="C76" s="335" t="s">
        <v>3986</v>
      </c>
      <c r="D76" s="329"/>
      <c r="E76" s="343"/>
      <c r="F76" s="338">
        <f>SUM(F71:F75)</f>
        <v>1724</v>
      </c>
      <c r="G76" s="329"/>
    </row>
    <row r="77" spans="1:7" ht="16.5">
      <c r="A77" s="329"/>
      <c r="B77" s="336"/>
      <c r="C77" s="329"/>
      <c r="D77" s="329"/>
      <c r="E77" s="343"/>
      <c r="F77" s="344" t="s">
        <v>1609</v>
      </c>
      <c r="G77" s="329"/>
    </row>
    <row r="78" spans="1:7" ht="16.5">
      <c r="A78" s="329"/>
      <c r="B78" s="336"/>
      <c r="C78" s="335"/>
      <c r="D78" s="329"/>
      <c r="E78" s="343"/>
      <c r="F78" s="331"/>
      <c r="G78" s="329"/>
    </row>
    <row r="79" spans="1:7" ht="16.5">
      <c r="A79" s="329"/>
      <c r="B79" s="329"/>
      <c r="C79" s="329"/>
      <c r="D79" s="329"/>
      <c r="E79" s="329"/>
      <c r="F79" s="329"/>
      <c r="G79" s="329"/>
    </row>
    <row r="80" spans="1:7" ht="16.5">
      <c r="A80" s="329"/>
      <c r="B80" s="1856" t="s">
        <v>3990</v>
      </c>
      <c r="C80" s="1856"/>
      <c r="D80" s="1856"/>
      <c r="E80" s="328"/>
      <c r="F80" s="328"/>
      <c r="G80" s="329"/>
    </row>
    <row r="81" spans="1:7" ht="16.5">
      <c r="A81" s="333"/>
      <c r="B81" s="334"/>
      <c r="C81" s="341" t="s">
        <v>3991</v>
      </c>
      <c r="D81" s="331"/>
      <c r="E81" s="334"/>
      <c r="F81" s="331"/>
      <c r="G81" s="329"/>
    </row>
    <row r="82" spans="1:7" ht="16.5">
      <c r="A82" s="333"/>
      <c r="B82" s="334"/>
      <c r="C82" s="335"/>
      <c r="D82" s="331"/>
      <c r="E82" s="334"/>
      <c r="F82" s="331"/>
      <c r="G82" s="329"/>
    </row>
    <row r="83" spans="1:7" ht="16.5">
      <c r="A83" s="333"/>
      <c r="B83" s="334"/>
      <c r="C83" s="335"/>
      <c r="D83" s="331"/>
      <c r="E83" s="334"/>
      <c r="F83" s="331"/>
      <c r="G83" s="329"/>
    </row>
    <row r="84" spans="1:7" ht="16.5">
      <c r="A84" s="333">
        <v>4.88</v>
      </c>
      <c r="B84" s="334" t="s">
        <v>922</v>
      </c>
      <c r="C84" s="335" t="s">
        <v>3992</v>
      </c>
      <c r="D84" s="331">
        <f>D59</f>
        <v>301</v>
      </c>
      <c r="E84" s="334" t="s">
        <v>922</v>
      </c>
      <c r="F84" s="331">
        <f>D84*A84</f>
        <v>1468.88</v>
      </c>
      <c r="G84" s="329"/>
    </row>
    <row r="85" spans="1:7" ht="16.5">
      <c r="A85" s="333">
        <v>7.76</v>
      </c>
      <c r="B85" s="334" t="s">
        <v>922</v>
      </c>
      <c r="C85" s="335" t="s">
        <v>3993</v>
      </c>
      <c r="D85" s="331">
        <f>D84</f>
        <v>301</v>
      </c>
      <c r="E85" s="334" t="s">
        <v>922</v>
      </c>
      <c r="F85" s="331">
        <f t="shared" ref="F85:F93" si="4">D85*A85</f>
        <v>2335.7600000000002</v>
      </c>
      <c r="G85" s="329"/>
    </row>
    <row r="86" spans="1:7" ht="16.5">
      <c r="A86" s="333">
        <v>3.03</v>
      </c>
      <c r="B86" s="334" t="s">
        <v>922</v>
      </c>
      <c r="C86" s="335" t="s">
        <v>3994</v>
      </c>
      <c r="D86" s="331">
        <f>D85</f>
        <v>301</v>
      </c>
      <c r="E86" s="334" t="s">
        <v>922</v>
      </c>
      <c r="F86" s="331">
        <f t="shared" si="4"/>
        <v>912.03</v>
      </c>
      <c r="G86" s="329"/>
    </row>
    <row r="87" spans="1:7" ht="16.5">
      <c r="A87" s="333">
        <v>1.45</v>
      </c>
      <c r="B87" s="334" t="s">
        <v>922</v>
      </c>
      <c r="C87" s="335" t="s">
        <v>3989</v>
      </c>
      <c r="D87" s="331">
        <f>D86</f>
        <v>301</v>
      </c>
      <c r="E87" s="334" t="s">
        <v>922</v>
      </c>
      <c r="F87" s="331">
        <f t="shared" si="4"/>
        <v>436.45</v>
      </c>
      <c r="G87" s="329"/>
    </row>
    <row r="88" spans="1:7" ht="16.5">
      <c r="A88" s="333">
        <v>2.4300000000000002</v>
      </c>
      <c r="B88" s="334" t="s">
        <v>236</v>
      </c>
      <c r="C88" s="335" t="s">
        <v>3973</v>
      </c>
      <c r="D88" s="331">
        <v>209.9</v>
      </c>
      <c r="E88" s="334" t="s">
        <v>236</v>
      </c>
      <c r="F88" s="331">
        <f t="shared" si="4"/>
        <v>510.06</v>
      </c>
      <c r="G88" s="329"/>
    </row>
    <row r="89" spans="1:7" ht="16.5">
      <c r="A89" s="333">
        <v>11.7</v>
      </c>
      <c r="B89" s="334" t="s">
        <v>835</v>
      </c>
      <c r="C89" s="335" t="s">
        <v>3972</v>
      </c>
      <c r="D89" s="331">
        <f>D61</f>
        <v>27.1</v>
      </c>
      <c r="E89" s="334" t="s">
        <v>835</v>
      </c>
      <c r="F89" s="331">
        <f t="shared" si="4"/>
        <v>317.07</v>
      </c>
      <c r="G89" s="329"/>
    </row>
    <row r="90" spans="1:7" ht="16.5">
      <c r="A90" s="333">
        <v>3</v>
      </c>
      <c r="B90" s="334" t="s">
        <v>3981</v>
      </c>
      <c r="C90" s="335" t="s">
        <v>3995</v>
      </c>
      <c r="D90" s="331">
        <v>175</v>
      </c>
      <c r="E90" s="334" t="s">
        <v>778</v>
      </c>
      <c r="F90" s="331">
        <f t="shared" si="4"/>
        <v>525</v>
      </c>
      <c r="G90" s="329"/>
    </row>
    <row r="91" spans="1:7" ht="16.5">
      <c r="A91" s="333">
        <v>3</v>
      </c>
      <c r="B91" s="334" t="s">
        <v>778</v>
      </c>
      <c r="C91" s="335" t="s">
        <v>3974</v>
      </c>
      <c r="D91" s="331">
        <v>60</v>
      </c>
      <c r="E91" s="334" t="s">
        <v>778</v>
      </c>
      <c r="F91" s="331">
        <f t="shared" si="4"/>
        <v>180</v>
      </c>
      <c r="G91" s="329"/>
    </row>
    <row r="92" spans="1:7" ht="16.5">
      <c r="A92" s="333">
        <v>4</v>
      </c>
      <c r="B92" s="334" t="s">
        <v>778</v>
      </c>
      <c r="C92" s="335" t="s">
        <v>3976</v>
      </c>
      <c r="D92" s="331">
        <v>15</v>
      </c>
      <c r="E92" s="334" t="s">
        <v>778</v>
      </c>
      <c r="F92" s="331">
        <f t="shared" si="4"/>
        <v>60</v>
      </c>
      <c r="G92" s="329"/>
    </row>
    <row r="93" spans="1:7" ht="16.5">
      <c r="A93" s="333">
        <v>2.4300000000000002</v>
      </c>
      <c r="B93" s="334" t="s">
        <v>2308</v>
      </c>
      <c r="C93" s="335" t="s">
        <v>3977</v>
      </c>
      <c r="D93" s="329">
        <f>D65</f>
        <v>1724</v>
      </c>
      <c r="E93" s="334" t="s">
        <v>2308</v>
      </c>
      <c r="F93" s="331">
        <f t="shared" si="4"/>
        <v>4189.32</v>
      </c>
      <c r="G93" s="329"/>
    </row>
    <row r="94" spans="1:7" ht="16.5">
      <c r="A94" s="333"/>
      <c r="B94" s="334"/>
      <c r="C94" s="335" t="s">
        <v>2296</v>
      </c>
      <c r="D94" s="329"/>
      <c r="E94" s="330"/>
      <c r="F94" s="331">
        <v>11.26</v>
      </c>
      <c r="G94" s="329">
        <v>0</v>
      </c>
    </row>
    <row r="95" spans="1:7" ht="16.5">
      <c r="A95" s="329"/>
      <c r="B95" s="336"/>
      <c r="C95" s="335"/>
      <c r="D95" s="329"/>
      <c r="E95" s="330"/>
      <c r="F95" s="331"/>
      <c r="G95" s="329"/>
    </row>
    <row r="96" spans="1:7" ht="16.5">
      <c r="A96" s="329"/>
      <c r="B96" s="329"/>
      <c r="C96" s="342" t="s">
        <v>3892</v>
      </c>
      <c r="D96" s="329"/>
      <c r="E96" s="329"/>
      <c r="F96" s="338">
        <f>SUM(F84:F95)</f>
        <v>10945.83</v>
      </c>
      <c r="G96" s="339" t="s">
        <v>1418</v>
      </c>
    </row>
    <row r="97" spans="1:7" ht="16.5">
      <c r="A97" s="329"/>
      <c r="B97" s="329"/>
      <c r="C97" s="342"/>
      <c r="D97" s="329"/>
      <c r="E97" s="329"/>
      <c r="F97" s="25">
        <f>F96/A93</f>
        <v>4504.46</v>
      </c>
      <c r="G97" s="329" t="s">
        <v>2308</v>
      </c>
    </row>
    <row r="98" spans="1:7" ht="16.5">
      <c r="A98" s="329"/>
      <c r="B98" s="329"/>
      <c r="C98" s="342"/>
      <c r="D98" s="329"/>
      <c r="E98" s="329"/>
      <c r="F98" s="329"/>
      <c r="G98" s="329"/>
    </row>
    <row r="99" spans="1:7" ht="16.5">
      <c r="A99" s="331">
        <v>1</v>
      </c>
      <c r="B99" s="334" t="s">
        <v>877</v>
      </c>
      <c r="C99" s="335" t="s">
        <v>3983</v>
      </c>
      <c r="D99" s="331">
        <f>D71</f>
        <v>760</v>
      </c>
      <c r="E99" s="335" t="s">
        <v>877</v>
      </c>
      <c r="F99" s="331">
        <f>D99*A99</f>
        <v>760</v>
      </c>
      <c r="G99" s="329"/>
    </row>
    <row r="100" spans="1:7" ht="16.5">
      <c r="A100" s="331">
        <v>1</v>
      </c>
      <c r="B100" s="334" t="s">
        <v>877</v>
      </c>
      <c r="C100" s="335" t="s">
        <v>3984</v>
      </c>
      <c r="D100" s="331">
        <f>D72</f>
        <v>562</v>
      </c>
      <c r="E100" s="335" t="s">
        <v>877</v>
      </c>
      <c r="F100" s="331">
        <f>D100*A100</f>
        <v>562</v>
      </c>
      <c r="G100" s="329"/>
    </row>
    <row r="101" spans="1:7" ht="16.5">
      <c r="A101" s="331">
        <v>0.5</v>
      </c>
      <c r="B101" s="334" t="s">
        <v>877</v>
      </c>
      <c r="C101" s="335" t="s">
        <v>3985</v>
      </c>
      <c r="D101" s="331">
        <f>D73</f>
        <v>804</v>
      </c>
      <c r="E101" s="335" t="s">
        <v>877</v>
      </c>
      <c r="F101" s="331">
        <f>D101*A101</f>
        <v>402</v>
      </c>
      <c r="G101" s="329"/>
    </row>
    <row r="102" spans="1:7" ht="16.5">
      <c r="A102" s="329"/>
      <c r="B102" s="334"/>
      <c r="C102" s="335"/>
      <c r="D102" s="331"/>
      <c r="E102" s="335"/>
      <c r="F102" s="331"/>
      <c r="G102" s="329"/>
    </row>
    <row r="103" spans="1:7" ht="16.5">
      <c r="A103" s="329"/>
      <c r="B103" s="336"/>
      <c r="C103" s="335" t="s">
        <v>3986</v>
      </c>
      <c r="D103" s="329"/>
      <c r="E103" s="343"/>
      <c r="F103" s="338">
        <f>SUM(F99:F102)</f>
        <v>1724</v>
      </c>
      <c r="G103" s="329"/>
    </row>
    <row r="104" spans="1:7" ht="16.5">
      <c r="A104" s="329"/>
      <c r="B104" s="336"/>
      <c r="C104" s="329"/>
      <c r="D104" s="329"/>
      <c r="E104" s="343"/>
      <c r="F104" s="344" t="s">
        <v>1609</v>
      </c>
      <c r="G104" s="329"/>
    </row>
    <row r="105" spans="1:7" ht="16.5">
      <c r="A105" s="329"/>
      <c r="B105" s="329"/>
      <c r="C105" s="329"/>
      <c r="D105" s="329"/>
      <c r="E105" s="329"/>
      <c r="F105" s="329"/>
      <c r="G105" s="329"/>
    </row>
    <row r="106" spans="1:7" ht="16.5">
      <c r="A106" s="1856" t="s">
        <v>3996</v>
      </c>
      <c r="B106" s="1856"/>
      <c r="C106" s="1856"/>
      <c r="D106" s="1856"/>
      <c r="E106" s="1856"/>
      <c r="F106" s="1856"/>
      <c r="G106" s="329"/>
    </row>
    <row r="107" spans="1:7" ht="16.5">
      <c r="A107" s="1856"/>
      <c r="B107" s="1856"/>
      <c r="C107" s="1856"/>
      <c r="D107" s="1856"/>
      <c r="E107" s="1856"/>
      <c r="F107" s="1856"/>
      <c r="G107" s="329"/>
    </row>
    <row r="108" spans="1:7" ht="16.5">
      <c r="A108" s="333"/>
      <c r="B108" s="334"/>
      <c r="C108" s="335"/>
      <c r="D108" s="331"/>
      <c r="E108" s="334"/>
      <c r="F108" s="331"/>
      <c r="G108" s="329"/>
    </row>
    <row r="109" spans="1:7" ht="16.5">
      <c r="A109" s="333">
        <v>10.33</v>
      </c>
      <c r="B109" s="334" t="s">
        <v>922</v>
      </c>
      <c r="C109" s="335" t="s">
        <v>3989</v>
      </c>
      <c r="D109" s="331">
        <f>D87</f>
        <v>301</v>
      </c>
      <c r="E109" s="334" t="s">
        <v>922</v>
      </c>
      <c r="F109" s="331">
        <f>D109*A109</f>
        <v>3109.33</v>
      </c>
      <c r="G109" s="329"/>
    </row>
    <row r="110" spans="1:7" ht="16.5">
      <c r="A110" s="333">
        <v>1.42</v>
      </c>
      <c r="B110" s="334" t="s">
        <v>236</v>
      </c>
      <c r="C110" s="335" t="s">
        <v>3973</v>
      </c>
      <c r="D110" s="331">
        <v>208.8</v>
      </c>
      <c r="E110" s="334" t="s">
        <v>236</v>
      </c>
      <c r="F110" s="331">
        <f t="shared" ref="F110:F115" si="5">D110*A110</f>
        <v>296.5</v>
      </c>
      <c r="G110" s="329"/>
    </row>
    <row r="111" spans="1:7" ht="16.5">
      <c r="A111" s="333">
        <v>6.9</v>
      </c>
      <c r="B111" s="334" t="s">
        <v>835</v>
      </c>
      <c r="C111" s="335" t="s">
        <v>3972</v>
      </c>
      <c r="D111" s="331">
        <f>D89</f>
        <v>27.1</v>
      </c>
      <c r="E111" s="334" t="s">
        <v>835</v>
      </c>
      <c r="F111" s="331">
        <f t="shared" si="5"/>
        <v>186.99</v>
      </c>
      <c r="G111" s="329"/>
    </row>
    <row r="112" spans="1:7" ht="16.5">
      <c r="A112" s="333">
        <v>2</v>
      </c>
      <c r="B112" s="334" t="s">
        <v>3981</v>
      </c>
      <c r="C112" s="335" t="str">
        <f>C36</f>
        <v>Aluminium section</v>
      </c>
      <c r="D112" s="331">
        <v>350</v>
      </c>
      <c r="E112" s="334" t="s">
        <v>778</v>
      </c>
      <c r="F112" s="331">
        <f t="shared" si="5"/>
        <v>700</v>
      </c>
      <c r="G112" s="329"/>
    </row>
    <row r="113" spans="1:8" ht="16.5">
      <c r="A113" s="333">
        <v>2</v>
      </c>
      <c r="B113" s="334" t="s">
        <v>778</v>
      </c>
      <c r="C113" s="335" t="s">
        <v>3974</v>
      </c>
      <c r="D113" s="331">
        <v>48</v>
      </c>
      <c r="E113" s="334" t="s">
        <v>778</v>
      </c>
      <c r="F113" s="331">
        <f t="shared" si="5"/>
        <v>96</v>
      </c>
      <c r="G113" s="329"/>
    </row>
    <row r="114" spans="1:8" ht="16.5">
      <c r="A114" s="333">
        <v>4</v>
      </c>
      <c r="B114" s="334" t="s">
        <v>778</v>
      </c>
      <c r="C114" s="335" t="s">
        <v>3976</v>
      </c>
      <c r="D114" s="331">
        <v>15</v>
      </c>
      <c r="E114" s="334" t="s">
        <v>778</v>
      </c>
      <c r="F114" s="331">
        <f t="shared" si="5"/>
        <v>60</v>
      </c>
      <c r="G114" s="329"/>
    </row>
    <row r="115" spans="1:8" ht="16.5">
      <c r="A115" s="333">
        <v>1.42</v>
      </c>
      <c r="B115" s="334" t="s">
        <v>2308</v>
      </c>
      <c r="C115" s="335" t="s">
        <v>3977</v>
      </c>
      <c r="D115" s="329">
        <f>F125</f>
        <v>1724</v>
      </c>
      <c r="E115" s="334" t="s">
        <v>2308</v>
      </c>
      <c r="F115" s="331">
        <f t="shared" si="5"/>
        <v>2448.08</v>
      </c>
      <c r="G115" s="329"/>
    </row>
    <row r="116" spans="1:8" ht="16.5">
      <c r="A116" s="333"/>
      <c r="B116" s="334"/>
      <c r="C116" s="335" t="s">
        <v>2296</v>
      </c>
      <c r="D116" s="329"/>
      <c r="E116" s="330"/>
      <c r="F116" s="331">
        <v>3.06</v>
      </c>
      <c r="G116" s="329"/>
    </row>
    <row r="117" spans="1:8" ht="16.5">
      <c r="A117" s="333"/>
      <c r="B117" s="334"/>
      <c r="C117" s="335"/>
      <c r="D117" s="329"/>
      <c r="E117" s="334"/>
      <c r="F117" s="331"/>
      <c r="G117" s="329"/>
    </row>
    <row r="118" spans="1:8" ht="16.5">
      <c r="A118" s="333"/>
      <c r="B118" s="334"/>
      <c r="C118" s="337" t="s">
        <v>3575</v>
      </c>
      <c r="D118" s="339"/>
      <c r="E118" s="328"/>
      <c r="F118" s="338">
        <f>SUM(F109:F117)</f>
        <v>6899.96</v>
      </c>
      <c r="G118" s="339" t="s">
        <v>1418</v>
      </c>
      <c r="H118">
        <f>F118/A115</f>
        <v>4859.13</v>
      </c>
    </row>
    <row r="119" spans="1:8" ht="16.5">
      <c r="A119" s="329"/>
      <c r="B119" s="329"/>
      <c r="C119" s="342"/>
      <c r="D119" s="329"/>
      <c r="E119" s="329"/>
      <c r="F119" s="329"/>
      <c r="G119" s="329"/>
    </row>
    <row r="120" spans="1:8" ht="16.5">
      <c r="A120" s="331">
        <v>1</v>
      </c>
      <c r="B120" s="334" t="s">
        <v>877</v>
      </c>
      <c r="C120" s="335" t="s">
        <v>3983</v>
      </c>
      <c r="D120" s="331">
        <f>D99</f>
        <v>760</v>
      </c>
      <c r="E120" s="335" t="s">
        <v>877</v>
      </c>
      <c r="F120" s="331">
        <f>D120*A120</f>
        <v>760</v>
      </c>
      <c r="G120" s="329"/>
    </row>
    <row r="121" spans="1:8" ht="16.5">
      <c r="A121" s="331">
        <v>1</v>
      </c>
      <c r="B121" s="334" t="s">
        <v>877</v>
      </c>
      <c r="C121" s="335" t="s">
        <v>3984</v>
      </c>
      <c r="D121" s="331">
        <f>D100</f>
        <v>562</v>
      </c>
      <c r="E121" s="335" t="s">
        <v>877</v>
      </c>
      <c r="F121" s="331">
        <f>D121*A121</f>
        <v>562</v>
      </c>
      <c r="G121" s="329"/>
    </row>
    <row r="122" spans="1:8" ht="16.5">
      <c r="A122" s="331">
        <v>0.5</v>
      </c>
      <c r="B122" s="334" t="s">
        <v>877</v>
      </c>
      <c r="C122" s="335" t="s">
        <v>3985</v>
      </c>
      <c r="D122" s="331">
        <f>D101</f>
        <v>804</v>
      </c>
      <c r="E122" s="335" t="s">
        <v>877</v>
      </c>
      <c r="F122" s="331">
        <f>D122*A122</f>
        <v>402</v>
      </c>
      <c r="G122" s="329"/>
    </row>
    <row r="123" spans="1:8" ht="16.5">
      <c r="A123" s="329"/>
      <c r="B123" s="334"/>
      <c r="C123" s="335"/>
      <c r="D123" s="331"/>
      <c r="E123" s="335"/>
      <c r="F123" s="331"/>
      <c r="G123" s="329"/>
    </row>
    <row r="124" spans="1:8" ht="16.5">
      <c r="A124" s="329"/>
      <c r="B124" s="336"/>
      <c r="C124" s="329"/>
      <c r="D124" s="329"/>
      <c r="E124" s="343"/>
      <c r="F124" s="344" t="s">
        <v>1609</v>
      </c>
      <c r="G124" s="329"/>
    </row>
    <row r="125" spans="1:8" ht="16.5">
      <c r="A125" s="329"/>
      <c r="B125" s="336"/>
      <c r="C125" s="335" t="s">
        <v>3986</v>
      </c>
      <c r="D125" s="329"/>
      <c r="E125" s="343"/>
      <c r="F125" s="338">
        <f>SUM(F120:F124)</f>
        <v>1724</v>
      </c>
      <c r="G125" s="329"/>
    </row>
    <row r="126" spans="1:8" ht="16.5">
      <c r="A126" s="329"/>
      <c r="B126" s="336"/>
      <c r="C126" s="335"/>
      <c r="D126" s="329"/>
      <c r="E126" s="343"/>
      <c r="F126" s="338"/>
      <c r="G126" s="329"/>
    </row>
    <row r="127" spans="1:8" ht="16.5">
      <c r="A127" s="329"/>
      <c r="B127" s="336"/>
      <c r="C127" s="329"/>
      <c r="D127" s="329"/>
      <c r="E127" s="343"/>
      <c r="F127" s="344" t="s">
        <v>1609</v>
      </c>
      <c r="G127" s="329"/>
    </row>
    <row r="128" spans="1:8" ht="16.5">
      <c r="A128" s="329"/>
      <c r="B128" s="1856" t="s">
        <v>3997</v>
      </c>
      <c r="C128" s="1856"/>
      <c r="D128" s="1856"/>
      <c r="E128" s="328"/>
      <c r="F128" s="328"/>
      <c r="G128" s="329"/>
    </row>
    <row r="129" spans="1:7" ht="16.5">
      <c r="A129" s="333"/>
      <c r="B129" s="334"/>
      <c r="C129" s="341" t="s">
        <v>3991</v>
      </c>
      <c r="D129" s="331"/>
      <c r="E129" s="334"/>
      <c r="F129" s="331"/>
      <c r="G129" s="329"/>
    </row>
    <row r="130" spans="1:7" ht="16.5">
      <c r="A130" s="333"/>
      <c r="B130" s="334"/>
      <c r="C130" s="335"/>
      <c r="D130" s="331"/>
      <c r="E130" s="334"/>
      <c r="F130" s="331"/>
      <c r="G130" s="329"/>
    </row>
    <row r="131" spans="1:7" ht="16.5">
      <c r="A131" s="333"/>
      <c r="B131" s="334"/>
      <c r="C131" s="335"/>
      <c r="D131" s="331"/>
      <c r="E131" s="334"/>
      <c r="F131" s="331"/>
      <c r="G131" s="329"/>
    </row>
    <row r="132" spans="1:7" ht="16.5">
      <c r="A132" s="333">
        <v>4.42</v>
      </c>
      <c r="B132" s="334" t="s">
        <v>922</v>
      </c>
      <c r="C132" s="335" t="s">
        <v>3992</v>
      </c>
      <c r="D132" s="331">
        <f>D109</f>
        <v>301</v>
      </c>
      <c r="E132" s="334" t="s">
        <v>922</v>
      </c>
      <c r="F132" s="331">
        <f>D132*A132</f>
        <v>1330.42</v>
      </c>
      <c r="G132" s="329"/>
    </row>
    <row r="133" spans="1:7" ht="16.5">
      <c r="A133" s="333">
        <v>7.36</v>
      </c>
      <c r="B133" s="334" t="s">
        <v>922</v>
      </c>
      <c r="C133" s="335" t="s">
        <v>3993</v>
      </c>
      <c r="D133" s="331">
        <f>D132</f>
        <v>301</v>
      </c>
      <c r="E133" s="334" t="s">
        <v>922</v>
      </c>
      <c r="F133" s="331">
        <f t="shared" ref="F133:F141" si="6">D133*A133</f>
        <v>2215.36</v>
      </c>
      <c r="G133" s="329"/>
    </row>
    <row r="134" spans="1:7" ht="16.5">
      <c r="A134" s="333">
        <v>3.03</v>
      </c>
      <c r="B134" s="334" t="s">
        <v>922</v>
      </c>
      <c r="C134" s="335" t="s">
        <v>3994</v>
      </c>
      <c r="D134" s="331">
        <f>D133</f>
        <v>301</v>
      </c>
      <c r="E134" s="334" t="s">
        <v>922</v>
      </c>
      <c r="F134" s="331">
        <f t="shared" si="6"/>
        <v>912.03</v>
      </c>
      <c r="G134" s="329"/>
    </row>
    <row r="135" spans="1:7" ht="16.5">
      <c r="A135" s="333">
        <v>1.38</v>
      </c>
      <c r="B135" s="334" t="s">
        <v>922</v>
      </c>
      <c r="C135" s="335" t="s">
        <v>3989</v>
      </c>
      <c r="D135" s="331">
        <f>D134</f>
        <v>301</v>
      </c>
      <c r="E135" s="334" t="s">
        <v>922</v>
      </c>
      <c r="F135" s="331">
        <f t="shared" si="6"/>
        <v>415.38</v>
      </c>
      <c r="G135" s="329"/>
    </row>
    <row r="136" spans="1:7" ht="16.5">
      <c r="A136" s="333">
        <v>2.0249999999999999</v>
      </c>
      <c r="B136" s="334" t="s">
        <v>236</v>
      </c>
      <c r="C136" s="335" t="s">
        <v>1880</v>
      </c>
      <c r="D136" s="331">
        <f>D110</f>
        <v>208.8</v>
      </c>
      <c r="E136" s="334" t="s">
        <v>236</v>
      </c>
      <c r="F136" s="331">
        <f t="shared" si="6"/>
        <v>422.82</v>
      </c>
      <c r="G136" s="329"/>
    </row>
    <row r="137" spans="1:7" ht="16.5">
      <c r="A137" s="333">
        <v>11.1</v>
      </c>
      <c r="B137" s="334" t="s">
        <v>835</v>
      </c>
      <c r="C137" s="335" t="s">
        <v>1881</v>
      </c>
      <c r="D137" s="331">
        <f>D111</f>
        <v>27.1</v>
      </c>
      <c r="E137" s="334" t="s">
        <v>835</v>
      </c>
      <c r="F137" s="331">
        <f t="shared" si="6"/>
        <v>300.81</v>
      </c>
      <c r="G137" s="329"/>
    </row>
    <row r="138" spans="1:7" ht="16.5">
      <c r="A138" s="333">
        <v>3</v>
      </c>
      <c r="B138" s="334" t="s">
        <v>3981</v>
      </c>
      <c r="C138" s="335" t="str">
        <f>C62</f>
        <v>10" I Max hinges (304 grade) qtn</v>
      </c>
      <c r="D138" s="331">
        <f>D112</f>
        <v>350</v>
      </c>
      <c r="E138" s="334" t="s">
        <v>778</v>
      </c>
      <c r="F138" s="331">
        <f t="shared" si="6"/>
        <v>1050</v>
      </c>
      <c r="G138" s="329"/>
    </row>
    <row r="139" spans="1:7" ht="16.5">
      <c r="A139" s="333">
        <v>3</v>
      </c>
      <c r="B139" s="334" t="s">
        <v>778</v>
      </c>
      <c r="C139" s="335" t="s">
        <v>3998</v>
      </c>
      <c r="D139" s="331">
        <f>D113</f>
        <v>48</v>
      </c>
      <c r="E139" s="334" t="s">
        <v>778</v>
      </c>
      <c r="F139" s="331">
        <f t="shared" si="6"/>
        <v>144</v>
      </c>
      <c r="G139" s="329"/>
    </row>
    <row r="140" spans="1:7" ht="16.5">
      <c r="A140" s="333">
        <v>4</v>
      </c>
      <c r="B140" s="334" t="s">
        <v>778</v>
      </c>
      <c r="C140" s="335" t="s">
        <v>3999</v>
      </c>
      <c r="D140" s="331">
        <v>15</v>
      </c>
      <c r="E140" s="334" t="s">
        <v>778</v>
      </c>
      <c r="F140" s="331">
        <f t="shared" si="6"/>
        <v>60</v>
      </c>
      <c r="G140" s="329"/>
    </row>
    <row r="141" spans="1:7" ht="16.5">
      <c r="A141" s="333">
        <v>2.0249999999999999</v>
      </c>
      <c r="B141" s="334" t="s">
        <v>2308</v>
      </c>
      <c r="C141" s="335" t="s">
        <v>1887</v>
      </c>
      <c r="D141" s="329">
        <f>F152</f>
        <v>1724</v>
      </c>
      <c r="E141" s="334" t="s">
        <v>2308</v>
      </c>
      <c r="F141" s="331">
        <f t="shared" si="6"/>
        <v>3491.1</v>
      </c>
      <c r="G141" s="329"/>
    </row>
    <row r="142" spans="1:7" ht="16.5">
      <c r="A142" s="333"/>
      <c r="B142" s="334"/>
      <c r="C142" s="335" t="s">
        <v>1888</v>
      </c>
      <c r="D142" s="329"/>
      <c r="E142" s="330"/>
      <c r="F142" s="331"/>
      <c r="G142" s="329"/>
    </row>
    <row r="143" spans="1:7" ht="16.5">
      <c r="A143" s="329"/>
      <c r="B143" s="336"/>
      <c r="C143" s="335"/>
      <c r="D143" s="329"/>
      <c r="E143" s="330"/>
      <c r="F143" s="331"/>
      <c r="G143" s="329"/>
    </row>
    <row r="144" spans="1:7" ht="16.5">
      <c r="A144" s="329"/>
      <c r="B144" s="329"/>
      <c r="C144" s="342" t="s">
        <v>3892</v>
      </c>
      <c r="D144" s="329"/>
      <c r="E144" s="329"/>
      <c r="F144" s="339">
        <f>SUM(F132:F143)</f>
        <v>10341.92</v>
      </c>
      <c r="G144" s="339" t="s">
        <v>1418</v>
      </c>
    </row>
    <row r="145" spans="1:7" ht="16.5">
      <c r="A145" s="329"/>
      <c r="B145" s="329"/>
      <c r="C145" s="25" t="s">
        <v>4000</v>
      </c>
      <c r="D145" s="329"/>
      <c r="E145" s="329"/>
      <c r="F145" s="25">
        <f>F144/A136</f>
        <v>5107.12</v>
      </c>
      <c r="G145" s="329" t="s">
        <v>2308</v>
      </c>
    </row>
    <row r="146" spans="1:7" ht="16.5">
      <c r="A146" s="329"/>
      <c r="B146" s="329"/>
      <c r="C146" s="342"/>
      <c r="D146" s="329"/>
      <c r="E146" s="329"/>
      <c r="F146" s="329"/>
      <c r="G146" s="329"/>
    </row>
    <row r="147" spans="1:7" ht="16.5">
      <c r="A147" s="331">
        <v>1</v>
      </c>
      <c r="B147" s="334" t="s">
        <v>877</v>
      </c>
      <c r="C147" s="335" t="s">
        <v>3983</v>
      </c>
      <c r="D147" s="331">
        <f>D120</f>
        <v>760</v>
      </c>
      <c r="E147" s="335" t="s">
        <v>877</v>
      </c>
      <c r="F147" s="331">
        <f>D147*A147</f>
        <v>760</v>
      </c>
      <c r="G147" s="329"/>
    </row>
    <row r="148" spans="1:7" ht="16.5">
      <c r="A148" s="331">
        <v>1</v>
      </c>
      <c r="B148" s="334" t="s">
        <v>877</v>
      </c>
      <c r="C148" s="335" t="s">
        <v>3984</v>
      </c>
      <c r="D148" s="331">
        <f>D121</f>
        <v>562</v>
      </c>
      <c r="E148" s="335" t="s">
        <v>877</v>
      </c>
      <c r="F148" s="331">
        <f>D148*A148</f>
        <v>562</v>
      </c>
      <c r="G148" s="329"/>
    </row>
    <row r="149" spans="1:7" ht="16.5">
      <c r="A149" s="331">
        <v>0.5</v>
      </c>
      <c r="B149" s="334" t="s">
        <v>877</v>
      </c>
      <c r="C149" s="335" t="s">
        <v>3985</v>
      </c>
      <c r="D149" s="331">
        <f>D122</f>
        <v>804</v>
      </c>
      <c r="E149" s="335" t="s">
        <v>877</v>
      </c>
      <c r="F149" s="331">
        <f>D149*A149</f>
        <v>402</v>
      </c>
      <c r="G149" s="329"/>
    </row>
    <row r="150" spans="1:7" ht="16.5">
      <c r="A150" s="329"/>
      <c r="B150" s="334"/>
      <c r="C150" s="335"/>
      <c r="D150" s="331"/>
      <c r="E150" s="335"/>
      <c r="F150" s="331"/>
      <c r="G150" s="329"/>
    </row>
    <row r="151" spans="1:7" ht="16.5">
      <c r="A151" s="329"/>
      <c r="B151" s="336"/>
      <c r="C151" s="329"/>
      <c r="D151" s="329"/>
      <c r="E151" s="343"/>
      <c r="F151" s="344" t="s">
        <v>1609</v>
      </c>
      <c r="G151" s="329"/>
    </row>
    <row r="152" spans="1:7" ht="16.5">
      <c r="A152" s="329"/>
      <c r="B152" s="336"/>
      <c r="C152" s="335" t="s">
        <v>3986</v>
      </c>
      <c r="D152" s="329"/>
      <c r="E152" s="343"/>
      <c r="F152" s="338">
        <f>SUM(F147:F151)</f>
        <v>1724</v>
      </c>
      <c r="G152" s="329"/>
    </row>
    <row r="153" spans="1:7" ht="16.5">
      <c r="A153" s="329"/>
      <c r="B153" s="336"/>
      <c r="C153" s="329"/>
      <c r="D153" s="329"/>
      <c r="E153" s="343"/>
      <c r="F153" s="344" t="s">
        <v>1609</v>
      </c>
      <c r="G153" s="329"/>
    </row>
    <row r="155" spans="1:7">
      <c r="A155" s="1856" t="s">
        <v>4001</v>
      </c>
      <c r="B155" s="1856"/>
      <c r="C155" s="1856"/>
      <c r="D155" s="1856"/>
      <c r="E155" s="1856"/>
      <c r="F155" s="1856"/>
    </row>
    <row r="156" spans="1:7">
      <c r="A156" s="1856"/>
      <c r="B156" s="1856"/>
      <c r="C156" s="1856"/>
      <c r="D156" s="1856"/>
      <c r="E156" s="1856"/>
      <c r="F156" s="1856"/>
    </row>
    <row r="157" spans="1:7" ht="16.5">
      <c r="A157" s="333"/>
      <c r="B157" s="334"/>
      <c r="C157" s="335"/>
      <c r="D157" s="331"/>
      <c r="E157" s="334"/>
      <c r="F157" s="331"/>
    </row>
    <row r="158" spans="1:7" ht="16.5">
      <c r="A158" s="333">
        <v>6.56</v>
      </c>
      <c r="B158" s="334" t="s">
        <v>922</v>
      </c>
      <c r="C158" s="335" t="s">
        <v>3989</v>
      </c>
      <c r="D158" s="331">
        <f>D135</f>
        <v>301</v>
      </c>
      <c r="E158" s="334" t="s">
        <v>922</v>
      </c>
      <c r="F158" s="331">
        <f>D158*A158</f>
        <v>1974.56</v>
      </c>
    </row>
    <row r="159" spans="1:7" ht="16.5">
      <c r="A159" s="333">
        <v>1.0129999999999999</v>
      </c>
      <c r="B159" s="334" t="s">
        <v>236</v>
      </c>
      <c r="C159" s="335" t="s">
        <v>3973</v>
      </c>
      <c r="D159" s="331">
        <f>D136</f>
        <v>208.8</v>
      </c>
      <c r="E159" s="334" t="s">
        <v>236</v>
      </c>
      <c r="F159" s="331">
        <f t="shared" ref="F159:F164" si="7">D159*A159</f>
        <v>211.51</v>
      </c>
    </row>
    <row r="160" spans="1:7" ht="16.5">
      <c r="A160" s="333">
        <v>4.2</v>
      </c>
      <c r="B160" s="334" t="s">
        <v>835</v>
      </c>
      <c r="C160" s="335" t="s">
        <v>3972</v>
      </c>
      <c r="D160" s="331">
        <f>D137</f>
        <v>27.1</v>
      </c>
      <c r="E160" s="334" t="s">
        <v>835</v>
      </c>
      <c r="F160" s="331">
        <f t="shared" si="7"/>
        <v>113.82</v>
      </c>
    </row>
    <row r="161" spans="1:7" ht="16.5">
      <c r="A161" s="333">
        <v>1</v>
      </c>
      <c r="B161" s="334" t="s">
        <v>3981</v>
      </c>
      <c r="C161" s="335" t="str">
        <f>C138</f>
        <v>10" I Max hinges (304 grade) qtn</v>
      </c>
      <c r="D161" s="331">
        <f>D138</f>
        <v>350</v>
      </c>
      <c r="E161" s="334" t="s">
        <v>778</v>
      </c>
      <c r="F161" s="331">
        <f t="shared" si="7"/>
        <v>350</v>
      </c>
    </row>
    <row r="162" spans="1:7" ht="16.5">
      <c r="A162" s="333">
        <v>1</v>
      </c>
      <c r="B162" s="334" t="s">
        <v>778</v>
      </c>
      <c r="C162" s="335" t="s">
        <v>3974</v>
      </c>
      <c r="D162" s="331">
        <f>D139</f>
        <v>48</v>
      </c>
      <c r="E162" s="334" t="s">
        <v>778</v>
      </c>
      <c r="F162" s="331">
        <f t="shared" si="7"/>
        <v>48</v>
      </c>
    </row>
    <row r="163" spans="1:7" ht="16.5">
      <c r="A163" s="333">
        <v>4</v>
      </c>
      <c r="B163" s="334" t="s">
        <v>778</v>
      </c>
      <c r="C163" s="335" t="s">
        <v>3976</v>
      </c>
      <c r="D163" s="331">
        <v>15</v>
      </c>
      <c r="E163" s="334" t="s">
        <v>778</v>
      </c>
      <c r="F163" s="331">
        <f>D163*A163</f>
        <v>60</v>
      </c>
    </row>
    <row r="164" spans="1:7" ht="16.5">
      <c r="A164" s="333">
        <v>1.0129999999999999</v>
      </c>
      <c r="B164" s="334" t="s">
        <v>2308</v>
      </c>
      <c r="C164" s="335" t="s">
        <v>3977</v>
      </c>
      <c r="D164" s="329">
        <f>D141</f>
        <v>1724</v>
      </c>
      <c r="E164" s="334" t="s">
        <v>2308</v>
      </c>
      <c r="F164" s="331">
        <f t="shared" si="7"/>
        <v>1746.41</v>
      </c>
    </row>
    <row r="165" spans="1:7" ht="16.5">
      <c r="A165" s="333"/>
      <c r="B165" s="334"/>
      <c r="C165" s="335" t="s">
        <v>2296</v>
      </c>
      <c r="D165" s="329"/>
      <c r="E165" s="330"/>
      <c r="F165" s="331"/>
    </row>
    <row r="166" spans="1:7" ht="23.25" customHeight="1">
      <c r="A166" s="333"/>
      <c r="B166" s="334"/>
      <c r="C166" s="337" t="s">
        <v>3575</v>
      </c>
      <c r="D166" s="339"/>
      <c r="E166" s="328"/>
      <c r="F166" s="338">
        <f>SUM(F158:F165)</f>
        <v>4504.3</v>
      </c>
    </row>
    <row r="167" spans="1:7" ht="13.5" customHeight="1">
      <c r="A167" s="333"/>
      <c r="B167" s="334"/>
      <c r="C167" s="25" t="s">
        <v>4002</v>
      </c>
      <c r="D167" s="329"/>
      <c r="E167" s="329"/>
      <c r="F167" s="25">
        <f>F166/A164</f>
        <v>4446.5</v>
      </c>
      <c r="G167" s="329" t="s">
        <v>2308</v>
      </c>
    </row>
    <row r="168" spans="1:7" ht="16.5">
      <c r="A168" s="329"/>
      <c r="B168" s="329"/>
      <c r="C168" s="342"/>
      <c r="D168" s="329"/>
      <c r="E168" s="329"/>
      <c r="F168" s="329"/>
    </row>
    <row r="169" spans="1:7" ht="16.5">
      <c r="A169" s="331">
        <v>1</v>
      </c>
      <c r="B169" s="334" t="s">
        <v>877</v>
      </c>
      <c r="C169" s="335" t="s">
        <v>3983</v>
      </c>
      <c r="D169" s="331">
        <f>D147</f>
        <v>760</v>
      </c>
      <c r="E169" s="335" t="s">
        <v>877</v>
      </c>
      <c r="F169" s="331">
        <f>D169*A169</f>
        <v>760</v>
      </c>
    </row>
    <row r="170" spans="1:7" ht="16.5">
      <c r="A170" s="331">
        <v>1</v>
      </c>
      <c r="B170" s="334" t="s">
        <v>877</v>
      </c>
      <c r="C170" s="335" t="s">
        <v>3984</v>
      </c>
      <c r="D170" s="331">
        <f>D148</f>
        <v>562</v>
      </c>
      <c r="E170" s="335" t="s">
        <v>877</v>
      </c>
      <c r="F170" s="331">
        <f>D170*A170</f>
        <v>562</v>
      </c>
    </row>
    <row r="171" spans="1:7" ht="16.5">
      <c r="A171" s="331">
        <v>0.5</v>
      </c>
      <c r="B171" s="334" t="s">
        <v>877</v>
      </c>
      <c r="C171" s="335" t="s">
        <v>3985</v>
      </c>
      <c r="D171" s="331">
        <f>D149</f>
        <v>804</v>
      </c>
      <c r="E171" s="335" t="s">
        <v>877</v>
      </c>
      <c r="F171" s="331">
        <f>D171*A171</f>
        <v>402</v>
      </c>
    </row>
    <row r="172" spans="1:7" ht="35.25" hidden="1" customHeight="1">
      <c r="A172" s="329"/>
      <c r="B172" s="334"/>
      <c r="C172" s="335"/>
      <c r="D172" s="331"/>
      <c r="E172" s="335"/>
      <c r="F172" s="331"/>
    </row>
    <row r="173" spans="1:7" ht="15.75" hidden="1" customHeight="1">
      <c r="A173" s="329"/>
      <c r="B173" s="336"/>
      <c r="C173" s="329"/>
      <c r="D173" s="329"/>
      <c r="E173" s="343"/>
      <c r="F173" s="344" t="s">
        <v>1609</v>
      </c>
    </row>
    <row r="174" spans="1:7" ht="15.75" hidden="1" customHeight="1">
      <c r="A174" s="329"/>
      <c r="B174" s="336"/>
      <c r="C174" s="335" t="s">
        <v>3986</v>
      </c>
      <c r="D174" s="329"/>
      <c r="E174" s="343"/>
      <c r="F174" s="338">
        <f>SUM(F169:F173)</f>
        <v>1724</v>
      </c>
    </row>
    <row r="175" spans="1:7" ht="15.75" hidden="1" customHeight="1">
      <c r="A175" s="329"/>
      <c r="B175" s="336"/>
      <c r="C175" s="329"/>
      <c r="D175" s="329"/>
      <c r="E175" s="343"/>
      <c r="F175" s="344" t="s">
        <v>1609</v>
      </c>
    </row>
    <row r="176" spans="1:7">
      <c r="F176" s="25">
        <f>SUM(F174)</f>
        <v>1724</v>
      </c>
    </row>
    <row r="178" spans="1:7" ht="19.5">
      <c r="B178" s="3"/>
      <c r="C178" s="96"/>
      <c r="D178" s="1857"/>
      <c r="E178" s="1857"/>
      <c r="F178" s="1857"/>
    </row>
    <row r="179" spans="1:7">
      <c r="A179" s="13"/>
      <c r="B179" s="7"/>
      <c r="C179" s="1"/>
      <c r="D179" s="8"/>
      <c r="E179" s="7"/>
      <c r="F179" s="8"/>
    </row>
    <row r="180" spans="1:7">
      <c r="A180" s="64"/>
      <c r="B180" s="65" t="s">
        <v>2276</v>
      </c>
      <c r="C180" s="66" t="s">
        <v>4667</v>
      </c>
      <c r="D180" s="59"/>
      <c r="E180" s="61"/>
      <c r="F180" s="59"/>
      <c r="G180" s="35"/>
    </row>
    <row r="181" spans="1:7">
      <c r="A181" s="59"/>
      <c r="B181" s="60"/>
      <c r="C181" s="66" t="s">
        <v>4668</v>
      </c>
      <c r="D181" s="59"/>
      <c r="E181" s="61"/>
      <c r="F181" s="59"/>
      <c r="G181" s="35"/>
    </row>
    <row r="182" spans="1:7" ht="18">
      <c r="A182" s="59"/>
      <c r="B182" s="60"/>
      <c r="C182" s="247" t="s">
        <v>4669</v>
      </c>
      <c r="D182" s="59"/>
      <c r="E182" s="61"/>
      <c r="F182" s="59"/>
      <c r="G182" s="35"/>
    </row>
    <row r="183" spans="1:7">
      <c r="A183" s="59"/>
      <c r="B183" s="60"/>
      <c r="C183" s="67" t="s">
        <v>1609</v>
      </c>
      <c r="D183" s="59"/>
      <c r="E183" s="61"/>
      <c r="F183" s="59"/>
      <c r="G183" s="35"/>
    </row>
    <row r="184" spans="1:7">
      <c r="A184" s="59"/>
      <c r="B184" s="60"/>
      <c r="C184" s="588" t="s">
        <v>4670</v>
      </c>
      <c r="D184" s="62"/>
      <c r="E184" s="248"/>
      <c r="F184" s="59"/>
      <c r="G184" s="35"/>
    </row>
    <row r="185" spans="1:7">
      <c r="A185" s="59"/>
      <c r="B185" s="60"/>
      <c r="C185" s="66" t="s">
        <v>4671</v>
      </c>
      <c r="D185" s="62"/>
      <c r="E185" s="248"/>
      <c r="F185" s="59"/>
      <c r="G185" s="35"/>
    </row>
    <row r="186" spans="1:7">
      <c r="A186" s="59"/>
      <c r="B186" s="60"/>
      <c r="C186" s="66" t="s">
        <v>4672</v>
      </c>
      <c r="G186" s="35"/>
    </row>
    <row r="187" spans="1:7">
      <c r="A187" s="59"/>
      <c r="B187" s="60"/>
      <c r="C187" s="66" t="s">
        <v>4689</v>
      </c>
      <c r="D187" s="62" t="s">
        <v>2080</v>
      </c>
      <c r="E187" s="249">
        <f>2*2*3*0.15*0.15</f>
        <v>0.27</v>
      </c>
      <c r="F187" s="59" t="s">
        <v>2176</v>
      </c>
      <c r="G187" s="35"/>
    </row>
    <row r="188" spans="1:7" ht="39" customHeight="1">
      <c r="A188" s="59"/>
      <c r="B188" s="60"/>
      <c r="C188" s="66" t="s">
        <v>4673</v>
      </c>
      <c r="D188" s="62" t="s">
        <v>2080</v>
      </c>
      <c r="E188" s="249">
        <f>4*2*0.15*0.15*2.4</f>
        <v>0.432</v>
      </c>
      <c r="F188" s="59" t="s">
        <v>2176</v>
      </c>
      <c r="G188" s="35"/>
    </row>
    <row r="189" spans="1:7" ht="22.5" customHeight="1">
      <c r="A189" s="59"/>
      <c r="B189" s="60"/>
      <c r="C189" s="66"/>
      <c r="D189" s="62"/>
      <c r="E189" s="67" t="s">
        <v>1609</v>
      </c>
      <c r="F189" s="71"/>
      <c r="G189" s="35"/>
    </row>
    <row r="190" spans="1:7" ht="16.5" customHeight="1">
      <c r="A190" s="59"/>
      <c r="B190" s="60"/>
      <c r="C190" s="59"/>
      <c r="D190" s="59"/>
      <c r="E190" s="256">
        <f>SUM(E187:E189)</f>
        <v>0.70199999999999996</v>
      </c>
      <c r="F190" s="25" t="s">
        <v>2176</v>
      </c>
      <c r="G190" s="35"/>
    </row>
    <row r="191" spans="1:7" ht="16.5" customHeight="1">
      <c r="A191" s="59"/>
      <c r="B191" s="60"/>
      <c r="C191" s="66" t="s">
        <v>4690</v>
      </c>
      <c r="D191" s="59"/>
      <c r="E191" s="81"/>
      <c r="F191" s="73"/>
      <c r="G191" s="35"/>
    </row>
    <row r="192" spans="1:7" ht="27.75" customHeight="1">
      <c r="A192" s="59"/>
      <c r="B192" s="60"/>
      <c r="C192" s="66" t="s">
        <v>4674</v>
      </c>
      <c r="D192" s="59"/>
      <c r="E192" s="251"/>
      <c r="F192" s="73"/>
      <c r="G192" s="35"/>
    </row>
    <row r="193" spans="1:8" ht="14.25" customHeight="1">
      <c r="A193" s="59"/>
      <c r="B193" s="60"/>
      <c r="C193" s="66"/>
      <c r="D193" s="59"/>
      <c r="E193" s="251"/>
      <c r="F193" s="73"/>
      <c r="G193" s="35"/>
    </row>
    <row r="194" spans="1:8" ht="39" customHeight="1">
      <c r="A194" s="74">
        <f>D197</f>
        <v>0.1208</v>
      </c>
      <c r="B194" s="60" t="s">
        <v>878</v>
      </c>
      <c r="C194" s="589" t="s">
        <v>4675</v>
      </c>
      <c r="D194" s="246">
        <f>3*1*1.8*0.15*0.05</f>
        <v>4.0500000000000001E-2</v>
      </c>
      <c r="E194" s="59">
        <v>106376</v>
      </c>
      <c r="F194" s="64" t="s">
        <v>878</v>
      </c>
      <c r="G194" s="68">
        <f>E194*A194</f>
        <v>12850.22</v>
      </c>
    </row>
    <row r="195" spans="1:8" ht="39" customHeight="1">
      <c r="A195" s="74"/>
      <c r="B195" s="60"/>
      <c r="C195" s="59" t="s">
        <v>4676</v>
      </c>
      <c r="D195" s="74">
        <f>6*1*0.1*0.05*2.15</f>
        <v>6.4500000000000002E-2</v>
      </c>
      <c r="E195" s="64"/>
      <c r="F195" s="68"/>
      <c r="G195" s="35"/>
    </row>
    <row r="196" spans="1:8" ht="39" customHeight="1">
      <c r="A196" s="74"/>
      <c r="B196" s="60"/>
      <c r="C196" s="59" t="s">
        <v>4677</v>
      </c>
      <c r="D196" s="74">
        <f>2*3*0.35*0.15*0.05</f>
        <v>1.5800000000000002E-2</v>
      </c>
      <c r="E196" s="64"/>
      <c r="F196" s="68"/>
      <c r="G196" s="35"/>
    </row>
    <row r="197" spans="1:8" ht="39" customHeight="1">
      <c r="A197" s="74"/>
      <c r="B197" s="60"/>
      <c r="C197" s="59"/>
      <c r="D197" s="592">
        <f>SUM(D194:D196)</f>
        <v>0.1208</v>
      </c>
      <c r="E197" s="64"/>
      <c r="F197" s="68"/>
      <c r="G197" s="35"/>
    </row>
    <row r="198" spans="1:8" ht="54.75" customHeight="1">
      <c r="A198" s="71">
        <v>4.5969999999999997E-2</v>
      </c>
      <c r="B198" s="65" t="s">
        <v>878</v>
      </c>
      <c r="C198" s="70" t="s">
        <v>4692</v>
      </c>
      <c r="D198" s="84">
        <f>8*1*0.815*0.35*0.01875</f>
        <v>4.2790000000000002E-2</v>
      </c>
      <c r="E198" s="68">
        <v>101921</v>
      </c>
      <c r="F198" s="64" t="s">
        <v>878</v>
      </c>
      <c r="G198" s="68">
        <f>E198*A198</f>
        <v>4685.3100000000004</v>
      </c>
      <c r="H198" s="35"/>
    </row>
    <row r="199" spans="1:8" ht="30.75">
      <c r="A199" s="71">
        <f>D199</f>
        <v>3.98</v>
      </c>
      <c r="B199" s="65" t="s">
        <v>878</v>
      </c>
      <c r="C199" s="70" t="s">
        <v>4691</v>
      </c>
      <c r="D199">
        <f>1.85*2.15</f>
        <v>3.98</v>
      </c>
      <c r="E199" s="68">
        <f>Data!AE28</f>
        <v>1325</v>
      </c>
      <c r="F199" s="64" t="s">
        <v>2308</v>
      </c>
      <c r="G199" s="68">
        <f>E199*A199</f>
        <v>5273.5</v>
      </c>
      <c r="H199" s="35"/>
    </row>
    <row r="200" spans="1:8">
      <c r="A200" s="71">
        <f>D200</f>
        <v>17.399999999999999</v>
      </c>
      <c r="B200" s="65" t="s">
        <v>1796</v>
      </c>
      <c r="C200" s="70" t="s">
        <v>4693</v>
      </c>
      <c r="D200">
        <f>6*2+3*1.8</f>
        <v>17.399999999999999</v>
      </c>
      <c r="E200" s="68">
        <v>30</v>
      </c>
      <c r="F200" s="64" t="s">
        <v>1796</v>
      </c>
      <c r="G200" s="68">
        <f>E200*A200</f>
        <v>522</v>
      </c>
      <c r="H200" s="35"/>
    </row>
    <row r="201" spans="1:8">
      <c r="A201" s="72"/>
      <c r="B201" s="60"/>
      <c r="C201" s="66"/>
      <c r="E201" s="68"/>
      <c r="F201" s="61"/>
      <c r="G201" s="68">
        <f>E201*A201</f>
        <v>0</v>
      </c>
      <c r="H201" s="35"/>
    </row>
    <row r="202" spans="1:8">
      <c r="A202" s="72"/>
      <c r="B202" s="60"/>
      <c r="C202" s="66" t="s">
        <v>4694</v>
      </c>
      <c r="E202" s="68"/>
      <c r="F202" s="61"/>
      <c r="G202" s="68"/>
      <c r="H202" s="35"/>
    </row>
    <row r="203" spans="1:8" ht="37.5" customHeight="1">
      <c r="A203" s="72">
        <f>D205</f>
        <v>1.26</v>
      </c>
      <c r="B203" s="65" t="s">
        <v>615</v>
      </c>
      <c r="C203" s="70" t="s">
        <v>4697</v>
      </c>
      <c r="D203">
        <f>2*1*0.35*1.4</f>
        <v>0.98</v>
      </c>
      <c r="E203" s="68">
        <v>336</v>
      </c>
      <c r="F203" s="61" t="s">
        <v>615</v>
      </c>
      <c r="G203" s="68">
        <f>E203*A203</f>
        <v>423.36</v>
      </c>
      <c r="H203" s="35"/>
    </row>
    <row r="204" spans="1:8" ht="37.5" customHeight="1">
      <c r="A204" s="72"/>
      <c r="B204" s="65"/>
      <c r="C204" s="70" t="s">
        <v>4695</v>
      </c>
      <c r="D204">
        <f>2*1*0.35*0.4</f>
        <v>0.28000000000000003</v>
      </c>
      <c r="E204" s="68"/>
      <c r="F204" s="61"/>
      <c r="G204" s="68"/>
      <c r="H204" s="35"/>
    </row>
    <row r="205" spans="1:8" ht="37.5" customHeight="1">
      <c r="A205" s="72"/>
      <c r="B205" s="65"/>
      <c r="C205" s="70"/>
      <c r="D205" s="25">
        <f>SUM(D203:D204)</f>
        <v>1.26</v>
      </c>
      <c r="E205" s="68"/>
      <c r="F205" s="61"/>
      <c r="G205" s="68"/>
      <c r="H205" s="35"/>
    </row>
    <row r="206" spans="1:8" ht="42.75" customHeight="1">
      <c r="A206" s="72">
        <v>9.8000000000000007</v>
      </c>
      <c r="B206" s="65" t="s">
        <v>1796</v>
      </c>
      <c r="C206" s="70" t="s">
        <v>4698</v>
      </c>
      <c r="D206">
        <v>9.8000000000000007</v>
      </c>
      <c r="E206" s="68">
        <v>59</v>
      </c>
      <c r="F206" s="61" t="s">
        <v>835</v>
      </c>
      <c r="G206" s="68">
        <f t="shared" ref="G206:G214" si="8">E206*A206</f>
        <v>578.20000000000005</v>
      </c>
      <c r="H206" s="35"/>
    </row>
    <row r="207" spans="1:8" ht="47.25">
      <c r="A207" s="72">
        <f>D207</f>
        <v>1.51</v>
      </c>
      <c r="B207" s="65" t="s">
        <v>615</v>
      </c>
      <c r="C207" s="590" t="s">
        <v>4678</v>
      </c>
      <c r="D207">
        <f>2*1*0.35*2.15</f>
        <v>1.51</v>
      </c>
      <c r="E207" s="68">
        <f>Data!AE30</f>
        <v>1239</v>
      </c>
      <c r="F207" s="64" t="s">
        <v>615</v>
      </c>
      <c r="G207" s="68">
        <f t="shared" si="8"/>
        <v>1870.89</v>
      </c>
      <c r="H207" s="35"/>
    </row>
    <row r="208" spans="1:8">
      <c r="A208" s="68"/>
      <c r="B208" s="65"/>
      <c r="C208" s="57" t="s">
        <v>2850</v>
      </c>
      <c r="E208" s="68"/>
      <c r="F208" s="64"/>
      <c r="G208" s="68">
        <f t="shared" si="8"/>
        <v>0</v>
      </c>
      <c r="H208" s="35"/>
    </row>
    <row r="209" spans="1:8">
      <c r="A209" s="68">
        <v>8</v>
      </c>
      <c r="B209" s="65" t="s">
        <v>877</v>
      </c>
      <c r="C209" s="66" t="s">
        <v>4679</v>
      </c>
      <c r="E209" s="68">
        <f>Data!P2642</f>
        <v>79</v>
      </c>
      <c r="F209" s="64" t="s">
        <v>877</v>
      </c>
      <c r="G209" s="68">
        <f t="shared" si="8"/>
        <v>632</v>
      </c>
      <c r="H209" s="35"/>
    </row>
    <row r="210" spans="1:8">
      <c r="A210" s="68">
        <v>3</v>
      </c>
      <c r="B210" s="65" t="s">
        <v>877</v>
      </c>
      <c r="C210" s="66" t="s">
        <v>4680</v>
      </c>
      <c r="E210" s="68">
        <f>Data!P2643</f>
        <v>130</v>
      </c>
      <c r="F210" s="64" t="s">
        <v>877</v>
      </c>
      <c r="G210" s="68">
        <f t="shared" si="8"/>
        <v>390</v>
      </c>
      <c r="H210" s="35"/>
    </row>
    <row r="211" spans="1:8">
      <c r="A211" s="68">
        <v>1</v>
      </c>
      <c r="B211" s="65" t="s">
        <v>877</v>
      </c>
      <c r="C211" s="66" t="s">
        <v>4681</v>
      </c>
      <c r="E211" s="591">
        <v>320</v>
      </c>
      <c r="F211" s="64" t="s">
        <v>877</v>
      </c>
      <c r="G211" s="68">
        <f t="shared" si="8"/>
        <v>320</v>
      </c>
      <c r="H211" s="35"/>
    </row>
    <row r="212" spans="1:8">
      <c r="A212" s="68">
        <v>2</v>
      </c>
      <c r="B212" s="65" t="s">
        <v>877</v>
      </c>
      <c r="C212" s="66" t="s">
        <v>4682</v>
      </c>
      <c r="E212" s="68">
        <v>650</v>
      </c>
      <c r="F212" s="64" t="s">
        <v>877</v>
      </c>
      <c r="G212" s="68">
        <f t="shared" si="8"/>
        <v>1300</v>
      </c>
      <c r="H212" s="35"/>
    </row>
    <row r="213" spans="1:8">
      <c r="A213" s="68">
        <v>2</v>
      </c>
      <c r="B213" s="65" t="s">
        <v>877</v>
      </c>
      <c r="C213" s="66" t="s">
        <v>4683</v>
      </c>
      <c r="E213" s="68">
        <v>200</v>
      </c>
      <c r="F213" s="64" t="s">
        <v>877</v>
      </c>
      <c r="G213" s="68">
        <f t="shared" si="8"/>
        <v>400</v>
      </c>
      <c r="H213" s="35"/>
    </row>
    <row r="214" spans="1:8">
      <c r="A214" s="68">
        <v>2</v>
      </c>
      <c r="B214" s="65" t="s">
        <v>877</v>
      </c>
      <c r="C214" s="66" t="s">
        <v>4684</v>
      </c>
      <c r="E214" s="68">
        <v>60</v>
      </c>
      <c r="F214" s="64" t="s">
        <v>877</v>
      </c>
      <c r="G214" s="68">
        <f t="shared" si="8"/>
        <v>120</v>
      </c>
      <c r="H214" s="35"/>
    </row>
    <row r="215" spans="1:8" hidden="1">
      <c r="A215" s="59"/>
      <c r="B215" s="60"/>
      <c r="C215" s="59" t="s">
        <v>4685</v>
      </c>
      <c r="E215" s="64" t="s">
        <v>663</v>
      </c>
      <c r="F215" s="61"/>
      <c r="G215" s="252">
        <v>400</v>
      </c>
      <c r="H215" s="35"/>
    </row>
    <row r="216" spans="1:8">
      <c r="A216" s="59"/>
      <c r="B216" s="60"/>
      <c r="C216" s="59" t="s">
        <v>4696</v>
      </c>
      <c r="E216" s="68"/>
      <c r="F216" s="61" t="s">
        <v>663</v>
      </c>
      <c r="G216" s="69">
        <v>400</v>
      </c>
      <c r="H216" s="35"/>
    </row>
    <row r="217" spans="1:8">
      <c r="A217" s="59"/>
      <c r="B217" s="60"/>
      <c r="E217" s="68"/>
      <c r="F217" s="61"/>
      <c r="G217" s="68"/>
      <c r="H217" s="35"/>
    </row>
    <row r="218" spans="1:8">
      <c r="A218" s="59"/>
      <c r="B218" s="60"/>
      <c r="C218" s="66" t="s">
        <v>3892</v>
      </c>
      <c r="E218" s="68"/>
      <c r="F218" s="61"/>
      <c r="G218" s="67">
        <f>SUM(G194:G217)</f>
        <v>30165.48</v>
      </c>
      <c r="H218" s="35"/>
    </row>
    <row r="219" spans="1:8">
      <c r="A219" s="59"/>
      <c r="B219" s="60"/>
      <c r="C219" s="57" t="s">
        <v>556</v>
      </c>
      <c r="E219" s="59"/>
      <c r="F219" s="63" t="s">
        <v>729</v>
      </c>
      <c r="G219" s="58">
        <v>27750</v>
      </c>
      <c r="H219" s="256" t="s">
        <v>3663</v>
      </c>
    </row>
    <row r="220" spans="1:8">
      <c r="G220" s="35"/>
    </row>
    <row r="221" spans="1:8">
      <c r="A221" s="35"/>
      <c r="B221" s="3"/>
      <c r="C221" s="1"/>
      <c r="E221" s="9"/>
    </row>
    <row r="222" spans="1:8">
      <c r="A222" s="35"/>
      <c r="B222" s="3"/>
      <c r="C222" s="1"/>
      <c r="E222" s="9"/>
    </row>
    <row r="223" spans="1:8">
      <c r="A223" s="35"/>
      <c r="B223" s="3"/>
      <c r="C223" s="1"/>
      <c r="E223" s="9"/>
    </row>
    <row r="224" spans="1:8">
      <c r="A224" s="35"/>
      <c r="B224" s="3"/>
      <c r="C224" s="5"/>
      <c r="D224" s="5"/>
      <c r="E224" s="9"/>
    </row>
    <row r="225" spans="1:6" ht="18" customHeight="1">
      <c r="A225" s="35"/>
      <c r="B225" s="7"/>
      <c r="C225" s="1"/>
      <c r="E225" s="9"/>
    </row>
    <row r="226" spans="1:6">
      <c r="A226" s="35"/>
      <c r="B226" s="3"/>
      <c r="C226" s="1"/>
      <c r="E226" s="9"/>
    </row>
    <row r="227" spans="1:6">
      <c r="A227" s="11"/>
      <c r="B227" s="7"/>
      <c r="C227" s="1"/>
      <c r="D227" s="42"/>
      <c r="E227" s="1"/>
      <c r="F227" s="8"/>
    </row>
    <row r="228" spans="1:6">
      <c r="A228" s="11"/>
      <c r="B228" s="7"/>
      <c r="C228" s="1"/>
      <c r="D228" s="42"/>
      <c r="E228" s="1"/>
      <c r="F228" s="8"/>
    </row>
    <row r="229" spans="1:6">
      <c r="A229" s="11"/>
      <c r="B229" s="7"/>
      <c r="C229" s="1"/>
      <c r="D229" s="42"/>
      <c r="E229" s="1"/>
      <c r="F229" s="8"/>
    </row>
    <row r="230" spans="1:6" ht="18" customHeight="1">
      <c r="A230" s="35"/>
      <c r="B230" s="7"/>
      <c r="C230" s="1"/>
      <c r="D230" s="42"/>
      <c r="E230" s="1"/>
      <c r="F230" s="8"/>
    </row>
    <row r="231" spans="1:6">
      <c r="A231" s="35"/>
      <c r="B231" s="3"/>
      <c r="C231" s="1"/>
      <c r="E231" s="9"/>
      <c r="F231" s="5"/>
    </row>
    <row r="232" spans="1:6">
      <c r="A232" s="35"/>
      <c r="B232" s="3"/>
      <c r="C232" s="2"/>
      <c r="E232" s="9"/>
      <c r="F232" s="8"/>
    </row>
    <row r="233" spans="1:6">
      <c r="A233" s="35"/>
      <c r="B233" s="3"/>
      <c r="E233" s="9"/>
      <c r="F233" s="5"/>
    </row>
    <row r="234" spans="1:6">
      <c r="A234" s="35"/>
      <c r="B234" s="3"/>
      <c r="C234" s="2"/>
      <c r="E234" s="9"/>
      <c r="F234" s="8"/>
    </row>
    <row r="235" spans="1:6">
      <c r="A235" s="35"/>
      <c r="B235" s="3"/>
      <c r="C235" s="1"/>
      <c r="D235" s="8"/>
      <c r="E235" s="1"/>
      <c r="F235" s="26"/>
    </row>
    <row r="236" spans="1:6">
      <c r="A236" s="35"/>
      <c r="B236" s="3"/>
      <c r="C236" s="1"/>
      <c r="D236" s="8"/>
      <c r="E236" s="1"/>
      <c r="F236" s="26"/>
    </row>
    <row r="237" spans="1:6">
      <c r="A237" s="35"/>
      <c r="B237" s="3"/>
      <c r="C237" s="1"/>
      <c r="D237" s="8"/>
      <c r="E237" s="1"/>
      <c r="F237" s="26"/>
    </row>
    <row r="238" spans="1:6">
      <c r="A238" s="35"/>
      <c r="B238" s="3"/>
      <c r="C238" s="1"/>
      <c r="D238" s="8"/>
      <c r="E238" s="1"/>
      <c r="F238" s="26"/>
    </row>
    <row r="239" spans="1:6">
      <c r="A239" s="35"/>
      <c r="B239" s="3"/>
      <c r="C239" s="1"/>
      <c r="D239" s="8"/>
      <c r="E239" s="1"/>
      <c r="F239" s="26"/>
    </row>
    <row r="247" spans="1:8" ht="16.5">
      <c r="A247" s="1856" t="s">
        <v>4202</v>
      </c>
      <c r="B247" s="1856"/>
      <c r="C247" s="1856"/>
      <c r="D247" s="1856"/>
      <c r="E247" s="328"/>
      <c r="F247" s="328"/>
      <c r="G247" s="329"/>
    </row>
    <row r="248" spans="1:8" ht="16.5">
      <c r="A248" s="333"/>
      <c r="B248" s="334"/>
      <c r="C248" s="341"/>
      <c r="D248" s="331"/>
      <c r="E248" s="334"/>
      <c r="F248" s="331"/>
      <c r="G248" s="329"/>
    </row>
    <row r="249" spans="1:8" ht="16.5">
      <c r="A249" s="333"/>
      <c r="B249" s="334"/>
      <c r="C249" s="335"/>
      <c r="D249" s="331"/>
      <c r="E249" s="334"/>
      <c r="F249" s="331"/>
      <c r="G249" s="329"/>
    </row>
    <row r="250" spans="1:8" ht="16.5">
      <c r="A250" s="333">
        <v>28.49</v>
      </c>
      <c r="B250" s="334" t="s">
        <v>922</v>
      </c>
      <c r="C250" s="394" t="s">
        <v>4203</v>
      </c>
      <c r="D250" s="331">
        <v>292</v>
      </c>
      <c r="E250" s="334" t="s">
        <v>922</v>
      </c>
      <c r="F250" s="331">
        <f>D250*A250</f>
        <v>8319.08</v>
      </c>
      <c r="G250" s="329"/>
    </row>
    <row r="251" spans="1:8" ht="16.5">
      <c r="A251" s="383">
        <v>3.82</v>
      </c>
      <c r="B251" s="334" t="s">
        <v>835</v>
      </c>
      <c r="C251" s="335" t="s">
        <v>4128</v>
      </c>
      <c r="D251" s="331">
        <v>36.299999999999997</v>
      </c>
      <c r="E251" s="334" t="s">
        <v>835</v>
      </c>
      <c r="F251" s="331">
        <v>501.66</v>
      </c>
      <c r="G251" s="329"/>
    </row>
    <row r="252" spans="1:8" ht="16.5">
      <c r="A252" s="333">
        <v>1.52</v>
      </c>
      <c r="B252" s="334" t="s">
        <v>236</v>
      </c>
      <c r="C252" s="335" t="s">
        <v>4126</v>
      </c>
      <c r="D252" s="331">
        <v>387.2</v>
      </c>
      <c r="E252" s="334" t="s">
        <v>236</v>
      </c>
      <c r="F252" s="331">
        <f t="shared" ref="F252:F261" si="9">D252*A252</f>
        <v>588.54</v>
      </c>
      <c r="G252" s="329"/>
    </row>
    <row r="253" spans="1:8" ht="16.5">
      <c r="A253" s="333">
        <v>1.52</v>
      </c>
      <c r="B253" s="334" t="s">
        <v>236</v>
      </c>
      <c r="C253" s="335" t="s">
        <v>4127</v>
      </c>
      <c r="D253" s="331">
        <v>695</v>
      </c>
      <c r="E253" s="334" t="s">
        <v>778</v>
      </c>
      <c r="F253" s="331">
        <f t="shared" si="9"/>
        <v>1056.4000000000001</v>
      </c>
      <c r="G253" s="329"/>
    </row>
    <row r="254" spans="1:8" ht="16.5">
      <c r="A254" s="333">
        <v>3</v>
      </c>
      <c r="B254" s="334" t="s">
        <v>225</v>
      </c>
      <c r="C254" s="335" t="s">
        <v>4130</v>
      </c>
      <c r="D254" s="331">
        <v>9</v>
      </c>
      <c r="E254" s="334" t="s">
        <v>225</v>
      </c>
      <c r="F254" s="331">
        <f t="shared" si="9"/>
        <v>27</v>
      </c>
      <c r="G254" s="329"/>
      <c r="H254" s="382"/>
    </row>
    <row r="255" spans="1:8" ht="16.5">
      <c r="A255" s="333">
        <v>4.2</v>
      </c>
      <c r="B255" s="334" t="s">
        <v>1418</v>
      </c>
      <c r="C255" s="335" t="s">
        <v>4204</v>
      </c>
      <c r="D255" s="331">
        <v>8.4499999999999993</v>
      </c>
      <c r="E255" s="334" t="s">
        <v>778</v>
      </c>
      <c r="F255" s="331">
        <f t="shared" si="9"/>
        <v>35.49</v>
      </c>
      <c r="G255" s="329"/>
      <c r="H255" s="382"/>
    </row>
    <row r="256" spans="1:8" ht="16.5">
      <c r="A256" s="333">
        <v>3.15</v>
      </c>
      <c r="B256" s="334" t="s">
        <v>2308</v>
      </c>
      <c r="C256" s="335" t="s">
        <v>3977</v>
      </c>
      <c r="D256" s="329">
        <f>F272</f>
        <v>0</v>
      </c>
      <c r="E256" s="334" t="s">
        <v>2308</v>
      </c>
      <c r="F256" s="331">
        <f t="shared" si="9"/>
        <v>0</v>
      </c>
      <c r="G256" s="329"/>
      <c r="H256" s="382"/>
    </row>
    <row r="257" spans="1:8" ht="16.5">
      <c r="A257" s="25">
        <v>1</v>
      </c>
      <c r="B257" s="45" t="s">
        <v>1898</v>
      </c>
      <c r="C257" s="25" t="s">
        <v>4205</v>
      </c>
      <c r="D257" s="25">
        <v>44.4</v>
      </c>
      <c r="E257" s="51" t="s">
        <v>1418</v>
      </c>
      <c r="F257" s="25">
        <f t="shared" si="9"/>
        <v>44.4</v>
      </c>
      <c r="G257" s="329"/>
      <c r="H257" s="382"/>
    </row>
    <row r="258" spans="1:8" ht="16.5">
      <c r="A258" s="25">
        <v>1</v>
      </c>
      <c r="B258" s="45" t="s">
        <v>1898</v>
      </c>
      <c r="C258" s="25" t="s">
        <v>4206</v>
      </c>
      <c r="D258" s="25">
        <v>867.3</v>
      </c>
      <c r="E258" s="51" t="s">
        <v>1418</v>
      </c>
      <c r="F258" s="25">
        <f t="shared" si="9"/>
        <v>867.3</v>
      </c>
      <c r="G258" s="329"/>
      <c r="H258" s="382"/>
    </row>
    <row r="259" spans="1:8" ht="18">
      <c r="A259" s="384">
        <v>45</v>
      </c>
      <c r="B259" s="385" t="s">
        <v>1898</v>
      </c>
      <c r="C259" s="384" t="s">
        <v>4207</v>
      </c>
      <c r="D259" s="386">
        <v>1.65</v>
      </c>
      <c r="E259" s="387" t="s">
        <v>1414</v>
      </c>
      <c r="F259" s="331">
        <f t="shared" si="9"/>
        <v>74.25</v>
      </c>
      <c r="G259" s="329"/>
      <c r="H259" s="382"/>
    </row>
    <row r="260" spans="1:8" ht="18">
      <c r="A260" s="384">
        <v>2</v>
      </c>
      <c r="B260" s="385" t="s">
        <v>1898</v>
      </c>
      <c r="C260" s="384" t="s">
        <v>4208</v>
      </c>
      <c r="D260" s="386">
        <v>76.2</v>
      </c>
      <c r="E260" s="51" t="s">
        <v>1418</v>
      </c>
      <c r="F260" s="331">
        <f t="shared" si="9"/>
        <v>152.4</v>
      </c>
      <c r="G260" s="329"/>
      <c r="H260" s="382"/>
    </row>
    <row r="261" spans="1:8" ht="18">
      <c r="A261" s="384">
        <v>2</v>
      </c>
      <c r="B261" s="385" t="s">
        <v>1898</v>
      </c>
      <c r="C261" s="384" t="s">
        <v>4209</v>
      </c>
      <c r="D261" s="386">
        <v>50.6</v>
      </c>
      <c r="E261" s="51" t="s">
        <v>1418</v>
      </c>
      <c r="F261" s="331">
        <f t="shared" si="9"/>
        <v>101.2</v>
      </c>
      <c r="G261" s="329"/>
      <c r="H261" s="382"/>
    </row>
    <row r="262" spans="1:8" ht="16.5">
      <c r="F262" s="35"/>
      <c r="G262" s="329"/>
      <c r="H262" s="382"/>
    </row>
    <row r="263" spans="1:8" ht="16.5">
      <c r="A263" s="333"/>
      <c r="B263" s="334"/>
      <c r="C263" s="335"/>
      <c r="D263" s="329"/>
      <c r="E263" s="330"/>
      <c r="F263" s="331"/>
      <c r="G263" s="329"/>
      <c r="H263" s="382"/>
    </row>
    <row r="264" spans="1:8" ht="16.5">
      <c r="A264" s="333"/>
      <c r="B264" s="334"/>
      <c r="C264" s="1" t="s">
        <v>4210</v>
      </c>
      <c r="E264" s="334"/>
      <c r="F264" s="331">
        <f>SUM(F250:F263)</f>
        <v>11767.72</v>
      </c>
      <c r="G264" s="329"/>
      <c r="H264" s="382"/>
    </row>
    <row r="265" spans="1:8" ht="16.5">
      <c r="A265" s="333"/>
      <c r="B265" s="334"/>
      <c r="C265" s="1" t="s">
        <v>556</v>
      </c>
      <c r="E265" s="328"/>
      <c r="F265" s="338">
        <f>F264/3.15</f>
        <v>3735.78</v>
      </c>
      <c r="G265" s="339" t="s">
        <v>1418</v>
      </c>
      <c r="H265" s="382"/>
    </row>
    <row r="266" spans="1:8" ht="16.5">
      <c r="A266" s="329"/>
      <c r="B266" s="329"/>
      <c r="C266" s="342"/>
      <c r="D266" s="329"/>
      <c r="E266" s="329"/>
      <c r="F266" s="329"/>
      <c r="G266" s="329"/>
      <c r="H266" s="382"/>
    </row>
    <row r="267" spans="1:8" ht="16.5">
      <c r="A267" s="331">
        <v>1</v>
      </c>
      <c r="B267" s="334" t="s">
        <v>877</v>
      </c>
      <c r="C267" s="335" t="s">
        <v>3983</v>
      </c>
      <c r="D267" s="331">
        <f>E218</f>
        <v>0</v>
      </c>
      <c r="E267" s="335" t="s">
        <v>877</v>
      </c>
      <c r="F267" s="331">
        <f>D267*A267</f>
        <v>0</v>
      </c>
      <c r="G267" s="329"/>
      <c r="H267" s="382"/>
    </row>
    <row r="268" spans="1:8" ht="16.5">
      <c r="A268" s="331">
        <v>1</v>
      </c>
      <c r="B268" s="334" t="s">
        <v>877</v>
      </c>
      <c r="C268" s="335" t="s">
        <v>3984</v>
      </c>
      <c r="D268" s="331">
        <f>E219</f>
        <v>0</v>
      </c>
      <c r="E268" s="335" t="s">
        <v>877</v>
      </c>
      <c r="F268" s="331">
        <f>D268*A268</f>
        <v>0</v>
      </c>
      <c r="G268" s="329"/>
      <c r="H268" s="382"/>
    </row>
    <row r="269" spans="1:8" ht="16.5">
      <c r="A269" s="331">
        <v>0.5</v>
      </c>
      <c r="B269" s="334" t="s">
        <v>877</v>
      </c>
      <c r="C269" s="335" t="s">
        <v>3985</v>
      </c>
      <c r="D269" s="331">
        <f>D220</f>
        <v>0</v>
      </c>
      <c r="E269" s="335" t="s">
        <v>877</v>
      </c>
      <c r="F269" s="331">
        <f>D269*A269</f>
        <v>0</v>
      </c>
      <c r="G269" s="329"/>
      <c r="H269" s="382"/>
    </row>
    <row r="270" spans="1:8" ht="16.5">
      <c r="A270" s="329"/>
      <c r="B270" s="334" t="s">
        <v>450</v>
      </c>
      <c r="C270" s="335"/>
      <c r="D270" s="331"/>
      <c r="E270" s="335" t="s">
        <v>450</v>
      </c>
      <c r="F270" s="331"/>
      <c r="G270" s="329"/>
      <c r="H270" s="382"/>
    </row>
    <row r="271" spans="1:8" ht="16.5">
      <c r="A271" s="329"/>
      <c r="B271" s="336"/>
      <c r="C271" s="329"/>
      <c r="D271" s="329"/>
      <c r="E271" s="343"/>
      <c r="F271" s="344" t="s">
        <v>1609</v>
      </c>
      <c r="G271" s="329"/>
      <c r="H271" s="382"/>
    </row>
    <row r="272" spans="1:8" ht="16.5">
      <c r="A272" s="329"/>
      <c r="B272" s="336"/>
      <c r="C272" s="335" t="s">
        <v>3986</v>
      </c>
      <c r="D272" s="329"/>
      <c r="E272" s="343"/>
      <c r="F272" s="338">
        <f>SUM(F267:F271)</f>
        <v>0</v>
      </c>
      <c r="G272" s="329"/>
      <c r="H272" s="382"/>
    </row>
    <row r="273" spans="1:8" ht="16.5">
      <c r="A273" s="329"/>
      <c r="B273" s="336"/>
      <c r="C273" s="329"/>
      <c r="D273" s="329"/>
      <c r="E273" s="343"/>
      <c r="F273" s="344" t="s">
        <v>1609</v>
      </c>
      <c r="G273" s="329"/>
      <c r="H273" s="382"/>
    </row>
    <row r="274" spans="1:8">
      <c r="H274" s="382"/>
    </row>
    <row r="275" spans="1:8">
      <c r="H275" s="382"/>
    </row>
    <row r="276" spans="1:8">
      <c r="A276" s="382"/>
      <c r="B276" s="382"/>
      <c r="C276" s="382" t="s">
        <v>4211</v>
      </c>
      <c r="D276" s="382"/>
      <c r="E276" s="382"/>
      <c r="F276" s="382"/>
      <c r="H276" s="382"/>
    </row>
    <row r="277" spans="1:8" ht="16.5">
      <c r="A277" s="1856" t="s">
        <v>4214</v>
      </c>
      <c r="B277" s="1856"/>
      <c r="C277" s="1856"/>
      <c r="D277" s="1856"/>
      <c r="E277" s="328"/>
      <c r="F277" s="328"/>
      <c r="H277" s="382"/>
    </row>
    <row r="278" spans="1:8" ht="16.5">
      <c r="A278" s="333"/>
      <c r="B278" s="334"/>
      <c r="C278" s="341"/>
      <c r="D278" s="331"/>
      <c r="E278" s="334"/>
      <c r="F278" s="331"/>
      <c r="H278" s="382"/>
    </row>
    <row r="279" spans="1:8" ht="16.5">
      <c r="A279" s="333"/>
      <c r="B279" s="334"/>
      <c r="C279" s="335"/>
      <c r="D279" s="331"/>
      <c r="E279" s="334"/>
      <c r="F279" s="331"/>
    </row>
    <row r="280" spans="1:8" ht="16.5">
      <c r="A280" s="333">
        <v>29.06</v>
      </c>
      <c r="B280" s="334" t="s">
        <v>922</v>
      </c>
      <c r="C280" s="394" t="s">
        <v>4212</v>
      </c>
      <c r="D280" s="331">
        <v>321</v>
      </c>
      <c r="E280" s="334" t="s">
        <v>922</v>
      </c>
      <c r="F280" s="331">
        <f>D280*A280</f>
        <v>9328.26</v>
      </c>
    </row>
    <row r="281" spans="1:8" ht="16.5">
      <c r="A281" s="383">
        <v>9.24</v>
      </c>
      <c r="B281" s="334" t="s">
        <v>835</v>
      </c>
      <c r="C281" s="335" t="s">
        <v>4128</v>
      </c>
      <c r="D281" s="331">
        <v>38.799999999999997</v>
      </c>
      <c r="E281" s="334" t="s">
        <v>835</v>
      </c>
      <c r="F281" s="331">
        <f t="shared" ref="F281:F291" si="10">D281*A281</f>
        <v>358.51</v>
      </c>
    </row>
    <row r="282" spans="1:8" ht="16.5">
      <c r="A282" s="333">
        <v>1.49</v>
      </c>
      <c r="B282" s="334" t="s">
        <v>236</v>
      </c>
      <c r="C282" s="335" t="s">
        <v>4126</v>
      </c>
      <c r="D282" s="331">
        <v>394</v>
      </c>
      <c r="E282" s="334" t="s">
        <v>236</v>
      </c>
      <c r="F282" s="331">
        <f t="shared" si="10"/>
        <v>587.05999999999995</v>
      </c>
    </row>
    <row r="283" spans="1:8" ht="16.5">
      <c r="A283" s="333">
        <v>0.75</v>
      </c>
      <c r="B283" s="334" t="s">
        <v>236</v>
      </c>
      <c r="C283" s="335" t="s">
        <v>4127</v>
      </c>
      <c r="D283" s="331">
        <v>695</v>
      </c>
      <c r="E283" s="334" t="s">
        <v>778</v>
      </c>
      <c r="F283" s="331">
        <f t="shared" si="10"/>
        <v>521.25</v>
      </c>
    </row>
    <row r="284" spans="1:8" ht="16.5">
      <c r="A284" s="333">
        <v>2</v>
      </c>
      <c r="B284" s="334" t="s">
        <v>225</v>
      </c>
      <c r="C284" s="335" t="s">
        <v>4130</v>
      </c>
      <c r="D284" s="331">
        <v>9</v>
      </c>
      <c r="E284" s="334" t="s">
        <v>225</v>
      </c>
      <c r="F284" s="331">
        <f t="shared" si="10"/>
        <v>18</v>
      </c>
    </row>
    <row r="285" spans="1:8" ht="16.5">
      <c r="A285" s="333">
        <v>7.08</v>
      </c>
      <c r="B285" s="334" t="s">
        <v>1418</v>
      </c>
      <c r="C285" s="335" t="s">
        <v>4204</v>
      </c>
      <c r="D285" s="331">
        <v>8.6</v>
      </c>
      <c r="E285" s="334" t="s">
        <v>778</v>
      </c>
      <c r="F285" s="331">
        <f t="shared" si="10"/>
        <v>60.89</v>
      </c>
    </row>
    <row r="286" spans="1:8" ht="16.5">
      <c r="A286" s="333">
        <v>2.1</v>
      </c>
      <c r="B286" s="334" t="s">
        <v>2308</v>
      </c>
      <c r="C286" s="335" t="s">
        <v>3977</v>
      </c>
      <c r="D286" s="329">
        <f>D263</f>
        <v>0</v>
      </c>
      <c r="E286" s="334" t="s">
        <v>2308</v>
      </c>
      <c r="F286" s="331">
        <f t="shared" si="10"/>
        <v>0</v>
      </c>
    </row>
    <row r="287" spans="1:8" ht="16.5">
      <c r="A287" s="393">
        <v>1</v>
      </c>
      <c r="B287" s="395" t="s">
        <v>1898</v>
      </c>
      <c r="C287" s="393" t="s">
        <v>4205</v>
      </c>
      <c r="D287" s="393">
        <v>48.9</v>
      </c>
      <c r="E287" s="396" t="s">
        <v>1418</v>
      </c>
      <c r="F287" s="331">
        <f t="shared" si="10"/>
        <v>48.9</v>
      </c>
    </row>
    <row r="288" spans="1:8" ht="16.5">
      <c r="A288" s="393">
        <v>1</v>
      </c>
      <c r="B288" s="395" t="s">
        <v>1898</v>
      </c>
      <c r="C288" s="393" t="s">
        <v>4206</v>
      </c>
      <c r="D288" s="393">
        <v>884</v>
      </c>
      <c r="E288" s="396" t="s">
        <v>1418</v>
      </c>
      <c r="F288" s="331">
        <f t="shared" si="10"/>
        <v>884</v>
      </c>
    </row>
    <row r="289" spans="1:7" ht="18">
      <c r="A289" s="384">
        <v>6</v>
      </c>
      <c r="B289" s="385" t="s">
        <v>1898</v>
      </c>
      <c r="C289" s="384" t="s">
        <v>4213</v>
      </c>
      <c r="D289" s="386">
        <f>D260</f>
        <v>76.2</v>
      </c>
      <c r="E289" s="387" t="s">
        <v>1414</v>
      </c>
      <c r="F289" s="331">
        <f t="shared" si="10"/>
        <v>457.2</v>
      </c>
    </row>
    <row r="290" spans="1:7" ht="18">
      <c r="A290" s="384">
        <v>2</v>
      </c>
      <c r="B290" s="385" t="s">
        <v>1898</v>
      </c>
      <c r="C290" s="384" t="s">
        <v>4208</v>
      </c>
      <c r="D290" s="386">
        <v>108.7</v>
      </c>
      <c r="E290" s="396" t="s">
        <v>1418</v>
      </c>
      <c r="F290" s="331">
        <f t="shared" si="10"/>
        <v>217.4</v>
      </c>
    </row>
    <row r="291" spans="1:7" ht="18">
      <c r="A291" s="384">
        <v>2</v>
      </c>
      <c r="B291" s="385" t="s">
        <v>1898</v>
      </c>
      <c r="C291" s="384" t="s">
        <v>4209</v>
      </c>
      <c r="D291" s="386">
        <v>54.1</v>
      </c>
      <c r="E291" s="396" t="s">
        <v>1418</v>
      </c>
      <c r="F291" s="331">
        <f t="shared" si="10"/>
        <v>108.2</v>
      </c>
    </row>
    <row r="292" spans="1:7">
      <c r="A292" s="346"/>
      <c r="B292" s="346"/>
      <c r="C292" s="346"/>
      <c r="D292" s="346"/>
      <c r="E292" s="346"/>
      <c r="F292" s="35">
        <f>SUM(F280:F291)</f>
        <v>12589.67</v>
      </c>
    </row>
    <row r="293" spans="1:7" ht="16.5">
      <c r="A293" s="382"/>
      <c r="B293" s="382"/>
      <c r="C293" s="382"/>
      <c r="D293" s="382"/>
      <c r="E293" s="382"/>
      <c r="F293" s="331">
        <f>F292/A286</f>
        <v>5995.08</v>
      </c>
    </row>
    <row r="294" spans="1:7">
      <c r="A294" s="382"/>
      <c r="B294" s="382"/>
      <c r="C294" s="382"/>
      <c r="D294" s="382"/>
      <c r="E294" s="382"/>
      <c r="F294" s="382"/>
    </row>
    <row r="297" spans="1:7" ht="19.5">
      <c r="A297" s="422"/>
      <c r="B297" s="423"/>
      <c r="C297" s="424" t="s">
        <v>4306</v>
      </c>
      <c r="D297" s="425"/>
      <c r="E297" s="426"/>
      <c r="F297" s="425"/>
      <c r="G297" s="427"/>
    </row>
    <row r="298" spans="1:7" ht="18.75">
      <c r="A298" s="428">
        <v>3.488</v>
      </c>
      <c r="B298" s="429" t="s">
        <v>922</v>
      </c>
      <c r="C298" s="430" t="s">
        <v>4307</v>
      </c>
      <c r="D298" s="431">
        <f>D132</f>
        <v>301</v>
      </c>
      <c r="E298" s="429" t="s">
        <v>922</v>
      </c>
      <c r="F298" s="431">
        <f t="shared" ref="F298:F307" si="11">D298*A298</f>
        <v>1049.8900000000001</v>
      </c>
      <c r="G298" s="427"/>
    </row>
    <row r="299" spans="1:7" ht="18.75">
      <c r="A299" s="428">
        <v>4.38</v>
      </c>
      <c r="B299" s="429" t="s">
        <v>922</v>
      </c>
      <c r="C299" s="430" t="s">
        <v>4308</v>
      </c>
      <c r="D299" s="431">
        <f>D133</f>
        <v>301</v>
      </c>
      <c r="E299" s="429" t="s">
        <v>922</v>
      </c>
      <c r="F299" s="431">
        <f t="shared" si="11"/>
        <v>1318.38</v>
      </c>
      <c r="G299" s="427"/>
    </row>
    <row r="300" spans="1:7" ht="18.75">
      <c r="A300" s="428">
        <v>1.18</v>
      </c>
      <c r="B300" s="429" t="s">
        <v>922</v>
      </c>
      <c r="C300" s="430" t="s">
        <v>4309</v>
      </c>
      <c r="D300" s="431">
        <f>D134</f>
        <v>301</v>
      </c>
      <c r="E300" s="429" t="s">
        <v>922</v>
      </c>
      <c r="F300" s="431">
        <f t="shared" si="11"/>
        <v>355.18</v>
      </c>
      <c r="G300" s="427"/>
    </row>
    <row r="301" spans="1:7" ht="18.75">
      <c r="A301" s="428">
        <v>0.82</v>
      </c>
      <c r="B301" s="429" t="s">
        <v>922</v>
      </c>
      <c r="C301" s="430" t="s">
        <v>4310</v>
      </c>
      <c r="D301" s="431">
        <f>D135</f>
        <v>301</v>
      </c>
      <c r="E301" s="429" t="s">
        <v>922</v>
      </c>
      <c r="F301" s="431">
        <f t="shared" si="11"/>
        <v>246.82</v>
      </c>
      <c r="G301" s="427"/>
    </row>
    <row r="302" spans="1:7" ht="18.75">
      <c r="A302" s="428">
        <v>1.26</v>
      </c>
      <c r="B302" s="429" t="s">
        <v>236</v>
      </c>
      <c r="C302" s="430" t="s">
        <v>1880</v>
      </c>
      <c r="D302" s="431">
        <f t="shared" ref="D302:D307" si="12">D136</f>
        <v>208.8</v>
      </c>
      <c r="E302" s="429" t="s">
        <v>236</v>
      </c>
      <c r="F302" s="431">
        <f t="shared" si="11"/>
        <v>263.08999999999997</v>
      </c>
      <c r="G302" s="427"/>
    </row>
    <row r="303" spans="1:7" ht="18.75">
      <c r="A303" s="428">
        <v>6.6</v>
      </c>
      <c r="B303" s="429" t="s">
        <v>835</v>
      </c>
      <c r="C303" s="430" t="s">
        <v>3972</v>
      </c>
      <c r="D303" s="431">
        <f t="shared" si="12"/>
        <v>27.1</v>
      </c>
      <c r="E303" s="429" t="s">
        <v>835</v>
      </c>
      <c r="F303" s="431">
        <f t="shared" si="11"/>
        <v>178.86</v>
      </c>
      <c r="G303" s="427"/>
    </row>
    <row r="304" spans="1:7" ht="18.75">
      <c r="A304" s="428">
        <v>2</v>
      </c>
      <c r="B304" s="429" t="s">
        <v>778</v>
      </c>
      <c r="C304" s="430" t="s">
        <v>4311</v>
      </c>
      <c r="D304" s="431">
        <f t="shared" si="12"/>
        <v>350</v>
      </c>
      <c r="E304" s="429" t="s">
        <v>4312</v>
      </c>
      <c r="F304" s="431">
        <f t="shared" si="11"/>
        <v>700</v>
      </c>
      <c r="G304" s="427"/>
    </row>
    <row r="305" spans="1:8" ht="18.75">
      <c r="A305" s="428">
        <v>2</v>
      </c>
      <c r="B305" s="429" t="s">
        <v>778</v>
      </c>
      <c r="C305" s="430" t="s">
        <v>3998</v>
      </c>
      <c r="D305" s="431">
        <f t="shared" si="12"/>
        <v>48</v>
      </c>
      <c r="E305" s="429" t="s">
        <v>778</v>
      </c>
      <c r="F305" s="431">
        <f t="shared" si="11"/>
        <v>96</v>
      </c>
      <c r="G305" s="427"/>
    </row>
    <row r="306" spans="1:8" ht="18.75">
      <c r="A306" s="428">
        <v>4</v>
      </c>
      <c r="B306" s="429" t="s">
        <v>778</v>
      </c>
      <c r="C306" s="430" t="s">
        <v>1886</v>
      </c>
      <c r="D306" s="431">
        <f t="shared" si="12"/>
        <v>15</v>
      </c>
      <c r="E306" s="429" t="s">
        <v>778</v>
      </c>
      <c r="F306" s="431">
        <f t="shared" si="11"/>
        <v>60</v>
      </c>
      <c r="G306" s="427"/>
    </row>
    <row r="307" spans="1:8" ht="18.75">
      <c r="A307" s="428">
        <v>1.26</v>
      </c>
      <c r="B307" s="429" t="s">
        <v>2308</v>
      </c>
      <c r="C307" s="430" t="s">
        <v>1887</v>
      </c>
      <c r="D307" s="431">
        <f t="shared" si="12"/>
        <v>1724</v>
      </c>
      <c r="E307" s="429" t="s">
        <v>2308</v>
      </c>
      <c r="F307" s="431">
        <f t="shared" si="11"/>
        <v>2172.2399999999998</v>
      </c>
      <c r="G307" s="427"/>
    </row>
    <row r="308" spans="1:8" ht="18.75">
      <c r="A308" s="422"/>
      <c r="B308" s="423"/>
      <c r="C308" s="430" t="s">
        <v>1888</v>
      </c>
      <c r="D308" s="425"/>
      <c r="E308" s="432"/>
      <c r="F308" s="431">
        <v>9.4</v>
      </c>
      <c r="G308" s="427"/>
    </row>
    <row r="309" spans="1:8" ht="19.5">
      <c r="A309" s="422"/>
      <c r="B309" s="425"/>
      <c r="C309" s="433" t="s">
        <v>3594</v>
      </c>
      <c r="D309" s="425"/>
      <c r="E309" s="425"/>
      <c r="F309" s="434">
        <f>SUM(F298:F308)</f>
        <v>6449.86</v>
      </c>
      <c r="G309" s="427" t="s">
        <v>1418</v>
      </c>
    </row>
    <row r="310" spans="1:8">
      <c r="F310" s="25">
        <f>F309/1.26</f>
        <v>5118.9399999999996</v>
      </c>
      <c r="G310" t="s">
        <v>2308</v>
      </c>
    </row>
    <row r="315" spans="1:8">
      <c r="A315" s="1859" t="s">
        <v>4530</v>
      </c>
      <c r="B315" s="1859"/>
      <c r="C315" s="1859"/>
      <c r="D315" s="1859"/>
      <c r="E315" s="1859"/>
      <c r="F315" s="1859"/>
      <c r="G315" s="1859"/>
      <c r="H315" s="1859"/>
    </row>
    <row r="316" spans="1:8">
      <c r="A316" s="1859" t="s">
        <v>4531</v>
      </c>
      <c r="B316" s="1859"/>
      <c r="C316" s="1859"/>
      <c r="D316" s="1859"/>
      <c r="E316" s="1859"/>
      <c r="F316" s="1859"/>
      <c r="G316" s="1859"/>
      <c r="H316" s="1859"/>
    </row>
    <row r="317" spans="1:8">
      <c r="A317" s="382"/>
      <c r="B317" s="382" t="s">
        <v>4532</v>
      </c>
      <c r="C317" s="382" t="s">
        <v>4533</v>
      </c>
      <c r="D317" s="382"/>
      <c r="E317" s="382"/>
      <c r="F317" s="382"/>
      <c r="G317" s="382"/>
      <c r="H317" s="382"/>
    </row>
    <row r="318" spans="1:8">
      <c r="A318" s="382"/>
      <c r="B318" s="382"/>
      <c r="C318" s="382" t="s">
        <v>4534</v>
      </c>
      <c r="D318" s="382" t="s">
        <v>2080</v>
      </c>
      <c r="E318" s="382" t="s">
        <v>4535</v>
      </c>
      <c r="F318" s="382" t="s">
        <v>2080</v>
      </c>
      <c r="G318" s="49">
        <f>1*1.2*1.558</f>
        <v>1.87</v>
      </c>
      <c r="H318" s="382" t="s">
        <v>1670</v>
      </c>
    </row>
    <row r="319" spans="1:8">
      <c r="A319" s="382"/>
      <c r="B319" s="382" t="s">
        <v>4536</v>
      </c>
      <c r="C319" s="382" t="s">
        <v>4537</v>
      </c>
      <c r="D319" s="382"/>
      <c r="E319" s="382"/>
      <c r="F319" s="382"/>
      <c r="G319" s="382"/>
      <c r="H319" s="382"/>
    </row>
    <row r="320" spans="1:8">
      <c r="A320" s="382"/>
      <c r="B320" s="382"/>
      <c r="C320" s="382" t="s">
        <v>4538</v>
      </c>
      <c r="D320" s="382" t="s">
        <v>2080</v>
      </c>
      <c r="E320" s="382" t="s">
        <v>4539</v>
      </c>
      <c r="F320" s="382" t="s">
        <v>2080</v>
      </c>
      <c r="G320" s="49">
        <f>1*2*1.35*0.695</f>
        <v>1.88</v>
      </c>
      <c r="H320" s="382" t="s">
        <v>1670</v>
      </c>
    </row>
    <row r="321" spans="1:8">
      <c r="A321" s="382"/>
      <c r="B321" s="382" t="s">
        <v>4540</v>
      </c>
      <c r="C321" s="382" t="s">
        <v>4541</v>
      </c>
      <c r="D321" s="382"/>
      <c r="E321" s="382"/>
      <c r="F321" s="382"/>
      <c r="G321" s="49"/>
      <c r="H321" s="382"/>
    </row>
    <row r="322" spans="1:8">
      <c r="A322" s="382"/>
      <c r="B322" s="382"/>
      <c r="C322" s="382" t="s">
        <v>4542</v>
      </c>
      <c r="D322" s="382" t="s">
        <v>2080</v>
      </c>
      <c r="E322" s="382" t="s">
        <v>4543</v>
      </c>
      <c r="F322" s="382" t="s">
        <v>2080</v>
      </c>
      <c r="G322" s="49">
        <f>1*1*1.2*1.088</f>
        <v>1.31</v>
      </c>
      <c r="H322" s="382" t="s">
        <v>1670</v>
      </c>
    </row>
    <row r="323" spans="1:8">
      <c r="A323" s="382"/>
      <c r="B323" s="382" t="s">
        <v>4544</v>
      </c>
      <c r="C323" s="382" t="s">
        <v>4545</v>
      </c>
      <c r="D323" s="382"/>
      <c r="E323" s="382"/>
      <c r="F323" s="382"/>
      <c r="G323" s="49"/>
      <c r="H323" s="382"/>
    </row>
    <row r="324" spans="1:8">
      <c r="A324" s="382"/>
      <c r="B324" s="382"/>
      <c r="C324" s="382" t="s">
        <v>4546</v>
      </c>
      <c r="D324" s="382" t="s">
        <v>2080</v>
      </c>
      <c r="E324" s="382" t="s">
        <v>4547</v>
      </c>
      <c r="F324" s="382" t="s">
        <v>2080</v>
      </c>
      <c r="G324" s="49">
        <f>1*2*1.25*0.605</f>
        <v>1.51</v>
      </c>
      <c r="H324" s="382" t="s">
        <v>1670</v>
      </c>
    </row>
    <row r="325" spans="1:8">
      <c r="A325" s="382"/>
      <c r="B325" s="382" t="s">
        <v>4548</v>
      </c>
      <c r="C325" s="382" t="s">
        <v>4549</v>
      </c>
      <c r="D325" s="382"/>
      <c r="E325" s="382"/>
      <c r="F325" s="382"/>
      <c r="G325" s="49"/>
      <c r="H325" s="382"/>
    </row>
    <row r="326" spans="1:8">
      <c r="A326" s="382"/>
      <c r="B326" s="382"/>
      <c r="C326" s="382" t="s">
        <v>4550</v>
      </c>
      <c r="D326" s="382" t="s">
        <v>2080</v>
      </c>
      <c r="E326" s="382" t="s">
        <v>4551</v>
      </c>
      <c r="F326" s="382" t="s">
        <v>2080</v>
      </c>
      <c r="G326" s="49">
        <f>1*2*1.25*0.488</f>
        <v>1.22</v>
      </c>
      <c r="H326" s="382" t="s">
        <v>1670</v>
      </c>
    </row>
    <row r="327" spans="1:8">
      <c r="A327" s="382"/>
      <c r="B327" s="382" t="s">
        <v>4548</v>
      </c>
      <c r="C327" s="382" t="s">
        <v>4552</v>
      </c>
      <c r="D327" s="382"/>
      <c r="E327" s="382"/>
      <c r="F327" s="382"/>
      <c r="G327" s="49"/>
      <c r="H327" s="382"/>
    </row>
    <row r="328" spans="1:8">
      <c r="A328" s="382"/>
      <c r="B328" s="382"/>
      <c r="C328" s="382" t="s">
        <v>4553</v>
      </c>
      <c r="D328" s="382" t="s">
        <v>2080</v>
      </c>
      <c r="E328" s="382" t="s">
        <v>4554</v>
      </c>
      <c r="F328" s="382" t="s">
        <v>2080</v>
      </c>
      <c r="G328" s="49">
        <f>2*2*0.55*0.355</f>
        <v>0.78</v>
      </c>
      <c r="H328" s="382" t="s">
        <v>1670</v>
      </c>
    </row>
    <row r="329" spans="1:8">
      <c r="A329" s="382"/>
      <c r="B329" s="382"/>
      <c r="C329" s="382"/>
      <c r="D329" s="382"/>
      <c r="E329" s="382"/>
      <c r="F329" s="382"/>
      <c r="G329" s="49">
        <f>SUM(G318:G328)</f>
        <v>8.57</v>
      </c>
      <c r="H329" s="382" t="s">
        <v>1670</v>
      </c>
    </row>
    <row r="330" spans="1:8">
      <c r="A330" s="382"/>
      <c r="B330" s="382"/>
      <c r="C330" s="382"/>
      <c r="D330" s="382"/>
      <c r="E330" s="382" t="s">
        <v>4555</v>
      </c>
      <c r="F330" s="382" t="s">
        <v>2080</v>
      </c>
      <c r="G330" s="49">
        <f>G329*10%</f>
        <v>0.86</v>
      </c>
      <c r="H330" s="382" t="s">
        <v>1670</v>
      </c>
    </row>
    <row r="331" spans="1:8">
      <c r="A331" s="382"/>
      <c r="B331" s="382"/>
      <c r="C331" s="382"/>
      <c r="D331" s="382"/>
      <c r="E331" s="382"/>
      <c r="F331" s="382"/>
      <c r="G331" s="389">
        <f>SUM(G329:G330)</f>
        <v>9.43</v>
      </c>
      <c r="H331" s="382" t="s">
        <v>1670</v>
      </c>
    </row>
    <row r="332" spans="1:8">
      <c r="A332" s="382"/>
      <c r="B332" s="382"/>
      <c r="C332" s="382"/>
      <c r="D332" s="382"/>
      <c r="E332" s="382"/>
      <c r="F332" s="382"/>
      <c r="G332" s="382"/>
      <c r="H332" s="382"/>
    </row>
    <row r="333" spans="1:8">
      <c r="A333" s="382"/>
      <c r="B333" s="569" t="s">
        <v>4556</v>
      </c>
      <c r="C333" s="382" t="s">
        <v>4557</v>
      </c>
      <c r="D333" s="382"/>
      <c r="E333" s="382"/>
      <c r="F333" s="382"/>
      <c r="G333" s="382"/>
      <c r="H333" s="382"/>
    </row>
    <row r="334" spans="1:8" ht="17.25">
      <c r="A334" s="382"/>
      <c r="B334" s="382"/>
      <c r="C334" s="382" t="s">
        <v>4558</v>
      </c>
      <c r="D334" s="382" t="s">
        <v>2080</v>
      </c>
      <c r="E334" s="382" t="s">
        <v>4559</v>
      </c>
      <c r="F334" s="382" t="s">
        <v>2080</v>
      </c>
      <c r="G334" s="382">
        <f>1*2*0.55*1.25</f>
        <v>1.375</v>
      </c>
      <c r="H334" s="382" t="s">
        <v>4560</v>
      </c>
    </row>
    <row r="335" spans="1:8">
      <c r="A335" s="382"/>
      <c r="B335" s="382"/>
      <c r="C335" s="382"/>
      <c r="D335" s="382"/>
      <c r="E335" s="382"/>
      <c r="F335" s="382"/>
      <c r="G335" s="382"/>
      <c r="H335" s="382"/>
    </row>
    <row r="336" spans="1:8">
      <c r="A336" s="382"/>
      <c r="B336" s="569" t="s">
        <v>4561</v>
      </c>
      <c r="C336" s="382" t="s">
        <v>3972</v>
      </c>
      <c r="D336" s="382" t="s">
        <v>2080</v>
      </c>
      <c r="E336" s="382" t="s">
        <v>4562</v>
      </c>
      <c r="F336" s="382" t="s">
        <v>2080</v>
      </c>
      <c r="G336" s="382">
        <f>1*2*2*3.6</f>
        <v>14.4</v>
      </c>
      <c r="H336" s="382" t="s">
        <v>835</v>
      </c>
    </row>
    <row r="337" spans="1:8">
      <c r="A337" s="382"/>
      <c r="B337" s="382"/>
      <c r="C337" s="382"/>
      <c r="D337" s="382"/>
      <c r="E337" s="382"/>
      <c r="F337" s="382"/>
      <c r="G337" s="382"/>
      <c r="H337" s="382"/>
    </row>
    <row r="338" spans="1:8" ht="17.25">
      <c r="A338" s="382"/>
      <c r="B338" s="569" t="s">
        <v>4563</v>
      </c>
      <c r="C338" s="382" t="s">
        <v>4564</v>
      </c>
      <c r="D338" s="382" t="s">
        <v>2080</v>
      </c>
      <c r="E338" s="382" t="s">
        <v>4565</v>
      </c>
      <c r="F338" s="382" t="s">
        <v>2080</v>
      </c>
      <c r="G338" s="382">
        <f>1.2*1.35</f>
        <v>1.62</v>
      </c>
      <c r="H338" s="382" t="s">
        <v>4560</v>
      </c>
    </row>
    <row r="339" spans="1:8">
      <c r="A339" s="382"/>
      <c r="B339" s="382"/>
      <c r="C339" s="382"/>
      <c r="D339" s="382"/>
      <c r="E339" s="382"/>
      <c r="F339" s="382"/>
      <c r="G339" s="382"/>
      <c r="H339" s="382"/>
    </row>
    <row r="340" spans="1:8">
      <c r="A340" s="382"/>
      <c r="B340" s="382"/>
      <c r="C340" s="382"/>
      <c r="D340" s="382"/>
      <c r="E340" s="382"/>
      <c r="F340" s="382"/>
      <c r="G340" s="382"/>
      <c r="H340" s="382"/>
    </row>
    <row r="341" spans="1:8">
      <c r="A341" s="382"/>
      <c r="B341" s="382"/>
      <c r="C341" s="382"/>
      <c r="D341" s="382"/>
      <c r="E341" s="382"/>
      <c r="F341" s="382"/>
      <c r="G341" s="382"/>
      <c r="H341" s="382"/>
    </row>
    <row r="342" spans="1:8">
      <c r="A342" s="13">
        <v>9.43</v>
      </c>
      <c r="B342" s="7" t="s">
        <v>922</v>
      </c>
      <c r="C342" s="1" t="s">
        <v>4566</v>
      </c>
      <c r="D342" s="8"/>
      <c r="E342" s="8">
        <v>287</v>
      </c>
      <c r="F342" s="7" t="s">
        <v>922</v>
      </c>
      <c r="G342" s="8">
        <f t="shared" ref="G342:G347" si="13">E342*A342</f>
        <v>2706.41</v>
      </c>
      <c r="H342" s="382"/>
    </row>
    <row r="343" spans="1:8">
      <c r="A343" s="13">
        <f>G334</f>
        <v>1.375</v>
      </c>
      <c r="B343" s="7" t="s">
        <v>236</v>
      </c>
      <c r="C343" s="1" t="s">
        <v>4567</v>
      </c>
      <c r="D343" s="8"/>
      <c r="E343" s="8">
        <v>336</v>
      </c>
      <c r="F343" s="7" t="s">
        <v>236</v>
      </c>
      <c r="G343" s="8">
        <f t="shared" si="13"/>
        <v>462</v>
      </c>
      <c r="H343" s="382"/>
    </row>
    <row r="344" spans="1:8">
      <c r="A344" s="13">
        <v>14.4</v>
      </c>
      <c r="B344" s="7" t="s">
        <v>835</v>
      </c>
      <c r="C344" s="1" t="s">
        <v>1881</v>
      </c>
      <c r="D344" s="8"/>
      <c r="E344" s="8">
        <v>27.1</v>
      </c>
      <c r="F344" s="7" t="s">
        <v>835</v>
      </c>
      <c r="G344" s="8">
        <f t="shared" si="13"/>
        <v>390.24</v>
      </c>
      <c r="H344" s="382"/>
    </row>
    <row r="345" spans="1:8">
      <c r="A345" s="13">
        <v>1</v>
      </c>
      <c r="B345" s="7" t="s">
        <v>778</v>
      </c>
      <c r="C345" s="1" t="s">
        <v>4568</v>
      </c>
      <c r="D345" s="8"/>
      <c r="E345" s="8">
        <v>59.4</v>
      </c>
      <c r="F345" s="7" t="s">
        <v>778</v>
      </c>
      <c r="G345" s="8">
        <f t="shared" si="13"/>
        <v>59.4</v>
      </c>
      <c r="H345" s="382"/>
    </row>
    <row r="346" spans="1:8">
      <c r="A346" s="13">
        <v>1</v>
      </c>
      <c r="B346" s="7" t="s">
        <v>778</v>
      </c>
      <c r="C346" s="1" t="s">
        <v>4569</v>
      </c>
      <c r="D346" s="8"/>
      <c r="E346" s="8">
        <v>13.1</v>
      </c>
      <c r="F346" s="7" t="s">
        <v>778</v>
      </c>
      <c r="G346" s="8">
        <f t="shared" si="13"/>
        <v>13.1</v>
      </c>
      <c r="H346" s="382"/>
    </row>
    <row r="347" spans="1:8">
      <c r="A347" s="13">
        <v>1.62</v>
      </c>
      <c r="B347" s="7" t="s">
        <v>2308</v>
      </c>
      <c r="C347" s="1" t="s">
        <v>1887</v>
      </c>
      <c r="D347" s="346"/>
      <c r="E347" s="346">
        <f>G357</f>
        <v>1110</v>
      </c>
      <c r="F347" s="7" t="s">
        <v>2308</v>
      </c>
      <c r="G347" s="8">
        <f t="shared" si="13"/>
        <v>1798.2</v>
      </c>
      <c r="H347" s="382"/>
    </row>
    <row r="348" spans="1:8">
      <c r="A348" s="346"/>
      <c r="B348" s="391"/>
      <c r="C348" s="1" t="s">
        <v>2296</v>
      </c>
      <c r="D348" s="346"/>
      <c r="E348" s="347"/>
      <c r="F348" s="8" t="s">
        <v>663</v>
      </c>
      <c r="G348" s="382">
        <v>2.56</v>
      </c>
      <c r="H348" s="382"/>
    </row>
    <row r="349" spans="1:8">
      <c r="A349" s="346"/>
      <c r="B349" s="346"/>
      <c r="C349" s="6" t="s">
        <v>4570</v>
      </c>
      <c r="D349" s="346"/>
      <c r="E349" s="346"/>
      <c r="F349" s="273"/>
      <c r="G349" s="346">
        <f>SUM(G342:G348)</f>
        <v>5431.91</v>
      </c>
      <c r="H349" s="382"/>
    </row>
    <row r="350" spans="1:8">
      <c r="A350" s="346"/>
      <c r="B350" s="346"/>
      <c r="C350" s="570" t="s">
        <v>4571</v>
      </c>
      <c r="D350" s="390" t="s">
        <v>2080</v>
      </c>
      <c r="E350" s="390"/>
      <c r="F350" s="393"/>
      <c r="G350" s="389">
        <f>G349/A347</f>
        <v>3353.03</v>
      </c>
      <c r="H350" s="382"/>
    </row>
    <row r="351" spans="1:8">
      <c r="A351" s="382"/>
      <c r="B351" s="382"/>
      <c r="C351" s="382"/>
      <c r="D351" s="382"/>
      <c r="E351" s="382"/>
      <c r="F351" s="382"/>
      <c r="G351" s="382"/>
      <c r="H351" s="382"/>
    </row>
    <row r="352" spans="1:8">
      <c r="A352" s="382"/>
      <c r="B352" s="382"/>
      <c r="C352" s="388" t="s">
        <v>4572</v>
      </c>
      <c r="D352" s="382"/>
      <c r="E352" s="382"/>
      <c r="F352" s="382"/>
      <c r="G352" s="382"/>
      <c r="H352" s="382"/>
    </row>
    <row r="353" spans="1:8">
      <c r="A353" s="8">
        <v>1</v>
      </c>
      <c r="B353" s="7" t="s">
        <v>877</v>
      </c>
      <c r="C353" s="1" t="s">
        <v>4573</v>
      </c>
      <c r="D353" s="8"/>
      <c r="E353" s="8">
        <v>501</v>
      </c>
      <c r="F353" s="1" t="s">
        <v>877</v>
      </c>
      <c r="G353" s="382">
        <f>E353*A353</f>
        <v>501</v>
      </c>
      <c r="H353" s="382"/>
    </row>
    <row r="354" spans="1:8">
      <c r="A354" s="8">
        <v>1</v>
      </c>
      <c r="B354" s="7" t="s">
        <v>877</v>
      </c>
      <c r="C354" s="1" t="s">
        <v>4574</v>
      </c>
      <c r="D354" s="8"/>
      <c r="E354" s="8">
        <v>355</v>
      </c>
      <c r="F354" s="1" t="s">
        <v>877</v>
      </c>
      <c r="G354" s="382">
        <f>E354*A354</f>
        <v>355</v>
      </c>
      <c r="H354" s="382"/>
    </row>
    <row r="355" spans="1:8">
      <c r="A355" s="8">
        <v>0.5</v>
      </c>
      <c r="B355" s="7" t="s">
        <v>877</v>
      </c>
      <c r="C355" s="1" t="s">
        <v>4575</v>
      </c>
      <c r="D355" s="8"/>
      <c r="E355" s="8">
        <v>508</v>
      </c>
      <c r="F355" s="1" t="s">
        <v>877</v>
      </c>
      <c r="G355" s="382">
        <f>E355*A355</f>
        <v>254</v>
      </c>
      <c r="H355" s="382"/>
    </row>
    <row r="356" spans="1:8">
      <c r="A356" s="346"/>
      <c r="B356" s="391"/>
      <c r="C356" s="1"/>
      <c r="D356" s="346"/>
      <c r="E356" s="392"/>
      <c r="F356" s="5"/>
      <c r="G356" s="382"/>
      <c r="H356" s="382"/>
    </row>
    <row r="357" spans="1:8">
      <c r="A357" s="346"/>
      <c r="B357" s="391"/>
      <c r="C357" s="1" t="s">
        <v>3986</v>
      </c>
      <c r="D357" s="346"/>
      <c r="E357" s="392"/>
      <c r="F357" s="26"/>
      <c r="G357" s="390">
        <f>SUM(G353:G356)</f>
        <v>1110</v>
      </c>
      <c r="H357" s="382"/>
    </row>
    <row r="358" spans="1:8">
      <c r="A358" s="346"/>
      <c r="B358" s="391"/>
      <c r="C358" s="346"/>
      <c r="D358" s="346"/>
      <c r="E358" s="392"/>
      <c r="F358" s="5"/>
      <c r="G358" s="382"/>
      <c r="H358" s="382"/>
    </row>
    <row r="359" spans="1:8">
      <c r="A359" s="571"/>
      <c r="B359" s="572"/>
      <c r="C359" s="501"/>
      <c r="D359" s="571"/>
      <c r="E359" s="573"/>
      <c r="F359" s="574"/>
      <c r="G359" s="575"/>
      <c r="H359" s="575"/>
    </row>
    <row r="360" spans="1:8">
      <c r="A360" s="382"/>
      <c r="B360" s="382"/>
      <c r="C360" s="382"/>
      <c r="D360" s="382"/>
      <c r="E360" s="382"/>
      <c r="F360" s="382"/>
      <c r="G360" s="382"/>
      <c r="H360" s="382"/>
    </row>
    <row r="361" spans="1:8">
      <c r="A361" s="1859" t="s">
        <v>4576</v>
      </c>
      <c r="B361" s="1859"/>
      <c r="C361" s="1859"/>
      <c r="D361" s="1859"/>
      <c r="E361" s="1859"/>
      <c r="F361" s="1859"/>
      <c r="G361" s="1859"/>
      <c r="H361" s="1859"/>
    </row>
    <row r="362" spans="1:8">
      <c r="A362" s="382"/>
      <c r="B362" s="382" t="s">
        <v>4532</v>
      </c>
      <c r="C362" s="382" t="s">
        <v>4533</v>
      </c>
      <c r="D362" s="382"/>
      <c r="E362" s="382"/>
      <c r="F362" s="382"/>
      <c r="G362" s="382"/>
      <c r="H362" s="382"/>
    </row>
    <row r="363" spans="1:8">
      <c r="A363" s="382"/>
      <c r="B363" s="382"/>
      <c r="C363" s="382" t="s">
        <v>4534</v>
      </c>
      <c r="D363" s="382" t="s">
        <v>2080</v>
      </c>
      <c r="E363" s="382" t="s">
        <v>4577</v>
      </c>
      <c r="F363" s="382" t="s">
        <v>2080</v>
      </c>
      <c r="G363" s="49">
        <f>1*2*2.4*1.558</f>
        <v>7.48</v>
      </c>
      <c r="H363" s="382" t="s">
        <v>1670</v>
      </c>
    </row>
    <row r="364" spans="1:8">
      <c r="A364" s="382"/>
      <c r="B364" s="382" t="s">
        <v>4536</v>
      </c>
      <c r="C364" s="382" t="s">
        <v>4537</v>
      </c>
      <c r="D364" s="382"/>
      <c r="E364" s="382"/>
      <c r="F364" s="382"/>
      <c r="G364" s="49"/>
      <c r="H364" s="382"/>
    </row>
    <row r="365" spans="1:8">
      <c r="A365" s="382"/>
      <c r="B365" s="382"/>
      <c r="C365" s="382" t="s">
        <v>4538</v>
      </c>
      <c r="D365" s="382" t="s">
        <v>2080</v>
      </c>
      <c r="E365" s="382" t="s">
        <v>4578</v>
      </c>
      <c r="F365" s="382" t="s">
        <v>2080</v>
      </c>
      <c r="G365" s="49">
        <f>1*4*1.05*0.695</f>
        <v>2.92</v>
      </c>
      <c r="H365" s="382" t="s">
        <v>1670</v>
      </c>
    </row>
    <row r="366" spans="1:8">
      <c r="A366" s="382"/>
      <c r="B366" s="382" t="s">
        <v>4540</v>
      </c>
      <c r="C366" s="382" t="s">
        <v>4541</v>
      </c>
      <c r="D366" s="382"/>
      <c r="E366" s="382"/>
      <c r="F366" s="382"/>
      <c r="G366" s="49"/>
      <c r="H366" s="382"/>
    </row>
    <row r="367" spans="1:8">
      <c r="A367" s="382"/>
      <c r="B367" s="382"/>
      <c r="C367" s="382" t="s">
        <v>4542</v>
      </c>
      <c r="D367" s="382" t="s">
        <v>2080</v>
      </c>
      <c r="E367" s="382" t="s">
        <v>4579</v>
      </c>
      <c r="F367" s="382" t="s">
        <v>2080</v>
      </c>
      <c r="G367" s="49">
        <f>1*1*2.4*1.088</f>
        <v>2.61</v>
      </c>
      <c r="H367" s="382" t="s">
        <v>1670</v>
      </c>
    </row>
    <row r="368" spans="1:8">
      <c r="A368" s="382"/>
      <c r="B368" s="382" t="s">
        <v>4544</v>
      </c>
      <c r="C368" s="382" t="s">
        <v>4545</v>
      </c>
      <c r="D368" s="382"/>
      <c r="E368" s="382"/>
      <c r="F368" s="382"/>
      <c r="G368" s="49"/>
      <c r="H368" s="382"/>
    </row>
    <row r="369" spans="1:8">
      <c r="A369" s="382"/>
      <c r="B369" s="382"/>
      <c r="C369" s="382" t="s">
        <v>4546</v>
      </c>
      <c r="D369" s="382" t="s">
        <v>2080</v>
      </c>
      <c r="E369" s="382" t="s">
        <v>4580</v>
      </c>
      <c r="F369" s="382" t="s">
        <v>2080</v>
      </c>
      <c r="G369" s="49">
        <f>1*4*0.95*0.605</f>
        <v>2.2999999999999998</v>
      </c>
      <c r="H369" s="382" t="s">
        <v>1670</v>
      </c>
    </row>
    <row r="370" spans="1:8">
      <c r="A370" s="382"/>
      <c r="B370" s="382" t="s">
        <v>4548</v>
      </c>
      <c r="C370" s="382" t="s">
        <v>4549</v>
      </c>
      <c r="D370" s="382"/>
      <c r="E370" s="382"/>
      <c r="F370" s="382"/>
      <c r="G370" s="49"/>
      <c r="H370" s="382"/>
    </row>
    <row r="371" spans="1:8">
      <c r="A371" s="382"/>
      <c r="B371" s="382"/>
      <c r="C371" s="382" t="s">
        <v>4550</v>
      </c>
      <c r="D371" s="382" t="s">
        <v>2080</v>
      </c>
      <c r="E371" s="382" t="s">
        <v>4581</v>
      </c>
      <c r="F371" s="382" t="s">
        <v>2080</v>
      </c>
      <c r="G371" s="49">
        <f>1*4*0.95*0.488</f>
        <v>1.85</v>
      </c>
      <c r="H371" s="382" t="s">
        <v>1670</v>
      </c>
    </row>
    <row r="372" spans="1:8">
      <c r="A372" s="382"/>
      <c r="B372" s="382" t="s">
        <v>4548</v>
      </c>
      <c r="C372" s="382" t="s">
        <v>4552</v>
      </c>
      <c r="D372" s="382"/>
      <c r="E372" s="382"/>
      <c r="F372" s="382"/>
      <c r="G372" s="49"/>
      <c r="H372" s="382"/>
    </row>
    <row r="373" spans="1:8">
      <c r="A373" s="382"/>
      <c r="B373" s="382"/>
      <c r="C373" s="382" t="s">
        <v>4553</v>
      </c>
      <c r="D373" s="382" t="s">
        <v>2080</v>
      </c>
      <c r="E373" s="382" t="s">
        <v>4582</v>
      </c>
      <c r="F373" s="382" t="s">
        <v>2080</v>
      </c>
      <c r="G373" s="49">
        <f>2*4*0.55*0.355</f>
        <v>1.56</v>
      </c>
      <c r="H373" s="382" t="s">
        <v>1670</v>
      </c>
    </row>
    <row r="374" spans="1:8">
      <c r="A374" s="382"/>
      <c r="B374" s="382"/>
      <c r="C374" s="382"/>
      <c r="D374" s="382"/>
      <c r="E374" s="382"/>
      <c r="F374" s="382"/>
      <c r="G374" s="49">
        <f>SUM(G363:G373)</f>
        <v>18.72</v>
      </c>
      <c r="H374" s="382" t="s">
        <v>1670</v>
      </c>
    </row>
    <row r="375" spans="1:8">
      <c r="A375" s="382"/>
      <c r="B375" s="382"/>
      <c r="C375" s="382"/>
      <c r="D375" s="382"/>
      <c r="E375" s="382" t="s">
        <v>4555</v>
      </c>
      <c r="F375" s="382" t="s">
        <v>2080</v>
      </c>
      <c r="G375" s="49">
        <f>G374*10%</f>
        <v>1.87</v>
      </c>
      <c r="H375" s="382" t="s">
        <v>1670</v>
      </c>
    </row>
    <row r="376" spans="1:8">
      <c r="A376" s="382"/>
      <c r="B376" s="382"/>
      <c r="C376" s="382"/>
      <c r="D376" s="382"/>
      <c r="E376" s="382"/>
      <c r="F376" s="382"/>
      <c r="G376" s="389">
        <f>SUM(G374:G375)</f>
        <v>20.59</v>
      </c>
      <c r="H376" s="382" t="s">
        <v>1670</v>
      </c>
    </row>
    <row r="377" spans="1:8">
      <c r="A377" s="382"/>
      <c r="B377" s="382"/>
      <c r="C377" s="382"/>
      <c r="D377" s="382"/>
      <c r="E377" s="382"/>
      <c r="F377" s="382"/>
      <c r="G377" s="382"/>
      <c r="H377" s="382"/>
    </row>
    <row r="378" spans="1:8">
      <c r="A378" s="382"/>
      <c r="B378" s="569" t="s">
        <v>4556</v>
      </c>
      <c r="C378" s="382" t="s">
        <v>4557</v>
      </c>
      <c r="D378" s="382"/>
      <c r="E378" s="382"/>
      <c r="F378" s="382"/>
      <c r="G378" s="49"/>
      <c r="H378" s="382"/>
    </row>
    <row r="379" spans="1:8" ht="17.25">
      <c r="A379" s="382"/>
      <c r="B379" s="382"/>
      <c r="C379" s="382" t="s">
        <v>4558</v>
      </c>
      <c r="D379" s="382" t="s">
        <v>2080</v>
      </c>
      <c r="E379" s="382" t="s">
        <v>4583</v>
      </c>
      <c r="F379" s="382" t="s">
        <v>2080</v>
      </c>
      <c r="G379" s="576">
        <f>1*4*0.55*0.95</f>
        <v>2.09</v>
      </c>
      <c r="H379" s="382" t="s">
        <v>4560</v>
      </c>
    </row>
    <row r="380" spans="1:8">
      <c r="A380" s="382"/>
      <c r="B380" s="382"/>
      <c r="C380" s="382"/>
      <c r="D380" s="382"/>
      <c r="E380" s="382"/>
      <c r="F380" s="382"/>
      <c r="G380" s="49"/>
      <c r="H380" s="382"/>
    </row>
    <row r="381" spans="1:8">
      <c r="A381" s="382"/>
      <c r="B381" s="569" t="s">
        <v>4561</v>
      </c>
      <c r="C381" s="382" t="s">
        <v>3972</v>
      </c>
      <c r="D381" s="382" t="s">
        <v>2080</v>
      </c>
      <c r="E381" s="382" t="s">
        <v>4584</v>
      </c>
      <c r="F381" s="382" t="s">
        <v>2080</v>
      </c>
      <c r="G381" s="49">
        <f>1*2*4*3.3</f>
        <v>26.4</v>
      </c>
      <c r="H381" s="382" t="s">
        <v>835</v>
      </c>
    </row>
    <row r="382" spans="1:8">
      <c r="A382" s="382"/>
      <c r="B382" s="382"/>
      <c r="C382" s="382"/>
      <c r="D382" s="382"/>
      <c r="E382" s="382"/>
      <c r="F382" s="382"/>
      <c r="G382" s="49"/>
      <c r="H382" s="382"/>
    </row>
    <row r="383" spans="1:8" ht="17.25">
      <c r="A383" s="382"/>
      <c r="B383" s="569" t="s">
        <v>4563</v>
      </c>
      <c r="C383" s="382" t="s">
        <v>4564</v>
      </c>
      <c r="D383" s="382" t="s">
        <v>2080</v>
      </c>
      <c r="E383" s="382" t="s">
        <v>4585</v>
      </c>
      <c r="F383" s="382" t="s">
        <v>2080</v>
      </c>
      <c r="G383" s="49">
        <f>2.4*1.05</f>
        <v>2.52</v>
      </c>
      <c r="H383" s="382" t="s">
        <v>4560</v>
      </c>
    </row>
    <row r="384" spans="1:8">
      <c r="A384" s="382"/>
      <c r="B384" s="382"/>
      <c r="C384" s="382"/>
      <c r="D384" s="382"/>
      <c r="E384" s="382"/>
      <c r="F384" s="382"/>
      <c r="G384" s="382"/>
      <c r="H384" s="382"/>
    </row>
    <row r="385" spans="1:8">
      <c r="A385" s="382"/>
      <c r="B385" s="382"/>
      <c r="C385" s="382"/>
      <c r="D385" s="382"/>
      <c r="E385" s="382"/>
      <c r="F385" s="382"/>
      <c r="G385" s="382"/>
      <c r="H385" s="382"/>
    </row>
    <row r="386" spans="1:8">
      <c r="A386" s="382"/>
      <c r="B386" s="382"/>
      <c r="C386" s="382"/>
      <c r="D386" s="382"/>
      <c r="E386" s="382"/>
      <c r="F386" s="382"/>
      <c r="G386" s="382"/>
      <c r="H386" s="382"/>
    </row>
    <row r="387" spans="1:8">
      <c r="A387" s="13">
        <v>20.59</v>
      </c>
      <c r="B387" s="7" t="s">
        <v>922</v>
      </c>
      <c r="C387" s="1" t="s">
        <v>4566</v>
      </c>
      <c r="D387" s="8"/>
      <c r="E387" s="8">
        <v>287</v>
      </c>
      <c r="F387" s="7" t="s">
        <v>922</v>
      </c>
      <c r="G387" s="8">
        <f t="shared" ref="G387:G392" si="14">E387*A387</f>
        <v>5909.33</v>
      </c>
      <c r="H387" s="382"/>
    </row>
    <row r="388" spans="1:8">
      <c r="A388" s="13">
        <v>2.09</v>
      </c>
      <c r="B388" s="7" t="s">
        <v>236</v>
      </c>
      <c r="C388" s="1" t="s">
        <v>4567</v>
      </c>
      <c r="D388" s="8"/>
      <c r="E388" s="8">
        <v>336</v>
      </c>
      <c r="F388" s="7" t="s">
        <v>236</v>
      </c>
      <c r="G388" s="8">
        <f t="shared" si="14"/>
        <v>702.24</v>
      </c>
      <c r="H388" s="382"/>
    </row>
    <row r="389" spans="1:8">
      <c r="A389" s="13">
        <v>26.4</v>
      </c>
      <c r="B389" s="7" t="s">
        <v>835</v>
      </c>
      <c r="C389" s="1" t="s">
        <v>1881</v>
      </c>
      <c r="D389" s="8"/>
      <c r="E389" s="8">
        <v>27.1</v>
      </c>
      <c r="F389" s="7" t="s">
        <v>835</v>
      </c>
      <c r="G389" s="8">
        <f t="shared" si="14"/>
        <v>715.44</v>
      </c>
      <c r="H389" s="382"/>
    </row>
    <row r="390" spans="1:8">
      <c r="A390" s="13">
        <v>1</v>
      </c>
      <c r="B390" s="7" t="s">
        <v>778</v>
      </c>
      <c r="C390" s="1" t="s">
        <v>4568</v>
      </c>
      <c r="D390" s="8"/>
      <c r="E390" s="8">
        <v>59.4</v>
      </c>
      <c r="F390" s="7" t="s">
        <v>778</v>
      </c>
      <c r="G390" s="8">
        <f t="shared" si="14"/>
        <v>59.4</v>
      </c>
      <c r="H390" s="382"/>
    </row>
    <row r="391" spans="1:8">
      <c r="A391" s="13">
        <v>1</v>
      </c>
      <c r="B391" s="7" t="s">
        <v>778</v>
      </c>
      <c r="C391" s="1" t="s">
        <v>4569</v>
      </c>
      <c r="D391" s="8"/>
      <c r="E391" s="8">
        <v>13.1</v>
      </c>
      <c r="F391" s="7" t="s">
        <v>778</v>
      </c>
      <c r="G391" s="8">
        <f t="shared" si="14"/>
        <v>13.1</v>
      </c>
      <c r="H391" s="382"/>
    </row>
    <row r="392" spans="1:8">
      <c r="A392" s="13">
        <v>2.52</v>
      </c>
      <c r="B392" s="7" t="s">
        <v>2308</v>
      </c>
      <c r="C392" s="1" t="s">
        <v>1887</v>
      </c>
      <c r="D392" s="346"/>
      <c r="E392" s="346">
        <f>G402</f>
        <v>1110</v>
      </c>
      <c r="F392" s="7" t="s">
        <v>2308</v>
      </c>
      <c r="G392" s="8">
        <f t="shared" si="14"/>
        <v>2797.2</v>
      </c>
      <c r="H392" s="382"/>
    </row>
    <row r="393" spans="1:8">
      <c r="A393" s="346"/>
      <c r="B393" s="391"/>
      <c r="C393" s="1" t="s">
        <v>2296</v>
      </c>
      <c r="D393" s="346"/>
      <c r="E393" s="347"/>
      <c r="F393" s="8" t="s">
        <v>663</v>
      </c>
      <c r="G393" s="346">
        <v>4.26</v>
      </c>
      <c r="H393" s="382"/>
    </row>
    <row r="394" spans="1:8">
      <c r="A394" s="346"/>
      <c r="B394" s="346"/>
      <c r="C394" s="6" t="s">
        <v>1435</v>
      </c>
      <c r="D394" s="346"/>
      <c r="E394" s="346"/>
      <c r="F394" s="273"/>
      <c r="G394" s="391">
        <f>SUM(G387:G393)</f>
        <v>10200.969999999999</v>
      </c>
      <c r="H394" s="382"/>
    </row>
    <row r="395" spans="1:8">
      <c r="A395" s="346"/>
      <c r="B395" s="346"/>
      <c r="C395" s="570" t="s">
        <v>4571</v>
      </c>
      <c r="D395" s="390" t="s">
        <v>2080</v>
      </c>
      <c r="E395" s="390"/>
      <c r="F395" s="393"/>
      <c r="G395" s="389">
        <f>G394/A392</f>
        <v>4048</v>
      </c>
      <c r="H395" s="382"/>
    </row>
    <row r="396" spans="1:8">
      <c r="A396" s="382"/>
      <c r="B396" s="382"/>
      <c r="C396" s="382"/>
      <c r="D396" s="382"/>
      <c r="E396" s="382"/>
      <c r="F396" s="382"/>
      <c r="G396" s="382"/>
      <c r="H396" s="382"/>
    </row>
    <row r="397" spans="1:8">
      <c r="A397" s="382"/>
      <c r="B397" s="382"/>
      <c r="C397" s="388" t="s">
        <v>4572</v>
      </c>
      <c r="D397" s="382"/>
      <c r="E397" s="382"/>
      <c r="F397" s="382"/>
      <c r="G397" s="382"/>
      <c r="H397" s="382"/>
    </row>
    <row r="398" spans="1:8">
      <c r="A398" s="8">
        <v>1</v>
      </c>
      <c r="B398" s="7" t="s">
        <v>877</v>
      </c>
      <c r="C398" s="1" t="s">
        <v>4573</v>
      </c>
      <c r="D398" s="8"/>
      <c r="E398" s="8">
        <v>501</v>
      </c>
      <c r="F398" s="1" t="s">
        <v>877</v>
      </c>
      <c r="G398" s="49">
        <f>E398*A398</f>
        <v>501</v>
      </c>
      <c r="H398" s="382"/>
    </row>
    <row r="399" spans="1:8">
      <c r="A399" s="8">
        <v>1</v>
      </c>
      <c r="B399" s="7" t="s">
        <v>877</v>
      </c>
      <c r="C399" s="1" t="s">
        <v>4574</v>
      </c>
      <c r="D399" s="8"/>
      <c r="E399" s="8">
        <v>355</v>
      </c>
      <c r="F399" s="1" t="s">
        <v>877</v>
      </c>
      <c r="G399" s="49">
        <f>E399*A399</f>
        <v>355</v>
      </c>
      <c r="H399" s="382"/>
    </row>
    <row r="400" spans="1:8">
      <c r="A400" s="8">
        <v>0.5</v>
      </c>
      <c r="B400" s="7" t="s">
        <v>877</v>
      </c>
      <c r="C400" s="1" t="s">
        <v>4575</v>
      </c>
      <c r="D400" s="8"/>
      <c r="E400" s="8">
        <v>508</v>
      </c>
      <c r="F400" s="1" t="s">
        <v>877</v>
      </c>
      <c r="G400" s="49">
        <f>E400*A400</f>
        <v>254</v>
      </c>
      <c r="H400" s="382"/>
    </row>
    <row r="401" spans="1:8">
      <c r="A401" s="346"/>
      <c r="B401" s="391"/>
      <c r="C401" s="1"/>
      <c r="D401" s="346"/>
      <c r="E401" s="392"/>
      <c r="F401" s="5"/>
      <c r="G401" s="382"/>
      <c r="H401" s="382"/>
    </row>
    <row r="402" spans="1:8">
      <c r="A402" s="346"/>
      <c r="B402" s="391"/>
      <c r="C402" s="1" t="s">
        <v>3986</v>
      </c>
      <c r="D402" s="346"/>
      <c r="E402" s="392"/>
      <c r="F402" s="26"/>
      <c r="G402" s="390">
        <f>SUM(G398:G401)</f>
        <v>1110</v>
      </c>
      <c r="H402" s="382"/>
    </row>
    <row r="403" spans="1:8">
      <c r="A403" s="346"/>
      <c r="B403" s="391"/>
      <c r="C403" s="346"/>
      <c r="D403" s="346"/>
      <c r="E403" s="392"/>
      <c r="F403" s="5"/>
      <c r="G403" s="382"/>
      <c r="H403" s="382"/>
    </row>
    <row r="404" spans="1:8">
      <c r="A404" s="575"/>
      <c r="B404" s="575"/>
      <c r="C404" s="575"/>
      <c r="D404" s="575"/>
      <c r="E404" s="575"/>
      <c r="F404" s="575"/>
      <c r="G404" s="575"/>
      <c r="H404" s="575"/>
    </row>
    <row r="405" spans="1:8">
      <c r="A405" s="382"/>
      <c r="B405" s="382"/>
      <c r="C405" s="382"/>
      <c r="D405" s="382"/>
      <c r="E405" s="382"/>
      <c r="F405" s="382"/>
      <c r="G405" s="382"/>
      <c r="H405" s="382"/>
    </row>
    <row r="406" spans="1:8">
      <c r="A406" s="1859" t="s">
        <v>4586</v>
      </c>
      <c r="B406" s="1859"/>
      <c r="C406" s="1859"/>
      <c r="D406" s="1859"/>
      <c r="E406" s="1859"/>
      <c r="F406" s="1859"/>
      <c r="G406" s="1859"/>
      <c r="H406" s="1859"/>
    </row>
    <row r="407" spans="1:8">
      <c r="A407" s="382"/>
      <c r="B407" s="382" t="s">
        <v>4532</v>
      </c>
      <c r="C407" s="382" t="s">
        <v>4533</v>
      </c>
      <c r="D407" s="382"/>
      <c r="E407" s="382"/>
      <c r="F407" s="382"/>
      <c r="G407" s="382"/>
      <c r="H407" s="382"/>
    </row>
    <row r="408" spans="1:8">
      <c r="A408" s="382"/>
      <c r="B408" s="382"/>
      <c r="C408" s="382" t="s">
        <v>4534</v>
      </c>
      <c r="D408" s="382" t="s">
        <v>2080</v>
      </c>
      <c r="E408" s="382" t="s">
        <v>4587</v>
      </c>
      <c r="F408" s="382" t="s">
        <v>2080</v>
      </c>
      <c r="G408" s="49">
        <f>1*1*0.9*1.558</f>
        <v>1.4</v>
      </c>
      <c r="H408" s="382" t="s">
        <v>1670</v>
      </c>
    </row>
    <row r="409" spans="1:8">
      <c r="A409" s="382"/>
      <c r="B409" s="382" t="s">
        <v>4536</v>
      </c>
      <c r="C409" s="382" t="s">
        <v>4537</v>
      </c>
      <c r="D409" s="382"/>
      <c r="E409" s="382"/>
      <c r="F409" s="382"/>
      <c r="G409" s="382"/>
      <c r="H409" s="382"/>
    </row>
    <row r="410" spans="1:8">
      <c r="A410" s="382"/>
      <c r="B410" s="382"/>
      <c r="C410" s="382" t="s">
        <v>4538</v>
      </c>
      <c r="D410" s="382" t="s">
        <v>2080</v>
      </c>
      <c r="E410" s="382" t="s">
        <v>4539</v>
      </c>
      <c r="F410" s="382" t="s">
        <v>2080</v>
      </c>
      <c r="G410" s="49">
        <f>1*2*1.35*0.695</f>
        <v>1.88</v>
      </c>
      <c r="H410" s="382" t="s">
        <v>1670</v>
      </c>
    </row>
    <row r="411" spans="1:8">
      <c r="A411" s="382"/>
      <c r="B411" s="382" t="s">
        <v>4540</v>
      </c>
      <c r="C411" s="382" t="s">
        <v>4541</v>
      </c>
      <c r="D411" s="382"/>
      <c r="E411" s="382"/>
      <c r="F411" s="382"/>
      <c r="G411" s="49"/>
      <c r="H411" s="382"/>
    </row>
    <row r="412" spans="1:8">
      <c r="A412" s="382"/>
      <c r="B412" s="382"/>
      <c r="C412" s="382" t="s">
        <v>4542</v>
      </c>
      <c r="D412" s="382" t="s">
        <v>2080</v>
      </c>
      <c r="E412" s="382" t="s">
        <v>4588</v>
      </c>
      <c r="F412" s="382" t="s">
        <v>2080</v>
      </c>
      <c r="G412" s="49">
        <f>1*1*0.9*1.088</f>
        <v>0.98</v>
      </c>
      <c r="H412" s="382" t="s">
        <v>1670</v>
      </c>
    </row>
    <row r="413" spans="1:8">
      <c r="A413" s="382"/>
      <c r="B413" s="382" t="s">
        <v>4544</v>
      </c>
      <c r="C413" s="382" t="s">
        <v>4545</v>
      </c>
      <c r="D413" s="382"/>
      <c r="E413" s="382"/>
      <c r="F413" s="382"/>
      <c r="G413" s="49"/>
      <c r="H413" s="382"/>
    </row>
    <row r="414" spans="1:8">
      <c r="A414" s="382"/>
      <c r="B414" s="382"/>
      <c r="C414" s="382" t="s">
        <v>4546</v>
      </c>
      <c r="D414" s="382" t="s">
        <v>2080</v>
      </c>
      <c r="E414" s="382" t="s">
        <v>4547</v>
      </c>
      <c r="F414" s="382" t="s">
        <v>2080</v>
      </c>
      <c r="G414" s="49">
        <f>1*2*1.25*0.605</f>
        <v>1.51</v>
      </c>
      <c r="H414" s="382" t="s">
        <v>1670</v>
      </c>
    </row>
    <row r="415" spans="1:8">
      <c r="A415" s="382"/>
      <c r="B415" s="382" t="s">
        <v>4548</v>
      </c>
      <c r="C415" s="382" t="s">
        <v>4549</v>
      </c>
      <c r="D415" s="382"/>
      <c r="E415" s="382"/>
      <c r="F415" s="382"/>
      <c r="G415" s="49"/>
      <c r="H415" s="382"/>
    </row>
    <row r="416" spans="1:8">
      <c r="A416" s="382"/>
      <c r="B416" s="382"/>
      <c r="C416" s="382" t="s">
        <v>4550</v>
      </c>
      <c r="D416" s="382" t="s">
        <v>2080</v>
      </c>
      <c r="E416" s="382" t="s">
        <v>4551</v>
      </c>
      <c r="F416" s="382" t="s">
        <v>2080</v>
      </c>
      <c r="G416" s="49">
        <f>1*2*1.25*0.488</f>
        <v>1.22</v>
      </c>
      <c r="H416" s="382" t="s">
        <v>1670</v>
      </c>
    </row>
    <row r="417" spans="1:8">
      <c r="A417" s="382"/>
      <c r="B417" s="382" t="s">
        <v>4548</v>
      </c>
      <c r="C417" s="382" t="s">
        <v>4552</v>
      </c>
      <c r="D417" s="382"/>
      <c r="E417" s="382"/>
      <c r="F417" s="382"/>
      <c r="G417" s="49"/>
      <c r="H417" s="382"/>
    </row>
    <row r="418" spans="1:8">
      <c r="A418" s="382"/>
      <c r="B418" s="382"/>
      <c r="C418" s="382" t="s">
        <v>4553</v>
      </c>
      <c r="D418" s="382" t="s">
        <v>2080</v>
      </c>
      <c r="E418" s="382" t="s">
        <v>4589</v>
      </c>
      <c r="F418" s="382" t="s">
        <v>2080</v>
      </c>
      <c r="G418" s="49">
        <f>2*2*0.45*0.355</f>
        <v>0.64</v>
      </c>
      <c r="H418" s="382" t="s">
        <v>1670</v>
      </c>
    </row>
    <row r="419" spans="1:8">
      <c r="A419" s="382"/>
      <c r="B419" s="382"/>
      <c r="C419" s="382"/>
      <c r="D419" s="382"/>
      <c r="E419" s="382"/>
      <c r="F419" s="382"/>
      <c r="G419" s="49">
        <f>SUM(G408:G418)</f>
        <v>7.63</v>
      </c>
      <c r="H419" s="382" t="s">
        <v>1670</v>
      </c>
    </row>
    <row r="420" spans="1:8">
      <c r="A420" s="382"/>
      <c r="B420" s="382"/>
      <c r="C420" s="382"/>
      <c r="D420" s="382"/>
      <c r="E420" s="382" t="s">
        <v>4555</v>
      </c>
      <c r="F420" s="382" t="s">
        <v>2080</v>
      </c>
      <c r="G420" s="49">
        <f>G419*10%</f>
        <v>0.76</v>
      </c>
      <c r="H420" s="382" t="s">
        <v>1670</v>
      </c>
    </row>
    <row r="421" spans="1:8">
      <c r="A421" s="382"/>
      <c r="B421" s="382"/>
      <c r="C421" s="382"/>
      <c r="D421" s="382"/>
      <c r="E421" s="382"/>
      <c r="F421" s="382"/>
      <c r="G421" s="577">
        <f>SUM(G419:G420)</f>
        <v>8.39</v>
      </c>
      <c r="H421" s="382" t="s">
        <v>1670</v>
      </c>
    </row>
    <row r="422" spans="1:8">
      <c r="A422" s="382"/>
      <c r="B422" s="382"/>
      <c r="C422" s="382"/>
      <c r="D422" s="382"/>
      <c r="E422" s="382"/>
      <c r="F422" s="382"/>
      <c r="G422" s="382"/>
      <c r="H422" s="382"/>
    </row>
    <row r="423" spans="1:8">
      <c r="A423" s="382"/>
      <c r="B423" s="569" t="s">
        <v>4556</v>
      </c>
      <c r="C423" s="382" t="s">
        <v>4557</v>
      </c>
      <c r="D423" s="382"/>
      <c r="E423" s="382"/>
      <c r="F423" s="382"/>
      <c r="G423" s="382"/>
      <c r="H423" s="382"/>
    </row>
    <row r="424" spans="1:8" ht="17.25">
      <c r="A424" s="382"/>
      <c r="B424" s="382"/>
      <c r="C424" s="382" t="s">
        <v>4558</v>
      </c>
      <c r="D424" s="382" t="s">
        <v>2080</v>
      </c>
      <c r="E424" s="382" t="s">
        <v>4590</v>
      </c>
      <c r="F424" s="382" t="s">
        <v>2080</v>
      </c>
      <c r="G424" s="576">
        <f>1*2*0.45*1.25</f>
        <v>1.125</v>
      </c>
      <c r="H424" s="382" t="s">
        <v>4560</v>
      </c>
    </row>
    <row r="425" spans="1:8">
      <c r="A425" s="382"/>
      <c r="B425" s="382"/>
      <c r="C425" s="382"/>
      <c r="D425" s="382"/>
      <c r="E425" s="382"/>
      <c r="F425" s="382"/>
      <c r="G425" s="49"/>
      <c r="H425" s="382"/>
    </row>
    <row r="426" spans="1:8">
      <c r="A426" s="382"/>
      <c r="B426" s="569" t="s">
        <v>4561</v>
      </c>
      <c r="C426" s="382" t="s">
        <v>3972</v>
      </c>
      <c r="D426" s="382" t="s">
        <v>2080</v>
      </c>
      <c r="E426" s="382" t="s">
        <v>4591</v>
      </c>
      <c r="F426" s="382" t="s">
        <v>2080</v>
      </c>
      <c r="G426" s="49">
        <f>1*2*2*3.4</f>
        <v>13.6</v>
      </c>
      <c r="H426" s="382" t="s">
        <v>835</v>
      </c>
    </row>
    <row r="427" spans="1:8">
      <c r="A427" s="382"/>
      <c r="B427" s="382"/>
      <c r="C427" s="382"/>
      <c r="D427" s="382"/>
      <c r="E427" s="382"/>
      <c r="F427" s="382"/>
      <c r="G427" s="49"/>
      <c r="H427" s="382"/>
    </row>
    <row r="428" spans="1:8" ht="17.25">
      <c r="A428" s="382"/>
      <c r="B428" s="569" t="s">
        <v>4563</v>
      </c>
      <c r="C428" s="382" t="s">
        <v>4564</v>
      </c>
      <c r="D428" s="382" t="s">
        <v>2080</v>
      </c>
      <c r="E428" s="382" t="s">
        <v>4592</v>
      </c>
      <c r="F428" s="382" t="s">
        <v>2080</v>
      </c>
      <c r="G428" s="49">
        <f>0.9*1.35</f>
        <v>1.22</v>
      </c>
      <c r="H428" s="382" t="s">
        <v>4560</v>
      </c>
    </row>
    <row r="429" spans="1:8">
      <c r="A429" s="382"/>
      <c r="B429" s="382"/>
      <c r="C429" s="382"/>
      <c r="D429" s="382"/>
      <c r="E429" s="382"/>
      <c r="F429" s="382"/>
      <c r="G429" s="382"/>
      <c r="H429" s="382"/>
    </row>
    <row r="430" spans="1:8">
      <c r="A430" s="382"/>
      <c r="B430" s="382"/>
      <c r="C430" s="382"/>
      <c r="D430" s="382"/>
      <c r="E430" s="382"/>
      <c r="F430" s="382"/>
      <c r="G430" s="382"/>
      <c r="H430" s="382"/>
    </row>
    <row r="431" spans="1:8">
      <c r="A431" s="382"/>
      <c r="B431" s="382"/>
      <c r="C431" s="382"/>
      <c r="D431" s="382"/>
      <c r="E431" s="382"/>
      <c r="F431" s="382"/>
      <c r="G431" s="382"/>
      <c r="H431" s="382"/>
    </row>
    <row r="432" spans="1:8">
      <c r="A432" s="13">
        <f>G421</f>
        <v>8.39</v>
      </c>
      <c r="B432" s="7" t="s">
        <v>922</v>
      </c>
      <c r="C432" s="1" t="s">
        <v>4566</v>
      </c>
      <c r="D432" s="8"/>
      <c r="E432" s="8">
        <v>287</v>
      </c>
      <c r="F432" s="7" t="s">
        <v>922</v>
      </c>
      <c r="G432" s="8">
        <f t="shared" ref="G432:G437" si="15">E432*A432</f>
        <v>2407.9299999999998</v>
      </c>
      <c r="H432" s="382"/>
    </row>
    <row r="433" spans="1:8">
      <c r="A433" s="13">
        <f>G424</f>
        <v>1.125</v>
      </c>
      <c r="B433" s="7" t="s">
        <v>236</v>
      </c>
      <c r="C433" s="1" t="s">
        <v>4567</v>
      </c>
      <c r="D433" s="8"/>
      <c r="E433" s="8">
        <v>336</v>
      </c>
      <c r="F433" s="7" t="s">
        <v>236</v>
      </c>
      <c r="G433" s="8">
        <f t="shared" si="15"/>
        <v>378</v>
      </c>
      <c r="H433" s="382"/>
    </row>
    <row r="434" spans="1:8">
      <c r="A434" s="13">
        <v>13.6</v>
      </c>
      <c r="B434" s="7" t="s">
        <v>835</v>
      </c>
      <c r="C434" s="1" t="s">
        <v>1881</v>
      </c>
      <c r="D434" s="8"/>
      <c r="E434" s="8">
        <v>27.1</v>
      </c>
      <c r="F434" s="7" t="s">
        <v>835</v>
      </c>
      <c r="G434" s="8">
        <f t="shared" si="15"/>
        <v>368.56</v>
      </c>
      <c r="H434" s="382"/>
    </row>
    <row r="435" spans="1:8">
      <c r="A435" s="13">
        <v>1</v>
      </c>
      <c r="B435" s="7" t="s">
        <v>778</v>
      </c>
      <c r="C435" s="1" t="s">
        <v>4568</v>
      </c>
      <c r="D435" s="8"/>
      <c r="E435" s="8">
        <v>59.4</v>
      </c>
      <c r="F435" s="7" t="s">
        <v>778</v>
      </c>
      <c r="G435" s="8">
        <f t="shared" si="15"/>
        <v>59.4</v>
      </c>
      <c r="H435" s="382"/>
    </row>
    <row r="436" spans="1:8">
      <c r="A436" s="13">
        <v>1</v>
      </c>
      <c r="B436" s="7" t="s">
        <v>778</v>
      </c>
      <c r="C436" s="1" t="s">
        <v>4569</v>
      </c>
      <c r="D436" s="8"/>
      <c r="E436" s="8">
        <v>13.1</v>
      </c>
      <c r="F436" s="7" t="s">
        <v>778</v>
      </c>
      <c r="G436" s="8">
        <f t="shared" si="15"/>
        <v>13.1</v>
      </c>
      <c r="H436" s="382"/>
    </row>
    <row r="437" spans="1:8">
      <c r="A437" s="13">
        <v>1.22</v>
      </c>
      <c r="B437" s="7" t="s">
        <v>2308</v>
      </c>
      <c r="C437" s="1" t="s">
        <v>1887</v>
      </c>
      <c r="D437" s="346"/>
      <c r="E437" s="346">
        <f>G447</f>
        <v>1110</v>
      </c>
      <c r="F437" s="7" t="s">
        <v>2308</v>
      </c>
      <c r="G437" s="8">
        <f t="shared" si="15"/>
        <v>1354.2</v>
      </c>
      <c r="H437" s="382"/>
    </row>
    <row r="438" spans="1:8">
      <c r="A438" s="346"/>
      <c r="B438" s="391"/>
      <c r="C438" s="1" t="s">
        <v>2296</v>
      </c>
      <c r="D438" s="346"/>
      <c r="E438" s="347"/>
      <c r="F438" s="8" t="s">
        <v>663</v>
      </c>
      <c r="G438" s="382">
        <v>4.7</v>
      </c>
      <c r="H438" s="382"/>
    </row>
    <row r="439" spans="1:8">
      <c r="A439" s="346"/>
      <c r="B439" s="346"/>
      <c r="C439" s="6" t="s">
        <v>4593</v>
      </c>
      <c r="D439" s="346"/>
      <c r="E439" s="346"/>
      <c r="F439" s="273"/>
      <c r="G439" s="346">
        <f>SUM(G432:G438)</f>
        <v>4585.8900000000003</v>
      </c>
      <c r="H439" s="382"/>
    </row>
    <row r="440" spans="1:8">
      <c r="A440" s="346"/>
      <c r="B440" s="346"/>
      <c r="C440" s="570" t="s">
        <v>4571</v>
      </c>
      <c r="D440" s="390" t="s">
        <v>2080</v>
      </c>
      <c r="E440" s="390"/>
      <c r="F440" s="393"/>
      <c r="G440" s="389">
        <f>G439/A437</f>
        <v>3758.93</v>
      </c>
      <c r="H440" s="382"/>
    </row>
    <row r="441" spans="1:8">
      <c r="A441" s="382"/>
      <c r="B441" s="382"/>
      <c r="C441" s="382"/>
      <c r="D441" s="382"/>
      <c r="E441" s="382"/>
      <c r="F441" s="382"/>
      <c r="G441" s="382"/>
      <c r="H441" s="382"/>
    </row>
    <row r="442" spans="1:8">
      <c r="A442" s="382"/>
      <c r="B442" s="382"/>
      <c r="C442" s="388" t="s">
        <v>4572</v>
      </c>
      <c r="D442" s="382"/>
      <c r="E442" s="382"/>
      <c r="F442" s="382"/>
      <c r="G442" s="382"/>
      <c r="H442" s="382"/>
    </row>
    <row r="443" spans="1:8">
      <c r="A443" s="8">
        <v>1</v>
      </c>
      <c r="B443" s="7" t="s">
        <v>877</v>
      </c>
      <c r="C443" s="1" t="s">
        <v>4573</v>
      </c>
      <c r="D443" s="8"/>
      <c r="E443" s="8">
        <v>501</v>
      </c>
      <c r="F443" s="1" t="s">
        <v>877</v>
      </c>
      <c r="G443" s="382">
        <f>E443*A443</f>
        <v>501</v>
      </c>
      <c r="H443" s="382"/>
    </row>
    <row r="444" spans="1:8">
      <c r="A444" s="8">
        <v>1</v>
      </c>
      <c r="B444" s="7" t="s">
        <v>877</v>
      </c>
      <c r="C444" s="1" t="s">
        <v>4574</v>
      </c>
      <c r="D444" s="8"/>
      <c r="E444" s="8">
        <v>355</v>
      </c>
      <c r="F444" s="1" t="s">
        <v>877</v>
      </c>
      <c r="G444" s="382">
        <f>E444*A444</f>
        <v>355</v>
      </c>
      <c r="H444" s="382"/>
    </row>
    <row r="445" spans="1:8">
      <c r="A445" s="8">
        <v>0.5</v>
      </c>
      <c r="B445" s="7" t="s">
        <v>877</v>
      </c>
      <c r="C445" s="1" t="s">
        <v>4575</v>
      </c>
      <c r="D445" s="8"/>
      <c r="E445" s="8">
        <v>508</v>
      </c>
      <c r="F445" s="1" t="s">
        <v>877</v>
      </c>
      <c r="G445" s="382">
        <f>E445*A445</f>
        <v>254</v>
      </c>
      <c r="H445" s="382"/>
    </row>
    <row r="446" spans="1:8">
      <c r="A446" s="346"/>
      <c r="B446" s="391"/>
      <c r="C446" s="1"/>
      <c r="D446" s="346"/>
      <c r="E446" s="392"/>
      <c r="F446" s="5"/>
      <c r="G446" s="382"/>
      <c r="H446" s="382"/>
    </row>
    <row r="447" spans="1:8">
      <c r="A447" s="346"/>
      <c r="B447" s="391"/>
      <c r="C447" s="1" t="s">
        <v>3986</v>
      </c>
      <c r="D447" s="346"/>
      <c r="E447" s="392"/>
      <c r="F447" s="26"/>
      <c r="G447" s="390">
        <f>SUM(G443:G446)</f>
        <v>1110</v>
      </c>
      <c r="H447" s="382"/>
    </row>
    <row r="448" spans="1:8">
      <c r="A448" s="346"/>
      <c r="B448" s="391"/>
      <c r="C448" s="346"/>
      <c r="D448" s="346"/>
      <c r="E448" s="392"/>
      <c r="F448" s="5"/>
      <c r="G448" s="382"/>
      <c r="H448" s="382"/>
    </row>
    <row r="449" spans="1:8">
      <c r="A449" s="575"/>
      <c r="B449" s="575"/>
      <c r="C449" s="575"/>
      <c r="D449" s="575"/>
      <c r="E449" s="575"/>
      <c r="F449" s="575"/>
      <c r="G449" s="575"/>
      <c r="H449" s="575"/>
    </row>
    <row r="450" spans="1:8">
      <c r="A450" s="382"/>
      <c r="B450" s="382"/>
      <c r="C450" s="382"/>
      <c r="D450" s="382"/>
      <c r="E450" s="382"/>
      <c r="F450" s="382"/>
      <c r="G450" s="382"/>
      <c r="H450" s="382"/>
    </row>
    <row r="451" spans="1:8">
      <c r="A451" s="1859" t="s">
        <v>4594</v>
      </c>
      <c r="B451" s="1859"/>
      <c r="C451" s="1859"/>
      <c r="D451" s="1859"/>
      <c r="E451" s="1859"/>
      <c r="F451" s="1859"/>
      <c r="G451" s="1859"/>
      <c r="H451" s="1859"/>
    </row>
    <row r="452" spans="1:8">
      <c r="A452" s="382"/>
      <c r="B452" s="382" t="s">
        <v>4532</v>
      </c>
      <c r="C452" s="382" t="s">
        <v>4533</v>
      </c>
      <c r="D452" s="382"/>
      <c r="E452" s="382"/>
      <c r="F452" s="382"/>
      <c r="G452" s="382"/>
      <c r="H452" s="382"/>
    </row>
    <row r="453" spans="1:8">
      <c r="A453" s="382"/>
      <c r="B453" s="382"/>
      <c r="C453" s="382" t="s">
        <v>4534</v>
      </c>
      <c r="D453" s="382" t="s">
        <v>2080</v>
      </c>
      <c r="E453" s="382" t="s">
        <v>4577</v>
      </c>
      <c r="F453" s="382" t="s">
        <v>2080</v>
      </c>
      <c r="G453" s="49">
        <f>1*2*2.4*1.558</f>
        <v>7.48</v>
      </c>
      <c r="H453" s="382" t="s">
        <v>1670</v>
      </c>
    </row>
    <row r="454" spans="1:8">
      <c r="A454" s="382"/>
      <c r="B454" s="382" t="s">
        <v>4536</v>
      </c>
      <c r="C454" s="382" t="s">
        <v>4537</v>
      </c>
      <c r="D454" s="382"/>
      <c r="E454" s="382"/>
      <c r="F454" s="382"/>
      <c r="G454" s="382"/>
      <c r="H454" s="382"/>
    </row>
    <row r="455" spans="1:8">
      <c r="A455" s="382"/>
      <c r="B455" s="382"/>
      <c r="C455" s="382" t="s">
        <v>4538</v>
      </c>
      <c r="D455" s="382" t="s">
        <v>2080</v>
      </c>
      <c r="E455" s="382" t="s">
        <v>4595</v>
      </c>
      <c r="F455" s="382" t="s">
        <v>2080</v>
      </c>
      <c r="G455" s="49">
        <f>1*2*1.8*0.695</f>
        <v>2.5</v>
      </c>
      <c r="H455" s="382" t="s">
        <v>1670</v>
      </c>
    </row>
    <row r="456" spans="1:8">
      <c r="A456" s="382"/>
      <c r="B456" s="382" t="s">
        <v>4540</v>
      </c>
      <c r="C456" s="382" t="s">
        <v>4541</v>
      </c>
      <c r="D456" s="382"/>
      <c r="E456" s="382"/>
      <c r="F456" s="382"/>
      <c r="G456" s="49"/>
      <c r="H456" s="382"/>
    </row>
    <row r="457" spans="1:8">
      <c r="A457" s="382"/>
      <c r="B457" s="382"/>
      <c r="C457" s="382" t="s">
        <v>4542</v>
      </c>
      <c r="D457" s="382" t="s">
        <v>2080</v>
      </c>
      <c r="E457" s="382" t="s">
        <v>4579</v>
      </c>
      <c r="F457" s="382" t="s">
        <v>2080</v>
      </c>
      <c r="G457" s="49">
        <f>1*1*2.4*1.088</f>
        <v>2.61</v>
      </c>
      <c r="H457" s="382" t="s">
        <v>1670</v>
      </c>
    </row>
    <row r="458" spans="1:8">
      <c r="A458" s="382"/>
      <c r="B458" s="382" t="s">
        <v>4536</v>
      </c>
      <c r="C458" s="382" t="s">
        <v>4537</v>
      </c>
      <c r="D458" s="382"/>
      <c r="E458" s="382"/>
      <c r="F458" s="382"/>
      <c r="G458" s="382"/>
      <c r="H458" s="382"/>
    </row>
    <row r="459" spans="1:8">
      <c r="A459" s="382"/>
      <c r="B459" s="382"/>
      <c r="C459" s="382" t="s">
        <v>4596</v>
      </c>
      <c r="D459" s="382" t="s">
        <v>2080</v>
      </c>
      <c r="E459" s="382" t="s">
        <v>4597</v>
      </c>
      <c r="F459" s="382" t="s">
        <v>2080</v>
      </c>
      <c r="G459" s="49">
        <f>1*2*1.2*0.695</f>
        <v>1.67</v>
      </c>
      <c r="H459" s="382" t="s">
        <v>1670</v>
      </c>
    </row>
    <row r="460" spans="1:8">
      <c r="A460" s="382"/>
      <c r="B460" s="382" t="s">
        <v>4544</v>
      </c>
      <c r="C460" s="382" t="s">
        <v>4545</v>
      </c>
      <c r="D460" s="382"/>
      <c r="E460" s="382"/>
      <c r="F460" s="382"/>
      <c r="G460" s="49"/>
      <c r="H460" s="382"/>
    </row>
    <row r="461" spans="1:8">
      <c r="A461" s="382"/>
      <c r="B461" s="382"/>
      <c r="C461" s="382" t="s">
        <v>4546</v>
      </c>
      <c r="D461" s="382" t="s">
        <v>2080</v>
      </c>
      <c r="E461" s="382" t="s">
        <v>4598</v>
      </c>
      <c r="F461" s="382" t="s">
        <v>2080</v>
      </c>
      <c r="G461" s="49">
        <f>1*4*1.1*0.605</f>
        <v>2.66</v>
      </c>
      <c r="H461" s="382" t="s">
        <v>1670</v>
      </c>
    </row>
    <row r="462" spans="1:8">
      <c r="A462" s="382"/>
      <c r="B462" s="382" t="s">
        <v>4548</v>
      </c>
      <c r="C462" s="382" t="s">
        <v>4549</v>
      </c>
      <c r="D462" s="382"/>
      <c r="E462" s="382"/>
      <c r="F462" s="382"/>
      <c r="G462" s="49"/>
      <c r="H462" s="382"/>
    </row>
    <row r="463" spans="1:8">
      <c r="A463" s="382"/>
      <c r="B463" s="382"/>
      <c r="C463" s="382" t="s">
        <v>4550</v>
      </c>
      <c r="D463" s="382" t="s">
        <v>2080</v>
      </c>
      <c r="E463" s="382" t="s">
        <v>4599</v>
      </c>
      <c r="F463" s="382" t="s">
        <v>2080</v>
      </c>
      <c r="G463" s="49">
        <f>1*4*1.1*0.488</f>
        <v>2.15</v>
      </c>
      <c r="H463" s="382" t="s">
        <v>1670</v>
      </c>
    </row>
    <row r="464" spans="1:8">
      <c r="A464" s="382"/>
      <c r="B464" s="382" t="s">
        <v>4600</v>
      </c>
      <c r="C464" s="382" t="s">
        <v>4552</v>
      </c>
      <c r="D464" s="382"/>
      <c r="E464" s="382"/>
      <c r="F464" s="382"/>
      <c r="G464" s="49"/>
      <c r="H464" s="382"/>
    </row>
    <row r="465" spans="1:8">
      <c r="A465" s="382"/>
      <c r="B465" s="382"/>
      <c r="C465" s="382" t="s">
        <v>4553</v>
      </c>
      <c r="D465" s="382" t="s">
        <v>2080</v>
      </c>
      <c r="E465" s="382" t="s">
        <v>4582</v>
      </c>
      <c r="F465" s="382" t="s">
        <v>2080</v>
      </c>
      <c r="G465" s="49">
        <f>2*4*0.55*0.355</f>
        <v>1.56</v>
      </c>
      <c r="H465" s="382" t="s">
        <v>1670</v>
      </c>
    </row>
    <row r="466" spans="1:8">
      <c r="A466" s="382"/>
      <c r="B466" s="382"/>
      <c r="C466" s="382"/>
      <c r="D466" s="382"/>
      <c r="E466" s="382"/>
      <c r="F466" s="382"/>
      <c r="G466" s="49">
        <f>SUM(G453:G465)</f>
        <v>20.63</v>
      </c>
      <c r="H466" s="382" t="s">
        <v>1670</v>
      </c>
    </row>
    <row r="467" spans="1:8">
      <c r="A467" s="382"/>
      <c r="B467" s="382"/>
      <c r="C467" s="382"/>
      <c r="D467" s="382"/>
      <c r="E467" s="382" t="s">
        <v>4555</v>
      </c>
      <c r="F467" s="382" t="s">
        <v>2080</v>
      </c>
      <c r="G467" s="49">
        <f>G466*10%</f>
        <v>2.06</v>
      </c>
      <c r="H467" s="382" t="s">
        <v>1670</v>
      </c>
    </row>
    <row r="468" spans="1:8">
      <c r="A468" s="382"/>
      <c r="B468" s="382"/>
      <c r="C468" s="382"/>
      <c r="D468" s="382"/>
      <c r="E468" s="382"/>
      <c r="F468" s="382"/>
      <c r="G468" s="389">
        <f>SUM(G466:G467)</f>
        <v>22.69</v>
      </c>
      <c r="H468" s="382" t="s">
        <v>1670</v>
      </c>
    </row>
    <row r="469" spans="1:8">
      <c r="A469" s="382"/>
      <c r="B469" s="382"/>
      <c r="C469" s="382"/>
      <c r="D469" s="382"/>
      <c r="E469" s="382"/>
      <c r="F469" s="382"/>
      <c r="G469" s="382"/>
      <c r="H469" s="382"/>
    </row>
    <row r="470" spans="1:8">
      <c r="A470" s="382"/>
      <c r="B470" s="569" t="s">
        <v>4556</v>
      </c>
      <c r="C470" s="382" t="s">
        <v>4557</v>
      </c>
      <c r="D470" s="382"/>
      <c r="E470" s="382"/>
      <c r="F470" s="382"/>
      <c r="G470" s="382"/>
      <c r="H470" s="382"/>
    </row>
    <row r="471" spans="1:8" ht="17.25">
      <c r="A471" s="382"/>
      <c r="B471" s="382"/>
      <c r="C471" s="382" t="s">
        <v>4558</v>
      </c>
      <c r="D471" s="382" t="s">
        <v>2080</v>
      </c>
      <c r="E471" s="382" t="s">
        <v>4601</v>
      </c>
      <c r="F471" s="382" t="s">
        <v>2080</v>
      </c>
      <c r="G471" s="49">
        <f>1*4*0.55*1.1</f>
        <v>2.42</v>
      </c>
      <c r="H471" s="382" t="s">
        <v>4560</v>
      </c>
    </row>
    <row r="472" spans="1:8" ht="17.25">
      <c r="A472" s="382"/>
      <c r="B472" s="382"/>
      <c r="C472" s="382" t="s">
        <v>4602</v>
      </c>
      <c r="D472" s="382" t="s">
        <v>2080</v>
      </c>
      <c r="E472" s="382" t="s">
        <v>4603</v>
      </c>
      <c r="F472" s="382" t="s">
        <v>2080</v>
      </c>
      <c r="G472" s="49">
        <f>1*1*2.3*0.6</f>
        <v>1.38</v>
      </c>
      <c r="H472" s="382" t="s">
        <v>4560</v>
      </c>
    </row>
    <row r="473" spans="1:8" ht="17.25">
      <c r="A473" s="382"/>
      <c r="B473" s="382"/>
      <c r="C473" s="382"/>
      <c r="D473" s="382"/>
      <c r="E473" s="382"/>
      <c r="F473" s="382"/>
      <c r="G473" s="389">
        <f>SUM(G471:G472)</f>
        <v>3.8</v>
      </c>
      <c r="H473" s="388" t="s">
        <v>4604</v>
      </c>
    </row>
    <row r="474" spans="1:8">
      <c r="A474" s="382"/>
      <c r="B474" s="382"/>
      <c r="C474" s="382"/>
      <c r="D474" s="382"/>
      <c r="E474" s="382"/>
      <c r="F474" s="382"/>
      <c r="G474" s="389"/>
      <c r="H474" s="388"/>
    </row>
    <row r="475" spans="1:8">
      <c r="A475" s="382"/>
      <c r="B475" s="569" t="s">
        <v>4561</v>
      </c>
      <c r="C475" s="382" t="s">
        <v>3972</v>
      </c>
      <c r="D475" s="382" t="s">
        <v>2080</v>
      </c>
      <c r="E475" s="382" t="s">
        <v>4605</v>
      </c>
      <c r="F475" s="382" t="s">
        <v>2080</v>
      </c>
      <c r="G475" s="49">
        <f>1*2*4*3.3</f>
        <v>26.4</v>
      </c>
      <c r="H475" s="382" t="s">
        <v>835</v>
      </c>
    </row>
    <row r="476" spans="1:8">
      <c r="A476" s="382"/>
      <c r="B476" s="569"/>
      <c r="C476" s="382"/>
      <c r="D476" s="382" t="s">
        <v>2080</v>
      </c>
      <c r="E476" s="382" t="s">
        <v>4606</v>
      </c>
      <c r="F476" s="382" t="s">
        <v>2080</v>
      </c>
      <c r="G476" s="49">
        <f>1*2*1*5.8</f>
        <v>11.6</v>
      </c>
      <c r="H476" s="382" t="s">
        <v>835</v>
      </c>
    </row>
    <row r="477" spans="1:8">
      <c r="A477" s="382"/>
      <c r="B477" s="569"/>
      <c r="C477" s="382"/>
      <c r="D477" s="382"/>
      <c r="E477" s="382"/>
      <c r="F477" s="382"/>
      <c r="G477" s="389">
        <f>SUM(G475:G476)</f>
        <v>38</v>
      </c>
      <c r="H477" s="388" t="s">
        <v>835</v>
      </c>
    </row>
    <row r="478" spans="1:8">
      <c r="A478" s="382"/>
      <c r="B478" s="382"/>
      <c r="C478" s="382"/>
      <c r="D478" s="382"/>
      <c r="E478" s="382"/>
      <c r="F478" s="382"/>
      <c r="G478" s="49"/>
      <c r="H478" s="382"/>
    </row>
    <row r="479" spans="1:8" ht="17.25">
      <c r="A479" s="382"/>
      <c r="B479" s="569" t="s">
        <v>4563</v>
      </c>
      <c r="C479" s="382" t="s">
        <v>4564</v>
      </c>
      <c r="D479" s="382" t="s">
        <v>2080</v>
      </c>
      <c r="E479" s="382" t="s">
        <v>4607</v>
      </c>
      <c r="F479" s="382" t="s">
        <v>2080</v>
      </c>
      <c r="G479" s="49">
        <f>2.4*1.8</f>
        <v>4.32</v>
      </c>
      <c r="H479" s="382" t="s">
        <v>4560</v>
      </c>
    </row>
    <row r="480" spans="1:8">
      <c r="A480" s="382"/>
      <c r="B480" s="382"/>
      <c r="C480" s="382"/>
      <c r="D480" s="382"/>
      <c r="E480" s="382"/>
      <c r="F480" s="382"/>
      <c r="G480" s="382"/>
      <c r="H480" s="382"/>
    </row>
    <row r="481" spans="1:8">
      <c r="A481" s="382"/>
      <c r="B481" s="382"/>
      <c r="C481" s="382"/>
      <c r="D481" s="382"/>
      <c r="E481" s="382"/>
      <c r="F481" s="382"/>
      <c r="G481" s="382"/>
      <c r="H481" s="382"/>
    </row>
    <row r="482" spans="1:8">
      <c r="A482" s="382"/>
      <c r="B482" s="382"/>
      <c r="C482" s="382"/>
      <c r="D482" s="382"/>
      <c r="E482" s="382"/>
      <c r="F482" s="382"/>
      <c r="G482" s="382"/>
      <c r="H482" s="382"/>
    </row>
    <row r="483" spans="1:8">
      <c r="A483" s="13">
        <f>G468</f>
        <v>22.69</v>
      </c>
      <c r="B483" s="7" t="s">
        <v>922</v>
      </c>
      <c r="C483" s="1" t="s">
        <v>4566</v>
      </c>
      <c r="D483" s="8"/>
      <c r="E483" s="8">
        <v>287</v>
      </c>
      <c r="F483" s="7" t="s">
        <v>922</v>
      </c>
      <c r="G483" s="8">
        <f t="shared" ref="G483:G488" si="16">E483*A483</f>
        <v>6512.03</v>
      </c>
      <c r="H483" s="382"/>
    </row>
    <row r="484" spans="1:8">
      <c r="A484" s="13">
        <f>G473</f>
        <v>3.8</v>
      </c>
      <c r="B484" s="7" t="s">
        <v>236</v>
      </c>
      <c r="C484" s="1" t="s">
        <v>4567</v>
      </c>
      <c r="D484" s="8"/>
      <c r="E484" s="8">
        <v>336</v>
      </c>
      <c r="F484" s="7" t="s">
        <v>236</v>
      </c>
      <c r="G484" s="8">
        <f t="shared" si="16"/>
        <v>1276.8</v>
      </c>
      <c r="H484" s="382"/>
    </row>
    <row r="485" spans="1:8">
      <c r="A485" s="13">
        <v>38</v>
      </c>
      <c r="B485" s="7" t="s">
        <v>835</v>
      </c>
      <c r="C485" s="1" t="s">
        <v>1881</v>
      </c>
      <c r="D485" s="8"/>
      <c r="E485" s="8">
        <v>27.1</v>
      </c>
      <c r="F485" s="7" t="s">
        <v>835</v>
      </c>
      <c r="G485" s="8">
        <f t="shared" si="16"/>
        <v>1029.8</v>
      </c>
      <c r="H485" s="382"/>
    </row>
    <row r="486" spans="1:8">
      <c r="A486" s="13">
        <v>1</v>
      </c>
      <c r="B486" s="7" t="s">
        <v>778</v>
      </c>
      <c r="C486" s="1" t="s">
        <v>4568</v>
      </c>
      <c r="D486" s="8"/>
      <c r="E486" s="8">
        <v>59.4</v>
      </c>
      <c r="F486" s="7" t="s">
        <v>778</v>
      </c>
      <c r="G486" s="8">
        <f t="shared" si="16"/>
        <v>59.4</v>
      </c>
      <c r="H486" s="382"/>
    </row>
    <row r="487" spans="1:8">
      <c r="A487" s="13">
        <v>1</v>
      </c>
      <c r="B487" s="7" t="s">
        <v>778</v>
      </c>
      <c r="C487" s="1" t="s">
        <v>4569</v>
      </c>
      <c r="D487" s="8"/>
      <c r="E487" s="8">
        <v>13.1</v>
      </c>
      <c r="F487" s="7" t="s">
        <v>778</v>
      </c>
      <c r="G487" s="8">
        <f t="shared" si="16"/>
        <v>13.1</v>
      </c>
      <c r="H487" s="382"/>
    </row>
    <row r="488" spans="1:8">
      <c r="A488" s="13">
        <v>4.32</v>
      </c>
      <c r="B488" s="7" t="s">
        <v>2308</v>
      </c>
      <c r="C488" s="1" t="s">
        <v>1887</v>
      </c>
      <c r="D488" s="346"/>
      <c r="E488" s="346">
        <f>G498</f>
        <v>1110</v>
      </c>
      <c r="F488" s="7" t="s">
        <v>2308</v>
      </c>
      <c r="G488" s="8">
        <f t="shared" si="16"/>
        <v>4795.2</v>
      </c>
      <c r="H488" s="382"/>
    </row>
    <row r="489" spans="1:8">
      <c r="A489" s="346"/>
      <c r="B489" s="391"/>
      <c r="C489" s="1" t="s">
        <v>2296</v>
      </c>
      <c r="D489" s="346"/>
      <c r="E489" s="347"/>
      <c r="F489" s="8" t="s">
        <v>663</v>
      </c>
      <c r="G489" s="382">
        <v>4.7</v>
      </c>
      <c r="H489" s="382"/>
    </row>
    <row r="490" spans="1:8">
      <c r="A490" s="346"/>
      <c r="B490" s="346"/>
      <c r="C490" s="6" t="s">
        <v>4608</v>
      </c>
      <c r="D490" s="346"/>
      <c r="E490" s="346"/>
      <c r="F490" s="273"/>
      <c r="G490" s="346">
        <f>SUM(G483:G489)</f>
        <v>13691.03</v>
      </c>
      <c r="H490" s="382"/>
    </row>
    <row r="491" spans="1:8">
      <c r="A491" s="346"/>
      <c r="B491" s="346"/>
      <c r="C491" s="570" t="s">
        <v>4571</v>
      </c>
      <c r="D491" s="390" t="s">
        <v>2080</v>
      </c>
      <c r="E491" s="390"/>
      <c r="F491" s="393"/>
      <c r="G491" s="389">
        <f>G490/A488</f>
        <v>3169.22</v>
      </c>
      <c r="H491" s="382"/>
    </row>
    <row r="492" spans="1:8">
      <c r="A492" s="382"/>
      <c r="B492" s="382"/>
      <c r="C492" s="382"/>
      <c r="D492" s="382"/>
      <c r="E492" s="382"/>
      <c r="F492" s="382"/>
      <c r="G492" s="382"/>
      <c r="H492" s="382"/>
    </row>
    <row r="493" spans="1:8">
      <c r="A493" s="382"/>
      <c r="B493" s="382"/>
      <c r="C493" s="388" t="s">
        <v>4572</v>
      </c>
      <c r="D493" s="382"/>
      <c r="E493" s="382"/>
      <c r="F493" s="382"/>
      <c r="G493" s="382"/>
      <c r="H493" s="382"/>
    </row>
    <row r="494" spans="1:8">
      <c r="A494" s="8">
        <v>1</v>
      </c>
      <c r="B494" s="7" t="s">
        <v>877</v>
      </c>
      <c r="C494" s="1" t="s">
        <v>4573</v>
      </c>
      <c r="D494" s="8"/>
      <c r="E494" s="8">
        <v>501</v>
      </c>
      <c r="F494" s="1" t="s">
        <v>877</v>
      </c>
      <c r="G494" s="382">
        <f>E494*A494</f>
        <v>501</v>
      </c>
      <c r="H494" s="382"/>
    </row>
    <row r="495" spans="1:8">
      <c r="A495" s="8">
        <v>1</v>
      </c>
      <c r="B495" s="7" t="s">
        <v>877</v>
      </c>
      <c r="C495" s="1" t="s">
        <v>4574</v>
      </c>
      <c r="D495" s="8"/>
      <c r="E495" s="8">
        <v>355</v>
      </c>
      <c r="F495" s="1" t="s">
        <v>877</v>
      </c>
      <c r="G495" s="382">
        <f>E495*A495</f>
        <v>355</v>
      </c>
      <c r="H495" s="382"/>
    </row>
    <row r="496" spans="1:8">
      <c r="A496" s="8">
        <v>0.5</v>
      </c>
      <c r="B496" s="7" t="s">
        <v>877</v>
      </c>
      <c r="C496" s="1" t="s">
        <v>4575</v>
      </c>
      <c r="D496" s="8"/>
      <c r="E496" s="8">
        <v>508</v>
      </c>
      <c r="F496" s="1" t="s">
        <v>877</v>
      </c>
      <c r="G496" s="382">
        <f>E496*A496</f>
        <v>254</v>
      </c>
      <c r="H496" s="382"/>
    </row>
    <row r="497" spans="1:8">
      <c r="A497" s="346"/>
      <c r="B497" s="391"/>
      <c r="C497" s="1"/>
      <c r="D497" s="346"/>
      <c r="E497" s="392"/>
      <c r="F497" s="5"/>
      <c r="G497" s="382"/>
      <c r="H497" s="382"/>
    </row>
    <row r="498" spans="1:8">
      <c r="A498" s="346"/>
      <c r="B498" s="391"/>
      <c r="C498" s="1" t="s">
        <v>3986</v>
      </c>
      <c r="D498" s="346"/>
      <c r="E498" s="392"/>
      <c r="F498" s="26"/>
      <c r="G498" s="390">
        <f>SUM(G494:G497)</f>
        <v>1110</v>
      </c>
      <c r="H498" s="382"/>
    </row>
    <row r="499" spans="1:8">
      <c r="A499" s="346"/>
      <c r="B499" s="391"/>
      <c r="C499" s="346"/>
      <c r="D499" s="346"/>
      <c r="E499" s="392"/>
      <c r="F499" s="5"/>
      <c r="G499" s="382"/>
      <c r="H499" s="382"/>
    </row>
    <row r="500" spans="1:8">
      <c r="A500" s="575"/>
      <c r="B500" s="575"/>
      <c r="C500" s="575"/>
      <c r="D500" s="575"/>
      <c r="E500" s="575"/>
      <c r="F500" s="575"/>
      <c r="G500" s="575"/>
      <c r="H500" s="575"/>
    </row>
    <row r="501" spans="1:8" ht="30" customHeight="1">
      <c r="A501" s="382"/>
      <c r="B501" s="382"/>
      <c r="C501" s="345" t="s">
        <v>4618</v>
      </c>
      <c r="D501" s="382"/>
      <c r="E501" s="382"/>
      <c r="F501" s="382"/>
      <c r="G501" s="382"/>
      <c r="H501" s="382"/>
    </row>
    <row r="502" spans="1:8">
      <c r="A502" s="382"/>
      <c r="B502" s="382" t="s">
        <v>4532</v>
      </c>
      <c r="C502" s="382" t="s">
        <v>4533</v>
      </c>
      <c r="D502" s="382"/>
      <c r="E502" s="382"/>
      <c r="F502" s="382"/>
      <c r="G502" s="382"/>
      <c r="H502" s="382"/>
    </row>
    <row r="503" spans="1:8">
      <c r="A503" s="382"/>
      <c r="B503" s="382"/>
      <c r="C503" s="382" t="s">
        <v>4609</v>
      </c>
      <c r="D503" s="382" t="s">
        <v>2080</v>
      </c>
      <c r="E503" s="382" t="s">
        <v>4610</v>
      </c>
      <c r="F503" s="382" t="s">
        <v>2080</v>
      </c>
      <c r="G503" s="49">
        <f>1*2*0.6</f>
        <v>1.2</v>
      </c>
      <c r="H503" s="382" t="s">
        <v>1670</v>
      </c>
    </row>
    <row r="504" spans="1:8">
      <c r="A504" s="382"/>
      <c r="B504" s="382"/>
      <c r="C504" s="382" t="s">
        <v>4611</v>
      </c>
      <c r="D504" s="382" t="s">
        <v>2080</v>
      </c>
      <c r="E504" s="382" t="s">
        <v>4612</v>
      </c>
      <c r="F504" s="382" t="s">
        <v>2080</v>
      </c>
      <c r="G504" s="49">
        <f>1*2*0.9</f>
        <v>1.8</v>
      </c>
      <c r="H504" s="382" t="s">
        <v>1670</v>
      </c>
    </row>
    <row r="505" spans="1:8">
      <c r="A505" s="382"/>
      <c r="B505" s="382"/>
      <c r="C505" s="382"/>
      <c r="D505" s="382"/>
      <c r="E505" s="382"/>
      <c r="F505" s="382"/>
      <c r="G505" s="49">
        <f>SUM(G503:G504)</f>
        <v>3</v>
      </c>
      <c r="H505" s="382" t="s">
        <v>1670</v>
      </c>
    </row>
    <row r="506" spans="1:8">
      <c r="A506" s="382"/>
      <c r="B506" s="382"/>
      <c r="C506" s="382"/>
      <c r="D506" s="382" t="s">
        <v>2080</v>
      </c>
      <c r="E506" s="382" t="s">
        <v>4613</v>
      </c>
      <c r="F506" s="382" t="s">
        <v>2080</v>
      </c>
      <c r="G506" s="50">
        <f>3*1.558</f>
        <v>4.67</v>
      </c>
      <c r="H506" s="382" t="s">
        <v>1670</v>
      </c>
    </row>
    <row r="507" spans="1:8">
      <c r="A507" s="382"/>
      <c r="B507" s="382"/>
      <c r="C507" s="382"/>
      <c r="D507" s="382"/>
      <c r="E507" s="382"/>
      <c r="F507" s="382"/>
      <c r="G507" s="49"/>
      <c r="H507" s="382"/>
    </row>
    <row r="508" spans="1:8">
      <c r="A508" s="382"/>
      <c r="B508" s="382"/>
      <c r="C508" s="382" t="s">
        <v>4614</v>
      </c>
      <c r="D508" s="382" t="s">
        <v>2080</v>
      </c>
      <c r="E508" s="382" t="s">
        <v>4615</v>
      </c>
      <c r="F508" s="382" t="s">
        <v>2080</v>
      </c>
      <c r="G508" s="50">
        <f>0.9*0.6</f>
        <v>0.54</v>
      </c>
      <c r="H508" s="382" t="s">
        <v>4616</v>
      </c>
    </row>
    <row r="509" spans="1:8">
      <c r="A509" s="382"/>
      <c r="B509" s="382"/>
      <c r="C509" s="382"/>
      <c r="D509" s="382"/>
      <c r="E509" s="382"/>
      <c r="F509" s="382"/>
      <c r="G509" s="50"/>
      <c r="H509" s="382"/>
    </row>
    <row r="510" spans="1:8">
      <c r="A510" s="382"/>
      <c r="B510" s="382"/>
      <c r="C510" s="382" t="s">
        <v>924</v>
      </c>
      <c r="D510" s="382" t="s">
        <v>2080</v>
      </c>
      <c r="E510" s="382" t="s">
        <v>4617</v>
      </c>
      <c r="F510" s="382" t="s">
        <v>2080</v>
      </c>
      <c r="G510" s="50">
        <f>0.9*0.6</f>
        <v>0.54</v>
      </c>
      <c r="H510" s="382" t="s">
        <v>4616</v>
      </c>
    </row>
    <row r="511" spans="1:8">
      <c r="A511" s="382"/>
      <c r="B511" s="382"/>
      <c r="C511" s="382"/>
      <c r="D511" s="382"/>
      <c r="E511" s="382"/>
      <c r="F511" s="382"/>
      <c r="G511" s="382"/>
      <c r="H511" s="382"/>
    </row>
    <row r="512" spans="1:8">
      <c r="A512" s="382"/>
      <c r="B512" s="382"/>
      <c r="C512" s="382"/>
      <c r="D512" s="382"/>
      <c r="E512" s="382"/>
      <c r="F512" s="382"/>
      <c r="G512" s="382"/>
      <c r="H512" s="382"/>
    </row>
    <row r="513" spans="1:8">
      <c r="A513" s="382"/>
      <c r="B513" s="382"/>
      <c r="C513" s="382"/>
      <c r="D513" s="382"/>
      <c r="E513" s="382"/>
      <c r="F513" s="382"/>
      <c r="G513" s="382"/>
      <c r="H513" s="382"/>
    </row>
    <row r="514" spans="1:8" ht="19.5">
      <c r="A514" s="346"/>
      <c r="B514" s="391"/>
      <c r="D514" s="345"/>
      <c r="E514" s="345"/>
      <c r="F514" s="345"/>
      <c r="G514" s="382"/>
      <c r="H514" s="382"/>
    </row>
    <row r="515" spans="1:8">
      <c r="A515" s="13">
        <f>G506</f>
        <v>4.67</v>
      </c>
      <c r="B515" s="7" t="s">
        <v>922</v>
      </c>
      <c r="C515" s="1" t="s">
        <v>1879</v>
      </c>
      <c r="D515" s="8"/>
      <c r="E515" s="8">
        <v>287</v>
      </c>
      <c r="F515" s="7" t="s">
        <v>922</v>
      </c>
      <c r="G515" s="8">
        <f>E515*A515</f>
        <v>1340.29</v>
      </c>
      <c r="H515" s="382"/>
    </row>
    <row r="516" spans="1:8">
      <c r="A516" s="13">
        <f>G508</f>
        <v>0.54</v>
      </c>
      <c r="B516" s="7" t="s">
        <v>236</v>
      </c>
      <c r="C516" s="1" t="s">
        <v>1880</v>
      </c>
      <c r="D516" s="8"/>
      <c r="E516" s="8">
        <v>208.8</v>
      </c>
      <c r="F516" s="7" t="s">
        <v>236</v>
      </c>
      <c r="G516" s="8">
        <f>E516*A516</f>
        <v>112.75</v>
      </c>
      <c r="H516" s="382"/>
    </row>
    <row r="517" spans="1:8">
      <c r="A517" s="13">
        <f>G510</f>
        <v>0.54</v>
      </c>
      <c r="B517" s="7" t="s">
        <v>236</v>
      </c>
      <c r="C517" s="1" t="s">
        <v>1887</v>
      </c>
      <c r="D517" s="8"/>
      <c r="E517" s="8">
        <f>E488</f>
        <v>1110</v>
      </c>
      <c r="F517" s="7" t="s">
        <v>922</v>
      </c>
      <c r="G517" s="8">
        <f>E517*A517</f>
        <v>599.4</v>
      </c>
      <c r="H517" s="382"/>
    </row>
    <row r="518" spans="1:8">
      <c r="A518" s="13"/>
      <c r="B518" s="7"/>
      <c r="C518" s="1" t="s">
        <v>1888</v>
      </c>
      <c r="D518" s="346"/>
      <c r="E518" s="347"/>
      <c r="F518" s="8"/>
      <c r="G518" s="382"/>
      <c r="H518" s="382"/>
    </row>
    <row r="519" spans="1:8">
      <c r="A519" s="13"/>
      <c r="B519" s="7"/>
      <c r="C519" s="6" t="s">
        <v>4619</v>
      </c>
      <c r="D519" s="8"/>
      <c r="E519" s="7"/>
      <c r="F519" s="8"/>
      <c r="G519" s="390">
        <f>SUM(G515:G518)</f>
        <v>2052.44</v>
      </c>
      <c r="H519" s="382"/>
    </row>
    <row r="520" spans="1:8">
      <c r="A520" s="13"/>
      <c r="B520" s="7"/>
      <c r="C520" s="570" t="s">
        <v>4571</v>
      </c>
      <c r="D520" s="8"/>
      <c r="E520" s="7"/>
      <c r="F520" s="26"/>
      <c r="G520" s="389">
        <f>G519/A517</f>
        <v>3800.81</v>
      </c>
      <c r="H520" s="382"/>
    </row>
    <row r="521" spans="1:8">
      <c r="A521" s="382"/>
      <c r="B521" s="382"/>
      <c r="C521" s="382"/>
      <c r="D521" s="382"/>
      <c r="E521" s="382"/>
      <c r="F521" s="382"/>
      <c r="G521" s="382"/>
      <c r="H521" s="382"/>
    </row>
    <row r="522" spans="1:8">
      <c r="A522" s="382"/>
      <c r="B522" s="382"/>
      <c r="C522" s="382"/>
      <c r="D522" s="382"/>
      <c r="E522" s="382"/>
      <c r="F522" s="382"/>
      <c r="G522" s="382"/>
      <c r="H522" s="382"/>
    </row>
    <row r="523" spans="1:8">
      <c r="A523" s="382"/>
      <c r="B523" s="382"/>
      <c r="C523" s="382"/>
      <c r="D523" s="382"/>
      <c r="E523" s="382"/>
      <c r="F523" s="382"/>
      <c r="G523" s="382"/>
      <c r="H523" s="382"/>
    </row>
    <row r="524" spans="1:8">
      <c r="A524" s="382"/>
      <c r="B524" s="382"/>
      <c r="C524" s="382"/>
      <c r="D524" s="382"/>
      <c r="E524" s="382"/>
      <c r="F524" s="382"/>
      <c r="G524" s="382"/>
      <c r="H524" s="382"/>
    </row>
    <row r="525" spans="1:8">
      <c r="A525" s="382"/>
      <c r="B525" s="382"/>
      <c r="C525" s="382"/>
      <c r="D525" s="382"/>
      <c r="E525" s="382"/>
      <c r="F525" s="382"/>
      <c r="G525" s="382"/>
      <c r="H525" s="382"/>
    </row>
    <row r="526" spans="1:8">
      <c r="A526" s="582">
        <v>2</v>
      </c>
      <c r="B526" s="65" t="s">
        <v>2276</v>
      </c>
      <c r="C526" s="57" t="s">
        <v>4626</v>
      </c>
      <c r="D526" s="558"/>
      <c r="E526" s="560"/>
      <c r="F526" s="558"/>
      <c r="G526" s="35"/>
      <c r="H526" s="35"/>
    </row>
    <row r="527" spans="1:8">
      <c r="A527" s="558"/>
      <c r="B527" s="559"/>
      <c r="C527" s="66" t="s">
        <v>4484</v>
      </c>
      <c r="D527" s="558"/>
      <c r="E527" s="560"/>
      <c r="F527" s="558"/>
      <c r="G527" s="35"/>
      <c r="H527" s="35"/>
    </row>
    <row r="528" spans="1:8" ht="18">
      <c r="A528" s="558"/>
      <c r="B528" s="559"/>
      <c r="C528" s="247" t="s">
        <v>4485</v>
      </c>
      <c r="D528" s="558"/>
      <c r="E528" s="560"/>
      <c r="F528" s="558"/>
      <c r="G528" s="35"/>
      <c r="H528" s="35"/>
    </row>
    <row r="529" spans="1:8">
      <c r="A529" s="558"/>
      <c r="B529" s="559"/>
      <c r="C529" s="67" t="s">
        <v>1609</v>
      </c>
      <c r="D529" s="558"/>
      <c r="E529" s="560"/>
      <c r="F529" s="558"/>
      <c r="G529" s="35"/>
      <c r="H529" s="35"/>
    </row>
    <row r="530" spans="1:8">
      <c r="A530" s="558"/>
      <c r="B530" s="559"/>
      <c r="C530" s="57" t="s">
        <v>4486</v>
      </c>
      <c r="D530" s="346"/>
      <c r="E530" s="346"/>
      <c r="F530" s="346"/>
      <c r="G530" s="35"/>
      <c r="H530" s="35"/>
    </row>
    <row r="531" spans="1:8">
      <c r="A531" s="558"/>
      <c r="B531" s="559"/>
      <c r="C531" s="73" t="s">
        <v>4487</v>
      </c>
      <c r="D531" s="382"/>
      <c r="E531" s="249">
        <f>3*2*1.9*0.075*0.0375</f>
        <v>3.2099999999999997E-2</v>
      </c>
      <c r="F531" s="558" t="s">
        <v>2176</v>
      </c>
      <c r="G531" s="35"/>
      <c r="H531" s="35"/>
    </row>
    <row r="532" spans="1:8">
      <c r="A532" s="558"/>
      <c r="B532" s="559"/>
      <c r="C532" s="66" t="s">
        <v>4488</v>
      </c>
      <c r="D532" s="382"/>
      <c r="E532" s="249">
        <f>3*2*0.5*0.075*0.0375</f>
        <v>8.3999999999999995E-3</v>
      </c>
      <c r="F532" s="558" t="s">
        <v>2176</v>
      </c>
      <c r="G532" s="35"/>
      <c r="H532" s="35"/>
    </row>
    <row r="533" spans="1:8">
      <c r="A533" s="558"/>
      <c r="B533" s="559"/>
      <c r="C533" s="66"/>
      <c r="D533" s="561"/>
      <c r="E533" s="67" t="s">
        <v>1609</v>
      </c>
      <c r="F533" s="71"/>
      <c r="G533" s="35"/>
      <c r="H533" s="35"/>
    </row>
    <row r="534" spans="1:8">
      <c r="A534" s="558"/>
      <c r="B534" s="559"/>
      <c r="C534" s="558"/>
      <c r="D534" s="558"/>
      <c r="E534" s="562">
        <f>SUM(E531:E533)</f>
        <v>4.0500000000000001E-2</v>
      </c>
      <c r="F534" s="346" t="s">
        <v>2176</v>
      </c>
      <c r="G534" s="35"/>
      <c r="H534" s="35"/>
    </row>
    <row r="535" spans="1:8">
      <c r="A535" s="558"/>
      <c r="B535" s="559"/>
      <c r="C535" s="558"/>
      <c r="D535" s="558"/>
      <c r="E535" s="67" t="s">
        <v>1609</v>
      </c>
      <c r="F535" s="346"/>
      <c r="G535" s="35"/>
      <c r="H535" s="35"/>
    </row>
    <row r="536" spans="1:8">
      <c r="A536" s="558"/>
      <c r="B536" s="559"/>
      <c r="C536" s="66" t="s">
        <v>448</v>
      </c>
      <c r="D536" s="382"/>
      <c r="E536" s="382"/>
      <c r="F536" s="382"/>
      <c r="G536" s="35"/>
      <c r="H536" s="35"/>
    </row>
    <row r="537" spans="1:8">
      <c r="A537" s="558"/>
      <c r="B537" s="559"/>
      <c r="C537" s="66" t="s">
        <v>4489</v>
      </c>
      <c r="D537" s="250"/>
      <c r="E537" s="248">
        <f>3*1.9*0.5</f>
        <v>2.85</v>
      </c>
      <c r="F537" s="7" t="s">
        <v>615</v>
      </c>
      <c r="G537" s="35"/>
      <c r="H537" s="35"/>
    </row>
    <row r="538" spans="1:8">
      <c r="A538" s="558"/>
      <c r="B538" s="559"/>
      <c r="C538" s="66"/>
      <c r="D538" s="250"/>
      <c r="E538" s="248"/>
      <c r="F538" s="71"/>
      <c r="G538" s="35"/>
      <c r="H538" s="35"/>
    </row>
    <row r="539" spans="1:8">
      <c r="A539" s="558"/>
      <c r="B539" s="559"/>
      <c r="C539" s="66" t="s">
        <v>4490</v>
      </c>
      <c r="D539" s="250"/>
      <c r="E539" s="248"/>
      <c r="F539" s="71"/>
      <c r="G539" s="35"/>
      <c r="H539" s="35"/>
    </row>
    <row r="540" spans="1:8">
      <c r="A540" s="558"/>
      <c r="B540" s="559"/>
      <c r="C540" s="66" t="s">
        <v>4491</v>
      </c>
      <c r="D540" s="250"/>
      <c r="E540" s="249">
        <f>3*1.775*0.375</f>
        <v>1.9968999999999999</v>
      </c>
      <c r="F540" s="71" t="str">
        <f>F537</f>
        <v>SQM</v>
      </c>
      <c r="G540" s="35"/>
      <c r="H540" s="35"/>
    </row>
    <row r="541" spans="1:8">
      <c r="A541" s="558"/>
      <c r="B541" s="559"/>
      <c r="C541" s="66" t="s">
        <v>4492</v>
      </c>
      <c r="D541" s="558"/>
      <c r="E541" s="251"/>
      <c r="F541" s="73"/>
      <c r="G541" s="35"/>
      <c r="H541" s="35"/>
    </row>
    <row r="542" spans="1:8">
      <c r="A542" s="74"/>
      <c r="B542" s="559"/>
      <c r="C542" s="66" t="s">
        <v>4493</v>
      </c>
      <c r="D542" s="250"/>
      <c r="E542" s="563">
        <f>1.775+0.375</f>
        <v>2.15</v>
      </c>
      <c r="F542" s="71"/>
      <c r="G542" s="68"/>
      <c r="H542" s="35"/>
    </row>
    <row r="543" spans="1:8">
      <c r="A543" s="74"/>
      <c r="B543" s="559"/>
      <c r="C543" s="558"/>
      <c r="D543" s="564"/>
      <c r="E543" s="75">
        <f>E542*6</f>
        <v>12.9</v>
      </c>
      <c r="F543" s="68" t="s">
        <v>835</v>
      </c>
      <c r="G543" s="68"/>
      <c r="H543" s="35"/>
    </row>
    <row r="544" spans="1:8">
      <c r="A544" s="74"/>
      <c r="B544" s="559"/>
      <c r="C544" s="565" t="s">
        <v>4494</v>
      </c>
      <c r="D544" s="564"/>
      <c r="E544" s="64"/>
      <c r="F544" s="68"/>
      <c r="G544" s="68"/>
      <c r="H544" s="35"/>
    </row>
    <row r="545" spans="1:8">
      <c r="A545" s="72"/>
      <c r="B545" s="559"/>
      <c r="C545" s="57" t="s">
        <v>4495</v>
      </c>
      <c r="D545" s="382"/>
      <c r="E545" s="68"/>
      <c r="F545" s="560"/>
      <c r="G545" s="68"/>
      <c r="H545" s="35"/>
    </row>
    <row r="546" spans="1:8">
      <c r="A546" s="71">
        <f>E534</f>
        <v>4.0500000000000001E-2</v>
      </c>
      <c r="B546" s="64" t="s">
        <v>878</v>
      </c>
      <c r="C546" s="66" t="s">
        <v>4657</v>
      </c>
      <c r="D546" s="68">
        <f>Data!I948</f>
        <v>99400</v>
      </c>
      <c r="E546" s="66" t="s">
        <v>878</v>
      </c>
      <c r="F546" s="68">
        <f>(A546*D546)</f>
        <v>4025.7</v>
      </c>
      <c r="G546" s="68"/>
      <c r="H546" s="35"/>
    </row>
    <row r="547" spans="1:8">
      <c r="A547" s="71">
        <f>E537</f>
        <v>2.85</v>
      </c>
      <c r="B547" s="7" t="s">
        <v>615</v>
      </c>
      <c r="C547" s="66" t="s">
        <v>4658</v>
      </c>
      <c r="D547" s="68">
        <f>Data!P3224</f>
        <v>1300.95</v>
      </c>
      <c r="E547" s="7" t="s">
        <v>615</v>
      </c>
      <c r="F547" s="68">
        <f>(A547*D547)</f>
        <v>3707.71</v>
      </c>
      <c r="G547" s="68"/>
      <c r="H547" s="35"/>
    </row>
    <row r="548" spans="1:8">
      <c r="A548" s="71">
        <f>E540</f>
        <v>1.9968999999999999</v>
      </c>
      <c r="B548" s="7" t="s">
        <v>615</v>
      </c>
      <c r="C548" s="66" t="s">
        <v>4490</v>
      </c>
      <c r="D548" s="68">
        <f>Data!I1069</f>
        <v>208.8</v>
      </c>
      <c r="E548" s="7" t="s">
        <v>615</v>
      </c>
      <c r="F548" s="68">
        <f t="shared" ref="F548:F554" si="17">(A548*D548)</f>
        <v>416.95</v>
      </c>
      <c r="G548" s="68"/>
      <c r="H548" s="35"/>
    </row>
    <row r="549" spans="1:8">
      <c r="A549" s="68">
        <f>E543</f>
        <v>12.9</v>
      </c>
      <c r="B549" s="68" t="s">
        <v>835</v>
      </c>
      <c r="C549" s="57" t="s">
        <v>4497</v>
      </c>
      <c r="D549" s="68">
        <f>Data!V3156</f>
        <v>48.7</v>
      </c>
      <c r="E549" s="68" t="s">
        <v>835</v>
      </c>
      <c r="F549" s="68">
        <f t="shared" si="17"/>
        <v>628.23</v>
      </c>
      <c r="G549" s="68"/>
      <c r="H549" s="35"/>
    </row>
    <row r="550" spans="1:8">
      <c r="A550" s="68">
        <v>9</v>
      </c>
      <c r="B550" s="7" t="s">
        <v>877</v>
      </c>
      <c r="C550" s="1" t="s">
        <v>1539</v>
      </c>
      <c r="D550" s="68">
        <f>Data!V3157</f>
        <v>83</v>
      </c>
      <c r="E550" s="1" t="s">
        <v>877</v>
      </c>
      <c r="F550" s="68">
        <f t="shared" si="17"/>
        <v>747</v>
      </c>
      <c r="G550" s="68"/>
      <c r="H550" s="35"/>
    </row>
    <row r="551" spans="1:8">
      <c r="A551" s="68">
        <v>6</v>
      </c>
      <c r="B551" s="7" t="s">
        <v>877</v>
      </c>
      <c r="C551" s="1" t="s">
        <v>3605</v>
      </c>
      <c r="D551" s="68">
        <f>Data!V3158</f>
        <v>68.5</v>
      </c>
      <c r="E551" s="1" t="s">
        <v>877</v>
      </c>
      <c r="F551" s="68">
        <f t="shared" si="17"/>
        <v>411</v>
      </c>
      <c r="G551" s="68"/>
      <c r="H551" s="35"/>
    </row>
    <row r="552" spans="1:8">
      <c r="A552" s="68">
        <v>3</v>
      </c>
      <c r="B552" s="7" t="s">
        <v>877</v>
      </c>
      <c r="C552" s="1" t="s">
        <v>3606</v>
      </c>
      <c r="D552" s="68">
        <f>Data!V3159</f>
        <v>53.4</v>
      </c>
      <c r="E552" s="1" t="s">
        <v>877</v>
      </c>
      <c r="F552" s="68">
        <f t="shared" si="17"/>
        <v>160.19999999999999</v>
      </c>
      <c r="G552" s="68"/>
      <c r="H552" s="35"/>
    </row>
    <row r="553" spans="1:8">
      <c r="A553" s="68">
        <v>3</v>
      </c>
      <c r="B553" s="7" t="s">
        <v>877</v>
      </c>
      <c r="C553" s="1" t="s">
        <v>2005</v>
      </c>
      <c r="D553" s="68">
        <f>Data!V3160</f>
        <v>7.3</v>
      </c>
      <c r="E553" s="1" t="s">
        <v>877</v>
      </c>
      <c r="F553" s="68">
        <f t="shared" si="17"/>
        <v>21.9</v>
      </c>
      <c r="G553" s="68"/>
      <c r="H553" s="35"/>
    </row>
    <row r="554" spans="1:8">
      <c r="A554" s="68">
        <v>120</v>
      </c>
      <c r="B554" s="7" t="s">
        <v>877</v>
      </c>
      <c r="C554" s="1" t="s">
        <v>4498</v>
      </c>
      <c r="D554" s="68">
        <f>Data!V3161</f>
        <v>2.39</v>
      </c>
      <c r="E554" s="1" t="s">
        <v>877</v>
      </c>
      <c r="F554" s="68">
        <f t="shared" si="17"/>
        <v>286.8</v>
      </c>
      <c r="G554" s="68"/>
      <c r="H554" s="35"/>
    </row>
    <row r="555" spans="1:8">
      <c r="A555" s="68"/>
      <c r="B555" s="65"/>
      <c r="C555" s="66"/>
      <c r="D555" s="382"/>
      <c r="E555" s="68"/>
      <c r="F555" s="67" t="s">
        <v>1609</v>
      </c>
      <c r="G555" s="68"/>
      <c r="H555" s="35"/>
    </row>
    <row r="556" spans="1:8">
      <c r="A556" s="558"/>
      <c r="B556" s="559"/>
      <c r="C556" s="66" t="s">
        <v>4499</v>
      </c>
      <c r="D556" s="382"/>
      <c r="E556" s="64"/>
      <c r="F556" s="561">
        <f>SUM(F546:F555)</f>
        <v>10405.49</v>
      </c>
      <c r="G556" s="252"/>
      <c r="H556" s="35"/>
    </row>
    <row r="557" spans="1:8">
      <c r="A557" s="558"/>
      <c r="B557" s="559"/>
      <c r="C557" s="382"/>
      <c r="D557" s="68"/>
      <c r="E557" s="560"/>
      <c r="F557" s="67" t="s">
        <v>1609</v>
      </c>
      <c r="G557" s="382"/>
      <c r="H557" s="35"/>
    </row>
    <row r="558" spans="1:8">
      <c r="A558" s="558"/>
      <c r="B558" s="559"/>
      <c r="C558" s="561" t="s">
        <v>4139</v>
      </c>
      <c r="D558" s="68"/>
      <c r="E558" s="560"/>
      <c r="F558" s="389">
        <f>F556/A547</f>
        <v>3651.05</v>
      </c>
      <c r="G558" s="68">
        <f>SUM(G542:G557)</f>
        <v>0</v>
      </c>
      <c r="H558" s="35"/>
    </row>
    <row r="559" spans="1:8">
      <c r="A559" s="558"/>
      <c r="B559" s="559"/>
      <c r="C559" s="558"/>
      <c r="D559" s="68"/>
      <c r="E559" s="560"/>
      <c r="F559" s="382"/>
      <c r="G559" s="382"/>
      <c r="H559" s="35"/>
    </row>
    <row r="560" spans="1:8">
      <c r="A560" s="558"/>
      <c r="B560" s="559"/>
      <c r="C560" s="57"/>
      <c r="D560" s="558"/>
      <c r="E560" s="1855"/>
      <c r="F560" s="1855"/>
      <c r="G560" s="1855"/>
      <c r="H560" s="1855"/>
    </row>
    <row r="561" spans="1:8">
      <c r="A561" s="346"/>
      <c r="B561" s="346"/>
      <c r="C561" s="346"/>
      <c r="D561" s="346"/>
      <c r="E561" s="346"/>
      <c r="F561" s="346"/>
      <c r="G561" s="35"/>
      <c r="H561" s="35"/>
    </row>
    <row r="562" spans="1:8">
      <c r="A562" s="382"/>
      <c r="B562" s="382"/>
      <c r="C562" s="382"/>
      <c r="D562" s="382"/>
      <c r="E562" s="382"/>
      <c r="F562" s="382"/>
      <c r="G562" s="382"/>
      <c r="H562" s="382"/>
    </row>
    <row r="563" spans="1:8">
      <c r="A563" s="581">
        <v>1</v>
      </c>
      <c r="B563" s="559"/>
      <c r="C563" s="66" t="s">
        <v>4484</v>
      </c>
      <c r="D563" s="558"/>
      <c r="E563" s="560"/>
      <c r="F563" s="558"/>
      <c r="G563" s="382"/>
      <c r="H563" s="382"/>
    </row>
    <row r="564" spans="1:8" ht="18">
      <c r="A564" s="558"/>
      <c r="B564" s="559"/>
      <c r="C564" s="247" t="s">
        <v>4627</v>
      </c>
      <c r="D564" s="558"/>
      <c r="E564" s="560"/>
      <c r="F564" s="558"/>
      <c r="G564" s="382"/>
      <c r="H564" s="382"/>
    </row>
    <row r="565" spans="1:8">
      <c r="A565" s="558"/>
      <c r="B565" s="559"/>
      <c r="C565" s="67" t="s">
        <v>1609</v>
      </c>
      <c r="D565" s="558"/>
      <c r="E565" s="560"/>
      <c r="F565" s="558"/>
      <c r="G565" s="382"/>
      <c r="H565" s="382"/>
    </row>
    <row r="566" spans="1:8">
      <c r="A566" s="558"/>
      <c r="B566" s="559"/>
      <c r="C566" s="57" t="s">
        <v>4486</v>
      </c>
      <c r="D566" s="346"/>
      <c r="E566" s="346"/>
      <c r="F566" s="346" t="s">
        <v>2176</v>
      </c>
      <c r="G566" s="382"/>
      <c r="H566" s="382"/>
    </row>
    <row r="567" spans="1:8">
      <c r="A567" s="558"/>
      <c r="B567" s="559"/>
      <c r="C567" s="73" t="s">
        <v>4628</v>
      </c>
      <c r="D567" s="382"/>
      <c r="E567" s="249">
        <f>3*2*1.9*0.075*0.0375</f>
        <v>3.2099999999999997E-2</v>
      </c>
      <c r="F567" s="558" t="s">
        <v>2176</v>
      </c>
      <c r="G567" s="382"/>
      <c r="H567" s="382"/>
    </row>
    <row r="568" spans="1:8">
      <c r="A568" s="558"/>
      <c r="B568" s="559"/>
      <c r="C568" s="66" t="s">
        <v>4629</v>
      </c>
      <c r="D568" s="382"/>
      <c r="E568" s="249">
        <f>3*2*0.6*0.075*0.0375</f>
        <v>1.01E-2</v>
      </c>
      <c r="F568" s="558" t="s">
        <v>2176</v>
      </c>
      <c r="G568" s="382"/>
      <c r="H568" s="382"/>
    </row>
    <row r="569" spans="1:8">
      <c r="A569" s="558"/>
      <c r="B569" s="559"/>
      <c r="C569" s="66"/>
      <c r="D569" s="561"/>
      <c r="E569" s="67" t="s">
        <v>1609</v>
      </c>
      <c r="F569" s="71"/>
      <c r="G569" s="382"/>
      <c r="H569" s="382"/>
    </row>
    <row r="570" spans="1:8">
      <c r="A570" s="558"/>
      <c r="B570" s="559"/>
      <c r="C570" s="558"/>
      <c r="D570" s="558"/>
      <c r="E570" s="562">
        <f>SUM(E567:E569)</f>
        <v>4.2200000000000001E-2</v>
      </c>
      <c r="F570" s="346" t="s">
        <v>2176</v>
      </c>
      <c r="G570" s="382"/>
      <c r="H570" s="382"/>
    </row>
    <row r="571" spans="1:8">
      <c r="A571" s="558"/>
      <c r="B571" s="559"/>
      <c r="C571" s="558"/>
      <c r="D571" s="558"/>
      <c r="E571" s="67" t="s">
        <v>1609</v>
      </c>
      <c r="F571" s="346"/>
      <c r="G571" s="382"/>
      <c r="H571" s="382"/>
    </row>
    <row r="572" spans="1:8">
      <c r="A572" s="558"/>
      <c r="B572" s="559"/>
      <c r="C572" s="66" t="s">
        <v>448</v>
      </c>
      <c r="D572" s="382"/>
      <c r="E572" s="382"/>
      <c r="F572" s="382"/>
      <c r="G572" s="382"/>
      <c r="H572" s="382"/>
    </row>
    <row r="573" spans="1:8">
      <c r="A573" s="558"/>
      <c r="B573" s="559"/>
      <c r="C573" s="66" t="s">
        <v>4630</v>
      </c>
      <c r="D573" s="250"/>
      <c r="E573" s="248">
        <f>3*1.9*0.6</f>
        <v>3.42</v>
      </c>
      <c r="F573" s="7" t="s">
        <v>615</v>
      </c>
      <c r="G573" s="382"/>
      <c r="H573" s="382"/>
    </row>
    <row r="574" spans="1:8">
      <c r="A574" s="558"/>
      <c r="B574" s="559"/>
      <c r="C574" s="66"/>
      <c r="D574" s="250"/>
      <c r="E574" s="248"/>
      <c r="F574" s="71"/>
      <c r="G574" s="382"/>
      <c r="H574" s="382"/>
    </row>
    <row r="575" spans="1:8">
      <c r="A575" s="558"/>
      <c r="B575" s="559"/>
      <c r="C575" s="66" t="s">
        <v>4490</v>
      </c>
      <c r="D575" s="250"/>
      <c r="E575" s="248"/>
      <c r="F575" s="71"/>
      <c r="G575" s="382"/>
      <c r="H575" s="382"/>
    </row>
    <row r="576" spans="1:8">
      <c r="A576" s="558"/>
      <c r="B576" s="559"/>
      <c r="C576" s="66" t="s">
        <v>4631</v>
      </c>
      <c r="D576" s="250"/>
      <c r="E576" s="249">
        <f>3*1.775*0.475</f>
        <v>2.5293999999999999</v>
      </c>
      <c r="F576" s="71" t="str">
        <f>F573</f>
        <v>SQM</v>
      </c>
      <c r="G576" s="382"/>
      <c r="H576" s="382"/>
    </row>
    <row r="577" spans="1:8">
      <c r="A577" s="558"/>
      <c r="B577" s="559"/>
      <c r="C577" s="66" t="s">
        <v>4492</v>
      </c>
      <c r="D577" s="558"/>
      <c r="E577" s="251"/>
      <c r="F577" s="73"/>
      <c r="G577" s="382"/>
      <c r="H577" s="382"/>
    </row>
    <row r="578" spans="1:8">
      <c r="A578" s="74"/>
      <c r="B578" s="559"/>
      <c r="C578" s="66" t="s">
        <v>4632</v>
      </c>
      <c r="D578" s="250"/>
      <c r="E578" s="563">
        <f>1.775+0.475</f>
        <v>2.25</v>
      </c>
      <c r="F578" s="71"/>
      <c r="G578" s="382"/>
      <c r="H578" s="382"/>
    </row>
    <row r="579" spans="1:8">
      <c r="A579" s="74"/>
      <c r="B579" s="559"/>
      <c r="C579" s="558"/>
      <c r="D579" s="564"/>
      <c r="E579" s="75">
        <f>E578*6</f>
        <v>13.5</v>
      </c>
      <c r="F579" s="68" t="s">
        <v>835</v>
      </c>
      <c r="G579" s="382"/>
      <c r="H579" s="382"/>
    </row>
    <row r="580" spans="1:8">
      <c r="A580" s="74"/>
      <c r="B580" s="559"/>
      <c r="C580" s="580" t="s">
        <v>4494</v>
      </c>
      <c r="D580" s="564"/>
      <c r="E580" s="64"/>
      <c r="F580" s="68"/>
      <c r="G580" s="382"/>
      <c r="H580" s="382"/>
    </row>
    <row r="581" spans="1:8">
      <c r="A581" s="71"/>
      <c r="B581" s="65"/>
      <c r="C581" s="70"/>
      <c r="D581" s="382"/>
      <c r="E581" s="68"/>
      <c r="F581" s="64"/>
      <c r="G581" s="382"/>
      <c r="H581" s="382"/>
    </row>
    <row r="582" spans="1:8">
      <c r="A582" s="72"/>
      <c r="B582" s="559"/>
      <c r="C582" s="57" t="s">
        <v>4495</v>
      </c>
      <c r="D582" s="382"/>
      <c r="E582" s="68"/>
      <c r="F582" s="560"/>
      <c r="G582" s="382"/>
      <c r="H582" s="382"/>
    </row>
    <row r="583" spans="1:8">
      <c r="A583" s="71">
        <f>E570</f>
        <v>4.2200000000000001E-2</v>
      </c>
      <c r="B583" s="64" t="s">
        <v>878</v>
      </c>
      <c r="C583" s="66" t="s">
        <v>4496</v>
      </c>
      <c r="D583" s="68">
        <f>D546</f>
        <v>99400</v>
      </c>
      <c r="E583" s="64" t="s">
        <v>878</v>
      </c>
      <c r="F583" s="68">
        <f>(A583*D583)</f>
        <v>4194.68</v>
      </c>
      <c r="G583" s="382"/>
      <c r="H583" s="382"/>
    </row>
    <row r="584" spans="1:8">
      <c r="A584" s="71">
        <f>E573</f>
        <v>3.42</v>
      </c>
      <c r="B584" s="7" t="s">
        <v>615</v>
      </c>
      <c r="C584" s="66" t="s">
        <v>448</v>
      </c>
      <c r="D584" s="68">
        <f t="shared" ref="D584:D591" si="18">D547</f>
        <v>1300.95</v>
      </c>
      <c r="E584" s="7" t="s">
        <v>615</v>
      </c>
      <c r="F584" s="68">
        <f t="shared" ref="F584:F591" si="19">(A584*D584)</f>
        <v>4449.25</v>
      </c>
      <c r="G584" s="382"/>
      <c r="H584" s="382"/>
    </row>
    <row r="585" spans="1:8">
      <c r="A585" s="72">
        <f>E576</f>
        <v>2.5293999999999999</v>
      </c>
      <c r="B585" s="7" t="s">
        <v>615</v>
      </c>
      <c r="C585" s="66" t="s">
        <v>4490</v>
      </c>
      <c r="D585" s="68">
        <f t="shared" si="18"/>
        <v>208.8</v>
      </c>
      <c r="E585" s="7" t="s">
        <v>615</v>
      </c>
      <c r="F585" s="68">
        <f t="shared" si="19"/>
        <v>528.14</v>
      </c>
      <c r="G585" s="382"/>
      <c r="H585" s="382"/>
    </row>
    <row r="586" spans="1:8">
      <c r="A586" s="68">
        <f>E579</f>
        <v>13.5</v>
      </c>
      <c r="B586" s="68" t="s">
        <v>835</v>
      </c>
      <c r="C586" s="57" t="s">
        <v>4497</v>
      </c>
      <c r="D586" s="68">
        <f t="shared" si="18"/>
        <v>48.7</v>
      </c>
      <c r="E586" s="68" t="s">
        <v>835</v>
      </c>
      <c r="F586" s="68">
        <f t="shared" si="19"/>
        <v>657.45</v>
      </c>
      <c r="G586" s="382"/>
      <c r="H586" s="382"/>
    </row>
    <row r="587" spans="1:8">
      <c r="A587" s="68">
        <v>9</v>
      </c>
      <c r="B587" s="7" t="s">
        <v>877</v>
      </c>
      <c r="C587" s="1" t="s">
        <v>1539</v>
      </c>
      <c r="D587" s="68">
        <f t="shared" si="18"/>
        <v>83</v>
      </c>
      <c r="E587" s="1" t="s">
        <v>877</v>
      </c>
      <c r="F587" s="68">
        <f t="shared" si="19"/>
        <v>747</v>
      </c>
      <c r="G587" s="382"/>
      <c r="H587" s="382"/>
    </row>
    <row r="588" spans="1:8">
      <c r="A588" s="68">
        <v>6</v>
      </c>
      <c r="B588" s="7" t="s">
        <v>877</v>
      </c>
      <c r="C588" s="1" t="s">
        <v>3605</v>
      </c>
      <c r="D588" s="68">
        <f t="shared" si="18"/>
        <v>68.5</v>
      </c>
      <c r="E588" s="1" t="s">
        <v>877</v>
      </c>
      <c r="F588" s="68">
        <f t="shared" si="19"/>
        <v>411</v>
      </c>
      <c r="G588" s="382"/>
      <c r="H588" s="382"/>
    </row>
    <row r="589" spans="1:8">
      <c r="A589" s="68">
        <v>3</v>
      </c>
      <c r="B589" s="7" t="s">
        <v>877</v>
      </c>
      <c r="C589" s="1" t="s">
        <v>3606</v>
      </c>
      <c r="D589" s="68">
        <f t="shared" si="18"/>
        <v>53.4</v>
      </c>
      <c r="E589" s="1" t="s">
        <v>877</v>
      </c>
      <c r="F589" s="68">
        <f t="shared" si="19"/>
        <v>160.19999999999999</v>
      </c>
      <c r="G589" s="382"/>
      <c r="H589" s="382"/>
    </row>
    <row r="590" spans="1:8">
      <c r="A590" s="68">
        <v>3</v>
      </c>
      <c r="B590" s="7" t="s">
        <v>877</v>
      </c>
      <c r="C590" s="1" t="s">
        <v>2005</v>
      </c>
      <c r="D590" s="68">
        <f t="shared" si="18"/>
        <v>7.3</v>
      </c>
      <c r="E590" s="1" t="s">
        <v>877</v>
      </c>
      <c r="F590" s="68">
        <f t="shared" si="19"/>
        <v>21.9</v>
      </c>
      <c r="G590" s="382"/>
      <c r="H590" s="382"/>
    </row>
    <row r="591" spans="1:8">
      <c r="A591" s="68">
        <v>120</v>
      </c>
      <c r="B591" s="7" t="s">
        <v>877</v>
      </c>
      <c r="C591" s="1" t="s">
        <v>4498</v>
      </c>
      <c r="D591" s="68">
        <f t="shared" si="18"/>
        <v>2.39</v>
      </c>
      <c r="E591" s="1" t="s">
        <v>877</v>
      </c>
      <c r="F591" s="68">
        <f t="shared" si="19"/>
        <v>286.8</v>
      </c>
      <c r="G591" s="382"/>
      <c r="H591" s="382"/>
    </row>
    <row r="592" spans="1:8">
      <c r="A592" s="68"/>
      <c r="B592" s="65"/>
      <c r="C592" s="66"/>
      <c r="D592" s="382"/>
      <c r="E592" s="68"/>
      <c r="F592" s="67" t="s">
        <v>1609</v>
      </c>
      <c r="G592" s="382"/>
      <c r="H592" s="382"/>
    </row>
    <row r="593" spans="1:8">
      <c r="A593" s="558"/>
      <c r="B593" s="559"/>
      <c r="C593" s="66" t="s">
        <v>4633</v>
      </c>
      <c r="D593" s="382"/>
      <c r="E593" s="64"/>
      <c r="F593" s="561">
        <f>SUM(F583:F592)</f>
        <v>11456.42</v>
      </c>
      <c r="G593" s="382"/>
      <c r="H593" s="382"/>
    </row>
    <row r="594" spans="1:8">
      <c r="A594" s="558"/>
      <c r="B594" s="559"/>
      <c r="C594" s="382"/>
      <c r="D594" s="68"/>
      <c r="E594" s="560"/>
      <c r="F594" s="67" t="s">
        <v>1609</v>
      </c>
      <c r="G594" s="382"/>
      <c r="H594" s="382"/>
    </row>
    <row r="595" spans="1:8">
      <c r="A595" s="558"/>
      <c r="B595" s="559"/>
      <c r="C595" s="561" t="s">
        <v>4139</v>
      </c>
      <c r="D595" s="68"/>
      <c r="E595" s="560"/>
      <c r="F595" s="389">
        <f>F593/A584</f>
        <v>3349.83</v>
      </c>
      <c r="G595" s="382"/>
      <c r="H595" s="382"/>
    </row>
    <row r="596" spans="1:8">
      <c r="A596" s="558"/>
      <c r="B596" s="559"/>
      <c r="C596" s="558"/>
      <c r="D596" s="68"/>
      <c r="E596" s="560"/>
      <c r="F596" s="382"/>
      <c r="G596" s="382"/>
      <c r="H596" s="382"/>
    </row>
    <row r="597" spans="1:8">
      <c r="A597" s="382"/>
      <c r="B597" s="382"/>
      <c r="C597" s="382"/>
      <c r="D597" s="382"/>
      <c r="E597" s="382"/>
      <c r="F597" s="382"/>
      <c r="G597" s="382"/>
      <c r="H597" s="382"/>
    </row>
    <row r="598" spans="1:8">
      <c r="A598" s="558">
        <v>3</v>
      </c>
      <c r="B598" s="559"/>
      <c r="C598" s="66" t="s">
        <v>4484</v>
      </c>
      <c r="D598" s="558"/>
      <c r="E598" s="560"/>
      <c r="F598" s="558"/>
      <c r="G598" s="382"/>
      <c r="H598" s="382"/>
    </row>
    <row r="599" spans="1:8" ht="18">
      <c r="A599" s="558"/>
      <c r="B599" s="559"/>
      <c r="C599" s="247" t="s">
        <v>4634</v>
      </c>
      <c r="D599" s="558"/>
      <c r="E599" s="560"/>
      <c r="F599" s="558"/>
      <c r="G599" s="382"/>
      <c r="H599" s="382"/>
    </row>
    <row r="600" spans="1:8">
      <c r="A600" s="558"/>
      <c r="B600" s="559"/>
      <c r="C600" s="67" t="s">
        <v>1609</v>
      </c>
      <c r="D600" s="558"/>
      <c r="E600" s="560"/>
      <c r="F600" s="558"/>
      <c r="G600" s="382"/>
      <c r="H600" s="382"/>
    </row>
    <row r="601" spans="1:8">
      <c r="A601" s="558"/>
      <c r="B601" s="559"/>
      <c r="C601" s="57" t="s">
        <v>4486</v>
      </c>
      <c r="D601" s="346"/>
      <c r="E601" s="346"/>
      <c r="F601" s="346" t="s">
        <v>2176</v>
      </c>
      <c r="G601" s="382"/>
      <c r="H601" s="382"/>
    </row>
    <row r="602" spans="1:8">
      <c r="A602" s="558"/>
      <c r="B602" s="559"/>
      <c r="C602" s="73" t="s">
        <v>4635</v>
      </c>
      <c r="D602" s="382"/>
      <c r="E602" s="249">
        <f>2*2*1.9*0.075*0.0375</f>
        <v>2.1399999999999999E-2</v>
      </c>
      <c r="F602" s="558" t="s">
        <v>2176</v>
      </c>
      <c r="G602" s="382"/>
      <c r="H602" s="382"/>
    </row>
    <row r="603" spans="1:8">
      <c r="A603" s="558"/>
      <c r="B603" s="559"/>
      <c r="C603" s="66" t="s">
        <v>4636</v>
      </c>
      <c r="D603" s="382"/>
      <c r="E603" s="249">
        <f>2*2*0.5*0.075*0.0375</f>
        <v>5.5999999999999999E-3</v>
      </c>
      <c r="F603" s="558" t="s">
        <v>2176</v>
      </c>
      <c r="G603" s="382"/>
      <c r="H603" s="382"/>
    </row>
    <row r="604" spans="1:8">
      <c r="A604" s="558"/>
      <c r="B604" s="559"/>
      <c r="C604" s="66"/>
      <c r="D604" s="561"/>
      <c r="E604" s="67" t="s">
        <v>1609</v>
      </c>
      <c r="F604" s="71"/>
      <c r="G604" s="382"/>
      <c r="H604" s="382"/>
    </row>
    <row r="605" spans="1:8">
      <c r="A605" s="558"/>
      <c r="B605" s="559"/>
      <c r="C605" s="558"/>
      <c r="D605" s="558"/>
      <c r="E605" s="562">
        <f>SUM(E602:E604)</f>
        <v>2.7E-2</v>
      </c>
      <c r="F605" s="346" t="s">
        <v>2176</v>
      </c>
      <c r="G605" s="382"/>
      <c r="H605" s="382"/>
    </row>
    <row r="606" spans="1:8">
      <c r="A606" s="558"/>
      <c r="B606" s="559"/>
      <c r="C606" s="558"/>
      <c r="D606" s="558"/>
      <c r="E606" s="67" t="s">
        <v>1609</v>
      </c>
      <c r="F606" s="346"/>
      <c r="G606" s="382"/>
      <c r="H606" s="382"/>
    </row>
    <row r="607" spans="1:8">
      <c r="A607" s="558"/>
      <c r="B607" s="559"/>
      <c r="C607" s="66" t="s">
        <v>448</v>
      </c>
      <c r="D607" s="382"/>
      <c r="E607" s="382"/>
      <c r="F607" s="382"/>
      <c r="G607" s="382"/>
      <c r="H607" s="382"/>
    </row>
    <row r="608" spans="1:8">
      <c r="A608" s="558"/>
      <c r="B608" s="559"/>
      <c r="C608" s="66" t="s">
        <v>4637</v>
      </c>
      <c r="D608" s="250"/>
      <c r="E608" s="248">
        <f>2*1.9*0.5</f>
        <v>1.9</v>
      </c>
      <c r="F608" s="7" t="s">
        <v>615</v>
      </c>
      <c r="G608" s="382"/>
      <c r="H608" s="382"/>
    </row>
    <row r="609" spans="1:8">
      <c r="A609" s="558"/>
      <c r="B609" s="559"/>
      <c r="C609" s="66"/>
      <c r="D609" s="250"/>
      <c r="E609" s="248"/>
      <c r="F609" s="71"/>
      <c r="G609" s="382"/>
      <c r="H609" s="382"/>
    </row>
    <row r="610" spans="1:8">
      <c r="A610" s="558"/>
      <c r="B610" s="559"/>
      <c r="C610" s="66" t="s">
        <v>4490</v>
      </c>
      <c r="D610" s="250"/>
      <c r="E610" s="248"/>
      <c r="F610" s="71"/>
      <c r="G610" s="382"/>
      <c r="H610" s="382"/>
    </row>
    <row r="611" spans="1:8">
      <c r="A611" s="558"/>
      <c r="B611" s="559"/>
      <c r="C611" s="66" t="s">
        <v>4638</v>
      </c>
      <c r="D611" s="250"/>
      <c r="E611" s="249">
        <f>2*1.775*0.375</f>
        <v>1.3312999999999999</v>
      </c>
      <c r="F611" s="71" t="str">
        <f>F608</f>
        <v>SQM</v>
      </c>
      <c r="G611" s="382"/>
      <c r="H611" s="382"/>
    </row>
    <row r="612" spans="1:8">
      <c r="A612" s="558"/>
      <c r="B612" s="559"/>
      <c r="C612" s="66" t="s">
        <v>4639</v>
      </c>
      <c r="D612" s="558"/>
      <c r="E612" s="251"/>
      <c r="F612" s="73"/>
      <c r="G612" s="382"/>
      <c r="H612" s="382"/>
    </row>
    <row r="613" spans="1:8">
      <c r="A613" s="74"/>
      <c r="B613" s="559"/>
      <c r="C613" s="66" t="s">
        <v>4640</v>
      </c>
      <c r="D613" s="250"/>
      <c r="E613" s="563">
        <f>1.775+0.375</f>
        <v>2.15</v>
      </c>
      <c r="F613" s="71"/>
      <c r="G613" s="382"/>
      <c r="H613" s="382"/>
    </row>
    <row r="614" spans="1:8">
      <c r="A614" s="74"/>
      <c r="B614" s="559"/>
      <c r="C614" s="558"/>
      <c r="D614" s="564"/>
      <c r="E614" s="75">
        <f>E613*4</f>
        <v>8.6</v>
      </c>
      <c r="F614" s="68" t="s">
        <v>835</v>
      </c>
      <c r="G614" s="382"/>
      <c r="H614" s="382"/>
    </row>
    <row r="615" spans="1:8">
      <c r="A615" s="74"/>
      <c r="B615" s="559"/>
      <c r="C615" s="580" t="s">
        <v>4494</v>
      </c>
      <c r="D615" s="564"/>
      <c r="E615" s="64"/>
      <c r="F615" s="68"/>
      <c r="G615" s="382"/>
      <c r="H615" s="382"/>
    </row>
    <row r="616" spans="1:8">
      <c r="A616" s="71"/>
      <c r="B616" s="65"/>
      <c r="C616" s="70"/>
      <c r="D616" s="382"/>
      <c r="E616" s="68"/>
      <c r="F616" s="64"/>
      <c r="G616" s="382"/>
      <c r="H616" s="382"/>
    </row>
    <row r="617" spans="1:8">
      <c r="A617" s="72"/>
      <c r="B617" s="559"/>
      <c r="C617" s="57" t="s">
        <v>4495</v>
      </c>
      <c r="D617" s="382"/>
      <c r="E617" s="68"/>
      <c r="F617" s="560"/>
      <c r="G617" s="382"/>
      <c r="H617" s="382"/>
    </row>
    <row r="618" spans="1:8">
      <c r="A618" s="71">
        <f>E605</f>
        <v>2.7E-2</v>
      </c>
      <c r="B618" s="64" t="s">
        <v>878</v>
      </c>
      <c r="C618" s="66" t="s">
        <v>4496</v>
      </c>
      <c r="D618" s="68">
        <f>D583</f>
        <v>99400</v>
      </c>
      <c r="E618" s="64" t="s">
        <v>878</v>
      </c>
      <c r="F618" s="68">
        <f>(A618*D618)</f>
        <v>2683.8</v>
      </c>
      <c r="G618" s="382"/>
      <c r="H618" s="382"/>
    </row>
    <row r="619" spans="1:8">
      <c r="A619" s="71">
        <f>E608</f>
        <v>1.9</v>
      </c>
      <c r="B619" s="7" t="s">
        <v>615</v>
      </c>
      <c r="C619" s="66" t="s">
        <v>448</v>
      </c>
      <c r="D619" s="68">
        <f t="shared" ref="D619:D626" si="20">D584</f>
        <v>1300.95</v>
      </c>
      <c r="E619" s="7" t="s">
        <v>615</v>
      </c>
      <c r="F619" s="68">
        <f t="shared" ref="F619:F626" si="21">(A619*D619)</f>
        <v>2471.81</v>
      </c>
      <c r="G619" s="382"/>
      <c r="H619" s="382"/>
    </row>
    <row r="620" spans="1:8">
      <c r="A620" s="72">
        <f>E611</f>
        <v>1.3312999999999999</v>
      </c>
      <c r="B620" s="7" t="s">
        <v>615</v>
      </c>
      <c r="C620" s="66" t="s">
        <v>4490</v>
      </c>
      <c r="D620" s="68">
        <f t="shared" si="20"/>
        <v>208.8</v>
      </c>
      <c r="E620" s="7" t="s">
        <v>615</v>
      </c>
      <c r="F620" s="68">
        <f t="shared" si="21"/>
        <v>277.98</v>
      </c>
      <c r="G620" s="382"/>
      <c r="H620" s="382"/>
    </row>
    <row r="621" spans="1:8">
      <c r="A621" s="68">
        <f>E614</f>
        <v>8.6</v>
      </c>
      <c r="B621" s="68" t="s">
        <v>835</v>
      </c>
      <c r="C621" s="57" t="s">
        <v>4497</v>
      </c>
      <c r="D621" s="68">
        <f t="shared" si="20"/>
        <v>48.7</v>
      </c>
      <c r="E621" s="68" t="s">
        <v>835</v>
      </c>
      <c r="F621" s="68">
        <f t="shared" si="21"/>
        <v>418.82</v>
      </c>
      <c r="G621" s="382"/>
      <c r="H621" s="382"/>
    </row>
    <row r="622" spans="1:8">
      <c r="A622" s="68">
        <v>6</v>
      </c>
      <c r="B622" s="7" t="s">
        <v>877</v>
      </c>
      <c r="C622" s="1" t="s">
        <v>1539</v>
      </c>
      <c r="D622" s="68">
        <f t="shared" si="20"/>
        <v>83</v>
      </c>
      <c r="E622" s="1" t="s">
        <v>877</v>
      </c>
      <c r="F622" s="68">
        <f t="shared" si="21"/>
        <v>498</v>
      </c>
      <c r="G622" s="382"/>
      <c r="H622" s="382"/>
    </row>
    <row r="623" spans="1:8">
      <c r="A623" s="68">
        <v>4</v>
      </c>
      <c r="B623" s="7" t="s">
        <v>877</v>
      </c>
      <c r="C623" s="1" t="s">
        <v>3605</v>
      </c>
      <c r="D623" s="68">
        <f t="shared" si="20"/>
        <v>68.5</v>
      </c>
      <c r="E623" s="1" t="s">
        <v>877</v>
      </c>
      <c r="F623" s="68">
        <f t="shared" si="21"/>
        <v>274</v>
      </c>
      <c r="G623" s="382"/>
      <c r="H623" s="382"/>
    </row>
    <row r="624" spans="1:8">
      <c r="A624" s="68">
        <v>2</v>
      </c>
      <c r="B624" s="7" t="s">
        <v>877</v>
      </c>
      <c r="C624" s="1" t="s">
        <v>3606</v>
      </c>
      <c r="D624" s="68">
        <f t="shared" si="20"/>
        <v>53.4</v>
      </c>
      <c r="E624" s="1" t="s">
        <v>877</v>
      </c>
      <c r="F624" s="68">
        <f t="shared" si="21"/>
        <v>106.8</v>
      </c>
      <c r="G624" s="382"/>
      <c r="H624" s="382"/>
    </row>
    <row r="625" spans="1:8">
      <c r="A625" s="68">
        <v>2</v>
      </c>
      <c r="B625" s="7" t="s">
        <v>877</v>
      </c>
      <c r="C625" s="1" t="s">
        <v>2005</v>
      </c>
      <c r="D625" s="68">
        <f t="shared" si="20"/>
        <v>7.3</v>
      </c>
      <c r="E625" s="1" t="s">
        <v>877</v>
      </c>
      <c r="F625" s="68">
        <f t="shared" si="21"/>
        <v>14.6</v>
      </c>
      <c r="G625" s="382"/>
      <c r="H625" s="382"/>
    </row>
    <row r="626" spans="1:8">
      <c r="A626" s="68">
        <v>80</v>
      </c>
      <c r="B626" s="7" t="s">
        <v>877</v>
      </c>
      <c r="C626" s="1" t="s">
        <v>4498</v>
      </c>
      <c r="D626" s="68">
        <f t="shared" si="20"/>
        <v>2.39</v>
      </c>
      <c r="E626" s="1" t="s">
        <v>877</v>
      </c>
      <c r="F626" s="68">
        <f t="shared" si="21"/>
        <v>191.2</v>
      </c>
      <c r="G626" s="382"/>
      <c r="H626" s="382"/>
    </row>
    <row r="627" spans="1:8">
      <c r="A627" s="68"/>
      <c r="B627" s="65"/>
      <c r="C627" s="66"/>
      <c r="D627" s="382"/>
      <c r="E627" s="68"/>
      <c r="F627" s="67" t="s">
        <v>1609</v>
      </c>
      <c r="G627" s="382"/>
      <c r="H627" s="382"/>
    </row>
    <row r="628" spans="1:8">
      <c r="A628" s="558"/>
      <c r="B628" s="559"/>
      <c r="C628" s="66" t="s">
        <v>4641</v>
      </c>
      <c r="D628" s="382"/>
      <c r="E628" s="64"/>
      <c r="F628" s="561">
        <f>SUM(F618:F627)</f>
        <v>6937.01</v>
      </c>
      <c r="G628" s="382"/>
      <c r="H628" s="382"/>
    </row>
    <row r="629" spans="1:8">
      <c r="A629" s="558"/>
      <c r="B629" s="559"/>
      <c r="C629" s="382"/>
      <c r="D629" s="68"/>
      <c r="E629" s="560"/>
      <c r="F629" s="67" t="s">
        <v>1609</v>
      </c>
      <c r="G629" s="382"/>
      <c r="H629" s="382"/>
    </row>
    <row r="630" spans="1:8">
      <c r="A630" s="558"/>
      <c r="B630" s="559"/>
      <c r="C630" s="561" t="s">
        <v>4139</v>
      </c>
      <c r="D630" s="68"/>
      <c r="E630" s="560"/>
      <c r="F630" s="389">
        <f>F628/A619</f>
        <v>3651.06</v>
      </c>
      <c r="G630" s="382"/>
      <c r="H630" s="382"/>
    </row>
    <row r="631" spans="1:8">
      <c r="A631" s="558"/>
      <c r="B631" s="559"/>
      <c r="C631" s="558"/>
      <c r="D631" s="68"/>
      <c r="E631" s="560"/>
      <c r="F631" s="382"/>
      <c r="G631" s="382"/>
      <c r="H631" s="382"/>
    </row>
    <row r="632" spans="1:8">
      <c r="A632" s="382"/>
      <c r="B632" s="382"/>
      <c r="C632" s="382"/>
      <c r="D632" s="382"/>
      <c r="E632" s="382"/>
      <c r="F632" s="382"/>
      <c r="G632" s="382"/>
      <c r="H632" s="382"/>
    </row>
    <row r="633" spans="1:8">
      <c r="A633" s="382"/>
      <c r="B633" s="382"/>
      <c r="C633" s="382"/>
      <c r="D633" s="382"/>
      <c r="E633" s="382"/>
      <c r="F633" s="382"/>
      <c r="G633" s="382"/>
      <c r="H633" s="382"/>
    </row>
    <row r="634" spans="1:8">
      <c r="A634" s="581">
        <v>4</v>
      </c>
      <c r="B634" s="559"/>
      <c r="C634" s="66" t="s">
        <v>4484</v>
      </c>
      <c r="D634" s="558"/>
      <c r="E634" s="560"/>
      <c r="F634" s="558"/>
      <c r="G634" s="382"/>
      <c r="H634" s="382"/>
    </row>
    <row r="635" spans="1:8" ht="18">
      <c r="A635" s="558"/>
      <c r="B635" s="559"/>
      <c r="C635" s="247" t="s">
        <v>4642</v>
      </c>
      <c r="D635" s="558"/>
      <c r="E635" s="560"/>
      <c r="F635" s="558"/>
      <c r="G635" s="382"/>
      <c r="H635" s="382"/>
    </row>
    <row r="636" spans="1:8">
      <c r="A636" s="558"/>
      <c r="B636" s="559"/>
      <c r="C636" s="67" t="s">
        <v>1609</v>
      </c>
      <c r="D636" s="558"/>
      <c r="E636" s="560"/>
      <c r="F636" s="558"/>
      <c r="G636" s="382"/>
      <c r="H636" s="382"/>
    </row>
    <row r="637" spans="1:8">
      <c r="A637" s="558"/>
      <c r="B637" s="559"/>
      <c r="C637" s="57" t="s">
        <v>4486</v>
      </c>
      <c r="D637" s="346"/>
      <c r="E637" s="346"/>
      <c r="F637" s="346" t="s">
        <v>2176</v>
      </c>
      <c r="G637" s="382"/>
      <c r="H637" s="382"/>
    </row>
    <row r="638" spans="1:8">
      <c r="A638" s="558"/>
      <c r="B638" s="559"/>
      <c r="C638" s="73" t="s">
        <v>4643</v>
      </c>
      <c r="D638" s="382"/>
      <c r="E638" s="249">
        <f>2*2*1.9*0.075*0.0375</f>
        <v>2.1399999999999999E-2</v>
      </c>
      <c r="F638" s="558" t="s">
        <v>2176</v>
      </c>
      <c r="G638" s="382"/>
      <c r="H638" s="382"/>
    </row>
    <row r="639" spans="1:8">
      <c r="A639" s="558"/>
      <c r="B639" s="559"/>
      <c r="C639" s="66" t="s">
        <v>4644</v>
      </c>
      <c r="D639" s="382"/>
      <c r="E639" s="249">
        <f>2*0.65*0.075*0.0375</f>
        <v>3.7000000000000002E-3</v>
      </c>
      <c r="F639" s="558" t="s">
        <v>2176</v>
      </c>
      <c r="G639" s="382"/>
      <c r="H639" s="382"/>
    </row>
    <row r="640" spans="1:8">
      <c r="A640" s="558"/>
      <c r="B640" s="559"/>
      <c r="C640" s="66"/>
      <c r="D640" s="561"/>
      <c r="E640" s="67" t="s">
        <v>1609</v>
      </c>
      <c r="F640" s="71"/>
      <c r="G640" s="382"/>
      <c r="H640" s="382"/>
    </row>
    <row r="641" spans="1:8">
      <c r="A641" s="558"/>
      <c r="B641" s="559"/>
      <c r="C641" s="558"/>
      <c r="D641" s="558"/>
      <c r="E641" s="562">
        <f>SUM(E638:E640)</f>
        <v>2.5100000000000001E-2</v>
      </c>
      <c r="F641" s="346" t="s">
        <v>2176</v>
      </c>
      <c r="G641" s="382"/>
      <c r="H641" s="382"/>
    </row>
    <row r="642" spans="1:8">
      <c r="A642" s="558"/>
      <c r="B642" s="559"/>
      <c r="C642" s="558"/>
      <c r="D642" s="558"/>
      <c r="E642" s="67" t="s">
        <v>1609</v>
      </c>
      <c r="F642" s="346"/>
      <c r="G642" s="382"/>
      <c r="H642" s="382"/>
    </row>
    <row r="643" spans="1:8">
      <c r="A643" s="558"/>
      <c r="B643" s="559"/>
      <c r="C643" s="66" t="s">
        <v>448</v>
      </c>
      <c r="D643" s="382"/>
      <c r="E643" s="382"/>
      <c r="F643" s="382"/>
      <c r="G643" s="382"/>
      <c r="H643" s="382"/>
    </row>
    <row r="644" spans="1:8">
      <c r="A644" s="558"/>
      <c r="B644" s="559"/>
      <c r="C644" s="66" t="s">
        <v>4645</v>
      </c>
      <c r="D644" s="250"/>
      <c r="E644" s="248">
        <f>1*1.9*0.65</f>
        <v>1.2350000000000001</v>
      </c>
      <c r="F644" s="7" t="s">
        <v>615</v>
      </c>
      <c r="G644" s="382"/>
      <c r="H644" s="382"/>
    </row>
    <row r="645" spans="1:8">
      <c r="A645" s="558"/>
      <c r="B645" s="559"/>
      <c r="C645" s="66"/>
      <c r="D645" s="250"/>
      <c r="E645" s="248"/>
      <c r="F645" s="71"/>
      <c r="G645" s="382"/>
      <c r="H645" s="382"/>
    </row>
    <row r="646" spans="1:8">
      <c r="A646" s="558"/>
      <c r="B646" s="559"/>
      <c r="C646" s="66" t="s">
        <v>4490</v>
      </c>
      <c r="D646" s="250"/>
      <c r="E646" s="248"/>
      <c r="F646" s="71"/>
      <c r="G646" s="382"/>
      <c r="H646" s="382"/>
    </row>
    <row r="647" spans="1:8">
      <c r="A647" s="558"/>
      <c r="B647" s="559"/>
      <c r="C647" s="66" t="s">
        <v>4646</v>
      </c>
      <c r="D647" s="250"/>
      <c r="E647" s="249">
        <f>1*1.775*0.525</f>
        <v>0.93189999999999995</v>
      </c>
      <c r="F647" s="71" t="str">
        <f>F644</f>
        <v>SQM</v>
      </c>
      <c r="G647" s="382"/>
      <c r="H647" s="382"/>
    </row>
    <row r="648" spans="1:8">
      <c r="A648" s="558"/>
      <c r="B648" s="559"/>
      <c r="C648" s="66" t="s">
        <v>4492</v>
      </c>
      <c r="D648" s="558"/>
      <c r="E648" s="251"/>
      <c r="F648" s="73"/>
      <c r="G648" s="382"/>
      <c r="H648" s="382"/>
    </row>
    <row r="649" spans="1:8">
      <c r="A649" s="74"/>
      <c r="B649" s="559"/>
      <c r="C649" s="66" t="s">
        <v>4647</v>
      </c>
      <c r="D649" s="250"/>
      <c r="E649" s="563">
        <f>1.775+0.525</f>
        <v>2.2999999999999998</v>
      </c>
      <c r="F649" s="71"/>
      <c r="G649" s="382"/>
      <c r="H649" s="382"/>
    </row>
    <row r="650" spans="1:8">
      <c r="A650" s="74"/>
      <c r="B650" s="559"/>
      <c r="C650" s="558"/>
      <c r="D650" s="564"/>
      <c r="E650" s="75">
        <f>E649*2</f>
        <v>4.5999999999999996</v>
      </c>
      <c r="F650" s="68" t="s">
        <v>835</v>
      </c>
      <c r="G650" s="382"/>
      <c r="H650" s="382"/>
    </row>
    <row r="651" spans="1:8">
      <c r="A651" s="74"/>
      <c r="B651" s="559"/>
      <c r="C651" s="580" t="s">
        <v>4494</v>
      </c>
      <c r="D651" s="564"/>
      <c r="E651" s="64"/>
      <c r="F651" s="68"/>
      <c r="G651" s="382"/>
      <c r="H651" s="382"/>
    </row>
    <row r="652" spans="1:8">
      <c r="A652" s="71"/>
      <c r="B652" s="65"/>
      <c r="C652" s="70"/>
      <c r="D652" s="382"/>
      <c r="E652" s="68"/>
      <c r="F652" s="64"/>
      <c r="G652" s="382"/>
      <c r="H652" s="382"/>
    </row>
    <row r="653" spans="1:8">
      <c r="A653" s="72"/>
      <c r="B653" s="559"/>
      <c r="C653" s="57" t="s">
        <v>4495</v>
      </c>
      <c r="D653" s="382"/>
      <c r="E653" s="68"/>
      <c r="F653" s="560"/>
      <c r="G653" s="382"/>
      <c r="H653" s="382"/>
    </row>
    <row r="654" spans="1:8">
      <c r="A654" s="71">
        <f>E641</f>
        <v>2.5100000000000001E-2</v>
      </c>
      <c r="B654" s="64" t="s">
        <v>878</v>
      </c>
      <c r="C654" s="66" t="s">
        <v>4496</v>
      </c>
      <c r="D654" s="68">
        <f>D618</f>
        <v>99400</v>
      </c>
      <c r="E654" s="64" t="s">
        <v>878</v>
      </c>
      <c r="F654" s="68">
        <f>(A654*D654)</f>
        <v>2494.94</v>
      </c>
      <c r="G654" s="382"/>
      <c r="H654" s="382"/>
    </row>
    <row r="655" spans="1:8">
      <c r="A655" s="71">
        <f>E644</f>
        <v>1.2350000000000001</v>
      </c>
      <c r="B655" s="7" t="s">
        <v>615</v>
      </c>
      <c r="C655" s="66" t="s">
        <v>448</v>
      </c>
      <c r="D655" s="68">
        <f t="shared" ref="D655:D662" si="22">D619</f>
        <v>1300.95</v>
      </c>
      <c r="E655" s="7" t="s">
        <v>615</v>
      </c>
      <c r="F655" s="68">
        <f t="shared" ref="F655:F662" si="23">(A655*D655)</f>
        <v>1606.67</v>
      </c>
      <c r="G655" s="382"/>
      <c r="H655" s="382"/>
    </row>
    <row r="656" spans="1:8">
      <c r="A656" s="72">
        <f>E647</f>
        <v>0.93189999999999995</v>
      </c>
      <c r="B656" s="7" t="s">
        <v>615</v>
      </c>
      <c r="C656" s="66" t="s">
        <v>4490</v>
      </c>
      <c r="D656" s="68">
        <f t="shared" si="22"/>
        <v>208.8</v>
      </c>
      <c r="E656" s="7" t="s">
        <v>615</v>
      </c>
      <c r="F656" s="68">
        <f t="shared" si="23"/>
        <v>194.58</v>
      </c>
      <c r="G656" s="382"/>
      <c r="H656" s="382"/>
    </row>
    <row r="657" spans="1:8">
      <c r="A657" s="68">
        <f>E650</f>
        <v>4.5999999999999996</v>
      </c>
      <c r="B657" s="68" t="s">
        <v>835</v>
      </c>
      <c r="C657" s="57" t="s">
        <v>4497</v>
      </c>
      <c r="D657" s="68">
        <f t="shared" si="22"/>
        <v>48.7</v>
      </c>
      <c r="E657" s="68" t="s">
        <v>835</v>
      </c>
      <c r="F657" s="68">
        <f t="shared" si="23"/>
        <v>224.02</v>
      </c>
      <c r="G657" s="382"/>
      <c r="H657" s="382"/>
    </row>
    <row r="658" spans="1:8">
      <c r="A658" s="68">
        <v>3</v>
      </c>
      <c r="B658" s="7" t="s">
        <v>877</v>
      </c>
      <c r="C658" s="1" t="s">
        <v>1539</v>
      </c>
      <c r="D658" s="68">
        <f t="shared" si="22"/>
        <v>83</v>
      </c>
      <c r="E658" s="1" t="s">
        <v>877</v>
      </c>
      <c r="F658" s="68">
        <f t="shared" si="23"/>
        <v>249</v>
      </c>
      <c r="G658" s="382"/>
      <c r="H658" s="382"/>
    </row>
    <row r="659" spans="1:8">
      <c r="A659" s="68">
        <v>2</v>
      </c>
      <c r="B659" s="7" t="s">
        <v>877</v>
      </c>
      <c r="C659" s="1" t="s">
        <v>3605</v>
      </c>
      <c r="D659" s="68">
        <f t="shared" si="22"/>
        <v>68.5</v>
      </c>
      <c r="E659" s="1" t="s">
        <v>877</v>
      </c>
      <c r="F659" s="68">
        <f t="shared" si="23"/>
        <v>137</v>
      </c>
      <c r="G659" s="382"/>
      <c r="H659" s="382"/>
    </row>
    <row r="660" spans="1:8">
      <c r="A660" s="68">
        <v>1</v>
      </c>
      <c r="B660" s="7" t="s">
        <v>877</v>
      </c>
      <c r="C660" s="1" t="s">
        <v>3606</v>
      </c>
      <c r="D660" s="68">
        <f t="shared" si="22"/>
        <v>53.4</v>
      </c>
      <c r="E660" s="1" t="s">
        <v>877</v>
      </c>
      <c r="F660" s="68">
        <f t="shared" si="23"/>
        <v>53.4</v>
      </c>
      <c r="G660" s="382"/>
      <c r="H660" s="382"/>
    </row>
    <row r="661" spans="1:8">
      <c r="A661" s="68">
        <v>1</v>
      </c>
      <c r="B661" s="7" t="s">
        <v>877</v>
      </c>
      <c r="C661" s="1" t="s">
        <v>2005</v>
      </c>
      <c r="D661" s="68">
        <f t="shared" si="22"/>
        <v>7.3</v>
      </c>
      <c r="E661" s="1" t="s">
        <v>877</v>
      </c>
      <c r="F661" s="68">
        <f t="shared" si="23"/>
        <v>7.3</v>
      </c>
      <c r="G661" s="382"/>
      <c r="H661" s="382"/>
    </row>
    <row r="662" spans="1:8">
      <c r="A662" s="68">
        <v>40</v>
      </c>
      <c r="B662" s="7" t="s">
        <v>877</v>
      </c>
      <c r="C662" s="1" t="s">
        <v>4498</v>
      </c>
      <c r="D662" s="68">
        <f t="shared" si="22"/>
        <v>2.39</v>
      </c>
      <c r="E662" s="1" t="s">
        <v>877</v>
      </c>
      <c r="F662" s="68">
        <f t="shared" si="23"/>
        <v>95.6</v>
      </c>
      <c r="G662" s="382"/>
      <c r="H662" s="382"/>
    </row>
    <row r="663" spans="1:8">
      <c r="A663" s="68"/>
      <c r="B663" s="65"/>
      <c r="C663" s="66"/>
      <c r="D663" s="382"/>
      <c r="E663" s="68"/>
      <c r="F663" s="67" t="s">
        <v>1609</v>
      </c>
      <c r="G663" s="382"/>
      <c r="H663" s="382"/>
    </row>
    <row r="664" spans="1:8">
      <c r="A664" s="558"/>
      <c r="B664" s="559"/>
      <c r="C664" s="66" t="s">
        <v>4648</v>
      </c>
      <c r="D664" s="382"/>
      <c r="E664" s="64"/>
      <c r="F664" s="561">
        <f>SUM(F654:F663)</f>
        <v>5062.51</v>
      </c>
      <c r="G664" s="382"/>
      <c r="H664" s="382"/>
    </row>
    <row r="665" spans="1:8">
      <c r="A665" s="558"/>
      <c r="B665" s="559"/>
      <c r="C665" s="382"/>
      <c r="D665" s="68"/>
      <c r="E665" s="560"/>
      <c r="F665" s="67" t="s">
        <v>1609</v>
      </c>
      <c r="G665" s="382"/>
      <c r="H665" s="382"/>
    </row>
    <row r="666" spans="1:8">
      <c r="A666" s="558"/>
      <c r="B666" s="559"/>
      <c r="C666" s="561" t="s">
        <v>4139</v>
      </c>
      <c r="D666" s="68"/>
      <c r="E666" s="560"/>
      <c r="F666" s="389">
        <f>F664/A655</f>
        <v>4099.2</v>
      </c>
      <c r="G666" s="382"/>
      <c r="H666" s="382"/>
    </row>
    <row r="667" spans="1:8">
      <c r="A667" s="558"/>
      <c r="B667" s="559"/>
      <c r="C667" s="558"/>
      <c r="D667" s="68"/>
      <c r="E667" s="560"/>
      <c r="F667" s="382"/>
      <c r="G667" s="382"/>
      <c r="H667" s="382"/>
    </row>
    <row r="668" spans="1:8">
      <c r="A668" s="382"/>
      <c r="B668" s="382"/>
      <c r="C668" s="382"/>
      <c r="D668" s="382"/>
      <c r="E668" s="382"/>
      <c r="F668" s="382"/>
      <c r="G668" s="382"/>
      <c r="H668" s="382"/>
    </row>
    <row r="669" spans="1:8">
      <c r="A669" s="382"/>
      <c r="B669" s="382"/>
      <c r="C669" s="382"/>
      <c r="D669" s="382"/>
      <c r="E669" s="382"/>
      <c r="F669" s="382"/>
      <c r="G669" s="382"/>
      <c r="H669" s="382"/>
    </row>
    <row r="670" spans="1:8">
      <c r="A670" s="558"/>
      <c r="B670" s="559"/>
      <c r="C670" s="66" t="s">
        <v>4484</v>
      </c>
      <c r="D670" s="558"/>
      <c r="E670" s="560"/>
      <c r="F670" s="558"/>
      <c r="G670" s="382"/>
      <c r="H670" s="382"/>
    </row>
    <row r="671" spans="1:8" ht="18">
      <c r="A671" s="558"/>
      <c r="B671" s="559"/>
      <c r="C671" s="247" t="s">
        <v>4649</v>
      </c>
      <c r="D671" s="558"/>
      <c r="E671" s="560"/>
      <c r="F671" s="558"/>
      <c r="G671" s="382"/>
      <c r="H671" s="382"/>
    </row>
    <row r="672" spans="1:8">
      <c r="A672" s="558"/>
      <c r="B672" s="559"/>
      <c r="C672" s="67" t="s">
        <v>1609</v>
      </c>
      <c r="D672" s="558"/>
      <c r="E672" s="560"/>
      <c r="F672" s="558"/>
      <c r="G672" s="382"/>
      <c r="H672" s="382"/>
    </row>
    <row r="673" spans="1:8">
      <c r="A673" s="558"/>
      <c r="B673" s="559"/>
      <c r="C673" s="57" t="s">
        <v>4486</v>
      </c>
      <c r="D673" s="346"/>
      <c r="E673" s="346"/>
      <c r="F673" s="346" t="s">
        <v>2176</v>
      </c>
      <c r="G673" s="382"/>
      <c r="H673" s="382"/>
    </row>
    <row r="674" spans="1:8">
      <c r="A674" s="558"/>
      <c r="B674" s="559"/>
      <c r="C674" s="73" t="s">
        <v>4643</v>
      </c>
      <c r="D674" s="382"/>
      <c r="E674" s="249">
        <f>2*2*1.9*0.075*0.0375</f>
        <v>2.1399999999999999E-2</v>
      </c>
      <c r="F674" s="558" t="s">
        <v>2176</v>
      </c>
      <c r="G674" s="382"/>
      <c r="H674" s="382"/>
    </row>
    <row r="675" spans="1:8">
      <c r="A675" s="558"/>
      <c r="B675" s="559"/>
      <c r="C675" s="66" t="s">
        <v>4650</v>
      </c>
      <c r="D675" s="382"/>
      <c r="E675" s="249">
        <f>1*2*0.47*0.075*0.0375</f>
        <v>2.5999999999999999E-3</v>
      </c>
      <c r="F675" s="558" t="s">
        <v>2176</v>
      </c>
      <c r="G675" s="382"/>
      <c r="H675" s="382"/>
    </row>
    <row r="676" spans="1:8">
      <c r="A676" s="558"/>
      <c r="B676" s="559"/>
      <c r="C676" s="66"/>
      <c r="D676" s="561"/>
      <c r="E676" s="67" t="s">
        <v>1609</v>
      </c>
      <c r="F676" s="71"/>
      <c r="G676" s="382"/>
      <c r="H676" s="382"/>
    </row>
    <row r="677" spans="1:8">
      <c r="A677" s="558"/>
      <c r="B677" s="559"/>
      <c r="C677" s="558"/>
      <c r="D677" s="558"/>
      <c r="E677" s="562">
        <f>SUM(E674:E676)</f>
        <v>2.4E-2</v>
      </c>
      <c r="F677" s="346" t="s">
        <v>2176</v>
      </c>
      <c r="G677" s="382"/>
      <c r="H677" s="382"/>
    </row>
    <row r="678" spans="1:8">
      <c r="A678" s="558"/>
      <c r="B678" s="559"/>
      <c r="C678" s="558"/>
      <c r="D678" s="558"/>
      <c r="E678" s="67" t="s">
        <v>1609</v>
      </c>
      <c r="F678" s="346"/>
      <c r="G678" s="382"/>
      <c r="H678" s="382"/>
    </row>
    <row r="679" spans="1:8">
      <c r="A679" s="558"/>
      <c r="B679" s="559"/>
      <c r="C679" s="66" t="s">
        <v>448</v>
      </c>
      <c r="D679" s="382"/>
      <c r="E679" s="382"/>
      <c r="F679" s="382"/>
      <c r="G679" s="382"/>
      <c r="H679" s="382"/>
    </row>
    <row r="680" spans="1:8">
      <c r="A680" s="558"/>
      <c r="B680" s="559"/>
      <c r="C680" s="66" t="s">
        <v>4651</v>
      </c>
      <c r="D680" s="250"/>
      <c r="E680" s="248">
        <f>1*1.9*0.47</f>
        <v>0.89300000000000002</v>
      </c>
      <c r="F680" s="7" t="s">
        <v>615</v>
      </c>
      <c r="G680" s="382"/>
      <c r="H680" s="382"/>
    </row>
    <row r="681" spans="1:8">
      <c r="A681" s="558"/>
      <c r="B681" s="559"/>
      <c r="C681" s="66"/>
      <c r="D681" s="250"/>
      <c r="E681" s="248"/>
      <c r="F681" s="71"/>
      <c r="G681" s="382"/>
      <c r="H681" s="382"/>
    </row>
    <row r="682" spans="1:8">
      <c r="A682" s="558"/>
      <c r="B682" s="559"/>
      <c r="C682" s="66" t="s">
        <v>4490</v>
      </c>
      <c r="D682" s="250"/>
      <c r="E682" s="248"/>
      <c r="F682" s="71"/>
      <c r="G682" s="382"/>
      <c r="H682" s="382"/>
    </row>
    <row r="683" spans="1:8">
      <c r="A683" s="558"/>
      <c r="B683" s="559"/>
      <c r="C683" s="66" t="s">
        <v>4652</v>
      </c>
      <c r="D683" s="250"/>
      <c r="E683" s="249">
        <f>1*1.775*0.345</f>
        <v>0.61240000000000006</v>
      </c>
      <c r="F683" s="71" t="str">
        <f>F680</f>
        <v>SQM</v>
      </c>
      <c r="G683" s="346"/>
      <c r="H683" s="382"/>
    </row>
    <row r="684" spans="1:8">
      <c r="A684" s="558"/>
      <c r="B684" s="559"/>
      <c r="C684" s="66" t="s">
        <v>4492</v>
      </c>
      <c r="D684" s="558"/>
      <c r="E684" s="251"/>
      <c r="F684" s="73"/>
      <c r="G684" s="346"/>
      <c r="H684" s="382"/>
    </row>
    <row r="685" spans="1:8">
      <c r="A685" s="74"/>
      <c r="B685" s="559"/>
      <c r="C685" s="66" t="s">
        <v>4653</v>
      </c>
      <c r="D685" s="250"/>
      <c r="E685" s="563">
        <f>1.775+0.345</f>
        <v>2.12</v>
      </c>
      <c r="F685" s="71"/>
      <c r="G685" s="346"/>
      <c r="H685" s="382"/>
    </row>
    <row r="686" spans="1:8">
      <c r="A686" s="74"/>
      <c r="B686" s="559"/>
      <c r="C686" s="558"/>
      <c r="D686" s="564"/>
      <c r="E686" s="75">
        <f>E685*2</f>
        <v>4.24</v>
      </c>
      <c r="F686" s="68" t="s">
        <v>835</v>
      </c>
      <c r="G686" s="346"/>
      <c r="H686" s="382"/>
    </row>
    <row r="687" spans="1:8">
      <c r="A687" s="74"/>
      <c r="B687" s="559"/>
      <c r="C687" s="580" t="s">
        <v>4494</v>
      </c>
      <c r="D687" s="564"/>
      <c r="E687" s="64"/>
      <c r="F687" s="68"/>
      <c r="G687" s="346"/>
      <c r="H687" s="382"/>
    </row>
    <row r="688" spans="1:8">
      <c r="A688" s="71"/>
      <c r="B688" s="65"/>
      <c r="C688" s="70"/>
      <c r="D688" s="382"/>
      <c r="E688" s="68"/>
      <c r="F688" s="64"/>
      <c r="G688" s="346"/>
      <c r="H688" s="382"/>
    </row>
    <row r="689" spans="1:8">
      <c r="A689" s="72"/>
      <c r="B689" s="559"/>
      <c r="C689" s="57" t="s">
        <v>4495</v>
      </c>
      <c r="D689" s="382"/>
      <c r="E689" s="68"/>
      <c r="F689" s="560"/>
      <c r="G689" s="346"/>
      <c r="H689" s="382"/>
    </row>
    <row r="690" spans="1:8">
      <c r="A690" s="71">
        <f>E677</f>
        <v>2.4E-2</v>
      </c>
      <c r="B690" s="64" t="s">
        <v>878</v>
      </c>
      <c r="C690" s="66" t="s">
        <v>4496</v>
      </c>
      <c r="D690" s="68">
        <f>D654</f>
        <v>99400</v>
      </c>
      <c r="E690" s="64" t="s">
        <v>878</v>
      </c>
      <c r="F690" s="68">
        <f>(A690*D690)</f>
        <v>2385.6</v>
      </c>
      <c r="G690" s="346"/>
      <c r="H690" s="382"/>
    </row>
    <row r="691" spans="1:8">
      <c r="A691" s="71">
        <f>E680</f>
        <v>0.89300000000000002</v>
      </c>
      <c r="B691" s="7" t="s">
        <v>615</v>
      </c>
      <c r="C691" s="66" t="s">
        <v>448</v>
      </c>
      <c r="D691" s="68">
        <f t="shared" ref="D691:D698" si="24">D655</f>
        <v>1300.95</v>
      </c>
      <c r="E691" s="7" t="s">
        <v>615</v>
      </c>
      <c r="F691" s="68">
        <f t="shared" ref="F691:F698" si="25">(A691*D691)</f>
        <v>1161.75</v>
      </c>
      <c r="G691" s="346"/>
      <c r="H691" s="382"/>
    </row>
    <row r="692" spans="1:8">
      <c r="A692" s="72">
        <f>E683</f>
        <v>0.61240000000000006</v>
      </c>
      <c r="B692" s="7" t="s">
        <v>615</v>
      </c>
      <c r="C692" s="66" t="s">
        <v>4490</v>
      </c>
      <c r="D692" s="68">
        <f t="shared" si="24"/>
        <v>208.8</v>
      </c>
      <c r="E692" s="7" t="s">
        <v>615</v>
      </c>
      <c r="F692" s="68">
        <f t="shared" si="25"/>
        <v>127.87</v>
      </c>
      <c r="G692" s="346"/>
      <c r="H692" s="382"/>
    </row>
    <row r="693" spans="1:8">
      <c r="A693" s="68">
        <f>E686</f>
        <v>4.24</v>
      </c>
      <c r="B693" s="68" t="s">
        <v>835</v>
      </c>
      <c r="C693" s="57" t="s">
        <v>4497</v>
      </c>
      <c r="D693" s="68">
        <f t="shared" si="24"/>
        <v>48.7</v>
      </c>
      <c r="E693" s="68" t="s">
        <v>835</v>
      </c>
      <c r="F693" s="68">
        <f t="shared" si="25"/>
        <v>206.49</v>
      </c>
      <c r="G693" s="346"/>
      <c r="H693" s="382"/>
    </row>
    <row r="694" spans="1:8">
      <c r="A694" s="68">
        <v>3</v>
      </c>
      <c r="B694" s="7" t="s">
        <v>877</v>
      </c>
      <c r="C694" s="1" t="s">
        <v>1539</v>
      </c>
      <c r="D694" s="68">
        <f t="shared" si="24"/>
        <v>83</v>
      </c>
      <c r="E694" s="1" t="s">
        <v>877</v>
      </c>
      <c r="F694" s="68">
        <f t="shared" si="25"/>
        <v>249</v>
      </c>
      <c r="G694" s="346"/>
      <c r="H694" s="382"/>
    </row>
    <row r="695" spans="1:8">
      <c r="A695" s="68">
        <v>2</v>
      </c>
      <c r="B695" s="7" t="s">
        <v>877</v>
      </c>
      <c r="C695" s="1" t="s">
        <v>3605</v>
      </c>
      <c r="D695" s="68">
        <f t="shared" si="24"/>
        <v>68.5</v>
      </c>
      <c r="E695" s="1" t="s">
        <v>877</v>
      </c>
      <c r="F695" s="68">
        <f t="shared" si="25"/>
        <v>137</v>
      </c>
      <c r="G695" s="346"/>
      <c r="H695" s="382"/>
    </row>
    <row r="696" spans="1:8">
      <c r="A696" s="68">
        <v>1</v>
      </c>
      <c r="B696" s="7" t="s">
        <v>877</v>
      </c>
      <c r="C696" s="1" t="s">
        <v>3606</v>
      </c>
      <c r="D696" s="68">
        <f t="shared" si="24"/>
        <v>53.4</v>
      </c>
      <c r="E696" s="1" t="s">
        <v>877</v>
      </c>
      <c r="F696" s="68">
        <f t="shared" si="25"/>
        <v>53.4</v>
      </c>
      <c r="G696" s="346"/>
      <c r="H696" s="382"/>
    </row>
    <row r="697" spans="1:8">
      <c r="A697" s="68">
        <v>1</v>
      </c>
      <c r="B697" s="7" t="s">
        <v>877</v>
      </c>
      <c r="C697" s="1" t="s">
        <v>2005</v>
      </c>
      <c r="D697" s="68">
        <f t="shared" si="24"/>
        <v>7.3</v>
      </c>
      <c r="E697" s="1" t="s">
        <v>877</v>
      </c>
      <c r="F697" s="68">
        <f t="shared" si="25"/>
        <v>7.3</v>
      </c>
      <c r="G697" s="346"/>
      <c r="H697" s="382"/>
    </row>
    <row r="698" spans="1:8">
      <c r="A698" s="68">
        <v>40</v>
      </c>
      <c r="B698" s="7" t="s">
        <v>877</v>
      </c>
      <c r="C698" s="1" t="s">
        <v>4498</v>
      </c>
      <c r="D698" s="68">
        <f t="shared" si="24"/>
        <v>2.39</v>
      </c>
      <c r="E698" s="1" t="s">
        <v>877</v>
      </c>
      <c r="F698" s="68">
        <f t="shared" si="25"/>
        <v>95.6</v>
      </c>
      <c r="G698" s="346"/>
      <c r="H698" s="382"/>
    </row>
    <row r="699" spans="1:8">
      <c r="A699" s="68"/>
      <c r="B699" s="65"/>
      <c r="C699" s="66"/>
      <c r="D699" s="382"/>
      <c r="E699" s="68"/>
      <c r="F699" s="67" t="s">
        <v>1609</v>
      </c>
      <c r="G699" s="346"/>
      <c r="H699" s="382"/>
    </row>
    <row r="700" spans="1:8">
      <c r="A700" s="558"/>
      <c r="B700" s="559"/>
      <c r="C700" s="66" t="s">
        <v>4654</v>
      </c>
      <c r="D700" s="382"/>
      <c r="E700" s="64"/>
      <c r="F700" s="561">
        <f>SUM(F690:F699)</f>
        <v>4424.01</v>
      </c>
      <c r="G700" s="346"/>
      <c r="H700" s="382"/>
    </row>
    <row r="701" spans="1:8">
      <c r="A701" s="558"/>
      <c r="B701" s="559"/>
      <c r="C701" s="382"/>
      <c r="D701" s="68"/>
      <c r="E701" s="560"/>
      <c r="F701" s="67" t="s">
        <v>1609</v>
      </c>
      <c r="G701" s="346"/>
      <c r="H701" s="382"/>
    </row>
    <row r="702" spans="1:8">
      <c r="A702" s="558"/>
      <c r="B702" s="559"/>
      <c r="C702" s="561" t="s">
        <v>4139</v>
      </c>
      <c r="D702" s="68"/>
      <c r="E702" s="560"/>
      <c r="F702" s="389">
        <f>F700/A691</f>
        <v>4954.1000000000004</v>
      </c>
      <c r="G702" s="346"/>
      <c r="H702" s="382"/>
    </row>
    <row r="703" spans="1:8">
      <c r="A703" s="558"/>
      <c r="B703" s="559"/>
      <c r="C703" s="558"/>
      <c r="D703" s="68"/>
      <c r="E703" s="560"/>
      <c r="F703" s="382"/>
      <c r="G703" s="346"/>
      <c r="H703" s="382"/>
    </row>
    <row r="704" spans="1:8">
      <c r="A704" s="382"/>
      <c r="B704" s="382"/>
      <c r="C704" s="382"/>
      <c r="D704" s="382"/>
      <c r="E704" s="382"/>
      <c r="F704" s="382"/>
      <c r="G704" s="346"/>
      <c r="H704" s="382"/>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ageMargins left="1.56" right="0.7" top="0.75" bottom="0.59" header="0.3" footer="0.3"/>
  <pageSetup paperSize="9" scale="85" orientation="portrait" r:id="rId1"/>
  <headerFooter>
    <oddHeader>&amp;C&amp;P</oddHeader>
  </headerFooter>
</worksheet>
</file>

<file path=xl/worksheets/sheet9.xml><?xml version="1.0" encoding="utf-8"?>
<worksheet xmlns="http://schemas.openxmlformats.org/spreadsheetml/2006/main" xmlns:r="http://schemas.openxmlformats.org/officeDocument/2006/relationships">
  <sheetPr syncVertical="1" syncRef="E1703" transitionEvaluation="1">
    <tabColor rgb="FFFFFF00"/>
  </sheetPr>
  <dimension ref="A1:IS4076"/>
  <sheetViews>
    <sheetView view="pageBreakPreview" topLeftCell="E1703" zoomScale="80" zoomScaleNormal="75" zoomScaleSheetLayoutView="80" workbookViewId="0">
      <selection activeCell="I1797" sqref="I1797"/>
    </sheetView>
  </sheetViews>
  <sheetFormatPr defaultColWidth="7.44140625" defaultRowHeight="24" customHeight="1"/>
  <cols>
    <col min="1" max="1" width="7.77734375" style="699" customWidth="1"/>
    <col min="2" max="2" width="26.6640625" style="699" customWidth="1"/>
    <col min="3" max="3" width="16.21875" style="699" customWidth="1"/>
    <col min="4" max="4" width="13.77734375" style="699" customWidth="1"/>
    <col min="5" max="5" width="8.5546875" style="699" customWidth="1"/>
    <col min="6" max="6" width="8.33203125" style="699" customWidth="1"/>
    <col min="7" max="7" width="10.109375" style="700" customWidth="1"/>
    <col min="8" max="8" width="39.21875" style="699" customWidth="1"/>
    <col min="9" max="9" width="14.33203125" style="699" customWidth="1"/>
    <col min="10" max="10" width="11.44140625" style="702" customWidth="1"/>
    <col min="11" max="11" width="12.88671875" style="699" customWidth="1"/>
    <col min="12" max="12" width="9.77734375" style="699" customWidth="1"/>
    <col min="13" max="13" width="11.21875" style="699" customWidth="1"/>
    <col min="14" max="14" width="8.5546875" style="699" bestFit="1" customWidth="1"/>
    <col min="15" max="15" width="42.6640625" style="699" customWidth="1"/>
    <col min="16" max="16" width="15.5546875" style="699" customWidth="1"/>
    <col min="17" max="17" width="10.6640625" style="699" customWidth="1"/>
    <col min="18" max="18" width="11.77734375" style="699" customWidth="1"/>
    <col min="19" max="19" width="10.88671875" style="703" customWidth="1"/>
    <col min="20" max="20" width="9.21875" style="699" customWidth="1"/>
    <col min="21" max="21" width="32.21875" style="699" customWidth="1"/>
    <col min="22" max="22" width="6.88671875" style="699" customWidth="1"/>
    <col min="23" max="23" width="21.21875" style="699" customWidth="1"/>
    <col min="24" max="24" width="9.6640625" style="699" customWidth="1"/>
    <col min="25" max="25" width="10.109375" style="699" customWidth="1"/>
    <col min="26" max="26" width="15.5546875" style="699" customWidth="1"/>
    <col min="27" max="27" width="22.33203125" style="699" hidden="1" customWidth="1"/>
    <col min="28" max="28" width="25.33203125" style="699" hidden="1" customWidth="1"/>
    <col min="29" max="29" width="11.77734375" style="699" customWidth="1"/>
    <col min="30" max="30" width="25.44140625" style="699" customWidth="1"/>
    <col min="31" max="31" width="14.44140625" style="699" customWidth="1"/>
    <col min="32" max="32" width="11.77734375" style="699" customWidth="1"/>
    <col min="33" max="33" width="11.109375" style="699" customWidth="1"/>
    <col min="34" max="34" width="15.77734375" style="699" customWidth="1"/>
    <col min="35" max="35" width="9" style="699" bestFit="1" customWidth="1"/>
    <col min="36" max="36" width="8.109375" style="699" bestFit="1" customWidth="1"/>
    <col min="37" max="37" width="8.88671875" style="699" customWidth="1"/>
    <col min="38" max="39" width="7.44140625" style="699"/>
    <col min="40" max="40" width="8" bestFit="1" customWidth="1"/>
    <col min="42" max="42" width="22" customWidth="1"/>
    <col min="43" max="43" width="11.33203125" customWidth="1"/>
    <col min="44" max="44" width="8.6640625" customWidth="1"/>
    <col min="45" max="45" width="11" customWidth="1"/>
    <col min="46" max="46" width="7.5546875" bestFit="1" customWidth="1"/>
    <col min="47" max="47" width="8" bestFit="1" customWidth="1"/>
    <col min="48" max="48" width="9.33203125" customWidth="1"/>
    <col min="253" max="253" width="7.5546875" bestFit="1" customWidth="1"/>
  </cols>
  <sheetData>
    <row r="1" spans="1:37" ht="24" customHeight="1">
      <c r="A1" s="697"/>
      <c r="B1" s="698" t="s">
        <v>5200</v>
      </c>
      <c r="E1" s="697" t="s">
        <v>987</v>
      </c>
      <c r="H1" s="701" t="s">
        <v>247</v>
      </c>
      <c r="O1" s="697" t="s">
        <v>247</v>
      </c>
      <c r="T1" s="704"/>
      <c r="U1" s="1874" t="s">
        <v>5383</v>
      </c>
      <c r="V1" s="1874"/>
      <c r="W1" s="1874"/>
      <c r="X1" s="704"/>
      <c r="Y1" s="704"/>
      <c r="Z1" s="704"/>
      <c r="AA1" s="704"/>
      <c r="AB1" s="704"/>
      <c r="AC1" s="704"/>
      <c r="AD1" s="704"/>
      <c r="AE1" s="704"/>
    </row>
    <row r="2" spans="1:37" ht="24" customHeight="1">
      <c r="A2" s="697" t="s">
        <v>1608</v>
      </c>
      <c r="B2" s="706" t="s">
        <v>6446</v>
      </c>
      <c r="C2" s="697" t="s">
        <v>4912</v>
      </c>
      <c r="E2" s="697" t="s">
        <v>987</v>
      </c>
      <c r="F2" s="707" t="s">
        <v>1608</v>
      </c>
      <c r="G2" s="708" t="s">
        <v>987</v>
      </c>
      <c r="H2" s="709" t="str">
        <f>B2</f>
        <v>KADAMALAIKUNDU</v>
      </c>
      <c r="J2" s="701" t="str">
        <f>C2</f>
        <v>2021-2022</v>
      </c>
      <c r="M2" s="697" t="s">
        <v>1608</v>
      </c>
      <c r="N2" s="697" t="s">
        <v>987</v>
      </c>
      <c r="O2" s="710" t="str">
        <f>B2</f>
        <v>KADAMALAIKUNDU</v>
      </c>
      <c r="Q2" s="710" t="str">
        <f>C2</f>
        <v>2021-2022</v>
      </c>
      <c r="T2" s="697" t="s">
        <v>1608</v>
      </c>
      <c r="U2" s="710" t="s">
        <v>5393</v>
      </c>
      <c r="W2" s="709" t="str">
        <f>C2</f>
        <v>2021-2022</v>
      </c>
      <c r="AA2" s="697"/>
    </row>
    <row r="3" spans="1:37" ht="19.5" customHeight="1">
      <c r="A3" s="705" t="s">
        <v>1609</v>
      </c>
      <c r="B3" s="705" t="s">
        <v>1609</v>
      </c>
      <c r="C3" s="705" t="s">
        <v>1609</v>
      </c>
      <c r="D3" s="705" t="s">
        <v>1609</v>
      </c>
      <c r="E3" s="697" t="s">
        <v>987</v>
      </c>
      <c r="F3" s="707" t="s">
        <v>1611</v>
      </c>
      <c r="G3" s="708" t="s">
        <v>987</v>
      </c>
      <c r="H3" s="711" t="s">
        <v>1612</v>
      </c>
      <c r="I3" s="711" t="s">
        <v>1613</v>
      </c>
      <c r="J3" s="711" t="s">
        <v>1614</v>
      </c>
      <c r="K3" s="711" t="s">
        <v>1615</v>
      </c>
      <c r="M3" s="698" t="s">
        <v>1611</v>
      </c>
      <c r="N3" s="697" t="s">
        <v>987</v>
      </c>
      <c r="O3" s="698" t="s">
        <v>1612</v>
      </c>
      <c r="P3" s="698" t="s">
        <v>1613</v>
      </c>
      <c r="Q3" s="698" t="s">
        <v>1614</v>
      </c>
      <c r="R3" s="698" t="s">
        <v>1615</v>
      </c>
      <c r="T3" s="705"/>
      <c r="U3" s="705" t="s">
        <v>1609</v>
      </c>
      <c r="V3" s="705" t="s">
        <v>1609</v>
      </c>
      <c r="W3" s="705" t="s">
        <v>1609</v>
      </c>
      <c r="X3" s="705" t="s">
        <v>1609</v>
      </c>
      <c r="Y3" s="705" t="s">
        <v>1609</v>
      </c>
      <c r="Z3" s="705" t="s">
        <v>1609</v>
      </c>
      <c r="AA3" s="705" t="s">
        <v>1609</v>
      </c>
      <c r="AB3" s="705" t="s">
        <v>1609</v>
      </c>
      <c r="AC3" s="705" t="s">
        <v>1609</v>
      </c>
      <c r="AD3" s="705" t="s">
        <v>1609</v>
      </c>
      <c r="AE3" s="705" t="s">
        <v>1609</v>
      </c>
    </row>
    <row r="4" spans="1:37" ht="24" customHeight="1">
      <c r="A4" s="697" t="s">
        <v>700</v>
      </c>
      <c r="B4" s="697" t="s">
        <v>1612</v>
      </c>
      <c r="C4" s="697" t="s">
        <v>1613</v>
      </c>
      <c r="D4" s="697" t="s">
        <v>1614</v>
      </c>
      <c r="F4" s="705" t="s">
        <v>1609</v>
      </c>
      <c r="G4" s="705" t="s">
        <v>1609</v>
      </c>
      <c r="H4" s="705" t="s">
        <v>1609</v>
      </c>
      <c r="I4" s="705" t="s">
        <v>1609</v>
      </c>
      <c r="J4" s="705" t="s">
        <v>1609</v>
      </c>
      <c r="K4" s="705" t="s">
        <v>1609</v>
      </c>
      <c r="M4" s="705" t="s">
        <v>1609</v>
      </c>
      <c r="N4" s="705" t="s">
        <v>1609</v>
      </c>
      <c r="O4" s="705" t="s">
        <v>1609</v>
      </c>
      <c r="P4" s="705" t="s">
        <v>1609</v>
      </c>
      <c r="Q4" s="705" t="s">
        <v>1609</v>
      </c>
      <c r="R4" s="705" t="s">
        <v>1609</v>
      </c>
      <c r="T4" s="698" t="s">
        <v>700</v>
      </c>
      <c r="U4" s="698" t="s">
        <v>57</v>
      </c>
      <c r="V4" s="698" t="s">
        <v>2268</v>
      </c>
      <c r="W4" s="698" t="s">
        <v>2269</v>
      </c>
      <c r="X4" s="698" t="s">
        <v>2270</v>
      </c>
      <c r="Y4" s="698" t="s">
        <v>2271</v>
      </c>
      <c r="Z4" s="698" t="s">
        <v>2272</v>
      </c>
      <c r="AA4" s="712" t="s">
        <v>1100</v>
      </c>
      <c r="AB4" s="697" t="s">
        <v>2273</v>
      </c>
      <c r="AC4" s="697" t="s">
        <v>2274</v>
      </c>
      <c r="AD4" s="698" t="s">
        <v>2275</v>
      </c>
    </row>
    <row r="5" spans="1:37" ht="24" customHeight="1">
      <c r="A5" s="705" t="s">
        <v>1609</v>
      </c>
      <c r="B5" s="705" t="s">
        <v>1609</v>
      </c>
      <c r="C5" s="705" t="s">
        <v>1609</v>
      </c>
      <c r="D5" s="705" t="s">
        <v>1609</v>
      </c>
      <c r="G5" s="708" t="s">
        <v>2276</v>
      </c>
      <c r="H5" s="697" t="s">
        <v>2277</v>
      </c>
      <c r="O5" s="697" t="s">
        <v>2278</v>
      </c>
      <c r="X5" s="698" t="s">
        <v>2279</v>
      </c>
      <c r="Y5" s="698" t="s">
        <v>2274</v>
      </c>
      <c r="Z5" s="698" t="s">
        <v>2280</v>
      </c>
      <c r="AA5" s="712" t="s">
        <v>988</v>
      </c>
      <c r="AB5" s="697" t="s">
        <v>2281</v>
      </c>
      <c r="AC5" s="697" t="s">
        <v>2282</v>
      </c>
      <c r="AE5" s="713"/>
    </row>
    <row r="6" spans="1:37" ht="16.5" customHeight="1">
      <c r="B6" s="697" t="s">
        <v>2283</v>
      </c>
      <c r="H6" s="705" t="s">
        <v>1609</v>
      </c>
      <c r="O6" s="705" t="s">
        <v>1609</v>
      </c>
      <c r="T6" s="705" t="s">
        <v>1609</v>
      </c>
      <c r="U6" s="705" t="s">
        <v>1609</v>
      </c>
      <c r="V6" s="705" t="s">
        <v>1609</v>
      </c>
      <c r="W6" s="705" t="s">
        <v>1609</v>
      </c>
      <c r="X6" s="705" t="s">
        <v>1609</v>
      </c>
      <c r="Y6" s="705" t="s">
        <v>1609</v>
      </c>
      <c r="Z6" s="705" t="s">
        <v>1609</v>
      </c>
      <c r="AA6" s="714" t="s">
        <v>1101</v>
      </c>
      <c r="AB6" s="705" t="s">
        <v>1609</v>
      </c>
      <c r="AC6" s="705" t="s">
        <v>1609</v>
      </c>
      <c r="AD6" s="705" t="s">
        <v>1609</v>
      </c>
      <c r="AE6" s="705" t="s">
        <v>1609</v>
      </c>
      <c r="AG6" s="715" t="s">
        <v>931</v>
      </c>
      <c r="AH6" s="715" t="s">
        <v>932</v>
      </c>
      <c r="AI6" s="716" t="s">
        <v>933</v>
      </c>
      <c r="AJ6" s="716" t="s">
        <v>934</v>
      </c>
      <c r="AK6" s="716" t="s">
        <v>1878</v>
      </c>
    </row>
    <row r="7" spans="1:37" ht="24" customHeight="1">
      <c r="B7" s="697" t="s">
        <v>869</v>
      </c>
      <c r="F7" s="710">
        <v>0.96</v>
      </c>
      <c r="G7" s="708" t="s">
        <v>870</v>
      </c>
      <c r="H7" s="697" t="s">
        <v>871</v>
      </c>
      <c r="I7" s="710">
        <f>(C64)</f>
        <v>5960</v>
      </c>
      <c r="J7" s="697" t="s">
        <v>870</v>
      </c>
      <c r="K7" s="710">
        <f>(F7*I7)</f>
        <v>5721.6</v>
      </c>
      <c r="M7" s="710">
        <v>0.5</v>
      </c>
      <c r="N7" s="697" t="s">
        <v>870</v>
      </c>
      <c r="O7" s="697" t="s">
        <v>872</v>
      </c>
      <c r="P7" s="710">
        <f>(C82)</f>
        <v>974</v>
      </c>
      <c r="Q7" s="697" t="s">
        <v>870</v>
      </c>
      <c r="R7" s="710">
        <f>(M7*P7)</f>
        <v>487</v>
      </c>
      <c r="T7" s="698" t="s">
        <v>873</v>
      </c>
      <c r="U7" s="697" t="s">
        <v>4699</v>
      </c>
      <c r="V7" s="697" t="s">
        <v>875</v>
      </c>
      <c r="W7" s="717" t="s">
        <v>5382</v>
      </c>
      <c r="X7" s="710">
        <f>'lead  charge'!D12</f>
        <v>25</v>
      </c>
      <c r="Y7" s="718">
        <v>445</v>
      </c>
      <c r="Z7" s="719">
        <f>'lead  charge'!E12</f>
        <v>247.5</v>
      </c>
      <c r="AA7" s="698"/>
      <c r="AB7" s="697">
        <v>0</v>
      </c>
      <c r="AC7" s="697">
        <f>SUM(Y7+Z7+AA7+AB7)</f>
        <v>692.5</v>
      </c>
      <c r="AD7" s="697" t="s">
        <v>1453</v>
      </c>
      <c r="AE7" s="710">
        <f>AF7</f>
        <v>861</v>
      </c>
      <c r="AF7" s="718">
        <v>861</v>
      </c>
      <c r="AG7" s="710">
        <f>AF7*1.1</f>
        <v>947.1</v>
      </c>
      <c r="AH7" s="699">
        <f>AF7*1.2</f>
        <v>1033.2</v>
      </c>
      <c r="AI7" s="699">
        <f>AF7*1.5</f>
        <v>1291.5</v>
      </c>
      <c r="AJ7" s="699">
        <f>AF7*1.05</f>
        <v>904.05</v>
      </c>
      <c r="AK7" s="699">
        <f>AF7*1.25</f>
        <v>1076.25</v>
      </c>
    </row>
    <row r="8" spans="1:37" ht="24" customHeight="1">
      <c r="A8" s="720">
        <v>1</v>
      </c>
      <c r="B8" s="697" t="s">
        <v>876</v>
      </c>
      <c r="C8" s="721">
        <f>AE7</f>
        <v>861</v>
      </c>
      <c r="D8" s="722" t="s">
        <v>877</v>
      </c>
      <c r="F8" s="710">
        <v>1</v>
      </c>
      <c r="G8" s="708" t="s">
        <v>878</v>
      </c>
      <c r="H8" s="1165" t="s">
        <v>5354</v>
      </c>
      <c r="I8" s="710">
        <f>(C75)</f>
        <v>1511.1</v>
      </c>
      <c r="J8" s="697" t="s">
        <v>878</v>
      </c>
      <c r="K8" s="710">
        <f>(F8*I8)</f>
        <v>1511.1</v>
      </c>
      <c r="M8" s="710">
        <v>1</v>
      </c>
      <c r="N8" s="697" t="s">
        <v>878</v>
      </c>
      <c r="O8" s="1165" t="s">
        <v>5354</v>
      </c>
      <c r="P8" s="710">
        <f>(C75)</f>
        <v>1511.1</v>
      </c>
      <c r="Q8" s="697" t="s">
        <v>878</v>
      </c>
      <c r="R8" s="710">
        <f>(M8*P8)</f>
        <v>1511.1</v>
      </c>
      <c r="T8" s="698" t="s">
        <v>880</v>
      </c>
      <c r="U8" s="697" t="s">
        <v>4700</v>
      </c>
      <c r="V8" s="697" t="s">
        <v>875</v>
      </c>
      <c r="W8" s="717" t="str">
        <f>W7</f>
        <v>Karuthamalai</v>
      </c>
      <c r="X8" s="710">
        <f>'lead  charge'!D12</f>
        <v>25</v>
      </c>
      <c r="Y8" s="718">
        <v>642</v>
      </c>
      <c r="Z8" s="719">
        <f>Z7</f>
        <v>247.5</v>
      </c>
      <c r="AA8" s="698"/>
      <c r="AB8" s="702">
        <v>0</v>
      </c>
      <c r="AC8" s="697">
        <f t="shared" ref="AC8:AC34" si="0">SUM(Y8+Z8+AA8+AB8)</f>
        <v>889.5</v>
      </c>
      <c r="AD8" s="697" t="s">
        <v>200</v>
      </c>
      <c r="AE8" s="710">
        <f t="shared" ref="AE8:AE36" si="1">AF8</f>
        <v>804</v>
      </c>
      <c r="AF8" s="718">
        <v>804</v>
      </c>
      <c r="AG8" s="710">
        <f t="shared" ref="AG8:AG47" si="2">AF8*1.1</f>
        <v>884.4</v>
      </c>
      <c r="AH8" s="699">
        <f t="shared" ref="AH8:AH70" si="3">AF8*1.2</f>
        <v>964.8</v>
      </c>
      <c r="AI8" s="699">
        <f t="shared" ref="AI8:AI47" si="4">AF8*1.5</f>
        <v>1206</v>
      </c>
      <c r="AJ8" s="699">
        <f t="shared" ref="AJ8:AJ57" si="5">AF8*1.05</f>
        <v>844.2</v>
      </c>
      <c r="AK8" s="699">
        <f t="shared" ref="AK8:AK47" si="6">AF8*1.25</f>
        <v>1005</v>
      </c>
    </row>
    <row r="9" spans="1:37" ht="24" customHeight="1">
      <c r="A9" s="720">
        <f t="shared" ref="A9:A33" si="7">(A8+1)</f>
        <v>2</v>
      </c>
      <c r="B9" s="697" t="s">
        <v>882</v>
      </c>
      <c r="C9" s="721">
        <f>AE8</f>
        <v>804</v>
      </c>
      <c r="D9" s="722">
        <f>AE7</f>
        <v>861</v>
      </c>
      <c r="F9" s="710">
        <v>1</v>
      </c>
      <c r="G9" s="708" t="s">
        <v>878</v>
      </c>
      <c r="H9" s="697" t="s">
        <v>883</v>
      </c>
      <c r="I9" s="710">
        <f>(C16)</f>
        <v>100</v>
      </c>
      <c r="J9" s="697" t="s">
        <v>878</v>
      </c>
      <c r="K9" s="710">
        <f>(F9*I9)</f>
        <v>100</v>
      </c>
      <c r="M9" s="710">
        <v>1</v>
      </c>
      <c r="N9" s="697" t="s">
        <v>878</v>
      </c>
      <c r="O9" s="697" t="s">
        <v>884</v>
      </c>
      <c r="P9" s="710">
        <f>(C61)</f>
        <v>242</v>
      </c>
      <c r="Q9" s="697" t="s">
        <v>878</v>
      </c>
      <c r="R9" s="710">
        <f>(M9*P9)</f>
        <v>242</v>
      </c>
      <c r="T9" s="698" t="s">
        <v>885</v>
      </c>
      <c r="U9" s="697" t="s">
        <v>4111</v>
      </c>
      <c r="V9" s="697" t="s">
        <v>875</v>
      </c>
      <c r="W9" s="717" t="s">
        <v>5382</v>
      </c>
      <c r="X9" s="710">
        <f>'lead  charge'!D10:D10</f>
        <v>25</v>
      </c>
      <c r="Y9" s="718">
        <f>ROUND((595+661+977)/3,2)</f>
        <v>744.33</v>
      </c>
      <c r="Z9" s="719">
        <f>'lead  charge'!E10</f>
        <v>247.5</v>
      </c>
      <c r="AA9" s="698"/>
      <c r="AB9" s="702">
        <v>0</v>
      </c>
      <c r="AC9" s="697">
        <f t="shared" si="0"/>
        <v>991.83</v>
      </c>
      <c r="AD9" s="697" t="s">
        <v>887</v>
      </c>
      <c r="AE9" s="710">
        <f t="shared" si="1"/>
        <v>562</v>
      </c>
      <c r="AF9" s="718">
        <v>562</v>
      </c>
      <c r="AG9" s="710">
        <f t="shared" si="2"/>
        <v>618.20000000000005</v>
      </c>
      <c r="AH9" s="699">
        <f t="shared" si="3"/>
        <v>674.4</v>
      </c>
      <c r="AI9" s="699">
        <f t="shared" si="4"/>
        <v>843</v>
      </c>
      <c r="AJ9" s="699">
        <f t="shared" si="5"/>
        <v>590.1</v>
      </c>
      <c r="AK9" s="699">
        <f t="shared" si="6"/>
        <v>702.5</v>
      </c>
    </row>
    <row r="10" spans="1:37" ht="24" customHeight="1">
      <c r="A10" s="720">
        <f t="shared" si="7"/>
        <v>3</v>
      </c>
      <c r="B10" s="697" t="s">
        <v>449</v>
      </c>
      <c r="C10" s="721">
        <f>AE9</f>
        <v>562</v>
      </c>
      <c r="D10" s="722" t="s">
        <v>877</v>
      </c>
      <c r="G10" s="708" t="s">
        <v>450</v>
      </c>
      <c r="H10" s="697" t="s">
        <v>451</v>
      </c>
      <c r="I10" s="697" t="s">
        <v>987</v>
      </c>
      <c r="J10" s="697" t="s">
        <v>450</v>
      </c>
      <c r="K10" s="710">
        <v>0</v>
      </c>
      <c r="N10" s="697" t="s">
        <v>450</v>
      </c>
      <c r="O10" s="697" t="s">
        <v>451</v>
      </c>
      <c r="P10" s="697" t="s">
        <v>987</v>
      </c>
      <c r="Q10" s="697" t="s">
        <v>450</v>
      </c>
      <c r="R10" s="710">
        <v>0</v>
      </c>
      <c r="T10" s="698" t="s">
        <v>452</v>
      </c>
      <c r="U10" s="697" t="s">
        <v>1531</v>
      </c>
      <c r="V10" s="697" t="s">
        <v>875</v>
      </c>
      <c r="W10" s="717" t="s">
        <v>5382</v>
      </c>
      <c r="X10" s="710">
        <f>X9</f>
        <v>25</v>
      </c>
      <c r="Y10" s="718">
        <v>977</v>
      </c>
      <c r="Z10" s="719">
        <f>Z9</f>
        <v>247.5</v>
      </c>
      <c r="AA10" s="698"/>
      <c r="AB10" s="702">
        <v>0</v>
      </c>
      <c r="AC10" s="697">
        <f t="shared" si="0"/>
        <v>1224.5</v>
      </c>
      <c r="AD10" s="697" t="s">
        <v>1532</v>
      </c>
      <c r="AE10" s="710">
        <f t="shared" si="1"/>
        <v>461</v>
      </c>
      <c r="AF10" s="718">
        <v>461</v>
      </c>
      <c r="AG10" s="710">
        <f t="shared" si="2"/>
        <v>507.1</v>
      </c>
      <c r="AH10" s="699">
        <f t="shared" si="3"/>
        <v>553.20000000000005</v>
      </c>
      <c r="AI10" s="699">
        <f t="shared" si="4"/>
        <v>691.5</v>
      </c>
      <c r="AJ10" s="699">
        <f t="shared" si="5"/>
        <v>484.05</v>
      </c>
      <c r="AK10" s="699">
        <f t="shared" si="6"/>
        <v>576.25</v>
      </c>
    </row>
    <row r="11" spans="1:37" ht="24" customHeight="1">
      <c r="A11" s="720">
        <f t="shared" si="7"/>
        <v>4</v>
      </c>
      <c r="B11" s="697" t="s">
        <v>1533</v>
      </c>
      <c r="C11" s="721">
        <f>AE10</f>
        <v>461</v>
      </c>
      <c r="D11" s="722" t="s">
        <v>877</v>
      </c>
      <c r="K11" s="705" t="s">
        <v>1609</v>
      </c>
      <c r="R11" s="705" t="s">
        <v>1609</v>
      </c>
      <c r="T11" s="698" t="s">
        <v>1534</v>
      </c>
      <c r="U11" s="697" t="s">
        <v>1535</v>
      </c>
      <c r="V11" s="697" t="s">
        <v>875</v>
      </c>
      <c r="W11" s="717" t="s">
        <v>5382</v>
      </c>
      <c r="X11" s="710">
        <f>X9</f>
        <v>25</v>
      </c>
      <c r="Y11" s="718">
        <v>1329</v>
      </c>
      <c r="Z11" s="719">
        <f>Z10</f>
        <v>247.5</v>
      </c>
      <c r="AA11" s="698"/>
      <c r="AB11" s="702">
        <v>0</v>
      </c>
      <c r="AC11" s="697">
        <f t="shared" si="0"/>
        <v>1576.5</v>
      </c>
      <c r="AD11" s="697" t="s">
        <v>1536</v>
      </c>
      <c r="AE11" s="710">
        <f t="shared" si="1"/>
        <v>688</v>
      </c>
      <c r="AF11" s="718">
        <v>688</v>
      </c>
      <c r="AG11" s="710">
        <f t="shared" si="2"/>
        <v>756.8</v>
      </c>
      <c r="AH11" s="699">
        <f t="shared" si="3"/>
        <v>825.6</v>
      </c>
      <c r="AI11" s="699">
        <f t="shared" si="4"/>
        <v>1032</v>
      </c>
      <c r="AJ11" s="699">
        <f t="shared" si="5"/>
        <v>722.4</v>
      </c>
      <c r="AK11" s="699">
        <f t="shared" si="6"/>
        <v>860</v>
      </c>
    </row>
    <row r="12" spans="1:37" ht="24" customHeight="1">
      <c r="A12" s="720">
        <f t="shared" si="7"/>
        <v>5</v>
      </c>
      <c r="B12" s="697" t="s">
        <v>1537</v>
      </c>
      <c r="C12" s="721">
        <f>AE11</f>
        <v>688</v>
      </c>
      <c r="D12" s="721">
        <f>AE12</f>
        <v>666</v>
      </c>
      <c r="H12" s="697" t="s">
        <v>1538</v>
      </c>
      <c r="K12" s="709">
        <f>SUM(K7:K10)</f>
        <v>7332.7</v>
      </c>
      <c r="N12" s="710">
        <f>SUM(K7:K10)</f>
        <v>7332.7</v>
      </c>
      <c r="O12" s="697" t="s">
        <v>1538</v>
      </c>
      <c r="R12" s="710">
        <f>SUM(R7:R10)</f>
        <v>2240.1</v>
      </c>
      <c r="T12" s="698" t="s">
        <v>2033</v>
      </c>
      <c r="U12" s="697" t="s">
        <v>114</v>
      </c>
      <c r="V12" s="697" t="s">
        <v>875</v>
      </c>
      <c r="W12" s="717" t="s">
        <v>5382</v>
      </c>
      <c r="X12" s="710">
        <f>X9</f>
        <v>25</v>
      </c>
      <c r="Y12" s="718">
        <v>1432</v>
      </c>
      <c r="Z12" s="719">
        <f>Z11</f>
        <v>247.5</v>
      </c>
      <c r="AA12" s="698"/>
      <c r="AB12" s="702">
        <v>0</v>
      </c>
      <c r="AC12" s="697">
        <f t="shared" si="0"/>
        <v>1679.5</v>
      </c>
      <c r="AD12" s="697" t="s">
        <v>115</v>
      </c>
      <c r="AE12" s="710">
        <f t="shared" si="1"/>
        <v>666</v>
      </c>
      <c r="AF12" s="718">
        <v>666</v>
      </c>
      <c r="AG12" s="710">
        <f t="shared" si="2"/>
        <v>732.6</v>
      </c>
      <c r="AH12" s="699">
        <f t="shared" si="3"/>
        <v>799.2</v>
      </c>
      <c r="AI12" s="699">
        <f t="shared" si="4"/>
        <v>999</v>
      </c>
      <c r="AJ12" s="699">
        <f t="shared" si="5"/>
        <v>699.3</v>
      </c>
      <c r="AK12" s="699">
        <f t="shared" si="6"/>
        <v>832.5</v>
      </c>
    </row>
    <row r="13" spans="1:37" ht="24" customHeight="1">
      <c r="A13" s="720">
        <f t="shared" si="7"/>
        <v>6</v>
      </c>
      <c r="B13" s="697" t="s">
        <v>116</v>
      </c>
      <c r="C13" s="721">
        <f>AE13</f>
        <v>747</v>
      </c>
      <c r="D13" s="722" t="s">
        <v>877</v>
      </c>
      <c r="K13" s="705" t="s">
        <v>1609</v>
      </c>
      <c r="R13" s="705" t="s">
        <v>1609</v>
      </c>
      <c r="T13" s="698" t="s">
        <v>117</v>
      </c>
      <c r="U13" s="697" t="s">
        <v>118</v>
      </c>
      <c r="V13" s="697" t="s">
        <v>875</v>
      </c>
      <c r="W13" s="717" t="s">
        <v>5382</v>
      </c>
      <c r="X13" s="710">
        <f>X9</f>
        <v>25</v>
      </c>
      <c r="Y13" s="718">
        <v>1029</v>
      </c>
      <c r="Z13" s="719">
        <f>Z12</f>
        <v>247.5</v>
      </c>
      <c r="AA13" s="698"/>
      <c r="AB13" s="702">
        <v>0</v>
      </c>
      <c r="AC13" s="697">
        <f t="shared" si="0"/>
        <v>1276.5</v>
      </c>
      <c r="AD13" s="697" t="s">
        <v>119</v>
      </c>
      <c r="AE13" s="710">
        <f t="shared" si="1"/>
        <v>747</v>
      </c>
      <c r="AF13" s="718">
        <v>747</v>
      </c>
      <c r="AG13" s="710">
        <f t="shared" si="2"/>
        <v>821.7</v>
      </c>
      <c r="AH13" s="699">
        <f t="shared" si="3"/>
        <v>896.4</v>
      </c>
      <c r="AI13" s="699">
        <f t="shared" si="4"/>
        <v>1120.5</v>
      </c>
      <c r="AJ13" s="699">
        <f t="shared" si="5"/>
        <v>784.35</v>
      </c>
      <c r="AK13" s="699">
        <f t="shared" si="6"/>
        <v>933.75</v>
      </c>
    </row>
    <row r="14" spans="1:37" ht="92.25" customHeight="1">
      <c r="A14" s="720">
        <f t="shared" si="7"/>
        <v>7</v>
      </c>
      <c r="B14" s="697" t="s">
        <v>120</v>
      </c>
      <c r="C14" s="721">
        <f>AE17</f>
        <v>842</v>
      </c>
      <c r="D14" s="721">
        <f>AE18</f>
        <v>804</v>
      </c>
      <c r="G14" s="708" t="s">
        <v>2276</v>
      </c>
      <c r="H14" s="697" t="s">
        <v>121</v>
      </c>
      <c r="N14" s="697" t="s">
        <v>2276</v>
      </c>
      <c r="O14" s="697" t="s">
        <v>122</v>
      </c>
      <c r="T14" s="698" t="s">
        <v>123</v>
      </c>
      <c r="U14" s="1165" t="s">
        <v>5355</v>
      </c>
      <c r="V14" s="697" t="s">
        <v>875</v>
      </c>
      <c r="W14" s="1227" t="s">
        <v>5391</v>
      </c>
      <c r="X14" s="710">
        <f>'lead  charge'!D11</f>
        <v>23</v>
      </c>
      <c r="Y14" s="723">
        <f>Y43</f>
        <v>1280</v>
      </c>
      <c r="Z14" s="719">
        <f>'lead  charge'!E11</f>
        <v>231.1</v>
      </c>
      <c r="AA14" s="698"/>
      <c r="AB14" s="702">
        <v>0</v>
      </c>
      <c r="AC14" s="697">
        <f t="shared" si="0"/>
        <v>1511.1</v>
      </c>
      <c r="AD14" s="697" t="s">
        <v>2266</v>
      </c>
      <c r="AE14" s="710">
        <f t="shared" si="1"/>
        <v>724</v>
      </c>
      <c r="AF14" s="718">
        <v>724</v>
      </c>
      <c r="AG14" s="710">
        <f t="shared" si="2"/>
        <v>796.4</v>
      </c>
      <c r="AH14" s="699">
        <f t="shared" si="3"/>
        <v>868.8</v>
      </c>
      <c r="AI14" s="699">
        <f t="shared" si="4"/>
        <v>1086</v>
      </c>
      <c r="AJ14" s="699">
        <f t="shared" si="5"/>
        <v>760.2</v>
      </c>
      <c r="AK14" s="699">
        <f t="shared" si="6"/>
        <v>905</v>
      </c>
    </row>
    <row r="15" spans="1:37" ht="86.25" customHeight="1">
      <c r="A15" s="720">
        <f t="shared" si="7"/>
        <v>8</v>
      </c>
      <c r="B15" s="697" t="s">
        <v>4102</v>
      </c>
      <c r="C15" s="721">
        <f>AE15</f>
        <v>760</v>
      </c>
      <c r="D15" s="721">
        <f>AE16</f>
        <v>739</v>
      </c>
      <c r="H15" s="705" t="s">
        <v>1609</v>
      </c>
      <c r="O15" s="1165" t="s">
        <v>5356</v>
      </c>
      <c r="T15" s="698" t="s">
        <v>1049</v>
      </c>
      <c r="U15" s="1224" t="s">
        <v>5357</v>
      </c>
      <c r="V15" s="697" t="s">
        <v>875</v>
      </c>
      <c r="W15" s="1227" t="str">
        <f>W14</f>
        <v>NCM  M-Sand unit,Shanmugasundarapuram village,Aundipatty taluk.</v>
      </c>
      <c r="X15" s="710">
        <f>X14</f>
        <v>23</v>
      </c>
      <c r="Y15" s="723">
        <f>Y14</f>
        <v>1280</v>
      </c>
      <c r="Z15" s="719">
        <f>Z14</f>
        <v>231.1</v>
      </c>
      <c r="AA15" s="698"/>
      <c r="AB15" s="702">
        <v>0</v>
      </c>
      <c r="AC15" s="697">
        <f t="shared" si="0"/>
        <v>1511.1</v>
      </c>
      <c r="AD15" s="697" t="s">
        <v>1051</v>
      </c>
      <c r="AE15" s="710">
        <f t="shared" si="1"/>
        <v>760</v>
      </c>
      <c r="AF15" s="718">
        <v>760</v>
      </c>
      <c r="AG15" s="710">
        <f t="shared" si="2"/>
        <v>836</v>
      </c>
      <c r="AH15" s="699">
        <f t="shared" si="3"/>
        <v>912</v>
      </c>
      <c r="AI15" s="699">
        <f t="shared" si="4"/>
        <v>1140</v>
      </c>
      <c r="AJ15" s="699">
        <f t="shared" si="5"/>
        <v>798</v>
      </c>
      <c r="AK15" s="699">
        <f t="shared" si="6"/>
        <v>950</v>
      </c>
    </row>
    <row r="16" spans="1:37" ht="24" customHeight="1">
      <c r="A16" s="720">
        <f t="shared" si="7"/>
        <v>9</v>
      </c>
      <c r="B16" s="697" t="s">
        <v>4103</v>
      </c>
      <c r="C16" s="721">
        <f>AE22</f>
        <v>100</v>
      </c>
      <c r="D16" s="722" t="s">
        <v>1053</v>
      </c>
      <c r="F16" s="710">
        <v>0.72</v>
      </c>
      <c r="G16" s="708" t="s">
        <v>870</v>
      </c>
      <c r="H16" s="697" t="s">
        <v>871</v>
      </c>
      <c r="I16" s="710">
        <f>(C64)</f>
        <v>5960</v>
      </c>
      <c r="J16" s="697" t="s">
        <v>870</v>
      </c>
      <c r="K16" s="710">
        <f>(F16*I16)</f>
        <v>4291.2</v>
      </c>
      <c r="O16" s="697" t="s">
        <v>1465</v>
      </c>
      <c r="T16" s="698" t="s">
        <v>1466</v>
      </c>
      <c r="U16" s="697" t="s">
        <v>4701</v>
      </c>
      <c r="V16" s="697" t="s">
        <v>1467</v>
      </c>
      <c r="W16" s="717" t="s">
        <v>5392</v>
      </c>
      <c r="X16" s="710">
        <f>'lead  charge'!G10</f>
        <v>28</v>
      </c>
      <c r="Y16" s="718">
        <v>5570</v>
      </c>
      <c r="Z16" s="719">
        <f>'lead  charge'!H10</f>
        <v>229.5</v>
      </c>
      <c r="AA16" s="698"/>
      <c r="AB16" s="702">
        <v>0</v>
      </c>
      <c r="AC16" s="697">
        <f t="shared" si="0"/>
        <v>5799.5</v>
      </c>
      <c r="AD16" s="697" t="s">
        <v>1468</v>
      </c>
      <c r="AE16" s="710">
        <f t="shared" si="1"/>
        <v>739</v>
      </c>
      <c r="AF16" s="718">
        <v>739</v>
      </c>
      <c r="AG16" s="710">
        <f t="shared" si="2"/>
        <v>812.9</v>
      </c>
      <c r="AH16" s="699">
        <f t="shared" si="3"/>
        <v>886.8</v>
      </c>
      <c r="AI16" s="699">
        <f t="shared" si="4"/>
        <v>1108.5</v>
      </c>
      <c r="AJ16" s="699">
        <f t="shared" si="5"/>
        <v>775.95</v>
      </c>
      <c r="AK16" s="699">
        <f t="shared" si="6"/>
        <v>923.75</v>
      </c>
    </row>
    <row r="17" spans="1:37" ht="24" customHeight="1">
      <c r="A17" s="720">
        <f t="shared" si="7"/>
        <v>10</v>
      </c>
      <c r="B17" s="697" t="s">
        <v>4718</v>
      </c>
      <c r="C17" s="724">
        <f t="shared" ref="C17:C22" si="8">AE38</f>
        <v>71.400000000000006</v>
      </c>
      <c r="D17" s="722" t="s">
        <v>878</v>
      </c>
      <c r="F17" s="710">
        <v>1</v>
      </c>
      <c r="G17" s="708" t="s">
        <v>878</v>
      </c>
      <c r="H17" s="1165" t="s">
        <v>5354</v>
      </c>
      <c r="I17" s="710">
        <f>I34</f>
        <v>1511.1</v>
      </c>
      <c r="J17" s="697" t="s">
        <v>878</v>
      </c>
      <c r="K17" s="710">
        <f>(F17*I17)</f>
        <v>1511.1</v>
      </c>
      <c r="O17" s="1165" t="s">
        <v>5358</v>
      </c>
      <c r="T17" s="698" t="s">
        <v>74</v>
      </c>
      <c r="U17" s="697" t="s">
        <v>4702</v>
      </c>
      <c r="V17" s="697" t="s">
        <v>878</v>
      </c>
      <c r="W17" s="725" t="str">
        <f>W16</f>
        <v>Kunnur</v>
      </c>
      <c r="X17" s="710">
        <f>'lead  charge'!P10</f>
        <v>28</v>
      </c>
      <c r="Y17" s="718">
        <v>688</v>
      </c>
      <c r="Z17" s="726">
        <f>'lead  charge'!Q10</f>
        <v>187.02</v>
      </c>
      <c r="AA17" s="698"/>
      <c r="AB17" s="702">
        <v>0</v>
      </c>
      <c r="AC17" s="697">
        <f t="shared" si="0"/>
        <v>875.02</v>
      </c>
      <c r="AD17" s="697" t="s">
        <v>76</v>
      </c>
      <c r="AE17" s="710">
        <f t="shared" si="1"/>
        <v>842</v>
      </c>
      <c r="AF17" s="718">
        <v>842</v>
      </c>
      <c r="AG17" s="710">
        <f t="shared" si="2"/>
        <v>926.2</v>
      </c>
      <c r="AH17" s="699">
        <f t="shared" si="3"/>
        <v>1010.4</v>
      </c>
      <c r="AI17" s="699">
        <f t="shared" si="4"/>
        <v>1263</v>
      </c>
      <c r="AJ17" s="699">
        <f t="shared" si="5"/>
        <v>884.1</v>
      </c>
      <c r="AK17" s="699">
        <f t="shared" si="6"/>
        <v>1052.5</v>
      </c>
    </row>
    <row r="18" spans="1:37" ht="24" customHeight="1">
      <c r="A18" s="720">
        <f t="shared" si="7"/>
        <v>11</v>
      </c>
      <c r="B18" s="697" t="s">
        <v>374</v>
      </c>
      <c r="C18" s="724">
        <f t="shared" si="8"/>
        <v>144.06</v>
      </c>
      <c r="D18" s="722" t="s">
        <v>878</v>
      </c>
      <c r="F18" s="710">
        <v>1</v>
      </c>
      <c r="G18" s="708" t="s">
        <v>878</v>
      </c>
      <c r="H18" s="697" t="s">
        <v>883</v>
      </c>
      <c r="I18" s="710">
        <f>(C16)</f>
        <v>100</v>
      </c>
      <c r="J18" s="697" t="s">
        <v>878</v>
      </c>
      <c r="K18" s="710">
        <f>(F18*I18)</f>
        <v>100</v>
      </c>
      <c r="O18" s="697" t="s">
        <v>1062</v>
      </c>
      <c r="T18" s="698" t="s">
        <v>1996</v>
      </c>
      <c r="U18" s="697" t="s">
        <v>1997</v>
      </c>
      <c r="V18" s="697" t="s">
        <v>878</v>
      </c>
      <c r="W18" s="725" t="str">
        <f>W16</f>
        <v>Kunnur</v>
      </c>
      <c r="X18" s="710">
        <f>X17</f>
        <v>28</v>
      </c>
      <c r="Y18" s="718">
        <v>767</v>
      </c>
      <c r="Z18" s="719">
        <f>Z17</f>
        <v>187.02</v>
      </c>
      <c r="AA18" s="698"/>
      <c r="AB18" s="702">
        <v>0</v>
      </c>
      <c r="AC18" s="697">
        <f t="shared" si="0"/>
        <v>954.02</v>
      </c>
      <c r="AD18" s="697" t="s">
        <v>1998</v>
      </c>
      <c r="AE18" s="710">
        <f t="shared" si="1"/>
        <v>804</v>
      </c>
      <c r="AF18" s="718">
        <v>804</v>
      </c>
      <c r="AG18" s="710">
        <f t="shared" si="2"/>
        <v>884.4</v>
      </c>
      <c r="AH18" s="699">
        <f t="shared" si="3"/>
        <v>964.8</v>
      </c>
      <c r="AI18" s="699">
        <f t="shared" si="4"/>
        <v>1206</v>
      </c>
      <c r="AJ18" s="699">
        <f t="shared" si="5"/>
        <v>844.2</v>
      </c>
      <c r="AK18" s="699">
        <f t="shared" si="6"/>
        <v>1005</v>
      </c>
    </row>
    <row r="19" spans="1:37" ht="24" customHeight="1">
      <c r="A19" s="720">
        <f t="shared" si="7"/>
        <v>12</v>
      </c>
      <c r="B19" s="697" t="s">
        <v>2287</v>
      </c>
      <c r="C19" s="724">
        <f t="shared" si="8"/>
        <v>144.06</v>
      </c>
      <c r="D19" s="722" t="s">
        <v>878</v>
      </c>
      <c r="G19" s="708" t="s">
        <v>450</v>
      </c>
      <c r="H19" s="697" t="s">
        <v>451</v>
      </c>
      <c r="I19" s="697" t="s">
        <v>987</v>
      </c>
      <c r="J19" s="697" t="s">
        <v>450</v>
      </c>
      <c r="K19" s="710">
        <v>0</v>
      </c>
      <c r="O19" s="705" t="s">
        <v>1609</v>
      </c>
      <c r="T19" s="698" t="s">
        <v>2288</v>
      </c>
      <c r="U19" s="697" t="s">
        <v>4703</v>
      </c>
      <c r="V19" s="697" t="s">
        <v>1467</v>
      </c>
      <c r="W19" s="717" t="s">
        <v>2290</v>
      </c>
      <c r="X19" s="710">
        <f>'lead  charge'!J12</f>
        <v>0</v>
      </c>
      <c r="Y19" s="718">
        <v>16106</v>
      </c>
      <c r="Z19" s="719">
        <f>'lead  charge'!K11</f>
        <v>0</v>
      </c>
      <c r="AA19" s="698"/>
      <c r="AB19" s="702">
        <v>0</v>
      </c>
      <c r="AC19" s="697">
        <f t="shared" si="0"/>
        <v>16106</v>
      </c>
      <c r="AD19" s="697" t="s">
        <v>2291</v>
      </c>
      <c r="AE19" s="710">
        <f t="shared" si="1"/>
        <v>661</v>
      </c>
      <c r="AF19" s="718">
        <v>661</v>
      </c>
      <c r="AG19" s="710">
        <f t="shared" si="2"/>
        <v>727.1</v>
      </c>
      <c r="AH19" s="699">
        <f t="shared" si="3"/>
        <v>793.2</v>
      </c>
      <c r="AI19" s="699">
        <f t="shared" si="4"/>
        <v>991.5</v>
      </c>
      <c r="AJ19" s="699">
        <f t="shared" si="5"/>
        <v>694.05</v>
      </c>
      <c r="AK19" s="699">
        <f t="shared" si="6"/>
        <v>826.25</v>
      </c>
    </row>
    <row r="20" spans="1:37" ht="24" customHeight="1">
      <c r="A20" s="720">
        <f t="shared" si="7"/>
        <v>13</v>
      </c>
      <c r="B20" s="697" t="s">
        <v>4719</v>
      </c>
      <c r="C20" s="724">
        <f t="shared" si="8"/>
        <v>108.47</v>
      </c>
      <c r="D20" s="722" t="s">
        <v>878</v>
      </c>
      <c r="K20" s="705" t="s">
        <v>1609</v>
      </c>
      <c r="M20" s="710">
        <v>1</v>
      </c>
      <c r="N20" s="697" t="s">
        <v>878</v>
      </c>
      <c r="O20" s="1165" t="s">
        <v>5359</v>
      </c>
      <c r="P20" s="710">
        <f>C76</f>
        <v>1511.1</v>
      </c>
      <c r="Q20" s="697" t="s">
        <v>878</v>
      </c>
      <c r="R20" s="710">
        <f>(M20*P20)</f>
        <v>1511.1</v>
      </c>
      <c r="T20" s="698" t="s">
        <v>2028</v>
      </c>
      <c r="U20" s="697" t="s">
        <v>4704</v>
      </c>
      <c r="V20" s="697" t="s">
        <v>875</v>
      </c>
      <c r="W20" s="727" t="s">
        <v>2290</v>
      </c>
      <c r="X20" s="710">
        <f>X19</f>
        <v>0</v>
      </c>
      <c r="Y20" s="718">
        <v>1322</v>
      </c>
      <c r="Z20" s="719"/>
      <c r="AA20" s="698"/>
      <c r="AB20" s="702">
        <v>0</v>
      </c>
      <c r="AC20" s="697">
        <f t="shared" si="0"/>
        <v>1322</v>
      </c>
      <c r="AD20" s="697" t="s">
        <v>2030</v>
      </c>
      <c r="AE20" s="710">
        <f t="shared" si="1"/>
        <v>637</v>
      </c>
      <c r="AF20" s="718">
        <v>637</v>
      </c>
      <c r="AG20" s="710">
        <f t="shared" si="2"/>
        <v>700.7</v>
      </c>
      <c r="AH20" s="699">
        <f t="shared" si="3"/>
        <v>764.4</v>
      </c>
      <c r="AI20" s="699">
        <f t="shared" si="4"/>
        <v>955.5</v>
      </c>
      <c r="AJ20" s="699">
        <f t="shared" si="5"/>
        <v>668.85</v>
      </c>
      <c r="AK20" s="699">
        <f t="shared" si="6"/>
        <v>796.25</v>
      </c>
    </row>
    <row r="21" spans="1:37" ht="24" customHeight="1">
      <c r="A21" s="720">
        <f t="shared" si="7"/>
        <v>14</v>
      </c>
      <c r="B21" s="697" t="s">
        <v>285</v>
      </c>
      <c r="C21" s="724">
        <f t="shared" si="8"/>
        <v>213.68</v>
      </c>
      <c r="D21" s="722" t="s">
        <v>878</v>
      </c>
      <c r="H21" s="697" t="s">
        <v>1538</v>
      </c>
      <c r="K21" s="709">
        <f>SUM(K16:K19)</f>
        <v>5902.3</v>
      </c>
      <c r="M21" s="710">
        <v>1</v>
      </c>
      <c r="N21" s="697" t="s">
        <v>878</v>
      </c>
      <c r="O21" s="697" t="s">
        <v>286</v>
      </c>
      <c r="P21" s="710">
        <f>C82</f>
        <v>974</v>
      </c>
      <c r="Q21" s="697" t="s">
        <v>878</v>
      </c>
      <c r="R21" s="710">
        <f>(M21*P21)</f>
        <v>974</v>
      </c>
      <c r="T21" s="698" t="s">
        <v>837</v>
      </c>
      <c r="U21" s="697" t="s">
        <v>4705</v>
      </c>
      <c r="V21" s="697" t="s">
        <v>875</v>
      </c>
      <c r="W21" s="727" t="s">
        <v>2290</v>
      </c>
      <c r="X21" s="710">
        <f>'lead  charge'!P11</f>
        <v>0</v>
      </c>
      <c r="Y21" s="718">
        <v>974</v>
      </c>
      <c r="Z21" s="719">
        <f>'lead  charge'!Q11</f>
        <v>0</v>
      </c>
      <c r="AA21" s="698"/>
      <c r="AB21" s="702">
        <v>0</v>
      </c>
      <c r="AC21" s="697">
        <f t="shared" si="0"/>
        <v>974</v>
      </c>
      <c r="AD21" s="697" t="s">
        <v>839</v>
      </c>
      <c r="AE21" s="710">
        <f t="shared" si="1"/>
        <v>663</v>
      </c>
      <c r="AF21" s="718">
        <v>663</v>
      </c>
      <c r="AG21" s="710">
        <f t="shared" si="2"/>
        <v>729.3</v>
      </c>
      <c r="AH21" s="699">
        <f t="shared" si="3"/>
        <v>795.6</v>
      </c>
      <c r="AI21" s="699">
        <f t="shared" si="4"/>
        <v>994.5</v>
      </c>
      <c r="AJ21" s="699">
        <f t="shared" si="5"/>
        <v>696.15</v>
      </c>
      <c r="AK21" s="699">
        <f t="shared" si="6"/>
        <v>828.75</v>
      </c>
    </row>
    <row r="22" spans="1:37" ht="24" customHeight="1">
      <c r="A22" s="720">
        <f t="shared" si="7"/>
        <v>15</v>
      </c>
      <c r="B22" s="697" t="s">
        <v>840</v>
      </c>
      <c r="C22" s="724">
        <f t="shared" si="8"/>
        <v>213.68</v>
      </c>
      <c r="D22" s="722" t="s">
        <v>878</v>
      </c>
      <c r="K22" s="705" t="s">
        <v>1609</v>
      </c>
      <c r="M22" s="710">
        <v>1.5</v>
      </c>
      <c r="N22" s="697" t="s">
        <v>878</v>
      </c>
      <c r="O22" s="697" t="s">
        <v>1817</v>
      </c>
      <c r="P22" s="710">
        <f>C16</f>
        <v>100</v>
      </c>
      <c r="Q22" s="697" t="s">
        <v>878</v>
      </c>
      <c r="R22" s="710">
        <f>(M22*P22)</f>
        <v>150</v>
      </c>
      <c r="T22" s="698" t="s">
        <v>1818</v>
      </c>
      <c r="U22" s="697" t="s">
        <v>4706</v>
      </c>
      <c r="V22" s="697" t="s">
        <v>875</v>
      </c>
      <c r="W22" s="717" t="s">
        <v>1819</v>
      </c>
      <c r="X22" s="699">
        <f>X23</f>
        <v>0</v>
      </c>
      <c r="Y22" s="718">
        <v>34300</v>
      </c>
      <c r="Z22" s="728">
        <f>Z23</f>
        <v>0</v>
      </c>
      <c r="AA22" s="704"/>
      <c r="AB22" s="702">
        <v>0</v>
      </c>
      <c r="AC22" s="697">
        <f t="shared" si="0"/>
        <v>34300</v>
      </c>
      <c r="AD22" s="697" t="s">
        <v>5201</v>
      </c>
      <c r="AE22" s="710">
        <f t="shared" si="1"/>
        <v>100</v>
      </c>
      <c r="AF22" s="718">
        <v>100</v>
      </c>
      <c r="AG22" s="710">
        <f t="shared" si="2"/>
        <v>110</v>
      </c>
      <c r="AH22" s="699">
        <f t="shared" si="3"/>
        <v>120</v>
      </c>
      <c r="AI22" s="699">
        <f t="shared" si="4"/>
        <v>150</v>
      </c>
      <c r="AJ22" s="699">
        <f t="shared" si="5"/>
        <v>105</v>
      </c>
      <c r="AK22" s="699">
        <f t="shared" si="6"/>
        <v>125</v>
      </c>
    </row>
    <row r="23" spans="1:37" ht="24" customHeight="1">
      <c r="A23" s="720">
        <f t="shared" si="7"/>
        <v>16</v>
      </c>
      <c r="B23" s="697" t="s">
        <v>4104</v>
      </c>
      <c r="C23" s="721">
        <f>AE23</f>
        <v>81.3</v>
      </c>
      <c r="D23" s="722" t="s">
        <v>878</v>
      </c>
      <c r="G23" s="708" t="s">
        <v>2276</v>
      </c>
      <c r="H23" s="697" t="s">
        <v>1373</v>
      </c>
      <c r="M23" s="710">
        <v>1.5</v>
      </c>
      <c r="N23" s="697" t="s">
        <v>878</v>
      </c>
      <c r="O23" s="697" t="s">
        <v>1374</v>
      </c>
      <c r="P23" s="710">
        <f>C25</f>
        <v>29.5</v>
      </c>
      <c r="Q23" s="697" t="s">
        <v>878</v>
      </c>
      <c r="R23" s="710">
        <f>(M23*P23)</f>
        <v>44.25</v>
      </c>
      <c r="T23" s="698" t="s">
        <v>1375</v>
      </c>
      <c r="U23" s="729" t="s">
        <v>1376</v>
      </c>
      <c r="V23" s="697" t="s">
        <v>875</v>
      </c>
      <c r="W23" s="727" t="s">
        <v>1819</v>
      </c>
      <c r="X23" s="699">
        <f>'lead  charge'!P12</f>
        <v>0</v>
      </c>
      <c r="Y23" s="718">
        <v>39400</v>
      </c>
      <c r="Z23" s="728">
        <f>'lead  charge'!Q12</f>
        <v>0</v>
      </c>
      <c r="AA23" s="704"/>
      <c r="AB23" s="702">
        <v>0</v>
      </c>
      <c r="AC23" s="697">
        <f>SUM(Y23+Z23+AA23+AB23)</f>
        <v>39400</v>
      </c>
      <c r="AD23" s="697" t="s">
        <v>5202</v>
      </c>
      <c r="AE23" s="710">
        <f t="shared" si="1"/>
        <v>81.3</v>
      </c>
      <c r="AF23" s="718">
        <v>81.3</v>
      </c>
      <c r="AG23" s="710">
        <f t="shared" si="2"/>
        <v>89.43</v>
      </c>
      <c r="AH23" s="699">
        <f t="shared" si="3"/>
        <v>97.56</v>
      </c>
      <c r="AI23" s="699">
        <f t="shared" si="4"/>
        <v>121.95</v>
      </c>
      <c r="AJ23" s="699">
        <f t="shared" si="5"/>
        <v>85.37</v>
      </c>
      <c r="AK23" s="699">
        <f t="shared" si="6"/>
        <v>101.63</v>
      </c>
    </row>
    <row r="24" spans="1:37" ht="24" customHeight="1">
      <c r="A24" s="720">
        <f t="shared" si="7"/>
        <v>17</v>
      </c>
      <c r="B24" s="697" t="s">
        <v>4105</v>
      </c>
      <c r="C24" s="721">
        <f>AE26</f>
        <v>33.6</v>
      </c>
      <c r="D24" s="722" t="s">
        <v>2068</v>
      </c>
      <c r="H24" s="705" t="s">
        <v>1609</v>
      </c>
      <c r="N24" s="697" t="s">
        <v>450</v>
      </c>
      <c r="O24" s="697" t="s">
        <v>451</v>
      </c>
      <c r="P24" s="697" t="s">
        <v>987</v>
      </c>
      <c r="Q24" s="697" t="s">
        <v>450</v>
      </c>
      <c r="R24" s="710">
        <v>0</v>
      </c>
      <c r="T24" s="698" t="s">
        <v>2069</v>
      </c>
      <c r="U24" s="697" t="s">
        <v>4707</v>
      </c>
      <c r="V24" s="697" t="s">
        <v>875</v>
      </c>
      <c r="W24" s="727" t="s">
        <v>1819</v>
      </c>
      <c r="X24" s="699">
        <f>X23</f>
        <v>0</v>
      </c>
      <c r="Y24" s="718">
        <v>111600</v>
      </c>
      <c r="Z24" s="728">
        <f>'lead  charge'!Q12</f>
        <v>0</v>
      </c>
      <c r="AA24" s="704"/>
      <c r="AB24" s="702">
        <v>0</v>
      </c>
      <c r="AC24" s="697">
        <f>SUM(Y24+Z24+AA24+AB24)</f>
        <v>111600</v>
      </c>
      <c r="AD24" s="697" t="s">
        <v>4906</v>
      </c>
      <c r="AE24" s="710">
        <f t="shared" si="1"/>
        <v>60.2</v>
      </c>
      <c r="AF24" s="718">
        <v>60.2</v>
      </c>
      <c r="AG24" s="710">
        <f t="shared" si="2"/>
        <v>66.22</v>
      </c>
      <c r="AH24" s="699">
        <f t="shared" si="3"/>
        <v>72.239999999999995</v>
      </c>
      <c r="AI24" s="699">
        <f t="shared" si="4"/>
        <v>90.3</v>
      </c>
      <c r="AJ24" s="699">
        <f t="shared" si="5"/>
        <v>63.21</v>
      </c>
      <c r="AK24" s="699">
        <f t="shared" si="6"/>
        <v>75.25</v>
      </c>
    </row>
    <row r="25" spans="1:37" ht="24" customHeight="1">
      <c r="A25" s="720">
        <f t="shared" si="7"/>
        <v>18</v>
      </c>
      <c r="B25" s="1165" t="s">
        <v>5360</v>
      </c>
      <c r="C25" s="721">
        <f>AE25</f>
        <v>29.5</v>
      </c>
      <c r="D25" s="722" t="s">
        <v>2068</v>
      </c>
      <c r="E25" s="723">
        <f>(66.4+88.7+101.7)/3</f>
        <v>85.6</v>
      </c>
      <c r="F25" s="710">
        <v>0.48</v>
      </c>
      <c r="G25" s="708" t="s">
        <v>870</v>
      </c>
      <c r="H25" s="697" t="s">
        <v>871</v>
      </c>
      <c r="I25" s="710">
        <f>(C64)</f>
        <v>5960</v>
      </c>
      <c r="J25" s="697" t="s">
        <v>870</v>
      </c>
      <c r="K25" s="710">
        <f>(F25*I25)</f>
        <v>2860.8</v>
      </c>
      <c r="R25" s="705" t="s">
        <v>1609</v>
      </c>
      <c r="T25" s="698" t="s">
        <v>1512</v>
      </c>
      <c r="U25" s="697" t="s">
        <v>4708</v>
      </c>
      <c r="V25" s="697" t="s">
        <v>875</v>
      </c>
      <c r="W25" s="727" t="s">
        <v>1819</v>
      </c>
      <c r="X25" s="699">
        <f>X24</f>
        <v>0</v>
      </c>
      <c r="Y25" s="718">
        <v>99400</v>
      </c>
      <c r="Z25" s="728">
        <f>Z24</f>
        <v>0</v>
      </c>
      <c r="AA25" s="704"/>
      <c r="AB25" s="702">
        <v>0</v>
      </c>
      <c r="AC25" s="697">
        <f>SUM(Y25+Z25+AA25+AB25)</f>
        <v>99400</v>
      </c>
      <c r="AD25" s="1165" t="s">
        <v>5361</v>
      </c>
      <c r="AE25" s="710">
        <f t="shared" si="1"/>
        <v>29.5</v>
      </c>
      <c r="AF25" s="718">
        <v>29.5</v>
      </c>
      <c r="AG25" s="710">
        <f t="shared" si="2"/>
        <v>32.450000000000003</v>
      </c>
      <c r="AH25" s="699">
        <f t="shared" si="3"/>
        <v>35.4</v>
      </c>
      <c r="AI25" s="699">
        <f t="shared" si="4"/>
        <v>44.25</v>
      </c>
      <c r="AJ25" s="699">
        <f t="shared" si="5"/>
        <v>30.98</v>
      </c>
      <c r="AK25" s="699">
        <f t="shared" si="6"/>
        <v>36.880000000000003</v>
      </c>
    </row>
    <row r="26" spans="1:37" ht="24" customHeight="1">
      <c r="A26" s="720">
        <f t="shared" si="7"/>
        <v>19</v>
      </c>
      <c r="B26" s="697" t="s">
        <v>4913</v>
      </c>
      <c r="C26" s="730">
        <f>E25</f>
        <v>85.6</v>
      </c>
      <c r="D26" s="722" t="s">
        <v>450</v>
      </c>
      <c r="E26" s="699">
        <v>254.4</v>
      </c>
      <c r="F26" s="710">
        <v>1</v>
      </c>
      <c r="G26" s="708" t="s">
        <v>878</v>
      </c>
      <c r="H26" s="1165" t="s">
        <v>5354</v>
      </c>
      <c r="I26" s="710">
        <f>(C75)</f>
        <v>1511.1</v>
      </c>
      <c r="J26" s="697" t="s">
        <v>878</v>
      </c>
      <c r="K26" s="710">
        <f>(F26*I26)</f>
        <v>1511.1</v>
      </c>
      <c r="O26" s="697" t="s">
        <v>170</v>
      </c>
      <c r="R26" s="710">
        <f>SUM(R20:R24)</f>
        <v>2679.35</v>
      </c>
      <c r="T26" s="698" t="s">
        <v>894</v>
      </c>
      <c r="U26" s="697" t="s">
        <v>4709</v>
      </c>
      <c r="V26" s="697" t="s">
        <v>875</v>
      </c>
      <c r="W26" s="727" t="s">
        <v>1819</v>
      </c>
      <c r="X26" s="699">
        <f>X25</f>
        <v>0</v>
      </c>
      <c r="Y26" s="718">
        <v>95000</v>
      </c>
      <c r="Z26" s="728">
        <f>Z25</f>
        <v>0</v>
      </c>
      <c r="AA26" s="704"/>
      <c r="AB26" s="702">
        <v>0</v>
      </c>
      <c r="AC26" s="697">
        <f>SUM(Y26+Z26+AA26+AB26)</f>
        <v>95000</v>
      </c>
      <c r="AD26" s="697" t="s">
        <v>4907</v>
      </c>
      <c r="AE26" s="710">
        <f t="shared" si="1"/>
        <v>33.6</v>
      </c>
      <c r="AF26" s="718">
        <v>33.6</v>
      </c>
      <c r="AG26" s="710">
        <f t="shared" si="2"/>
        <v>36.96</v>
      </c>
      <c r="AH26" s="699">
        <f t="shared" si="3"/>
        <v>40.32</v>
      </c>
      <c r="AI26" s="699">
        <f t="shared" si="4"/>
        <v>50.4</v>
      </c>
      <c r="AJ26" s="699">
        <f t="shared" si="5"/>
        <v>35.28</v>
      </c>
      <c r="AK26" s="699">
        <f t="shared" si="6"/>
        <v>42</v>
      </c>
    </row>
    <row r="27" spans="1:37" ht="24" customHeight="1">
      <c r="A27" s="720">
        <f t="shared" si="7"/>
        <v>20</v>
      </c>
      <c r="B27" s="697" t="s">
        <v>4106</v>
      </c>
      <c r="C27" s="721">
        <f>AE21</f>
        <v>663</v>
      </c>
      <c r="D27" s="722" t="s">
        <v>778</v>
      </c>
      <c r="E27" s="699">
        <f>E26/3</f>
        <v>84.8</v>
      </c>
      <c r="F27" s="710">
        <v>1</v>
      </c>
      <c r="G27" s="708" t="s">
        <v>878</v>
      </c>
      <c r="H27" s="697" t="s">
        <v>883</v>
      </c>
      <c r="I27" s="710">
        <f>(C16)</f>
        <v>100</v>
      </c>
      <c r="J27" s="697" t="s">
        <v>878</v>
      </c>
      <c r="K27" s="710">
        <f>(F27*I27)</f>
        <v>100</v>
      </c>
      <c r="R27" s="705" t="s">
        <v>1609</v>
      </c>
      <c r="T27" s="698" t="s">
        <v>779</v>
      </c>
      <c r="U27" s="697" t="s">
        <v>4710</v>
      </c>
      <c r="V27" s="697" t="s">
        <v>1467</v>
      </c>
      <c r="W27" s="725" t="str">
        <f>W16</f>
        <v>Kunnur</v>
      </c>
      <c r="X27" s="710">
        <f>X16</f>
        <v>28</v>
      </c>
      <c r="Y27" s="718">
        <v>4195</v>
      </c>
      <c r="Z27" s="719">
        <f>'lead  charge'!H10</f>
        <v>229.5</v>
      </c>
      <c r="AA27" s="704"/>
      <c r="AB27" s="702">
        <v>0</v>
      </c>
      <c r="AC27" s="697">
        <f>SUM(Y27+Z27+AA27+AB27)</f>
        <v>4424.5</v>
      </c>
      <c r="AD27" s="697" t="s">
        <v>4908</v>
      </c>
      <c r="AE27" s="710">
        <f t="shared" si="1"/>
        <v>96.6</v>
      </c>
      <c r="AF27" s="718">
        <v>96.6</v>
      </c>
      <c r="AG27" s="710">
        <f t="shared" si="2"/>
        <v>106.26</v>
      </c>
      <c r="AH27" s="699">
        <f t="shared" si="3"/>
        <v>115.92</v>
      </c>
      <c r="AI27" s="699">
        <f t="shared" si="4"/>
        <v>144.9</v>
      </c>
      <c r="AJ27" s="699">
        <f t="shared" si="5"/>
        <v>101.43</v>
      </c>
      <c r="AK27" s="699">
        <f t="shared" si="6"/>
        <v>120.75</v>
      </c>
    </row>
    <row r="28" spans="1:37" ht="24" customHeight="1">
      <c r="A28" s="720">
        <f t="shared" si="7"/>
        <v>21</v>
      </c>
      <c r="B28" s="697" t="s">
        <v>4107</v>
      </c>
      <c r="C28" s="721">
        <f>AE31</f>
        <v>11800</v>
      </c>
      <c r="D28" s="731">
        <f>AE29</f>
        <v>1105</v>
      </c>
      <c r="G28" s="708" t="s">
        <v>450</v>
      </c>
      <c r="H28" s="697" t="s">
        <v>451</v>
      </c>
      <c r="I28" s="697" t="s">
        <v>987</v>
      </c>
      <c r="J28" s="697" t="s">
        <v>450</v>
      </c>
      <c r="K28" s="710">
        <v>0</v>
      </c>
      <c r="O28" s="697" t="s">
        <v>782</v>
      </c>
      <c r="R28" s="710">
        <f>(R26/1.5)</f>
        <v>1786.23</v>
      </c>
      <c r="T28" s="698" t="s">
        <v>2193</v>
      </c>
      <c r="U28" s="697" t="s">
        <v>4711</v>
      </c>
      <c r="V28" s="697" t="s">
        <v>1467</v>
      </c>
      <c r="W28" s="727" t="s">
        <v>1819</v>
      </c>
      <c r="X28" s="710">
        <f>X26</f>
        <v>0</v>
      </c>
      <c r="Y28" s="718">
        <v>11790</v>
      </c>
      <c r="Z28" s="719"/>
      <c r="AA28" s="698"/>
      <c r="AB28" s="702">
        <v>0</v>
      </c>
      <c r="AC28" s="697">
        <f t="shared" si="0"/>
        <v>11790</v>
      </c>
      <c r="AD28" s="697" t="s">
        <v>5203</v>
      </c>
      <c r="AE28" s="710">
        <f t="shared" si="1"/>
        <v>1325</v>
      </c>
      <c r="AF28" s="718">
        <v>1325</v>
      </c>
      <c r="AG28" s="710">
        <f t="shared" si="2"/>
        <v>1457.5</v>
      </c>
      <c r="AH28" s="699">
        <f t="shared" si="3"/>
        <v>1590</v>
      </c>
      <c r="AI28" s="699">
        <f t="shared" si="4"/>
        <v>1987.5</v>
      </c>
      <c r="AJ28" s="699">
        <f t="shared" si="5"/>
        <v>1391.25</v>
      </c>
      <c r="AK28" s="699">
        <f t="shared" si="6"/>
        <v>1656.25</v>
      </c>
    </row>
    <row r="29" spans="1:37" ht="24" customHeight="1">
      <c r="A29" s="720">
        <f t="shared" si="7"/>
        <v>22</v>
      </c>
      <c r="B29" s="697" t="s">
        <v>4108</v>
      </c>
      <c r="C29" s="721">
        <f>AE28</f>
        <v>1325</v>
      </c>
      <c r="D29" s="731">
        <f>AE30</f>
        <v>1239</v>
      </c>
      <c r="K29" s="705" t="s">
        <v>1609</v>
      </c>
      <c r="O29" s="697" t="s">
        <v>248</v>
      </c>
      <c r="R29" s="705" t="s">
        <v>2080</v>
      </c>
      <c r="T29" s="698" t="s">
        <v>20</v>
      </c>
      <c r="U29" s="697" t="s">
        <v>21</v>
      </c>
      <c r="V29" s="697" t="s">
        <v>870</v>
      </c>
      <c r="W29" s="717" t="s">
        <v>1819</v>
      </c>
      <c r="X29" s="710">
        <f>'lead  charge'!D14</f>
        <v>0</v>
      </c>
      <c r="Y29" s="718">
        <v>5960</v>
      </c>
      <c r="Z29" s="719">
        <f>'lead  charge'!E14</f>
        <v>0</v>
      </c>
      <c r="AA29" s="698"/>
      <c r="AB29" s="702"/>
      <c r="AC29" s="697">
        <f>SUM(Y29+Z29+AA29+AB29)</f>
        <v>5960</v>
      </c>
      <c r="AD29" s="697" t="s">
        <v>5204</v>
      </c>
      <c r="AE29" s="710">
        <f t="shared" si="1"/>
        <v>1105</v>
      </c>
      <c r="AF29" s="718">
        <v>1105</v>
      </c>
      <c r="AG29" s="710">
        <f t="shared" si="2"/>
        <v>1215.5</v>
      </c>
      <c r="AH29" s="699">
        <f t="shared" si="3"/>
        <v>1326</v>
      </c>
      <c r="AI29" s="699">
        <f t="shared" si="4"/>
        <v>1657.5</v>
      </c>
      <c r="AJ29" s="699">
        <f t="shared" si="5"/>
        <v>1160.25</v>
      </c>
      <c r="AK29" s="699">
        <f t="shared" si="6"/>
        <v>1381.25</v>
      </c>
    </row>
    <row r="30" spans="1:37" ht="24" customHeight="1">
      <c r="A30" s="720">
        <f t="shared" si="7"/>
        <v>23</v>
      </c>
      <c r="B30" s="697" t="s">
        <v>1822</v>
      </c>
      <c r="C30" s="732">
        <v>2.5</v>
      </c>
      <c r="D30" s="721">
        <f>AE32</f>
        <v>1035</v>
      </c>
      <c r="H30" s="697" t="s">
        <v>1538</v>
      </c>
      <c r="K30" s="709">
        <f>SUM(K25:K28)</f>
        <v>4471.8999999999996</v>
      </c>
      <c r="T30" s="698" t="s">
        <v>1823</v>
      </c>
      <c r="U30" s="697" t="s">
        <v>1824</v>
      </c>
      <c r="V30" s="697" t="s">
        <v>870</v>
      </c>
      <c r="W30" s="717" t="s">
        <v>2290</v>
      </c>
      <c r="X30" s="710">
        <f>'lead  charge'!D15</f>
        <v>0</v>
      </c>
      <c r="Y30" s="718">
        <v>51750</v>
      </c>
      <c r="Z30" s="719">
        <f>Z29</f>
        <v>0</v>
      </c>
      <c r="AA30" s="698"/>
      <c r="AB30" s="702">
        <v>0</v>
      </c>
      <c r="AC30" s="697">
        <f>SUM(Y30+Z30+AA30+AB30)</f>
        <v>51750</v>
      </c>
      <c r="AD30" s="697" t="s">
        <v>5205</v>
      </c>
      <c r="AE30" s="710">
        <f t="shared" si="1"/>
        <v>1239</v>
      </c>
      <c r="AF30" s="718">
        <v>1239</v>
      </c>
      <c r="AG30" s="710">
        <f t="shared" si="2"/>
        <v>1362.9</v>
      </c>
      <c r="AH30" s="699">
        <f t="shared" si="3"/>
        <v>1486.8</v>
      </c>
      <c r="AI30" s="699">
        <f t="shared" si="4"/>
        <v>1858.5</v>
      </c>
      <c r="AJ30" s="699">
        <f t="shared" si="5"/>
        <v>1300.95</v>
      </c>
      <c r="AK30" s="699">
        <f t="shared" si="6"/>
        <v>1548.75</v>
      </c>
    </row>
    <row r="31" spans="1:37" ht="24" customHeight="1">
      <c r="A31" s="720">
        <f t="shared" si="7"/>
        <v>24</v>
      </c>
      <c r="B31" s="697" t="s">
        <v>445</v>
      </c>
      <c r="C31" s="732">
        <v>3.64</v>
      </c>
      <c r="D31" s="721">
        <f>AE33</f>
        <v>925</v>
      </c>
      <c r="K31" s="705" t="s">
        <v>1609</v>
      </c>
      <c r="T31" s="733" t="s">
        <v>446</v>
      </c>
      <c r="U31" s="697" t="s">
        <v>1438</v>
      </c>
      <c r="V31" s="697" t="s">
        <v>870</v>
      </c>
      <c r="W31" s="717" t="s">
        <v>2290</v>
      </c>
      <c r="X31" s="710">
        <f>X30</f>
        <v>0</v>
      </c>
      <c r="Y31" s="718">
        <f>Y30</f>
        <v>51750</v>
      </c>
      <c r="Z31" s="719">
        <f>Z30</f>
        <v>0</v>
      </c>
      <c r="AA31" s="698"/>
      <c r="AB31" s="702">
        <v>0</v>
      </c>
      <c r="AC31" s="697">
        <f t="shared" si="0"/>
        <v>51750</v>
      </c>
      <c r="AD31" s="697" t="s">
        <v>5206</v>
      </c>
      <c r="AE31" s="710">
        <f t="shared" si="1"/>
        <v>11800</v>
      </c>
      <c r="AF31" s="718">
        <v>11800</v>
      </c>
      <c r="AG31" s="710">
        <f t="shared" si="2"/>
        <v>12980</v>
      </c>
      <c r="AH31" s="699">
        <f t="shared" si="3"/>
        <v>14160</v>
      </c>
      <c r="AI31" s="699">
        <f t="shared" si="4"/>
        <v>17700</v>
      </c>
      <c r="AJ31" s="699">
        <f t="shared" si="5"/>
        <v>12390</v>
      </c>
      <c r="AK31" s="699">
        <f t="shared" si="6"/>
        <v>14750</v>
      </c>
    </row>
    <row r="32" spans="1:37" ht="24" customHeight="1">
      <c r="A32" s="720">
        <f t="shared" si="7"/>
        <v>25</v>
      </c>
      <c r="B32" s="697" t="s">
        <v>4720</v>
      </c>
      <c r="C32" s="718">
        <f>47.3*1000</f>
        <v>47300</v>
      </c>
      <c r="D32" s="724">
        <f>C32</f>
        <v>47300</v>
      </c>
      <c r="G32" s="708" t="s">
        <v>2276</v>
      </c>
      <c r="H32" s="697" t="s">
        <v>1327</v>
      </c>
      <c r="N32" s="697" t="s">
        <v>2276</v>
      </c>
      <c r="O32" s="697" t="s">
        <v>1273</v>
      </c>
      <c r="T32" s="733" t="s">
        <v>1440</v>
      </c>
      <c r="U32" s="697" t="s">
        <v>1441</v>
      </c>
      <c r="V32" s="697" t="s">
        <v>1467</v>
      </c>
      <c r="W32" s="725" t="str">
        <f>W16</f>
        <v>Kunnur</v>
      </c>
      <c r="X32" s="710">
        <f>X27</f>
        <v>28</v>
      </c>
      <c r="Y32" s="718">
        <f>Y27</f>
        <v>4195</v>
      </c>
      <c r="Z32" s="719">
        <f>Z27</f>
        <v>229.5</v>
      </c>
      <c r="AA32" s="698"/>
      <c r="AB32" s="702">
        <v>0</v>
      </c>
      <c r="AC32" s="697">
        <f t="shared" si="0"/>
        <v>4424.5</v>
      </c>
      <c r="AD32" s="697" t="s">
        <v>5207</v>
      </c>
      <c r="AE32" s="710">
        <f t="shared" si="1"/>
        <v>1035</v>
      </c>
      <c r="AF32" s="718">
        <v>1035</v>
      </c>
      <c r="AG32" s="710">
        <f t="shared" si="2"/>
        <v>1138.5</v>
      </c>
      <c r="AH32" s="699">
        <f t="shared" si="3"/>
        <v>1242</v>
      </c>
      <c r="AI32" s="699">
        <f t="shared" si="4"/>
        <v>1552.5</v>
      </c>
      <c r="AJ32" s="699">
        <f t="shared" si="5"/>
        <v>1086.75</v>
      </c>
      <c r="AK32" s="699">
        <f t="shared" si="6"/>
        <v>1293.75</v>
      </c>
    </row>
    <row r="33" spans="1:37" ht="24" customHeight="1">
      <c r="A33" s="720">
        <f t="shared" si="7"/>
        <v>26</v>
      </c>
      <c r="B33" s="697" t="s">
        <v>211</v>
      </c>
      <c r="C33" s="721">
        <f>AC36</f>
        <v>375.2</v>
      </c>
      <c r="D33" s="734"/>
      <c r="F33" s="710">
        <v>0.36</v>
      </c>
      <c r="G33" s="708" t="s">
        <v>870</v>
      </c>
      <c r="H33" s="697" t="s">
        <v>871</v>
      </c>
      <c r="I33" s="710">
        <f>C64</f>
        <v>5960</v>
      </c>
      <c r="J33" s="697" t="s">
        <v>870</v>
      </c>
      <c r="K33" s="710">
        <f>(F33*I33)</f>
        <v>2145.6</v>
      </c>
      <c r="O33" s="697" t="s">
        <v>649</v>
      </c>
      <c r="T33" s="698" t="s">
        <v>1442</v>
      </c>
      <c r="U33" s="777" t="s">
        <v>4964</v>
      </c>
      <c r="V33" s="777" t="s">
        <v>875</v>
      </c>
      <c r="W33" s="1212" t="str">
        <f>W9</f>
        <v>Karuthamalai</v>
      </c>
      <c r="X33" s="1213">
        <f>X9</f>
        <v>25</v>
      </c>
      <c r="Y33" s="1214">
        <v>924</v>
      </c>
      <c r="Z33" s="719">
        <f>Z9</f>
        <v>247.5</v>
      </c>
      <c r="AA33" s="698"/>
      <c r="AB33" s="702"/>
      <c r="AC33" s="697">
        <f t="shared" si="0"/>
        <v>1171.5</v>
      </c>
      <c r="AD33" s="697" t="s">
        <v>5208</v>
      </c>
      <c r="AE33" s="710">
        <f t="shared" si="1"/>
        <v>925</v>
      </c>
      <c r="AF33" s="718">
        <v>925</v>
      </c>
      <c r="AG33" s="710">
        <f t="shared" si="2"/>
        <v>1017.5</v>
      </c>
      <c r="AH33" s="699">
        <f t="shared" si="3"/>
        <v>1110</v>
      </c>
      <c r="AI33" s="699">
        <f t="shared" si="4"/>
        <v>1387.5</v>
      </c>
      <c r="AJ33" s="699">
        <f t="shared" si="5"/>
        <v>971.25</v>
      </c>
      <c r="AK33" s="699">
        <f t="shared" si="6"/>
        <v>1156.25</v>
      </c>
    </row>
    <row r="34" spans="1:37" ht="24" customHeight="1">
      <c r="A34" s="734" t="s">
        <v>987</v>
      </c>
      <c r="B34" s="697" t="s">
        <v>4914</v>
      </c>
      <c r="C34" s="724">
        <v>9.3000000000000007</v>
      </c>
      <c r="D34" s="734"/>
      <c r="F34" s="710">
        <v>1</v>
      </c>
      <c r="G34" s="708" t="s">
        <v>878</v>
      </c>
      <c r="H34" s="1165" t="s">
        <v>5354</v>
      </c>
      <c r="I34" s="710">
        <f>AC14</f>
        <v>1511.1</v>
      </c>
      <c r="J34" s="697" t="s">
        <v>878</v>
      </c>
      <c r="K34" s="710">
        <f>(F34*I34)</f>
        <v>1511.1</v>
      </c>
      <c r="O34" s="705" t="s">
        <v>1609</v>
      </c>
      <c r="T34" s="698" t="s">
        <v>228</v>
      </c>
      <c r="U34" s="777" t="s">
        <v>398</v>
      </c>
      <c r="V34" s="777" t="s">
        <v>875</v>
      </c>
      <c r="W34" s="1212" t="str">
        <f t="shared" ref="W34:W35" si="9">W10</f>
        <v>Karuthamalai</v>
      </c>
      <c r="X34" s="1213">
        <f>X9</f>
        <v>25</v>
      </c>
      <c r="Y34" s="1214">
        <f>ROUND((1072+1011)/2,2)</f>
        <v>1041.5</v>
      </c>
      <c r="Z34" s="719">
        <f>Z9</f>
        <v>247.5</v>
      </c>
      <c r="AA34" s="698"/>
      <c r="AB34" s="702">
        <v>0</v>
      </c>
      <c r="AC34" s="697">
        <f t="shared" si="0"/>
        <v>1289</v>
      </c>
      <c r="AD34" s="697" t="s">
        <v>4909</v>
      </c>
      <c r="AE34" s="710">
        <f t="shared" si="1"/>
        <v>143.9</v>
      </c>
      <c r="AF34" s="718">
        <v>143.9</v>
      </c>
      <c r="AG34" s="710">
        <f t="shared" si="2"/>
        <v>158.29</v>
      </c>
      <c r="AH34" s="699">
        <f t="shared" si="3"/>
        <v>172.68</v>
      </c>
      <c r="AI34" s="699">
        <f t="shared" si="4"/>
        <v>215.85</v>
      </c>
      <c r="AJ34" s="699">
        <f t="shared" si="5"/>
        <v>151.1</v>
      </c>
      <c r="AK34" s="699">
        <f t="shared" si="6"/>
        <v>179.88</v>
      </c>
    </row>
    <row r="35" spans="1:37" ht="24" customHeight="1">
      <c r="A35" s="734"/>
      <c r="B35" s="697" t="s">
        <v>4915</v>
      </c>
      <c r="C35" s="735">
        <v>47.8</v>
      </c>
      <c r="D35" s="734"/>
      <c r="F35" s="710">
        <v>1</v>
      </c>
      <c r="G35" s="708" t="s">
        <v>878</v>
      </c>
      <c r="H35" s="697" t="s">
        <v>883</v>
      </c>
      <c r="I35" s="710">
        <f>C16</f>
        <v>100</v>
      </c>
      <c r="J35" s="697" t="s">
        <v>878</v>
      </c>
      <c r="K35" s="710">
        <f>(F35*I35)</f>
        <v>100</v>
      </c>
      <c r="M35" s="710">
        <v>9</v>
      </c>
      <c r="N35" s="697" t="s">
        <v>878</v>
      </c>
      <c r="O35" s="697" t="s">
        <v>649</v>
      </c>
      <c r="P35" s="710">
        <f>(C78)</f>
        <v>875.02</v>
      </c>
      <c r="Q35" s="697" t="s">
        <v>878</v>
      </c>
      <c r="R35" s="710">
        <f>(M35*P35)</f>
        <v>7875.18</v>
      </c>
      <c r="T35" s="698" t="s">
        <v>1698</v>
      </c>
      <c r="U35" s="777" t="s">
        <v>416</v>
      </c>
      <c r="V35" s="777" t="s">
        <v>875</v>
      </c>
      <c r="W35" s="1212" t="str">
        <f t="shared" si="9"/>
        <v>Karuthamalai</v>
      </c>
      <c r="X35" s="1213">
        <f>X34</f>
        <v>25</v>
      </c>
      <c r="Y35" s="1214">
        <f>ROUND((640+781+1050+1050)/4,2)</f>
        <v>880.25</v>
      </c>
      <c r="Z35" s="719">
        <f>Z9</f>
        <v>247.5</v>
      </c>
      <c r="AA35" s="698"/>
      <c r="AB35" s="702">
        <v>0</v>
      </c>
      <c r="AC35" s="697">
        <f>SUM(Y35+Z35+AA35+AB35)</f>
        <v>1127.75</v>
      </c>
      <c r="AD35" s="697" t="s">
        <v>5209</v>
      </c>
      <c r="AE35" s="710">
        <f t="shared" si="1"/>
        <v>747</v>
      </c>
      <c r="AF35" s="718">
        <v>747</v>
      </c>
      <c r="AG35" s="710">
        <f t="shared" si="2"/>
        <v>821.7</v>
      </c>
      <c r="AH35" s="699">
        <f t="shared" si="3"/>
        <v>896.4</v>
      </c>
      <c r="AI35" s="699">
        <f t="shared" si="4"/>
        <v>1120.5</v>
      </c>
      <c r="AJ35" s="699">
        <f t="shared" si="5"/>
        <v>784.35</v>
      </c>
      <c r="AK35" s="699">
        <f t="shared" si="6"/>
        <v>933.75</v>
      </c>
    </row>
    <row r="36" spans="1:37" ht="24" customHeight="1">
      <c r="A36" s="720">
        <f>(A33+1)</f>
        <v>27</v>
      </c>
      <c r="B36" s="697" t="s">
        <v>1699</v>
      </c>
      <c r="C36" s="732">
        <v>40</v>
      </c>
      <c r="D36" s="722" t="s">
        <v>877</v>
      </c>
      <c r="G36" s="708" t="s">
        <v>450</v>
      </c>
      <c r="H36" s="697" t="s">
        <v>451</v>
      </c>
      <c r="I36" s="697" t="s">
        <v>987</v>
      </c>
      <c r="J36" s="697" t="s">
        <v>450</v>
      </c>
      <c r="K36" s="710">
        <v>0</v>
      </c>
      <c r="M36" s="710">
        <v>4.5</v>
      </c>
      <c r="N36" s="697" t="s">
        <v>878</v>
      </c>
      <c r="O36" s="697" t="s">
        <v>1657</v>
      </c>
      <c r="P36" s="710">
        <f>(K74)</f>
        <v>2683.9</v>
      </c>
      <c r="Q36" s="697" t="s">
        <v>878</v>
      </c>
      <c r="R36" s="710">
        <f>(M36*P36)</f>
        <v>12077.55</v>
      </c>
      <c r="T36" s="698" t="s">
        <v>210</v>
      </c>
      <c r="U36" s="697" t="s">
        <v>4712</v>
      </c>
      <c r="V36" s="697" t="s">
        <v>875</v>
      </c>
      <c r="W36" s="717" t="s">
        <v>6442</v>
      </c>
      <c r="X36" s="710">
        <f>'lead  charge'!D13</f>
        <v>15</v>
      </c>
      <c r="Y36" s="736">
        <v>216.3</v>
      </c>
      <c r="Z36" s="719">
        <f>'lead  charge'!E13</f>
        <v>158.9</v>
      </c>
      <c r="AA36" s="698"/>
      <c r="AB36" s="702">
        <v>0</v>
      </c>
      <c r="AC36" s="697">
        <f>SUM(Y36+Z36+AA36+AB36)</f>
        <v>375.2</v>
      </c>
      <c r="AD36" s="697" t="s">
        <v>5210</v>
      </c>
      <c r="AE36" s="710">
        <f t="shared" si="1"/>
        <v>724</v>
      </c>
      <c r="AF36" s="718">
        <v>724</v>
      </c>
      <c r="AG36" s="710">
        <f t="shared" si="2"/>
        <v>796.4</v>
      </c>
      <c r="AH36" s="699">
        <f t="shared" si="3"/>
        <v>868.8</v>
      </c>
      <c r="AI36" s="699">
        <f t="shared" si="4"/>
        <v>1086</v>
      </c>
      <c r="AJ36" s="699">
        <f t="shared" si="5"/>
        <v>760.2</v>
      </c>
      <c r="AK36" s="699">
        <f t="shared" si="6"/>
        <v>905</v>
      </c>
    </row>
    <row r="37" spans="1:37" ht="44.25" customHeight="1">
      <c r="A37" s="720" t="e">
        <f>(#REF!+1)</f>
        <v>#REF!</v>
      </c>
      <c r="B37" s="697" t="s">
        <v>1027</v>
      </c>
      <c r="C37" s="732">
        <v>28</v>
      </c>
      <c r="D37" s="737">
        <v>116.2</v>
      </c>
      <c r="H37" s="697" t="s">
        <v>1538</v>
      </c>
      <c r="K37" s="709">
        <f>SUM(K33:K36)</f>
        <v>3756.7</v>
      </c>
      <c r="M37" s="710">
        <v>17.7</v>
      </c>
      <c r="N37" s="697" t="s">
        <v>877</v>
      </c>
      <c r="O37" s="697" t="s">
        <v>1927</v>
      </c>
      <c r="P37" s="710">
        <f>(C10)</f>
        <v>562</v>
      </c>
      <c r="Q37" s="697" t="s">
        <v>877</v>
      </c>
      <c r="R37" s="710">
        <f>(M37*P37)</f>
        <v>9947.4</v>
      </c>
      <c r="T37" s="705"/>
      <c r="W37" s="705" t="s">
        <v>1609</v>
      </c>
      <c r="Z37" s="728"/>
      <c r="AE37" s="710"/>
      <c r="AG37" s="710"/>
    </row>
    <row r="38" spans="1:37" ht="24" customHeight="1">
      <c r="A38" s="720" t="e">
        <f t="shared" ref="A38:A55" si="10">(A37+1)</f>
        <v>#REF!</v>
      </c>
      <c r="B38" s="697" t="s">
        <v>1794</v>
      </c>
      <c r="C38" s="721">
        <f>AE20</f>
        <v>637</v>
      </c>
      <c r="D38" s="722" t="s">
        <v>778</v>
      </c>
      <c r="K38" s="705" t="s">
        <v>1609</v>
      </c>
      <c r="M38" s="710">
        <v>14.1</v>
      </c>
      <c r="N38" s="697" t="s">
        <v>877</v>
      </c>
      <c r="O38" s="697" t="s">
        <v>321</v>
      </c>
      <c r="P38" s="710">
        <f>(C11)</f>
        <v>461</v>
      </c>
      <c r="Q38" s="697" t="s">
        <v>877</v>
      </c>
      <c r="R38" s="710">
        <f>(M38*P38)</f>
        <v>6500.1</v>
      </c>
      <c r="U38" s="697" t="s">
        <v>4713</v>
      </c>
      <c r="V38" s="697" t="s">
        <v>1467</v>
      </c>
      <c r="W38" s="697" t="str">
        <f>W32</f>
        <v>Kunnur</v>
      </c>
      <c r="X38" s="710">
        <f>'lead  charge'!M10</f>
        <v>10</v>
      </c>
      <c r="Y38" s="718">
        <v>6435</v>
      </c>
      <c r="Z38" s="719">
        <f>'lead  charge'!N10</f>
        <v>156.4</v>
      </c>
      <c r="AA38" s="698">
        <v>0</v>
      </c>
      <c r="AB38" s="702">
        <v>0</v>
      </c>
      <c r="AC38" s="697">
        <f t="shared" ref="AC38:AC44" si="11">SUM(Y38+Z38+AA38+AB38)</f>
        <v>6591.4</v>
      </c>
      <c r="AD38" s="738" t="s">
        <v>4963</v>
      </c>
      <c r="AE38" s="710">
        <f t="shared" ref="AE38:AE55" si="12">AJ38</f>
        <v>71.400000000000006</v>
      </c>
      <c r="AF38" s="718">
        <v>68</v>
      </c>
      <c r="AG38" s="710">
        <f t="shared" si="2"/>
        <v>74.8</v>
      </c>
      <c r="AH38" s="699">
        <f t="shared" si="3"/>
        <v>81.599999999999994</v>
      </c>
      <c r="AI38" s="699">
        <f t="shared" si="4"/>
        <v>102</v>
      </c>
      <c r="AJ38" s="699">
        <f t="shared" si="5"/>
        <v>71.400000000000006</v>
      </c>
      <c r="AK38" s="699">
        <f t="shared" si="6"/>
        <v>85</v>
      </c>
    </row>
    <row r="39" spans="1:37" ht="24" customHeight="1">
      <c r="A39" s="720" t="e">
        <f t="shared" si="10"/>
        <v>#REF!</v>
      </c>
      <c r="B39" s="697" t="s">
        <v>1795</v>
      </c>
      <c r="C39" s="732">
        <v>5</v>
      </c>
      <c r="D39" s="739" t="s">
        <v>1796</v>
      </c>
      <c r="G39" s="708" t="s">
        <v>2276</v>
      </c>
      <c r="H39" s="697" t="s">
        <v>1650</v>
      </c>
      <c r="N39" s="697" t="s">
        <v>450</v>
      </c>
      <c r="O39" s="697" t="s">
        <v>451</v>
      </c>
      <c r="Q39" s="697" t="s">
        <v>450</v>
      </c>
      <c r="R39" s="710">
        <v>0</v>
      </c>
      <c r="U39" s="697" t="s">
        <v>4714</v>
      </c>
      <c r="V39" s="697" t="s">
        <v>1467</v>
      </c>
      <c r="W39" s="697" t="str">
        <f>W38</f>
        <v>Kunnur</v>
      </c>
      <c r="X39" s="710">
        <f>X38</f>
        <v>10</v>
      </c>
      <c r="Y39" s="718">
        <v>6630</v>
      </c>
      <c r="Z39" s="719">
        <f>Z38</f>
        <v>156.4</v>
      </c>
      <c r="AA39" s="698">
        <v>0</v>
      </c>
      <c r="AB39" s="702">
        <v>0</v>
      </c>
      <c r="AC39" s="697">
        <f t="shared" si="11"/>
        <v>6786.4</v>
      </c>
      <c r="AD39" s="738" t="s">
        <v>374</v>
      </c>
      <c r="AE39" s="710">
        <f t="shared" si="12"/>
        <v>144.06</v>
      </c>
      <c r="AF39" s="718">
        <v>137.19999999999999</v>
      </c>
      <c r="AG39" s="710">
        <f t="shared" si="2"/>
        <v>150.91999999999999</v>
      </c>
      <c r="AH39" s="699">
        <f t="shared" si="3"/>
        <v>164.64</v>
      </c>
      <c r="AI39" s="699">
        <f t="shared" si="4"/>
        <v>205.8</v>
      </c>
      <c r="AJ39" s="699">
        <f t="shared" si="5"/>
        <v>144.06</v>
      </c>
      <c r="AK39" s="699">
        <f t="shared" si="6"/>
        <v>171.5</v>
      </c>
    </row>
    <row r="40" spans="1:37" ht="24" customHeight="1">
      <c r="A40" s="720" t="e">
        <f t="shared" si="10"/>
        <v>#REF!</v>
      </c>
      <c r="B40" s="697" t="s">
        <v>4916</v>
      </c>
      <c r="C40" s="718">
        <v>8.1</v>
      </c>
      <c r="D40" s="739" t="s">
        <v>778</v>
      </c>
      <c r="H40" s="705" t="s">
        <v>1609</v>
      </c>
      <c r="R40" s="705" t="s">
        <v>1609</v>
      </c>
      <c r="U40" s="697" t="s">
        <v>4715</v>
      </c>
      <c r="V40" s="697" t="s">
        <v>2176</v>
      </c>
      <c r="W40" s="699" t="str">
        <f>W9</f>
        <v>Karuthamalai</v>
      </c>
      <c r="X40" s="699">
        <f>'lead  charge'!P13</f>
        <v>25</v>
      </c>
      <c r="Y40" s="718">
        <v>122.5</v>
      </c>
      <c r="Z40" s="719">
        <f>'lead  charge'!Q13</f>
        <v>170.1</v>
      </c>
      <c r="AA40" s="698">
        <v>0</v>
      </c>
      <c r="AB40" s="702">
        <v>0</v>
      </c>
      <c r="AC40" s="697">
        <f t="shared" si="11"/>
        <v>292.60000000000002</v>
      </c>
      <c r="AD40" s="738" t="s">
        <v>2287</v>
      </c>
      <c r="AE40" s="710">
        <f t="shared" si="12"/>
        <v>144.06</v>
      </c>
      <c r="AF40" s="718">
        <f>AF39</f>
        <v>137.19999999999999</v>
      </c>
      <c r="AG40" s="710">
        <f t="shared" si="2"/>
        <v>150.91999999999999</v>
      </c>
      <c r="AH40" s="699">
        <f t="shared" si="3"/>
        <v>164.64</v>
      </c>
      <c r="AI40" s="699">
        <f t="shared" si="4"/>
        <v>205.8</v>
      </c>
      <c r="AJ40" s="699">
        <f t="shared" si="5"/>
        <v>144.06</v>
      </c>
      <c r="AK40" s="699">
        <f t="shared" si="6"/>
        <v>171.5</v>
      </c>
    </row>
    <row r="41" spans="1:37" ht="24" customHeight="1">
      <c r="A41" s="720" t="e">
        <f t="shared" si="10"/>
        <v>#REF!</v>
      </c>
      <c r="B41" s="697" t="s">
        <v>260</v>
      </c>
      <c r="C41" s="718">
        <v>7.1</v>
      </c>
      <c r="D41" s="739" t="s">
        <v>778</v>
      </c>
      <c r="F41" s="740">
        <v>0.28799999999999998</v>
      </c>
      <c r="G41" s="708" t="s">
        <v>870</v>
      </c>
      <c r="H41" s="697" t="s">
        <v>871</v>
      </c>
      <c r="I41" s="710">
        <f>(C64)</f>
        <v>5960</v>
      </c>
      <c r="J41" s="697" t="s">
        <v>870</v>
      </c>
      <c r="K41" s="710">
        <f>(F41*I41)</f>
        <v>1716.48</v>
      </c>
      <c r="O41" s="697" t="s">
        <v>620</v>
      </c>
      <c r="R41" s="710">
        <f>SUM(R35:R39)</f>
        <v>36400.230000000003</v>
      </c>
      <c r="U41" s="697" t="s">
        <v>4716</v>
      </c>
      <c r="V41" s="697" t="s">
        <v>2176</v>
      </c>
      <c r="W41" s="699" t="str">
        <f>W40</f>
        <v>Karuthamalai</v>
      </c>
      <c r="X41" s="699">
        <f>X9</f>
        <v>25</v>
      </c>
      <c r="Y41" s="718">
        <f>ROUND((661+977)/2,2)</f>
        <v>819</v>
      </c>
      <c r="Z41" s="719">
        <f>Z9</f>
        <v>247.5</v>
      </c>
      <c r="AA41" s="698">
        <v>0</v>
      </c>
      <c r="AB41" s="702">
        <v>0</v>
      </c>
      <c r="AC41" s="697">
        <f t="shared" si="11"/>
        <v>1066.5</v>
      </c>
      <c r="AD41" s="738" t="s">
        <v>4910</v>
      </c>
      <c r="AE41" s="710">
        <f t="shared" si="12"/>
        <v>108.47</v>
      </c>
      <c r="AF41" s="718">
        <v>103.3</v>
      </c>
      <c r="AG41" s="710">
        <f t="shared" si="2"/>
        <v>113.63</v>
      </c>
      <c r="AH41" s="699">
        <f t="shared" si="3"/>
        <v>123.96</v>
      </c>
      <c r="AI41" s="699">
        <f t="shared" si="4"/>
        <v>154.94999999999999</v>
      </c>
      <c r="AJ41" s="699">
        <f t="shared" si="5"/>
        <v>108.47</v>
      </c>
      <c r="AK41" s="699">
        <f t="shared" si="6"/>
        <v>129.13</v>
      </c>
    </row>
    <row r="42" spans="1:37" ht="24" customHeight="1">
      <c r="A42" s="720" t="e">
        <f t="shared" si="10"/>
        <v>#REF!</v>
      </c>
      <c r="B42" s="697" t="s">
        <v>1937</v>
      </c>
      <c r="C42" s="718">
        <v>9.6999999999999993</v>
      </c>
      <c r="D42" s="739" t="s">
        <v>778</v>
      </c>
      <c r="F42" s="710">
        <v>1</v>
      </c>
      <c r="G42" s="708" t="s">
        <v>878</v>
      </c>
      <c r="H42" s="1165" t="s">
        <v>5354</v>
      </c>
      <c r="I42" s="710">
        <f>I34</f>
        <v>1511.1</v>
      </c>
      <c r="J42" s="697" t="s">
        <v>878</v>
      </c>
      <c r="K42" s="710">
        <f>(F42*I42)</f>
        <v>1511.1</v>
      </c>
      <c r="R42" s="705" t="s">
        <v>1609</v>
      </c>
      <c r="U42" s="697" t="s">
        <v>4717</v>
      </c>
      <c r="W42" s="699" t="str">
        <f>W38</f>
        <v>Kunnur</v>
      </c>
      <c r="X42" s="699">
        <f>'lead  charge'!M10</f>
        <v>10</v>
      </c>
      <c r="Y42" s="718">
        <v>6435</v>
      </c>
      <c r="Z42" s="728">
        <f>Z38</f>
        <v>156.4</v>
      </c>
      <c r="AC42" s="697">
        <f t="shared" si="11"/>
        <v>6591.4</v>
      </c>
      <c r="AD42" s="738" t="s">
        <v>285</v>
      </c>
      <c r="AE42" s="710">
        <f t="shared" si="12"/>
        <v>213.68</v>
      </c>
      <c r="AF42" s="718">
        <v>203.5</v>
      </c>
      <c r="AG42" s="710">
        <f t="shared" si="2"/>
        <v>223.85</v>
      </c>
      <c r="AH42" s="699">
        <f t="shared" si="3"/>
        <v>244.2</v>
      </c>
      <c r="AI42" s="699">
        <f t="shared" si="4"/>
        <v>305.25</v>
      </c>
      <c r="AJ42" s="699">
        <f t="shared" si="5"/>
        <v>213.68</v>
      </c>
      <c r="AK42" s="699">
        <f t="shared" si="6"/>
        <v>254.38</v>
      </c>
    </row>
    <row r="43" spans="1:37" ht="24" customHeight="1">
      <c r="A43" s="720" t="e">
        <f t="shared" si="10"/>
        <v>#REF!</v>
      </c>
      <c r="B43" s="697" t="s">
        <v>78</v>
      </c>
      <c r="C43" s="718">
        <v>11.7</v>
      </c>
      <c r="D43" s="739" t="s">
        <v>778</v>
      </c>
      <c r="F43" s="710">
        <v>1</v>
      </c>
      <c r="G43" s="708" t="s">
        <v>878</v>
      </c>
      <c r="H43" s="697" t="s">
        <v>883</v>
      </c>
      <c r="I43" s="710">
        <f>(C16)</f>
        <v>100</v>
      </c>
      <c r="J43" s="697" t="s">
        <v>878</v>
      </c>
      <c r="K43" s="710">
        <f>(F43*I43)</f>
        <v>100</v>
      </c>
      <c r="U43" s="1165" t="s">
        <v>5362</v>
      </c>
      <c r="V43" s="697" t="s">
        <v>875</v>
      </c>
      <c r="W43" s="697"/>
      <c r="X43" s="710">
        <f>'lead  charge'!D11</f>
        <v>23</v>
      </c>
      <c r="Y43" s="723">
        <v>1280</v>
      </c>
      <c r="Z43" s="719">
        <f>'lead  charge'!E11</f>
        <v>231.1</v>
      </c>
      <c r="AA43" s="698"/>
      <c r="AB43" s="702">
        <v>0</v>
      </c>
      <c r="AC43" s="697">
        <f t="shared" si="11"/>
        <v>1511.1</v>
      </c>
      <c r="AD43" s="738" t="s">
        <v>840</v>
      </c>
      <c r="AE43" s="710">
        <f t="shared" si="12"/>
        <v>213.68</v>
      </c>
      <c r="AF43" s="718">
        <f>AF42</f>
        <v>203.5</v>
      </c>
      <c r="AG43" s="710">
        <f t="shared" si="2"/>
        <v>223.85</v>
      </c>
      <c r="AH43" s="699">
        <f t="shared" si="3"/>
        <v>244.2</v>
      </c>
      <c r="AI43" s="699">
        <f t="shared" si="4"/>
        <v>305.25</v>
      </c>
      <c r="AJ43" s="699">
        <f t="shared" si="5"/>
        <v>213.68</v>
      </c>
      <c r="AK43" s="699">
        <f t="shared" si="6"/>
        <v>254.38</v>
      </c>
    </row>
    <row r="44" spans="1:37" ht="24" customHeight="1">
      <c r="A44" s="720" t="e">
        <f t="shared" si="10"/>
        <v>#REF!</v>
      </c>
      <c r="B44" s="697" t="s">
        <v>80</v>
      </c>
      <c r="C44" s="718">
        <v>15.8</v>
      </c>
      <c r="D44" s="739" t="s">
        <v>778</v>
      </c>
      <c r="G44" s="708" t="s">
        <v>450</v>
      </c>
      <c r="H44" s="697" t="s">
        <v>451</v>
      </c>
      <c r="I44" s="697" t="s">
        <v>987</v>
      </c>
      <c r="J44" s="697" t="s">
        <v>450</v>
      </c>
      <c r="K44" s="710">
        <v>0</v>
      </c>
      <c r="O44" s="697" t="s">
        <v>782</v>
      </c>
      <c r="R44" s="710">
        <f>(R41/10)</f>
        <v>3640.02</v>
      </c>
      <c r="U44" s="1165" t="s">
        <v>5363</v>
      </c>
      <c r="V44" s="697" t="s">
        <v>875</v>
      </c>
      <c r="W44" s="697"/>
      <c r="X44" s="710">
        <f>X43</f>
        <v>23</v>
      </c>
      <c r="Y44" s="723">
        <f>Y43</f>
        <v>1280</v>
      </c>
      <c r="Z44" s="719">
        <f>Z43</f>
        <v>231.1</v>
      </c>
      <c r="AA44" s="698"/>
      <c r="AB44" s="702">
        <v>0</v>
      </c>
      <c r="AC44" s="697">
        <f t="shared" si="11"/>
        <v>1511.1</v>
      </c>
      <c r="AD44" s="741"/>
      <c r="AE44" s="710">
        <f t="shared" si="12"/>
        <v>0</v>
      </c>
      <c r="AF44" s="710"/>
      <c r="AG44" s="710">
        <f t="shared" si="2"/>
        <v>0</v>
      </c>
      <c r="AH44" s="699">
        <f t="shared" si="3"/>
        <v>0</v>
      </c>
      <c r="AI44" s="699">
        <f t="shared" si="4"/>
        <v>0</v>
      </c>
      <c r="AJ44" s="699">
        <f t="shared" si="5"/>
        <v>0</v>
      </c>
      <c r="AK44" s="699">
        <f t="shared" si="6"/>
        <v>0</v>
      </c>
    </row>
    <row r="45" spans="1:37" ht="24" customHeight="1">
      <c r="A45" s="720" t="e">
        <f t="shared" si="10"/>
        <v>#REF!</v>
      </c>
      <c r="B45" s="697" t="s">
        <v>1274</v>
      </c>
      <c r="C45" s="718">
        <v>20.3</v>
      </c>
      <c r="D45" s="718">
        <v>35.6</v>
      </c>
      <c r="K45" s="705" t="s">
        <v>1609</v>
      </c>
      <c r="R45" s="705" t="s">
        <v>2080</v>
      </c>
      <c r="U45" s="705" t="s">
        <v>1609</v>
      </c>
      <c r="V45" s="705" t="s">
        <v>1609</v>
      </c>
      <c r="W45" s="705" t="s">
        <v>1609</v>
      </c>
      <c r="X45" s="705" t="s">
        <v>1609</v>
      </c>
      <c r="Y45" s="705" t="s">
        <v>1609</v>
      </c>
      <c r="Z45" s="719" t="s">
        <v>1609</v>
      </c>
      <c r="AA45" s="705" t="s">
        <v>1609</v>
      </c>
      <c r="AB45" s="705" t="s">
        <v>1609</v>
      </c>
      <c r="AC45" s="705" t="s">
        <v>1609</v>
      </c>
      <c r="AD45" s="742" t="s">
        <v>1609</v>
      </c>
      <c r="AE45" s="710">
        <f t="shared" si="12"/>
        <v>0</v>
      </c>
      <c r="AF45" s="705" t="s">
        <v>1609</v>
      </c>
      <c r="AG45" s="705" t="s">
        <v>1609</v>
      </c>
      <c r="AH45" s="705" t="s">
        <v>1609</v>
      </c>
      <c r="AI45" s="705" t="s">
        <v>1609</v>
      </c>
      <c r="AJ45" s="699">
        <f t="shared" si="5"/>
        <v>0</v>
      </c>
      <c r="AK45" s="705" t="s">
        <v>1609</v>
      </c>
    </row>
    <row r="46" spans="1:37" ht="24" customHeight="1">
      <c r="A46" s="720" t="e">
        <f t="shared" si="10"/>
        <v>#REF!</v>
      </c>
      <c r="B46" s="697" t="s">
        <v>1731</v>
      </c>
      <c r="C46" s="718">
        <v>22</v>
      </c>
      <c r="D46" s="718">
        <v>25</v>
      </c>
      <c r="H46" s="697" t="s">
        <v>1538</v>
      </c>
      <c r="K46" s="709">
        <f>SUM(K41:K44)</f>
        <v>3327.58</v>
      </c>
      <c r="N46" s="697" t="s">
        <v>2276</v>
      </c>
      <c r="O46" s="697" t="s">
        <v>1377</v>
      </c>
      <c r="Z46" s="728"/>
      <c r="AD46" s="738" t="s">
        <v>4911</v>
      </c>
      <c r="AE46" s="710">
        <f t="shared" si="12"/>
        <v>3.83</v>
      </c>
      <c r="AF46" s="718">
        <v>3.65</v>
      </c>
      <c r="AG46" s="710">
        <f t="shared" si="2"/>
        <v>4.0199999999999996</v>
      </c>
      <c r="AH46" s="699">
        <f t="shared" si="3"/>
        <v>4.38</v>
      </c>
      <c r="AI46" s="699">
        <f t="shared" si="4"/>
        <v>5.48</v>
      </c>
      <c r="AJ46" s="699">
        <f t="shared" si="5"/>
        <v>3.83</v>
      </c>
      <c r="AK46" s="699">
        <f t="shared" si="6"/>
        <v>4.5599999999999996</v>
      </c>
    </row>
    <row r="47" spans="1:37" ht="24" customHeight="1">
      <c r="A47" s="720" t="e">
        <f t="shared" si="10"/>
        <v>#REF!</v>
      </c>
      <c r="B47" s="697" t="s">
        <v>4109</v>
      </c>
      <c r="C47" s="718">
        <v>11.5</v>
      </c>
      <c r="D47" s="739" t="s">
        <v>778</v>
      </c>
      <c r="K47" s="705" t="s">
        <v>1609</v>
      </c>
      <c r="O47" s="697" t="s">
        <v>1509</v>
      </c>
      <c r="Z47" s="728"/>
      <c r="AD47" s="738" t="s">
        <v>4728</v>
      </c>
      <c r="AE47" s="710">
        <f t="shared" si="12"/>
        <v>4.83</v>
      </c>
      <c r="AF47" s="718">
        <v>4.5999999999999996</v>
      </c>
      <c r="AG47" s="710">
        <f t="shared" si="2"/>
        <v>5.0599999999999996</v>
      </c>
      <c r="AH47" s="699">
        <f t="shared" si="3"/>
        <v>5.52</v>
      </c>
      <c r="AI47" s="699">
        <f t="shared" si="4"/>
        <v>6.9</v>
      </c>
      <c r="AJ47" s="699">
        <f t="shared" si="5"/>
        <v>4.83</v>
      </c>
      <c r="AK47" s="699">
        <f t="shared" si="6"/>
        <v>5.75</v>
      </c>
    </row>
    <row r="48" spans="1:37" ht="24" customHeight="1">
      <c r="A48" s="720" t="e">
        <f t="shared" si="10"/>
        <v>#REF!</v>
      </c>
      <c r="B48" s="697" t="s">
        <v>1655</v>
      </c>
      <c r="C48" s="718">
        <v>11.7</v>
      </c>
      <c r="D48" s="739" t="s">
        <v>778</v>
      </c>
      <c r="G48" s="708" t="s">
        <v>2276</v>
      </c>
      <c r="H48" s="697" t="s">
        <v>1656</v>
      </c>
      <c r="O48" s="705" t="s">
        <v>1609</v>
      </c>
      <c r="Z48" s="728"/>
      <c r="AD48" s="738" t="s">
        <v>5101</v>
      </c>
      <c r="AE48" s="710">
        <f t="shared" si="12"/>
        <v>0</v>
      </c>
      <c r="AF48" s="718"/>
      <c r="AG48" s="710"/>
    </row>
    <row r="49" spans="1:45" ht="24" customHeight="1">
      <c r="A49" s="720" t="e">
        <f t="shared" si="10"/>
        <v>#REF!</v>
      </c>
      <c r="B49" s="697" t="s">
        <v>1736</v>
      </c>
      <c r="C49" s="718">
        <v>24.2</v>
      </c>
      <c r="D49" s="739" t="s">
        <v>778</v>
      </c>
      <c r="H49" s="705" t="s">
        <v>1609</v>
      </c>
      <c r="M49" s="731">
        <v>9</v>
      </c>
      <c r="N49" s="743" t="s">
        <v>878</v>
      </c>
      <c r="O49" s="743" t="s">
        <v>1509</v>
      </c>
      <c r="P49" s="731">
        <f>(C70)</f>
        <v>1679.5</v>
      </c>
      <c r="Q49" s="743" t="s">
        <v>878</v>
      </c>
      <c r="R49" s="731">
        <f>(M49*P49)</f>
        <v>15115.5</v>
      </c>
      <c r="Z49" s="728"/>
      <c r="AD49" s="738" t="s">
        <v>5103</v>
      </c>
      <c r="AE49" s="710">
        <f t="shared" si="12"/>
        <v>194.25</v>
      </c>
      <c r="AF49" s="744">
        <v>185</v>
      </c>
      <c r="AG49" s="710">
        <f t="shared" ref="AG49:AG55" si="13">AF49*1.1</f>
        <v>203.5</v>
      </c>
      <c r="AH49" s="699">
        <f>AF49*1.2</f>
        <v>222</v>
      </c>
      <c r="AI49" s="699">
        <f>AF49*1.5</f>
        <v>277.5</v>
      </c>
      <c r="AJ49" s="699">
        <f>AF49*1.05</f>
        <v>194.25</v>
      </c>
      <c r="AK49" s="699">
        <f t="shared" ref="AK49:AK55" si="14">AF49*1.25</f>
        <v>231.25</v>
      </c>
    </row>
    <row r="50" spans="1:45" ht="24" customHeight="1">
      <c r="A50" s="720" t="e">
        <f t="shared" si="10"/>
        <v>#REF!</v>
      </c>
      <c r="B50" s="697" t="s">
        <v>1926</v>
      </c>
      <c r="C50" s="718">
        <v>32.700000000000003</v>
      </c>
      <c r="D50" s="718">
        <v>71.7</v>
      </c>
      <c r="F50" s="710">
        <v>0.24</v>
      </c>
      <c r="G50" s="708" t="s">
        <v>870</v>
      </c>
      <c r="H50" s="697" t="s">
        <v>871</v>
      </c>
      <c r="I50" s="710">
        <f>(C64)</f>
        <v>5960</v>
      </c>
      <c r="J50" s="697" t="s">
        <v>870</v>
      </c>
      <c r="K50" s="710">
        <f>(F50*I50)</f>
        <v>1430.4</v>
      </c>
      <c r="M50" s="710">
        <v>4.5</v>
      </c>
      <c r="N50" s="697" t="s">
        <v>878</v>
      </c>
      <c r="O50" s="697" t="s">
        <v>121</v>
      </c>
      <c r="P50" s="710">
        <f>(K21)</f>
        <v>5902.3</v>
      </c>
      <c r="Q50" s="697" t="s">
        <v>878</v>
      </c>
      <c r="R50" s="710">
        <f>(M50*P50)</f>
        <v>26560.35</v>
      </c>
      <c r="Z50" s="728"/>
      <c r="AD50" s="738" t="s">
        <v>5102</v>
      </c>
      <c r="AE50" s="710">
        <f t="shared" si="12"/>
        <v>299.25</v>
      </c>
      <c r="AF50" s="744">
        <v>285</v>
      </c>
      <c r="AG50" s="710">
        <f t="shared" si="13"/>
        <v>313.5</v>
      </c>
      <c r="AH50" s="699">
        <f>AF50*1.2</f>
        <v>342</v>
      </c>
      <c r="AI50" s="699">
        <f>AF50*1.5</f>
        <v>427.5</v>
      </c>
      <c r="AJ50" s="699">
        <f>AF50*1.05</f>
        <v>299.25</v>
      </c>
      <c r="AK50" s="699">
        <f t="shared" si="14"/>
        <v>356.25</v>
      </c>
    </row>
    <row r="51" spans="1:45" ht="24" customHeight="1">
      <c r="A51" s="720" t="e">
        <f t="shared" si="10"/>
        <v>#REF!</v>
      </c>
      <c r="B51" s="697" t="s">
        <v>320</v>
      </c>
      <c r="C51" s="718">
        <v>36.799999999999997</v>
      </c>
      <c r="D51" s="718">
        <v>54.1</v>
      </c>
      <c r="F51" s="710">
        <v>1</v>
      </c>
      <c r="G51" s="708" t="s">
        <v>878</v>
      </c>
      <c r="H51" s="1165" t="s">
        <v>5354</v>
      </c>
      <c r="I51" s="710">
        <f>(C75)</f>
        <v>1511.1</v>
      </c>
      <c r="J51" s="697" t="s">
        <v>878</v>
      </c>
      <c r="K51" s="710">
        <f>(F51*I51)</f>
        <v>1511.1</v>
      </c>
      <c r="M51" s="710">
        <v>1.8</v>
      </c>
      <c r="N51" s="697" t="s">
        <v>877</v>
      </c>
      <c r="O51" s="697" t="s">
        <v>1737</v>
      </c>
      <c r="P51" s="710">
        <f>(C9)</f>
        <v>804</v>
      </c>
      <c r="Q51" s="697" t="s">
        <v>877</v>
      </c>
      <c r="R51" s="710">
        <f>(M51*P51)</f>
        <v>1447.2</v>
      </c>
      <c r="Z51" s="728"/>
      <c r="AD51" s="738" t="s">
        <v>5112</v>
      </c>
      <c r="AE51" s="710">
        <f t="shared" si="12"/>
        <v>8.3000000000000007</v>
      </c>
      <c r="AF51" s="744">
        <v>7.9</v>
      </c>
      <c r="AG51" s="710">
        <f t="shared" si="13"/>
        <v>8.69</v>
      </c>
      <c r="AH51" s="699">
        <f>AF51*1.2</f>
        <v>9.48</v>
      </c>
      <c r="AI51" s="699">
        <f>AF51*1.5</f>
        <v>11.85</v>
      </c>
      <c r="AJ51" s="699">
        <f>AF51*1.05</f>
        <v>8.3000000000000007</v>
      </c>
      <c r="AK51" s="699">
        <f t="shared" si="14"/>
        <v>9.8800000000000008</v>
      </c>
    </row>
    <row r="52" spans="1:45" ht="24" customHeight="1">
      <c r="A52" s="720" t="e">
        <f t="shared" si="10"/>
        <v>#REF!</v>
      </c>
      <c r="B52" s="697" t="s">
        <v>323</v>
      </c>
      <c r="C52" s="718">
        <v>40.9</v>
      </c>
      <c r="D52" s="718">
        <v>43</v>
      </c>
      <c r="F52" s="710">
        <v>1</v>
      </c>
      <c r="G52" s="708" t="s">
        <v>878</v>
      </c>
      <c r="H52" s="697" t="s">
        <v>883</v>
      </c>
      <c r="I52" s="710">
        <f>(C16)</f>
        <v>100</v>
      </c>
      <c r="J52" s="697" t="s">
        <v>878</v>
      </c>
      <c r="K52" s="710">
        <f>(F52*I52)</f>
        <v>100</v>
      </c>
      <c r="M52" s="710">
        <v>17.7</v>
      </c>
      <c r="N52" s="697" t="s">
        <v>877</v>
      </c>
      <c r="O52" s="697" t="s">
        <v>1927</v>
      </c>
      <c r="P52" s="710">
        <f>(C10)</f>
        <v>562</v>
      </c>
      <c r="Q52" s="697" t="s">
        <v>877</v>
      </c>
      <c r="R52" s="710">
        <f>(M52*P52)</f>
        <v>9947.4</v>
      </c>
      <c r="Z52" s="728"/>
      <c r="AD52" s="738" t="s">
        <v>5113</v>
      </c>
      <c r="AE52" s="710">
        <f t="shared" si="12"/>
        <v>8.93</v>
      </c>
      <c r="AF52" s="744">
        <v>8.5</v>
      </c>
      <c r="AG52" s="710">
        <f t="shared" si="13"/>
        <v>9.35</v>
      </c>
      <c r="AH52" s="699">
        <f>AF52*1.2</f>
        <v>10.199999999999999</v>
      </c>
      <c r="AI52" s="699">
        <f>AF52*1.5</f>
        <v>12.75</v>
      </c>
      <c r="AJ52" s="699">
        <f>AF52*1.05</f>
        <v>8.93</v>
      </c>
      <c r="AK52" s="699">
        <f t="shared" si="14"/>
        <v>10.63</v>
      </c>
    </row>
    <row r="53" spans="1:45" ht="24" customHeight="1">
      <c r="A53" s="720" t="e">
        <f t="shared" si="10"/>
        <v>#REF!</v>
      </c>
      <c r="B53" s="697" t="s">
        <v>324</v>
      </c>
      <c r="C53" s="732">
        <v>12.1</v>
      </c>
      <c r="D53" s="722" t="s">
        <v>450</v>
      </c>
      <c r="G53" s="708" t="s">
        <v>450</v>
      </c>
      <c r="H53" s="697" t="s">
        <v>451</v>
      </c>
      <c r="I53" s="697" t="s">
        <v>987</v>
      </c>
      <c r="J53" s="697" t="s">
        <v>450</v>
      </c>
      <c r="K53" s="710">
        <v>0</v>
      </c>
      <c r="M53" s="710">
        <v>14.1</v>
      </c>
      <c r="N53" s="697" t="s">
        <v>877</v>
      </c>
      <c r="O53" s="697" t="s">
        <v>321</v>
      </c>
      <c r="P53" s="710">
        <f>(C11)</f>
        <v>461</v>
      </c>
      <c r="Q53" s="697" t="s">
        <v>877</v>
      </c>
      <c r="R53" s="710">
        <f>(M53*P53)</f>
        <v>6500.1</v>
      </c>
      <c r="AD53" s="738" t="s">
        <v>5115</v>
      </c>
      <c r="AE53" s="710">
        <f t="shared" si="12"/>
        <v>9.2899999999999991</v>
      </c>
      <c r="AF53" s="744">
        <v>8.85</v>
      </c>
      <c r="AG53" s="710">
        <f t="shared" si="13"/>
        <v>9.74</v>
      </c>
      <c r="AH53" s="699">
        <f t="shared" si="3"/>
        <v>10.62</v>
      </c>
      <c r="AI53" s="699">
        <f t="shared" ref="AI53:AI58" si="15">AF53*1.5</f>
        <v>13.28</v>
      </c>
      <c r="AJ53" s="699">
        <f t="shared" si="5"/>
        <v>9.2899999999999991</v>
      </c>
      <c r="AK53" s="699">
        <f t="shared" si="14"/>
        <v>11.06</v>
      </c>
    </row>
    <row r="54" spans="1:45" ht="24" customHeight="1">
      <c r="A54" s="720" t="e">
        <f t="shared" si="10"/>
        <v>#REF!</v>
      </c>
      <c r="B54" s="697" t="s">
        <v>4917</v>
      </c>
      <c r="C54" s="745">
        <v>35</v>
      </c>
      <c r="D54" s="722" t="s">
        <v>450</v>
      </c>
      <c r="K54" s="705" t="s">
        <v>1609</v>
      </c>
      <c r="N54" s="697" t="s">
        <v>450</v>
      </c>
      <c r="O54" s="697" t="s">
        <v>451</v>
      </c>
      <c r="Q54" s="697" t="s">
        <v>450</v>
      </c>
      <c r="R54" s="710">
        <v>0</v>
      </c>
      <c r="AD54" s="738" t="s">
        <v>5121</v>
      </c>
      <c r="AE54" s="710">
        <f t="shared" si="12"/>
        <v>1400.7</v>
      </c>
      <c r="AF54" s="744">
        <v>1334</v>
      </c>
      <c r="AG54" s="697">
        <f t="shared" si="13"/>
        <v>1467.4</v>
      </c>
      <c r="AH54" s="699">
        <f t="shared" si="3"/>
        <v>1600.8</v>
      </c>
      <c r="AI54" s="699">
        <f t="shared" si="15"/>
        <v>2001</v>
      </c>
      <c r="AJ54" s="699">
        <f t="shared" si="5"/>
        <v>1400.7</v>
      </c>
      <c r="AK54" s="699">
        <f t="shared" si="14"/>
        <v>1667.5</v>
      </c>
    </row>
    <row r="55" spans="1:45" ht="24" customHeight="1">
      <c r="A55" s="720" t="e">
        <f t="shared" si="10"/>
        <v>#REF!</v>
      </c>
      <c r="B55" s="697" t="s">
        <v>4918</v>
      </c>
      <c r="C55" s="718">
        <v>11.8</v>
      </c>
      <c r="D55" s="722" t="s">
        <v>450</v>
      </c>
      <c r="H55" s="697" t="s">
        <v>1538</v>
      </c>
      <c r="K55" s="709">
        <f>SUM(K50:K53)</f>
        <v>3041.5</v>
      </c>
      <c r="R55" s="705" t="s">
        <v>1609</v>
      </c>
      <c r="AD55" s="697" t="s">
        <v>5211</v>
      </c>
      <c r="AE55" s="710">
        <f t="shared" si="12"/>
        <v>1300.95</v>
      </c>
      <c r="AF55" s="718">
        <v>1239</v>
      </c>
      <c r="AG55" s="710">
        <f t="shared" si="13"/>
        <v>1362.9</v>
      </c>
      <c r="AH55" s="699">
        <f>AF55*1.2</f>
        <v>1486.8</v>
      </c>
      <c r="AI55" s="699">
        <f t="shared" si="15"/>
        <v>1858.5</v>
      </c>
      <c r="AJ55" s="699">
        <f>AF55*1.05</f>
        <v>1300.95</v>
      </c>
      <c r="AK55" s="699">
        <f t="shared" si="14"/>
        <v>1548.75</v>
      </c>
    </row>
    <row r="56" spans="1:45" ht="24" customHeight="1">
      <c r="A56" s="734"/>
      <c r="C56" s="734"/>
      <c r="D56" s="734"/>
      <c r="F56" s="697" t="s">
        <v>987</v>
      </c>
      <c r="O56" s="697" t="s">
        <v>620</v>
      </c>
      <c r="R56" s="710">
        <f>SUM(R49:R54)</f>
        <v>59570.55</v>
      </c>
      <c r="AE56" s="710">
        <f t="shared" ref="AE56:AE70" si="16">AF56</f>
        <v>0</v>
      </c>
      <c r="AH56" s="699">
        <f t="shared" si="3"/>
        <v>0</v>
      </c>
      <c r="AI56" s="699">
        <f t="shared" si="15"/>
        <v>0</v>
      </c>
      <c r="AJ56" s="699">
        <f t="shared" si="5"/>
        <v>0</v>
      </c>
      <c r="AP56" s="25" t="s">
        <v>4463</v>
      </c>
    </row>
    <row r="57" spans="1:45" ht="24" customHeight="1">
      <c r="A57" s="720" t="e">
        <f>(A55+1)</f>
        <v>#REF!</v>
      </c>
      <c r="B57" s="697" t="s">
        <v>4919</v>
      </c>
      <c r="C57" s="718">
        <v>27.6</v>
      </c>
      <c r="D57" s="697" t="s">
        <v>2103</v>
      </c>
      <c r="K57" s="705" t="s">
        <v>1609</v>
      </c>
      <c r="R57" s="705" t="s">
        <v>1609</v>
      </c>
      <c r="AE57" s="710">
        <f t="shared" si="16"/>
        <v>0</v>
      </c>
      <c r="AG57" s="697"/>
      <c r="AH57" s="699">
        <f t="shared" si="3"/>
        <v>0</v>
      </c>
      <c r="AI57" s="699">
        <f t="shared" si="15"/>
        <v>0</v>
      </c>
      <c r="AJ57" s="699">
        <f t="shared" si="5"/>
        <v>0</v>
      </c>
      <c r="AN57" s="20">
        <v>6.5</v>
      </c>
      <c r="AO57" s="7" t="s">
        <v>2276</v>
      </c>
      <c r="AP57" s="304" t="s">
        <v>3794</v>
      </c>
      <c r="AR57" s="9"/>
    </row>
    <row r="58" spans="1:45" ht="24" customHeight="1">
      <c r="A58" s="720" t="e">
        <f t="shared" ref="A58:A88" si="17">(A57+1)</f>
        <v>#REF!</v>
      </c>
      <c r="B58" s="697" t="s">
        <v>4962</v>
      </c>
      <c r="C58" s="718">
        <f>AE27</f>
        <v>96.6</v>
      </c>
      <c r="D58" s="718">
        <f>AE34</f>
        <v>143.9</v>
      </c>
      <c r="G58" s="708" t="s">
        <v>2276</v>
      </c>
      <c r="H58" s="697" t="s">
        <v>2105</v>
      </c>
      <c r="O58" s="697" t="s">
        <v>782</v>
      </c>
      <c r="R58" s="710">
        <f>(R56/10)</f>
        <v>5957.06</v>
      </c>
      <c r="AE58" s="710">
        <f t="shared" si="16"/>
        <v>0</v>
      </c>
      <c r="AG58" s="697"/>
      <c r="AH58" s="699">
        <f t="shared" si="3"/>
        <v>0</v>
      </c>
      <c r="AI58" s="699">
        <f t="shared" si="15"/>
        <v>0</v>
      </c>
      <c r="AO58" s="3"/>
      <c r="AP58" s="304" t="s">
        <v>3795</v>
      </c>
      <c r="AR58" s="9"/>
    </row>
    <row r="59" spans="1:45" ht="24" customHeight="1">
      <c r="A59" s="720" t="e">
        <f t="shared" si="17"/>
        <v>#REF!</v>
      </c>
      <c r="B59" s="697" t="s">
        <v>4920</v>
      </c>
      <c r="C59" s="718">
        <v>611</v>
      </c>
      <c r="D59" s="697" t="s">
        <v>877</v>
      </c>
      <c r="H59" s="705" t="s">
        <v>1609</v>
      </c>
      <c r="R59" s="705" t="s">
        <v>2080</v>
      </c>
      <c r="AE59" s="710">
        <f t="shared" si="16"/>
        <v>0</v>
      </c>
      <c r="AG59" s="697"/>
      <c r="AH59" s="699">
        <f t="shared" si="3"/>
        <v>0</v>
      </c>
      <c r="AO59" s="3"/>
      <c r="AP59" s="5" t="s">
        <v>1609</v>
      </c>
      <c r="AR59" s="9"/>
    </row>
    <row r="60" spans="1:45" ht="24" customHeight="1">
      <c r="A60" s="720" t="e">
        <f t="shared" si="17"/>
        <v>#REF!</v>
      </c>
      <c r="B60" s="746" t="s">
        <v>2070</v>
      </c>
      <c r="C60" s="737">
        <v>42</v>
      </c>
      <c r="D60" s="697" t="s">
        <v>450</v>
      </c>
      <c r="F60" s="740">
        <v>0.20599999999999999</v>
      </c>
      <c r="G60" s="708" t="s">
        <v>870</v>
      </c>
      <c r="H60" s="697" t="s">
        <v>871</v>
      </c>
      <c r="I60" s="710">
        <f>(C64)</f>
        <v>5960</v>
      </c>
      <c r="J60" s="697" t="s">
        <v>870</v>
      </c>
      <c r="K60" s="710">
        <f>(F60*I60)</f>
        <v>1227.76</v>
      </c>
      <c r="N60" s="697" t="s">
        <v>2276</v>
      </c>
      <c r="O60" s="697" t="s">
        <v>969</v>
      </c>
      <c r="AB60" s="747"/>
      <c r="AE60" s="710">
        <f t="shared" si="16"/>
        <v>0</v>
      </c>
      <c r="AG60" s="697"/>
      <c r="AH60" s="699">
        <f t="shared" si="3"/>
        <v>0</v>
      </c>
      <c r="AN60" s="8">
        <v>1300</v>
      </c>
      <c r="AO60" s="7" t="s">
        <v>1445</v>
      </c>
      <c r="AP60" s="8" t="str">
        <f>AP58</f>
        <v>Bricks of size 23x11x7 cm</v>
      </c>
      <c r="AQ60" s="8">
        <f>AC42</f>
        <v>6591.4</v>
      </c>
      <c r="AR60" s="1" t="s">
        <v>1617</v>
      </c>
      <c r="AS60" s="8">
        <f>(AN60*AQ60)/1000</f>
        <v>8568.82</v>
      </c>
    </row>
    <row r="61" spans="1:45" ht="24" customHeight="1">
      <c r="A61" s="720" t="e">
        <f t="shared" si="17"/>
        <v>#REF!</v>
      </c>
      <c r="B61" s="697" t="s">
        <v>4921</v>
      </c>
      <c r="C61" s="718">
        <v>242</v>
      </c>
      <c r="D61" s="697" t="s">
        <v>878</v>
      </c>
      <c r="F61" s="710">
        <v>1</v>
      </c>
      <c r="G61" s="708" t="s">
        <v>878</v>
      </c>
      <c r="H61" s="1165" t="s">
        <v>5354</v>
      </c>
      <c r="I61" s="710">
        <f>(C75)</f>
        <v>1511.1</v>
      </c>
      <c r="J61" s="697" t="s">
        <v>878</v>
      </c>
      <c r="K61" s="710">
        <f>(F61*I61)</f>
        <v>1511.1</v>
      </c>
      <c r="O61" s="697" t="s">
        <v>428</v>
      </c>
      <c r="AE61" s="710">
        <f t="shared" si="16"/>
        <v>0</v>
      </c>
      <c r="AG61" s="697"/>
      <c r="AH61" s="699">
        <f t="shared" si="3"/>
        <v>0</v>
      </c>
      <c r="AN61" s="11">
        <v>0.70799999999999996</v>
      </c>
      <c r="AO61" s="7" t="s">
        <v>878</v>
      </c>
      <c r="AP61" s="1" t="s">
        <v>1650</v>
      </c>
      <c r="AQ61" s="8">
        <f>K46</f>
        <v>3327.58</v>
      </c>
      <c r="AR61" s="1" t="s">
        <v>878</v>
      </c>
      <c r="AS61" s="8">
        <f>(AN61*AQ61)</f>
        <v>2355.9299999999998</v>
      </c>
    </row>
    <row r="62" spans="1:45" s="463" customFormat="1" ht="24" customHeight="1">
      <c r="A62" s="748" t="e">
        <f t="shared" si="17"/>
        <v>#REF!</v>
      </c>
      <c r="B62" s="743" t="s">
        <v>4922</v>
      </c>
      <c r="C62" s="749">
        <v>349</v>
      </c>
      <c r="D62" s="743" t="s">
        <v>1379</v>
      </c>
      <c r="E62" s="750"/>
      <c r="F62" s="731">
        <v>1</v>
      </c>
      <c r="G62" s="751" t="s">
        <v>878</v>
      </c>
      <c r="H62" s="743" t="s">
        <v>883</v>
      </c>
      <c r="I62" s="731">
        <f>(C16)</f>
        <v>100</v>
      </c>
      <c r="J62" s="743" t="s">
        <v>878</v>
      </c>
      <c r="K62" s="731">
        <f>(F62*I62)</f>
        <v>100</v>
      </c>
      <c r="L62" s="750"/>
      <c r="M62" s="699"/>
      <c r="N62" s="699"/>
      <c r="O62" s="705" t="s">
        <v>1609</v>
      </c>
      <c r="P62" s="699"/>
      <c r="Q62" s="699"/>
      <c r="R62" s="699"/>
      <c r="S62" s="752"/>
      <c r="T62" s="750"/>
      <c r="U62" s="750"/>
      <c r="V62" s="750"/>
      <c r="W62" s="750"/>
      <c r="X62" s="750"/>
      <c r="Y62" s="750"/>
      <c r="Z62" s="750"/>
      <c r="AA62" s="750"/>
      <c r="AB62" s="750"/>
      <c r="AC62" s="750"/>
      <c r="AD62" s="750"/>
      <c r="AE62" s="710">
        <f t="shared" si="16"/>
        <v>0</v>
      </c>
      <c r="AF62" s="750"/>
      <c r="AG62" s="743"/>
      <c r="AH62" s="750">
        <f t="shared" si="3"/>
        <v>0</v>
      </c>
      <c r="AI62" s="750"/>
      <c r="AJ62" s="750"/>
      <c r="AK62" s="750"/>
      <c r="AL62" s="750"/>
      <c r="AM62" s="750"/>
      <c r="AN62" s="574">
        <v>1</v>
      </c>
      <c r="AO62" s="595" t="s">
        <v>877</v>
      </c>
      <c r="AP62" s="501" t="s">
        <v>2034</v>
      </c>
      <c r="AQ62" s="574">
        <f>V310</f>
        <v>861</v>
      </c>
      <c r="AR62" s="501" t="s">
        <v>877</v>
      </c>
      <c r="AS62" s="574">
        <f>(AN62*AQ62)</f>
        <v>861</v>
      </c>
    </row>
    <row r="63" spans="1:45" ht="24" customHeight="1">
      <c r="A63" s="720" t="e">
        <f t="shared" si="17"/>
        <v>#REF!</v>
      </c>
      <c r="B63" s="697" t="s">
        <v>1516</v>
      </c>
      <c r="C63" s="718">
        <f>AE16</f>
        <v>739</v>
      </c>
      <c r="D63" s="697" t="s">
        <v>877</v>
      </c>
      <c r="G63" s="708" t="s">
        <v>450</v>
      </c>
      <c r="H63" s="697" t="s">
        <v>451</v>
      </c>
      <c r="I63" s="697" t="s">
        <v>987</v>
      </c>
      <c r="J63" s="697" t="s">
        <v>450</v>
      </c>
      <c r="K63" s="710">
        <v>0</v>
      </c>
      <c r="M63" s="710">
        <v>4600</v>
      </c>
      <c r="N63" s="697" t="s">
        <v>1445</v>
      </c>
      <c r="O63" s="697" t="s">
        <v>1130</v>
      </c>
      <c r="P63" s="710">
        <f>AC38</f>
        <v>6591.4</v>
      </c>
      <c r="Q63" s="697" t="s">
        <v>1617</v>
      </c>
      <c r="R63" s="710">
        <f>(M63*P63)/1000</f>
        <v>30320.44</v>
      </c>
      <c r="AE63" s="710">
        <f t="shared" si="16"/>
        <v>0</v>
      </c>
      <c r="AG63" s="697"/>
      <c r="AH63" s="699">
        <f t="shared" si="3"/>
        <v>0</v>
      </c>
      <c r="AN63" s="8">
        <v>3</v>
      </c>
      <c r="AO63" s="7" t="s">
        <v>877</v>
      </c>
      <c r="AP63" s="1" t="s">
        <v>1737</v>
      </c>
      <c r="AQ63" s="8">
        <f>V311</f>
        <v>804</v>
      </c>
      <c r="AR63" s="1" t="s">
        <v>877</v>
      </c>
      <c r="AS63" s="8">
        <f>(AN63*AQ63)</f>
        <v>2412</v>
      </c>
    </row>
    <row r="64" spans="1:45" ht="24" customHeight="1">
      <c r="A64" s="720" t="e">
        <f t="shared" si="17"/>
        <v>#REF!</v>
      </c>
      <c r="B64" s="697" t="s">
        <v>871</v>
      </c>
      <c r="C64" s="718">
        <f>AC29</f>
        <v>5960</v>
      </c>
      <c r="D64" s="697" t="s">
        <v>870</v>
      </c>
      <c r="K64" s="705" t="s">
        <v>1609</v>
      </c>
      <c r="M64" s="710">
        <v>2.5</v>
      </c>
      <c r="N64" s="697" t="s">
        <v>878</v>
      </c>
      <c r="O64" s="697" t="s">
        <v>1650</v>
      </c>
      <c r="P64" s="710">
        <f>(K46)</f>
        <v>3327.58</v>
      </c>
      <c r="Q64" s="697" t="s">
        <v>878</v>
      </c>
      <c r="R64" s="710">
        <f>(M64*P64)</f>
        <v>8318.9500000000007</v>
      </c>
      <c r="AE64" s="710">
        <f t="shared" si="16"/>
        <v>0</v>
      </c>
      <c r="AG64" s="697"/>
      <c r="AH64" s="699">
        <f t="shared" si="3"/>
        <v>0</v>
      </c>
      <c r="AN64" s="8">
        <v>2</v>
      </c>
      <c r="AO64" s="7" t="s">
        <v>877</v>
      </c>
      <c r="AP64" s="1" t="s">
        <v>1927</v>
      </c>
      <c r="AQ64" s="8">
        <f>V312</f>
        <v>562</v>
      </c>
      <c r="AR64" s="1" t="s">
        <v>877</v>
      </c>
      <c r="AS64" s="8">
        <f>(AN64*AQ64)</f>
        <v>1124</v>
      </c>
    </row>
    <row r="65" spans="1:45" ht="24" customHeight="1">
      <c r="A65" s="720" t="e">
        <f t="shared" si="17"/>
        <v>#REF!</v>
      </c>
      <c r="B65" s="697" t="s">
        <v>1517</v>
      </c>
      <c r="C65" s="718">
        <f t="shared" ref="C65:C71" si="18">AC7</f>
        <v>692.5</v>
      </c>
      <c r="D65" s="697" t="s">
        <v>878</v>
      </c>
      <c r="H65" s="697" t="s">
        <v>1538</v>
      </c>
      <c r="K65" s="709">
        <f>SUM(K60:K63)</f>
        <v>2838.86</v>
      </c>
      <c r="M65" s="710">
        <v>3.5</v>
      </c>
      <c r="N65" s="697" t="s">
        <v>877</v>
      </c>
      <c r="O65" s="697" t="s">
        <v>2034</v>
      </c>
      <c r="P65" s="710">
        <f>(C8)</f>
        <v>861</v>
      </c>
      <c r="Q65" s="697" t="s">
        <v>877</v>
      </c>
      <c r="R65" s="710">
        <f>(M65*P65)</f>
        <v>3013.5</v>
      </c>
      <c r="AE65" s="710">
        <f t="shared" si="16"/>
        <v>0</v>
      </c>
      <c r="AG65" s="697"/>
      <c r="AH65" s="699">
        <f t="shared" si="3"/>
        <v>0</v>
      </c>
      <c r="AN65" s="8">
        <v>6</v>
      </c>
      <c r="AO65" s="7" t="s">
        <v>877</v>
      </c>
      <c r="AP65" s="1" t="s">
        <v>321</v>
      </c>
      <c r="AQ65" s="8">
        <f>V313</f>
        <v>461</v>
      </c>
      <c r="AR65" s="1" t="s">
        <v>877</v>
      </c>
      <c r="AS65" s="8">
        <f>(AN65*AQ65)</f>
        <v>2766</v>
      </c>
    </row>
    <row r="66" spans="1:45" ht="24" customHeight="1">
      <c r="A66" s="720" t="e">
        <f t="shared" si="17"/>
        <v>#REF!</v>
      </c>
      <c r="B66" s="697" t="s">
        <v>881</v>
      </c>
      <c r="C66" s="718">
        <f t="shared" si="18"/>
        <v>889.5</v>
      </c>
      <c r="D66" s="697" t="s">
        <v>878</v>
      </c>
      <c r="K66" s="705" t="s">
        <v>1609</v>
      </c>
      <c r="M66" s="710">
        <v>10.6</v>
      </c>
      <c r="N66" s="697" t="s">
        <v>877</v>
      </c>
      <c r="O66" s="697" t="s">
        <v>1737</v>
      </c>
      <c r="P66" s="710">
        <f>(C9)</f>
        <v>804</v>
      </c>
      <c r="Q66" s="697" t="s">
        <v>877</v>
      </c>
      <c r="R66" s="710">
        <f>(M66*P66)</f>
        <v>8522.4</v>
      </c>
      <c r="AE66" s="710">
        <f t="shared" si="16"/>
        <v>0</v>
      </c>
      <c r="AG66" s="697"/>
      <c r="AH66" s="699">
        <f t="shared" si="3"/>
        <v>0</v>
      </c>
      <c r="AO66" s="7" t="s">
        <v>450</v>
      </c>
      <c r="AP66" s="1" t="s">
        <v>451</v>
      </c>
      <c r="AR66" s="1" t="s">
        <v>450</v>
      </c>
      <c r="AS66" s="8">
        <v>0</v>
      </c>
    </row>
    <row r="67" spans="1:45" ht="24" customHeight="1">
      <c r="A67" s="720" t="e">
        <f t="shared" si="17"/>
        <v>#REF!</v>
      </c>
      <c r="B67" s="697" t="s">
        <v>1518</v>
      </c>
      <c r="C67" s="718">
        <f t="shared" si="18"/>
        <v>991.83</v>
      </c>
      <c r="D67" s="697" t="s">
        <v>878</v>
      </c>
      <c r="G67" s="708" t="s">
        <v>2276</v>
      </c>
      <c r="H67" s="697" t="s">
        <v>1657</v>
      </c>
      <c r="M67" s="710">
        <v>7.1</v>
      </c>
      <c r="N67" s="697" t="s">
        <v>877</v>
      </c>
      <c r="O67" s="697" t="s">
        <v>1927</v>
      </c>
      <c r="P67" s="710">
        <f>(C10)</f>
        <v>562</v>
      </c>
      <c r="Q67" s="697" t="s">
        <v>877</v>
      </c>
      <c r="R67" s="710">
        <f>(M67*P67)</f>
        <v>3990.2</v>
      </c>
      <c r="AE67" s="710">
        <f t="shared" si="16"/>
        <v>0</v>
      </c>
      <c r="AG67" s="697"/>
      <c r="AH67" s="699">
        <f t="shared" si="3"/>
        <v>0</v>
      </c>
      <c r="AO67" s="3"/>
      <c r="AR67" s="9"/>
      <c r="AS67" s="5" t="s">
        <v>1609</v>
      </c>
    </row>
    <row r="68" spans="1:45" ht="24" customHeight="1">
      <c r="A68" s="720" t="e">
        <f t="shared" si="17"/>
        <v>#REF!</v>
      </c>
      <c r="B68" s="697" t="s">
        <v>1519</v>
      </c>
      <c r="C68" s="718">
        <f t="shared" si="18"/>
        <v>1224.5</v>
      </c>
      <c r="D68" s="697" t="s">
        <v>878</v>
      </c>
      <c r="H68" s="705" t="s">
        <v>1609</v>
      </c>
      <c r="M68" s="710">
        <v>21.2</v>
      </c>
      <c r="N68" s="697" t="s">
        <v>877</v>
      </c>
      <c r="O68" s="697" t="s">
        <v>321</v>
      </c>
      <c r="P68" s="710">
        <f>(C11)</f>
        <v>461</v>
      </c>
      <c r="Q68" s="697" t="s">
        <v>877</v>
      </c>
      <c r="R68" s="710">
        <f>(M68*P68)</f>
        <v>9773.2000000000007</v>
      </c>
      <c r="AE68" s="710">
        <f t="shared" si="16"/>
        <v>0</v>
      </c>
      <c r="AG68" s="697"/>
      <c r="AH68" s="699">
        <f t="shared" si="3"/>
        <v>0</v>
      </c>
      <c r="AO68" s="3"/>
      <c r="AP68" s="1" t="s">
        <v>3796</v>
      </c>
      <c r="AR68" s="9"/>
      <c r="AS68" s="8">
        <f>SUM(AS60:AS66)</f>
        <v>18087.75</v>
      </c>
    </row>
    <row r="69" spans="1:45" ht="24" customHeight="1">
      <c r="A69" s="720" t="e">
        <f t="shared" si="17"/>
        <v>#REF!</v>
      </c>
      <c r="B69" s="697" t="s">
        <v>1520</v>
      </c>
      <c r="C69" s="718">
        <f t="shared" si="18"/>
        <v>1576.5</v>
      </c>
      <c r="D69" s="697" t="s">
        <v>878</v>
      </c>
      <c r="F69" s="710">
        <v>0.18</v>
      </c>
      <c r="G69" s="708" t="s">
        <v>870</v>
      </c>
      <c r="H69" s="697" t="s">
        <v>871</v>
      </c>
      <c r="I69" s="710">
        <f>(C64)</f>
        <v>5960</v>
      </c>
      <c r="J69" s="697" t="s">
        <v>870</v>
      </c>
      <c r="K69" s="710">
        <f>(F69*I69)</f>
        <v>1072.8</v>
      </c>
      <c r="N69" s="697" t="s">
        <v>450</v>
      </c>
      <c r="O69" s="697" t="s">
        <v>451</v>
      </c>
      <c r="Q69" s="697" t="s">
        <v>450</v>
      </c>
      <c r="R69" s="710">
        <v>0</v>
      </c>
      <c r="AE69" s="710">
        <f t="shared" si="16"/>
        <v>0</v>
      </c>
      <c r="AG69" s="697"/>
      <c r="AH69" s="699">
        <f t="shared" si="3"/>
        <v>0</v>
      </c>
      <c r="AO69" s="3"/>
      <c r="AR69" s="9"/>
      <c r="AS69" s="5" t="s">
        <v>1609</v>
      </c>
    </row>
    <row r="70" spans="1:45" ht="24" customHeight="1">
      <c r="A70" s="720" t="e">
        <f t="shared" si="17"/>
        <v>#REF!</v>
      </c>
      <c r="B70" s="697" t="s">
        <v>661</v>
      </c>
      <c r="C70" s="718">
        <f t="shared" si="18"/>
        <v>1679.5</v>
      </c>
      <c r="D70" s="697" t="s">
        <v>878</v>
      </c>
      <c r="F70" s="710">
        <v>1</v>
      </c>
      <c r="G70" s="708" t="s">
        <v>878</v>
      </c>
      <c r="H70" s="1165" t="s">
        <v>5354</v>
      </c>
      <c r="I70" s="710">
        <f>(C75)</f>
        <v>1511.1</v>
      </c>
      <c r="J70" s="697" t="s">
        <v>878</v>
      </c>
      <c r="K70" s="710">
        <f>(F70*I70)</f>
        <v>1511.1</v>
      </c>
      <c r="R70" s="705" t="s">
        <v>1609</v>
      </c>
      <c r="AE70" s="710">
        <f t="shared" si="16"/>
        <v>0</v>
      </c>
      <c r="AG70" s="697"/>
      <c r="AH70" s="699">
        <f t="shared" si="3"/>
        <v>0</v>
      </c>
      <c r="AO70" s="3"/>
      <c r="AP70" s="41" t="s">
        <v>782</v>
      </c>
      <c r="AR70" s="9"/>
      <c r="AS70" s="26">
        <f>(AS68/2.83168)</f>
        <v>6387.64</v>
      </c>
    </row>
    <row r="71" spans="1:45" ht="24" customHeight="1">
      <c r="A71" s="720" t="e">
        <f t="shared" si="17"/>
        <v>#REF!</v>
      </c>
      <c r="B71" s="697" t="s">
        <v>966</v>
      </c>
      <c r="C71" s="718">
        <f t="shared" si="18"/>
        <v>1276.5</v>
      </c>
      <c r="D71" s="697" t="s">
        <v>878</v>
      </c>
      <c r="F71" s="710">
        <v>1</v>
      </c>
      <c r="G71" s="708" t="s">
        <v>878</v>
      </c>
      <c r="H71" s="697" t="s">
        <v>883</v>
      </c>
      <c r="I71" s="710">
        <f>(C16)</f>
        <v>100</v>
      </c>
      <c r="J71" s="697" t="s">
        <v>878</v>
      </c>
      <c r="K71" s="710">
        <f>(F71*I71)</f>
        <v>100</v>
      </c>
      <c r="O71" s="697" t="s">
        <v>620</v>
      </c>
      <c r="R71" s="710">
        <f>SUM(R63:R69)</f>
        <v>63938.69</v>
      </c>
      <c r="AE71" s="710">
        <f t="shared" ref="AE71:AE125" si="19">AF71</f>
        <v>0</v>
      </c>
      <c r="AG71" s="697"/>
      <c r="AH71" s="699">
        <f t="shared" ref="AH71:AH120" si="20">AF71*1.2</f>
        <v>0</v>
      </c>
      <c r="AO71" s="3"/>
      <c r="AR71" s="9"/>
      <c r="AS71" s="5" t="s">
        <v>2080</v>
      </c>
    </row>
    <row r="72" spans="1:45" ht="24" customHeight="1">
      <c r="A72" s="720" t="e">
        <f t="shared" si="17"/>
        <v>#REF!</v>
      </c>
      <c r="B72" s="697" t="s">
        <v>967</v>
      </c>
      <c r="C72" s="732">
        <v>175</v>
      </c>
      <c r="D72" s="722" t="s">
        <v>2276</v>
      </c>
      <c r="G72" s="708" t="s">
        <v>450</v>
      </c>
      <c r="H72" s="697" t="s">
        <v>451</v>
      </c>
      <c r="I72" s="697" t="s">
        <v>987</v>
      </c>
      <c r="J72" s="697" t="s">
        <v>450</v>
      </c>
      <c r="K72" s="710">
        <v>0</v>
      </c>
      <c r="R72" s="705" t="s">
        <v>1609</v>
      </c>
      <c r="AE72" s="710">
        <f t="shared" si="19"/>
        <v>0</v>
      </c>
      <c r="AG72" s="697"/>
      <c r="AH72" s="699">
        <f t="shared" si="20"/>
        <v>0</v>
      </c>
      <c r="AO72" s="3"/>
      <c r="AP72" s="1" t="s">
        <v>386</v>
      </c>
      <c r="AR72" s="9"/>
      <c r="AS72" s="8">
        <f>AS70+C17</f>
        <v>6459.04</v>
      </c>
    </row>
    <row r="73" spans="1:45" ht="24" customHeight="1">
      <c r="A73" s="720" t="e">
        <f t="shared" si="17"/>
        <v>#REF!</v>
      </c>
      <c r="B73" s="697" t="s">
        <v>968</v>
      </c>
      <c r="C73" s="732">
        <v>460</v>
      </c>
      <c r="D73" s="737">
        <v>290</v>
      </c>
      <c r="E73" s="699" t="s">
        <v>4323</v>
      </c>
      <c r="K73" s="705" t="s">
        <v>1609</v>
      </c>
      <c r="O73" s="697" t="s">
        <v>782</v>
      </c>
      <c r="R73" s="710">
        <f>(R71/10)</f>
        <v>6393.87</v>
      </c>
      <c r="AE73" s="710">
        <f t="shared" si="19"/>
        <v>0</v>
      </c>
      <c r="AG73" s="697"/>
      <c r="AH73" s="699">
        <f t="shared" si="20"/>
        <v>0</v>
      </c>
      <c r="AO73" s="3"/>
      <c r="AP73" s="1" t="s">
        <v>388</v>
      </c>
      <c r="AR73" s="9"/>
      <c r="AS73" s="8">
        <f>AS72+C18</f>
        <v>6603.1</v>
      </c>
    </row>
    <row r="74" spans="1:45" ht="24" customHeight="1">
      <c r="A74" s="720" t="e">
        <f t="shared" si="17"/>
        <v>#REF!</v>
      </c>
      <c r="B74" s="697" t="s">
        <v>1572</v>
      </c>
      <c r="C74" s="721">
        <f>AC32</f>
        <v>4424.5</v>
      </c>
      <c r="D74" s="722" t="s">
        <v>878</v>
      </c>
      <c r="H74" s="697" t="s">
        <v>1538</v>
      </c>
      <c r="K74" s="709">
        <f>SUM(K69:K72)</f>
        <v>2683.9</v>
      </c>
      <c r="R74" s="705" t="s">
        <v>2080</v>
      </c>
      <c r="AE74" s="710">
        <f t="shared" si="19"/>
        <v>0</v>
      </c>
      <c r="AG74" s="697"/>
      <c r="AH74" s="699">
        <f t="shared" si="20"/>
        <v>0</v>
      </c>
      <c r="AO74" s="3"/>
      <c r="AP74" s="1" t="s">
        <v>2257</v>
      </c>
      <c r="AR74" s="9"/>
      <c r="AS74" s="8">
        <f>AS73+C18</f>
        <v>6747.16</v>
      </c>
    </row>
    <row r="75" spans="1:45" ht="24" customHeight="1">
      <c r="A75" s="720" t="e">
        <f t="shared" si="17"/>
        <v>#REF!</v>
      </c>
      <c r="B75" s="1165" t="s">
        <v>5364</v>
      </c>
      <c r="C75" s="721">
        <f t="shared" ref="C75:C88" si="21">AC14</f>
        <v>1511.1</v>
      </c>
      <c r="D75" s="722" t="s">
        <v>878</v>
      </c>
      <c r="K75" s="705" t="s">
        <v>1609</v>
      </c>
      <c r="AE75" s="710">
        <f t="shared" si="19"/>
        <v>0</v>
      </c>
      <c r="AG75" s="697"/>
      <c r="AH75" s="699">
        <f t="shared" si="20"/>
        <v>0</v>
      </c>
      <c r="AO75" s="3"/>
      <c r="AP75" s="1" t="s">
        <v>380</v>
      </c>
      <c r="AR75" s="9"/>
      <c r="AS75" s="8">
        <f>AS74+C18</f>
        <v>6891.22</v>
      </c>
    </row>
    <row r="76" spans="1:45" ht="24" customHeight="1">
      <c r="A76" s="720" t="e">
        <f t="shared" si="17"/>
        <v>#REF!</v>
      </c>
      <c r="B76" s="1165" t="s">
        <v>5357</v>
      </c>
      <c r="C76" s="721">
        <f t="shared" si="21"/>
        <v>1511.1</v>
      </c>
      <c r="D76" s="722" t="s">
        <v>878</v>
      </c>
      <c r="F76" s="753">
        <v>1.1000000000000001</v>
      </c>
      <c r="G76" s="708" t="s">
        <v>987</v>
      </c>
      <c r="H76" s="697" t="s">
        <v>1444</v>
      </c>
      <c r="S76" s="754">
        <v>1.1000000000000001</v>
      </c>
      <c r="T76" s="708" t="s">
        <v>987</v>
      </c>
      <c r="U76" s="701" t="s">
        <v>2187</v>
      </c>
      <c r="W76" s="702"/>
      <c r="AE76" s="710">
        <f t="shared" si="19"/>
        <v>0</v>
      </c>
      <c r="AG76" s="697"/>
      <c r="AH76" s="699">
        <f t="shared" si="20"/>
        <v>0</v>
      </c>
      <c r="AO76" s="3"/>
      <c r="AP76" s="1" t="s">
        <v>489</v>
      </c>
      <c r="AR76" s="9"/>
      <c r="AS76" s="8">
        <f>AS75+C18</f>
        <v>7035.28</v>
      </c>
    </row>
    <row r="77" spans="1:45" ht="24" customHeight="1">
      <c r="A77" s="720" t="e">
        <f t="shared" si="17"/>
        <v>#REF!</v>
      </c>
      <c r="B77" s="697" t="s">
        <v>1502</v>
      </c>
      <c r="C77" s="721">
        <f t="shared" si="21"/>
        <v>5799.5</v>
      </c>
      <c r="D77" s="722" t="s">
        <v>1503</v>
      </c>
      <c r="F77" s="755" t="s">
        <v>987</v>
      </c>
      <c r="H77" s="697" t="s">
        <v>1504</v>
      </c>
      <c r="S77" s="756" t="s">
        <v>987</v>
      </c>
      <c r="T77" s="700"/>
      <c r="U77" s="697" t="s">
        <v>1504</v>
      </c>
      <c r="W77" s="702"/>
      <c r="AE77" s="710">
        <f t="shared" si="19"/>
        <v>0</v>
      </c>
      <c r="AG77" s="697"/>
      <c r="AH77" s="699">
        <f t="shared" si="20"/>
        <v>0</v>
      </c>
      <c r="AQ77" s="36"/>
      <c r="AS77" s="1"/>
    </row>
    <row r="78" spans="1:45" ht="24" customHeight="1">
      <c r="A78" s="720" t="e">
        <f t="shared" si="17"/>
        <v>#REF!</v>
      </c>
      <c r="B78" s="697" t="s">
        <v>67</v>
      </c>
      <c r="C78" s="721">
        <f t="shared" si="21"/>
        <v>875.02</v>
      </c>
      <c r="D78" s="722" t="s">
        <v>878</v>
      </c>
      <c r="F78" s="710">
        <v>10</v>
      </c>
      <c r="G78" s="708" t="s">
        <v>878</v>
      </c>
      <c r="H78" s="697" t="s">
        <v>1195</v>
      </c>
      <c r="I78" s="710">
        <f>(C58)</f>
        <v>96.6</v>
      </c>
      <c r="J78" s="697" t="s">
        <v>878</v>
      </c>
      <c r="K78" s="710">
        <f>(F78*I78)</f>
        <v>966</v>
      </c>
      <c r="S78" s="740">
        <v>10</v>
      </c>
      <c r="T78" s="708" t="s">
        <v>878</v>
      </c>
      <c r="U78" s="697" t="s">
        <v>1195</v>
      </c>
      <c r="V78" s="710" t="e">
        <f>#REF!</f>
        <v>#REF!</v>
      </c>
      <c r="W78" s="697" t="s">
        <v>878</v>
      </c>
      <c r="X78" s="710" t="e">
        <f>(S78*V78)</f>
        <v>#REF!</v>
      </c>
      <c r="AE78" s="710">
        <f t="shared" si="19"/>
        <v>0</v>
      </c>
      <c r="AG78" s="697"/>
      <c r="AH78" s="699">
        <f t="shared" si="20"/>
        <v>0</v>
      </c>
      <c r="AQ78" s="36"/>
      <c r="AS78" s="1"/>
    </row>
    <row r="79" spans="1:45" ht="24" customHeight="1">
      <c r="A79" s="720" t="e">
        <f t="shared" si="17"/>
        <v>#REF!</v>
      </c>
      <c r="B79" s="697" t="s">
        <v>2035</v>
      </c>
      <c r="C79" s="721">
        <f t="shared" si="21"/>
        <v>954.02</v>
      </c>
      <c r="D79" s="722" t="s">
        <v>878</v>
      </c>
      <c r="F79" s="710">
        <v>10</v>
      </c>
      <c r="G79" s="708" t="s">
        <v>878</v>
      </c>
      <c r="H79" s="697" t="s">
        <v>2036</v>
      </c>
      <c r="I79" s="710">
        <f>(C58)</f>
        <v>96.6</v>
      </c>
      <c r="J79" s="697" t="s">
        <v>878</v>
      </c>
      <c r="K79" s="710">
        <f>(F79*I79)</f>
        <v>966</v>
      </c>
      <c r="L79" s="699">
        <f>I79+I78</f>
        <v>193.2</v>
      </c>
      <c r="S79" s="740">
        <v>10</v>
      </c>
      <c r="T79" s="708" t="s">
        <v>878</v>
      </c>
      <c r="U79" s="697" t="s">
        <v>2036</v>
      </c>
      <c r="V79" s="710" t="e">
        <f>V78</f>
        <v>#REF!</v>
      </c>
      <c r="W79" s="697" t="s">
        <v>878</v>
      </c>
      <c r="X79" s="710" t="e">
        <f>(S79*V79)</f>
        <v>#REF!</v>
      </c>
      <c r="AE79" s="710">
        <f t="shared" si="19"/>
        <v>0</v>
      </c>
      <c r="AG79" s="697"/>
      <c r="AH79" s="699">
        <f t="shared" si="20"/>
        <v>0</v>
      </c>
      <c r="AQ79" s="36"/>
      <c r="AS79" s="1"/>
    </row>
    <row r="80" spans="1:45" ht="24" customHeight="1">
      <c r="A80" s="720" t="e">
        <f t="shared" si="17"/>
        <v>#REF!</v>
      </c>
      <c r="B80" s="697" t="s">
        <v>2037</v>
      </c>
      <c r="C80" s="721">
        <f t="shared" si="21"/>
        <v>16106</v>
      </c>
      <c r="D80" s="722" t="s">
        <v>1503</v>
      </c>
      <c r="E80" s="757">
        <v>8710</v>
      </c>
      <c r="F80" s="710">
        <v>10</v>
      </c>
      <c r="G80" s="708" t="s">
        <v>878</v>
      </c>
      <c r="H80" s="697" t="s">
        <v>2038</v>
      </c>
      <c r="I80" s="710">
        <f>(C24)/3</f>
        <v>11.2</v>
      </c>
      <c r="J80" s="697" t="s">
        <v>878</v>
      </c>
      <c r="K80" s="710">
        <f>(F80*I80)</f>
        <v>112</v>
      </c>
      <c r="S80" s="740">
        <v>10</v>
      </c>
      <c r="T80" s="708" t="s">
        <v>878</v>
      </c>
      <c r="U80" s="697" t="s">
        <v>2038</v>
      </c>
      <c r="V80" s="710">
        <f>AE25/3</f>
        <v>9.83</v>
      </c>
      <c r="W80" s="697" t="s">
        <v>878</v>
      </c>
      <c r="X80" s="710">
        <f>(S80*V80)</f>
        <v>98.3</v>
      </c>
      <c r="AE80" s="710">
        <f t="shared" si="19"/>
        <v>0</v>
      </c>
      <c r="AG80" s="697"/>
      <c r="AH80" s="699">
        <f t="shared" si="20"/>
        <v>0</v>
      </c>
      <c r="AQ80" s="36"/>
      <c r="AS80" s="1"/>
    </row>
    <row r="81" spans="1:48" ht="24" customHeight="1">
      <c r="A81" s="720" t="e">
        <f t="shared" si="17"/>
        <v>#REF!</v>
      </c>
      <c r="B81" s="697" t="s">
        <v>2039</v>
      </c>
      <c r="C81" s="721">
        <f t="shared" si="21"/>
        <v>1322</v>
      </c>
      <c r="D81" s="722" t="s">
        <v>878</v>
      </c>
      <c r="G81" s="708" t="s">
        <v>450</v>
      </c>
      <c r="H81" s="697" t="s">
        <v>451</v>
      </c>
      <c r="J81" s="697" t="s">
        <v>450</v>
      </c>
      <c r="K81" s="710">
        <v>0</v>
      </c>
      <c r="T81" s="708" t="s">
        <v>450</v>
      </c>
      <c r="U81" s="697" t="s">
        <v>451</v>
      </c>
      <c r="W81" s="697" t="s">
        <v>450</v>
      </c>
      <c r="X81" s="710">
        <v>0</v>
      </c>
      <c r="AE81" s="710">
        <f t="shared" si="19"/>
        <v>0</v>
      </c>
      <c r="AG81" s="697"/>
      <c r="AH81" s="699">
        <f t="shared" si="20"/>
        <v>0</v>
      </c>
      <c r="AN81" s="10">
        <v>9</v>
      </c>
      <c r="AO81" s="7" t="s">
        <v>2276</v>
      </c>
      <c r="AP81" s="1" t="s">
        <v>3797</v>
      </c>
      <c r="AR81" s="9"/>
    </row>
    <row r="82" spans="1:48" ht="24" customHeight="1">
      <c r="A82" s="720" t="e">
        <f t="shared" si="17"/>
        <v>#REF!</v>
      </c>
      <c r="B82" s="697" t="s">
        <v>2029</v>
      </c>
      <c r="C82" s="721">
        <f t="shared" si="21"/>
        <v>974</v>
      </c>
      <c r="D82" s="722" t="s">
        <v>878</v>
      </c>
      <c r="K82" s="705" t="s">
        <v>1609</v>
      </c>
      <c r="T82" s="700"/>
      <c r="W82" s="702"/>
      <c r="X82" s="705" t="s">
        <v>1609</v>
      </c>
      <c r="AE82" s="710">
        <f t="shared" si="19"/>
        <v>0</v>
      </c>
      <c r="AG82" s="697"/>
      <c r="AH82" s="699">
        <f t="shared" si="20"/>
        <v>0</v>
      </c>
      <c r="AO82" s="3"/>
      <c r="AP82" s="1" t="str">
        <f>AP58</f>
        <v>Bricks of size 23x11x7 cm</v>
      </c>
      <c r="AR82" s="9"/>
    </row>
    <row r="83" spans="1:48" ht="24" customHeight="1">
      <c r="A83" s="720" t="e">
        <f t="shared" si="17"/>
        <v>#REF!</v>
      </c>
      <c r="B83" s="697" t="s">
        <v>3959</v>
      </c>
      <c r="C83" s="721">
        <f t="shared" si="21"/>
        <v>34300</v>
      </c>
      <c r="D83" s="722" t="s">
        <v>878</v>
      </c>
      <c r="H83" s="697" t="s">
        <v>620</v>
      </c>
      <c r="K83" s="710">
        <f>SUM(K78:K81)</f>
        <v>2044</v>
      </c>
      <c r="T83" s="700"/>
      <c r="U83" s="697" t="s">
        <v>620</v>
      </c>
      <c r="W83" s="702"/>
      <c r="X83" s="710" t="e">
        <f>SUM(X78:X81)</f>
        <v>#REF!</v>
      </c>
      <c r="AE83" s="710">
        <f t="shared" si="19"/>
        <v>0</v>
      </c>
      <c r="AG83" s="697"/>
      <c r="AH83" s="699">
        <f t="shared" si="20"/>
        <v>0</v>
      </c>
      <c r="AO83" s="3"/>
      <c r="AP83" s="5" t="s">
        <v>1609</v>
      </c>
      <c r="AR83" s="9"/>
    </row>
    <row r="84" spans="1:48" ht="24" customHeight="1">
      <c r="A84" s="720" t="e">
        <f t="shared" si="17"/>
        <v>#REF!</v>
      </c>
      <c r="B84" s="697" t="s">
        <v>2041</v>
      </c>
      <c r="C84" s="721">
        <f t="shared" si="21"/>
        <v>39400</v>
      </c>
      <c r="D84" s="722" t="s">
        <v>878</v>
      </c>
      <c r="K84" s="705" t="s">
        <v>1609</v>
      </c>
      <c r="T84" s="700"/>
      <c r="W84" s="702"/>
      <c r="X84" s="705" t="s">
        <v>1609</v>
      </c>
      <c r="AE84" s="710">
        <f t="shared" si="19"/>
        <v>0</v>
      </c>
      <c r="AG84" s="697"/>
      <c r="AH84" s="699">
        <f t="shared" si="20"/>
        <v>0</v>
      </c>
      <c r="AN84" s="8">
        <f>AN60</f>
        <v>1300</v>
      </c>
      <c r="AO84" s="7" t="s">
        <v>1445</v>
      </c>
      <c r="AP84" s="8" t="str">
        <f>AP58</f>
        <v>Bricks of size 23x11x7 cm</v>
      </c>
      <c r="AQ84" s="8">
        <f>AC42</f>
        <v>6591.4</v>
      </c>
      <c r="AR84" s="1" t="s">
        <v>1617</v>
      </c>
      <c r="AS84" s="8">
        <f>AQ84*AN84/1000</f>
        <v>8568.82</v>
      </c>
    </row>
    <row r="85" spans="1:48" ht="36" customHeight="1">
      <c r="A85" s="720" t="e">
        <f t="shared" si="17"/>
        <v>#REF!</v>
      </c>
      <c r="B85" s="1165" t="s">
        <v>5365</v>
      </c>
      <c r="C85" s="721">
        <f t="shared" si="21"/>
        <v>111600</v>
      </c>
      <c r="D85" s="722" t="s">
        <v>878</v>
      </c>
      <c r="H85" s="701" t="s">
        <v>2074</v>
      </c>
      <c r="I85" s="758" t="s">
        <v>1419</v>
      </c>
      <c r="J85" s="759"/>
      <c r="K85" s="709">
        <f>(K83/10)</f>
        <v>204.4</v>
      </c>
      <c r="T85" s="700"/>
      <c r="U85" s="701" t="s">
        <v>2074</v>
      </c>
      <c r="V85" s="758" t="s">
        <v>1419</v>
      </c>
      <c r="W85" s="759"/>
      <c r="X85" s="709" t="e">
        <f>(X83/10)</f>
        <v>#REF!</v>
      </c>
      <c r="AE85" s="710">
        <f t="shared" si="19"/>
        <v>0</v>
      </c>
      <c r="AG85" s="697"/>
      <c r="AH85" s="699">
        <f t="shared" si="20"/>
        <v>0</v>
      </c>
      <c r="AN85" s="11">
        <f>AN61</f>
        <v>0.70799999999999996</v>
      </c>
      <c r="AO85" s="7" t="s">
        <v>878</v>
      </c>
      <c r="AP85" s="1" t="s">
        <v>1656</v>
      </c>
      <c r="AQ85" s="8">
        <f>K55</f>
        <v>3041.5</v>
      </c>
      <c r="AR85" s="1" t="s">
        <v>878</v>
      </c>
      <c r="AS85" s="8">
        <f>AQ85*AN85</f>
        <v>2153.38</v>
      </c>
    </row>
    <row r="86" spans="1:48" ht="19.5" customHeight="1">
      <c r="A86" s="720" t="e">
        <f t="shared" si="17"/>
        <v>#REF!</v>
      </c>
      <c r="B86" s="697" t="s">
        <v>296</v>
      </c>
      <c r="C86" s="721">
        <f t="shared" si="21"/>
        <v>99400</v>
      </c>
      <c r="D86" s="722" t="s">
        <v>878</v>
      </c>
      <c r="I86" s="758" t="s">
        <v>1382</v>
      </c>
      <c r="J86" s="759"/>
      <c r="K86" s="707">
        <f>ROUND(K85+C34,2)</f>
        <v>213.7</v>
      </c>
      <c r="T86" s="700"/>
      <c r="V86" s="758" t="s">
        <v>1382</v>
      </c>
      <c r="W86" s="759"/>
      <c r="X86" s="707" t="e">
        <f>ROUND(X85+C34,2)</f>
        <v>#REF!</v>
      </c>
      <c r="AE86" s="710">
        <f t="shared" si="19"/>
        <v>0</v>
      </c>
      <c r="AG86" s="697"/>
      <c r="AH86" s="699">
        <f t="shared" si="20"/>
        <v>0</v>
      </c>
      <c r="AN86" s="8">
        <v>1</v>
      </c>
      <c r="AO86" s="7" t="s">
        <v>877</v>
      </c>
      <c r="AP86" s="1" t="s">
        <v>2034</v>
      </c>
      <c r="AQ86" s="8">
        <f>AQ62</f>
        <v>861</v>
      </c>
      <c r="AR86" s="1" t="s">
        <v>877</v>
      </c>
      <c r="AS86" s="8">
        <f>AQ86*AN86</f>
        <v>861</v>
      </c>
    </row>
    <row r="87" spans="1:48" ht="36" customHeight="1">
      <c r="A87" s="720" t="e">
        <f t="shared" si="17"/>
        <v>#REF!</v>
      </c>
      <c r="B87" s="697" t="s">
        <v>297</v>
      </c>
      <c r="C87" s="721">
        <f>AC26</f>
        <v>95000</v>
      </c>
      <c r="D87" s="722" t="s">
        <v>878</v>
      </c>
      <c r="F87" s="733" t="s">
        <v>1548</v>
      </c>
      <c r="H87" s="760" t="s">
        <v>1966</v>
      </c>
      <c r="I87" s="758" t="s">
        <v>1419</v>
      </c>
      <c r="J87" s="759"/>
      <c r="K87" s="709">
        <f>K85-K80/10</f>
        <v>193.2</v>
      </c>
      <c r="S87" s="754" t="s">
        <v>1548</v>
      </c>
      <c r="T87" s="700"/>
      <c r="U87" s="760" t="s">
        <v>159</v>
      </c>
      <c r="V87" s="758" t="s">
        <v>1419</v>
      </c>
      <c r="W87" s="759"/>
      <c r="X87" s="709" t="e">
        <f>X85-X80/10</f>
        <v>#REF!</v>
      </c>
      <c r="AE87" s="710">
        <f t="shared" si="19"/>
        <v>0</v>
      </c>
      <c r="AG87" s="697"/>
      <c r="AH87" s="699">
        <f t="shared" si="20"/>
        <v>0</v>
      </c>
      <c r="AN87" s="8">
        <v>3</v>
      </c>
      <c r="AO87" s="7" t="s">
        <v>877</v>
      </c>
      <c r="AP87" s="1" t="s">
        <v>1737</v>
      </c>
      <c r="AQ87" s="8">
        <f>AQ63</f>
        <v>804</v>
      </c>
      <c r="AR87" s="1" t="s">
        <v>877</v>
      </c>
      <c r="AS87" s="8">
        <f>AQ87*AN87</f>
        <v>2412</v>
      </c>
    </row>
    <row r="88" spans="1:48" ht="24" customHeight="1">
      <c r="A88" s="720" t="e">
        <f t="shared" si="17"/>
        <v>#REF!</v>
      </c>
      <c r="B88" s="697" t="s">
        <v>1573</v>
      </c>
      <c r="C88" s="721">
        <f t="shared" si="21"/>
        <v>4424.5</v>
      </c>
      <c r="D88" s="722" t="s">
        <v>1503</v>
      </c>
      <c r="I88" s="758" t="s">
        <v>1382</v>
      </c>
      <c r="J88" s="759"/>
      <c r="K88" s="707">
        <f>ROUND(K87+C34,2)</f>
        <v>202.5</v>
      </c>
      <c r="T88" s="700"/>
      <c r="V88" s="758" t="s">
        <v>1382</v>
      </c>
      <c r="W88" s="759"/>
      <c r="X88" s="707" t="e">
        <f>ROUND(X87+C34,2)</f>
        <v>#REF!</v>
      </c>
      <c r="AE88" s="710">
        <f t="shared" si="19"/>
        <v>0</v>
      </c>
      <c r="AG88" s="697"/>
      <c r="AH88" s="699">
        <f t="shared" si="20"/>
        <v>0</v>
      </c>
      <c r="AN88" s="8">
        <v>2</v>
      </c>
      <c r="AO88" s="7" t="s">
        <v>877</v>
      </c>
      <c r="AP88" s="1" t="s">
        <v>1927</v>
      </c>
      <c r="AQ88" s="8">
        <f>AQ64</f>
        <v>562</v>
      </c>
      <c r="AR88" s="1" t="s">
        <v>877</v>
      </c>
      <c r="AS88" s="8">
        <f>AQ88*AN88</f>
        <v>1124</v>
      </c>
    </row>
    <row r="89" spans="1:48" ht="24" customHeight="1">
      <c r="A89" s="734"/>
      <c r="B89" s="734"/>
      <c r="C89" s="734"/>
      <c r="D89" s="734"/>
      <c r="F89" s="733" t="s">
        <v>2122</v>
      </c>
      <c r="G89" s="708" t="s">
        <v>987</v>
      </c>
      <c r="H89" s="697" t="s">
        <v>5212</v>
      </c>
      <c r="S89" s="754"/>
      <c r="T89" s="708"/>
      <c r="U89" s="697"/>
      <c r="W89" s="702"/>
      <c r="AE89" s="710">
        <f t="shared" si="19"/>
        <v>0</v>
      </c>
      <c r="AH89" s="699">
        <f t="shared" si="20"/>
        <v>0</v>
      </c>
      <c r="AN89" s="8">
        <v>6</v>
      </c>
      <c r="AO89" s="7" t="s">
        <v>877</v>
      </c>
      <c r="AP89" s="1" t="s">
        <v>321</v>
      </c>
      <c r="AQ89" s="8">
        <f>AQ65</f>
        <v>461</v>
      </c>
      <c r="AR89" s="1" t="s">
        <v>877</v>
      </c>
      <c r="AS89" s="8">
        <f>AQ89*AN89</f>
        <v>2766</v>
      </c>
    </row>
    <row r="90" spans="1:48" ht="24" customHeight="1">
      <c r="A90" s="734"/>
      <c r="B90" s="734"/>
      <c r="C90" s="734"/>
      <c r="D90" s="734"/>
      <c r="F90" s="755" t="s">
        <v>987</v>
      </c>
      <c r="H90" s="705" t="s">
        <v>1609</v>
      </c>
      <c r="M90" s="699" t="s">
        <v>3285</v>
      </c>
      <c r="S90" s="756"/>
      <c r="T90" s="700"/>
      <c r="U90" s="705"/>
      <c r="W90" s="702"/>
      <c r="AE90" s="710">
        <f t="shared" si="19"/>
        <v>0</v>
      </c>
      <c r="AH90" s="699">
        <f t="shared" si="20"/>
        <v>0</v>
      </c>
      <c r="AO90" s="7" t="s">
        <v>450</v>
      </c>
      <c r="AP90" s="1" t="s">
        <v>451</v>
      </c>
      <c r="AR90" s="1" t="s">
        <v>450</v>
      </c>
      <c r="AS90" s="8">
        <v>0</v>
      </c>
    </row>
    <row r="91" spans="1:48" ht="24" customHeight="1">
      <c r="A91" s="734"/>
      <c r="B91" s="734"/>
      <c r="C91" s="734"/>
      <c r="D91" s="734"/>
      <c r="F91" s="710">
        <v>10</v>
      </c>
      <c r="G91" s="708" t="s">
        <v>878</v>
      </c>
      <c r="H91" s="697" t="s">
        <v>381</v>
      </c>
      <c r="I91" s="710">
        <f>D58</f>
        <v>143.9</v>
      </c>
      <c r="J91" s="697" t="s">
        <v>878</v>
      </c>
      <c r="K91" s="710">
        <f>(F91*I91)</f>
        <v>1439</v>
      </c>
      <c r="M91" s="699" t="e">
        <f>#REF!</f>
        <v>#REF!</v>
      </c>
      <c r="S91" s="740"/>
      <c r="T91" s="708"/>
      <c r="U91" s="697"/>
      <c r="V91" s="710"/>
      <c r="W91" s="697"/>
      <c r="X91" s="710"/>
      <c r="AE91" s="710">
        <f t="shared" si="19"/>
        <v>0</v>
      </c>
      <c r="AH91" s="699">
        <f t="shared" si="20"/>
        <v>0</v>
      </c>
      <c r="AO91" s="3"/>
      <c r="AR91" s="9"/>
      <c r="AS91" s="5" t="s">
        <v>1609</v>
      </c>
    </row>
    <row r="92" spans="1:48" ht="24" customHeight="1">
      <c r="A92" s="734"/>
      <c r="B92" s="734"/>
      <c r="C92" s="734"/>
      <c r="D92" s="734"/>
      <c r="F92" s="710">
        <v>10</v>
      </c>
      <c r="G92" s="708" t="s">
        <v>878</v>
      </c>
      <c r="H92" s="697" t="s">
        <v>2036</v>
      </c>
      <c r="I92" s="710">
        <f>D58</f>
        <v>143.9</v>
      </c>
      <c r="J92" s="697" t="s">
        <v>878</v>
      </c>
      <c r="K92" s="710">
        <f>(F92*I92)</f>
        <v>1439</v>
      </c>
      <c r="M92" s="699" t="e">
        <f>M91</f>
        <v>#REF!</v>
      </c>
      <c r="S92" s="740"/>
      <c r="T92" s="708"/>
      <c r="U92" s="697"/>
      <c r="V92" s="710"/>
      <c r="W92" s="697"/>
      <c r="X92" s="710"/>
      <c r="AE92" s="710">
        <f t="shared" si="19"/>
        <v>0</v>
      </c>
      <c r="AH92" s="699">
        <f t="shared" si="20"/>
        <v>0</v>
      </c>
      <c r="AO92" s="3"/>
      <c r="AP92" s="1" t="s">
        <v>620</v>
      </c>
      <c r="AR92" s="9"/>
      <c r="AS92" s="8">
        <f>SUM(AS84:AS90)</f>
        <v>17885.2</v>
      </c>
    </row>
    <row r="93" spans="1:48" ht="24" customHeight="1">
      <c r="A93" s="734"/>
      <c r="B93" s="734"/>
      <c r="C93" s="734"/>
      <c r="D93" s="734"/>
      <c r="F93" s="710">
        <v>10</v>
      </c>
      <c r="G93" s="708" t="s">
        <v>878</v>
      </c>
      <c r="H93" s="697" t="s">
        <v>2038</v>
      </c>
      <c r="I93" s="710">
        <f>I80</f>
        <v>11.2</v>
      </c>
      <c r="J93" s="697" t="s">
        <v>878</v>
      </c>
      <c r="K93" s="710">
        <f>(F93*I93)</f>
        <v>112</v>
      </c>
      <c r="M93" s="699">
        <f>I93</f>
        <v>11.2</v>
      </c>
      <c r="S93" s="740"/>
      <c r="T93" s="708"/>
      <c r="U93" s="697"/>
      <c r="V93" s="710"/>
      <c r="W93" s="697"/>
      <c r="X93" s="710"/>
      <c r="AE93" s="710">
        <f t="shared" si="19"/>
        <v>0</v>
      </c>
      <c r="AH93" s="699">
        <f t="shared" si="20"/>
        <v>0</v>
      </c>
      <c r="AO93" s="3"/>
      <c r="AR93" s="9"/>
      <c r="AS93" s="5" t="s">
        <v>1609</v>
      </c>
    </row>
    <row r="94" spans="1:48" ht="24" customHeight="1">
      <c r="A94" s="734"/>
      <c r="B94" s="734"/>
      <c r="C94" s="734"/>
      <c r="D94" s="734"/>
      <c r="G94" s="708" t="s">
        <v>450</v>
      </c>
      <c r="H94" s="697" t="s">
        <v>451</v>
      </c>
      <c r="J94" s="697" t="s">
        <v>450</v>
      </c>
      <c r="K94" s="710">
        <v>0</v>
      </c>
      <c r="M94" s="699" t="e">
        <f>SUM(M91:M93)</f>
        <v>#REF!</v>
      </c>
      <c r="T94" s="708"/>
      <c r="U94" s="697"/>
      <c r="W94" s="697"/>
      <c r="X94" s="710"/>
      <c r="AE94" s="710">
        <f t="shared" si="19"/>
        <v>0</v>
      </c>
      <c r="AH94" s="699">
        <f t="shared" si="20"/>
        <v>0</v>
      </c>
      <c r="AO94" s="3"/>
      <c r="AP94" s="2" t="s">
        <v>782</v>
      </c>
      <c r="AR94" s="9"/>
      <c r="AS94" s="8">
        <f>(AS92/2.83168)</f>
        <v>6316.11</v>
      </c>
    </row>
    <row r="95" spans="1:48" ht="24" customHeight="1">
      <c r="A95" s="734"/>
      <c r="B95" s="734"/>
      <c r="C95" s="734"/>
      <c r="D95" s="734"/>
      <c r="K95" s="705" t="s">
        <v>1609</v>
      </c>
      <c r="T95" s="700"/>
      <c r="W95" s="702"/>
      <c r="X95" s="705"/>
      <c r="AE95" s="710">
        <f t="shared" si="19"/>
        <v>0</v>
      </c>
      <c r="AH95" s="699">
        <f t="shared" si="20"/>
        <v>0</v>
      </c>
      <c r="AO95" s="3"/>
      <c r="AR95" s="9"/>
      <c r="AS95" s="5" t="s">
        <v>2080</v>
      </c>
    </row>
    <row r="96" spans="1:48" ht="24" customHeight="1">
      <c r="A96" s="734"/>
      <c r="B96" s="734"/>
      <c r="C96" s="734"/>
      <c r="D96" s="734"/>
      <c r="H96" s="697" t="s">
        <v>620</v>
      </c>
      <c r="K96" s="710">
        <f>SUM(K91:K94)</f>
        <v>2990</v>
      </c>
      <c r="T96" s="700"/>
      <c r="U96" s="697"/>
      <c r="W96" s="702"/>
      <c r="X96" s="710"/>
      <c r="AE96" s="710">
        <f t="shared" si="19"/>
        <v>0</v>
      </c>
      <c r="AH96" s="699">
        <f t="shared" si="20"/>
        <v>0</v>
      </c>
      <c r="AO96" s="3"/>
      <c r="AP96" s="1" t="s">
        <v>386</v>
      </c>
      <c r="AR96" s="9"/>
      <c r="AS96" s="26">
        <f>AS94+C17</f>
        <v>6387.51</v>
      </c>
      <c r="AU96">
        <f>AS96*22.69/100</f>
        <v>1449.33</v>
      </c>
      <c r="AV96">
        <f>AS96-AU96</f>
        <v>4938.18</v>
      </c>
    </row>
    <row r="97" spans="1:48" ht="24" customHeight="1">
      <c r="A97" s="734"/>
      <c r="B97" s="734"/>
      <c r="C97" s="734"/>
      <c r="D97" s="734"/>
      <c r="K97" s="705" t="s">
        <v>1609</v>
      </c>
      <c r="T97" s="700"/>
      <c r="W97" s="702"/>
      <c r="X97" s="705"/>
      <c r="AE97" s="710">
        <f t="shared" si="19"/>
        <v>0</v>
      </c>
      <c r="AH97" s="699">
        <f t="shared" si="20"/>
        <v>0</v>
      </c>
      <c r="AO97" s="3"/>
      <c r="AP97" s="1" t="s">
        <v>388</v>
      </c>
      <c r="AR97" s="9"/>
      <c r="AS97" s="26">
        <f>(AS96+C18)</f>
        <v>6531.57</v>
      </c>
      <c r="AU97">
        <f t="shared" ref="AU97:AU160" si="22">AS97*22.69/100</f>
        <v>1482.01</v>
      </c>
      <c r="AV97">
        <f t="shared" ref="AV97:AV160" si="23">AS97-AU97</f>
        <v>5049.5600000000004</v>
      </c>
    </row>
    <row r="98" spans="1:48" ht="24" customHeight="1">
      <c r="A98" s="734"/>
      <c r="B98" s="734"/>
      <c r="C98" s="734"/>
      <c r="D98" s="734"/>
      <c r="H98" s="701" t="s">
        <v>2074</v>
      </c>
      <c r="I98" s="758" t="s">
        <v>1419</v>
      </c>
      <c r="J98" s="759"/>
      <c r="K98" s="709">
        <f>(K96/10)</f>
        <v>299</v>
      </c>
      <c r="M98" s="699" t="e">
        <f>SUM(M91:M92)</f>
        <v>#REF!</v>
      </c>
      <c r="T98" s="700"/>
      <c r="U98" s="701"/>
      <c r="V98" s="758"/>
      <c r="W98" s="759"/>
      <c r="X98" s="709"/>
      <c r="AE98" s="710">
        <f t="shared" si="19"/>
        <v>0</v>
      </c>
      <c r="AH98" s="699">
        <f t="shared" si="20"/>
        <v>0</v>
      </c>
      <c r="AO98" s="3"/>
      <c r="AP98" s="1" t="s">
        <v>2257</v>
      </c>
      <c r="AR98" s="9"/>
      <c r="AS98" s="26">
        <f>(AS97+C18)</f>
        <v>6675.63</v>
      </c>
      <c r="AU98">
        <f t="shared" si="22"/>
        <v>1514.7</v>
      </c>
      <c r="AV98">
        <f t="shared" si="23"/>
        <v>5160.93</v>
      </c>
    </row>
    <row r="99" spans="1:48" ht="24" customHeight="1">
      <c r="A99" s="734"/>
      <c r="B99" s="734"/>
      <c r="C99" s="734"/>
      <c r="D99" s="734"/>
      <c r="I99" s="758" t="s">
        <v>1382</v>
      </c>
      <c r="J99" s="759"/>
      <c r="K99" s="707">
        <f>ROUND(K98+C34,2)</f>
        <v>308.3</v>
      </c>
      <c r="T99" s="700"/>
      <c r="V99" s="758"/>
      <c r="W99" s="759"/>
      <c r="X99" s="707"/>
      <c r="AE99" s="710">
        <f t="shared" si="19"/>
        <v>0</v>
      </c>
      <c r="AH99" s="699">
        <f t="shared" si="20"/>
        <v>0</v>
      </c>
      <c r="AO99" s="3"/>
      <c r="AP99" s="1" t="s">
        <v>380</v>
      </c>
      <c r="AR99" s="9"/>
      <c r="AS99" s="26">
        <f>(AS98+C18)</f>
        <v>6819.69</v>
      </c>
      <c r="AU99">
        <f t="shared" si="22"/>
        <v>1547.39</v>
      </c>
      <c r="AV99">
        <f t="shared" si="23"/>
        <v>5272.3</v>
      </c>
    </row>
    <row r="100" spans="1:48" ht="24" customHeight="1">
      <c r="A100" s="734"/>
      <c r="B100" s="734"/>
      <c r="C100" s="734"/>
      <c r="D100" s="734"/>
      <c r="I100" s="758"/>
      <c r="J100" s="759"/>
      <c r="K100" s="761"/>
      <c r="T100" s="700"/>
      <c r="V100" s="758"/>
      <c r="W100" s="759"/>
      <c r="X100" s="761"/>
      <c r="AE100" s="710">
        <f t="shared" si="19"/>
        <v>0</v>
      </c>
      <c r="AH100" s="699">
        <f t="shared" si="20"/>
        <v>0</v>
      </c>
      <c r="AN100" s="1" t="s">
        <v>987</v>
      </c>
      <c r="AO100" s="3"/>
      <c r="AP100" s="1" t="s">
        <v>489</v>
      </c>
      <c r="AR100" s="9"/>
      <c r="AS100" s="26">
        <f>(AS99+C18)</f>
        <v>6963.75</v>
      </c>
      <c r="AU100">
        <f t="shared" si="22"/>
        <v>1580.07</v>
      </c>
      <c r="AV100">
        <f t="shared" si="23"/>
        <v>5383.68</v>
      </c>
    </row>
    <row r="101" spans="1:48" ht="30.75" customHeight="1">
      <c r="A101" s="734"/>
      <c r="B101" s="734"/>
      <c r="C101" s="734"/>
      <c r="D101" s="734"/>
      <c r="F101" s="753">
        <v>1.7</v>
      </c>
      <c r="H101" s="760" t="s">
        <v>662</v>
      </c>
      <c r="I101" s="758" t="s">
        <v>1419</v>
      </c>
      <c r="J101" s="759"/>
      <c r="K101" s="707">
        <f>ROUND(K98-K93/10,2)</f>
        <v>287.8</v>
      </c>
      <c r="S101" s="754"/>
      <c r="T101" s="700"/>
      <c r="U101" s="760"/>
      <c r="V101" s="758"/>
      <c r="W101" s="759"/>
      <c r="X101" s="707"/>
      <c r="AE101" s="710">
        <f t="shared" si="19"/>
        <v>0</v>
      </c>
      <c r="AH101" s="699">
        <f t="shared" si="20"/>
        <v>0</v>
      </c>
      <c r="AN101" s="10">
        <v>27</v>
      </c>
      <c r="AO101" s="7" t="s">
        <v>2276</v>
      </c>
      <c r="AP101" s="1" t="s">
        <v>3798</v>
      </c>
      <c r="AR101" s="9"/>
    </row>
    <row r="102" spans="1:48" ht="24" customHeight="1">
      <c r="A102" s="734"/>
      <c r="B102" s="734"/>
      <c r="C102" s="734"/>
      <c r="D102" s="734"/>
      <c r="I102" s="758" t="s">
        <v>1382</v>
      </c>
      <c r="J102" s="759"/>
      <c r="K102" s="707">
        <f>ROUND(K101+C34,2)</f>
        <v>297.10000000000002</v>
      </c>
      <c r="T102" s="700"/>
      <c r="V102" s="758"/>
      <c r="W102" s="759"/>
      <c r="X102" s="707"/>
      <c r="AE102" s="710">
        <f t="shared" si="19"/>
        <v>0</v>
      </c>
      <c r="AH102" s="699">
        <f t="shared" si="20"/>
        <v>0</v>
      </c>
      <c r="AO102" s="3"/>
      <c r="AP102" s="1" t="str">
        <f>AP82</f>
        <v>Bricks of size 23x11x7 cm</v>
      </c>
      <c r="AR102" s="9"/>
    </row>
    <row r="103" spans="1:48" ht="24" customHeight="1">
      <c r="A103" s="734"/>
      <c r="B103" s="734"/>
      <c r="C103" s="734"/>
      <c r="D103" s="734"/>
      <c r="K103" s="705"/>
      <c r="T103" s="700"/>
      <c r="W103" s="702"/>
      <c r="X103" s="705"/>
      <c r="AE103" s="710">
        <f t="shared" si="19"/>
        <v>0</v>
      </c>
      <c r="AH103" s="699">
        <f t="shared" si="20"/>
        <v>0</v>
      </c>
      <c r="AO103" s="3"/>
      <c r="AP103" s="5" t="s">
        <v>1609</v>
      </c>
      <c r="AR103" s="9"/>
    </row>
    <row r="104" spans="1:48" ht="24" customHeight="1">
      <c r="A104" s="734"/>
      <c r="B104" s="734"/>
      <c r="C104" s="734"/>
      <c r="D104" s="734"/>
      <c r="K104" s="705"/>
      <c r="T104" s="700"/>
      <c r="W104" s="702"/>
      <c r="X104" s="705"/>
      <c r="AE104" s="710">
        <f t="shared" si="19"/>
        <v>0</v>
      </c>
      <c r="AH104" s="699">
        <f t="shared" si="20"/>
        <v>0</v>
      </c>
      <c r="AN104" s="8">
        <v>1300</v>
      </c>
      <c r="AO104" s="7" t="s">
        <v>1445</v>
      </c>
      <c r="AP104" s="8" t="str">
        <f>AP58</f>
        <v>Bricks of size 23x11x7 cm</v>
      </c>
      <c r="AQ104" s="8">
        <f>AC42</f>
        <v>6591.4</v>
      </c>
      <c r="AR104" s="1" t="s">
        <v>1617</v>
      </c>
      <c r="AS104" s="8">
        <f>(AN104*AQ104)/1000</f>
        <v>8568.82</v>
      </c>
      <c r="AU104">
        <f t="shared" si="22"/>
        <v>1944.27</v>
      </c>
      <c r="AV104">
        <f t="shared" si="23"/>
        <v>6624.55</v>
      </c>
    </row>
    <row r="105" spans="1:48" ht="38.25" customHeight="1">
      <c r="A105" s="734"/>
      <c r="B105" s="734"/>
      <c r="C105" s="734"/>
      <c r="D105" s="734"/>
      <c r="F105" s="753">
        <v>1.4</v>
      </c>
      <c r="G105" s="708" t="s">
        <v>987</v>
      </c>
      <c r="H105" s="762" t="s">
        <v>5213</v>
      </c>
      <c r="S105" s="754">
        <v>1.4</v>
      </c>
      <c r="T105" s="708" t="s">
        <v>987</v>
      </c>
      <c r="U105" s="762" t="s">
        <v>5213</v>
      </c>
      <c r="W105" s="702"/>
      <c r="AE105" s="710">
        <f t="shared" si="19"/>
        <v>0</v>
      </c>
      <c r="AH105" s="699">
        <f t="shared" si="20"/>
        <v>0</v>
      </c>
      <c r="AN105" s="11">
        <v>0.70799999999999996</v>
      </c>
      <c r="AO105" s="7" t="s">
        <v>878</v>
      </c>
      <c r="AP105" s="1" t="s">
        <v>1327</v>
      </c>
      <c r="AQ105" s="8">
        <f>K37</f>
        <v>3756.7</v>
      </c>
      <c r="AR105" s="1" t="s">
        <v>878</v>
      </c>
      <c r="AS105" s="8">
        <f>(AN105*AQ105)</f>
        <v>2659.74</v>
      </c>
      <c r="AU105">
        <f t="shared" si="22"/>
        <v>603.5</v>
      </c>
      <c r="AV105">
        <f t="shared" si="23"/>
        <v>2056.2399999999998</v>
      </c>
    </row>
    <row r="106" spans="1:48" ht="24" customHeight="1">
      <c r="A106" s="734"/>
      <c r="B106" s="734"/>
      <c r="C106" s="734"/>
      <c r="D106" s="734"/>
      <c r="T106" s="700"/>
      <c r="W106" s="702"/>
      <c r="AE106" s="710">
        <f t="shared" si="19"/>
        <v>0</v>
      </c>
      <c r="AH106" s="699">
        <f t="shared" si="20"/>
        <v>0</v>
      </c>
      <c r="AN106" s="8">
        <v>1</v>
      </c>
      <c r="AO106" s="7" t="s">
        <v>877</v>
      </c>
      <c r="AP106" s="1" t="s">
        <v>2034</v>
      </c>
      <c r="AQ106" s="8">
        <f>AQ86</f>
        <v>861</v>
      </c>
      <c r="AR106" s="1" t="s">
        <v>877</v>
      </c>
      <c r="AS106" s="8">
        <f>(AN106*AQ106)</f>
        <v>861</v>
      </c>
      <c r="AU106">
        <f t="shared" si="22"/>
        <v>195.36</v>
      </c>
      <c r="AV106">
        <f t="shared" si="23"/>
        <v>665.64</v>
      </c>
    </row>
    <row r="107" spans="1:48" ht="24" customHeight="1">
      <c r="A107" s="734"/>
      <c r="B107" s="734"/>
      <c r="C107" s="734"/>
      <c r="D107" s="734"/>
      <c r="F107" s="710">
        <v>10</v>
      </c>
      <c r="G107" s="708" t="s">
        <v>878</v>
      </c>
      <c r="H107" s="697" t="s">
        <v>1195</v>
      </c>
      <c r="I107" s="710">
        <f>C58</f>
        <v>96.6</v>
      </c>
      <c r="J107" s="697" t="s">
        <v>878</v>
      </c>
      <c r="K107" s="710">
        <f>(F107*I107)</f>
        <v>966</v>
      </c>
      <c r="S107" s="740">
        <v>10</v>
      </c>
      <c r="T107" s="708" t="s">
        <v>878</v>
      </c>
      <c r="U107" s="697" t="s">
        <v>1195</v>
      </c>
      <c r="V107" s="710" t="e">
        <f>V78</f>
        <v>#REF!</v>
      </c>
      <c r="W107" s="697" t="s">
        <v>878</v>
      </c>
      <c r="X107" s="710" t="e">
        <f>(S107*V107)</f>
        <v>#REF!</v>
      </c>
      <c r="AE107" s="710">
        <f t="shared" si="19"/>
        <v>0</v>
      </c>
      <c r="AH107" s="699">
        <f t="shared" si="20"/>
        <v>0</v>
      </c>
      <c r="AN107" s="8">
        <v>3</v>
      </c>
      <c r="AO107" s="7" t="s">
        <v>877</v>
      </c>
      <c r="AP107" s="1" t="s">
        <v>1737</v>
      </c>
      <c r="AQ107" s="8">
        <f>AQ87</f>
        <v>804</v>
      </c>
      <c r="AR107" s="1" t="s">
        <v>877</v>
      </c>
      <c r="AS107" s="8">
        <f>(AN107*AQ107)</f>
        <v>2412</v>
      </c>
      <c r="AU107">
        <f t="shared" si="22"/>
        <v>547.28</v>
      </c>
      <c r="AV107">
        <f t="shared" si="23"/>
        <v>1864.72</v>
      </c>
    </row>
    <row r="108" spans="1:48" ht="24" customHeight="1">
      <c r="A108" s="734"/>
      <c r="B108" s="734"/>
      <c r="C108" s="734"/>
      <c r="D108" s="734"/>
      <c r="F108" s="710">
        <v>10</v>
      </c>
      <c r="G108" s="708" t="s">
        <v>878</v>
      </c>
      <c r="H108" s="697" t="s">
        <v>2038</v>
      </c>
      <c r="I108" s="710">
        <f>I80</f>
        <v>11.2</v>
      </c>
      <c r="J108" s="697" t="s">
        <v>878</v>
      </c>
      <c r="K108" s="710">
        <f>(F108*I108)</f>
        <v>112</v>
      </c>
      <c r="S108" s="740">
        <v>10</v>
      </c>
      <c r="T108" s="708" t="s">
        <v>878</v>
      </c>
      <c r="U108" s="697" t="s">
        <v>2038</v>
      </c>
      <c r="V108" s="710">
        <f>V80</f>
        <v>9.83</v>
      </c>
      <c r="W108" s="697" t="s">
        <v>878</v>
      </c>
      <c r="X108" s="710">
        <f>(S108*V108)</f>
        <v>98.3</v>
      </c>
      <c r="AE108" s="710">
        <f t="shared" si="19"/>
        <v>0</v>
      </c>
      <c r="AH108" s="699">
        <f t="shared" si="20"/>
        <v>0</v>
      </c>
      <c r="AN108" s="8">
        <v>2</v>
      </c>
      <c r="AO108" s="7" t="s">
        <v>877</v>
      </c>
      <c r="AP108" s="1" t="s">
        <v>1927</v>
      </c>
      <c r="AQ108" s="8">
        <f>AQ88</f>
        <v>562</v>
      </c>
      <c r="AR108" s="1" t="s">
        <v>877</v>
      </c>
      <c r="AS108" s="8">
        <f>(AN108*AQ108)</f>
        <v>1124</v>
      </c>
      <c r="AU108">
        <f t="shared" si="22"/>
        <v>255.04</v>
      </c>
      <c r="AV108">
        <f t="shared" si="23"/>
        <v>868.96</v>
      </c>
    </row>
    <row r="109" spans="1:48" ht="24" customHeight="1">
      <c r="A109" s="734"/>
      <c r="B109" s="734"/>
      <c r="C109" s="734"/>
      <c r="D109" s="734"/>
      <c r="G109" s="708" t="s">
        <v>450</v>
      </c>
      <c r="H109" s="697" t="s">
        <v>451</v>
      </c>
      <c r="J109" s="697" t="s">
        <v>450</v>
      </c>
      <c r="K109" s="710">
        <v>0</v>
      </c>
      <c r="T109" s="708" t="s">
        <v>450</v>
      </c>
      <c r="U109" s="697" t="s">
        <v>451</v>
      </c>
      <c r="W109" s="697" t="s">
        <v>450</v>
      </c>
      <c r="X109" s="710">
        <v>0</v>
      </c>
      <c r="AE109" s="710">
        <f t="shared" si="19"/>
        <v>0</v>
      </c>
      <c r="AH109" s="699">
        <f t="shared" si="20"/>
        <v>0</v>
      </c>
      <c r="AN109" s="8">
        <v>6</v>
      </c>
      <c r="AO109" s="7" t="s">
        <v>877</v>
      </c>
      <c r="AP109" s="1" t="s">
        <v>321</v>
      </c>
      <c r="AQ109" s="8">
        <f>AQ89</f>
        <v>461</v>
      </c>
      <c r="AR109" s="1" t="s">
        <v>877</v>
      </c>
      <c r="AS109" s="8">
        <f>(AN109*AQ109)</f>
        <v>2766</v>
      </c>
      <c r="AU109">
        <f t="shared" si="22"/>
        <v>627.61</v>
      </c>
      <c r="AV109">
        <f t="shared" si="23"/>
        <v>2138.39</v>
      </c>
    </row>
    <row r="110" spans="1:48" ht="24" customHeight="1">
      <c r="A110" s="734"/>
      <c r="B110" s="734"/>
      <c r="C110" s="734"/>
      <c r="D110" s="734"/>
      <c r="K110" s="705" t="s">
        <v>1609</v>
      </c>
      <c r="T110" s="700"/>
      <c r="W110" s="702"/>
      <c r="X110" s="705" t="s">
        <v>1609</v>
      </c>
      <c r="AE110" s="710">
        <f t="shared" si="19"/>
        <v>0</v>
      </c>
      <c r="AH110" s="699">
        <f t="shared" si="20"/>
        <v>0</v>
      </c>
      <c r="AO110" s="7" t="s">
        <v>450</v>
      </c>
      <c r="AP110" s="1" t="s">
        <v>451</v>
      </c>
      <c r="AR110" s="1" t="s">
        <v>450</v>
      </c>
      <c r="AS110" s="8">
        <v>0</v>
      </c>
      <c r="AU110">
        <f t="shared" si="22"/>
        <v>0</v>
      </c>
      <c r="AV110">
        <f t="shared" si="23"/>
        <v>0</v>
      </c>
    </row>
    <row r="111" spans="1:48" ht="24" customHeight="1">
      <c r="A111" s="734"/>
      <c r="B111" s="734"/>
      <c r="C111" s="734"/>
      <c r="D111" s="734"/>
      <c r="H111" s="697" t="s">
        <v>620</v>
      </c>
      <c r="K111" s="710">
        <f>SUM(K107:K109)</f>
        <v>1078</v>
      </c>
      <c r="T111" s="700"/>
      <c r="U111" s="697" t="s">
        <v>620</v>
      </c>
      <c r="W111" s="702"/>
      <c r="X111" s="710" t="e">
        <f>SUM(X107:X109)</f>
        <v>#REF!</v>
      </c>
      <c r="AE111" s="710">
        <f t="shared" si="19"/>
        <v>0</v>
      </c>
      <c r="AH111" s="699">
        <f t="shared" si="20"/>
        <v>0</v>
      </c>
      <c r="AO111" s="3"/>
      <c r="AR111" s="9"/>
      <c r="AS111" s="5" t="s">
        <v>1609</v>
      </c>
      <c r="AU111">
        <f t="shared" si="22"/>
        <v>0</v>
      </c>
      <c r="AV111">
        <f t="shared" si="23"/>
        <v>0</v>
      </c>
    </row>
    <row r="112" spans="1:48" ht="24" customHeight="1">
      <c r="A112" s="734"/>
      <c r="B112" s="734"/>
      <c r="C112" s="734"/>
      <c r="D112" s="734"/>
      <c r="K112" s="705" t="s">
        <v>1609</v>
      </c>
      <c r="T112" s="700"/>
      <c r="W112" s="702"/>
      <c r="X112" s="705" t="s">
        <v>1609</v>
      </c>
      <c r="AE112" s="710">
        <f t="shared" si="19"/>
        <v>0</v>
      </c>
      <c r="AH112" s="699">
        <f t="shared" si="20"/>
        <v>0</v>
      </c>
      <c r="AO112" s="3"/>
      <c r="AP112" s="1" t="s">
        <v>620</v>
      </c>
      <c r="AR112" s="9"/>
      <c r="AS112" s="8">
        <f>SUM(AS104:AS110)</f>
        <v>18391.560000000001</v>
      </c>
      <c r="AU112">
        <f t="shared" si="22"/>
        <v>4173.04</v>
      </c>
      <c r="AV112">
        <f t="shared" si="23"/>
        <v>14218.52</v>
      </c>
    </row>
    <row r="113" spans="1:48" ht="24" customHeight="1">
      <c r="A113" s="734"/>
      <c r="B113" s="734"/>
      <c r="C113" s="734"/>
      <c r="D113" s="734"/>
      <c r="H113" s="697"/>
      <c r="K113" s="709">
        <f>(K111/10)</f>
        <v>107.8</v>
      </c>
      <c r="L113" s="758">
        <f>K113+C34</f>
        <v>117.1</v>
      </c>
      <c r="M113" s="699" t="e">
        <f>M91</f>
        <v>#REF!</v>
      </c>
      <c r="T113" s="700"/>
      <c r="U113" s="697"/>
      <c r="W113" s="702"/>
      <c r="X113" s="709" t="e">
        <f>(X111/10)</f>
        <v>#REF!</v>
      </c>
      <c r="AE113" s="710">
        <f t="shared" si="19"/>
        <v>0</v>
      </c>
      <c r="AH113" s="699">
        <f t="shared" si="20"/>
        <v>0</v>
      </c>
      <c r="AO113" s="3"/>
      <c r="AR113" s="9"/>
      <c r="AS113" s="5" t="s">
        <v>1609</v>
      </c>
      <c r="AU113">
        <f t="shared" si="22"/>
        <v>0</v>
      </c>
      <c r="AV113">
        <f t="shared" si="23"/>
        <v>0</v>
      </c>
    </row>
    <row r="114" spans="1:48" ht="24" customHeight="1">
      <c r="A114" s="734"/>
      <c r="B114" s="734"/>
      <c r="C114" s="734"/>
      <c r="D114" s="734"/>
      <c r="K114" s="705"/>
      <c r="T114" s="700"/>
      <c r="W114" s="702"/>
      <c r="X114" s="705"/>
      <c r="AE114" s="710">
        <f t="shared" si="19"/>
        <v>0</v>
      </c>
      <c r="AH114" s="699">
        <f t="shared" si="20"/>
        <v>0</v>
      </c>
      <c r="AO114" s="3"/>
      <c r="AP114" s="1" t="s">
        <v>782</v>
      </c>
      <c r="AR114" s="9"/>
      <c r="AS114" s="26">
        <f>(AS112/2.83168)</f>
        <v>6494.93</v>
      </c>
      <c r="AU114">
        <f t="shared" si="22"/>
        <v>1473.7</v>
      </c>
      <c r="AV114">
        <f t="shared" si="23"/>
        <v>5021.2299999999996</v>
      </c>
    </row>
    <row r="115" spans="1:48" ht="24" customHeight="1">
      <c r="A115" s="734"/>
      <c r="B115" s="734"/>
      <c r="C115" s="734"/>
      <c r="D115" s="734"/>
      <c r="F115" s="753">
        <v>1.5</v>
      </c>
      <c r="H115" s="697" t="s">
        <v>2060</v>
      </c>
      <c r="I115" s="758" t="s">
        <v>1419</v>
      </c>
      <c r="K115" s="709">
        <f>K113-K108/10</f>
        <v>96.6</v>
      </c>
      <c r="S115" s="754">
        <v>1.5</v>
      </c>
      <c r="T115" s="700"/>
      <c r="U115" s="697" t="s">
        <v>2060</v>
      </c>
      <c r="V115" s="758" t="s">
        <v>1419</v>
      </c>
      <c r="W115" s="702"/>
      <c r="X115" s="709" t="e">
        <f>X113-X108/10</f>
        <v>#REF!</v>
      </c>
      <c r="AE115" s="710">
        <f t="shared" si="19"/>
        <v>0</v>
      </c>
      <c r="AH115" s="699">
        <f t="shared" si="20"/>
        <v>0</v>
      </c>
      <c r="AO115" s="3"/>
      <c r="AR115" s="9"/>
      <c r="AS115" s="5" t="s">
        <v>2080</v>
      </c>
      <c r="AU115">
        <f t="shared" si="22"/>
        <v>0</v>
      </c>
      <c r="AV115">
        <f t="shared" si="23"/>
        <v>0</v>
      </c>
    </row>
    <row r="116" spans="1:48" ht="24" customHeight="1">
      <c r="A116" s="734"/>
      <c r="B116" s="734"/>
      <c r="C116" s="734"/>
      <c r="D116" s="734"/>
      <c r="I116" s="758" t="s">
        <v>1382</v>
      </c>
      <c r="K116" s="707">
        <f>ROUND(K115+C34,2)</f>
        <v>105.9</v>
      </c>
      <c r="T116" s="700"/>
      <c r="V116" s="758" t="s">
        <v>1382</v>
      </c>
      <c r="W116" s="702"/>
      <c r="X116" s="707" t="e">
        <f>ROUND(X115+#REF!,2)</f>
        <v>#REF!</v>
      </c>
      <c r="AE116" s="710">
        <f t="shared" si="19"/>
        <v>0</v>
      </c>
      <c r="AH116" s="699">
        <f t="shared" si="20"/>
        <v>0</v>
      </c>
      <c r="AO116" s="3"/>
      <c r="AP116" s="1" t="s">
        <v>386</v>
      </c>
      <c r="AR116" s="9"/>
      <c r="AS116" s="8">
        <f>(AS114+C17)</f>
        <v>6566.33</v>
      </c>
      <c r="AT116">
        <f>AS116-AS114</f>
        <v>71.400000000000006</v>
      </c>
      <c r="AU116">
        <f t="shared" si="22"/>
        <v>1489.9</v>
      </c>
      <c r="AV116">
        <f t="shared" si="23"/>
        <v>5076.43</v>
      </c>
    </row>
    <row r="117" spans="1:48" ht="24" customHeight="1">
      <c r="A117" s="734"/>
      <c r="B117" s="734"/>
      <c r="C117" s="734"/>
      <c r="D117" s="734"/>
      <c r="I117" s="699" t="s">
        <v>3833</v>
      </c>
      <c r="K117" s="707">
        <f>ROUND(K116+C34,2)</f>
        <v>115.2</v>
      </c>
      <c r="T117" s="700"/>
      <c r="W117" s="702"/>
      <c r="X117" s="705"/>
      <c r="AE117" s="710">
        <f t="shared" si="19"/>
        <v>0</v>
      </c>
      <c r="AH117" s="699">
        <f t="shared" si="20"/>
        <v>0</v>
      </c>
      <c r="AO117" s="3"/>
      <c r="AP117" s="1" t="s">
        <v>388</v>
      </c>
      <c r="AR117" s="9"/>
      <c r="AS117" s="8">
        <f>(AS116+C18)</f>
        <v>6710.39</v>
      </c>
      <c r="AT117">
        <f>AS117-AS116</f>
        <v>144.06</v>
      </c>
      <c r="AU117">
        <f t="shared" si="22"/>
        <v>1522.59</v>
      </c>
      <c r="AV117">
        <f t="shared" si="23"/>
        <v>5187.8</v>
      </c>
    </row>
    <row r="118" spans="1:48" ht="24" customHeight="1">
      <c r="A118" s="734"/>
      <c r="B118" s="734"/>
      <c r="C118" s="734"/>
      <c r="D118" s="734"/>
      <c r="I118" s="699" t="s">
        <v>3834</v>
      </c>
      <c r="K118" s="707">
        <f>ROUND(K117+C34,2)</f>
        <v>124.5</v>
      </c>
      <c r="T118" s="700"/>
      <c r="W118" s="702"/>
      <c r="X118" s="705"/>
      <c r="AE118" s="710">
        <f t="shared" si="19"/>
        <v>0</v>
      </c>
      <c r="AH118" s="699">
        <f t="shared" si="20"/>
        <v>0</v>
      </c>
      <c r="AO118" s="3"/>
      <c r="AP118" s="1" t="s">
        <v>2257</v>
      </c>
      <c r="AR118" s="9"/>
      <c r="AS118" s="8">
        <f>(AS117+C18)</f>
        <v>6854.45</v>
      </c>
      <c r="AU118">
        <f t="shared" si="22"/>
        <v>1555.27</v>
      </c>
      <c r="AV118">
        <f t="shared" si="23"/>
        <v>5299.18</v>
      </c>
    </row>
    <row r="119" spans="1:48" ht="28.5" customHeight="1">
      <c r="A119" s="734"/>
      <c r="B119" s="734"/>
      <c r="C119" s="734"/>
      <c r="D119" s="734"/>
      <c r="F119" s="763">
        <v>1.8</v>
      </c>
      <c r="H119" s="762" t="s">
        <v>5214</v>
      </c>
      <c r="K119" s="705"/>
      <c r="M119" s="698" t="s">
        <v>384</v>
      </c>
      <c r="N119" s="708" t="s">
        <v>2276</v>
      </c>
      <c r="O119" s="697" t="s">
        <v>385</v>
      </c>
      <c r="Q119" s="702"/>
      <c r="S119" s="764"/>
      <c r="T119" s="700"/>
      <c r="U119" s="762"/>
      <c r="W119" s="702"/>
      <c r="X119" s="705"/>
      <c r="AE119" s="710">
        <f t="shared" si="19"/>
        <v>0</v>
      </c>
      <c r="AH119" s="699">
        <f t="shared" si="20"/>
        <v>0</v>
      </c>
      <c r="AO119" s="3"/>
      <c r="AP119" s="1" t="s">
        <v>380</v>
      </c>
      <c r="AR119" s="9"/>
      <c r="AS119" s="8">
        <f>AS118+C18</f>
        <v>6998.51</v>
      </c>
      <c r="AU119">
        <f t="shared" si="22"/>
        <v>1587.96</v>
      </c>
      <c r="AV119">
        <f t="shared" si="23"/>
        <v>5410.55</v>
      </c>
    </row>
    <row r="120" spans="1:48" ht="24" customHeight="1">
      <c r="A120" s="734"/>
      <c r="B120" s="734"/>
      <c r="C120" s="734"/>
      <c r="D120" s="734"/>
      <c r="K120" s="705"/>
      <c r="N120" s="700"/>
      <c r="O120" s="697" t="s">
        <v>5215</v>
      </c>
      <c r="Q120" s="702"/>
      <c r="T120" s="700"/>
      <c r="W120" s="702"/>
      <c r="X120" s="705"/>
      <c r="AE120" s="710">
        <f t="shared" si="19"/>
        <v>0</v>
      </c>
      <c r="AH120" s="699">
        <f t="shared" si="20"/>
        <v>0</v>
      </c>
      <c r="AO120" s="3"/>
      <c r="AP120" s="1" t="s">
        <v>489</v>
      </c>
      <c r="AR120" s="9"/>
      <c r="AS120" s="8">
        <f>AS119+C18</f>
        <v>7142.57</v>
      </c>
      <c r="AU120">
        <f t="shared" si="22"/>
        <v>1620.65</v>
      </c>
      <c r="AV120">
        <f t="shared" si="23"/>
        <v>5521.92</v>
      </c>
    </row>
    <row r="121" spans="1:48" ht="24" customHeight="1">
      <c r="A121" s="734"/>
      <c r="B121" s="734"/>
      <c r="C121" s="734"/>
      <c r="D121" s="734"/>
      <c r="F121" s="710">
        <v>10</v>
      </c>
      <c r="G121" s="708" t="s">
        <v>878</v>
      </c>
      <c r="H121" s="697" t="s">
        <v>381</v>
      </c>
      <c r="I121" s="699">
        <f>D58</f>
        <v>143.9</v>
      </c>
      <c r="J121" s="697" t="s">
        <v>878</v>
      </c>
      <c r="K121" s="710">
        <f>(F121*I121)</f>
        <v>1439</v>
      </c>
      <c r="N121" s="700"/>
      <c r="O121" s="705" t="s">
        <v>1609</v>
      </c>
      <c r="Q121" s="702"/>
      <c r="S121" s="740"/>
      <c r="T121" s="708"/>
      <c r="U121" s="697"/>
      <c r="W121" s="697" t="s">
        <v>878</v>
      </c>
      <c r="X121" s="710"/>
      <c r="AE121" s="710">
        <f t="shared" si="19"/>
        <v>0</v>
      </c>
      <c r="AO121" s="3"/>
      <c r="AP121" s="1" t="s">
        <v>1856</v>
      </c>
      <c r="AR121" s="9"/>
      <c r="AS121" s="8">
        <f>(AS116+AS117+AS118+AS119)/4</f>
        <v>6782.42</v>
      </c>
      <c r="AU121">
        <f t="shared" si="22"/>
        <v>1538.93</v>
      </c>
      <c r="AV121">
        <f t="shared" si="23"/>
        <v>5243.49</v>
      </c>
    </row>
    <row r="122" spans="1:48" ht="24" customHeight="1">
      <c r="A122" s="734"/>
      <c r="B122" s="734"/>
      <c r="C122" s="734"/>
      <c r="D122" s="734"/>
      <c r="G122" s="700" t="s">
        <v>663</v>
      </c>
      <c r="J122" s="702" t="s">
        <v>663</v>
      </c>
      <c r="K122" s="710">
        <v>0</v>
      </c>
      <c r="M122" s="710">
        <v>1</v>
      </c>
      <c r="N122" s="708" t="s">
        <v>878</v>
      </c>
      <c r="O122" s="697" t="s">
        <v>1946</v>
      </c>
      <c r="P122" s="710">
        <f>[4]Leadsatement!$H$6</f>
        <v>320.60000000000002</v>
      </c>
      <c r="Q122" s="697" t="s">
        <v>878</v>
      </c>
      <c r="R122" s="710">
        <f>(M122*P122)</f>
        <v>320.60000000000002</v>
      </c>
      <c r="T122" s="700"/>
      <c r="W122" s="702" t="s">
        <v>663</v>
      </c>
      <c r="X122" s="710"/>
      <c r="AE122" s="710">
        <f t="shared" si="19"/>
        <v>0</v>
      </c>
      <c r="AO122" s="3"/>
    </row>
    <row r="123" spans="1:48" ht="24" customHeight="1">
      <c r="A123" s="734"/>
      <c r="B123" s="734"/>
      <c r="C123" s="734"/>
      <c r="D123" s="734"/>
      <c r="K123" s="705" t="s">
        <v>1609</v>
      </c>
      <c r="M123" s="710">
        <v>1</v>
      </c>
      <c r="N123" s="708" t="s">
        <v>878</v>
      </c>
      <c r="O123" s="697" t="s">
        <v>1374</v>
      </c>
      <c r="P123" s="710">
        <f>P138</f>
        <v>33.6</v>
      </c>
      <c r="Q123" s="697" t="s">
        <v>878</v>
      </c>
      <c r="R123" s="710">
        <f>(M123*P123)</f>
        <v>33.6</v>
      </c>
      <c r="T123" s="700"/>
      <c r="W123" s="702"/>
      <c r="X123" s="705"/>
      <c r="AE123" s="710">
        <f t="shared" si="19"/>
        <v>0</v>
      </c>
      <c r="AO123" s="3"/>
      <c r="AR123" s="9"/>
    </row>
    <row r="124" spans="1:48" ht="24" customHeight="1">
      <c r="A124" s="734"/>
      <c r="B124" s="734"/>
      <c r="C124" s="734"/>
      <c r="D124" s="734"/>
      <c r="H124" s="697" t="s">
        <v>620</v>
      </c>
      <c r="K124" s="710">
        <f>SUM(K121:K122)</f>
        <v>1439</v>
      </c>
      <c r="N124" s="708" t="s">
        <v>450</v>
      </c>
      <c r="O124" s="697" t="s">
        <v>451</v>
      </c>
      <c r="P124" s="697" t="s">
        <v>987</v>
      </c>
      <c r="Q124" s="697" t="s">
        <v>450</v>
      </c>
      <c r="R124" s="710">
        <v>0</v>
      </c>
      <c r="T124" s="700"/>
      <c r="U124" s="697"/>
      <c r="W124" s="702"/>
      <c r="X124" s="710"/>
      <c r="AE124" s="710">
        <f t="shared" si="19"/>
        <v>0</v>
      </c>
      <c r="AO124" s="3"/>
      <c r="AP124" s="41" t="s">
        <v>1858</v>
      </c>
      <c r="AR124" s="9"/>
    </row>
    <row r="125" spans="1:48" ht="24" customHeight="1">
      <c r="A125" s="734"/>
      <c r="B125" s="734"/>
      <c r="C125" s="734"/>
      <c r="D125" s="734"/>
      <c r="K125" s="705" t="s">
        <v>1609</v>
      </c>
      <c r="N125" s="700"/>
      <c r="Q125" s="702"/>
      <c r="R125" s="705" t="s">
        <v>1609</v>
      </c>
      <c r="T125" s="700"/>
      <c r="W125" s="702"/>
      <c r="X125" s="705"/>
      <c r="AE125" s="710">
        <f t="shared" si="19"/>
        <v>0</v>
      </c>
      <c r="AO125" s="3"/>
      <c r="AP125" s="5" t="s">
        <v>1609</v>
      </c>
      <c r="AR125" s="9"/>
    </row>
    <row r="126" spans="1:48" ht="38.25" customHeight="1">
      <c r="A126" s="734"/>
      <c r="B126" s="734"/>
      <c r="C126" s="734"/>
      <c r="D126" s="734"/>
      <c r="F126" s="765"/>
      <c r="H126" s="766" t="s">
        <v>5216</v>
      </c>
      <c r="I126" s="758" t="s">
        <v>1419</v>
      </c>
      <c r="K126" s="707">
        <f>ROUND(K124/10,2)</f>
        <v>143.9</v>
      </c>
      <c r="N126" s="700"/>
      <c r="O126" s="697" t="s">
        <v>1538</v>
      </c>
      <c r="Q126" s="702"/>
      <c r="R126" s="710">
        <f>SUM(R122:R124)</f>
        <v>354.2</v>
      </c>
      <c r="S126" s="767"/>
      <c r="T126" s="700"/>
      <c r="U126" s="766"/>
      <c r="V126" s="758"/>
      <c r="W126" s="702"/>
      <c r="X126" s="707"/>
      <c r="AE126" s="710">
        <f t="shared" ref="AE126:AE134" si="24">AF126</f>
        <v>0</v>
      </c>
      <c r="AN126" s="10">
        <v>10</v>
      </c>
      <c r="AO126" s="7" t="s">
        <v>2276</v>
      </c>
      <c r="AP126" s="1" t="s">
        <v>3799</v>
      </c>
      <c r="AR126" s="9"/>
    </row>
    <row r="127" spans="1:48" ht="24" customHeight="1">
      <c r="A127" s="734"/>
      <c r="B127" s="734"/>
      <c r="C127" s="734"/>
      <c r="D127" s="734"/>
      <c r="I127" s="758" t="s">
        <v>1382</v>
      </c>
      <c r="K127" s="707">
        <f>ROUND(K126+C34,2)</f>
        <v>153.19999999999999</v>
      </c>
      <c r="T127" s="700"/>
      <c r="V127" s="758"/>
      <c r="W127" s="702"/>
      <c r="X127" s="707"/>
      <c r="AE127" s="710">
        <f t="shared" si="24"/>
        <v>0</v>
      </c>
      <c r="AO127" s="3"/>
      <c r="AP127" s="8" t="str">
        <f>AP58</f>
        <v>Bricks of size 23x11x7 cm</v>
      </c>
      <c r="AR127" s="9"/>
    </row>
    <row r="128" spans="1:48" ht="24" customHeight="1">
      <c r="A128" s="734"/>
      <c r="B128" s="734"/>
      <c r="C128" s="734"/>
      <c r="D128" s="734"/>
      <c r="I128" s="758"/>
      <c r="K128" s="705"/>
      <c r="T128" s="700"/>
      <c r="V128" s="758"/>
      <c r="W128" s="702"/>
      <c r="X128" s="705"/>
      <c r="AE128" s="710">
        <f t="shared" si="24"/>
        <v>0</v>
      </c>
      <c r="AO128" s="3"/>
      <c r="AP128" s="5" t="s">
        <v>1609</v>
      </c>
      <c r="AR128" s="9"/>
    </row>
    <row r="129" spans="1:48" ht="24" customHeight="1">
      <c r="A129" s="734"/>
      <c r="B129" s="734"/>
      <c r="C129" s="734"/>
      <c r="D129" s="734"/>
      <c r="F129" s="753">
        <v>1.6</v>
      </c>
      <c r="H129" s="697" t="s">
        <v>805</v>
      </c>
      <c r="I129" s="758"/>
      <c r="S129" s="754">
        <v>1.6</v>
      </c>
      <c r="T129" s="700"/>
      <c r="U129" s="697" t="s">
        <v>805</v>
      </c>
      <c r="V129" s="758"/>
      <c r="W129" s="702"/>
      <c r="AE129" s="710">
        <f t="shared" si="24"/>
        <v>0</v>
      </c>
      <c r="AN129" s="8">
        <f>AN60</f>
        <v>1300</v>
      </c>
      <c r="AO129" s="7" t="s">
        <v>1445</v>
      </c>
      <c r="AP129" s="8" t="str">
        <f>AP58</f>
        <v>Bricks of size 23x11x7 cm</v>
      </c>
      <c r="AQ129" s="8">
        <f>AC42</f>
        <v>6591.4</v>
      </c>
      <c r="AR129" s="1" t="s">
        <v>1617</v>
      </c>
      <c r="AS129" s="8">
        <f>(AN129*AQ129)/1000</f>
        <v>8568.82</v>
      </c>
      <c r="AU129">
        <f t="shared" si="22"/>
        <v>1944.27</v>
      </c>
      <c r="AV129">
        <f t="shared" si="23"/>
        <v>6624.55</v>
      </c>
    </row>
    <row r="130" spans="1:48" ht="24" customHeight="1">
      <c r="A130" s="734"/>
      <c r="B130" s="734"/>
      <c r="C130" s="734"/>
      <c r="D130" s="734"/>
      <c r="H130" s="697" t="s">
        <v>382</v>
      </c>
      <c r="I130" s="758" t="s">
        <v>1419</v>
      </c>
      <c r="K130" s="709">
        <f>C58*1.5</f>
        <v>144.9</v>
      </c>
      <c r="L130" s="709"/>
      <c r="M130" s="699" t="e">
        <f>M113*1.5</f>
        <v>#REF!</v>
      </c>
      <c r="T130" s="700"/>
      <c r="U130" s="697" t="s">
        <v>382</v>
      </c>
      <c r="V130" s="758" t="s">
        <v>1419</v>
      </c>
      <c r="W130" s="702"/>
      <c r="X130" s="709" t="e">
        <f>V78*1.5</f>
        <v>#REF!</v>
      </c>
      <c r="AE130" s="710">
        <f t="shared" si="24"/>
        <v>0</v>
      </c>
      <c r="AN130" s="11">
        <v>0.70799999999999996</v>
      </c>
      <c r="AO130" s="7" t="s">
        <v>878</v>
      </c>
      <c r="AP130" s="1" t="s">
        <v>1327</v>
      </c>
      <c r="AQ130" s="8">
        <f>K37</f>
        <v>3756.7</v>
      </c>
      <c r="AR130" s="1" t="s">
        <v>878</v>
      </c>
      <c r="AS130" s="8">
        <f>(AN130*AQ130)</f>
        <v>2659.74</v>
      </c>
      <c r="AU130">
        <f t="shared" si="22"/>
        <v>603.5</v>
      </c>
      <c r="AV130">
        <f t="shared" si="23"/>
        <v>2056.2399999999998</v>
      </c>
    </row>
    <row r="131" spans="1:48" ht="24" customHeight="1">
      <c r="A131" s="734"/>
      <c r="B131" s="734"/>
      <c r="C131" s="734"/>
      <c r="D131" s="734"/>
      <c r="F131" s="697" t="s">
        <v>987</v>
      </c>
      <c r="H131" s="697" t="s">
        <v>383</v>
      </c>
      <c r="I131" s="758" t="s">
        <v>1382</v>
      </c>
      <c r="K131" s="707">
        <f>ROUND(K130+C34,2)</f>
        <v>154.19999999999999</v>
      </c>
      <c r="S131" s="756" t="s">
        <v>987</v>
      </c>
      <c r="T131" s="700"/>
      <c r="U131" s="697" t="s">
        <v>383</v>
      </c>
      <c r="V131" s="758" t="s">
        <v>1382</v>
      </c>
      <c r="W131" s="702"/>
      <c r="X131" s="707" t="e">
        <f>ROUND(X130+C34,2)</f>
        <v>#REF!</v>
      </c>
      <c r="AE131" s="710">
        <f t="shared" si="24"/>
        <v>0</v>
      </c>
      <c r="AN131" s="8">
        <v>1</v>
      </c>
      <c r="AO131" s="7" t="s">
        <v>877</v>
      </c>
      <c r="AP131" s="1" t="s">
        <v>2034</v>
      </c>
      <c r="AQ131" s="8">
        <f>AQ106</f>
        <v>861</v>
      </c>
      <c r="AR131" s="1" t="s">
        <v>877</v>
      </c>
      <c r="AS131" s="8">
        <f>(AN131*AQ131)</f>
        <v>861</v>
      </c>
      <c r="AU131">
        <f t="shared" si="22"/>
        <v>195.36</v>
      </c>
      <c r="AV131">
        <f t="shared" si="23"/>
        <v>665.64</v>
      </c>
    </row>
    <row r="132" spans="1:48" ht="24" customHeight="1">
      <c r="A132" s="734"/>
      <c r="B132" s="734"/>
      <c r="C132" s="734"/>
      <c r="D132" s="734"/>
      <c r="K132" s="705" t="s">
        <v>2080</v>
      </c>
      <c r="T132" s="700"/>
      <c r="W132" s="702"/>
      <c r="X132" s="705" t="s">
        <v>2080</v>
      </c>
      <c r="AE132" s="710">
        <f t="shared" si="24"/>
        <v>0</v>
      </c>
      <c r="AN132" s="8">
        <v>3</v>
      </c>
      <c r="AO132" s="7" t="s">
        <v>877</v>
      </c>
      <c r="AP132" s="1" t="s">
        <v>1737</v>
      </c>
      <c r="AQ132" s="8">
        <f>AQ107</f>
        <v>804</v>
      </c>
      <c r="AR132" s="1" t="s">
        <v>877</v>
      </c>
      <c r="AS132" s="8">
        <f>(AN132*AQ132)</f>
        <v>2412</v>
      </c>
      <c r="AU132">
        <f t="shared" si="22"/>
        <v>547.28</v>
      </c>
      <c r="AV132">
        <f t="shared" si="23"/>
        <v>1864.72</v>
      </c>
    </row>
    <row r="133" spans="1:48" ht="24" customHeight="1">
      <c r="A133" s="734"/>
      <c r="B133" s="734"/>
      <c r="C133" s="734"/>
      <c r="D133" s="734"/>
      <c r="H133" s="701" t="s">
        <v>3779</v>
      </c>
      <c r="I133" s="758" t="s">
        <v>1419</v>
      </c>
      <c r="K133" s="709">
        <f>C58*1.25</f>
        <v>120.75</v>
      </c>
      <c r="T133" s="700"/>
      <c r="U133" s="701" t="s">
        <v>1405</v>
      </c>
      <c r="V133" s="758" t="s">
        <v>1419</v>
      </c>
      <c r="W133" s="702"/>
      <c r="X133" s="709" t="e">
        <f>V78*1.25</f>
        <v>#REF!</v>
      </c>
      <c r="AE133" s="710">
        <f t="shared" si="24"/>
        <v>0</v>
      </c>
      <c r="AN133" s="8">
        <v>2</v>
      </c>
      <c r="AO133" s="7" t="s">
        <v>877</v>
      </c>
      <c r="AP133" s="1" t="s">
        <v>1927</v>
      </c>
      <c r="AQ133" s="8">
        <f>AQ108</f>
        <v>562</v>
      </c>
      <c r="AR133" s="1" t="s">
        <v>877</v>
      </c>
      <c r="AS133" s="8">
        <f>(AN133*AQ133)</f>
        <v>1124</v>
      </c>
      <c r="AU133">
        <f t="shared" si="22"/>
        <v>255.04</v>
      </c>
      <c r="AV133">
        <f t="shared" si="23"/>
        <v>868.96</v>
      </c>
    </row>
    <row r="134" spans="1:48" ht="24" customHeight="1">
      <c r="A134" s="720" t="e">
        <f>(A88+1)</f>
        <v>#REF!</v>
      </c>
      <c r="B134" s="722" t="s">
        <v>1570</v>
      </c>
      <c r="C134" s="721">
        <f>AC28</f>
        <v>11790</v>
      </c>
      <c r="D134" s="768">
        <v>13.87</v>
      </c>
      <c r="E134" s="697" t="s">
        <v>987</v>
      </c>
      <c r="F134" s="698" t="s">
        <v>384</v>
      </c>
      <c r="G134" s="708" t="s">
        <v>2276</v>
      </c>
      <c r="H134" s="697" t="s">
        <v>385</v>
      </c>
      <c r="M134" s="698" t="s">
        <v>384</v>
      </c>
      <c r="N134" s="708" t="s">
        <v>2276</v>
      </c>
      <c r="O134" s="697" t="s">
        <v>385</v>
      </c>
      <c r="Q134" s="702"/>
      <c r="AE134" s="710">
        <f t="shared" si="24"/>
        <v>0</v>
      </c>
      <c r="AG134" s="697" t="s">
        <v>2284</v>
      </c>
      <c r="AN134" s="8">
        <v>6</v>
      </c>
      <c r="AO134" s="7" t="s">
        <v>877</v>
      </c>
      <c r="AP134" s="1" t="s">
        <v>321</v>
      </c>
      <c r="AQ134" s="8">
        <f>AQ109</f>
        <v>461</v>
      </c>
      <c r="AR134" s="1" t="s">
        <v>877</v>
      </c>
      <c r="AS134" s="8">
        <f>(AN134*AQ134)</f>
        <v>2766</v>
      </c>
      <c r="AU134">
        <f t="shared" si="22"/>
        <v>627.61</v>
      </c>
      <c r="AV134">
        <f t="shared" si="23"/>
        <v>2138.39</v>
      </c>
    </row>
    <row r="135" spans="1:48" ht="24" customHeight="1">
      <c r="A135" s="720" t="e">
        <f t="shared" ref="A135:A140" si="25">(A134+1)</f>
        <v>#REF!</v>
      </c>
      <c r="B135" s="722" t="s">
        <v>387</v>
      </c>
      <c r="C135" s="721">
        <f>AC31</f>
        <v>51750</v>
      </c>
      <c r="D135" s="722" t="s">
        <v>870</v>
      </c>
      <c r="H135" s="1165" t="s">
        <v>5366</v>
      </c>
      <c r="N135" s="700"/>
      <c r="O135" s="697" t="s">
        <v>5217</v>
      </c>
      <c r="Q135" s="702"/>
      <c r="AE135" s="710">
        <f t="shared" ref="AE135:AE198" si="26">AF135</f>
        <v>0</v>
      </c>
      <c r="AG135" s="697" t="s">
        <v>2284</v>
      </c>
      <c r="AO135" s="7" t="s">
        <v>450</v>
      </c>
      <c r="AP135" s="1" t="s">
        <v>451</v>
      </c>
      <c r="AQ135" s="1" t="s">
        <v>987</v>
      </c>
      <c r="AR135" s="1" t="s">
        <v>450</v>
      </c>
      <c r="AS135" s="8">
        <v>0</v>
      </c>
      <c r="AU135">
        <f t="shared" si="22"/>
        <v>0</v>
      </c>
      <c r="AV135">
        <f t="shared" si="23"/>
        <v>0</v>
      </c>
    </row>
    <row r="136" spans="1:48" ht="24" customHeight="1">
      <c r="A136" s="720" t="e">
        <f t="shared" si="25"/>
        <v>#REF!</v>
      </c>
      <c r="B136" s="722" t="s">
        <v>1827</v>
      </c>
      <c r="C136" s="721">
        <f>AC30</f>
        <v>51750</v>
      </c>
      <c r="D136" s="722" t="s">
        <v>870</v>
      </c>
      <c r="H136" s="705" t="s">
        <v>1609</v>
      </c>
      <c r="N136" s="700"/>
      <c r="O136" s="705" t="s">
        <v>1609</v>
      </c>
      <c r="Q136" s="702"/>
      <c r="AE136" s="710">
        <f t="shared" si="26"/>
        <v>0</v>
      </c>
      <c r="AG136" s="697" t="s">
        <v>2284</v>
      </c>
      <c r="AO136" s="3"/>
      <c r="AR136" s="9"/>
      <c r="AS136" s="5" t="s">
        <v>1609</v>
      </c>
      <c r="AU136">
        <f t="shared" si="22"/>
        <v>0</v>
      </c>
      <c r="AV136">
        <f t="shared" si="23"/>
        <v>0</v>
      </c>
    </row>
    <row r="137" spans="1:48" ht="24" customHeight="1">
      <c r="A137" s="720" t="e">
        <f t="shared" si="25"/>
        <v>#REF!</v>
      </c>
      <c r="B137" s="722" t="s">
        <v>378</v>
      </c>
      <c r="C137" s="721">
        <f>AC31</f>
        <v>51750</v>
      </c>
      <c r="D137" s="722" t="s">
        <v>870</v>
      </c>
      <c r="F137" s="710">
        <v>1</v>
      </c>
      <c r="G137" s="708" t="s">
        <v>878</v>
      </c>
      <c r="H137" s="1165" t="s">
        <v>5367</v>
      </c>
      <c r="I137" s="710">
        <f>I34</f>
        <v>1511.1</v>
      </c>
      <c r="J137" s="697" t="s">
        <v>878</v>
      </c>
      <c r="K137" s="710">
        <f>(F137*I137)</f>
        <v>1511.1</v>
      </c>
      <c r="M137" s="710">
        <v>1</v>
      </c>
      <c r="N137" s="708" t="s">
        <v>878</v>
      </c>
      <c r="O137" s="697" t="s">
        <v>1946</v>
      </c>
      <c r="P137" s="710">
        <f>AC36</f>
        <v>375.2</v>
      </c>
      <c r="Q137" s="697" t="s">
        <v>878</v>
      </c>
      <c r="R137" s="710">
        <f>(M137*P137)</f>
        <v>375.2</v>
      </c>
      <c r="AE137" s="710">
        <f t="shared" si="26"/>
        <v>0</v>
      </c>
      <c r="AG137" s="697" t="s">
        <v>2284</v>
      </c>
      <c r="AO137" s="3"/>
      <c r="AP137" s="1" t="s">
        <v>620</v>
      </c>
      <c r="AR137" s="9"/>
      <c r="AS137" s="8">
        <f>SUM(AS129:AS135)</f>
        <v>18391.560000000001</v>
      </c>
      <c r="AU137">
        <f t="shared" si="22"/>
        <v>4173.04</v>
      </c>
      <c r="AV137">
        <f t="shared" si="23"/>
        <v>14218.52</v>
      </c>
    </row>
    <row r="138" spans="1:48" ht="24" customHeight="1">
      <c r="A138" s="720" t="e">
        <f t="shared" si="25"/>
        <v>#REF!</v>
      </c>
      <c r="B138" s="722" t="s">
        <v>1568</v>
      </c>
      <c r="C138" s="721">
        <f>AC36</f>
        <v>375.2</v>
      </c>
      <c r="D138" s="722" t="s">
        <v>878</v>
      </c>
      <c r="F138" s="710">
        <v>1</v>
      </c>
      <c r="G138" s="708" t="s">
        <v>878</v>
      </c>
      <c r="H138" s="697" t="s">
        <v>1374</v>
      </c>
      <c r="I138" s="710">
        <f>C25</f>
        <v>29.5</v>
      </c>
      <c r="J138" s="697" t="s">
        <v>878</v>
      </c>
      <c r="K138" s="710">
        <f>(F138*I138)</f>
        <v>29.5</v>
      </c>
      <c r="M138" s="710">
        <v>1</v>
      </c>
      <c r="N138" s="708" t="s">
        <v>878</v>
      </c>
      <c r="O138" s="697" t="s">
        <v>1374</v>
      </c>
      <c r="P138" s="710">
        <f>C24</f>
        <v>33.6</v>
      </c>
      <c r="Q138" s="697" t="s">
        <v>878</v>
      </c>
      <c r="R138" s="710">
        <f>(M138*P138)</f>
        <v>33.6</v>
      </c>
      <c r="AE138" s="710">
        <f t="shared" si="26"/>
        <v>0</v>
      </c>
      <c r="AG138" s="697" t="s">
        <v>2284</v>
      </c>
      <c r="AO138" s="3"/>
      <c r="AR138" s="9"/>
      <c r="AS138" s="5" t="s">
        <v>1609</v>
      </c>
      <c r="AU138">
        <f t="shared" si="22"/>
        <v>0</v>
      </c>
      <c r="AV138">
        <f t="shared" si="23"/>
        <v>0</v>
      </c>
    </row>
    <row r="139" spans="1:48" ht="24" customHeight="1">
      <c r="A139" s="720" t="e">
        <f t="shared" si="25"/>
        <v>#REF!</v>
      </c>
      <c r="B139" s="722" t="s">
        <v>193</v>
      </c>
      <c r="C139" s="737">
        <v>43563.69</v>
      </c>
      <c r="D139" s="722" t="s">
        <v>870</v>
      </c>
      <c r="G139" s="708" t="s">
        <v>450</v>
      </c>
      <c r="H139" s="697" t="s">
        <v>451</v>
      </c>
      <c r="I139" s="697" t="s">
        <v>987</v>
      </c>
      <c r="J139" s="697" t="s">
        <v>450</v>
      </c>
      <c r="K139" s="710">
        <v>0</v>
      </c>
      <c r="N139" s="708" t="s">
        <v>450</v>
      </c>
      <c r="O139" s="697" t="s">
        <v>451</v>
      </c>
      <c r="P139" s="697" t="s">
        <v>987</v>
      </c>
      <c r="Q139" s="697" t="s">
        <v>450</v>
      </c>
      <c r="R139" s="710">
        <v>0</v>
      </c>
      <c r="AE139" s="710">
        <f t="shared" si="26"/>
        <v>0</v>
      </c>
      <c r="AG139" s="697" t="s">
        <v>2284</v>
      </c>
      <c r="AO139" s="3"/>
      <c r="AP139" s="1" t="s">
        <v>782</v>
      </c>
      <c r="AR139" s="9"/>
      <c r="AS139" s="8">
        <f>(AS137/2.83168)</f>
        <v>6494.93</v>
      </c>
      <c r="AU139">
        <f t="shared" si="22"/>
        <v>1473.7</v>
      </c>
      <c r="AV139">
        <f t="shared" si="23"/>
        <v>5021.2299999999996</v>
      </c>
    </row>
    <row r="140" spans="1:48" ht="24" customHeight="1">
      <c r="A140" s="720" t="e">
        <f t="shared" si="25"/>
        <v>#REF!</v>
      </c>
      <c r="B140" s="697" t="s">
        <v>4923</v>
      </c>
      <c r="C140" s="724">
        <v>50300</v>
      </c>
      <c r="D140" s="722" t="s">
        <v>870</v>
      </c>
      <c r="E140" s="699">
        <v>5</v>
      </c>
      <c r="K140" s="705" t="s">
        <v>1609</v>
      </c>
      <c r="N140" s="700"/>
      <c r="Q140" s="702"/>
      <c r="R140" s="705" t="s">
        <v>1609</v>
      </c>
      <c r="AE140" s="710">
        <f t="shared" si="26"/>
        <v>0</v>
      </c>
      <c r="AG140" s="697" t="s">
        <v>2284</v>
      </c>
      <c r="AO140" s="3"/>
      <c r="AR140" s="9"/>
      <c r="AS140" s="5" t="s">
        <v>2080</v>
      </c>
      <c r="AU140">
        <f t="shared" si="22"/>
        <v>0</v>
      </c>
      <c r="AV140">
        <f t="shared" si="23"/>
        <v>0</v>
      </c>
    </row>
    <row r="141" spans="1:48" ht="24" customHeight="1">
      <c r="A141" s="734"/>
      <c r="B141" s="722" t="s">
        <v>987</v>
      </c>
      <c r="C141" s="734"/>
      <c r="D141" s="734"/>
      <c r="H141" s="697" t="s">
        <v>195</v>
      </c>
      <c r="K141" s="709">
        <f>SUM(K135:K139)</f>
        <v>1540.6</v>
      </c>
      <c r="N141" s="700"/>
      <c r="O141" s="697" t="s">
        <v>1538</v>
      </c>
      <c r="Q141" s="702"/>
      <c r="R141" s="710">
        <f>SUM(R137:R139)</f>
        <v>408.8</v>
      </c>
      <c r="AE141" s="710">
        <f t="shared" si="26"/>
        <v>0</v>
      </c>
      <c r="AG141" s="697" t="s">
        <v>2284</v>
      </c>
      <c r="AO141" s="3"/>
      <c r="AR141" s="9"/>
      <c r="AU141">
        <f t="shared" si="22"/>
        <v>0</v>
      </c>
      <c r="AV141">
        <f t="shared" si="23"/>
        <v>0</v>
      </c>
    </row>
    <row r="142" spans="1:48" ht="24" customHeight="1">
      <c r="A142" s="720" t="e">
        <f>(A140+1)</f>
        <v>#REF!</v>
      </c>
      <c r="B142" s="722" t="s">
        <v>196</v>
      </c>
      <c r="C142" s="732">
        <v>7.5</v>
      </c>
      <c r="D142" s="722" t="s">
        <v>450</v>
      </c>
      <c r="K142" s="705" t="s">
        <v>1609</v>
      </c>
      <c r="N142" s="700"/>
      <c r="O142" s="697" t="s">
        <v>2052</v>
      </c>
      <c r="Q142" s="702"/>
      <c r="R142" s="705" t="s">
        <v>1609</v>
      </c>
      <c r="AE142" s="710">
        <f t="shared" si="26"/>
        <v>0</v>
      </c>
      <c r="AG142" s="697" t="s">
        <v>2284</v>
      </c>
      <c r="AO142" s="7" t="s">
        <v>681</v>
      </c>
      <c r="AP142" s="1" t="s">
        <v>2964</v>
      </c>
      <c r="AR142" s="9"/>
      <c r="AU142">
        <f t="shared" si="22"/>
        <v>0</v>
      </c>
      <c r="AV142">
        <f t="shared" si="23"/>
        <v>0</v>
      </c>
    </row>
    <row r="143" spans="1:48" ht="24" customHeight="1">
      <c r="A143" s="734"/>
      <c r="B143" s="697" t="s">
        <v>4721</v>
      </c>
      <c r="C143" s="737">
        <v>15.5</v>
      </c>
      <c r="D143" s="734"/>
      <c r="F143" s="698" t="s">
        <v>197</v>
      </c>
      <c r="G143" s="708" t="s">
        <v>2276</v>
      </c>
      <c r="H143" s="1165" t="s">
        <v>5368</v>
      </c>
      <c r="AE143" s="710">
        <f t="shared" si="26"/>
        <v>0</v>
      </c>
      <c r="AO143" s="3"/>
      <c r="AP143" s="5" t="s">
        <v>1609</v>
      </c>
      <c r="AR143" s="9"/>
      <c r="AU143">
        <f t="shared" si="22"/>
        <v>0</v>
      </c>
      <c r="AV143">
        <f t="shared" si="23"/>
        <v>0</v>
      </c>
    </row>
    <row r="144" spans="1:48" ht="24" customHeight="1">
      <c r="A144" s="720" t="e">
        <f>(A142+1)</f>
        <v>#REF!</v>
      </c>
      <c r="B144" s="722" t="s">
        <v>1669</v>
      </c>
      <c r="C144" s="737">
        <v>15.25</v>
      </c>
      <c r="D144" s="722" t="s">
        <v>1670</v>
      </c>
      <c r="H144" s="697" t="s">
        <v>1043</v>
      </c>
      <c r="M144" s="698" t="s">
        <v>384</v>
      </c>
      <c r="N144" s="708" t="s">
        <v>2276</v>
      </c>
      <c r="O144" s="1224" t="s">
        <v>385</v>
      </c>
      <c r="Q144" s="702"/>
      <c r="AE144" s="710">
        <f t="shared" si="26"/>
        <v>0</v>
      </c>
      <c r="AN144" s="8">
        <v>1.1000000000000001</v>
      </c>
      <c r="AO144" s="7" t="s">
        <v>878</v>
      </c>
      <c r="AP144" s="1" t="s">
        <v>1137</v>
      </c>
      <c r="AQ144" s="8">
        <f>(AS139)</f>
        <v>6494.93</v>
      </c>
      <c r="AR144" s="1" t="s">
        <v>878</v>
      </c>
      <c r="AS144" s="273">
        <f>(AN144*AQ144)</f>
        <v>7144.42</v>
      </c>
      <c r="AU144">
        <f t="shared" si="22"/>
        <v>1621.07</v>
      </c>
      <c r="AV144">
        <f t="shared" si="23"/>
        <v>5523.35</v>
      </c>
    </row>
    <row r="145" spans="1:48" ht="24" customHeight="1">
      <c r="A145" s="720" t="e">
        <f>(A144+1)</f>
        <v>#REF!</v>
      </c>
      <c r="B145" s="697" t="s">
        <v>4924</v>
      </c>
      <c r="C145" s="718">
        <v>143.80000000000001</v>
      </c>
      <c r="D145" s="722" t="s">
        <v>1670</v>
      </c>
      <c r="H145" s="1165" t="s">
        <v>5369</v>
      </c>
      <c r="N145" s="700"/>
      <c r="O145" s="1224" t="s">
        <v>5218</v>
      </c>
      <c r="Q145" s="702"/>
      <c r="AE145" s="710">
        <f t="shared" si="26"/>
        <v>0</v>
      </c>
      <c r="AN145" s="8">
        <v>1</v>
      </c>
      <c r="AO145" s="7" t="s">
        <v>778</v>
      </c>
      <c r="AP145" s="1" t="s">
        <v>2034</v>
      </c>
      <c r="AQ145" s="8">
        <f>AQ131</f>
        <v>861</v>
      </c>
      <c r="AR145" s="1" t="s">
        <v>877</v>
      </c>
      <c r="AS145" s="273">
        <f>(AN145*AQ145)</f>
        <v>861</v>
      </c>
      <c r="AU145">
        <f t="shared" si="22"/>
        <v>195.36</v>
      </c>
      <c r="AV145">
        <f t="shared" si="23"/>
        <v>665.64</v>
      </c>
    </row>
    <row r="146" spans="1:48" ht="24" customHeight="1">
      <c r="A146" s="734"/>
      <c r="B146" s="734" t="s">
        <v>5151</v>
      </c>
      <c r="C146" s="744">
        <v>42.8</v>
      </c>
      <c r="D146" s="734" t="s">
        <v>1670</v>
      </c>
      <c r="H146" s="697" t="s">
        <v>525</v>
      </c>
      <c r="N146" s="700"/>
      <c r="O146" s="705" t="s">
        <v>1609</v>
      </c>
      <c r="Q146" s="702"/>
      <c r="AE146" s="710">
        <f t="shared" si="26"/>
        <v>0</v>
      </c>
      <c r="AO146" s="7" t="s">
        <v>450</v>
      </c>
      <c r="AP146" s="1" t="s">
        <v>451</v>
      </c>
      <c r="AQ146" s="1" t="s">
        <v>987</v>
      </c>
      <c r="AR146" s="1" t="s">
        <v>450</v>
      </c>
      <c r="AS146" s="273">
        <v>0</v>
      </c>
      <c r="AU146">
        <f t="shared" si="22"/>
        <v>0</v>
      </c>
      <c r="AV146">
        <f t="shared" si="23"/>
        <v>0</v>
      </c>
    </row>
    <row r="147" spans="1:48" ht="24" customHeight="1">
      <c r="A147" s="734"/>
      <c r="B147" s="734"/>
      <c r="C147" s="734"/>
      <c r="D147" s="734"/>
      <c r="H147" s="697" t="s">
        <v>526</v>
      </c>
      <c r="M147" s="710">
        <v>1</v>
      </c>
      <c r="N147" s="708" t="s">
        <v>878</v>
      </c>
      <c r="O147" s="697" t="s">
        <v>3636</v>
      </c>
      <c r="P147" s="710">
        <f>AC40</f>
        <v>292.60000000000002</v>
      </c>
      <c r="Q147" s="697" t="s">
        <v>878</v>
      </c>
      <c r="R147" s="710">
        <f>(M147*P147)</f>
        <v>292.60000000000002</v>
      </c>
      <c r="AE147" s="710">
        <f t="shared" si="26"/>
        <v>0</v>
      </c>
      <c r="AO147" s="3"/>
      <c r="AR147" s="9"/>
      <c r="AS147" s="506" t="s">
        <v>1609</v>
      </c>
      <c r="AU147">
        <f t="shared" si="22"/>
        <v>0</v>
      </c>
      <c r="AV147">
        <f t="shared" si="23"/>
        <v>0</v>
      </c>
    </row>
    <row r="148" spans="1:48" ht="24" customHeight="1">
      <c r="A148" s="734"/>
      <c r="B148" s="734"/>
      <c r="C148" s="734"/>
      <c r="D148" s="734"/>
      <c r="H148" s="705" t="s">
        <v>1609</v>
      </c>
      <c r="M148" s="710">
        <v>1</v>
      </c>
      <c r="N148" s="708" t="s">
        <v>878</v>
      </c>
      <c r="O148" s="697" t="s">
        <v>1374</v>
      </c>
      <c r="P148" s="710">
        <f>AE26</f>
        <v>33.6</v>
      </c>
      <c r="Q148" s="697" t="s">
        <v>878</v>
      </c>
      <c r="R148" s="710">
        <f>(M148*P148)</f>
        <v>33.6</v>
      </c>
      <c r="AE148" s="710">
        <f t="shared" si="26"/>
        <v>0</v>
      </c>
      <c r="AO148" s="3"/>
      <c r="AP148" s="1" t="s">
        <v>442</v>
      </c>
      <c r="AR148" s="9"/>
      <c r="AS148" s="26">
        <f>SUM(AS144:AS146)</f>
        <v>8005.42</v>
      </c>
      <c r="AU148">
        <f t="shared" si="22"/>
        <v>1816.43</v>
      </c>
      <c r="AV148">
        <f t="shared" si="23"/>
        <v>6188.99</v>
      </c>
    </row>
    <row r="149" spans="1:48" ht="24" customHeight="1">
      <c r="A149" s="734"/>
      <c r="B149" s="734"/>
      <c r="C149" s="734"/>
      <c r="D149" s="734"/>
      <c r="F149" s="710">
        <v>0.7</v>
      </c>
      <c r="G149" s="708" t="s">
        <v>878</v>
      </c>
      <c r="H149" s="1165" t="s">
        <v>5359</v>
      </c>
      <c r="I149" s="710">
        <f>C76</f>
        <v>1511.1</v>
      </c>
      <c r="J149" s="697" t="s">
        <v>878</v>
      </c>
      <c r="K149" s="710">
        <f t="shared" ref="K149:K154" si="27">(F149*I149)</f>
        <v>1057.77</v>
      </c>
      <c r="N149" s="708" t="s">
        <v>450</v>
      </c>
      <c r="O149" s="697" t="s">
        <v>451</v>
      </c>
      <c r="P149" s="697" t="s">
        <v>987</v>
      </c>
      <c r="Q149" s="697" t="s">
        <v>450</v>
      </c>
      <c r="R149" s="710">
        <v>0</v>
      </c>
      <c r="AE149" s="710">
        <f t="shared" si="26"/>
        <v>0</v>
      </c>
      <c r="AO149" s="3"/>
      <c r="AR149" s="9"/>
      <c r="AS149" s="506" t="s">
        <v>1609</v>
      </c>
      <c r="AU149">
        <f t="shared" si="22"/>
        <v>0</v>
      </c>
      <c r="AV149">
        <f t="shared" si="23"/>
        <v>0</v>
      </c>
    </row>
    <row r="150" spans="1:48" ht="24" customHeight="1">
      <c r="A150" s="734"/>
      <c r="B150" s="734"/>
      <c r="C150" s="734"/>
      <c r="D150" s="734"/>
      <c r="F150" s="710">
        <v>0.7</v>
      </c>
      <c r="G150" s="708" t="s">
        <v>878</v>
      </c>
      <c r="H150" s="769" t="s">
        <v>527</v>
      </c>
      <c r="I150" s="770">
        <f>C809</f>
        <v>3.15</v>
      </c>
      <c r="J150" s="697" t="s">
        <v>878</v>
      </c>
      <c r="K150" s="710">
        <f t="shared" si="27"/>
        <v>2.21</v>
      </c>
      <c r="N150" s="700"/>
      <c r="Q150" s="702"/>
      <c r="R150" s="705" t="s">
        <v>1609</v>
      </c>
      <c r="AE150" s="710">
        <f t="shared" si="26"/>
        <v>0</v>
      </c>
      <c r="AO150" s="3"/>
      <c r="AP150" s="1" t="s">
        <v>556</v>
      </c>
      <c r="AR150" s="9"/>
      <c r="AS150" s="273">
        <f>(AS148/10)</f>
        <v>800.54</v>
      </c>
      <c r="AU150">
        <f t="shared" si="22"/>
        <v>181.64</v>
      </c>
      <c r="AV150">
        <f t="shared" si="23"/>
        <v>618.9</v>
      </c>
    </row>
    <row r="151" spans="1:48" ht="24" customHeight="1">
      <c r="A151" s="734"/>
      <c r="B151" s="734"/>
      <c r="C151" s="734"/>
      <c r="D151" s="734"/>
      <c r="F151" s="710">
        <v>0.72</v>
      </c>
      <c r="G151" s="708" t="s">
        <v>878</v>
      </c>
      <c r="H151" s="697" t="s">
        <v>1666</v>
      </c>
      <c r="I151" s="710">
        <f>C33</f>
        <v>375.2</v>
      </c>
      <c r="J151" s="697" t="s">
        <v>878</v>
      </c>
      <c r="K151" s="710">
        <f t="shared" si="27"/>
        <v>270.14</v>
      </c>
      <c r="N151" s="700"/>
      <c r="O151" s="697" t="s">
        <v>1538</v>
      </c>
      <c r="Q151" s="702"/>
      <c r="R151" s="710">
        <f>SUM(R147:R149)</f>
        <v>326.2</v>
      </c>
      <c r="AE151" s="710">
        <f t="shared" si="26"/>
        <v>0</v>
      </c>
      <c r="AO151" s="3"/>
      <c r="AR151" s="9"/>
      <c r="AS151" s="506" t="s">
        <v>2080</v>
      </c>
      <c r="AU151">
        <f t="shared" si="22"/>
        <v>0</v>
      </c>
      <c r="AV151">
        <f t="shared" si="23"/>
        <v>0</v>
      </c>
    </row>
    <row r="152" spans="1:48" ht="24" customHeight="1">
      <c r="A152" s="734"/>
      <c r="B152" s="734"/>
      <c r="C152" s="734"/>
      <c r="D152" s="734"/>
      <c r="F152" s="710">
        <v>0.72</v>
      </c>
      <c r="G152" s="708" t="s">
        <v>878</v>
      </c>
      <c r="H152" s="769" t="s">
        <v>527</v>
      </c>
      <c r="I152" s="770">
        <f>C809</f>
        <v>3.15</v>
      </c>
      <c r="J152" s="697" t="s">
        <v>878</v>
      </c>
      <c r="K152" s="710">
        <f t="shared" si="27"/>
        <v>2.27</v>
      </c>
      <c r="N152" s="700"/>
      <c r="O152" s="697" t="s">
        <v>2052</v>
      </c>
      <c r="Q152" s="702"/>
      <c r="R152" s="705" t="s">
        <v>1609</v>
      </c>
      <c r="AE152" s="710">
        <f t="shared" si="26"/>
        <v>0</v>
      </c>
      <c r="AO152" s="3"/>
      <c r="AP152" s="1" t="s">
        <v>386</v>
      </c>
      <c r="AR152" s="9">
        <f>AS152-AS150</f>
        <v>7.85</v>
      </c>
      <c r="AS152" s="26">
        <f>(AS150+C17/10*AN144)</f>
        <v>808.39</v>
      </c>
      <c r="AT152">
        <f>AS150-AS152</f>
        <v>-7.85</v>
      </c>
      <c r="AU152">
        <f t="shared" si="22"/>
        <v>183.42</v>
      </c>
      <c r="AV152">
        <f t="shared" si="23"/>
        <v>624.97</v>
      </c>
    </row>
    <row r="153" spans="1:48" ht="24" customHeight="1">
      <c r="A153" s="734"/>
      <c r="B153" s="734"/>
      <c r="C153" s="734"/>
      <c r="D153" s="734"/>
      <c r="F153" s="710">
        <v>1</v>
      </c>
      <c r="G153" s="708" t="s">
        <v>878</v>
      </c>
      <c r="H153" s="697" t="s">
        <v>1817</v>
      </c>
      <c r="I153" s="710">
        <f>C16</f>
        <v>100</v>
      </c>
      <c r="J153" s="697" t="s">
        <v>878</v>
      </c>
      <c r="K153" s="710">
        <f t="shared" si="27"/>
        <v>100</v>
      </c>
      <c r="AE153" s="710">
        <f t="shared" si="26"/>
        <v>0</v>
      </c>
      <c r="AO153" s="3"/>
      <c r="AP153" s="1" t="s">
        <v>388</v>
      </c>
      <c r="AR153" s="9">
        <f>AS153-AS152</f>
        <v>15.85</v>
      </c>
      <c r="AS153" s="26">
        <f>(AS152+C18/10*AN144)</f>
        <v>824.24</v>
      </c>
      <c r="AT153">
        <f>AS153-AS152</f>
        <v>15.85</v>
      </c>
      <c r="AU153">
        <f t="shared" si="22"/>
        <v>187.02</v>
      </c>
      <c r="AV153">
        <f t="shared" si="23"/>
        <v>637.22</v>
      </c>
    </row>
    <row r="154" spans="1:48" ht="24" customHeight="1">
      <c r="A154" s="734"/>
      <c r="B154" s="734"/>
      <c r="C154" s="734"/>
      <c r="D154" s="734"/>
      <c r="F154" s="710">
        <v>1</v>
      </c>
      <c r="G154" s="708" t="s">
        <v>878</v>
      </c>
      <c r="H154" s="769" t="s">
        <v>1667</v>
      </c>
      <c r="I154" s="771">
        <f>C143</f>
        <v>15.5</v>
      </c>
      <c r="J154" s="697" t="s">
        <v>878</v>
      </c>
      <c r="K154" s="710">
        <f t="shared" si="27"/>
        <v>15.5</v>
      </c>
      <c r="AE154" s="710">
        <f t="shared" si="26"/>
        <v>0</v>
      </c>
      <c r="AO154" s="3"/>
      <c r="AP154" s="1" t="s">
        <v>2257</v>
      </c>
      <c r="AR154" s="9">
        <f>AS154-AS153</f>
        <v>15.85</v>
      </c>
      <c r="AS154" s="26">
        <f>(AS153+C19/10*AN144)</f>
        <v>840.09</v>
      </c>
      <c r="AU154">
        <f t="shared" si="22"/>
        <v>190.62</v>
      </c>
      <c r="AV154">
        <f t="shared" si="23"/>
        <v>649.47</v>
      </c>
    </row>
    <row r="155" spans="1:48" ht="24" customHeight="1">
      <c r="A155" s="734"/>
      <c r="B155" s="734"/>
      <c r="C155" s="734"/>
      <c r="D155" s="734"/>
      <c r="H155" s="697" t="s">
        <v>1668</v>
      </c>
      <c r="AE155" s="710">
        <f t="shared" si="26"/>
        <v>0</v>
      </c>
      <c r="AO155" s="3"/>
      <c r="AP155" s="1" t="s">
        <v>380</v>
      </c>
      <c r="AR155" s="9">
        <f>AS155-AS154</f>
        <v>15.85</v>
      </c>
      <c r="AS155" s="26">
        <f>(AS154+C19/10*AN144)</f>
        <v>855.94</v>
      </c>
      <c r="AU155">
        <f t="shared" si="22"/>
        <v>194.21</v>
      </c>
      <c r="AV155">
        <f t="shared" si="23"/>
        <v>661.73</v>
      </c>
    </row>
    <row r="156" spans="1:48" ht="24" customHeight="1">
      <c r="A156" s="734"/>
      <c r="B156" s="734"/>
      <c r="C156" s="734"/>
      <c r="D156" s="734"/>
      <c r="G156" s="708" t="s">
        <v>450</v>
      </c>
      <c r="H156" s="697" t="s">
        <v>451</v>
      </c>
      <c r="I156" s="697" t="s">
        <v>987</v>
      </c>
      <c r="J156" s="697" t="s">
        <v>450</v>
      </c>
      <c r="K156" s="710">
        <v>0</v>
      </c>
      <c r="AE156" s="710">
        <f t="shared" si="26"/>
        <v>0</v>
      </c>
      <c r="AO156" s="3"/>
      <c r="AP156" s="1" t="s">
        <v>1554</v>
      </c>
      <c r="AR156" s="9">
        <f>AS156-AS155</f>
        <v>15.85</v>
      </c>
      <c r="AS156" s="26">
        <f>(AS155+C19/10*AN144)</f>
        <v>871.79</v>
      </c>
      <c r="AU156">
        <f t="shared" si="22"/>
        <v>197.81</v>
      </c>
      <c r="AV156">
        <f t="shared" si="23"/>
        <v>673.98</v>
      </c>
    </row>
    <row r="157" spans="1:48" ht="24" customHeight="1">
      <c r="A157" s="734"/>
      <c r="B157" s="734"/>
      <c r="C157" s="734"/>
      <c r="D157" s="734"/>
      <c r="K157" s="705" t="s">
        <v>1609</v>
      </c>
      <c r="M157" s="698" t="s">
        <v>672</v>
      </c>
      <c r="N157" s="708" t="s">
        <v>2276</v>
      </c>
      <c r="O157" s="697" t="s">
        <v>550</v>
      </c>
      <c r="Q157" s="702"/>
      <c r="AE157" s="710">
        <f t="shared" si="26"/>
        <v>0</v>
      </c>
      <c r="AN157" s="507">
        <v>11</v>
      </c>
      <c r="AO157" s="254" t="s">
        <v>2276</v>
      </c>
      <c r="AP157" s="24" t="s">
        <v>3800</v>
      </c>
      <c r="AQ157" s="25"/>
      <c r="AR157" s="51"/>
      <c r="AS157" s="25"/>
      <c r="AU157">
        <f t="shared" si="22"/>
        <v>0</v>
      </c>
      <c r="AV157">
        <f t="shared" si="23"/>
        <v>0</v>
      </c>
    </row>
    <row r="158" spans="1:48" ht="24" customHeight="1">
      <c r="A158" s="734"/>
      <c r="B158" s="734"/>
      <c r="C158" s="734"/>
      <c r="D158" s="734"/>
      <c r="H158" s="711" t="s">
        <v>195</v>
      </c>
      <c r="K158" s="709">
        <f>SUM(K149:K156)</f>
        <v>1447.89</v>
      </c>
      <c r="N158" s="700"/>
      <c r="O158" s="697" t="s">
        <v>675</v>
      </c>
      <c r="Q158" s="702"/>
      <c r="AE158" s="710">
        <f t="shared" si="26"/>
        <v>0</v>
      </c>
      <c r="AN158" s="25"/>
      <c r="AO158" s="45"/>
      <c r="AP158" s="26" t="str">
        <f>AP58</f>
        <v>Bricks of size 23x11x7 cm</v>
      </c>
      <c r="AQ158" s="25"/>
      <c r="AR158" s="51"/>
      <c r="AS158" s="25"/>
      <c r="AU158">
        <f t="shared" si="22"/>
        <v>0</v>
      </c>
      <c r="AV158">
        <f t="shared" si="23"/>
        <v>0</v>
      </c>
    </row>
    <row r="159" spans="1:48" ht="24" customHeight="1">
      <c r="A159" s="734"/>
      <c r="B159" s="734"/>
      <c r="C159" s="734"/>
      <c r="D159" s="734"/>
      <c r="K159" s="705" t="s">
        <v>1609</v>
      </c>
      <c r="N159" s="700"/>
      <c r="O159" s="705" t="s">
        <v>1609</v>
      </c>
      <c r="Q159" s="702"/>
      <c r="AE159" s="710">
        <f t="shared" si="26"/>
        <v>0</v>
      </c>
      <c r="AO159" s="3"/>
      <c r="AP159" s="5" t="s">
        <v>1609</v>
      </c>
      <c r="AR159" s="9"/>
      <c r="AU159">
        <f t="shared" si="22"/>
        <v>0</v>
      </c>
      <c r="AV159">
        <f t="shared" si="23"/>
        <v>0</v>
      </c>
    </row>
    <row r="160" spans="1:48" ht="24" customHeight="1">
      <c r="A160" s="734"/>
      <c r="B160" s="734"/>
      <c r="C160" s="734"/>
      <c r="D160" s="734"/>
      <c r="H160" s="697" t="s">
        <v>987</v>
      </c>
      <c r="K160" s="697" t="s">
        <v>987</v>
      </c>
      <c r="M160" s="710">
        <v>9</v>
      </c>
      <c r="N160" s="708" t="s">
        <v>878</v>
      </c>
      <c r="O160" s="697" t="s">
        <v>1663</v>
      </c>
      <c r="P160" s="710">
        <f>I192</f>
        <v>1276.5</v>
      </c>
      <c r="Q160" s="697" t="s">
        <v>878</v>
      </c>
      <c r="R160" s="710">
        <f>(M160*P160)</f>
        <v>11488.5</v>
      </c>
      <c r="AE160" s="710">
        <f t="shared" si="26"/>
        <v>0</v>
      </c>
      <c r="AN160" s="8">
        <f>AN60</f>
        <v>1300</v>
      </c>
      <c r="AO160" s="7" t="s">
        <v>1445</v>
      </c>
      <c r="AP160" s="8" t="str">
        <f>AP58</f>
        <v>Bricks of size 23x11x7 cm</v>
      </c>
      <c r="AQ160" s="8">
        <f>AC42</f>
        <v>6591.4</v>
      </c>
      <c r="AR160" s="1" t="s">
        <v>1555</v>
      </c>
      <c r="AS160" s="8">
        <f>(AN160*AQ160)/1000</f>
        <v>8568.82</v>
      </c>
      <c r="AU160">
        <f t="shared" si="22"/>
        <v>1944.27</v>
      </c>
      <c r="AV160">
        <f t="shared" si="23"/>
        <v>6624.55</v>
      </c>
    </row>
    <row r="161" spans="1:48" ht="24" customHeight="1">
      <c r="A161" s="734"/>
      <c r="B161" s="734"/>
      <c r="C161" s="734"/>
      <c r="D161" s="734"/>
      <c r="K161" s="697" t="s">
        <v>987</v>
      </c>
      <c r="M161" s="710">
        <v>4.5</v>
      </c>
      <c r="N161" s="708" t="s">
        <v>878</v>
      </c>
      <c r="O161" s="697" t="s">
        <v>1327</v>
      </c>
      <c r="P161" s="710">
        <f>K37</f>
        <v>3756.7</v>
      </c>
      <c r="Q161" s="697" t="s">
        <v>878</v>
      </c>
      <c r="R161" s="710">
        <f>(M161*P161)</f>
        <v>16905.150000000001</v>
      </c>
      <c r="AE161" s="710">
        <f t="shared" si="26"/>
        <v>0</v>
      </c>
      <c r="AN161" s="11">
        <f>AN130</f>
        <v>0.70799999999999996</v>
      </c>
      <c r="AO161" s="7" t="s">
        <v>878</v>
      </c>
      <c r="AP161" s="1" t="s">
        <v>1327</v>
      </c>
      <c r="AQ161" s="8">
        <f>AQ130</f>
        <v>3756.7</v>
      </c>
      <c r="AR161" s="1" t="s">
        <v>878</v>
      </c>
      <c r="AS161" s="8">
        <f>(AN161*AQ161)</f>
        <v>2659.74</v>
      </c>
      <c r="AU161">
        <f t="shared" ref="AU161:AU214" si="28">AS161*22.69/100</f>
        <v>603.5</v>
      </c>
      <c r="AV161">
        <f t="shared" ref="AV161:AV214" si="29">AS161-AU161</f>
        <v>2056.2399999999998</v>
      </c>
    </row>
    <row r="162" spans="1:48" ht="24" customHeight="1">
      <c r="A162" s="772">
        <v>2.2999999999999998</v>
      </c>
      <c r="B162" s="722" t="s">
        <v>245</v>
      </c>
      <c r="C162" s="773">
        <f>AC17+I165</f>
        <v>908.62</v>
      </c>
      <c r="D162" s="734"/>
      <c r="F162" s="753">
        <v>2.6</v>
      </c>
      <c r="G162" s="708" t="s">
        <v>2276</v>
      </c>
      <c r="H162" s="697" t="s">
        <v>1189</v>
      </c>
      <c r="M162" s="710">
        <v>1.8</v>
      </c>
      <c r="N162" s="708" t="s">
        <v>877</v>
      </c>
      <c r="O162" s="697" t="s">
        <v>1737</v>
      </c>
      <c r="P162" s="710">
        <f>I194</f>
        <v>804</v>
      </c>
      <c r="Q162" s="697" t="s">
        <v>877</v>
      </c>
      <c r="R162" s="710">
        <f>(M162*P162)</f>
        <v>1447.2</v>
      </c>
      <c r="AE162" s="710">
        <f t="shared" si="26"/>
        <v>0</v>
      </c>
      <c r="AN162" s="8">
        <v>1</v>
      </c>
      <c r="AO162" s="7" t="s">
        <v>877</v>
      </c>
      <c r="AP162" s="1" t="s">
        <v>2034</v>
      </c>
      <c r="AQ162" s="8">
        <f>AQ131</f>
        <v>861</v>
      </c>
      <c r="AR162" s="1" t="s">
        <v>877</v>
      </c>
      <c r="AS162" s="8">
        <f>(AN162*AQ162)</f>
        <v>861</v>
      </c>
      <c r="AU162">
        <f t="shared" si="28"/>
        <v>195.36</v>
      </c>
      <c r="AV162">
        <f t="shared" si="29"/>
        <v>665.64</v>
      </c>
    </row>
    <row r="163" spans="1:48" ht="24" customHeight="1">
      <c r="A163" s="772">
        <v>2.4</v>
      </c>
      <c r="B163" s="722" t="s">
        <v>789</v>
      </c>
      <c r="C163" s="773">
        <f>AC18+I165</f>
        <v>987.62</v>
      </c>
      <c r="D163" s="734"/>
      <c r="H163" s="705" t="s">
        <v>1609</v>
      </c>
      <c r="M163" s="710">
        <v>17.7</v>
      </c>
      <c r="N163" s="708" t="s">
        <v>877</v>
      </c>
      <c r="O163" s="697" t="s">
        <v>1927</v>
      </c>
      <c r="P163" s="710">
        <f>I195</f>
        <v>562</v>
      </c>
      <c r="Q163" s="697" t="s">
        <v>877</v>
      </c>
      <c r="R163" s="710">
        <f>(M163*P163)</f>
        <v>9947.4</v>
      </c>
      <c r="AE163" s="710">
        <f t="shared" si="26"/>
        <v>0</v>
      </c>
      <c r="AN163" s="8">
        <v>3</v>
      </c>
      <c r="AO163" s="7" t="s">
        <v>877</v>
      </c>
      <c r="AP163" s="1" t="s">
        <v>1737</v>
      </c>
      <c r="AQ163" s="8">
        <f>AQ132</f>
        <v>804</v>
      </c>
      <c r="AR163" s="1" t="s">
        <v>877</v>
      </c>
      <c r="AS163" s="8">
        <f>(AN163*AQ163)</f>
        <v>2412</v>
      </c>
      <c r="AU163">
        <f t="shared" si="28"/>
        <v>547.28</v>
      </c>
      <c r="AV163">
        <f t="shared" si="29"/>
        <v>1864.72</v>
      </c>
    </row>
    <row r="164" spans="1:48" ht="24" customHeight="1">
      <c r="A164" s="734"/>
      <c r="B164" s="734"/>
      <c r="C164" s="734"/>
      <c r="D164" s="734"/>
      <c r="F164" s="710">
        <v>1</v>
      </c>
      <c r="G164" s="708" t="s">
        <v>878</v>
      </c>
      <c r="H164" s="697" t="s">
        <v>1108</v>
      </c>
      <c r="I164" s="710">
        <f>AC13</f>
        <v>1276.5</v>
      </c>
      <c r="J164" s="697" t="s">
        <v>878</v>
      </c>
      <c r="K164" s="710">
        <f>(F164*I164)</f>
        <v>1276.5</v>
      </c>
      <c r="M164" s="710">
        <v>14.1</v>
      </c>
      <c r="N164" s="708" t="s">
        <v>877</v>
      </c>
      <c r="O164" s="697" t="s">
        <v>321</v>
      </c>
      <c r="P164" s="710">
        <f>I196</f>
        <v>461</v>
      </c>
      <c r="Q164" s="697" t="s">
        <v>877</v>
      </c>
      <c r="R164" s="710">
        <f>(M164*P164)</f>
        <v>6500.1</v>
      </c>
      <c r="AE164" s="710">
        <f t="shared" si="26"/>
        <v>0</v>
      </c>
      <c r="AN164" s="8">
        <v>2</v>
      </c>
      <c r="AO164" s="7" t="s">
        <v>877</v>
      </c>
      <c r="AP164" s="1" t="s">
        <v>1927</v>
      </c>
      <c r="AQ164" s="8">
        <f>AQ133</f>
        <v>562</v>
      </c>
      <c r="AR164" s="1" t="s">
        <v>877</v>
      </c>
      <c r="AS164" s="8">
        <f>(AN164*AQ164)</f>
        <v>1124</v>
      </c>
      <c r="AU164">
        <f t="shared" si="28"/>
        <v>255.04</v>
      </c>
      <c r="AV164">
        <f t="shared" si="29"/>
        <v>868.96</v>
      </c>
    </row>
    <row r="165" spans="1:48" ht="24" customHeight="1">
      <c r="A165" s="734"/>
      <c r="B165" s="734"/>
      <c r="C165" s="734"/>
      <c r="D165" s="734"/>
      <c r="F165" s="710">
        <v>1</v>
      </c>
      <c r="G165" s="708" t="s">
        <v>878</v>
      </c>
      <c r="H165" s="697" t="s">
        <v>1374</v>
      </c>
      <c r="I165" s="710">
        <f>C24</f>
        <v>33.6</v>
      </c>
      <c r="J165" s="697" t="s">
        <v>878</v>
      </c>
      <c r="K165" s="710">
        <f>(F165*I165)</f>
        <v>33.6</v>
      </c>
      <c r="N165" s="708" t="s">
        <v>450</v>
      </c>
      <c r="O165" s="697" t="s">
        <v>451</v>
      </c>
      <c r="Q165" s="697" t="s">
        <v>450</v>
      </c>
      <c r="R165" s="710">
        <v>0</v>
      </c>
      <c r="AE165" s="710">
        <f t="shared" si="26"/>
        <v>0</v>
      </c>
      <c r="AN165" s="8">
        <v>6</v>
      </c>
      <c r="AO165" s="7" t="s">
        <v>877</v>
      </c>
      <c r="AP165" s="1" t="s">
        <v>321</v>
      </c>
      <c r="AQ165" s="8">
        <f>AQ134</f>
        <v>461</v>
      </c>
      <c r="AR165" s="1" t="s">
        <v>877</v>
      </c>
      <c r="AS165" s="8">
        <f>(AN165*AQ165)</f>
        <v>2766</v>
      </c>
      <c r="AU165">
        <f t="shared" si="28"/>
        <v>627.61</v>
      </c>
      <c r="AV165">
        <f t="shared" si="29"/>
        <v>2138.39</v>
      </c>
    </row>
    <row r="166" spans="1:48" ht="24" customHeight="1">
      <c r="A166" s="734"/>
      <c r="B166" s="734"/>
      <c r="C166" s="734"/>
      <c r="D166" s="734"/>
      <c r="G166" s="708" t="s">
        <v>450</v>
      </c>
      <c r="H166" s="697" t="s">
        <v>451</v>
      </c>
      <c r="I166" s="697" t="s">
        <v>987</v>
      </c>
      <c r="J166" s="697" t="s">
        <v>450</v>
      </c>
      <c r="K166" s="710">
        <v>0</v>
      </c>
      <c r="N166" s="700"/>
      <c r="Q166" s="702"/>
      <c r="R166" s="705" t="s">
        <v>1609</v>
      </c>
      <c r="AE166" s="710">
        <f t="shared" si="26"/>
        <v>0</v>
      </c>
      <c r="AO166" s="7" t="s">
        <v>450</v>
      </c>
      <c r="AP166" s="1" t="s">
        <v>451</v>
      </c>
      <c r="AQ166" s="1" t="s">
        <v>987</v>
      </c>
      <c r="AR166" s="1" t="s">
        <v>450</v>
      </c>
      <c r="AS166" s="8">
        <v>0</v>
      </c>
      <c r="AU166">
        <f t="shared" si="28"/>
        <v>0</v>
      </c>
      <c r="AV166">
        <f t="shared" si="29"/>
        <v>0</v>
      </c>
    </row>
    <row r="167" spans="1:48" ht="24" customHeight="1">
      <c r="A167" s="734"/>
      <c r="B167" s="734"/>
      <c r="C167" s="734"/>
      <c r="D167" s="734"/>
      <c r="K167" s="705" t="s">
        <v>1609</v>
      </c>
      <c r="N167" s="700"/>
      <c r="Q167" s="702"/>
      <c r="R167" s="710">
        <f>SUM(R160:R165)</f>
        <v>46288.35</v>
      </c>
      <c r="AE167" s="710">
        <f t="shared" si="26"/>
        <v>0</v>
      </c>
      <c r="AO167" s="3"/>
      <c r="AR167" s="9"/>
      <c r="AS167" s="5" t="s">
        <v>1609</v>
      </c>
      <c r="AU167">
        <f t="shared" si="28"/>
        <v>0</v>
      </c>
      <c r="AV167">
        <f t="shared" si="29"/>
        <v>0</v>
      </c>
    </row>
    <row r="168" spans="1:48" ht="24" customHeight="1">
      <c r="A168" s="734"/>
      <c r="B168" s="734"/>
      <c r="C168" s="734"/>
      <c r="D168" s="734"/>
      <c r="H168" s="711" t="s">
        <v>195</v>
      </c>
      <c r="K168" s="709">
        <f>SUM(K163:K166)</f>
        <v>1310.0999999999999</v>
      </c>
      <c r="N168" s="700"/>
      <c r="O168" s="698" t="s">
        <v>620</v>
      </c>
      <c r="Q168" s="702"/>
      <c r="R168" s="705" t="s">
        <v>1609</v>
      </c>
      <c r="AE168" s="710">
        <f t="shared" si="26"/>
        <v>0</v>
      </c>
      <c r="AO168" s="3"/>
      <c r="AP168" s="1" t="s">
        <v>620</v>
      </c>
      <c r="AR168" s="9"/>
      <c r="AS168" s="8">
        <f>SUM(AS160:AS166)</f>
        <v>18391.560000000001</v>
      </c>
      <c r="AU168">
        <f t="shared" si="28"/>
        <v>4173.04</v>
      </c>
      <c r="AV168">
        <f t="shared" si="29"/>
        <v>14218.52</v>
      </c>
    </row>
    <row r="169" spans="1:48" ht="24" customHeight="1">
      <c r="A169" s="734"/>
      <c r="B169" s="734"/>
      <c r="C169" s="734"/>
      <c r="D169" s="734"/>
      <c r="K169" s="705" t="s">
        <v>1609</v>
      </c>
      <c r="N169" s="700"/>
      <c r="Q169" s="702"/>
      <c r="R169" s="709">
        <f>(R167/10)</f>
        <v>4628.84</v>
      </c>
      <c r="AE169" s="710">
        <f t="shared" si="26"/>
        <v>0</v>
      </c>
      <c r="AO169" s="3"/>
      <c r="AR169" s="9"/>
      <c r="AS169" s="5" t="s">
        <v>1609</v>
      </c>
      <c r="AU169">
        <f t="shared" si="28"/>
        <v>0</v>
      </c>
      <c r="AV169">
        <f t="shared" si="29"/>
        <v>0</v>
      </c>
    </row>
    <row r="170" spans="1:48" ht="24" customHeight="1">
      <c r="A170" s="734"/>
      <c r="B170" s="734"/>
      <c r="C170" s="734"/>
      <c r="D170" s="734"/>
      <c r="F170" s="753">
        <v>2.7</v>
      </c>
      <c r="G170" s="708" t="s">
        <v>2276</v>
      </c>
      <c r="H170" s="697" t="s">
        <v>2016</v>
      </c>
      <c r="N170" s="700"/>
      <c r="O170" s="711" t="s">
        <v>782</v>
      </c>
      <c r="Q170" s="702"/>
      <c r="R170" s="705" t="s">
        <v>2080</v>
      </c>
      <c r="AE170" s="710">
        <f t="shared" si="26"/>
        <v>0</v>
      </c>
      <c r="AO170" s="3"/>
      <c r="AP170" s="1" t="s">
        <v>782</v>
      </c>
      <c r="AR170" s="9"/>
      <c r="AS170" s="8">
        <f>(AS168/2.83168)</f>
        <v>6494.93</v>
      </c>
      <c r="AU170">
        <f t="shared" si="28"/>
        <v>1473.7</v>
      </c>
      <c r="AV170">
        <f t="shared" si="29"/>
        <v>5021.2299999999996</v>
      </c>
    </row>
    <row r="171" spans="1:48" ht="24" customHeight="1">
      <c r="A171" s="734"/>
      <c r="B171" s="734"/>
      <c r="C171" s="734"/>
      <c r="D171" s="734"/>
      <c r="H171" s="705" t="s">
        <v>1609</v>
      </c>
      <c r="AE171" s="710">
        <f t="shared" si="26"/>
        <v>0</v>
      </c>
      <c r="AO171" s="3"/>
      <c r="AR171" s="9"/>
      <c r="AS171" s="5" t="s">
        <v>2080</v>
      </c>
      <c r="AU171">
        <f t="shared" si="28"/>
        <v>0</v>
      </c>
      <c r="AV171">
        <f t="shared" si="29"/>
        <v>0</v>
      </c>
    </row>
    <row r="172" spans="1:48" ht="24" customHeight="1">
      <c r="A172" s="734"/>
      <c r="B172" s="734"/>
      <c r="C172" s="734"/>
      <c r="D172" s="734"/>
      <c r="F172" s="710">
        <v>1</v>
      </c>
      <c r="G172" s="708" t="s">
        <v>878</v>
      </c>
      <c r="H172" s="697" t="s">
        <v>841</v>
      </c>
      <c r="I172" s="710">
        <f>AC12</f>
        <v>1679.5</v>
      </c>
      <c r="J172" s="697" t="s">
        <v>878</v>
      </c>
      <c r="K172" s="710">
        <f>(F172*I172)</f>
        <v>1679.5</v>
      </c>
      <c r="AE172" s="710">
        <f t="shared" si="26"/>
        <v>0</v>
      </c>
      <c r="AN172" s="1" t="s">
        <v>248</v>
      </c>
      <c r="AO172" s="3"/>
      <c r="AR172" s="9"/>
      <c r="AU172">
        <f t="shared" si="28"/>
        <v>0</v>
      </c>
      <c r="AV172">
        <f t="shared" si="29"/>
        <v>0</v>
      </c>
    </row>
    <row r="173" spans="1:48" ht="24" customHeight="1">
      <c r="A173" s="734"/>
      <c r="B173" s="734"/>
      <c r="C173" s="734"/>
      <c r="D173" s="734"/>
      <c r="F173" s="710">
        <v>1</v>
      </c>
      <c r="G173" s="708" t="s">
        <v>878</v>
      </c>
      <c r="H173" s="697" t="s">
        <v>1374</v>
      </c>
      <c r="I173" s="710">
        <f>C24</f>
        <v>33.6</v>
      </c>
      <c r="J173" s="697" t="s">
        <v>878</v>
      </c>
      <c r="K173" s="710">
        <f>(F173*I173)</f>
        <v>33.6</v>
      </c>
      <c r="AE173" s="710">
        <f t="shared" si="26"/>
        <v>0</v>
      </c>
      <c r="AO173" s="3"/>
      <c r="AR173" s="9"/>
      <c r="AU173">
        <f t="shared" si="28"/>
        <v>0</v>
      </c>
      <c r="AV173">
        <f t="shared" si="29"/>
        <v>0</v>
      </c>
    </row>
    <row r="174" spans="1:48" ht="24" customHeight="1">
      <c r="A174" s="734"/>
      <c r="B174" s="734"/>
      <c r="C174" s="734"/>
      <c r="D174" s="734"/>
      <c r="G174" s="708" t="s">
        <v>450</v>
      </c>
      <c r="H174" s="697" t="s">
        <v>451</v>
      </c>
      <c r="I174" s="697" t="s">
        <v>987</v>
      </c>
      <c r="J174" s="697" t="s">
        <v>450</v>
      </c>
      <c r="K174" s="710">
        <v>0</v>
      </c>
      <c r="AE174" s="710">
        <f t="shared" si="26"/>
        <v>0</v>
      </c>
      <c r="AO174" s="7" t="s">
        <v>1561</v>
      </c>
      <c r="AP174" s="1" t="s">
        <v>431</v>
      </c>
      <c r="AR174" s="9"/>
      <c r="AU174">
        <f t="shared" si="28"/>
        <v>0</v>
      </c>
      <c r="AV174">
        <f t="shared" si="29"/>
        <v>0</v>
      </c>
    </row>
    <row r="175" spans="1:48" ht="24" customHeight="1">
      <c r="A175" s="734"/>
      <c r="B175" s="734"/>
      <c r="C175" s="734"/>
      <c r="D175" s="734"/>
      <c r="K175" s="705" t="s">
        <v>1609</v>
      </c>
      <c r="AE175" s="710">
        <f t="shared" si="26"/>
        <v>0</v>
      </c>
      <c r="AO175" s="3"/>
      <c r="AP175" s="5" t="s">
        <v>1609</v>
      </c>
      <c r="AR175" s="9"/>
      <c r="AU175">
        <f t="shared" si="28"/>
        <v>0</v>
      </c>
      <c r="AV175">
        <f t="shared" si="29"/>
        <v>0</v>
      </c>
    </row>
    <row r="176" spans="1:48" ht="24" customHeight="1">
      <c r="A176" s="734"/>
      <c r="B176" s="734"/>
      <c r="C176" s="734"/>
      <c r="D176" s="734"/>
      <c r="H176" s="711" t="s">
        <v>195</v>
      </c>
      <c r="K176" s="709">
        <f>SUM(K171:K174)</f>
        <v>1713.1</v>
      </c>
      <c r="AE176" s="710">
        <f t="shared" si="26"/>
        <v>0</v>
      </c>
      <c r="AN176" s="8">
        <v>0.7</v>
      </c>
      <c r="AO176" s="7" t="s">
        <v>878</v>
      </c>
      <c r="AP176" s="1" t="s">
        <v>2304</v>
      </c>
      <c r="AQ176" s="8">
        <f>AQ144</f>
        <v>6494.93</v>
      </c>
      <c r="AR176" s="1" t="s">
        <v>877</v>
      </c>
      <c r="AS176" s="8">
        <f>(AN176*AQ176)</f>
        <v>4546.45</v>
      </c>
      <c r="AU176">
        <f t="shared" si="28"/>
        <v>1031.5899999999999</v>
      </c>
      <c r="AV176">
        <f t="shared" si="29"/>
        <v>3514.86</v>
      </c>
    </row>
    <row r="177" spans="1:48" ht="24" customHeight="1">
      <c r="K177" s="705" t="s">
        <v>1609</v>
      </c>
      <c r="M177" s="710">
        <v>2.5</v>
      </c>
      <c r="N177" s="697" t="s">
        <v>878</v>
      </c>
      <c r="O177" s="697" t="s">
        <v>1656</v>
      </c>
      <c r="P177" s="710">
        <f>(K55)</f>
        <v>3041.5</v>
      </c>
      <c r="Q177" s="697" t="s">
        <v>878</v>
      </c>
      <c r="R177" s="710">
        <f>(M177*P177)</f>
        <v>7603.75</v>
      </c>
      <c r="AE177" s="710">
        <f t="shared" si="26"/>
        <v>0</v>
      </c>
      <c r="AG177" s="697" t="s">
        <v>2284</v>
      </c>
      <c r="AN177" s="8">
        <v>1</v>
      </c>
      <c r="AO177" s="7" t="s">
        <v>778</v>
      </c>
      <c r="AP177" s="1" t="s">
        <v>2034</v>
      </c>
      <c r="AQ177" s="8">
        <f>AQ162</f>
        <v>861</v>
      </c>
      <c r="AR177" s="1" t="s">
        <v>877</v>
      </c>
      <c r="AS177" s="8">
        <f>(AN177*AQ177)</f>
        <v>861</v>
      </c>
      <c r="AU177">
        <f t="shared" si="28"/>
        <v>195.36</v>
      </c>
      <c r="AV177">
        <f t="shared" si="29"/>
        <v>665.64</v>
      </c>
    </row>
    <row r="178" spans="1:48" ht="24" customHeight="1">
      <c r="H178" s="697" t="s">
        <v>987</v>
      </c>
      <c r="M178" s="710">
        <v>3.5</v>
      </c>
      <c r="N178" s="697" t="s">
        <v>877</v>
      </c>
      <c r="O178" s="697" t="s">
        <v>2034</v>
      </c>
      <c r="P178" s="710">
        <f>(C8)</f>
        <v>861</v>
      </c>
      <c r="Q178" s="697" t="s">
        <v>877</v>
      </c>
      <c r="R178" s="710">
        <f>(M178*P178)</f>
        <v>3013.5</v>
      </c>
      <c r="AE178" s="710">
        <f t="shared" si="26"/>
        <v>0</v>
      </c>
      <c r="AG178" s="697" t="s">
        <v>2284</v>
      </c>
      <c r="AO178" s="7" t="s">
        <v>450</v>
      </c>
      <c r="AP178" s="1" t="s">
        <v>451</v>
      </c>
      <c r="AQ178" s="1" t="s">
        <v>987</v>
      </c>
      <c r="AR178" s="1" t="s">
        <v>450</v>
      </c>
      <c r="AS178" s="8">
        <v>0</v>
      </c>
      <c r="AU178">
        <f t="shared" si="28"/>
        <v>0</v>
      </c>
      <c r="AV178">
        <f t="shared" si="29"/>
        <v>0</v>
      </c>
    </row>
    <row r="179" spans="1:48" ht="24" customHeight="1">
      <c r="F179" s="698" t="s">
        <v>1672</v>
      </c>
      <c r="H179" s="697" t="s">
        <v>5219</v>
      </c>
      <c r="AE179" s="710">
        <f t="shared" si="26"/>
        <v>0</v>
      </c>
      <c r="AO179" s="3"/>
      <c r="AR179" s="9"/>
      <c r="AS179" s="5" t="s">
        <v>1609</v>
      </c>
      <c r="AU179">
        <f t="shared" si="28"/>
        <v>0</v>
      </c>
      <c r="AV179">
        <f t="shared" si="29"/>
        <v>0</v>
      </c>
    </row>
    <row r="180" spans="1:48" ht="24" customHeight="1">
      <c r="A180" s="734"/>
      <c r="B180" s="734"/>
      <c r="C180" s="734"/>
      <c r="D180" s="734"/>
      <c r="AE180" s="710">
        <f t="shared" si="26"/>
        <v>0</v>
      </c>
      <c r="AO180" s="3"/>
      <c r="AP180" s="1" t="s">
        <v>442</v>
      </c>
      <c r="AR180" s="9"/>
      <c r="AS180" s="26">
        <f>SUM(AS176:AS178)</f>
        <v>5407.45</v>
      </c>
      <c r="AU180">
        <f t="shared" si="28"/>
        <v>1226.95</v>
      </c>
      <c r="AV180">
        <f t="shared" si="29"/>
        <v>4180.5</v>
      </c>
    </row>
    <row r="181" spans="1:48" ht="24" customHeight="1">
      <c r="A181" s="734"/>
      <c r="B181" s="734"/>
      <c r="C181" s="734"/>
      <c r="D181" s="734"/>
      <c r="F181" s="710">
        <v>1</v>
      </c>
      <c r="G181" s="708" t="s">
        <v>878</v>
      </c>
      <c r="H181" s="697" t="s">
        <v>66</v>
      </c>
      <c r="I181" s="710">
        <f>C33</f>
        <v>375.2</v>
      </c>
      <c r="J181" s="697" t="s">
        <v>878</v>
      </c>
      <c r="K181" s="710">
        <f>(F181*I181)</f>
        <v>375.2</v>
      </c>
      <c r="AE181" s="710">
        <f t="shared" si="26"/>
        <v>0</v>
      </c>
      <c r="AO181" s="3"/>
      <c r="AR181" s="9"/>
      <c r="AS181" s="5" t="s">
        <v>1609</v>
      </c>
      <c r="AU181">
        <f t="shared" si="28"/>
        <v>0</v>
      </c>
      <c r="AV181">
        <f t="shared" si="29"/>
        <v>0</v>
      </c>
    </row>
    <row r="182" spans="1:48" ht="24" customHeight="1">
      <c r="A182" s="734"/>
      <c r="B182" s="734"/>
      <c r="C182" s="734"/>
      <c r="D182" s="734"/>
      <c r="F182" s="710">
        <v>1</v>
      </c>
      <c r="G182" s="708" t="s">
        <v>878</v>
      </c>
      <c r="H182" s="697" t="s">
        <v>527</v>
      </c>
      <c r="I182" s="774">
        <f>C809</f>
        <v>3.15</v>
      </c>
      <c r="J182" s="697" t="s">
        <v>878</v>
      </c>
      <c r="K182" s="710">
        <f>(F182*I182)</f>
        <v>3.15</v>
      </c>
      <c r="AE182" s="710">
        <f t="shared" si="26"/>
        <v>0</v>
      </c>
      <c r="AO182" s="3"/>
      <c r="AP182" s="1" t="s">
        <v>556</v>
      </c>
      <c r="AR182" s="9"/>
      <c r="AS182" s="8">
        <f>(AS180/10)</f>
        <v>540.75</v>
      </c>
      <c r="AU182">
        <f t="shared" si="28"/>
        <v>122.7</v>
      </c>
      <c r="AV182">
        <f t="shared" si="29"/>
        <v>418.05</v>
      </c>
    </row>
    <row r="183" spans="1:48" ht="24" customHeight="1">
      <c r="A183" s="734"/>
      <c r="B183" s="734"/>
      <c r="C183" s="734"/>
      <c r="D183" s="734"/>
      <c r="F183" s="710">
        <v>1</v>
      </c>
      <c r="G183" s="708" t="s">
        <v>878</v>
      </c>
      <c r="H183" s="697" t="s">
        <v>1667</v>
      </c>
      <c r="I183" s="774">
        <f>C143</f>
        <v>15.5</v>
      </c>
      <c r="J183" s="697" t="s">
        <v>878</v>
      </c>
      <c r="K183" s="710">
        <f>(F183*I183)</f>
        <v>15.5</v>
      </c>
      <c r="AE183" s="710">
        <f t="shared" si="26"/>
        <v>0</v>
      </c>
      <c r="AO183" s="3"/>
      <c r="AR183" s="9"/>
      <c r="AS183" s="5" t="s">
        <v>2080</v>
      </c>
      <c r="AU183">
        <f t="shared" si="28"/>
        <v>0</v>
      </c>
      <c r="AV183">
        <f t="shared" si="29"/>
        <v>0</v>
      </c>
    </row>
    <row r="184" spans="1:48" ht="24" customHeight="1">
      <c r="A184" s="734"/>
      <c r="B184" s="734"/>
      <c r="C184" s="734"/>
      <c r="D184" s="734"/>
      <c r="H184" s="697" t="s">
        <v>1668</v>
      </c>
      <c r="AE184" s="710">
        <f t="shared" si="26"/>
        <v>0</v>
      </c>
      <c r="AO184" s="3"/>
      <c r="AP184" s="1" t="s">
        <v>386</v>
      </c>
      <c r="AR184" s="9">
        <f>AS184-AS182</f>
        <v>5</v>
      </c>
      <c r="AS184" s="26">
        <f>(AS182+C17/10*AN176)</f>
        <v>545.75</v>
      </c>
      <c r="AU184">
        <f t="shared" si="28"/>
        <v>123.83</v>
      </c>
      <c r="AV184">
        <f t="shared" si="29"/>
        <v>421.92</v>
      </c>
    </row>
    <row r="185" spans="1:48" ht="24" customHeight="1">
      <c r="A185" s="734"/>
      <c r="B185" s="734"/>
      <c r="C185" s="734"/>
      <c r="D185" s="734"/>
      <c r="K185" s="705" t="s">
        <v>1609</v>
      </c>
      <c r="AE185" s="710">
        <f t="shared" si="26"/>
        <v>0</v>
      </c>
      <c r="AO185" s="3"/>
      <c r="AP185" s="1" t="s">
        <v>388</v>
      </c>
      <c r="AR185" s="9">
        <f>AS185-AS184</f>
        <v>10.08</v>
      </c>
      <c r="AS185" s="26">
        <f>(AS184+C18/10*AN176)</f>
        <v>555.83000000000004</v>
      </c>
      <c r="AU185">
        <f t="shared" si="28"/>
        <v>126.12</v>
      </c>
      <c r="AV185">
        <f t="shared" si="29"/>
        <v>429.71</v>
      </c>
    </row>
    <row r="186" spans="1:48" ht="24" customHeight="1">
      <c r="A186" s="734"/>
      <c r="B186" s="734"/>
      <c r="C186" s="734"/>
      <c r="D186" s="734"/>
      <c r="H186" s="711" t="s">
        <v>195</v>
      </c>
      <c r="K186" s="709">
        <f>SUM(K179:K184)</f>
        <v>393.85</v>
      </c>
      <c r="AE186" s="710">
        <f t="shared" si="26"/>
        <v>0</v>
      </c>
      <c r="AO186" s="3"/>
      <c r="AP186" s="1" t="s">
        <v>2257</v>
      </c>
      <c r="AR186" s="9">
        <f>AS186-AS185</f>
        <v>10.08</v>
      </c>
      <c r="AS186" s="26">
        <f>(AS185+C19/10*AN176)</f>
        <v>565.91</v>
      </c>
      <c r="AU186">
        <f t="shared" si="28"/>
        <v>128.4</v>
      </c>
      <c r="AV186">
        <f t="shared" si="29"/>
        <v>437.51</v>
      </c>
    </row>
    <row r="187" spans="1:48" ht="24" customHeight="1">
      <c r="A187" s="734"/>
      <c r="B187" s="734"/>
      <c r="C187" s="734"/>
      <c r="D187" s="734"/>
      <c r="F187" s="697" t="s">
        <v>987</v>
      </c>
      <c r="K187" s="705" t="s">
        <v>1609</v>
      </c>
      <c r="AE187" s="710">
        <f t="shared" si="26"/>
        <v>0</v>
      </c>
      <c r="AO187" s="3"/>
      <c r="AP187" s="1" t="s">
        <v>380</v>
      </c>
      <c r="AR187" s="9">
        <f>AS187-AS186</f>
        <v>10.08</v>
      </c>
      <c r="AS187" s="26">
        <f>(AS186+C19/10*AN176)</f>
        <v>575.99</v>
      </c>
      <c r="AU187">
        <f t="shared" si="28"/>
        <v>130.69</v>
      </c>
      <c r="AV187">
        <f t="shared" si="29"/>
        <v>445.3</v>
      </c>
    </row>
    <row r="188" spans="1:48" ht="24" customHeight="1">
      <c r="A188" s="734"/>
      <c r="B188" s="734"/>
      <c r="C188" s="734"/>
      <c r="D188" s="734"/>
      <c r="K188" s="697" t="s">
        <v>987</v>
      </c>
      <c r="AE188" s="710">
        <f t="shared" si="26"/>
        <v>0</v>
      </c>
      <c r="AO188" s="3"/>
      <c r="AP188" s="1" t="s">
        <v>842</v>
      </c>
      <c r="AR188" s="9">
        <f>AS188-AS187</f>
        <v>10.08</v>
      </c>
      <c r="AS188" s="26">
        <f>(AS187+C19/10*AN176)</f>
        <v>586.07000000000005</v>
      </c>
      <c r="AU188">
        <f t="shared" si="28"/>
        <v>132.97999999999999</v>
      </c>
      <c r="AV188">
        <f t="shared" si="29"/>
        <v>453.09</v>
      </c>
    </row>
    <row r="189" spans="1:48" ht="24" customHeight="1">
      <c r="A189" s="720" t="e">
        <f>(A145+1)</f>
        <v>#REF!</v>
      </c>
      <c r="B189" s="722" t="s">
        <v>670</v>
      </c>
      <c r="C189" s="737">
        <v>65</v>
      </c>
      <c r="D189" s="722" t="s">
        <v>671</v>
      </c>
      <c r="F189" s="698" t="s">
        <v>672</v>
      </c>
      <c r="G189" s="708" t="s">
        <v>2276</v>
      </c>
      <c r="H189" s="697" t="s">
        <v>673</v>
      </c>
      <c r="M189" s="698" t="s">
        <v>672</v>
      </c>
      <c r="N189" s="708" t="s">
        <v>2276</v>
      </c>
      <c r="O189" s="697" t="s">
        <v>214</v>
      </c>
      <c r="Q189" s="702"/>
      <c r="S189" s="698" t="s">
        <v>672</v>
      </c>
      <c r="T189" s="708" t="s">
        <v>2276</v>
      </c>
      <c r="U189" s="697" t="s">
        <v>214</v>
      </c>
      <c r="W189" s="702"/>
      <c r="AE189" s="710">
        <f t="shared" si="26"/>
        <v>0</v>
      </c>
      <c r="AG189" s="697" t="s">
        <v>2284</v>
      </c>
      <c r="AP189" s="1"/>
      <c r="AR189" s="9"/>
      <c r="AS189" s="26"/>
      <c r="AU189">
        <f t="shared" si="28"/>
        <v>0</v>
      </c>
      <c r="AV189">
        <f t="shared" si="29"/>
        <v>0</v>
      </c>
    </row>
    <row r="190" spans="1:48" ht="24" customHeight="1">
      <c r="A190" s="720" t="e">
        <f t="shared" ref="A190:A205" si="30">(A189+1)</f>
        <v>#REF!</v>
      </c>
      <c r="B190" s="722" t="s">
        <v>674</v>
      </c>
      <c r="C190" s="737">
        <v>25</v>
      </c>
      <c r="D190" s="722" t="s">
        <v>671</v>
      </c>
      <c r="H190" s="697" t="s">
        <v>675</v>
      </c>
      <c r="N190" s="700"/>
      <c r="O190" s="697" t="s">
        <v>1509</v>
      </c>
      <c r="Q190" s="702"/>
      <c r="S190" s="699"/>
      <c r="T190" s="700"/>
      <c r="U190" s="697" t="s">
        <v>675</v>
      </c>
      <c r="W190" s="702"/>
      <c r="AE190" s="710">
        <f t="shared" si="26"/>
        <v>0</v>
      </c>
      <c r="AG190" s="697" t="s">
        <v>2284</v>
      </c>
      <c r="AP190" s="1"/>
      <c r="AR190" s="9"/>
      <c r="AS190" s="26"/>
      <c r="AU190">
        <f t="shared" si="28"/>
        <v>0</v>
      </c>
      <c r="AV190">
        <f t="shared" si="29"/>
        <v>0</v>
      </c>
    </row>
    <row r="191" spans="1:48" ht="24" customHeight="1">
      <c r="A191" s="720" t="e">
        <f t="shared" si="30"/>
        <v>#REF!</v>
      </c>
      <c r="B191" s="697" t="s">
        <v>4925</v>
      </c>
      <c r="C191" s="718">
        <v>268.60000000000002</v>
      </c>
      <c r="D191" s="722" t="s">
        <v>671</v>
      </c>
      <c r="H191" s="705" t="s">
        <v>1609</v>
      </c>
      <c r="N191" s="700"/>
      <c r="O191" s="705" t="s">
        <v>1609</v>
      </c>
      <c r="Q191" s="702"/>
      <c r="S191" s="699"/>
      <c r="T191" s="700"/>
      <c r="U191" s="705" t="s">
        <v>1609</v>
      </c>
      <c r="W191" s="702"/>
      <c r="AE191" s="710">
        <f t="shared" si="26"/>
        <v>0</v>
      </c>
      <c r="AG191" s="697" t="s">
        <v>2284</v>
      </c>
      <c r="AU191">
        <f t="shared" si="28"/>
        <v>0</v>
      </c>
      <c r="AV191">
        <f t="shared" si="29"/>
        <v>0</v>
      </c>
    </row>
    <row r="192" spans="1:48" ht="24" customHeight="1">
      <c r="A192" s="720" t="e">
        <f t="shared" si="30"/>
        <v>#REF!</v>
      </c>
      <c r="B192" s="697" t="s">
        <v>4926</v>
      </c>
      <c r="C192" s="718">
        <v>236.6</v>
      </c>
      <c r="D192" s="737">
        <v>96.11</v>
      </c>
      <c r="F192" s="710">
        <v>9</v>
      </c>
      <c r="G192" s="708" t="s">
        <v>878</v>
      </c>
      <c r="H192" s="697" t="s">
        <v>1663</v>
      </c>
      <c r="I192" s="710">
        <f>(C71)</f>
        <v>1276.5</v>
      </c>
      <c r="J192" s="697" t="s">
        <v>878</v>
      </c>
      <c r="K192" s="710">
        <f>(F192*I192)</f>
        <v>11488.5</v>
      </c>
      <c r="M192" s="710">
        <v>9</v>
      </c>
      <c r="N192" s="708" t="s">
        <v>878</v>
      </c>
      <c r="O192" s="697" t="s">
        <v>697</v>
      </c>
      <c r="P192" s="710">
        <f>(C70)</f>
        <v>1679.5</v>
      </c>
      <c r="Q192" s="697" t="s">
        <v>878</v>
      </c>
      <c r="R192" s="710">
        <f>(M192*P192)</f>
        <v>15115.5</v>
      </c>
      <c r="S192" s="710">
        <v>9</v>
      </c>
      <c r="T192" s="708" t="s">
        <v>878</v>
      </c>
      <c r="U192" s="697" t="s">
        <v>1663</v>
      </c>
      <c r="V192" s="710">
        <f>(C71)</f>
        <v>1276.5</v>
      </c>
      <c r="W192" s="697" t="s">
        <v>878</v>
      </c>
      <c r="X192" s="710">
        <f>(S192*V192)</f>
        <v>11488.5</v>
      </c>
      <c r="AE192" s="710">
        <f t="shared" si="26"/>
        <v>0</v>
      </c>
      <c r="AG192" s="697" t="s">
        <v>2284</v>
      </c>
      <c r="AP192" s="1"/>
      <c r="AR192" s="9"/>
      <c r="AS192" s="26"/>
      <c r="AU192">
        <f t="shared" si="28"/>
        <v>0</v>
      </c>
      <c r="AV192">
        <f t="shared" si="29"/>
        <v>0</v>
      </c>
    </row>
    <row r="193" spans="1:48" ht="24" customHeight="1">
      <c r="A193" s="720" t="e">
        <f t="shared" si="30"/>
        <v>#REF!</v>
      </c>
      <c r="B193" s="697" t="s">
        <v>4927</v>
      </c>
      <c r="C193" s="718">
        <v>146.1</v>
      </c>
      <c r="D193" s="722" t="s">
        <v>671</v>
      </c>
      <c r="F193" s="710">
        <v>4.5</v>
      </c>
      <c r="G193" s="708" t="s">
        <v>878</v>
      </c>
      <c r="H193" s="697" t="s">
        <v>1650</v>
      </c>
      <c r="I193" s="710">
        <f>(K46)</f>
        <v>3327.58</v>
      </c>
      <c r="J193" s="697" t="s">
        <v>878</v>
      </c>
      <c r="K193" s="710">
        <f>(F193*I193)</f>
        <v>14974.11</v>
      </c>
      <c r="M193" s="710">
        <v>4.5</v>
      </c>
      <c r="N193" s="708" t="s">
        <v>878</v>
      </c>
      <c r="O193" s="697" t="s">
        <v>1373</v>
      </c>
      <c r="P193" s="710">
        <f>K30</f>
        <v>4471.8999999999996</v>
      </c>
      <c r="Q193" s="697" t="s">
        <v>878</v>
      </c>
      <c r="R193" s="710">
        <f>(M193*P193)</f>
        <v>20123.55</v>
      </c>
      <c r="S193" s="710">
        <v>4.5</v>
      </c>
      <c r="T193" s="708" t="s">
        <v>878</v>
      </c>
      <c r="U193" s="697" t="s">
        <v>1373</v>
      </c>
      <c r="V193" s="710">
        <f>P193</f>
        <v>4471.8999999999996</v>
      </c>
      <c r="W193" s="697" t="s">
        <v>878</v>
      </c>
      <c r="X193" s="710">
        <f>(S193*V193)</f>
        <v>20123.55</v>
      </c>
      <c r="AE193" s="710">
        <f t="shared" si="26"/>
        <v>0</v>
      </c>
      <c r="AG193" s="697" t="s">
        <v>2284</v>
      </c>
      <c r="AP193" s="1"/>
      <c r="AS193" s="26"/>
      <c r="AU193">
        <f t="shared" si="28"/>
        <v>0</v>
      </c>
      <c r="AV193">
        <f t="shared" si="29"/>
        <v>0</v>
      </c>
    </row>
    <row r="194" spans="1:48" ht="24" customHeight="1">
      <c r="A194" s="720" t="e">
        <f t="shared" si="30"/>
        <v>#REF!</v>
      </c>
      <c r="B194" s="722" t="s">
        <v>846</v>
      </c>
      <c r="C194" s="737">
        <v>0.25</v>
      </c>
      <c r="D194" s="722" t="s">
        <v>877</v>
      </c>
      <c r="F194" s="710">
        <v>1.8</v>
      </c>
      <c r="G194" s="708" t="s">
        <v>877</v>
      </c>
      <c r="H194" s="697" t="s">
        <v>1737</v>
      </c>
      <c r="I194" s="710">
        <f>(C9)</f>
        <v>804</v>
      </c>
      <c r="J194" s="697" t="s">
        <v>877</v>
      </c>
      <c r="K194" s="710">
        <f>(F194*I194)</f>
        <v>1447.2</v>
      </c>
      <c r="M194" s="710">
        <v>1.8</v>
      </c>
      <c r="N194" s="708" t="s">
        <v>877</v>
      </c>
      <c r="O194" s="697" t="s">
        <v>1737</v>
      </c>
      <c r="P194" s="710">
        <f>I194</f>
        <v>804</v>
      </c>
      <c r="Q194" s="697" t="s">
        <v>877</v>
      </c>
      <c r="R194" s="710">
        <f>(M194*P194)</f>
        <v>1447.2</v>
      </c>
      <c r="S194" s="710">
        <v>1.8</v>
      </c>
      <c r="T194" s="708" t="s">
        <v>877</v>
      </c>
      <c r="U194" s="697" t="s">
        <v>1737</v>
      </c>
      <c r="V194" s="710">
        <f>P194</f>
        <v>804</v>
      </c>
      <c r="W194" s="697" t="s">
        <v>877</v>
      </c>
      <c r="X194" s="710">
        <f>(S194*V194)</f>
        <v>1447.2</v>
      </c>
      <c r="AE194" s="710">
        <f t="shared" si="26"/>
        <v>0</v>
      </c>
      <c r="AG194" s="697" t="s">
        <v>2284</v>
      </c>
      <c r="AP194" s="1"/>
      <c r="AS194" s="26"/>
      <c r="AU194">
        <f t="shared" si="28"/>
        <v>0</v>
      </c>
      <c r="AV194">
        <f t="shared" si="29"/>
        <v>0</v>
      </c>
    </row>
    <row r="195" spans="1:48" ht="24" customHeight="1">
      <c r="A195" s="720" t="e">
        <f t="shared" si="30"/>
        <v>#REF!</v>
      </c>
      <c r="B195" s="697" t="s">
        <v>4928</v>
      </c>
      <c r="C195" s="718">
        <v>36.299999999999997</v>
      </c>
      <c r="D195" s="697" t="s">
        <v>615</v>
      </c>
      <c r="F195" s="710">
        <v>17.7</v>
      </c>
      <c r="G195" s="708" t="s">
        <v>877</v>
      </c>
      <c r="H195" s="697" t="s">
        <v>1927</v>
      </c>
      <c r="I195" s="710">
        <f>(C10)</f>
        <v>562</v>
      </c>
      <c r="J195" s="697" t="s">
        <v>877</v>
      </c>
      <c r="K195" s="710">
        <f>(F195*I195)</f>
        <v>9947.4</v>
      </c>
      <c r="M195" s="710">
        <v>17.7</v>
      </c>
      <c r="N195" s="708" t="s">
        <v>877</v>
      </c>
      <c r="O195" s="697" t="s">
        <v>1927</v>
      </c>
      <c r="P195" s="710">
        <f>I195</f>
        <v>562</v>
      </c>
      <c r="Q195" s="697" t="s">
        <v>877</v>
      </c>
      <c r="R195" s="710">
        <f>(M195*P195)</f>
        <v>9947.4</v>
      </c>
      <c r="S195" s="710">
        <v>17.7</v>
      </c>
      <c r="T195" s="708" t="s">
        <v>877</v>
      </c>
      <c r="U195" s="697" t="s">
        <v>1927</v>
      </c>
      <c r="V195" s="710">
        <f>P195</f>
        <v>562</v>
      </c>
      <c r="W195" s="697" t="s">
        <v>877</v>
      </c>
      <c r="X195" s="710">
        <f>(S195*V195)</f>
        <v>9947.4</v>
      </c>
      <c r="AE195" s="710">
        <f t="shared" si="26"/>
        <v>0</v>
      </c>
      <c r="AG195" s="697" t="s">
        <v>2284</v>
      </c>
      <c r="AP195" s="1"/>
      <c r="AS195" s="26"/>
      <c r="AU195">
        <f t="shared" si="28"/>
        <v>0</v>
      </c>
      <c r="AV195">
        <f t="shared" si="29"/>
        <v>0</v>
      </c>
    </row>
    <row r="196" spans="1:48" ht="24" customHeight="1">
      <c r="A196" s="720" t="e">
        <f t="shared" si="30"/>
        <v>#REF!</v>
      </c>
      <c r="B196" s="697" t="s">
        <v>4929</v>
      </c>
      <c r="C196" s="718">
        <v>339</v>
      </c>
      <c r="D196" s="718">
        <v>104</v>
      </c>
      <c r="E196" s="722" t="s">
        <v>615</v>
      </c>
      <c r="F196" s="710">
        <v>14.1</v>
      </c>
      <c r="G196" s="708" t="s">
        <v>877</v>
      </c>
      <c r="H196" s="697" t="s">
        <v>321</v>
      </c>
      <c r="I196" s="710">
        <f>(C11)</f>
        <v>461</v>
      </c>
      <c r="J196" s="697" t="s">
        <v>877</v>
      </c>
      <c r="K196" s="710">
        <f>(F196*I196)</f>
        <v>6500.1</v>
      </c>
      <c r="M196" s="710">
        <v>14.1</v>
      </c>
      <c r="N196" s="708" t="s">
        <v>877</v>
      </c>
      <c r="O196" s="697" t="s">
        <v>321</v>
      </c>
      <c r="P196" s="710">
        <f>I196</f>
        <v>461</v>
      </c>
      <c r="Q196" s="697" t="s">
        <v>877</v>
      </c>
      <c r="R196" s="710">
        <f>(M196*P196)</f>
        <v>6500.1</v>
      </c>
      <c r="S196" s="710">
        <v>14.1</v>
      </c>
      <c r="T196" s="708" t="s">
        <v>877</v>
      </c>
      <c r="U196" s="697" t="s">
        <v>321</v>
      </c>
      <c r="V196" s="710">
        <f>P196</f>
        <v>461</v>
      </c>
      <c r="W196" s="697" t="s">
        <v>877</v>
      </c>
      <c r="X196" s="710">
        <f>(S196*V196)</f>
        <v>6500.1</v>
      </c>
      <c r="AE196" s="710">
        <f t="shared" si="26"/>
        <v>0</v>
      </c>
      <c r="AG196" s="697" t="s">
        <v>2284</v>
      </c>
      <c r="AP196" s="1"/>
      <c r="AS196" s="26"/>
      <c r="AU196">
        <f t="shared" si="28"/>
        <v>0</v>
      </c>
      <c r="AV196">
        <f t="shared" si="29"/>
        <v>0</v>
      </c>
    </row>
    <row r="197" spans="1:48" ht="24" customHeight="1">
      <c r="A197" s="720" t="e">
        <f t="shared" si="30"/>
        <v>#REF!</v>
      </c>
      <c r="B197" s="697" t="s">
        <v>4930</v>
      </c>
      <c r="C197" s="718">
        <v>164</v>
      </c>
      <c r="D197" s="697" t="s">
        <v>778</v>
      </c>
      <c r="G197" s="708" t="s">
        <v>450</v>
      </c>
      <c r="H197" s="697" t="s">
        <v>451</v>
      </c>
      <c r="J197" s="697" t="s">
        <v>450</v>
      </c>
      <c r="K197" s="710">
        <v>0</v>
      </c>
      <c r="N197" s="708" t="s">
        <v>450</v>
      </c>
      <c r="O197" s="697" t="s">
        <v>451</v>
      </c>
      <c r="Q197" s="697" t="s">
        <v>450</v>
      </c>
      <c r="R197" s="710">
        <v>0</v>
      </c>
      <c r="S197" s="699"/>
      <c r="T197" s="708" t="s">
        <v>450</v>
      </c>
      <c r="U197" s="697" t="s">
        <v>451</v>
      </c>
      <c r="W197" s="697" t="s">
        <v>450</v>
      </c>
      <c r="X197" s="710">
        <v>0</v>
      </c>
      <c r="AE197" s="710">
        <f t="shared" si="26"/>
        <v>0</v>
      </c>
      <c r="AG197" s="697" t="s">
        <v>2284</v>
      </c>
      <c r="AU197">
        <f t="shared" si="28"/>
        <v>0</v>
      </c>
      <c r="AV197">
        <f t="shared" si="29"/>
        <v>0</v>
      </c>
    </row>
    <row r="198" spans="1:48" ht="24" customHeight="1">
      <c r="A198" s="720" t="e">
        <f t="shared" si="30"/>
        <v>#REF!</v>
      </c>
      <c r="B198" s="697" t="s">
        <v>4931</v>
      </c>
      <c r="C198" s="718">
        <v>1190</v>
      </c>
      <c r="D198" s="697" t="s">
        <v>778</v>
      </c>
      <c r="K198" s="705" t="s">
        <v>1609</v>
      </c>
      <c r="N198" s="700"/>
      <c r="Q198" s="702"/>
      <c r="R198" s="705" t="s">
        <v>1609</v>
      </c>
      <c r="S198" s="699"/>
      <c r="T198" s="700"/>
      <c r="W198" s="702"/>
      <c r="X198" s="705" t="s">
        <v>1609</v>
      </c>
      <c r="AE198" s="710">
        <f t="shared" si="26"/>
        <v>0</v>
      </c>
      <c r="AG198" s="697" t="s">
        <v>2284</v>
      </c>
      <c r="AU198">
        <f t="shared" si="28"/>
        <v>0</v>
      </c>
      <c r="AV198">
        <f t="shared" si="29"/>
        <v>0</v>
      </c>
    </row>
    <row r="199" spans="1:48" ht="24" customHeight="1">
      <c r="A199" s="720" t="e">
        <f t="shared" si="30"/>
        <v>#REF!</v>
      </c>
      <c r="B199" s="722" t="s">
        <v>1167</v>
      </c>
      <c r="C199" s="732">
        <v>47.2</v>
      </c>
      <c r="D199" s="722" t="s">
        <v>778</v>
      </c>
      <c r="K199" s="710">
        <f>SUM(K192:K197)</f>
        <v>44357.31</v>
      </c>
      <c r="N199" s="700"/>
      <c r="Q199" s="702"/>
      <c r="R199" s="710">
        <f>SUM(R192:R197)</f>
        <v>53133.75</v>
      </c>
      <c r="S199" s="699"/>
      <c r="T199" s="700"/>
      <c r="W199" s="702"/>
      <c r="X199" s="710">
        <f>SUM(X192:X197)</f>
        <v>49506.75</v>
      </c>
      <c r="AE199" s="710">
        <f t="shared" ref="AE199:AE262" si="31">AF199</f>
        <v>0</v>
      </c>
      <c r="AG199" s="697" t="s">
        <v>2284</v>
      </c>
      <c r="AU199">
        <f t="shared" si="28"/>
        <v>0</v>
      </c>
      <c r="AV199">
        <f t="shared" si="29"/>
        <v>0</v>
      </c>
    </row>
    <row r="200" spans="1:48" ht="24" customHeight="1">
      <c r="A200" s="720" t="e">
        <f t="shared" si="30"/>
        <v>#REF!</v>
      </c>
      <c r="B200" s="697" t="s">
        <v>4932</v>
      </c>
      <c r="C200" s="718">
        <v>126.8</v>
      </c>
      <c r="D200" s="722" t="s">
        <v>778</v>
      </c>
      <c r="E200" s="744">
        <v>162.9</v>
      </c>
      <c r="H200" s="698" t="s">
        <v>620</v>
      </c>
      <c r="K200" s="705" t="s">
        <v>1609</v>
      </c>
      <c r="N200" s="700"/>
      <c r="O200" s="697" t="s">
        <v>620</v>
      </c>
      <c r="Q200" s="702"/>
      <c r="R200" s="705" t="s">
        <v>1609</v>
      </c>
      <c r="S200" s="699"/>
      <c r="T200" s="700"/>
      <c r="U200" s="697" t="s">
        <v>620</v>
      </c>
      <c r="W200" s="702"/>
      <c r="X200" s="705" t="s">
        <v>1609</v>
      </c>
      <c r="AE200" s="710">
        <f t="shared" si="31"/>
        <v>0</v>
      </c>
      <c r="AG200" s="697" t="s">
        <v>322</v>
      </c>
      <c r="AU200">
        <f t="shared" si="28"/>
        <v>0</v>
      </c>
      <c r="AV200">
        <f t="shared" si="29"/>
        <v>0</v>
      </c>
    </row>
    <row r="201" spans="1:48" ht="24" customHeight="1">
      <c r="A201" s="720" t="e">
        <f t="shared" si="30"/>
        <v>#REF!</v>
      </c>
      <c r="B201" s="697" t="s">
        <v>4933</v>
      </c>
      <c r="C201" s="718">
        <v>62.8</v>
      </c>
      <c r="D201" s="722" t="s">
        <v>778</v>
      </c>
      <c r="K201" s="709">
        <f>(K199/10)</f>
        <v>4435.7299999999996</v>
      </c>
      <c r="N201" s="700"/>
      <c r="Q201" s="702"/>
      <c r="R201" s="710">
        <f>(R199/10)</f>
        <v>5313.38</v>
      </c>
      <c r="S201" s="699"/>
      <c r="T201" s="700"/>
      <c r="W201" s="702"/>
      <c r="X201" s="710">
        <f>(X199/10)</f>
        <v>4950.68</v>
      </c>
      <c r="AE201" s="710">
        <f t="shared" si="31"/>
        <v>0</v>
      </c>
      <c r="AU201">
        <f t="shared" si="28"/>
        <v>0</v>
      </c>
      <c r="AV201">
        <f t="shared" si="29"/>
        <v>0</v>
      </c>
    </row>
    <row r="202" spans="1:48" ht="24" customHeight="1">
      <c r="A202" s="720" t="e">
        <f t="shared" si="30"/>
        <v>#REF!</v>
      </c>
      <c r="B202" s="697" t="s">
        <v>627</v>
      </c>
      <c r="C202" s="718">
        <v>101</v>
      </c>
      <c r="D202" s="722" t="s">
        <v>778</v>
      </c>
      <c r="H202" s="711" t="s">
        <v>782</v>
      </c>
      <c r="K202" s="705" t="s">
        <v>2080</v>
      </c>
      <c r="N202" s="700"/>
      <c r="O202" s="697" t="s">
        <v>782</v>
      </c>
      <c r="Q202" s="702"/>
      <c r="R202" s="705" t="s">
        <v>2080</v>
      </c>
      <c r="S202" s="699"/>
      <c r="T202" s="700"/>
      <c r="U202" s="697" t="s">
        <v>782</v>
      </c>
      <c r="W202" s="702"/>
      <c r="X202" s="705" t="s">
        <v>2080</v>
      </c>
      <c r="AE202" s="710">
        <f t="shared" si="31"/>
        <v>0</v>
      </c>
      <c r="AU202">
        <f t="shared" si="28"/>
        <v>0</v>
      </c>
      <c r="AV202">
        <f t="shared" si="29"/>
        <v>0</v>
      </c>
    </row>
    <row r="203" spans="1:48" ht="24" customHeight="1">
      <c r="A203" s="720" t="e">
        <f t="shared" si="30"/>
        <v>#REF!</v>
      </c>
      <c r="B203" s="697" t="s">
        <v>4934</v>
      </c>
      <c r="C203" s="718">
        <v>100.6</v>
      </c>
      <c r="D203" s="722" t="s">
        <v>778</v>
      </c>
      <c r="E203" s="744">
        <v>138</v>
      </c>
      <c r="AE203" s="710">
        <f t="shared" si="31"/>
        <v>0</v>
      </c>
      <c r="AG203" s="697" t="s">
        <v>2284</v>
      </c>
      <c r="AU203">
        <f t="shared" si="28"/>
        <v>0</v>
      </c>
      <c r="AV203">
        <f t="shared" si="29"/>
        <v>0</v>
      </c>
    </row>
    <row r="204" spans="1:48" ht="24" customHeight="1">
      <c r="A204" s="720" t="e">
        <f t="shared" si="30"/>
        <v>#REF!</v>
      </c>
      <c r="B204" s="697" t="s">
        <v>4935</v>
      </c>
      <c r="C204" s="718">
        <v>225.4</v>
      </c>
      <c r="D204" s="722" t="s">
        <v>692</v>
      </c>
      <c r="F204" s="698" t="s">
        <v>693</v>
      </c>
      <c r="G204" s="708" t="s">
        <v>2276</v>
      </c>
      <c r="H204" s="697" t="s">
        <v>5220</v>
      </c>
      <c r="AE204" s="710">
        <f t="shared" si="31"/>
        <v>0</v>
      </c>
      <c r="AU204">
        <f t="shared" si="28"/>
        <v>0</v>
      </c>
      <c r="AV204">
        <f t="shared" si="29"/>
        <v>0</v>
      </c>
    </row>
    <row r="205" spans="1:48" ht="24" customHeight="1">
      <c r="A205" s="720" t="e">
        <f t="shared" si="30"/>
        <v>#REF!</v>
      </c>
      <c r="B205" s="697" t="s">
        <v>4936</v>
      </c>
      <c r="C205" s="718">
        <v>164.5</v>
      </c>
      <c r="D205" s="722" t="s">
        <v>778</v>
      </c>
      <c r="H205" s="697" t="s">
        <v>1509</v>
      </c>
      <c r="N205" s="697" t="s">
        <v>695</v>
      </c>
      <c r="O205" s="697" t="s">
        <v>696</v>
      </c>
      <c r="AE205" s="710">
        <f t="shared" si="31"/>
        <v>0</v>
      </c>
      <c r="AU205">
        <f t="shared" si="28"/>
        <v>0</v>
      </c>
      <c r="AV205">
        <f t="shared" si="29"/>
        <v>0</v>
      </c>
    </row>
    <row r="206" spans="1:48" ht="24" customHeight="1">
      <c r="A206" s="734"/>
      <c r="B206" s="734"/>
      <c r="C206" s="734"/>
      <c r="D206" s="734"/>
      <c r="H206" s="705" t="s">
        <v>1609</v>
      </c>
      <c r="O206" s="705" t="s">
        <v>1609</v>
      </c>
      <c r="AE206" s="710">
        <f t="shared" si="31"/>
        <v>0</v>
      </c>
      <c r="AU206">
        <f t="shared" si="28"/>
        <v>0</v>
      </c>
      <c r="AV206">
        <f t="shared" si="29"/>
        <v>0</v>
      </c>
    </row>
    <row r="207" spans="1:48" ht="24" customHeight="1">
      <c r="A207" s="734"/>
      <c r="B207" s="734"/>
      <c r="C207" s="734"/>
      <c r="D207" s="734"/>
      <c r="F207" s="710">
        <v>9</v>
      </c>
      <c r="G207" s="708" t="s">
        <v>878</v>
      </c>
      <c r="H207" s="697" t="s">
        <v>697</v>
      </c>
      <c r="I207" s="710">
        <f>C70</f>
        <v>1679.5</v>
      </c>
      <c r="J207" s="697" t="s">
        <v>878</v>
      </c>
      <c r="K207" s="710">
        <f>(F207*I207)</f>
        <v>15115.5</v>
      </c>
      <c r="M207" s="775">
        <v>1.153E-2</v>
      </c>
      <c r="N207" s="697" t="s">
        <v>878</v>
      </c>
      <c r="O207" s="697" t="s">
        <v>698</v>
      </c>
      <c r="P207" s="710">
        <f>C85</f>
        <v>111600</v>
      </c>
      <c r="Q207" s="697" t="s">
        <v>878</v>
      </c>
      <c r="R207" s="710">
        <f t="shared" ref="R207:R216" si="32">(M207*P207)</f>
        <v>1286.75</v>
      </c>
      <c r="AE207" s="710">
        <f t="shared" si="31"/>
        <v>0</v>
      </c>
      <c r="AU207">
        <f t="shared" si="28"/>
        <v>0</v>
      </c>
      <c r="AV207">
        <f t="shared" si="29"/>
        <v>0</v>
      </c>
    </row>
    <row r="208" spans="1:48" ht="24" customHeight="1">
      <c r="A208" s="734"/>
      <c r="B208" s="734"/>
      <c r="C208" s="734"/>
      <c r="D208" s="734"/>
      <c r="F208" s="710">
        <v>4.5</v>
      </c>
      <c r="G208" s="708" t="s">
        <v>878</v>
      </c>
      <c r="H208" s="697" t="s">
        <v>121</v>
      </c>
      <c r="I208" s="710">
        <f>K21</f>
        <v>5902.3</v>
      </c>
      <c r="J208" s="697" t="s">
        <v>878</v>
      </c>
      <c r="K208" s="710">
        <f>(F208*I208)</f>
        <v>26560.35</v>
      </c>
      <c r="M208" s="775">
        <v>1.013E-2</v>
      </c>
      <c r="N208" s="697" t="s">
        <v>878</v>
      </c>
      <c r="O208" s="697" t="s">
        <v>699</v>
      </c>
      <c r="P208" s="710">
        <f>C86</f>
        <v>99400</v>
      </c>
      <c r="Q208" s="697" t="s">
        <v>878</v>
      </c>
      <c r="R208" s="710">
        <f t="shared" si="32"/>
        <v>1006.92</v>
      </c>
      <c r="AE208" s="710">
        <f t="shared" si="31"/>
        <v>0</v>
      </c>
      <c r="AU208">
        <f t="shared" si="28"/>
        <v>0</v>
      </c>
      <c r="AV208">
        <f t="shared" si="29"/>
        <v>0</v>
      </c>
    </row>
    <row r="209" spans="1:48" ht="24" customHeight="1">
      <c r="A209" s="734"/>
      <c r="B209" s="734"/>
      <c r="C209" s="734"/>
      <c r="D209" s="734"/>
      <c r="F209" s="710">
        <v>1.8</v>
      </c>
      <c r="G209" s="708" t="s">
        <v>877</v>
      </c>
      <c r="H209" s="697" t="s">
        <v>1737</v>
      </c>
      <c r="I209" s="710">
        <f>C9</f>
        <v>804</v>
      </c>
      <c r="J209" s="697" t="s">
        <v>877</v>
      </c>
      <c r="K209" s="710">
        <f>(F209*I209)</f>
        <v>1447.2</v>
      </c>
      <c r="M209" s="775">
        <v>0.77780000000000005</v>
      </c>
      <c r="N209" s="697" t="s">
        <v>615</v>
      </c>
      <c r="O209" s="697" t="s">
        <v>2117</v>
      </c>
      <c r="P209" s="710">
        <f>C780</f>
        <v>387.4</v>
      </c>
      <c r="Q209" s="697" t="s">
        <v>615</v>
      </c>
      <c r="R209" s="710">
        <f t="shared" si="32"/>
        <v>301.32</v>
      </c>
      <c r="AE209" s="710">
        <f t="shared" si="31"/>
        <v>0</v>
      </c>
      <c r="AU209">
        <f t="shared" si="28"/>
        <v>0</v>
      </c>
      <c r="AV209">
        <f t="shared" si="29"/>
        <v>0</v>
      </c>
    </row>
    <row r="210" spans="1:48" ht="24" customHeight="1">
      <c r="A210" s="734"/>
      <c r="B210" s="734"/>
      <c r="C210" s="734"/>
      <c r="D210" s="734"/>
      <c r="F210" s="710">
        <v>17.7</v>
      </c>
      <c r="G210" s="708" t="s">
        <v>877</v>
      </c>
      <c r="H210" s="697" t="s">
        <v>1927</v>
      </c>
      <c r="I210" s="710">
        <f>C10</f>
        <v>562</v>
      </c>
      <c r="J210" s="697" t="s">
        <v>877</v>
      </c>
      <c r="K210" s="710">
        <f>(F210*I210)</f>
        <v>9947.4</v>
      </c>
      <c r="M210" s="775">
        <v>1.23</v>
      </c>
      <c r="N210" s="697" t="s">
        <v>615</v>
      </c>
      <c r="O210" s="697" t="s">
        <v>2118</v>
      </c>
      <c r="P210" s="710">
        <f>D28</f>
        <v>1105</v>
      </c>
      <c r="Q210" s="697" t="s">
        <v>615</v>
      </c>
      <c r="R210" s="710">
        <f t="shared" si="32"/>
        <v>1359.15</v>
      </c>
      <c r="AE210" s="710">
        <f t="shared" si="31"/>
        <v>0</v>
      </c>
      <c r="AU210">
        <f t="shared" si="28"/>
        <v>0</v>
      </c>
      <c r="AV210">
        <f t="shared" si="29"/>
        <v>0</v>
      </c>
    </row>
    <row r="211" spans="1:48" ht="24" customHeight="1">
      <c r="A211" s="734"/>
      <c r="B211" s="734"/>
      <c r="C211" s="734"/>
      <c r="D211" s="734"/>
      <c r="F211" s="710">
        <v>14.1</v>
      </c>
      <c r="G211" s="708" t="s">
        <v>877</v>
      </c>
      <c r="H211" s="697" t="s">
        <v>321</v>
      </c>
      <c r="I211" s="710">
        <f>C11</f>
        <v>461</v>
      </c>
      <c r="J211" s="697" t="s">
        <v>877</v>
      </c>
      <c r="K211" s="710">
        <f>(F211*I211)</f>
        <v>6500.1</v>
      </c>
      <c r="M211" s="710">
        <v>2</v>
      </c>
      <c r="N211" s="697" t="s">
        <v>877</v>
      </c>
      <c r="O211" s="697" t="s">
        <v>2119</v>
      </c>
      <c r="P211" s="710">
        <f>C281</f>
        <v>60</v>
      </c>
      <c r="Q211" s="697" t="s">
        <v>877</v>
      </c>
      <c r="R211" s="710">
        <f t="shared" si="32"/>
        <v>120</v>
      </c>
      <c r="AE211" s="710">
        <f t="shared" si="31"/>
        <v>0</v>
      </c>
      <c r="AU211">
        <f t="shared" si="28"/>
        <v>0</v>
      </c>
      <c r="AV211">
        <f t="shared" si="29"/>
        <v>0</v>
      </c>
    </row>
    <row r="212" spans="1:48" ht="24" customHeight="1">
      <c r="A212" s="734"/>
      <c r="B212" s="734"/>
      <c r="C212" s="734"/>
      <c r="D212" s="734"/>
      <c r="G212" s="708" t="s">
        <v>450</v>
      </c>
      <c r="H212" s="697" t="s">
        <v>451</v>
      </c>
      <c r="J212" s="697" t="s">
        <v>450</v>
      </c>
      <c r="K212" s="710">
        <v>0</v>
      </c>
      <c r="M212" s="710">
        <v>3</v>
      </c>
      <c r="N212" s="697" t="s">
        <v>877</v>
      </c>
      <c r="O212" s="697" t="s">
        <v>2120</v>
      </c>
      <c r="P212" s="710">
        <f>C276</f>
        <v>83</v>
      </c>
      <c r="Q212" s="697" t="s">
        <v>877</v>
      </c>
      <c r="R212" s="710">
        <f t="shared" si="32"/>
        <v>249</v>
      </c>
      <c r="AE212" s="710">
        <f t="shared" si="31"/>
        <v>0</v>
      </c>
      <c r="AU212">
        <f t="shared" si="28"/>
        <v>0</v>
      </c>
      <c r="AV212">
        <f t="shared" si="29"/>
        <v>0</v>
      </c>
    </row>
    <row r="213" spans="1:48" ht="24" customHeight="1">
      <c r="A213" s="734"/>
      <c r="B213" s="734"/>
      <c r="C213" s="734"/>
      <c r="D213" s="734"/>
      <c r="K213" s="705" t="s">
        <v>1609</v>
      </c>
      <c r="M213" s="710">
        <v>1</v>
      </c>
      <c r="N213" s="697" t="s">
        <v>877</v>
      </c>
      <c r="O213" s="697" t="s">
        <v>2004</v>
      </c>
      <c r="P213" s="710">
        <f>C283</f>
        <v>167.6</v>
      </c>
      <c r="Q213" s="697" t="s">
        <v>877</v>
      </c>
      <c r="R213" s="710">
        <f t="shared" si="32"/>
        <v>167.6</v>
      </c>
      <c r="T213" s="699">
        <v>0</v>
      </c>
      <c r="AE213" s="710">
        <f t="shared" si="31"/>
        <v>0</v>
      </c>
      <c r="AU213">
        <f t="shared" si="28"/>
        <v>0</v>
      </c>
      <c r="AV213">
        <f t="shared" si="29"/>
        <v>0</v>
      </c>
    </row>
    <row r="214" spans="1:48" ht="24" customHeight="1">
      <c r="A214" s="734"/>
      <c r="B214" s="734"/>
      <c r="C214" s="734"/>
      <c r="D214" s="734"/>
      <c r="K214" s="710">
        <f>SUM(K207:K212)</f>
        <v>59570.55</v>
      </c>
      <c r="M214" s="710">
        <v>1</v>
      </c>
      <c r="N214" s="697" t="s">
        <v>877</v>
      </c>
      <c r="O214" s="697" t="s">
        <v>2005</v>
      </c>
      <c r="P214" s="710">
        <f>C285</f>
        <v>7.3</v>
      </c>
      <c r="Q214" s="697" t="s">
        <v>877</v>
      </c>
      <c r="R214" s="710">
        <f t="shared" si="32"/>
        <v>7.3</v>
      </c>
      <c r="AE214" s="710">
        <f t="shared" si="31"/>
        <v>0</v>
      </c>
      <c r="AU214">
        <f t="shared" si="28"/>
        <v>0</v>
      </c>
      <c r="AV214">
        <f t="shared" si="29"/>
        <v>0</v>
      </c>
    </row>
    <row r="215" spans="1:48" ht="24" customHeight="1">
      <c r="A215" s="734"/>
      <c r="B215" s="734"/>
      <c r="C215" s="734"/>
      <c r="D215" s="734"/>
      <c r="H215" s="697" t="s">
        <v>620</v>
      </c>
      <c r="K215" s="705" t="s">
        <v>1609</v>
      </c>
      <c r="M215" s="710">
        <v>1</v>
      </c>
      <c r="N215" s="697" t="s">
        <v>877</v>
      </c>
      <c r="O215" s="697" t="s">
        <v>3587</v>
      </c>
      <c r="P215" s="710">
        <f>C595</f>
        <v>53.4</v>
      </c>
      <c r="Q215" s="697" t="s">
        <v>877</v>
      </c>
      <c r="R215" s="710">
        <f t="shared" si="32"/>
        <v>53.4</v>
      </c>
      <c r="AE215" s="710">
        <f t="shared" si="31"/>
        <v>0</v>
      </c>
    </row>
    <row r="216" spans="1:48" ht="24" customHeight="1">
      <c r="A216" s="734"/>
      <c r="B216" s="734"/>
      <c r="C216" s="734"/>
      <c r="D216" s="734"/>
      <c r="K216" s="709">
        <f>(K214/10)</f>
        <v>5957.06</v>
      </c>
      <c r="M216" s="710">
        <v>1</v>
      </c>
      <c r="N216" s="697" t="s">
        <v>877</v>
      </c>
      <c r="O216" s="697" t="s">
        <v>2007</v>
      </c>
      <c r="P216" s="710">
        <f>D595</f>
        <v>45.9</v>
      </c>
      <c r="Q216" s="697" t="s">
        <v>877</v>
      </c>
      <c r="R216" s="710">
        <f t="shared" si="32"/>
        <v>45.9</v>
      </c>
      <c r="AE216" s="710">
        <f t="shared" si="31"/>
        <v>0</v>
      </c>
    </row>
    <row r="217" spans="1:48" ht="24" customHeight="1">
      <c r="A217" s="734"/>
      <c r="B217" s="734"/>
      <c r="C217" s="734"/>
      <c r="D217" s="734"/>
      <c r="H217" s="711" t="s">
        <v>782</v>
      </c>
      <c r="K217" s="705" t="s">
        <v>2080</v>
      </c>
      <c r="R217" s="705" t="s">
        <v>1609</v>
      </c>
      <c r="AE217" s="710">
        <f t="shared" si="31"/>
        <v>0</v>
      </c>
    </row>
    <row r="218" spans="1:48" ht="24" customHeight="1">
      <c r="A218" s="734"/>
      <c r="B218" s="734"/>
      <c r="C218" s="734"/>
      <c r="D218" s="734"/>
      <c r="O218" s="698" t="s">
        <v>2008</v>
      </c>
      <c r="R218" s="710">
        <f>SUM(R207:R216)</f>
        <v>4597.34</v>
      </c>
      <c r="AE218" s="710">
        <f t="shared" si="31"/>
        <v>0</v>
      </c>
    </row>
    <row r="219" spans="1:48" ht="24" customHeight="1">
      <c r="A219" s="734"/>
      <c r="B219" s="734"/>
      <c r="C219" s="734"/>
      <c r="D219" s="734"/>
      <c r="F219" s="698" t="s">
        <v>2097</v>
      </c>
      <c r="G219" s="708" t="s">
        <v>2276</v>
      </c>
      <c r="H219" s="697" t="s">
        <v>5221</v>
      </c>
      <c r="N219" s="697" t="s">
        <v>987</v>
      </c>
      <c r="R219" s="705" t="s">
        <v>1609</v>
      </c>
      <c r="AE219" s="710">
        <f t="shared" si="31"/>
        <v>0</v>
      </c>
    </row>
    <row r="220" spans="1:48" ht="24" customHeight="1">
      <c r="A220" s="734"/>
      <c r="B220" s="734"/>
      <c r="C220" s="734"/>
      <c r="D220" s="734"/>
      <c r="H220" s="697" t="s">
        <v>2098</v>
      </c>
      <c r="M220" s="697" t="s">
        <v>987</v>
      </c>
      <c r="AE220" s="710">
        <f t="shared" si="31"/>
        <v>0</v>
      </c>
    </row>
    <row r="221" spans="1:48" ht="24" customHeight="1">
      <c r="A221" s="734"/>
      <c r="B221" s="734"/>
      <c r="C221" s="734"/>
      <c r="D221" s="734"/>
      <c r="H221" s="705" t="s">
        <v>1609</v>
      </c>
      <c r="O221" s="698" t="s">
        <v>556</v>
      </c>
      <c r="R221" s="710">
        <f>R218/M210</f>
        <v>3737.67</v>
      </c>
      <c r="AE221" s="710">
        <f t="shared" si="31"/>
        <v>0</v>
      </c>
    </row>
    <row r="222" spans="1:48" ht="24" customHeight="1">
      <c r="A222" s="734"/>
      <c r="B222" s="734"/>
      <c r="C222" s="734"/>
      <c r="D222" s="734"/>
      <c r="F222" s="710">
        <v>9</v>
      </c>
      <c r="G222" s="708" t="s">
        <v>878</v>
      </c>
      <c r="H222" s="697" t="s">
        <v>1835</v>
      </c>
      <c r="I222" s="710">
        <f>AC18</f>
        <v>954.02</v>
      </c>
      <c r="J222" s="697" t="s">
        <v>878</v>
      </c>
      <c r="K222" s="710">
        <f>(F222*I222)</f>
        <v>8586.18</v>
      </c>
      <c r="M222" s="697" t="s">
        <v>322</v>
      </c>
      <c r="AE222" s="710">
        <f t="shared" si="31"/>
        <v>0</v>
      </c>
    </row>
    <row r="223" spans="1:48" ht="24" customHeight="1">
      <c r="A223" s="734"/>
      <c r="B223" s="734"/>
      <c r="C223" s="734"/>
      <c r="D223" s="734"/>
      <c r="F223" s="710">
        <v>4.5</v>
      </c>
      <c r="G223" s="708" t="s">
        <v>878</v>
      </c>
      <c r="H223" s="697" t="s">
        <v>1657</v>
      </c>
      <c r="I223" s="710">
        <f>K74</f>
        <v>2683.9</v>
      </c>
      <c r="J223" s="697" t="s">
        <v>878</v>
      </c>
      <c r="K223" s="710">
        <f>(F223*I223)</f>
        <v>12077.55</v>
      </c>
      <c r="AE223" s="710">
        <f t="shared" si="31"/>
        <v>0</v>
      </c>
    </row>
    <row r="224" spans="1:48" ht="24" customHeight="1">
      <c r="A224" s="734"/>
      <c r="B224" s="734"/>
      <c r="C224" s="734"/>
      <c r="D224" s="734"/>
      <c r="F224" s="710">
        <v>1.8</v>
      </c>
      <c r="G224" s="708" t="s">
        <v>877</v>
      </c>
      <c r="H224" s="697" t="s">
        <v>1737</v>
      </c>
      <c r="I224" s="710">
        <f>C9</f>
        <v>804</v>
      </c>
      <c r="J224" s="697" t="s">
        <v>877</v>
      </c>
      <c r="K224" s="710">
        <f>(F224*I224)</f>
        <v>1447.2</v>
      </c>
      <c r="AE224" s="710">
        <f t="shared" si="31"/>
        <v>0</v>
      </c>
    </row>
    <row r="225" spans="1:31" ht="24" customHeight="1">
      <c r="A225" s="734"/>
      <c r="B225" s="734"/>
      <c r="C225" s="734"/>
      <c r="D225" s="734"/>
      <c r="F225" s="710">
        <v>17.7</v>
      </c>
      <c r="G225" s="708" t="s">
        <v>877</v>
      </c>
      <c r="H225" s="697" t="s">
        <v>1927</v>
      </c>
      <c r="I225" s="710">
        <f>C10</f>
        <v>562</v>
      </c>
      <c r="J225" s="697" t="s">
        <v>877</v>
      </c>
      <c r="K225" s="710">
        <f>(F225*I225)</f>
        <v>9947.4</v>
      </c>
      <c r="M225" s="698" t="s">
        <v>2097</v>
      </c>
      <c r="N225" s="708" t="s">
        <v>2276</v>
      </c>
      <c r="O225" s="697" t="s">
        <v>5222</v>
      </c>
      <c r="Q225" s="702"/>
      <c r="AE225" s="710">
        <f t="shared" si="31"/>
        <v>0</v>
      </c>
    </row>
    <row r="226" spans="1:31" ht="24" customHeight="1">
      <c r="A226" s="734"/>
      <c r="B226" s="734"/>
      <c r="C226" s="734"/>
      <c r="D226" s="734"/>
      <c r="F226" s="710">
        <v>14.1</v>
      </c>
      <c r="G226" s="708" t="s">
        <v>877</v>
      </c>
      <c r="H226" s="697" t="s">
        <v>321</v>
      </c>
      <c r="I226" s="710">
        <f>C11</f>
        <v>461</v>
      </c>
      <c r="J226" s="697" t="s">
        <v>877</v>
      </c>
      <c r="K226" s="710">
        <f>(F226*I226)</f>
        <v>6500.1</v>
      </c>
      <c r="N226" s="700"/>
      <c r="O226" s="697" t="s">
        <v>3963</v>
      </c>
      <c r="Q226" s="702"/>
      <c r="AE226" s="710">
        <f t="shared" si="31"/>
        <v>0</v>
      </c>
    </row>
    <row r="227" spans="1:31" ht="24" customHeight="1">
      <c r="A227" s="734"/>
      <c r="B227" s="734"/>
      <c r="C227" s="734"/>
      <c r="D227" s="734"/>
      <c r="G227" s="708" t="s">
        <v>450</v>
      </c>
      <c r="H227" s="697" t="s">
        <v>451</v>
      </c>
      <c r="J227" s="697" t="s">
        <v>450</v>
      </c>
      <c r="K227" s="710">
        <v>0</v>
      </c>
      <c r="N227" s="700"/>
      <c r="O227" s="705" t="s">
        <v>1609</v>
      </c>
      <c r="Q227" s="702"/>
      <c r="AE227" s="710">
        <f t="shared" si="31"/>
        <v>0</v>
      </c>
    </row>
    <row r="228" spans="1:31" ht="24" customHeight="1">
      <c r="A228" s="734"/>
      <c r="B228" s="734"/>
      <c r="C228" s="734"/>
      <c r="D228" s="734"/>
      <c r="K228" s="705" t="s">
        <v>1609</v>
      </c>
      <c r="M228" s="710">
        <v>9</v>
      </c>
      <c r="N228" s="708" t="s">
        <v>878</v>
      </c>
      <c r="O228" s="697" t="s">
        <v>2299</v>
      </c>
      <c r="P228" s="710">
        <f>AC13</f>
        <v>1276.5</v>
      </c>
      <c r="Q228" s="697" t="s">
        <v>878</v>
      </c>
      <c r="R228" s="710">
        <f>(M228*P228)</f>
        <v>11488.5</v>
      </c>
      <c r="AE228" s="710">
        <f t="shared" si="31"/>
        <v>0</v>
      </c>
    </row>
    <row r="229" spans="1:31" ht="24" customHeight="1">
      <c r="A229" s="734"/>
      <c r="B229" s="734"/>
      <c r="C229" s="734"/>
      <c r="D229" s="734"/>
      <c r="K229" s="710">
        <f>SUM(K222:K227)</f>
        <v>38558.43</v>
      </c>
      <c r="M229" s="710">
        <v>4.5</v>
      </c>
      <c r="N229" s="708" t="s">
        <v>878</v>
      </c>
      <c r="O229" s="697" t="s">
        <v>1327</v>
      </c>
      <c r="P229" s="710">
        <f>K37</f>
        <v>3756.7</v>
      </c>
      <c r="Q229" s="697" t="s">
        <v>878</v>
      </c>
      <c r="R229" s="710">
        <f>(M229*P229)</f>
        <v>16905.150000000001</v>
      </c>
      <c r="AE229" s="710">
        <f t="shared" si="31"/>
        <v>0</v>
      </c>
    </row>
    <row r="230" spans="1:31" ht="24" customHeight="1">
      <c r="A230" s="734"/>
      <c r="B230" s="734"/>
      <c r="C230" s="734"/>
      <c r="D230" s="734"/>
      <c r="H230" s="697" t="s">
        <v>620</v>
      </c>
      <c r="K230" s="705" t="s">
        <v>1609</v>
      </c>
      <c r="M230" s="710">
        <v>1.8</v>
      </c>
      <c r="N230" s="708" t="s">
        <v>877</v>
      </c>
      <c r="O230" s="697" t="s">
        <v>1737</v>
      </c>
      <c r="P230" s="710">
        <f>I224</f>
        <v>804</v>
      </c>
      <c r="Q230" s="697" t="s">
        <v>877</v>
      </c>
      <c r="R230" s="710">
        <f>(M230*P230)</f>
        <v>1447.2</v>
      </c>
      <c r="AE230" s="710">
        <f t="shared" si="31"/>
        <v>0</v>
      </c>
    </row>
    <row r="231" spans="1:31" ht="24" customHeight="1">
      <c r="A231" s="734"/>
      <c r="B231" s="734"/>
      <c r="C231" s="734"/>
      <c r="D231" s="734"/>
      <c r="K231" s="709">
        <f>(K229/10)</f>
        <v>3855.84</v>
      </c>
      <c r="M231" s="710">
        <v>17.7</v>
      </c>
      <c r="N231" s="708" t="s">
        <v>877</v>
      </c>
      <c r="O231" s="697" t="s">
        <v>1927</v>
      </c>
      <c r="P231" s="710">
        <f>I225</f>
        <v>562</v>
      </c>
      <c r="Q231" s="697" t="s">
        <v>877</v>
      </c>
      <c r="R231" s="710">
        <f>(M231*P231)</f>
        <v>9947.4</v>
      </c>
      <c r="AE231" s="710">
        <f t="shared" si="31"/>
        <v>0</v>
      </c>
    </row>
    <row r="232" spans="1:31" ht="24" customHeight="1">
      <c r="A232" s="734"/>
      <c r="B232" s="734"/>
      <c r="C232" s="734"/>
      <c r="D232" s="734"/>
      <c r="H232" s="711" t="s">
        <v>782</v>
      </c>
      <c r="K232" s="705" t="s">
        <v>2080</v>
      </c>
      <c r="M232" s="710">
        <v>14.1</v>
      </c>
      <c r="N232" s="708" t="s">
        <v>877</v>
      </c>
      <c r="O232" s="697" t="s">
        <v>321</v>
      </c>
      <c r="P232" s="710">
        <f>I226</f>
        <v>461</v>
      </c>
      <c r="Q232" s="697" t="s">
        <v>877</v>
      </c>
      <c r="R232" s="710">
        <f>(M232*P232)</f>
        <v>6500.1</v>
      </c>
      <c r="AE232" s="710">
        <f t="shared" si="31"/>
        <v>0</v>
      </c>
    </row>
    <row r="233" spans="1:31" ht="24" customHeight="1">
      <c r="A233" s="734"/>
      <c r="B233" s="734"/>
      <c r="C233" s="734"/>
      <c r="D233" s="734"/>
      <c r="N233" s="708" t="s">
        <v>450</v>
      </c>
      <c r="O233" s="697" t="s">
        <v>451</v>
      </c>
      <c r="Q233" s="697" t="s">
        <v>450</v>
      </c>
      <c r="R233" s="710">
        <v>0</v>
      </c>
      <c r="AE233" s="710">
        <f t="shared" si="31"/>
        <v>0</v>
      </c>
    </row>
    <row r="234" spans="1:31" ht="24" customHeight="1">
      <c r="A234" s="734"/>
      <c r="B234" s="734"/>
      <c r="C234" s="734"/>
      <c r="D234" s="734"/>
      <c r="N234" s="700"/>
      <c r="Q234" s="702"/>
      <c r="R234" s="705" t="s">
        <v>1609</v>
      </c>
      <c r="AE234" s="710">
        <f t="shared" si="31"/>
        <v>0</v>
      </c>
    </row>
    <row r="235" spans="1:31" ht="24" customHeight="1">
      <c r="A235" s="734"/>
      <c r="B235" s="734"/>
      <c r="C235" s="734"/>
      <c r="D235" s="734"/>
      <c r="F235" s="753">
        <v>3.6</v>
      </c>
      <c r="H235" s="697" t="s">
        <v>5223</v>
      </c>
      <c r="N235" s="700"/>
      <c r="Q235" s="702"/>
      <c r="R235" s="710">
        <f>SUM(R228:R233)</f>
        <v>46288.35</v>
      </c>
      <c r="AE235" s="710">
        <f t="shared" si="31"/>
        <v>0</v>
      </c>
    </row>
    <row r="236" spans="1:31" ht="24" customHeight="1">
      <c r="A236" s="734"/>
      <c r="B236" s="734"/>
      <c r="C236" s="734"/>
      <c r="D236" s="734"/>
      <c r="H236" s="697" t="s">
        <v>647</v>
      </c>
      <c r="N236" s="700"/>
      <c r="O236" s="697" t="s">
        <v>620</v>
      </c>
      <c r="Q236" s="702"/>
      <c r="R236" s="705" t="s">
        <v>1609</v>
      </c>
      <c r="AE236" s="710">
        <f t="shared" si="31"/>
        <v>0</v>
      </c>
    </row>
    <row r="237" spans="1:31" ht="24" customHeight="1">
      <c r="A237" s="734"/>
      <c r="B237" s="734"/>
      <c r="C237" s="734"/>
      <c r="D237" s="734"/>
      <c r="H237" s="705" t="s">
        <v>2080</v>
      </c>
      <c r="N237" s="700"/>
      <c r="Q237" s="702"/>
      <c r="R237" s="709">
        <f>(R235/10)</f>
        <v>4628.84</v>
      </c>
      <c r="AE237" s="710">
        <f t="shared" si="31"/>
        <v>0</v>
      </c>
    </row>
    <row r="238" spans="1:31" ht="24" customHeight="1">
      <c r="A238" s="734"/>
      <c r="B238" s="734"/>
      <c r="C238" s="734"/>
      <c r="D238" s="734"/>
      <c r="F238" s="710">
        <v>1.25</v>
      </c>
      <c r="G238" s="708" t="s">
        <v>1361</v>
      </c>
      <c r="H238" s="697" t="s">
        <v>1526</v>
      </c>
      <c r="I238" s="774">
        <f>C809</f>
        <v>3.15</v>
      </c>
      <c r="J238" s="697" t="s">
        <v>1361</v>
      </c>
      <c r="K238" s="710">
        <f>(F238*I238)</f>
        <v>3.94</v>
      </c>
      <c r="N238" s="700"/>
      <c r="O238" s="711" t="s">
        <v>782</v>
      </c>
      <c r="Q238" s="702"/>
      <c r="R238" s="705" t="s">
        <v>2080</v>
      </c>
      <c r="AE238" s="710">
        <f t="shared" si="31"/>
        <v>0</v>
      </c>
    </row>
    <row r="239" spans="1:31" ht="24" customHeight="1">
      <c r="A239" s="734"/>
      <c r="B239" s="734"/>
      <c r="C239" s="734"/>
      <c r="D239" s="734"/>
      <c r="F239" s="710">
        <v>0.75</v>
      </c>
      <c r="G239" s="708" t="s">
        <v>1361</v>
      </c>
      <c r="H239" s="697" t="s">
        <v>755</v>
      </c>
      <c r="I239" s="710">
        <f>AC35</f>
        <v>1127.75</v>
      </c>
      <c r="J239" s="697" t="s">
        <v>1361</v>
      </c>
      <c r="K239" s="710">
        <f>(F239*I239)</f>
        <v>845.81</v>
      </c>
      <c r="AE239" s="710">
        <f t="shared" si="31"/>
        <v>0</v>
      </c>
    </row>
    <row r="240" spans="1:31" ht="24" customHeight="1">
      <c r="A240" s="734"/>
      <c r="B240" s="734"/>
      <c r="C240" s="734"/>
      <c r="D240" s="734"/>
      <c r="F240" s="710">
        <v>0.5</v>
      </c>
      <c r="G240" s="708" t="s">
        <v>1361</v>
      </c>
      <c r="H240" s="697" t="s">
        <v>2125</v>
      </c>
      <c r="I240" s="710">
        <f>AC34</f>
        <v>1289</v>
      </c>
      <c r="J240" s="697" t="s">
        <v>1361</v>
      </c>
      <c r="K240" s="710">
        <f>(F240*I240)</f>
        <v>644.5</v>
      </c>
      <c r="AE240" s="710">
        <f t="shared" si="31"/>
        <v>0</v>
      </c>
    </row>
    <row r="241" spans="1:31" ht="24" customHeight="1">
      <c r="A241" s="734"/>
      <c r="B241" s="734"/>
      <c r="C241" s="734"/>
      <c r="D241" s="734"/>
      <c r="F241" s="710">
        <v>0.45</v>
      </c>
      <c r="G241" s="708" t="s">
        <v>1361</v>
      </c>
      <c r="H241" s="697" t="s">
        <v>935</v>
      </c>
      <c r="I241" s="710">
        <f>AC36</f>
        <v>375.2</v>
      </c>
      <c r="J241" s="697" t="s">
        <v>1361</v>
      </c>
      <c r="K241" s="710">
        <f>(F241*I241)</f>
        <v>168.84</v>
      </c>
      <c r="AE241" s="710">
        <f t="shared" si="31"/>
        <v>0</v>
      </c>
    </row>
    <row r="242" spans="1:31" ht="24" customHeight="1">
      <c r="A242" s="734"/>
      <c r="B242" s="734"/>
      <c r="C242" s="734"/>
      <c r="D242" s="734"/>
      <c r="F242" s="710">
        <v>10</v>
      </c>
      <c r="G242" s="708" t="s">
        <v>236</v>
      </c>
      <c r="H242" s="697" t="s">
        <v>1940</v>
      </c>
      <c r="I242" s="774">
        <v>17.82</v>
      </c>
      <c r="J242" s="697" t="s">
        <v>236</v>
      </c>
      <c r="K242" s="710">
        <f>(F242*I242)</f>
        <v>178.2</v>
      </c>
      <c r="AE242" s="710">
        <f t="shared" si="31"/>
        <v>0</v>
      </c>
    </row>
    <row r="243" spans="1:31" ht="24" customHeight="1">
      <c r="A243" s="734"/>
      <c r="B243" s="734"/>
      <c r="C243" s="734"/>
      <c r="D243" s="734"/>
      <c r="H243" s="697" t="s">
        <v>1941</v>
      </c>
      <c r="K243" s="705" t="s">
        <v>1609</v>
      </c>
      <c r="AE243" s="710">
        <f t="shared" si="31"/>
        <v>0</v>
      </c>
    </row>
    <row r="244" spans="1:31" ht="24" customHeight="1">
      <c r="A244" s="734"/>
      <c r="B244" s="734"/>
      <c r="C244" s="734"/>
      <c r="D244" s="734"/>
      <c r="H244" s="697" t="s">
        <v>1942</v>
      </c>
      <c r="K244" s="710">
        <f>SUM(K238:K242)</f>
        <v>1841.29</v>
      </c>
      <c r="AE244" s="710">
        <f t="shared" si="31"/>
        <v>0</v>
      </c>
    </row>
    <row r="245" spans="1:31" ht="24" customHeight="1">
      <c r="A245" s="734"/>
      <c r="B245" s="734"/>
      <c r="C245" s="734"/>
      <c r="D245" s="734"/>
      <c r="K245" s="705" t="s">
        <v>1609</v>
      </c>
      <c r="AE245" s="710">
        <f t="shared" si="31"/>
        <v>0</v>
      </c>
    </row>
    <row r="246" spans="1:31" ht="24" customHeight="1">
      <c r="A246" s="734"/>
      <c r="B246" s="734"/>
      <c r="C246" s="734"/>
      <c r="D246" s="734"/>
      <c r="H246" s="711" t="s">
        <v>1943</v>
      </c>
      <c r="K246" s="709">
        <f>K244/10</f>
        <v>184.13</v>
      </c>
      <c r="AE246" s="710">
        <f t="shared" si="31"/>
        <v>0</v>
      </c>
    </row>
    <row r="247" spans="1:31" ht="24" customHeight="1">
      <c r="A247" s="734"/>
      <c r="B247" s="734"/>
      <c r="C247" s="734"/>
      <c r="D247" s="734"/>
      <c r="K247" s="705" t="s">
        <v>2080</v>
      </c>
      <c r="AE247" s="710">
        <f t="shared" si="31"/>
        <v>0</v>
      </c>
    </row>
    <row r="248" spans="1:31" ht="24" customHeight="1">
      <c r="A248" s="734"/>
      <c r="B248" s="734"/>
      <c r="C248" s="734"/>
      <c r="D248" s="734"/>
      <c r="AE248" s="710">
        <f t="shared" si="31"/>
        <v>0</v>
      </c>
    </row>
    <row r="249" spans="1:31" ht="24" customHeight="1">
      <c r="A249" s="734"/>
      <c r="B249" s="734"/>
      <c r="C249" s="734"/>
      <c r="D249" s="734"/>
      <c r="F249" s="753">
        <v>3.7</v>
      </c>
      <c r="H249" s="697" t="s">
        <v>5224</v>
      </c>
      <c r="AE249" s="710">
        <f t="shared" si="31"/>
        <v>0</v>
      </c>
    </row>
    <row r="250" spans="1:31" ht="24" customHeight="1">
      <c r="A250" s="734"/>
      <c r="B250" s="734"/>
      <c r="C250" s="734"/>
      <c r="D250" s="734"/>
      <c r="H250" s="705" t="s">
        <v>1609</v>
      </c>
      <c r="AE250" s="710">
        <f t="shared" si="31"/>
        <v>0</v>
      </c>
    </row>
    <row r="251" spans="1:31" ht="24" customHeight="1">
      <c r="A251" s="734"/>
      <c r="B251" s="734"/>
      <c r="C251" s="734"/>
      <c r="D251" s="734"/>
      <c r="F251" s="710">
        <v>2.7</v>
      </c>
      <c r="G251" s="708" t="s">
        <v>1361</v>
      </c>
      <c r="H251" s="697" t="s">
        <v>154</v>
      </c>
      <c r="I251" s="710">
        <f>AC33</f>
        <v>1171.5</v>
      </c>
      <c r="J251" s="697" t="s">
        <v>1361</v>
      </c>
      <c r="K251" s="710">
        <f>(F251*I251)</f>
        <v>3163.05</v>
      </c>
      <c r="AE251" s="710">
        <f t="shared" si="31"/>
        <v>0</v>
      </c>
    </row>
    <row r="252" spans="1:31" ht="24" customHeight="1">
      <c r="A252" s="734"/>
      <c r="B252" s="734"/>
      <c r="C252" s="734"/>
      <c r="D252" s="734"/>
      <c r="F252" s="776">
        <v>0.14499999999999999</v>
      </c>
      <c r="G252" s="708" t="s">
        <v>1361</v>
      </c>
      <c r="H252" s="1165" t="s">
        <v>5370</v>
      </c>
      <c r="I252" s="710">
        <f>AC15</f>
        <v>1511.1</v>
      </c>
      <c r="J252" s="697" t="s">
        <v>1361</v>
      </c>
      <c r="K252" s="710">
        <f>(F252*I252)</f>
        <v>219.11</v>
      </c>
      <c r="AE252" s="710">
        <f t="shared" si="31"/>
        <v>0</v>
      </c>
    </row>
    <row r="253" spans="1:31" ht="24" customHeight="1">
      <c r="A253" s="734"/>
      <c r="B253" s="734"/>
      <c r="C253" s="734"/>
      <c r="D253" s="734"/>
      <c r="F253" s="710">
        <v>218.8</v>
      </c>
      <c r="G253" s="708" t="s">
        <v>922</v>
      </c>
      <c r="H253" s="697" t="s">
        <v>923</v>
      </c>
      <c r="I253" s="710">
        <f>C139</f>
        <v>43563.69</v>
      </c>
      <c r="J253" s="697" t="s">
        <v>922</v>
      </c>
      <c r="K253" s="710">
        <f>(F253*I253)/1000</f>
        <v>9531.74</v>
      </c>
      <c r="AE253" s="710">
        <f t="shared" si="31"/>
        <v>0</v>
      </c>
    </row>
    <row r="254" spans="1:31" ht="24" customHeight="1">
      <c r="A254" s="734"/>
      <c r="B254" s="734"/>
      <c r="C254" s="734"/>
      <c r="D254" s="734"/>
      <c r="F254" s="710">
        <v>100</v>
      </c>
      <c r="G254" s="708" t="s">
        <v>236</v>
      </c>
      <c r="H254" s="697" t="s">
        <v>924</v>
      </c>
      <c r="I254" s="774">
        <v>14.3</v>
      </c>
      <c r="J254" s="697" t="s">
        <v>236</v>
      </c>
      <c r="K254" s="710">
        <f>(F254*I254)</f>
        <v>1430</v>
      </c>
      <c r="AE254" s="710">
        <f t="shared" si="31"/>
        <v>0</v>
      </c>
    </row>
    <row r="255" spans="1:31" ht="24" customHeight="1">
      <c r="A255" s="734"/>
      <c r="B255" s="734"/>
      <c r="C255" s="734"/>
      <c r="D255" s="734"/>
      <c r="K255" s="705" t="s">
        <v>1609</v>
      </c>
      <c r="AE255" s="710">
        <f t="shared" si="31"/>
        <v>0</v>
      </c>
    </row>
    <row r="256" spans="1:31" ht="24" customHeight="1">
      <c r="A256" s="734"/>
      <c r="B256" s="734"/>
      <c r="C256" s="734"/>
      <c r="D256" s="734"/>
      <c r="H256" s="697" t="s">
        <v>925</v>
      </c>
      <c r="K256" s="710">
        <f>SUM(K251:K254)</f>
        <v>14343.9</v>
      </c>
      <c r="AE256" s="710">
        <f t="shared" si="31"/>
        <v>0</v>
      </c>
    </row>
    <row r="257" spans="1:33" ht="24" customHeight="1">
      <c r="A257" s="734"/>
      <c r="B257" s="734"/>
      <c r="C257" s="734"/>
      <c r="D257" s="734"/>
      <c r="K257" s="705" t="s">
        <v>1609</v>
      </c>
      <c r="AE257" s="710">
        <f t="shared" si="31"/>
        <v>0</v>
      </c>
    </row>
    <row r="258" spans="1:33" ht="24" customHeight="1">
      <c r="A258" s="734"/>
      <c r="B258" s="734"/>
      <c r="C258" s="734"/>
      <c r="D258" s="734"/>
      <c r="H258" s="711" t="s">
        <v>1943</v>
      </c>
      <c r="K258" s="709">
        <f>K256/100</f>
        <v>143.44</v>
      </c>
      <c r="AE258" s="710">
        <f t="shared" si="31"/>
        <v>0</v>
      </c>
    </row>
    <row r="259" spans="1:33" ht="24" customHeight="1">
      <c r="A259" s="734"/>
      <c r="B259" s="734"/>
      <c r="C259" s="734"/>
      <c r="D259" s="734"/>
      <c r="F259" s="697" t="s">
        <v>987</v>
      </c>
      <c r="G259" s="708" t="s">
        <v>987</v>
      </c>
      <c r="K259" s="705" t="s">
        <v>2080</v>
      </c>
      <c r="AE259" s="710">
        <f t="shared" si="31"/>
        <v>0</v>
      </c>
    </row>
    <row r="260" spans="1:33" ht="24" customHeight="1">
      <c r="A260" s="734"/>
      <c r="B260" s="734"/>
      <c r="C260" s="734"/>
      <c r="D260" s="734"/>
      <c r="AE260" s="710">
        <f t="shared" si="31"/>
        <v>0</v>
      </c>
    </row>
    <row r="261" spans="1:33" ht="24" customHeight="1">
      <c r="A261" s="734"/>
      <c r="B261" s="734"/>
      <c r="C261" s="734"/>
      <c r="D261" s="734"/>
      <c r="AE261" s="710">
        <f t="shared" si="31"/>
        <v>0</v>
      </c>
    </row>
    <row r="262" spans="1:33" ht="24" customHeight="1">
      <c r="A262" s="720" t="e">
        <f>(A203+1)</f>
        <v>#REF!</v>
      </c>
      <c r="B262" s="777" t="s">
        <v>4937</v>
      </c>
      <c r="C262" s="718">
        <v>139.30000000000001</v>
      </c>
      <c r="D262" s="722" t="s">
        <v>778</v>
      </c>
      <c r="F262" s="698" t="s">
        <v>680</v>
      </c>
      <c r="H262" s="697" t="s">
        <v>1629</v>
      </c>
      <c r="N262" s="697" t="s">
        <v>681</v>
      </c>
      <c r="O262" s="697" t="s">
        <v>843</v>
      </c>
      <c r="AE262" s="710">
        <f t="shared" si="31"/>
        <v>0</v>
      </c>
      <c r="AG262" s="697" t="s">
        <v>2284</v>
      </c>
    </row>
    <row r="263" spans="1:33" ht="24" customHeight="1">
      <c r="A263" s="720" t="e">
        <f t="shared" ref="A263:A277" si="33">(A262+1)</f>
        <v>#REF!</v>
      </c>
      <c r="B263" s="777" t="s">
        <v>4938</v>
      </c>
      <c r="C263" s="718">
        <v>168.7</v>
      </c>
      <c r="D263" s="722" t="s">
        <v>778</v>
      </c>
      <c r="H263" s="705" t="s">
        <v>2080</v>
      </c>
      <c r="O263" s="705" t="s">
        <v>1609</v>
      </c>
      <c r="AE263" s="710">
        <f t="shared" ref="AE263:AE304" si="34">AF263</f>
        <v>0</v>
      </c>
      <c r="AG263" s="697" t="s">
        <v>2284</v>
      </c>
    </row>
    <row r="264" spans="1:33" ht="24" customHeight="1">
      <c r="A264" s="720" t="e">
        <f t="shared" si="33"/>
        <v>#REF!</v>
      </c>
      <c r="B264" s="778" t="s">
        <v>4722</v>
      </c>
      <c r="C264" s="779">
        <v>63</v>
      </c>
      <c r="D264" s="718">
        <v>148.6</v>
      </c>
      <c r="G264" s="708" t="s">
        <v>2276</v>
      </c>
      <c r="H264" s="697" t="s">
        <v>401</v>
      </c>
      <c r="M264" s="710">
        <v>1.1399999999999999</v>
      </c>
      <c r="N264" s="697" t="s">
        <v>878</v>
      </c>
      <c r="O264" s="697" t="s">
        <v>2304</v>
      </c>
      <c r="P264" s="710">
        <f>(K417)</f>
        <v>5930.96</v>
      </c>
      <c r="Q264" s="697" t="s">
        <v>877</v>
      </c>
      <c r="R264" s="710">
        <f>(M264*P264)</f>
        <v>6761.29</v>
      </c>
      <c r="AE264" s="710">
        <f t="shared" si="34"/>
        <v>0</v>
      </c>
      <c r="AG264" s="697" t="s">
        <v>2284</v>
      </c>
    </row>
    <row r="265" spans="1:33" ht="39" customHeight="1">
      <c r="A265" s="720" t="e">
        <f t="shared" si="33"/>
        <v>#REF!</v>
      </c>
      <c r="B265" s="762" t="s">
        <v>4939</v>
      </c>
      <c r="C265" s="718">
        <v>17600</v>
      </c>
      <c r="D265" s="722" t="s">
        <v>878</v>
      </c>
      <c r="H265" s="697" t="s">
        <v>2294</v>
      </c>
      <c r="M265" s="710">
        <v>1</v>
      </c>
      <c r="N265" s="697" t="s">
        <v>778</v>
      </c>
      <c r="O265" s="697" t="s">
        <v>2034</v>
      </c>
      <c r="P265" s="710">
        <f>(C8)</f>
        <v>861</v>
      </c>
      <c r="Q265" s="697" t="s">
        <v>877</v>
      </c>
      <c r="R265" s="710">
        <f>(M265*P265)</f>
        <v>861</v>
      </c>
      <c r="AE265" s="710">
        <f t="shared" si="34"/>
        <v>0</v>
      </c>
      <c r="AG265" s="697" t="s">
        <v>2284</v>
      </c>
    </row>
    <row r="266" spans="1:33" ht="24" customHeight="1">
      <c r="A266" s="720" t="e">
        <f t="shared" si="33"/>
        <v>#REF!</v>
      </c>
      <c r="B266" s="697" t="s">
        <v>4940</v>
      </c>
      <c r="C266" s="718">
        <v>15500</v>
      </c>
      <c r="D266" s="722" t="s">
        <v>878</v>
      </c>
      <c r="H266" s="705" t="s">
        <v>1609</v>
      </c>
      <c r="N266" s="697" t="s">
        <v>450</v>
      </c>
      <c r="O266" s="697" t="s">
        <v>451</v>
      </c>
      <c r="P266" s="697" t="s">
        <v>987</v>
      </c>
      <c r="Q266" s="697" t="s">
        <v>450</v>
      </c>
      <c r="R266" s="710">
        <v>0.05</v>
      </c>
      <c r="AE266" s="710">
        <f t="shared" si="34"/>
        <v>0</v>
      </c>
      <c r="AG266" s="697" t="s">
        <v>2284</v>
      </c>
    </row>
    <row r="267" spans="1:33" ht="24" customHeight="1">
      <c r="A267" s="720" t="e">
        <f t="shared" si="33"/>
        <v>#REF!</v>
      </c>
      <c r="B267" s="697" t="s">
        <v>4941</v>
      </c>
      <c r="C267" s="718">
        <v>25.2</v>
      </c>
      <c r="D267" s="722" t="s">
        <v>778</v>
      </c>
      <c r="F267" s="710">
        <v>9</v>
      </c>
      <c r="G267" s="708" t="s">
        <v>878</v>
      </c>
      <c r="H267" s="697" t="s">
        <v>440</v>
      </c>
      <c r="I267" s="710">
        <f>(C70)</f>
        <v>1679.5</v>
      </c>
      <c r="J267" s="697" t="s">
        <v>878</v>
      </c>
      <c r="K267" s="710">
        <f t="shared" ref="K267:K272" si="35">(F267*I267)</f>
        <v>15115.5</v>
      </c>
      <c r="R267" s="705" t="s">
        <v>1609</v>
      </c>
      <c r="AE267" s="710">
        <f t="shared" si="34"/>
        <v>0</v>
      </c>
      <c r="AG267" s="697" t="s">
        <v>2284</v>
      </c>
    </row>
    <row r="268" spans="1:33" ht="24" customHeight="1">
      <c r="A268" s="720" t="e">
        <f t="shared" si="33"/>
        <v>#REF!</v>
      </c>
      <c r="B268" s="697" t="s">
        <v>4942</v>
      </c>
      <c r="C268" s="718">
        <v>49.4</v>
      </c>
      <c r="D268" s="722" t="s">
        <v>1670</v>
      </c>
      <c r="E268" s="744">
        <v>155</v>
      </c>
      <c r="F268" s="740">
        <v>3.2309999999999999</v>
      </c>
      <c r="G268" s="708" t="s">
        <v>870</v>
      </c>
      <c r="H268" s="697" t="s">
        <v>871</v>
      </c>
      <c r="I268" s="710">
        <f>(C64)</f>
        <v>5960</v>
      </c>
      <c r="J268" s="697" t="s">
        <v>870</v>
      </c>
      <c r="K268" s="710">
        <f t="shared" si="35"/>
        <v>19256.759999999998</v>
      </c>
      <c r="O268" s="697" t="s">
        <v>442</v>
      </c>
      <c r="R268" s="710">
        <f>SUM(R264:R266)</f>
        <v>7622.34</v>
      </c>
      <c r="AE268" s="710">
        <f t="shared" si="34"/>
        <v>0</v>
      </c>
      <c r="AG268" s="697" t="s">
        <v>2284</v>
      </c>
    </row>
    <row r="269" spans="1:33" ht="24" customHeight="1">
      <c r="A269" s="720" t="e">
        <f t="shared" si="33"/>
        <v>#REF!</v>
      </c>
      <c r="B269" s="697" t="s">
        <v>4943</v>
      </c>
      <c r="C269" s="718">
        <v>303.89999999999998</v>
      </c>
      <c r="D269" s="737">
        <v>452.09</v>
      </c>
      <c r="E269" s="780">
        <v>250</v>
      </c>
      <c r="F269" s="710">
        <v>4.5</v>
      </c>
      <c r="G269" s="708" t="s">
        <v>878</v>
      </c>
      <c r="H269" s="1165" t="s">
        <v>5354</v>
      </c>
      <c r="I269" s="710">
        <f>(C75)</f>
        <v>1511.1</v>
      </c>
      <c r="J269" s="697" t="s">
        <v>878</v>
      </c>
      <c r="K269" s="710">
        <f t="shared" si="35"/>
        <v>6799.95</v>
      </c>
      <c r="R269" s="705" t="s">
        <v>1609</v>
      </c>
      <c r="AE269" s="710">
        <f t="shared" si="34"/>
        <v>0</v>
      </c>
      <c r="AG269" s="697" t="s">
        <v>2284</v>
      </c>
    </row>
    <row r="270" spans="1:33" ht="24" customHeight="1">
      <c r="A270" s="720" t="e">
        <f t="shared" si="33"/>
        <v>#REF!</v>
      </c>
      <c r="B270" s="697" t="s">
        <v>4944</v>
      </c>
      <c r="C270" s="718">
        <v>142.69999999999999</v>
      </c>
      <c r="D270" s="722" t="s">
        <v>1796</v>
      </c>
      <c r="F270" s="710">
        <v>3.5</v>
      </c>
      <c r="G270" s="708" t="s">
        <v>877</v>
      </c>
      <c r="H270" s="697" t="s">
        <v>1737</v>
      </c>
      <c r="I270" s="710">
        <f>(C9)</f>
        <v>804</v>
      </c>
      <c r="J270" s="697" t="s">
        <v>877</v>
      </c>
      <c r="K270" s="710">
        <f t="shared" si="35"/>
        <v>2814</v>
      </c>
      <c r="O270" s="697" t="s">
        <v>556</v>
      </c>
      <c r="R270" s="710">
        <f>(R268/10)</f>
        <v>762.23</v>
      </c>
      <c r="AE270" s="710">
        <f t="shared" si="34"/>
        <v>0</v>
      </c>
      <c r="AG270" s="697" t="s">
        <v>2284</v>
      </c>
    </row>
    <row r="271" spans="1:33" ht="24" customHeight="1">
      <c r="A271" s="720" t="e">
        <f t="shared" si="33"/>
        <v>#REF!</v>
      </c>
      <c r="B271" s="697" t="s">
        <v>4945</v>
      </c>
      <c r="C271" s="718">
        <v>51.8</v>
      </c>
      <c r="D271" s="722" t="s">
        <v>778</v>
      </c>
      <c r="F271" s="710">
        <v>21.2</v>
      </c>
      <c r="G271" s="708" t="s">
        <v>877</v>
      </c>
      <c r="H271" s="697" t="s">
        <v>1927</v>
      </c>
      <c r="I271" s="710">
        <f>(C10)</f>
        <v>562</v>
      </c>
      <c r="J271" s="697" t="s">
        <v>877</v>
      </c>
      <c r="K271" s="710">
        <f t="shared" si="35"/>
        <v>11914.4</v>
      </c>
      <c r="R271" s="705" t="s">
        <v>2080</v>
      </c>
      <c r="Y271" s="703">
        <v>1.51</v>
      </c>
      <c r="Z271" s="703">
        <v>1.08</v>
      </c>
      <c r="AB271" s="699">
        <v>55.07</v>
      </c>
      <c r="AC271" s="699">
        <f>Y271*AB271</f>
        <v>83.16</v>
      </c>
      <c r="AD271" s="699">
        <f>Z271*AB271</f>
        <v>59.48</v>
      </c>
      <c r="AE271" s="710">
        <f t="shared" si="34"/>
        <v>0</v>
      </c>
      <c r="AG271" s="697" t="s">
        <v>2284</v>
      </c>
    </row>
    <row r="272" spans="1:33" ht="24" customHeight="1">
      <c r="A272" s="720" t="e">
        <f t="shared" si="33"/>
        <v>#REF!</v>
      </c>
      <c r="B272" s="697" t="s">
        <v>4946</v>
      </c>
      <c r="C272" s="718">
        <v>45.25</v>
      </c>
      <c r="D272" s="722" t="s">
        <v>778</v>
      </c>
      <c r="F272" s="710">
        <v>35.299999999999997</v>
      </c>
      <c r="G272" s="708" t="s">
        <v>877</v>
      </c>
      <c r="H272" s="697" t="s">
        <v>321</v>
      </c>
      <c r="I272" s="710">
        <f>(C11)</f>
        <v>461</v>
      </c>
      <c r="J272" s="697" t="s">
        <v>877</v>
      </c>
      <c r="K272" s="710">
        <f t="shared" si="35"/>
        <v>16273.3</v>
      </c>
      <c r="N272" s="697" t="s">
        <v>1152</v>
      </c>
      <c r="O272" s="697" t="s">
        <v>386</v>
      </c>
      <c r="R272" s="710">
        <f>(R270+C17/10*M264)</f>
        <v>770.37</v>
      </c>
      <c r="Y272" s="703">
        <v>0.216</v>
      </c>
      <c r="Z272" s="703">
        <v>0.216</v>
      </c>
      <c r="AB272" s="699">
        <v>993.48</v>
      </c>
      <c r="AC272" s="699">
        <f>Y272*AB272</f>
        <v>214.59</v>
      </c>
      <c r="AD272" s="699">
        <f>Z272*AB272</f>
        <v>214.59</v>
      </c>
      <c r="AE272" s="710">
        <f t="shared" si="34"/>
        <v>0</v>
      </c>
      <c r="AG272" s="697" t="s">
        <v>2284</v>
      </c>
    </row>
    <row r="273" spans="1:33" ht="24" customHeight="1">
      <c r="A273" s="720" t="e">
        <f t="shared" si="33"/>
        <v>#REF!</v>
      </c>
      <c r="B273" s="722" t="s">
        <v>665</v>
      </c>
      <c r="C273" s="732">
        <v>16.440000000000001</v>
      </c>
      <c r="D273" s="722" t="s">
        <v>778</v>
      </c>
      <c r="G273" s="708" t="s">
        <v>450</v>
      </c>
      <c r="H273" s="697" t="s">
        <v>451</v>
      </c>
      <c r="I273" s="697" t="s">
        <v>987</v>
      </c>
      <c r="J273" s="697" t="s">
        <v>450</v>
      </c>
      <c r="K273" s="710">
        <v>0</v>
      </c>
      <c r="N273" s="697" t="s">
        <v>666</v>
      </c>
      <c r="O273" s="697" t="s">
        <v>388</v>
      </c>
      <c r="R273" s="710">
        <f>(R272+C18/10*M264)</f>
        <v>786.79</v>
      </c>
      <c r="Y273" s="703">
        <v>0.71599999999999997</v>
      </c>
      <c r="Z273" s="703">
        <v>0.48699999999999999</v>
      </c>
      <c r="AB273" s="699">
        <v>1762.91</v>
      </c>
      <c r="AC273" s="699">
        <f>Y273*AB273</f>
        <v>1262.24</v>
      </c>
      <c r="AD273" s="699">
        <f>Z273*AB273</f>
        <v>858.54</v>
      </c>
      <c r="AE273" s="710">
        <f t="shared" si="34"/>
        <v>0</v>
      </c>
      <c r="AG273" s="697" t="s">
        <v>2284</v>
      </c>
    </row>
    <row r="274" spans="1:33" ht="24" customHeight="1">
      <c r="A274" s="720" t="e">
        <f t="shared" si="33"/>
        <v>#REF!</v>
      </c>
      <c r="B274" s="697" t="s">
        <v>4947</v>
      </c>
      <c r="C274" s="718">
        <v>31.8</v>
      </c>
      <c r="D274" s="745">
        <v>6.25</v>
      </c>
      <c r="K274" s="705" t="s">
        <v>1609</v>
      </c>
      <c r="N274" s="697" t="s">
        <v>678</v>
      </c>
      <c r="O274" s="697" t="s">
        <v>2257</v>
      </c>
      <c r="R274" s="710">
        <f>(R273+C19/10*M264)</f>
        <v>803.21</v>
      </c>
      <c r="Y274" s="703">
        <v>7.35</v>
      </c>
      <c r="Z274" s="703">
        <v>5.36</v>
      </c>
      <c r="AB274" s="699">
        <v>69.709999999999994</v>
      </c>
      <c r="AC274" s="699">
        <f>Y274*AB274</f>
        <v>512.37</v>
      </c>
      <c r="AD274" s="699">
        <f>Z274*AB274</f>
        <v>373.65</v>
      </c>
      <c r="AE274" s="710">
        <f t="shared" si="34"/>
        <v>0</v>
      </c>
      <c r="AG274" s="697" t="s">
        <v>2284</v>
      </c>
    </row>
    <row r="275" spans="1:33" ht="24" customHeight="1">
      <c r="A275" s="720" t="e">
        <f t="shared" si="33"/>
        <v>#REF!</v>
      </c>
      <c r="B275" s="697" t="s">
        <v>4948</v>
      </c>
      <c r="C275" s="718">
        <v>361</v>
      </c>
      <c r="D275" s="722" t="s">
        <v>615</v>
      </c>
      <c r="H275" s="697" t="s">
        <v>2196</v>
      </c>
      <c r="K275" s="710">
        <f>SUM(K267:K273)</f>
        <v>72173.91</v>
      </c>
      <c r="N275" s="697" t="s">
        <v>2197</v>
      </c>
      <c r="O275" s="697" t="s">
        <v>380</v>
      </c>
      <c r="R275" s="710">
        <f>(R274+C19/10*M264)</f>
        <v>819.63</v>
      </c>
      <c r="Y275" s="703">
        <v>3.2000000000000001E-2</v>
      </c>
      <c r="Z275" s="703">
        <v>3.2000000000000001E-2</v>
      </c>
      <c r="AB275" s="699">
        <v>2824.15</v>
      </c>
      <c r="AC275" s="699">
        <f>Y275*AB275</f>
        <v>90.37</v>
      </c>
      <c r="AD275" s="699">
        <f>Z275*AB275</f>
        <v>90.37</v>
      </c>
      <c r="AE275" s="710">
        <f t="shared" si="34"/>
        <v>0</v>
      </c>
      <c r="AG275" s="697" t="s">
        <v>2284</v>
      </c>
    </row>
    <row r="276" spans="1:33" ht="24" customHeight="1">
      <c r="A276" s="720" t="e">
        <f t="shared" si="33"/>
        <v>#REF!</v>
      </c>
      <c r="B276" s="697" t="s">
        <v>4949</v>
      </c>
      <c r="C276" s="718">
        <v>83</v>
      </c>
      <c r="D276" s="722" t="s">
        <v>778</v>
      </c>
      <c r="K276" s="705" t="s">
        <v>1609</v>
      </c>
      <c r="Z276" s="703"/>
      <c r="AD276" s="699">
        <v>13.38</v>
      </c>
      <c r="AE276" s="710">
        <f t="shared" si="34"/>
        <v>0</v>
      </c>
      <c r="AG276" s="697" t="s">
        <v>2284</v>
      </c>
    </row>
    <row r="277" spans="1:33" ht="24" customHeight="1">
      <c r="A277" s="720" t="e">
        <f t="shared" si="33"/>
        <v>#REF!</v>
      </c>
      <c r="B277" s="697" t="s">
        <v>4950</v>
      </c>
      <c r="C277" s="718">
        <v>66.599999999999994</v>
      </c>
      <c r="D277" s="722" t="s">
        <v>778</v>
      </c>
      <c r="H277" s="711" t="s">
        <v>782</v>
      </c>
      <c r="K277" s="709">
        <f>(K275/10)</f>
        <v>7217.39</v>
      </c>
      <c r="R277" s="697" t="s">
        <v>987</v>
      </c>
      <c r="AC277" s="699">
        <f>SUM(AC271:AC276)</f>
        <v>2162.73</v>
      </c>
      <c r="AD277" s="699">
        <f>SUM(AD271:AD276)</f>
        <v>1610.01</v>
      </c>
      <c r="AE277" s="710">
        <f t="shared" si="34"/>
        <v>0</v>
      </c>
      <c r="AG277" s="697" t="s">
        <v>2284</v>
      </c>
    </row>
    <row r="278" spans="1:33" ht="24" customHeight="1">
      <c r="A278" s="734"/>
      <c r="C278" s="744"/>
      <c r="D278" s="734"/>
      <c r="F278" s="697" t="s">
        <v>987</v>
      </c>
      <c r="N278" s="697" t="s">
        <v>681</v>
      </c>
      <c r="O278" s="697" t="s">
        <v>2198</v>
      </c>
      <c r="AE278" s="710">
        <f t="shared" si="34"/>
        <v>0</v>
      </c>
    </row>
    <row r="279" spans="1:33" ht="24" customHeight="1">
      <c r="A279" s="720" t="e">
        <f>(A277+1)</f>
        <v>#REF!</v>
      </c>
      <c r="B279" s="697" t="s">
        <v>4951</v>
      </c>
      <c r="C279" s="718">
        <v>45.7</v>
      </c>
      <c r="D279" s="722" t="s">
        <v>778</v>
      </c>
      <c r="O279" s="697" t="s">
        <v>1606</v>
      </c>
      <c r="AE279" s="710">
        <f t="shared" si="34"/>
        <v>0</v>
      </c>
      <c r="AG279" s="697" t="s">
        <v>2284</v>
      </c>
    </row>
    <row r="280" spans="1:33" ht="24" customHeight="1">
      <c r="A280" s="720" t="e">
        <f t="shared" ref="A280:A343" si="36">(A279+1)</f>
        <v>#REF!</v>
      </c>
      <c r="B280" s="697" t="s">
        <v>4952</v>
      </c>
      <c r="C280" s="718">
        <v>36.9</v>
      </c>
      <c r="D280" s="722" t="s">
        <v>778</v>
      </c>
      <c r="F280" s="710">
        <v>1</v>
      </c>
      <c r="G280" s="708" t="s">
        <v>878</v>
      </c>
      <c r="H280" s="697" t="s">
        <v>46</v>
      </c>
      <c r="K280" s="710">
        <f>(C23)</f>
        <v>81.3</v>
      </c>
      <c r="O280" s="705" t="s">
        <v>1609</v>
      </c>
      <c r="AE280" s="710">
        <f t="shared" si="34"/>
        <v>0</v>
      </c>
      <c r="AG280" s="697" t="s">
        <v>2284</v>
      </c>
    </row>
    <row r="281" spans="1:33" ht="24" customHeight="1">
      <c r="A281" s="720" t="e">
        <f t="shared" si="36"/>
        <v>#REF!</v>
      </c>
      <c r="B281" s="697" t="s">
        <v>4953</v>
      </c>
      <c r="C281" s="718">
        <v>60</v>
      </c>
      <c r="D281" s="722" t="s">
        <v>778</v>
      </c>
      <c r="K281" s="705" t="s">
        <v>1609</v>
      </c>
      <c r="M281" s="710">
        <v>10</v>
      </c>
      <c r="N281" s="697" t="s">
        <v>615</v>
      </c>
      <c r="O281" s="697" t="s">
        <v>47</v>
      </c>
      <c r="P281" s="710">
        <f>(K1238)</f>
        <v>1098.9100000000001</v>
      </c>
      <c r="Q281" s="697" t="s">
        <v>615</v>
      </c>
      <c r="R281" s="710">
        <f>(M281*P281)</f>
        <v>10989.1</v>
      </c>
      <c r="AE281" s="710">
        <f t="shared" si="34"/>
        <v>0</v>
      </c>
      <c r="AG281" s="697" t="s">
        <v>2284</v>
      </c>
    </row>
    <row r="282" spans="1:33" ht="24" customHeight="1">
      <c r="A282" s="720" t="e">
        <f t="shared" si="36"/>
        <v>#REF!</v>
      </c>
      <c r="B282" s="697" t="s">
        <v>4954</v>
      </c>
      <c r="C282" s="718">
        <v>36.799999999999997</v>
      </c>
      <c r="D282" s="722" t="s">
        <v>778</v>
      </c>
      <c r="E282" s="744">
        <v>52.8</v>
      </c>
      <c r="H282" s="697" t="s">
        <v>608</v>
      </c>
      <c r="K282" s="709">
        <f>SUM(K277:K280)</f>
        <v>7298.69</v>
      </c>
      <c r="M282" s="710">
        <v>1.1000000000000001</v>
      </c>
      <c r="N282" s="697" t="s">
        <v>877</v>
      </c>
      <c r="O282" s="697" t="s">
        <v>1737</v>
      </c>
      <c r="P282" s="710">
        <f>(C9)</f>
        <v>804</v>
      </c>
      <c r="Q282" s="697" t="s">
        <v>877</v>
      </c>
      <c r="R282" s="710">
        <f>(M282*P282)</f>
        <v>884.4</v>
      </c>
      <c r="AE282" s="710">
        <f t="shared" si="34"/>
        <v>0</v>
      </c>
      <c r="AG282" s="697" t="s">
        <v>2284</v>
      </c>
    </row>
    <row r="283" spans="1:33" ht="24" customHeight="1">
      <c r="A283" s="720" t="e">
        <f t="shared" si="36"/>
        <v>#REF!</v>
      </c>
      <c r="B283" s="697" t="s">
        <v>4955</v>
      </c>
      <c r="C283" s="718">
        <v>167.6</v>
      </c>
      <c r="D283" s="722" t="s">
        <v>778</v>
      </c>
      <c r="K283" s="705" t="s">
        <v>1609</v>
      </c>
      <c r="M283" s="710">
        <v>1.1000000000000001</v>
      </c>
      <c r="N283" s="697" t="s">
        <v>877</v>
      </c>
      <c r="O283" s="697" t="s">
        <v>1927</v>
      </c>
      <c r="P283" s="710">
        <f>(C10)</f>
        <v>562</v>
      </c>
      <c r="Q283" s="697" t="s">
        <v>877</v>
      </c>
      <c r="R283" s="710">
        <f>(M283*P283)</f>
        <v>618.20000000000005</v>
      </c>
      <c r="AE283" s="710">
        <f t="shared" si="34"/>
        <v>0</v>
      </c>
      <c r="AG283" s="697" t="s">
        <v>2284</v>
      </c>
    </row>
    <row r="284" spans="1:33" ht="24" customHeight="1">
      <c r="A284" s="720" t="e">
        <f t="shared" si="36"/>
        <v>#REF!</v>
      </c>
      <c r="B284" s="697" t="s">
        <v>4956</v>
      </c>
      <c r="C284" s="718">
        <v>94.1</v>
      </c>
      <c r="D284" s="722" t="s">
        <v>778</v>
      </c>
      <c r="H284" s="697" t="s">
        <v>386</v>
      </c>
      <c r="K284" s="709">
        <f>(K282+C20)</f>
        <v>7407.16</v>
      </c>
      <c r="L284" s="699">
        <v>54</v>
      </c>
      <c r="M284" s="710">
        <v>1.1000000000000001</v>
      </c>
      <c r="N284" s="697" t="s">
        <v>877</v>
      </c>
      <c r="O284" s="697" t="s">
        <v>248</v>
      </c>
      <c r="P284" s="710">
        <f>(C11)</f>
        <v>461</v>
      </c>
      <c r="Q284" s="697" t="s">
        <v>877</v>
      </c>
      <c r="R284" s="710">
        <f>(M284*P284)</f>
        <v>507.1</v>
      </c>
      <c r="AE284" s="710">
        <f t="shared" si="34"/>
        <v>0</v>
      </c>
      <c r="AG284" s="697" t="s">
        <v>2284</v>
      </c>
    </row>
    <row r="285" spans="1:33" ht="24" customHeight="1">
      <c r="A285" s="720" t="e">
        <f t="shared" si="36"/>
        <v>#REF!</v>
      </c>
      <c r="B285" s="722" t="s">
        <v>4367</v>
      </c>
      <c r="C285" s="737">
        <v>7.3</v>
      </c>
      <c r="D285" s="722" t="s">
        <v>778</v>
      </c>
      <c r="H285" s="697" t="s">
        <v>388</v>
      </c>
      <c r="K285" s="709">
        <f>(K284+C21)</f>
        <v>7620.84</v>
      </c>
      <c r="L285" s="699">
        <v>107</v>
      </c>
      <c r="R285" s="705" t="s">
        <v>1609</v>
      </c>
      <c r="AE285" s="710">
        <f t="shared" si="34"/>
        <v>0</v>
      </c>
      <c r="AG285" s="697" t="s">
        <v>2284</v>
      </c>
    </row>
    <row r="286" spans="1:33" ht="24" customHeight="1">
      <c r="A286" s="720" t="e">
        <f t="shared" si="36"/>
        <v>#REF!</v>
      </c>
      <c r="B286" s="722" t="s">
        <v>1168</v>
      </c>
      <c r="C286" s="737">
        <v>7.3</v>
      </c>
      <c r="D286" s="722" t="s">
        <v>778</v>
      </c>
      <c r="H286" s="697" t="s">
        <v>2257</v>
      </c>
      <c r="K286" s="709">
        <f>(K285+C22)</f>
        <v>7834.52</v>
      </c>
      <c r="O286" s="697" t="s">
        <v>442</v>
      </c>
      <c r="R286" s="710">
        <f>SUM(R281:R284)</f>
        <v>12998.8</v>
      </c>
      <c r="AE286" s="710">
        <f t="shared" si="34"/>
        <v>0</v>
      </c>
      <c r="AG286" s="697" t="s">
        <v>2284</v>
      </c>
    </row>
    <row r="287" spans="1:33" ht="24" customHeight="1">
      <c r="A287" s="720" t="e">
        <f t="shared" si="36"/>
        <v>#REF!</v>
      </c>
      <c r="B287" s="722" t="s">
        <v>1169</v>
      </c>
      <c r="C287" s="732">
        <v>2.9</v>
      </c>
      <c r="D287" s="722" t="s">
        <v>1170</v>
      </c>
      <c r="H287" s="697" t="s">
        <v>380</v>
      </c>
      <c r="K287" s="709">
        <f>(K286+C22)</f>
        <v>8048.2</v>
      </c>
      <c r="R287" s="705" t="s">
        <v>1609</v>
      </c>
      <c r="AE287" s="710">
        <f t="shared" si="34"/>
        <v>0</v>
      </c>
      <c r="AG287" s="697" t="s">
        <v>2284</v>
      </c>
    </row>
    <row r="288" spans="1:33" ht="24" customHeight="1">
      <c r="A288" s="720" t="e">
        <f t="shared" si="36"/>
        <v>#REF!</v>
      </c>
      <c r="B288" s="722" t="s">
        <v>1171</v>
      </c>
      <c r="C288" s="737">
        <v>11.8</v>
      </c>
      <c r="D288" s="722" t="s">
        <v>1170</v>
      </c>
      <c r="H288" s="697" t="s">
        <v>489</v>
      </c>
      <c r="K288" s="709">
        <f>(K287+C22)</f>
        <v>8261.8799999999992</v>
      </c>
      <c r="O288" s="697" t="s">
        <v>556</v>
      </c>
      <c r="R288" s="710">
        <f>(R286/10)</f>
        <v>1299.8800000000001</v>
      </c>
      <c r="AE288" s="710">
        <f t="shared" si="34"/>
        <v>0</v>
      </c>
      <c r="AG288" s="697" t="s">
        <v>2284</v>
      </c>
    </row>
    <row r="289" spans="1:33" ht="24" customHeight="1">
      <c r="A289" s="720" t="e">
        <f t="shared" si="36"/>
        <v>#REF!</v>
      </c>
      <c r="B289" s="722" t="s">
        <v>490</v>
      </c>
      <c r="C289" s="737">
        <v>8.9</v>
      </c>
      <c r="D289" s="722" t="s">
        <v>778</v>
      </c>
      <c r="R289" s="705" t="s">
        <v>2080</v>
      </c>
      <c r="AE289" s="710">
        <f t="shared" si="34"/>
        <v>0</v>
      </c>
      <c r="AG289" s="697" t="s">
        <v>2284</v>
      </c>
    </row>
    <row r="290" spans="1:33" ht="24" customHeight="1">
      <c r="A290" s="720" t="e">
        <f t="shared" si="36"/>
        <v>#REF!</v>
      </c>
      <c r="B290" s="722" t="s">
        <v>491</v>
      </c>
      <c r="C290" s="737">
        <v>6.1</v>
      </c>
      <c r="D290" s="722" t="s">
        <v>778</v>
      </c>
      <c r="F290" s="698" t="s">
        <v>1534</v>
      </c>
      <c r="G290" s="708" t="s">
        <v>2276</v>
      </c>
      <c r="H290" s="697" t="s">
        <v>492</v>
      </c>
      <c r="AE290" s="710">
        <f t="shared" si="34"/>
        <v>0</v>
      </c>
      <c r="AG290" s="697" t="s">
        <v>2284</v>
      </c>
    </row>
    <row r="291" spans="1:33" ht="24" customHeight="1">
      <c r="A291" s="720" t="e">
        <f t="shared" si="36"/>
        <v>#REF!</v>
      </c>
      <c r="B291" s="722" t="s">
        <v>493</v>
      </c>
      <c r="C291" s="732">
        <v>5.75</v>
      </c>
      <c r="D291" s="722" t="s">
        <v>778</v>
      </c>
      <c r="H291" s="705" t="s">
        <v>2080</v>
      </c>
      <c r="N291" s="697" t="s">
        <v>2276</v>
      </c>
      <c r="O291" s="697" t="s">
        <v>1143</v>
      </c>
      <c r="AE291" s="710">
        <f t="shared" si="34"/>
        <v>0</v>
      </c>
      <c r="AG291" s="697" t="s">
        <v>2284</v>
      </c>
    </row>
    <row r="292" spans="1:33" ht="24" customHeight="1">
      <c r="A292" s="720" t="e">
        <f t="shared" si="36"/>
        <v>#REF!</v>
      </c>
      <c r="B292" s="722" t="s">
        <v>1144</v>
      </c>
      <c r="C292" s="732">
        <v>8.5</v>
      </c>
      <c r="D292" s="722" t="s">
        <v>778</v>
      </c>
      <c r="F292" s="710">
        <v>10</v>
      </c>
      <c r="G292" s="708" t="s">
        <v>878</v>
      </c>
      <c r="H292" s="697" t="s">
        <v>874</v>
      </c>
      <c r="I292" s="710">
        <f>(C65)</f>
        <v>692.5</v>
      </c>
      <c r="J292" s="697" t="s">
        <v>878</v>
      </c>
      <c r="K292" s="710">
        <f t="shared" ref="K292:K298" si="37">(F292*I292)</f>
        <v>6925</v>
      </c>
      <c r="O292" s="705" t="s">
        <v>1609</v>
      </c>
      <c r="AE292" s="710">
        <f t="shared" si="34"/>
        <v>0</v>
      </c>
      <c r="AG292" s="697" t="s">
        <v>2284</v>
      </c>
    </row>
    <row r="293" spans="1:33" ht="24" customHeight="1">
      <c r="A293" s="720" t="e">
        <f t="shared" si="36"/>
        <v>#REF!</v>
      </c>
      <c r="B293" s="722" t="s">
        <v>1278</v>
      </c>
      <c r="C293" s="732">
        <v>10</v>
      </c>
      <c r="D293" s="722" t="s">
        <v>778</v>
      </c>
      <c r="F293" s="710">
        <v>1</v>
      </c>
      <c r="G293" s="708" t="s">
        <v>878</v>
      </c>
      <c r="H293" s="697" t="s">
        <v>881</v>
      </c>
      <c r="I293" s="710">
        <f>(C66)</f>
        <v>889.5</v>
      </c>
      <c r="J293" s="697" t="s">
        <v>878</v>
      </c>
      <c r="K293" s="710">
        <f t="shared" si="37"/>
        <v>889.5</v>
      </c>
      <c r="M293" s="710">
        <v>0.14000000000000001</v>
      </c>
      <c r="N293" s="697" t="s">
        <v>878</v>
      </c>
      <c r="O293" s="697" t="s">
        <v>1373</v>
      </c>
      <c r="P293" s="710">
        <f>(K30)</f>
        <v>4471.8999999999996</v>
      </c>
      <c r="Q293" s="697" t="s">
        <v>878</v>
      </c>
      <c r="R293" s="710">
        <f>(M293*P293)</f>
        <v>626.07000000000005</v>
      </c>
      <c r="AE293" s="710">
        <f t="shared" si="34"/>
        <v>0</v>
      </c>
      <c r="AG293" s="697" t="s">
        <v>2284</v>
      </c>
    </row>
    <row r="294" spans="1:33" ht="24" customHeight="1">
      <c r="A294" s="720" t="e">
        <f t="shared" si="36"/>
        <v>#REF!</v>
      </c>
      <c r="B294" s="722" t="s">
        <v>1279</v>
      </c>
      <c r="C294" s="737">
        <v>7</v>
      </c>
      <c r="D294" s="722" t="s">
        <v>778</v>
      </c>
      <c r="F294" s="710">
        <v>3.4</v>
      </c>
      <c r="G294" s="708" t="s">
        <v>878</v>
      </c>
      <c r="H294" s="697" t="s">
        <v>1650</v>
      </c>
      <c r="I294" s="710">
        <f>(K46)</f>
        <v>3327.58</v>
      </c>
      <c r="J294" s="697" t="s">
        <v>878</v>
      </c>
      <c r="K294" s="710">
        <f t="shared" si="37"/>
        <v>11313.77</v>
      </c>
      <c r="M294" s="710">
        <v>1.1000000000000001</v>
      </c>
      <c r="N294" s="697" t="s">
        <v>877</v>
      </c>
      <c r="O294" s="697" t="s">
        <v>2034</v>
      </c>
      <c r="P294" s="710">
        <f>(C8)</f>
        <v>861</v>
      </c>
      <c r="Q294" s="697" t="s">
        <v>877</v>
      </c>
      <c r="R294" s="710">
        <f>(M294*P294)</f>
        <v>947.1</v>
      </c>
      <c r="AE294" s="710">
        <f t="shared" si="34"/>
        <v>0</v>
      </c>
      <c r="AG294" s="697" t="s">
        <v>2284</v>
      </c>
    </row>
    <row r="295" spans="1:33" ht="24" customHeight="1">
      <c r="A295" s="720" t="e">
        <f t="shared" si="36"/>
        <v>#REF!</v>
      </c>
      <c r="B295" s="722" t="s">
        <v>1280</v>
      </c>
      <c r="C295" s="732">
        <v>2.2000000000000002</v>
      </c>
      <c r="D295" s="722" t="s">
        <v>778</v>
      </c>
      <c r="F295" s="710">
        <v>7.1</v>
      </c>
      <c r="G295" s="708" t="s">
        <v>877</v>
      </c>
      <c r="H295" s="697" t="s">
        <v>2034</v>
      </c>
      <c r="I295" s="710">
        <f>(C8)</f>
        <v>861</v>
      </c>
      <c r="J295" s="697" t="s">
        <v>877</v>
      </c>
      <c r="K295" s="710">
        <f t="shared" si="37"/>
        <v>6113.1</v>
      </c>
      <c r="M295" s="710">
        <v>0.5</v>
      </c>
      <c r="N295" s="697" t="s">
        <v>877</v>
      </c>
      <c r="O295" s="697" t="s">
        <v>1927</v>
      </c>
      <c r="P295" s="710">
        <f>(C10)</f>
        <v>562</v>
      </c>
      <c r="Q295" s="697" t="s">
        <v>877</v>
      </c>
      <c r="R295" s="710">
        <f>(M295*P295)</f>
        <v>281</v>
      </c>
      <c r="AE295" s="710">
        <f t="shared" si="34"/>
        <v>0</v>
      </c>
      <c r="AG295" s="697" t="s">
        <v>2284</v>
      </c>
    </row>
    <row r="296" spans="1:33" ht="24" customHeight="1">
      <c r="A296" s="720" t="e">
        <f t="shared" si="36"/>
        <v>#REF!</v>
      </c>
      <c r="B296" s="722" t="s">
        <v>1471</v>
      </c>
      <c r="C296" s="732">
        <v>10.5</v>
      </c>
      <c r="D296" s="722" t="s">
        <v>778</v>
      </c>
      <c r="F296" s="710">
        <v>10.6</v>
      </c>
      <c r="G296" s="708" t="s">
        <v>877</v>
      </c>
      <c r="H296" s="697" t="s">
        <v>1737</v>
      </c>
      <c r="I296" s="710">
        <f>(C9)</f>
        <v>804</v>
      </c>
      <c r="J296" s="697" t="s">
        <v>877</v>
      </c>
      <c r="K296" s="710">
        <f t="shared" si="37"/>
        <v>8522.4</v>
      </c>
      <c r="M296" s="710">
        <v>1.1000000000000001</v>
      </c>
      <c r="N296" s="697" t="s">
        <v>877</v>
      </c>
      <c r="O296" s="697" t="s">
        <v>321</v>
      </c>
      <c r="P296" s="710">
        <f>(C11)</f>
        <v>461</v>
      </c>
      <c r="Q296" s="697" t="s">
        <v>877</v>
      </c>
      <c r="R296" s="710">
        <f>(M296*P296)</f>
        <v>507.1</v>
      </c>
      <c r="AE296" s="710">
        <f t="shared" si="34"/>
        <v>0</v>
      </c>
      <c r="AG296" s="697" t="s">
        <v>2284</v>
      </c>
    </row>
    <row r="297" spans="1:33" ht="24" customHeight="1">
      <c r="A297" s="720" t="e">
        <f t="shared" si="36"/>
        <v>#REF!</v>
      </c>
      <c r="B297" s="722" t="s">
        <v>1472</v>
      </c>
      <c r="C297" s="732">
        <v>5.5</v>
      </c>
      <c r="D297" s="722" t="s">
        <v>778</v>
      </c>
      <c r="F297" s="710">
        <v>14.1</v>
      </c>
      <c r="G297" s="708" t="s">
        <v>877</v>
      </c>
      <c r="H297" s="697" t="s">
        <v>1927</v>
      </c>
      <c r="I297" s="710">
        <f>(C10)</f>
        <v>562</v>
      </c>
      <c r="J297" s="697" t="s">
        <v>877</v>
      </c>
      <c r="K297" s="710">
        <f t="shared" si="37"/>
        <v>7924.2</v>
      </c>
      <c r="N297" s="697" t="s">
        <v>450</v>
      </c>
      <c r="O297" s="697" t="s">
        <v>451</v>
      </c>
      <c r="P297" s="697" t="s">
        <v>987</v>
      </c>
      <c r="Q297" s="697" t="s">
        <v>450</v>
      </c>
      <c r="R297" s="710">
        <v>0</v>
      </c>
      <c r="AE297" s="710">
        <f t="shared" si="34"/>
        <v>0</v>
      </c>
      <c r="AG297" s="697" t="s">
        <v>2284</v>
      </c>
    </row>
    <row r="298" spans="1:33" ht="24" customHeight="1">
      <c r="A298" s="720" t="e">
        <f t="shared" si="36"/>
        <v>#REF!</v>
      </c>
      <c r="B298" s="722" t="s">
        <v>495</v>
      </c>
      <c r="C298" s="732">
        <v>21</v>
      </c>
      <c r="D298" s="722" t="s">
        <v>778</v>
      </c>
      <c r="F298" s="710">
        <v>14.1</v>
      </c>
      <c r="G298" s="708" t="s">
        <v>877</v>
      </c>
      <c r="H298" s="697" t="s">
        <v>321</v>
      </c>
      <c r="I298" s="710">
        <f>(C11)</f>
        <v>461</v>
      </c>
      <c r="J298" s="697" t="s">
        <v>877</v>
      </c>
      <c r="K298" s="710">
        <f t="shared" si="37"/>
        <v>6500.1</v>
      </c>
      <c r="R298" s="705" t="s">
        <v>1609</v>
      </c>
      <c r="AE298" s="710">
        <f t="shared" si="34"/>
        <v>0</v>
      </c>
      <c r="AG298" s="697" t="s">
        <v>2284</v>
      </c>
    </row>
    <row r="299" spans="1:33" ht="24" customHeight="1">
      <c r="A299" s="720" t="e">
        <f t="shared" si="36"/>
        <v>#REF!</v>
      </c>
      <c r="B299" s="722" t="s">
        <v>496</v>
      </c>
      <c r="C299" s="732">
        <v>10</v>
      </c>
      <c r="D299" s="722" t="s">
        <v>778</v>
      </c>
      <c r="G299" s="708" t="s">
        <v>450</v>
      </c>
      <c r="H299" s="697" t="s">
        <v>451</v>
      </c>
      <c r="J299" s="697" t="s">
        <v>450</v>
      </c>
      <c r="K299" s="710">
        <v>0</v>
      </c>
      <c r="O299" s="697" t="s">
        <v>987</v>
      </c>
      <c r="R299" s="710">
        <f>SUM(R293:R297)</f>
        <v>2361.27</v>
      </c>
      <c r="AE299" s="710">
        <f t="shared" si="34"/>
        <v>0</v>
      </c>
      <c r="AG299" s="697" t="s">
        <v>2284</v>
      </c>
    </row>
    <row r="300" spans="1:33" ht="24" customHeight="1">
      <c r="A300" s="720" t="e">
        <f t="shared" si="36"/>
        <v>#REF!</v>
      </c>
      <c r="B300" s="722" t="s">
        <v>1830</v>
      </c>
      <c r="C300" s="732">
        <v>4</v>
      </c>
      <c r="D300" s="722" t="s">
        <v>778</v>
      </c>
      <c r="K300" s="705" t="s">
        <v>1609</v>
      </c>
      <c r="R300" s="705" t="s">
        <v>1609</v>
      </c>
      <c r="AE300" s="710">
        <f t="shared" si="34"/>
        <v>0</v>
      </c>
      <c r="AG300" s="697" t="s">
        <v>2284</v>
      </c>
    </row>
    <row r="301" spans="1:33" ht="24" customHeight="1">
      <c r="A301" s="720" t="e">
        <f t="shared" si="36"/>
        <v>#REF!</v>
      </c>
      <c r="B301" s="722" t="s">
        <v>1168</v>
      </c>
      <c r="C301" s="732">
        <v>8</v>
      </c>
      <c r="D301" s="722" t="s">
        <v>877</v>
      </c>
      <c r="H301" s="697" t="s">
        <v>620</v>
      </c>
      <c r="K301" s="710">
        <f>SUM(K292:K299)</f>
        <v>48188.07</v>
      </c>
      <c r="O301" s="697" t="s">
        <v>556</v>
      </c>
      <c r="R301" s="710">
        <f>(R299/10)</f>
        <v>236.13</v>
      </c>
      <c r="AE301" s="710">
        <f t="shared" si="34"/>
        <v>0</v>
      </c>
      <c r="AG301" s="697" t="s">
        <v>2284</v>
      </c>
    </row>
    <row r="302" spans="1:33" ht="24" customHeight="1">
      <c r="A302" s="720" t="e">
        <f t="shared" si="36"/>
        <v>#REF!</v>
      </c>
      <c r="B302" s="722" t="s">
        <v>1169</v>
      </c>
      <c r="C302" s="732">
        <v>8.5</v>
      </c>
      <c r="D302" s="722" t="s">
        <v>778</v>
      </c>
      <c r="K302" s="705" t="s">
        <v>1609</v>
      </c>
      <c r="N302" s="697" t="s">
        <v>2276</v>
      </c>
      <c r="O302" s="697" t="s">
        <v>497</v>
      </c>
      <c r="R302" s="705" t="s">
        <v>2080</v>
      </c>
      <c r="AE302" s="710">
        <f t="shared" si="34"/>
        <v>0</v>
      </c>
      <c r="AG302" s="697" t="s">
        <v>2284</v>
      </c>
    </row>
    <row r="303" spans="1:33" ht="24" customHeight="1">
      <c r="A303" s="720" t="e">
        <f t="shared" si="36"/>
        <v>#REF!</v>
      </c>
      <c r="B303" s="722" t="s">
        <v>610</v>
      </c>
      <c r="C303" s="732">
        <v>2.8</v>
      </c>
      <c r="D303" s="722" t="s">
        <v>778</v>
      </c>
      <c r="H303" s="711" t="s">
        <v>782</v>
      </c>
      <c r="K303" s="709">
        <f>(K301/10)</f>
        <v>4818.8100000000004</v>
      </c>
      <c r="O303" s="705" t="s">
        <v>1609</v>
      </c>
      <c r="AE303" s="710">
        <f t="shared" si="34"/>
        <v>0</v>
      </c>
      <c r="AG303" s="697" t="s">
        <v>2284</v>
      </c>
    </row>
    <row r="304" spans="1:33" ht="24" customHeight="1">
      <c r="A304" s="720" t="e">
        <f t="shared" si="36"/>
        <v>#REF!</v>
      </c>
      <c r="B304" s="722" t="s">
        <v>2009</v>
      </c>
      <c r="C304" s="732">
        <v>1.8</v>
      </c>
      <c r="D304" s="722" t="s">
        <v>778</v>
      </c>
      <c r="K304" s="705" t="s">
        <v>2080</v>
      </c>
      <c r="M304" s="710">
        <v>0.14000000000000001</v>
      </c>
      <c r="N304" s="697" t="s">
        <v>878</v>
      </c>
      <c r="O304" s="697" t="s">
        <v>121</v>
      </c>
      <c r="P304" s="710">
        <f>(K21)</f>
        <v>5902.3</v>
      </c>
      <c r="Q304" s="697" t="s">
        <v>878</v>
      </c>
      <c r="R304" s="710">
        <f>(M304*P304)</f>
        <v>826.32</v>
      </c>
      <c r="AE304" s="710">
        <f t="shared" si="34"/>
        <v>0</v>
      </c>
      <c r="AG304" s="697" t="s">
        <v>2284</v>
      </c>
    </row>
    <row r="305" spans="1:34" ht="24" customHeight="1">
      <c r="A305" s="720" t="e">
        <f t="shared" si="36"/>
        <v>#REF!</v>
      </c>
      <c r="B305" s="737" t="s">
        <v>4332</v>
      </c>
      <c r="C305" s="737">
        <v>3</v>
      </c>
      <c r="D305" s="722" t="s">
        <v>778</v>
      </c>
      <c r="F305" s="753">
        <v>6.5</v>
      </c>
      <c r="G305" s="708" t="s">
        <v>2276</v>
      </c>
      <c r="H305" s="697" t="s">
        <v>2858</v>
      </c>
      <c r="M305" s="710">
        <v>1.1000000000000001</v>
      </c>
      <c r="N305" s="697" t="s">
        <v>877</v>
      </c>
      <c r="O305" s="697" t="s">
        <v>2034</v>
      </c>
      <c r="P305" s="710">
        <f>(C8)</f>
        <v>861</v>
      </c>
      <c r="Q305" s="697" t="s">
        <v>877</v>
      </c>
      <c r="R305" s="710">
        <f>(M305*P305)</f>
        <v>947.1</v>
      </c>
      <c r="S305" s="703">
        <v>6.1</v>
      </c>
      <c r="T305" s="699" t="s">
        <v>2276</v>
      </c>
      <c r="U305" s="699" t="s">
        <v>2261</v>
      </c>
      <c r="AB305" s="733">
        <v>6</v>
      </c>
      <c r="AC305" s="708" t="s">
        <v>2276</v>
      </c>
      <c r="AD305" s="697" t="s">
        <v>3566</v>
      </c>
      <c r="AF305" s="702"/>
    </row>
    <row r="306" spans="1:34" ht="24" customHeight="1">
      <c r="A306" s="720" t="e">
        <f t="shared" si="36"/>
        <v>#REF!</v>
      </c>
      <c r="B306" s="722" t="s">
        <v>2011</v>
      </c>
      <c r="C306" s="781" t="s">
        <v>987</v>
      </c>
      <c r="D306" s="782"/>
      <c r="H306" s="697" t="s">
        <v>2961</v>
      </c>
      <c r="M306" s="710">
        <v>0.5</v>
      </c>
      <c r="N306" s="697" t="s">
        <v>877</v>
      </c>
      <c r="O306" s="697" t="s">
        <v>1927</v>
      </c>
      <c r="P306" s="710">
        <f>(C10)</f>
        <v>562</v>
      </c>
      <c r="Q306" s="697" t="s">
        <v>877</v>
      </c>
      <c r="R306" s="710">
        <f>(M306*P306)</f>
        <v>281</v>
      </c>
      <c r="U306" s="699" t="s">
        <v>427</v>
      </c>
      <c r="AC306" s="700"/>
      <c r="AD306" s="697" t="s">
        <v>3567</v>
      </c>
      <c r="AF306" s="702"/>
    </row>
    <row r="307" spans="1:34" ht="24" customHeight="1">
      <c r="A307" s="720" t="e">
        <f t="shared" si="36"/>
        <v>#REF!</v>
      </c>
      <c r="B307" s="722" t="s">
        <v>239</v>
      </c>
      <c r="C307" s="783">
        <v>66.44</v>
      </c>
      <c r="D307" s="784" t="s">
        <v>1796</v>
      </c>
      <c r="H307" s="705" t="s">
        <v>1609</v>
      </c>
      <c r="M307" s="710">
        <v>1.1000000000000001</v>
      </c>
      <c r="N307" s="697" t="s">
        <v>877</v>
      </c>
      <c r="O307" s="697" t="s">
        <v>321</v>
      </c>
      <c r="P307" s="710">
        <f>(C11)</f>
        <v>461</v>
      </c>
      <c r="Q307" s="697" t="s">
        <v>877</v>
      </c>
      <c r="R307" s="710">
        <f>(M307*P307)</f>
        <v>507.1</v>
      </c>
      <c r="U307" s="699" t="s">
        <v>1609</v>
      </c>
      <c r="AC307" s="700"/>
      <c r="AD307" s="705" t="s">
        <v>1609</v>
      </c>
      <c r="AF307" s="702"/>
    </row>
    <row r="308" spans="1:34" ht="24" customHeight="1">
      <c r="A308" s="720" t="e">
        <f t="shared" si="36"/>
        <v>#REF!</v>
      </c>
      <c r="B308" s="722" t="s">
        <v>240</v>
      </c>
      <c r="C308" s="783">
        <v>83.5</v>
      </c>
      <c r="D308" s="784" t="s">
        <v>1796</v>
      </c>
      <c r="F308" s="710">
        <v>4800</v>
      </c>
      <c r="G308" s="708" t="s">
        <v>1445</v>
      </c>
      <c r="H308" s="710" t="str">
        <f>H306</f>
        <v>Bricks of size 22x11x7 cm</v>
      </c>
      <c r="I308" s="710">
        <f>C77</f>
        <v>5799.5</v>
      </c>
      <c r="J308" s="697" t="s">
        <v>1617</v>
      </c>
      <c r="K308" s="710">
        <f>(F308*I308)/1000</f>
        <v>27837.599999999999</v>
      </c>
      <c r="N308" s="697" t="s">
        <v>450</v>
      </c>
      <c r="O308" s="697" t="s">
        <v>451</v>
      </c>
      <c r="P308" s="697" t="s">
        <v>987</v>
      </c>
      <c r="Q308" s="697" t="s">
        <v>450</v>
      </c>
      <c r="R308" s="710">
        <v>0</v>
      </c>
      <c r="S308" s="703">
        <v>4600</v>
      </c>
      <c r="T308" s="699" t="s">
        <v>1445</v>
      </c>
      <c r="U308" s="699" t="s">
        <v>427</v>
      </c>
      <c r="V308" s="785">
        <f>AC38</f>
        <v>6591.4</v>
      </c>
      <c r="W308" s="703" t="s">
        <v>1309</v>
      </c>
      <c r="X308" s="699">
        <f>(V308*S308)/1000</f>
        <v>30320.44</v>
      </c>
      <c r="AB308" s="710">
        <v>4240</v>
      </c>
      <c r="AC308" s="708" t="s">
        <v>1445</v>
      </c>
      <c r="AD308" s="710" t="str">
        <f>AD306</f>
        <v>Bricks of size 23x11.4x7.5 cm</v>
      </c>
      <c r="AE308" s="710">
        <f>AC39</f>
        <v>6786.4</v>
      </c>
      <c r="AF308" s="697" t="s">
        <v>1617</v>
      </c>
      <c r="AG308" s="710">
        <f>(AB308*AE308)/1000</f>
        <v>28774.34</v>
      </c>
    </row>
    <row r="309" spans="1:34" ht="24" customHeight="1">
      <c r="A309" s="720" t="e">
        <f t="shared" si="36"/>
        <v>#REF!</v>
      </c>
      <c r="B309" s="722" t="s">
        <v>241</v>
      </c>
      <c r="C309" s="783">
        <v>102.12</v>
      </c>
      <c r="D309" s="784" t="s">
        <v>1796</v>
      </c>
      <c r="F309" s="710">
        <v>2.5</v>
      </c>
      <c r="G309" s="708" t="s">
        <v>878</v>
      </c>
      <c r="H309" s="697" t="s">
        <v>1650</v>
      </c>
      <c r="I309" s="710">
        <f>K46</f>
        <v>3327.58</v>
      </c>
      <c r="J309" s="697" t="s">
        <v>878</v>
      </c>
      <c r="K309" s="710">
        <f>(F309*I309)</f>
        <v>8318.9500000000007</v>
      </c>
      <c r="R309" s="705" t="s">
        <v>1609</v>
      </c>
      <c r="S309" s="703">
        <v>2.5</v>
      </c>
      <c r="T309" s="699" t="s">
        <v>878</v>
      </c>
      <c r="U309" s="699" t="s">
        <v>1650</v>
      </c>
      <c r="V309" s="785">
        <f>K46</f>
        <v>3327.58</v>
      </c>
      <c r="W309" s="699" t="s">
        <v>878</v>
      </c>
      <c r="X309" s="699">
        <f>V309*S309</f>
        <v>8318.9500000000007</v>
      </c>
      <c r="AB309" s="710">
        <v>2</v>
      </c>
      <c r="AC309" s="708" t="s">
        <v>878</v>
      </c>
      <c r="AD309" s="697" t="s">
        <v>1650</v>
      </c>
      <c r="AE309" s="710">
        <f>K46</f>
        <v>3327.58</v>
      </c>
      <c r="AF309" s="697" t="s">
        <v>878</v>
      </c>
      <c r="AG309" s="710">
        <f>(AB309*AE309)</f>
        <v>6655.16</v>
      </c>
    </row>
    <row r="310" spans="1:34" ht="24" customHeight="1">
      <c r="A310" s="720" t="e">
        <f t="shared" si="36"/>
        <v>#REF!</v>
      </c>
      <c r="B310" s="722" t="s">
        <v>2247</v>
      </c>
      <c r="C310" s="783">
        <v>182.52</v>
      </c>
      <c r="D310" s="784" t="s">
        <v>1796</v>
      </c>
      <c r="F310" s="710">
        <v>3.5</v>
      </c>
      <c r="G310" s="708" t="s">
        <v>877</v>
      </c>
      <c r="H310" s="697" t="s">
        <v>2034</v>
      </c>
      <c r="I310" s="710">
        <f>C8</f>
        <v>861</v>
      </c>
      <c r="J310" s="697" t="s">
        <v>877</v>
      </c>
      <c r="K310" s="710">
        <f>(F310*I310)</f>
        <v>3013.5</v>
      </c>
      <c r="O310" s="697" t="s">
        <v>442</v>
      </c>
      <c r="R310" s="710">
        <f>SUM(R304:R308)</f>
        <v>2561.52</v>
      </c>
      <c r="S310" s="703">
        <v>3.5</v>
      </c>
      <c r="T310" s="699" t="s">
        <v>877</v>
      </c>
      <c r="U310" s="699" t="s">
        <v>2034</v>
      </c>
      <c r="V310" s="785">
        <f>I310</f>
        <v>861</v>
      </c>
      <c r="W310" s="699" t="s">
        <v>877</v>
      </c>
      <c r="X310" s="699">
        <f>V310*S310</f>
        <v>3013.5</v>
      </c>
      <c r="AB310" s="710">
        <v>3.5</v>
      </c>
      <c r="AC310" s="708" t="s">
        <v>877</v>
      </c>
      <c r="AD310" s="697" t="s">
        <v>2034</v>
      </c>
      <c r="AE310" s="710">
        <f>V310</f>
        <v>861</v>
      </c>
      <c r="AF310" s="697" t="s">
        <v>877</v>
      </c>
      <c r="AG310" s="710">
        <f>(AB310*AE310)</f>
        <v>3013.5</v>
      </c>
    </row>
    <row r="311" spans="1:34" ht="24" customHeight="1">
      <c r="A311" s="720" t="e">
        <f t="shared" si="36"/>
        <v>#REF!</v>
      </c>
      <c r="B311" s="722" t="s">
        <v>2248</v>
      </c>
      <c r="C311" s="786"/>
      <c r="D311" s="787"/>
      <c r="F311" s="710">
        <v>10.6</v>
      </c>
      <c r="G311" s="708" t="s">
        <v>877</v>
      </c>
      <c r="H311" s="697" t="s">
        <v>1737</v>
      </c>
      <c r="I311" s="710">
        <f>C9</f>
        <v>804</v>
      </c>
      <c r="J311" s="697" t="s">
        <v>877</v>
      </c>
      <c r="K311" s="710">
        <f>(F311*I311)</f>
        <v>8522.4</v>
      </c>
      <c r="R311" s="705" t="s">
        <v>1609</v>
      </c>
      <c r="S311" s="703">
        <v>10.6</v>
      </c>
      <c r="T311" s="699" t="s">
        <v>877</v>
      </c>
      <c r="U311" s="699" t="s">
        <v>1737</v>
      </c>
      <c r="V311" s="785">
        <f>I311</f>
        <v>804</v>
      </c>
      <c r="W311" s="699" t="s">
        <v>877</v>
      </c>
      <c r="X311" s="699">
        <f>V311*S311</f>
        <v>8522.4</v>
      </c>
      <c r="AB311" s="710">
        <v>10.6</v>
      </c>
      <c r="AC311" s="708" t="s">
        <v>877</v>
      </c>
      <c r="AD311" s="697" t="s">
        <v>1737</v>
      </c>
      <c r="AE311" s="710">
        <f>V311</f>
        <v>804</v>
      </c>
      <c r="AF311" s="697" t="s">
        <v>877</v>
      </c>
      <c r="AG311" s="710">
        <f>(AB311*AE311)</f>
        <v>8522.4</v>
      </c>
    </row>
    <row r="312" spans="1:34" ht="24" customHeight="1">
      <c r="A312" s="720" t="e">
        <f t="shared" si="36"/>
        <v>#REF!</v>
      </c>
      <c r="B312" s="722" t="s">
        <v>239</v>
      </c>
      <c r="C312" s="783">
        <v>26.62</v>
      </c>
      <c r="D312" s="784" t="s">
        <v>778</v>
      </c>
      <c r="F312" s="710">
        <v>7.1</v>
      </c>
      <c r="G312" s="708" t="s">
        <v>877</v>
      </c>
      <c r="H312" s="697" t="s">
        <v>1927</v>
      </c>
      <c r="I312" s="710">
        <f>C10</f>
        <v>562</v>
      </c>
      <c r="J312" s="697" t="s">
        <v>877</v>
      </c>
      <c r="K312" s="710">
        <f>(F312*I312)</f>
        <v>3990.2</v>
      </c>
      <c r="O312" s="697" t="s">
        <v>556</v>
      </c>
      <c r="R312" s="710">
        <f>(R310/10)</f>
        <v>256.14999999999998</v>
      </c>
      <c r="S312" s="703">
        <v>7.1</v>
      </c>
      <c r="T312" s="699" t="s">
        <v>877</v>
      </c>
      <c r="U312" s="699" t="s">
        <v>1927</v>
      </c>
      <c r="V312" s="785">
        <f>I312</f>
        <v>562</v>
      </c>
      <c r="W312" s="699" t="s">
        <v>877</v>
      </c>
      <c r="X312" s="699">
        <f>V312*S312</f>
        <v>3990.2</v>
      </c>
      <c r="AB312" s="710">
        <v>7.1</v>
      </c>
      <c r="AC312" s="708" t="s">
        <v>877</v>
      </c>
      <c r="AD312" s="697" t="s">
        <v>1927</v>
      </c>
      <c r="AE312" s="710">
        <f>V312</f>
        <v>562</v>
      </c>
      <c r="AF312" s="697" t="s">
        <v>877</v>
      </c>
      <c r="AG312" s="710">
        <f>(AB312*AE312)</f>
        <v>3990.2</v>
      </c>
    </row>
    <row r="313" spans="1:34" ht="24" customHeight="1">
      <c r="A313" s="720" t="e">
        <f t="shared" si="36"/>
        <v>#REF!</v>
      </c>
      <c r="B313" s="722" t="s">
        <v>240</v>
      </c>
      <c r="C313" s="783">
        <v>34.869999999999997</v>
      </c>
      <c r="D313" s="784" t="s">
        <v>778</v>
      </c>
      <c r="F313" s="710">
        <v>21.2</v>
      </c>
      <c r="G313" s="708" t="s">
        <v>877</v>
      </c>
      <c r="H313" s="697" t="s">
        <v>321</v>
      </c>
      <c r="I313" s="710">
        <f>C11</f>
        <v>461</v>
      </c>
      <c r="J313" s="697" t="s">
        <v>877</v>
      </c>
      <c r="K313" s="710">
        <f>(F313*I313)</f>
        <v>9773.2000000000007</v>
      </c>
      <c r="R313" s="705" t="s">
        <v>2080</v>
      </c>
      <c r="S313" s="703">
        <v>21.2</v>
      </c>
      <c r="T313" s="699" t="s">
        <v>877</v>
      </c>
      <c r="U313" s="699" t="s">
        <v>321</v>
      </c>
      <c r="V313" s="785">
        <f>I313</f>
        <v>461</v>
      </c>
      <c r="W313" s="699" t="s">
        <v>877</v>
      </c>
      <c r="X313" s="699">
        <f>V313*S313</f>
        <v>9773.2000000000007</v>
      </c>
      <c r="AB313" s="710">
        <v>21.2</v>
      </c>
      <c r="AC313" s="708" t="s">
        <v>877</v>
      </c>
      <c r="AD313" s="697" t="s">
        <v>321</v>
      </c>
      <c r="AE313" s="710">
        <f>V313</f>
        <v>461</v>
      </c>
      <c r="AF313" s="697" t="s">
        <v>877</v>
      </c>
      <c r="AG313" s="710">
        <f>(AB313*AE313)</f>
        <v>9773.2000000000007</v>
      </c>
    </row>
    <row r="314" spans="1:34" ht="24" customHeight="1">
      <c r="A314" s="720" t="e">
        <f t="shared" si="36"/>
        <v>#REF!</v>
      </c>
      <c r="B314" s="722" t="s">
        <v>241</v>
      </c>
      <c r="C314" s="783">
        <v>45</v>
      </c>
      <c r="D314" s="784" t="s">
        <v>778</v>
      </c>
      <c r="G314" s="708" t="s">
        <v>450</v>
      </c>
      <c r="H314" s="697" t="s">
        <v>451</v>
      </c>
      <c r="J314" s="697" t="s">
        <v>450</v>
      </c>
      <c r="K314" s="710">
        <v>0</v>
      </c>
      <c r="N314" s="697" t="s">
        <v>2276</v>
      </c>
      <c r="O314" s="697" t="s">
        <v>2249</v>
      </c>
      <c r="T314" s="699" t="s">
        <v>450</v>
      </c>
      <c r="U314" s="699" t="s">
        <v>451</v>
      </c>
      <c r="W314" s="699" t="s">
        <v>450</v>
      </c>
      <c r="X314" s="699">
        <v>0</v>
      </c>
      <c r="AC314" s="708" t="s">
        <v>450</v>
      </c>
      <c r="AD314" s="697" t="s">
        <v>451</v>
      </c>
      <c r="AF314" s="697" t="s">
        <v>450</v>
      </c>
      <c r="AG314" s="710">
        <v>0</v>
      </c>
    </row>
    <row r="315" spans="1:34" ht="24" customHeight="1">
      <c r="A315" s="720" t="e">
        <f t="shared" si="36"/>
        <v>#REF!</v>
      </c>
      <c r="B315" s="722" t="s">
        <v>2247</v>
      </c>
      <c r="C315" s="783">
        <v>99.75</v>
      </c>
      <c r="D315" s="784" t="s">
        <v>778</v>
      </c>
      <c r="K315" s="705" t="s">
        <v>1609</v>
      </c>
      <c r="O315" s="705" t="s">
        <v>1609</v>
      </c>
      <c r="X315" s="699" t="s">
        <v>1609</v>
      </c>
      <c r="AC315" s="700"/>
      <c r="AF315" s="702"/>
      <c r="AG315" s="705" t="s">
        <v>1609</v>
      </c>
    </row>
    <row r="316" spans="1:34" ht="24" customHeight="1">
      <c r="A316" s="720" t="e">
        <f t="shared" si="36"/>
        <v>#REF!</v>
      </c>
      <c r="B316" s="722" t="s">
        <v>2211</v>
      </c>
      <c r="C316" s="786"/>
      <c r="D316" s="787"/>
      <c r="H316" s="697" t="s">
        <v>620</v>
      </c>
      <c r="K316" s="710">
        <f>SUM(K308:K314)</f>
        <v>61455.85</v>
      </c>
      <c r="M316" s="710">
        <v>0.1</v>
      </c>
      <c r="N316" s="697" t="s">
        <v>878</v>
      </c>
      <c r="O316" s="697" t="s">
        <v>121</v>
      </c>
      <c r="P316" s="710">
        <f>(K21)</f>
        <v>5902.3</v>
      </c>
      <c r="Q316" s="697" t="s">
        <v>878</v>
      </c>
      <c r="R316" s="710">
        <f>(M316*P316)</f>
        <v>590.23</v>
      </c>
      <c r="U316" s="699" t="s">
        <v>620</v>
      </c>
      <c r="X316" s="699">
        <f>SUM(X308:X315)</f>
        <v>63938.69</v>
      </c>
      <c r="AC316" s="700"/>
      <c r="AD316" s="697" t="s">
        <v>620</v>
      </c>
      <c r="AF316" s="702"/>
      <c r="AG316" s="710">
        <f>SUM(AG308:AG314)</f>
        <v>60728.800000000003</v>
      </c>
    </row>
    <row r="317" spans="1:34" ht="24" customHeight="1">
      <c r="A317" s="720" t="e">
        <f t="shared" si="36"/>
        <v>#REF!</v>
      </c>
      <c r="B317" s="722" t="s">
        <v>239</v>
      </c>
      <c r="C317" s="783">
        <v>43.47</v>
      </c>
      <c r="D317" s="784" t="s">
        <v>778</v>
      </c>
      <c r="K317" s="705" t="s">
        <v>1609</v>
      </c>
      <c r="M317" s="710">
        <v>1.1000000000000001</v>
      </c>
      <c r="N317" s="697" t="s">
        <v>877</v>
      </c>
      <c r="O317" s="697" t="s">
        <v>2034</v>
      </c>
      <c r="P317" s="710">
        <f>(C8)</f>
        <v>861</v>
      </c>
      <c r="Q317" s="697" t="s">
        <v>877</v>
      </c>
      <c r="R317" s="710">
        <f>(M317*P317)</f>
        <v>947.1</v>
      </c>
      <c r="X317" s="699" t="s">
        <v>1609</v>
      </c>
      <c r="AC317" s="700"/>
      <c r="AF317" s="702"/>
      <c r="AG317" s="705" t="s">
        <v>1609</v>
      </c>
    </row>
    <row r="318" spans="1:34" ht="24" customHeight="1">
      <c r="A318" s="720" t="e">
        <f t="shared" si="36"/>
        <v>#REF!</v>
      </c>
      <c r="B318" s="722" t="s">
        <v>240</v>
      </c>
      <c r="C318" s="783">
        <v>50.34</v>
      </c>
      <c r="D318" s="784" t="s">
        <v>778</v>
      </c>
      <c r="H318" s="711" t="s">
        <v>782</v>
      </c>
      <c r="K318" s="709">
        <f>(K316/10)</f>
        <v>6145.59</v>
      </c>
      <c r="M318" s="710">
        <v>1.1000000000000001</v>
      </c>
      <c r="N318" s="697" t="s">
        <v>877</v>
      </c>
      <c r="O318" s="697" t="s">
        <v>1927</v>
      </c>
      <c r="P318" s="710">
        <f>(C10)</f>
        <v>562</v>
      </c>
      <c r="Q318" s="697" t="s">
        <v>877</v>
      </c>
      <c r="R318" s="710">
        <f>(M318*P318)</f>
        <v>618.20000000000005</v>
      </c>
      <c r="U318" s="699" t="s">
        <v>782</v>
      </c>
      <c r="X318" s="758">
        <f>X316/10</f>
        <v>6393.87</v>
      </c>
      <c r="AC318" s="700"/>
      <c r="AD318" s="711" t="s">
        <v>782</v>
      </c>
      <c r="AF318" s="702"/>
      <c r="AG318" s="709">
        <f>(AG316/10)</f>
        <v>6072.88</v>
      </c>
    </row>
    <row r="319" spans="1:34" ht="24" customHeight="1">
      <c r="A319" s="720" t="e">
        <f t="shared" si="36"/>
        <v>#REF!</v>
      </c>
      <c r="B319" s="722" t="s">
        <v>241</v>
      </c>
      <c r="C319" s="783">
        <v>65.209999999999994</v>
      </c>
      <c r="D319" s="784" t="s">
        <v>778</v>
      </c>
      <c r="K319" s="705" t="s">
        <v>2080</v>
      </c>
      <c r="M319" s="710">
        <v>1.1000000000000001</v>
      </c>
      <c r="N319" s="697" t="s">
        <v>877</v>
      </c>
      <c r="O319" s="697" t="s">
        <v>321</v>
      </c>
      <c r="P319" s="710">
        <f>(C11)</f>
        <v>461</v>
      </c>
      <c r="Q319" s="697" t="s">
        <v>877</v>
      </c>
      <c r="R319" s="710">
        <f>(M319*P319)</f>
        <v>507.1</v>
      </c>
      <c r="AC319" s="700"/>
      <c r="AF319" s="702"/>
      <c r="AG319" s="705" t="s">
        <v>2080</v>
      </c>
    </row>
    <row r="320" spans="1:34" ht="24" customHeight="1">
      <c r="A320" s="720" t="e">
        <f t="shared" si="36"/>
        <v>#REF!</v>
      </c>
      <c r="B320" s="722" t="s">
        <v>2247</v>
      </c>
      <c r="C320" s="783">
        <v>145.29</v>
      </c>
      <c r="D320" s="784" t="s">
        <v>778</v>
      </c>
      <c r="H320" s="697" t="s">
        <v>386</v>
      </c>
      <c r="K320" s="710">
        <f>(K318+C17)</f>
        <v>6216.99</v>
      </c>
      <c r="L320" s="699">
        <f>K320-K318</f>
        <v>71.400000000000006</v>
      </c>
      <c r="N320" s="697" t="s">
        <v>450</v>
      </c>
      <c r="O320" s="697" t="s">
        <v>451</v>
      </c>
      <c r="P320" s="697" t="s">
        <v>987</v>
      </c>
      <c r="Q320" s="697" t="s">
        <v>450</v>
      </c>
      <c r="R320" s="710">
        <v>0</v>
      </c>
      <c r="U320" s="699" t="s">
        <v>386</v>
      </c>
      <c r="X320" s="699">
        <f>X318+C17</f>
        <v>6465.27</v>
      </c>
      <c r="Y320" s="699">
        <f>X320-X318</f>
        <v>71.400000000000006</v>
      </c>
      <c r="AC320" s="700"/>
      <c r="AD320" s="697" t="s">
        <v>386</v>
      </c>
      <c r="AF320" s="702"/>
      <c r="AG320" s="710">
        <f>AG318+C17</f>
        <v>6144.28</v>
      </c>
      <c r="AH320" s="699">
        <f>AG320-AG318</f>
        <v>71.400000000000006</v>
      </c>
    </row>
    <row r="321" spans="1:34" ht="24" customHeight="1">
      <c r="A321" s="720" t="e">
        <f t="shared" si="36"/>
        <v>#REF!</v>
      </c>
      <c r="B321" s="722" t="s">
        <v>2212</v>
      </c>
      <c r="C321" s="786"/>
      <c r="D321" s="787"/>
      <c r="H321" s="697" t="s">
        <v>388</v>
      </c>
      <c r="K321" s="710">
        <f>(K320+C18)</f>
        <v>6361.05</v>
      </c>
      <c r="L321" s="699">
        <f>K321-K320</f>
        <v>144.06</v>
      </c>
      <c r="R321" s="705" t="s">
        <v>1609</v>
      </c>
      <c r="U321" s="699" t="s">
        <v>388</v>
      </c>
      <c r="X321" s="699">
        <f>X320+C18</f>
        <v>6609.33</v>
      </c>
      <c r="Y321" s="699">
        <f>X321-X320</f>
        <v>144.06</v>
      </c>
      <c r="AC321" s="700"/>
      <c r="AD321" s="697" t="s">
        <v>388</v>
      </c>
      <c r="AF321" s="702"/>
      <c r="AG321" s="710">
        <f>AG320+C18</f>
        <v>6288.34</v>
      </c>
      <c r="AH321" s="699">
        <f>AG321-AG320</f>
        <v>144.06</v>
      </c>
    </row>
    <row r="322" spans="1:34" ht="24" customHeight="1">
      <c r="A322" s="720" t="e">
        <f t="shared" si="36"/>
        <v>#REF!</v>
      </c>
      <c r="B322" s="722" t="s">
        <v>239</v>
      </c>
      <c r="C322" s="783">
        <v>14.91</v>
      </c>
      <c r="D322" s="784" t="s">
        <v>1796</v>
      </c>
      <c r="H322" s="697" t="s">
        <v>2257</v>
      </c>
      <c r="K322" s="710">
        <f>(K321+C19)</f>
        <v>6505.11</v>
      </c>
      <c r="M322" s="699">
        <f>(K322+K321)/2</f>
        <v>6433.08</v>
      </c>
      <c r="O322" s="697" t="s">
        <v>442</v>
      </c>
      <c r="R322" s="710">
        <f>SUM(R316:R320)</f>
        <v>2662.63</v>
      </c>
      <c r="U322" s="699" t="s">
        <v>2257</v>
      </c>
      <c r="X322" s="699">
        <f>X321+C18</f>
        <v>6753.39</v>
      </c>
      <c r="AC322" s="700"/>
      <c r="AD322" s="697" t="s">
        <v>2257</v>
      </c>
      <c r="AF322" s="702"/>
      <c r="AG322" s="710">
        <f>AG321+C18</f>
        <v>6432.4</v>
      </c>
      <c r="AH322" s="699">
        <f>AG321-AG320</f>
        <v>144.06</v>
      </c>
    </row>
    <row r="323" spans="1:34" ht="24" customHeight="1">
      <c r="A323" s="720" t="e">
        <f t="shared" si="36"/>
        <v>#REF!</v>
      </c>
      <c r="B323" s="722" t="s">
        <v>240</v>
      </c>
      <c r="C323" s="783">
        <v>19.41</v>
      </c>
      <c r="D323" s="784" t="s">
        <v>1796</v>
      </c>
      <c r="H323" s="697" t="s">
        <v>380</v>
      </c>
      <c r="K323" s="710">
        <f>(K322+C19)</f>
        <v>6649.17</v>
      </c>
      <c r="R323" s="705" t="s">
        <v>1609</v>
      </c>
      <c r="U323" s="699" t="s">
        <v>380</v>
      </c>
      <c r="X323" s="699">
        <f>X322+C18</f>
        <v>6897.45</v>
      </c>
      <c r="AC323" s="700"/>
      <c r="AD323" s="697" t="s">
        <v>380</v>
      </c>
      <c r="AF323" s="702"/>
      <c r="AG323" s="710">
        <f>AG322+C18</f>
        <v>6576.46</v>
      </c>
    </row>
    <row r="324" spans="1:34" ht="24" customHeight="1">
      <c r="A324" s="720" t="e">
        <f t="shared" si="36"/>
        <v>#REF!</v>
      </c>
      <c r="B324" s="722" t="s">
        <v>241</v>
      </c>
      <c r="C324" s="783">
        <v>22.22</v>
      </c>
      <c r="D324" s="784" t="s">
        <v>1796</v>
      </c>
      <c r="H324" s="697" t="s">
        <v>489</v>
      </c>
      <c r="K324" s="710">
        <f>(K323+C19)</f>
        <v>6793.23</v>
      </c>
      <c r="O324" s="697" t="s">
        <v>556</v>
      </c>
      <c r="R324" s="710">
        <f>(R322/10)</f>
        <v>266.26</v>
      </c>
      <c r="U324" s="699" t="s">
        <v>489</v>
      </c>
      <c r="X324" s="699">
        <f>X323+C18</f>
        <v>7041.51</v>
      </c>
      <c r="AC324" s="700"/>
      <c r="AD324" s="697" t="s">
        <v>489</v>
      </c>
      <c r="AF324" s="702"/>
      <c r="AG324" s="710">
        <f>AG323+C18</f>
        <v>6720.52</v>
      </c>
    </row>
    <row r="325" spans="1:34" ht="24" customHeight="1">
      <c r="A325" s="720"/>
      <c r="B325" s="722"/>
      <c r="C325" s="783"/>
      <c r="D325" s="784"/>
      <c r="H325" s="697"/>
      <c r="K325" s="710"/>
      <c r="O325" s="697"/>
      <c r="R325" s="710"/>
      <c r="AE325" s="724"/>
      <c r="AG325" s="697"/>
    </row>
    <row r="326" spans="1:34" ht="24" customHeight="1">
      <c r="A326" s="720"/>
      <c r="B326" s="722"/>
      <c r="C326" s="783"/>
      <c r="D326" s="784"/>
      <c r="F326" s="698" t="s">
        <v>645</v>
      </c>
      <c r="H326" s="697" t="s">
        <v>5225</v>
      </c>
      <c r="K326" s="788">
        <v>712</v>
      </c>
      <c r="L326" s="699" t="s">
        <v>1127</v>
      </c>
      <c r="O326" s="697"/>
      <c r="R326" s="710"/>
      <c r="AE326" s="724"/>
      <c r="AG326" s="697"/>
    </row>
    <row r="327" spans="1:34" ht="24" customHeight="1">
      <c r="A327" s="720"/>
      <c r="B327" s="722"/>
      <c r="C327" s="783"/>
      <c r="D327" s="784"/>
      <c r="H327" s="697" t="s">
        <v>4965</v>
      </c>
      <c r="K327" s="705" t="s">
        <v>2080</v>
      </c>
      <c r="O327" s="697"/>
      <c r="R327" s="710"/>
      <c r="AE327" s="724"/>
      <c r="AG327" s="697"/>
    </row>
    <row r="328" spans="1:34" ht="24" customHeight="1">
      <c r="A328" s="720"/>
      <c r="B328" s="722"/>
      <c r="C328" s="783"/>
      <c r="D328" s="784"/>
      <c r="H328" s="697"/>
      <c r="K328" s="710"/>
      <c r="O328" s="697"/>
      <c r="R328" s="710"/>
      <c r="AE328" s="724"/>
      <c r="AG328" s="697"/>
    </row>
    <row r="329" spans="1:34" ht="24" customHeight="1">
      <c r="A329" s="720" t="e">
        <f>(A324+1)</f>
        <v>#REF!</v>
      </c>
      <c r="B329" s="722" t="s">
        <v>2247</v>
      </c>
      <c r="C329" s="783">
        <v>46.42</v>
      </c>
      <c r="D329" s="784" t="s">
        <v>1796</v>
      </c>
      <c r="F329" s="733">
        <v>9</v>
      </c>
      <c r="G329" s="708" t="s">
        <v>2276</v>
      </c>
      <c r="H329" s="697" t="s">
        <v>2859</v>
      </c>
      <c r="R329" s="705" t="s">
        <v>2080</v>
      </c>
      <c r="S329" s="703">
        <v>9</v>
      </c>
      <c r="T329" s="699" t="s">
        <v>2276</v>
      </c>
      <c r="U329" s="699" t="s">
        <v>2260</v>
      </c>
      <c r="AB329" s="733">
        <v>9</v>
      </c>
      <c r="AC329" s="708" t="s">
        <v>2276</v>
      </c>
      <c r="AD329" s="697" t="s">
        <v>3568</v>
      </c>
      <c r="AF329" s="702"/>
    </row>
    <row r="330" spans="1:34" ht="24" customHeight="1">
      <c r="A330" s="720" t="e">
        <f t="shared" si="36"/>
        <v>#REF!</v>
      </c>
      <c r="B330" s="722" t="s">
        <v>2213</v>
      </c>
      <c r="C330" s="786"/>
      <c r="D330" s="787"/>
      <c r="H330" s="697" t="str">
        <f>H306</f>
        <v>Bricks of size 22x11x7 cm</v>
      </c>
      <c r="U330" s="699" t="s">
        <v>427</v>
      </c>
      <c r="AC330" s="700"/>
      <c r="AD330" s="697" t="str">
        <f>AD306</f>
        <v>Bricks of size 23x11.4x7.5 cm</v>
      </c>
      <c r="AF330" s="702"/>
    </row>
    <row r="331" spans="1:34" ht="24" customHeight="1">
      <c r="A331" s="720" t="e">
        <f t="shared" si="36"/>
        <v>#REF!</v>
      </c>
      <c r="B331" s="722" t="s">
        <v>239</v>
      </c>
      <c r="C331" s="783">
        <v>8.58</v>
      </c>
      <c r="D331" s="784" t="s">
        <v>778</v>
      </c>
      <c r="H331" s="705" t="s">
        <v>1609</v>
      </c>
      <c r="N331" s="697" t="s">
        <v>2276</v>
      </c>
      <c r="O331" s="697" t="s">
        <v>2214</v>
      </c>
      <c r="U331" s="699" t="s">
        <v>1609</v>
      </c>
      <c r="AC331" s="700"/>
      <c r="AD331" s="705" t="s">
        <v>1609</v>
      </c>
      <c r="AF331" s="702"/>
    </row>
    <row r="332" spans="1:34" ht="24" customHeight="1">
      <c r="A332" s="720" t="e">
        <f t="shared" si="36"/>
        <v>#REF!</v>
      </c>
      <c r="B332" s="722" t="s">
        <v>240</v>
      </c>
      <c r="C332" s="783">
        <v>12.26</v>
      </c>
      <c r="D332" s="784" t="s">
        <v>778</v>
      </c>
      <c r="F332" s="710">
        <f>F308</f>
        <v>4800</v>
      </c>
      <c r="G332" s="708" t="s">
        <v>1445</v>
      </c>
      <c r="H332" s="710" t="str">
        <f>H306</f>
        <v>Bricks of size 22x11x7 cm</v>
      </c>
      <c r="I332" s="710">
        <f>C77</f>
        <v>5799.5</v>
      </c>
      <c r="J332" s="697" t="s">
        <v>1617</v>
      </c>
      <c r="K332" s="710">
        <f>(F332*I332)/1000</f>
        <v>27837.599999999999</v>
      </c>
      <c r="O332" s="705" t="s">
        <v>1609</v>
      </c>
      <c r="S332" s="703">
        <v>4600</v>
      </c>
      <c r="T332" s="699" t="s">
        <v>1445</v>
      </c>
      <c r="U332" s="699" t="s">
        <v>427</v>
      </c>
      <c r="V332" s="699">
        <f>AC38</f>
        <v>6591.4</v>
      </c>
      <c r="W332" s="699" t="s">
        <v>1617</v>
      </c>
      <c r="X332" s="699">
        <f>V332*S332/1000</f>
        <v>30320.44</v>
      </c>
      <c r="AB332" s="710">
        <f>AB308</f>
        <v>4240</v>
      </c>
      <c r="AC332" s="708" t="s">
        <v>1445</v>
      </c>
      <c r="AD332" s="710" t="str">
        <f>AD306</f>
        <v>Bricks of size 23x11.4x7.5 cm</v>
      </c>
      <c r="AE332" s="710">
        <f>AC39</f>
        <v>6786.4</v>
      </c>
      <c r="AF332" s="697" t="s">
        <v>1617</v>
      </c>
      <c r="AG332" s="710">
        <f>AE332*AB332/1000</f>
        <v>28774.34</v>
      </c>
    </row>
    <row r="333" spans="1:34" ht="24" customHeight="1">
      <c r="A333" s="720" t="e">
        <f t="shared" si="36"/>
        <v>#REF!</v>
      </c>
      <c r="B333" s="722" t="s">
        <v>241</v>
      </c>
      <c r="C333" s="783">
        <v>13.89</v>
      </c>
      <c r="D333" s="784" t="s">
        <v>778</v>
      </c>
      <c r="F333" s="710">
        <f>F309</f>
        <v>2.5</v>
      </c>
      <c r="G333" s="708" t="s">
        <v>878</v>
      </c>
      <c r="H333" s="697" t="s">
        <v>1656</v>
      </c>
      <c r="I333" s="710">
        <f>K55</f>
        <v>3041.5</v>
      </c>
      <c r="J333" s="697" t="s">
        <v>878</v>
      </c>
      <c r="K333" s="710">
        <f>(F333*I333)</f>
        <v>7603.75</v>
      </c>
      <c r="M333" s="710">
        <v>0.22</v>
      </c>
      <c r="N333" s="697" t="s">
        <v>878</v>
      </c>
      <c r="O333" s="697" t="s">
        <v>1650</v>
      </c>
      <c r="P333" s="710">
        <f>(K46)</f>
        <v>3327.58</v>
      </c>
      <c r="Q333" s="697" t="s">
        <v>878</v>
      </c>
      <c r="R333" s="710">
        <f>(M333*P333)</f>
        <v>732.07</v>
      </c>
      <c r="S333" s="703">
        <v>2.5</v>
      </c>
      <c r="T333" s="699" t="s">
        <v>878</v>
      </c>
      <c r="U333" s="699" t="s">
        <v>1656</v>
      </c>
      <c r="V333" s="699">
        <f>I333</f>
        <v>3041.5</v>
      </c>
      <c r="W333" s="699" t="s">
        <v>878</v>
      </c>
      <c r="X333" s="699">
        <f t="shared" ref="X333:X338" si="38">V333*S333</f>
        <v>7603.75</v>
      </c>
      <c r="AB333" s="710">
        <f>AB309</f>
        <v>2</v>
      </c>
      <c r="AC333" s="708" t="s">
        <v>878</v>
      </c>
      <c r="AD333" s="697" t="s">
        <v>1656</v>
      </c>
      <c r="AE333" s="710">
        <f>V333</f>
        <v>3041.5</v>
      </c>
      <c r="AF333" s="697" t="s">
        <v>878</v>
      </c>
      <c r="AG333" s="710">
        <f>AE333*AB333</f>
        <v>6083</v>
      </c>
    </row>
    <row r="334" spans="1:34" ht="24" customHeight="1">
      <c r="A334" s="720" t="e">
        <f t="shared" si="36"/>
        <v>#REF!</v>
      </c>
      <c r="B334" s="722" t="s">
        <v>2247</v>
      </c>
      <c r="C334" s="783">
        <v>36.25</v>
      </c>
      <c r="D334" s="784" t="s">
        <v>778</v>
      </c>
      <c r="F334" s="710">
        <v>3.5</v>
      </c>
      <c r="G334" s="708" t="s">
        <v>877</v>
      </c>
      <c r="H334" s="697" t="s">
        <v>2034</v>
      </c>
      <c r="I334" s="710">
        <f>C8</f>
        <v>861</v>
      </c>
      <c r="J334" s="697" t="s">
        <v>877</v>
      </c>
      <c r="K334" s="710">
        <f>(F334*I334)</f>
        <v>3013.5</v>
      </c>
      <c r="M334" s="710">
        <v>2.2000000000000002</v>
      </c>
      <c r="N334" s="697" t="s">
        <v>877</v>
      </c>
      <c r="O334" s="697" t="s">
        <v>2034</v>
      </c>
      <c r="P334" s="710">
        <f>(C8)</f>
        <v>861</v>
      </c>
      <c r="Q334" s="697" t="s">
        <v>877</v>
      </c>
      <c r="R334" s="710">
        <f>(M334*P334)</f>
        <v>1894.2</v>
      </c>
      <c r="S334" s="703">
        <v>3.5</v>
      </c>
      <c r="T334" s="699" t="s">
        <v>877</v>
      </c>
      <c r="U334" s="699" t="s">
        <v>2034</v>
      </c>
      <c r="V334" s="699">
        <f>I334</f>
        <v>861</v>
      </c>
      <c r="W334" s="699" t="s">
        <v>877</v>
      </c>
      <c r="X334" s="699">
        <f t="shared" si="38"/>
        <v>3013.5</v>
      </c>
      <c r="AB334" s="710">
        <v>3.5</v>
      </c>
      <c r="AC334" s="708" t="s">
        <v>877</v>
      </c>
      <c r="AD334" s="697" t="s">
        <v>2034</v>
      </c>
      <c r="AE334" s="710">
        <f>V334</f>
        <v>861</v>
      </c>
      <c r="AF334" s="697" t="s">
        <v>877</v>
      </c>
      <c r="AG334" s="710">
        <f>AE334*AB334</f>
        <v>3013.5</v>
      </c>
    </row>
    <row r="335" spans="1:34" ht="24" customHeight="1">
      <c r="A335" s="720" t="e">
        <f t="shared" si="36"/>
        <v>#REF!</v>
      </c>
      <c r="B335" s="722" t="s">
        <v>2215</v>
      </c>
      <c r="C335" s="786"/>
      <c r="D335" s="787"/>
      <c r="F335" s="710">
        <v>10.6</v>
      </c>
      <c r="G335" s="708" t="s">
        <v>877</v>
      </c>
      <c r="H335" s="697" t="s">
        <v>1737</v>
      </c>
      <c r="I335" s="710">
        <f>C9</f>
        <v>804</v>
      </c>
      <c r="J335" s="697" t="s">
        <v>877</v>
      </c>
      <c r="K335" s="710">
        <f>(F335*I335)</f>
        <v>8522.4</v>
      </c>
      <c r="M335" s="710">
        <v>0.5</v>
      </c>
      <c r="N335" s="697" t="s">
        <v>877</v>
      </c>
      <c r="O335" s="697" t="s">
        <v>1927</v>
      </c>
      <c r="P335" s="710">
        <f>(C10)</f>
        <v>562</v>
      </c>
      <c r="Q335" s="697" t="s">
        <v>877</v>
      </c>
      <c r="R335" s="710">
        <f>(M335*P335)</f>
        <v>281</v>
      </c>
      <c r="S335" s="703">
        <v>10.6</v>
      </c>
      <c r="T335" s="699" t="s">
        <v>877</v>
      </c>
      <c r="U335" s="699" t="s">
        <v>1737</v>
      </c>
      <c r="V335" s="699">
        <f>I335</f>
        <v>804</v>
      </c>
      <c r="W335" s="699" t="s">
        <v>877</v>
      </c>
      <c r="X335" s="699">
        <f t="shared" si="38"/>
        <v>8522.4</v>
      </c>
      <c r="AB335" s="710">
        <v>10.6</v>
      </c>
      <c r="AC335" s="708" t="s">
        <v>877</v>
      </c>
      <c r="AD335" s="697" t="s">
        <v>1737</v>
      </c>
      <c r="AE335" s="710">
        <f>V335</f>
        <v>804</v>
      </c>
      <c r="AF335" s="697" t="s">
        <v>877</v>
      </c>
      <c r="AG335" s="710">
        <f>AE335*AB335</f>
        <v>8522.4</v>
      </c>
    </row>
    <row r="336" spans="1:34" ht="24" customHeight="1">
      <c r="A336" s="720" t="e">
        <f t="shared" si="36"/>
        <v>#REF!</v>
      </c>
      <c r="B336" s="722" t="s">
        <v>239</v>
      </c>
      <c r="C336" s="783">
        <v>15.7</v>
      </c>
      <c r="D336" s="784" t="s">
        <v>778</v>
      </c>
      <c r="F336" s="710">
        <v>7.1</v>
      </c>
      <c r="G336" s="708" t="s">
        <v>877</v>
      </c>
      <c r="H336" s="697" t="s">
        <v>1927</v>
      </c>
      <c r="I336" s="710">
        <f>C10</f>
        <v>562</v>
      </c>
      <c r="J336" s="697" t="s">
        <v>877</v>
      </c>
      <c r="K336" s="710">
        <f>(F336*I336)</f>
        <v>3990.2</v>
      </c>
      <c r="M336" s="710">
        <v>3.2</v>
      </c>
      <c r="N336" s="697" t="s">
        <v>877</v>
      </c>
      <c r="O336" s="697" t="s">
        <v>321</v>
      </c>
      <c r="P336" s="710">
        <f>(C11)</f>
        <v>461</v>
      </c>
      <c r="Q336" s="697" t="s">
        <v>877</v>
      </c>
      <c r="R336" s="710">
        <f>(M336*P336)</f>
        <v>1475.2</v>
      </c>
      <c r="S336" s="703">
        <v>7.1</v>
      </c>
      <c r="T336" s="699" t="s">
        <v>877</v>
      </c>
      <c r="U336" s="699" t="s">
        <v>1927</v>
      </c>
      <c r="V336" s="699">
        <f>I336</f>
        <v>562</v>
      </c>
      <c r="W336" s="699" t="s">
        <v>877</v>
      </c>
      <c r="X336" s="699">
        <f t="shared" si="38"/>
        <v>3990.2</v>
      </c>
      <c r="AB336" s="710">
        <v>7.1</v>
      </c>
      <c r="AC336" s="708" t="s">
        <v>877</v>
      </c>
      <c r="AD336" s="697" t="s">
        <v>1927</v>
      </c>
      <c r="AE336" s="710">
        <f>V336</f>
        <v>562</v>
      </c>
      <c r="AF336" s="697" t="s">
        <v>877</v>
      </c>
      <c r="AG336" s="710">
        <f>AE336*AB336</f>
        <v>3990.2</v>
      </c>
    </row>
    <row r="337" spans="1:33" ht="24" customHeight="1">
      <c r="A337" s="720" t="e">
        <f t="shared" si="36"/>
        <v>#REF!</v>
      </c>
      <c r="B337" s="722" t="s">
        <v>240</v>
      </c>
      <c r="C337" s="783">
        <v>22.31</v>
      </c>
      <c r="D337" s="784" t="s">
        <v>778</v>
      </c>
      <c r="F337" s="710">
        <v>21.2</v>
      </c>
      <c r="G337" s="708" t="s">
        <v>877</v>
      </c>
      <c r="H337" s="697" t="s">
        <v>321</v>
      </c>
      <c r="I337" s="710">
        <f>C11</f>
        <v>461</v>
      </c>
      <c r="J337" s="697" t="s">
        <v>877</v>
      </c>
      <c r="K337" s="710">
        <f>(F337*I337)</f>
        <v>9773.2000000000007</v>
      </c>
      <c r="N337" s="697" t="s">
        <v>450</v>
      </c>
      <c r="O337" s="697" t="s">
        <v>451</v>
      </c>
      <c r="P337" s="697" t="s">
        <v>987</v>
      </c>
      <c r="Q337" s="697" t="s">
        <v>450</v>
      </c>
      <c r="R337" s="710">
        <v>0</v>
      </c>
      <c r="S337" s="703">
        <v>21.2</v>
      </c>
      <c r="T337" s="699" t="s">
        <v>877</v>
      </c>
      <c r="U337" s="699" t="s">
        <v>321</v>
      </c>
      <c r="V337" s="699">
        <f>I337</f>
        <v>461</v>
      </c>
      <c r="W337" s="699" t="s">
        <v>877</v>
      </c>
      <c r="X337" s="699">
        <f t="shared" si="38"/>
        <v>9773.2000000000007</v>
      </c>
      <c r="AB337" s="710">
        <v>21.2</v>
      </c>
      <c r="AC337" s="708" t="s">
        <v>877</v>
      </c>
      <c r="AD337" s="697" t="s">
        <v>321</v>
      </c>
      <c r="AE337" s="710">
        <f>V337</f>
        <v>461</v>
      </c>
      <c r="AF337" s="697" t="s">
        <v>877</v>
      </c>
      <c r="AG337" s="710">
        <f>AE337*AB337</f>
        <v>9773.2000000000007</v>
      </c>
    </row>
    <row r="338" spans="1:33" ht="24" customHeight="1">
      <c r="A338" s="720" t="e">
        <f t="shared" si="36"/>
        <v>#REF!</v>
      </c>
      <c r="B338" s="722" t="s">
        <v>241</v>
      </c>
      <c r="C338" s="783">
        <v>25.24</v>
      </c>
      <c r="D338" s="784" t="s">
        <v>778</v>
      </c>
      <c r="G338" s="708" t="s">
        <v>450</v>
      </c>
      <c r="H338" s="697" t="s">
        <v>451</v>
      </c>
      <c r="J338" s="697" t="s">
        <v>450</v>
      </c>
      <c r="K338" s="710">
        <v>0</v>
      </c>
      <c r="R338" s="705" t="s">
        <v>1609</v>
      </c>
      <c r="T338" s="699" t="s">
        <v>450</v>
      </c>
      <c r="U338" s="699" t="s">
        <v>451</v>
      </c>
      <c r="W338" s="699" t="s">
        <v>450</v>
      </c>
      <c r="X338" s="699">
        <f t="shared" si="38"/>
        <v>0</v>
      </c>
      <c r="AC338" s="708" t="s">
        <v>450</v>
      </c>
      <c r="AD338" s="697" t="s">
        <v>451</v>
      </c>
      <c r="AF338" s="697" t="s">
        <v>450</v>
      </c>
      <c r="AG338" s="710">
        <v>0</v>
      </c>
    </row>
    <row r="339" spans="1:33" ht="24" customHeight="1">
      <c r="A339" s="720" t="e">
        <f t="shared" si="36"/>
        <v>#REF!</v>
      </c>
      <c r="B339" s="722" t="s">
        <v>2247</v>
      </c>
      <c r="C339" s="783">
        <v>52.34</v>
      </c>
      <c r="D339" s="784" t="s">
        <v>778</v>
      </c>
      <c r="K339" s="705" t="s">
        <v>1609</v>
      </c>
      <c r="O339" s="697" t="s">
        <v>442</v>
      </c>
      <c r="R339" s="710">
        <f>SUM(R333:R337)</f>
        <v>4382.47</v>
      </c>
      <c r="X339" s="705" t="s">
        <v>1609</v>
      </c>
      <c r="AC339" s="700"/>
      <c r="AF339" s="702"/>
      <c r="AG339" s="705" t="s">
        <v>1609</v>
      </c>
    </row>
    <row r="340" spans="1:33" ht="24" customHeight="1">
      <c r="A340" s="720" t="e">
        <f t="shared" si="36"/>
        <v>#REF!</v>
      </c>
      <c r="B340" s="722" t="s">
        <v>1057</v>
      </c>
      <c r="C340" s="786"/>
      <c r="D340" s="787"/>
      <c r="H340" s="697" t="s">
        <v>620</v>
      </c>
      <c r="K340" s="710">
        <f>SUM(K332:K338)</f>
        <v>60740.65</v>
      </c>
      <c r="R340" s="705" t="s">
        <v>1609</v>
      </c>
      <c r="U340" s="699" t="s">
        <v>620</v>
      </c>
      <c r="X340" s="699">
        <f>SUM(X332:X339)</f>
        <v>63223.49</v>
      </c>
      <c r="AC340" s="700"/>
      <c r="AD340" s="697" t="s">
        <v>620</v>
      </c>
      <c r="AF340" s="702"/>
      <c r="AG340" s="710">
        <f>SUM(AG332:AG338)</f>
        <v>60156.639999999999</v>
      </c>
    </row>
    <row r="341" spans="1:33" ht="24" customHeight="1">
      <c r="A341" s="720" t="e">
        <f t="shared" si="36"/>
        <v>#REF!</v>
      </c>
      <c r="B341" s="722" t="s">
        <v>239</v>
      </c>
      <c r="C341" s="783">
        <v>13.73</v>
      </c>
      <c r="D341" s="784" t="s">
        <v>778</v>
      </c>
      <c r="K341" s="705" t="s">
        <v>1609</v>
      </c>
      <c r="O341" s="697" t="s">
        <v>556</v>
      </c>
      <c r="R341" s="710">
        <f>(R339/10)</f>
        <v>438.25</v>
      </c>
      <c r="X341" s="705" t="s">
        <v>1609</v>
      </c>
      <c r="AC341" s="700"/>
      <c r="AF341" s="702"/>
      <c r="AG341" s="705" t="s">
        <v>1609</v>
      </c>
    </row>
    <row r="342" spans="1:33" ht="24" customHeight="1">
      <c r="A342" s="720" t="e">
        <f t="shared" si="36"/>
        <v>#REF!</v>
      </c>
      <c r="B342" s="722" t="s">
        <v>240</v>
      </c>
      <c r="C342" s="783">
        <v>20.16</v>
      </c>
      <c r="D342" s="784" t="s">
        <v>778</v>
      </c>
      <c r="H342" s="698" t="s">
        <v>782</v>
      </c>
      <c r="K342" s="710">
        <f>(K340/10)</f>
        <v>6074.07</v>
      </c>
      <c r="R342" s="705" t="s">
        <v>2080</v>
      </c>
      <c r="U342" s="699" t="s">
        <v>782</v>
      </c>
      <c r="X342" s="699">
        <f>X340/10</f>
        <v>6322.35</v>
      </c>
      <c r="AC342" s="700"/>
      <c r="AD342" s="698" t="s">
        <v>782</v>
      </c>
      <c r="AF342" s="702"/>
      <c r="AG342" s="710">
        <f>(AG340/10)</f>
        <v>6015.66</v>
      </c>
    </row>
    <row r="343" spans="1:33" ht="24" customHeight="1">
      <c r="A343" s="720" t="e">
        <f t="shared" si="36"/>
        <v>#REF!</v>
      </c>
      <c r="B343" s="722" t="s">
        <v>241</v>
      </c>
      <c r="C343" s="783">
        <v>22.73</v>
      </c>
      <c r="D343" s="784" t="s">
        <v>778</v>
      </c>
      <c r="K343" s="705" t="s">
        <v>2080</v>
      </c>
      <c r="N343" s="697" t="s">
        <v>2276</v>
      </c>
      <c r="O343" s="697" t="s">
        <v>1058</v>
      </c>
      <c r="X343" s="747" t="s">
        <v>1242</v>
      </c>
      <c r="AC343" s="700"/>
      <c r="AF343" s="702"/>
      <c r="AG343" s="705" t="s">
        <v>2080</v>
      </c>
    </row>
    <row r="344" spans="1:33" ht="24" customHeight="1">
      <c r="A344" s="720" t="e">
        <f t="shared" ref="A344:A407" si="39">(A343+1)</f>
        <v>#REF!</v>
      </c>
      <c r="B344" s="722" t="s">
        <v>2247</v>
      </c>
      <c r="C344" s="783">
        <v>46.98</v>
      </c>
      <c r="D344" s="784" t="s">
        <v>987</v>
      </c>
      <c r="H344" s="697" t="s">
        <v>386</v>
      </c>
      <c r="K344" s="709">
        <f>(K342+C17)</f>
        <v>6145.47</v>
      </c>
      <c r="L344" s="699">
        <f>K344-K342</f>
        <v>71.400000000000006</v>
      </c>
      <c r="O344" s="705" t="s">
        <v>1609</v>
      </c>
      <c r="U344" s="758" t="s">
        <v>386</v>
      </c>
      <c r="X344" s="758">
        <f>X342+C17</f>
        <v>6393.75</v>
      </c>
      <c r="AC344" s="700"/>
      <c r="AD344" s="697" t="s">
        <v>386</v>
      </c>
      <c r="AF344" s="702"/>
      <c r="AG344" s="709">
        <f>(AG342+C17)</f>
        <v>6087.06</v>
      </c>
    </row>
    <row r="345" spans="1:33" ht="24" customHeight="1">
      <c r="A345" s="720" t="e">
        <f t="shared" si="39"/>
        <v>#REF!</v>
      </c>
      <c r="B345" s="722" t="s">
        <v>1059</v>
      </c>
      <c r="C345" s="786"/>
      <c r="D345" s="787"/>
      <c r="H345" s="697" t="s">
        <v>388</v>
      </c>
      <c r="K345" s="709">
        <f>(K344+C18)</f>
        <v>6289.53</v>
      </c>
      <c r="L345" s="699">
        <f>K345-K344</f>
        <v>144.06</v>
      </c>
      <c r="M345" s="710">
        <v>0.22</v>
      </c>
      <c r="N345" s="697" t="s">
        <v>878</v>
      </c>
      <c r="O345" s="697" t="s">
        <v>1373</v>
      </c>
      <c r="P345" s="710">
        <f>(K30)</f>
        <v>4471.8999999999996</v>
      </c>
      <c r="Q345" s="697" t="s">
        <v>878</v>
      </c>
      <c r="R345" s="710">
        <f>(M345*P345)</f>
        <v>983.82</v>
      </c>
      <c r="U345" s="758" t="s">
        <v>388</v>
      </c>
      <c r="X345" s="758">
        <f>X344+C18</f>
        <v>6537.81</v>
      </c>
      <c r="AC345" s="700"/>
      <c r="AD345" s="697" t="s">
        <v>388</v>
      </c>
      <c r="AF345" s="702"/>
      <c r="AG345" s="709">
        <f>(AG344+C18)</f>
        <v>6231.12</v>
      </c>
    </row>
    <row r="346" spans="1:33" ht="24" customHeight="1">
      <c r="A346" s="720" t="e">
        <f t="shared" si="39"/>
        <v>#REF!</v>
      </c>
      <c r="B346" s="722" t="s">
        <v>239</v>
      </c>
      <c r="C346" s="783">
        <v>19.3</v>
      </c>
      <c r="D346" s="784" t="s">
        <v>778</v>
      </c>
      <c r="H346" s="697" t="s">
        <v>2257</v>
      </c>
      <c r="K346" s="709">
        <f>(K345+C18)</f>
        <v>6433.59</v>
      </c>
      <c r="L346" s="699">
        <f>K346-K345</f>
        <v>144.06</v>
      </c>
      <c r="M346" s="710">
        <v>2.2000000000000002</v>
      </c>
      <c r="N346" s="697" t="s">
        <v>877</v>
      </c>
      <c r="O346" s="697" t="s">
        <v>2034</v>
      </c>
      <c r="P346" s="710">
        <f>(C8)</f>
        <v>861</v>
      </c>
      <c r="Q346" s="697" t="s">
        <v>877</v>
      </c>
      <c r="R346" s="710">
        <f>(M346*P346)</f>
        <v>1894.2</v>
      </c>
      <c r="U346" s="758" t="s">
        <v>2257</v>
      </c>
      <c r="X346" s="758">
        <f>X345+C18</f>
        <v>6681.87</v>
      </c>
      <c r="AC346" s="700"/>
      <c r="AD346" s="697" t="s">
        <v>2257</v>
      </c>
      <c r="AF346" s="702"/>
      <c r="AG346" s="709">
        <f>(AG345+C18)</f>
        <v>6375.18</v>
      </c>
    </row>
    <row r="347" spans="1:33" ht="24" customHeight="1">
      <c r="A347" s="720" t="e">
        <f t="shared" si="39"/>
        <v>#REF!</v>
      </c>
      <c r="B347" s="722" t="s">
        <v>241</v>
      </c>
      <c r="C347" s="783">
        <v>33.46</v>
      </c>
      <c r="D347" s="784" t="s">
        <v>778</v>
      </c>
      <c r="H347" s="697" t="s">
        <v>380</v>
      </c>
      <c r="K347" s="709">
        <f>(K346+C19)</f>
        <v>6577.65</v>
      </c>
      <c r="M347" s="710">
        <v>0.5</v>
      </c>
      <c r="N347" s="697" t="s">
        <v>877</v>
      </c>
      <c r="O347" s="697" t="s">
        <v>1927</v>
      </c>
      <c r="P347" s="710">
        <f>(C10)</f>
        <v>562</v>
      </c>
      <c r="Q347" s="697" t="s">
        <v>877</v>
      </c>
      <c r="R347" s="710">
        <f>(M347*P347)</f>
        <v>281</v>
      </c>
      <c r="U347" s="758" t="s">
        <v>380</v>
      </c>
      <c r="X347" s="758">
        <f>X346+C18</f>
        <v>6825.93</v>
      </c>
      <c r="AC347" s="700"/>
      <c r="AD347" s="697" t="s">
        <v>380</v>
      </c>
      <c r="AF347" s="702"/>
      <c r="AG347" s="709">
        <f>(AG346+C18)</f>
        <v>6519.24</v>
      </c>
    </row>
    <row r="348" spans="1:33" ht="24" customHeight="1">
      <c r="A348" s="720" t="e">
        <f t="shared" si="39"/>
        <v>#REF!</v>
      </c>
      <c r="B348" s="722" t="s">
        <v>2247</v>
      </c>
      <c r="C348" s="783">
        <v>53.62</v>
      </c>
      <c r="D348" s="784" t="s">
        <v>778</v>
      </c>
      <c r="F348" s="697" t="s">
        <v>987</v>
      </c>
      <c r="H348" s="697" t="s">
        <v>489</v>
      </c>
      <c r="K348" s="709">
        <f>(K347+C19)</f>
        <v>6721.71</v>
      </c>
      <c r="L348" s="699">
        <f>K348-K347</f>
        <v>144.06</v>
      </c>
      <c r="M348" s="710">
        <v>3.2</v>
      </c>
      <c r="N348" s="697" t="s">
        <v>877</v>
      </c>
      <c r="O348" s="697" t="s">
        <v>321</v>
      </c>
      <c r="P348" s="710">
        <f>(C11)</f>
        <v>461</v>
      </c>
      <c r="Q348" s="697" t="s">
        <v>877</v>
      </c>
      <c r="R348" s="710">
        <f>(M348*P348)</f>
        <v>1475.2</v>
      </c>
      <c r="S348" s="703" t="s">
        <v>987</v>
      </c>
      <c r="U348" s="758" t="s">
        <v>489</v>
      </c>
      <c r="X348" s="758">
        <f>X347+C18</f>
        <v>6969.99</v>
      </c>
      <c r="AB348" s="697" t="s">
        <v>987</v>
      </c>
      <c r="AC348" s="700"/>
      <c r="AD348" s="697" t="s">
        <v>489</v>
      </c>
      <c r="AF348" s="702"/>
      <c r="AG348" s="709">
        <f>(AG347+C18)</f>
        <v>6663.3</v>
      </c>
    </row>
    <row r="349" spans="1:33" ht="24" customHeight="1">
      <c r="A349" s="720" t="e">
        <f t="shared" si="39"/>
        <v>#REF!</v>
      </c>
      <c r="B349" s="722" t="s">
        <v>129</v>
      </c>
      <c r="C349" s="786"/>
      <c r="D349" s="787"/>
      <c r="F349" s="733">
        <v>27</v>
      </c>
      <c r="G349" s="708" t="s">
        <v>2276</v>
      </c>
      <c r="H349" s="697" t="s">
        <v>2860</v>
      </c>
      <c r="L349" s="699">
        <f>K348+L348</f>
        <v>6865.77</v>
      </c>
      <c r="N349" s="697" t="s">
        <v>450</v>
      </c>
      <c r="O349" s="697" t="s">
        <v>451</v>
      </c>
      <c r="P349" s="697" t="s">
        <v>987</v>
      </c>
      <c r="Q349" s="697" t="s">
        <v>450</v>
      </c>
      <c r="R349" s="710">
        <v>0</v>
      </c>
      <c r="S349" s="703">
        <v>27</v>
      </c>
      <c r="T349" s="699" t="s">
        <v>2276</v>
      </c>
      <c r="U349" s="699" t="s">
        <v>107</v>
      </c>
      <c r="AB349" s="697"/>
      <c r="AC349" s="700"/>
      <c r="AD349" s="697">
        <v>5</v>
      </c>
      <c r="AF349" s="702"/>
      <c r="AG349" s="709">
        <f>(AG348+C18)</f>
        <v>6807.36</v>
      </c>
    </row>
    <row r="350" spans="1:33" ht="24" customHeight="1">
      <c r="A350" s="720" t="e">
        <f t="shared" si="39"/>
        <v>#REF!</v>
      </c>
      <c r="B350" s="722" t="s">
        <v>239</v>
      </c>
      <c r="C350" s="783">
        <v>13.73</v>
      </c>
      <c r="D350" s="784" t="s">
        <v>778</v>
      </c>
      <c r="H350" s="697" t="str">
        <f>H330</f>
        <v>Bricks of size 22x11x7 cm</v>
      </c>
      <c r="L350" s="699">
        <f>L349+L348</f>
        <v>7009.83</v>
      </c>
      <c r="R350" s="705" t="s">
        <v>1609</v>
      </c>
      <c r="U350" s="699" t="s">
        <v>427</v>
      </c>
      <c r="AB350" s="697"/>
      <c r="AC350" s="700"/>
      <c r="AD350" s="697">
        <v>6</v>
      </c>
      <c r="AF350" s="702"/>
      <c r="AG350" s="709">
        <f>(AG349+C18)</f>
        <v>6951.42</v>
      </c>
    </row>
    <row r="351" spans="1:33" ht="24" customHeight="1">
      <c r="A351" s="720" t="e">
        <f t="shared" si="39"/>
        <v>#REF!</v>
      </c>
      <c r="B351" s="722" t="s">
        <v>240</v>
      </c>
      <c r="C351" s="783">
        <v>20.16</v>
      </c>
      <c r="D351" s="784" t="s">
        <v>778</v>
      </c>
      <c r="H351" s="705" t="s">
        <v>1609</v>
      </c>
      <c r="O351" s="697" t="s">
        <v>442</v>
      </c>
      <c r="R351" s="710">
        <f>SUM(R345:R349)</f>
        <v>4634.22</v>
      </c>
      <c r="U351" s="699" t="s">
        <v>1609</v>
      </c>
      <c r="AB351" s="697"/>
      <c r="AC351" s="700"/>
      <c r="AD351" s="697">
        <v>7</v>
      </c>
      <c r="AF351" s="702"/>
      <c r="AG351" s="709">
        <f>(AG350+C18)</f>
        <v>7095.48</v>
      </c>
    </row>
    <row r="352" spans="1:33" ht="24" customHeight="1">
      <c r="A352" s="720" t="e">
        <f t="shared" si="39"/>
        <v>#REF!</v>
      </c>
      <c r="B352" s="722" t="s">
        <v>241</v>
      </c>
      <c r="C352" s="783">
        <v>22.73</v>
      </c>
      <c r="D352" s="784" t="s">
        <v>778</v>
      </c>
      <c r="F352" s="710">
        <v>4800</v>
      </c>
      <c r="G352" s="708" t="s">
        <v>1445</v>
      </c>
      <c r="H352" s="710" t="str">
        <f>H306</f>
        <v>Bricks of size 22x11x7 cm</v>
      </c>
      <c r="I352" s="710">
        <f>C77</f>
        <v>5799.5</v>
      </c>
      <c r="J352" s="697" t="s">
        <v>1617</v>
      </c>
      <c r="K352" s="710">
        <f>(F352*I352)/1000</f>
        <v>27837.599999999999</v>
      </c>
      <c r="R352" s="705" t="s">
        <v>1609</v>
      </c>
      <c r="S352" s="703">
        <v>4600</v>
      </c>
      <c r="T352" s="699" t="s">
        <v>1445</v>
      </c>
      <c r="U352" s="699" t="s">
        <v>427</v>
      </c>
      <c r="V352" s="699">
        <f>AC38</f>
        <v>6591.4</v>
      </c>
      <c r="W352" s="699" t="s">
        <v>1617</v>
      </c>
      <c r="X352" s="699">
        <f>V352*S352/1000</f>
        <v>30320.44</v>
      </c>
      <c r="AB352" s="697"/>
      <c r="AC352" s="700"/>
      <c r="AD352" s="697">
        <v>8</v>
      </c>
      <c r="AF352" s="702"/>
      <c r="AG352" s="709">
        <f>(AG351+C18)</f>
        <v>7239.54</v>
      </c>
    </row>
    <row r="353" spans="1:34" ht="24" customHeight="1">
      <c r="A353" s="720" t="e">
        <f t="shared" si="39"/>
        <v>#REF!</v>
      </c>
      <c r="B353" s="722" t="s">
        <v>2247</v>
      </c>
      <c r="C353" s="783">
        <v>46.98</v>
      </c>
      <c r="D353" s="784" t="s">
        <v>778</v>
      </c>
      <c r="F353" s="710">
        <v>2.5</v>
      </c>
      <c r="G353" s="708" t="s">
        <v>878</v>
      </c>
      <c r="H353" s="697" t="s">
        <v>1327</v>
      </c>
      <c r="I353" s="710">
        <f>K37</f>
        <v>3756.7</v>
      </c>
      <c r="J353" s="697" t="s">
        <v>878</v>
      </c>
      <c r="K353" s="710">
        <f>(F353*I353)</f>
        <v>9391.75</v>
      </c>
      <c r="O353" s="697" t="s">
        <v>556</v>
      </c>
      <c r="R353" s="710">
        <f>(R351/10)</f>
        <v>463.42</v>
      </c>
      <c r="S353" s="703">
        <v>2.5</v>
      </c>
      <c r="T353" s="699" t="s">
        <v>878</v>
      </c>
      <c r="U353" s="699" t="s">
        <v>1327</v>
      </c>
      <c r="V353" s="699">
        <f>I353</f>
        <v>3756.7</v>
      </c>
      <c r="W353" s="699" t="s">
        <v>878</v>
      </c>
      <c r="X353" s="699">
        <f>V353*S353</f>
        <v>9391.75</v>
      </c>
      <c r="AB353" s="697"/>
      <c r="AC353" s="700"/>
      <c r="AD353" s="697">
        <v>9</v>
      </c>
      <c r="AF353" s="702"/>
      <c r="AG353" s="709">
        <f>(AG352+C18)</f>
        <v>7383.6</v>
      </c>
    </row>
    <row r="354" spans="1:34" ht="24" customHeight="1">
      <c r="A354" s="720" t="e">
        <f t="shared" si="39"/>
        <v>#REF!</v>
      </c>
      <c r="B354" s="722" t="s">
        <v>819</v>
      </c>
      <c r="C354" s="786"/>
      <c r="D354" s="787"/>
      <c r="F354" s="710">
        <v>3.5</v>
      </c>
      <c r="G354" s="708" t="s">
        <v>877</v>
      </c>
      <c r="H354" s="697" t="s">
        <v>2034</v>
      </c>
      <c r="I354" s="710">
        <f>(C8)</f>
        <v>861</v>
      </c>
      <c r="J354" s="697" t="s">
        <v>877</v>
      </c>
      <c r="K354" s="710">
        <f>(F354*I354)</f>
        <v>3013.5</v>
      </c>
      <c r="R354" s="705" t="s">
        <v>2080</v>
      </c>
      <c r="S354" s="703">
        <v>3.5</v>
      </c>
      <c r="T354" s="699" t="s">
        <v>877</v>
      </c>
      <c r="U354" s="699" t="s">
        <v>2034</v>
      </c>
      <c r="V354" s="699">
        <f>I354</f>
        <v>861</v>
      </c>
      <c r="W354" s="699" t="s">
        <v>877</v>
      </c>
      <c r="X354" s="699">
        <f>V354*S354</f>
        <v>3013.5</v>
      </c>
      <c r="AB354" s="697"/>
      <c r="AC354" s="700"/>
      <c r="AD354" s="697">
        <v>10</v>
      </c>
      <c r="AF354" s="702"/>
      <c r="AG354" s="709">
        <f>(AG353+C18)</f>
        <v>7527.66</v>
      </c>
    </row>
    <row r="355" spans="1:34" ht="24" customHeight="1">
      <c r="A355" s="720" t="e">
        <f t="shared" si="39"/>
        <v>#REF!</v>
      </c>
      <c r="B355" s="722" t="s">
        <v>239</v>
      </c>
      <c r="C355" s="783">
        <v>19.3</v>
      </c>
      <c r="D355" s="784" t="s">
        <v>778</v>
      </c>
      <c r="F355" s="710">
        <v>10.6</v>
      </c>
      <c r="G355" s="708" t="s">
        <v>877</v>
      </c>
      <c r="H355" s="697" t="s">
        <v>1737</v>
      </c>
      <c r="I355" s="710">
        <f>(C9)</f>
        <v>804</v>
      </c>
      <c r="J355" s="697" t="s">
        <v>877</v>
      </c>
      <c r="K355" s="710">
        <f>(F355*I355)</f>
        <v>8522.4</v>
      </c>
      <c r="N355" s="697" t="s">
        <v>2276</v>
      </c>
      <c r="O355" s="697" t="s">
        <v>820</v>
      </c>
      <c r="S355" s="703">
        <v>10.6</v>
      </c>
      <c r="T355" s="699" t="s">
        <v>877</v>
      </c>
      <c r="U355" s="699" t="s">
        <v>1737</v>
      </c>
      <c r="V355" s="699">
        <f>I355</f>
        <v>804</v>
      </c>
      <c r="W355" s="699" t="s">
        <v>877</v>
      </c>
      <c r="X355" s="699">
        <f>V355*S355</f>
        <v>8522.4</v>
      </c>
      <c r="AB355" s="697"/>
      <c r="AC355" s="700"/>
      <c r="AD355" s="697">
        <v>11</v>
      </c>
      <c r="AF355" s="702"/>
      <c r="AG355" s="709">
        <f>(AG354+C18)</f>
        <v>7671.72</v>
      </c>
    </row>
    <row r="356" spans="1:34" ht="24" customHeight="1">
      <c r="A356" s="720" t="e">
        <f t="shared" si="39"/>
        <v>#REF!</v>
      </c>
      <c r="B356" s="722" t="s">
        <v>240</v>
      </c>
      <c r="C356" s="783">
        <v>25.74</v>
      </c>
      <c r="D356" s="784" t="s">
        <v>778</v>
      </c>
      <c r="F356" s="710">
        <v>7.1</v>
      </c>
      <c r="G356" s="708" t="s">
        <v>877</v>
      </c>
      <c r="H356" s="697" t="s">
        <v>1927</v>
      </c>
      <c r="I356" s="710">
        <f>(C10)</f>
        <v>562</v>
      </c>
      <c r="J356" s="697" t="s">
        <v>877</v>
      </c>
      <c r="K356" s="710">
        <f>(F356*I356)</f>
        <v>3990.2</v>
      </c>
      <c r="O356" s="697" t="s">
        <v>821</v>
      </c>
      <c r="S356" s="703">
        <v>7.1</v>
      </c>
      <c r="T356" s="699" t="s">
        <v>877</v>
      </c>
      <c r="U356" s="699" t="s">
        <v>1927</v>
      </c>
      <c r="V356" s="699">
        <f>I356</f>
        <v>562</v>
      </c>
      <c r="W356" s="699" t="s">
        <v>877</v>
      </c>
      <c r="X356" s="699">
        <f>V356*S356</f>
        <v>3990.2</v>
      </c>
      <c r="AB356" s="697"/>
      <c r="AC356" s="700"/>
      <c r="AD356" s="697">
        <v>12</v>
      </c>
      <c r="AF356" s="702"/>
      <c r="AG356" s="709">
        <f>(AG355+C18)</f>
        <v>7815.78</v>
      </c>
    </row>
    <row r="357" spans="1:34" ht="24" customHeight="1">
      <c r="A357" s="720" t="e">
        <f t="shared" si="39"/>
        <v>#REF!</v>
      </c>
      <c r="B357" s="722" t="s">
        <v>241</v>
      </c>
      <c r="C357" s="783">
        <v>33.46</v>
      </c>
      <c r="D357" s="784" t="s">
        <v>778</v>
      </c>
      <c r="F357" s="710">
        <v>21.2</v>
      </c>
      <c r="G357" s="708" t="s">
        <v>877</v>
      </c>
      <c r="H357" s="697" t="s">
        <v>321</v>
      </c>
      <c r="I357" s="710">
        <f>(C11)</f>
        <v>461</v>
      </c>
      <c r="J357" s="697" t="s">
        <v>877</v>
      </c>
      <c r="K357" s="710">
        <f>(F357*I357)</f>
        <v>9773.2000000000007</v>
      </c>
      <c r="O357" s="697" t="s">
        <v>822</v>
      </c>
      <c r="S357" s="703">
        <v>21.2</v>
      </c>
      <c r="T357" s="699" t="s">
        <v>877</v>
      </c>
      <c r="U357" s="699" t="s">
        <v>321</v>
      </c>
      <c r="V357" s="699">
        <f>I357</f>
        <v>461</v>
      </c>
      <c r="W357" s="699" t="s">
        <v>877</v>
      </c>
      <c r="X357" s="699">
        <f>V357*S357</f>
        <v>9773.2000000000007</v>
      </c>
      <c r="AB357" s="697"/>
      <c r="AC357" s="700"/>
      <c r="AD357" s="697">
        <v>13</v>
      </c>
      <c r="AF357" s="702"/>
      <c r="AG357" s="709">
        <f>(AG356+C18)</f>
        <v>7959.84</v>
      </c>
    </row>
    <row r="358" spans="1:34" ht="24" customHeight="1">
      <c r="A358" s="720" t="e">
        <f t="shared" si="39"/>
        <v>#REF!</v>
      </c>
      <c r="B358" s="722" t="s">
        <v>2247</v>
      </c>
      <c r="C358" s="783">
        <v>53.62</v>
      </c>
      <c r="D358" s="784" t="s">
        <v>987</v>
      </c>
      <c r="G358" s="708" t="s">
        <v>450</v>
      </c>
      <c r="H358" s="697" t="s">
        <v>451</v>
      </c>
      <c r="J358" s="697" t="s">
        <v>450</v>
      </c>
      <c r="K358" s="710">
        <v>0</v>
      </c>
      <c r="O358" s="705" t="s">
        <v>1609</v>
      </c>
      <c r="T358" s="699" t="s">
        <v>450</v>
      </c>
      <c r="U358" s="699" t="s">
        <v>451</v>
      </c>
      <c r="W358" s="699" t="s">
        <v>450</v>
      </c>
      <c r="X358" s="699">
        <v>0</v>
      </c>
      <c r="AB358" s="733">
        <v>27</v>
      </c>
      <c r="AC358" s="708" t="s">
        <v>2276</v>
      </c>
      <c r="AD358" s="697" t="s">
        <v>3569</v>
      </c>
      <c r="AF358" s="702"/>
    </row>
    <row r="359" spans="1:34" ht="24" customHeight="1">
      <c r="A359" s="720" t="e">
        <f t="shared" si="39"/>
        <v>#REF!</v>
      </c>
      <c r="B359" s="722" t="s">
        <v>981</v>
      </c>
      <c r="C359" s="786"/>
      <c r="D359" s="787"/>
      <c r="K359" s="705" t="s">
        <v>1609</v>
      </c>
      <c r="M359" s="710">
        <v>0.22</v>
      </c>
      <c r="N359" s="697" t="s">
        <v>878</v>
      </c>
      <c r="O359" s="697" t="s">
        <v>1327</v>
      </c>
      <c r="P359" s="710">
        <f>(K37)</f>
        <v>3756.7</v>
      </c>
      <c r="Q359" s="697" t="s">
        <v>878</v>
      </c>
      <c r="R359" s="710">
        <f t="shared" ref="R359:R364" si="40">(M359*P359)</f>
        <v>826.47</v>
      </c>
      <c r="X359" s="705" t="s">
        <v>1609</v>
      </c>
      <c r="AC359" s="700"/>
      <c r="AD359" s="697" t="str">
        <f>AD330</f>
        <v>Bricks of size 23x11.4x7.5 cm</v>
      </c>
      <c r="AF359" s="702"/>
    </row>
    <row r="360" spans="1:34" ht="24" customHeight="1">
      <c r="A360" s="720" t="e">
        <f t="shared" si="39"/>
        <v>#REF!</v>
      </c>
      <c r="B360" s="722" t="s">
        <v>239</v>
      </c>
      <c r="C360" s="783">
        <v>26.16</v>
      </c>
      <c r="D360" s="784" t="s">
        <v>778</v>
      </c>
      <c r="H360" s="697" t="s">
        <v>620</v>
      </c>
      <c r="K360" s="710">
        <f>SUM(K352:K358)</f>
        <v>62528.65</v>
      </c>
      <c r="M360" s="710">
        <v>2.2000000000000002</v>
      </c>
      <c r="N360" s="697" t="s">
        <v>877</v>
      </c>
      <c r="O360" s="697" t="s">
        <v>2034</v>
      </c>
      <c r="P360" s="710">
        <f>(C8)</f>
        <v>861</v>
      </c>
      <c r="Q360" s="697" t="s">
        <v>877</v>
      </c>
      <c r="R360" s="710">
        <f t="shared" si="40"/>
        <v>1894.2</v>
      </c>
      <c r="U360" s="699" t="s">
        <v>620</v>
      </c>
      <c r="X360" s="699">
        <f>SUM(X352:X358)</f>
        <v>65011.49</v>
      </c>
      <c r="AC360" s="700"/>
      <c r="AD360" s="705" t="s">
        <v>1609</v>
      </c>
      <c r="AF360" s="702"/>
    </row>
    <row r="361" spans="1:34" ht="24" customHeight="1">
      <c r="A361" s="720" t="e">
        <f t="shared" si="39"/>
        <v>#REF!</v>
      </c>
      <c r="B361" s="722" t="s">
        <v>240</v>
      </c>
      <c r="C361" s="783">
        <v>34.32</v>
      </c>
      <c r="D361" s="784" t="s">
        <v>778</v>
      </c>
      <c r="K361" s="705" t="s">
        <v>1609</v>
      </c>
      <c r="M361" s="710">
        <v>0.5</v>
      </c>
      <c r="N361" s="697" t="s">
        <v>877</v>
      </c>
      <c r="O361" s="697" t="s">
        <v>1927</v>
      </c>
      <c r="P361" s="710">
        <f>(C10)</f>
        <v>562</v>
      </c>
      <c r="Q361" s="697" t="s">
        <v>877</v>
      </c>
      <c r="R361" s="710">
        <f t="shared" si="40"/>
        <v>281</v>
      </c>
      <c r="X361" s="705" t="s">
        <v>1609</v>
      </c>
      <c r="AB361" s="710">
        <v>4240</v>
      </c>
      <c r="AC361" s="708" t="s">
        <v>1445</v>
      </c>
      <c r="AD361" s="710" t="str">
        <f>AD306</f>
        <v>Bricks of size 23x11.4x7.5 cm</v>
      </c>
      <c r="AE361" s="710">
        <f>AC39</f>
        <v>6786.4</v>
      </c>
      <c r="AF361" s="697" t="s">
        <v>1617</v>
      </c>
      <c r="AG361" s="710">
        <f>(AB361*AE361)/1000</f>
        <v>28774.34</v>
      </c>
    </row>
    <row r="362" spans="1:34" ht="24" customHeight="1">
      <c r="A362" s="720" t="e">
        <f t="shared" si="39"/>
        <v>#REF!</v>
      </c>
      <c r="B362" s="722" t="s">
        <v>241</v>
      </c>
      <c r="C362" s="783">
        <v>40.33</v>
      </c>
      <c r="D362" s="784" t="s">
        <v>778</v>
      </c>
      <c r="H362" s="697" t="s">
        <v>782</v>
      </c>
      <c r="K362" s="710">
        <f>(K360/10)</f>
        <v>6252.87</v>
      </c>
      <c r="M362" s="710">
        <v>1.1000000000000001</v>
      </c>
      <c r="N362" s="697" t="s">
        <v>982</v>
      </c>
      <c r="O362" s="697" t="s">
        <v>983</v>
      </c>
      <c r="P362" s="710">
        <f>(C8)</f>
        <v>861</v>
      </c>
      <c r="Q362" s="697" t="s">
        <v>877</v>
      </c>
      <c r="R362" s="710">
        <f t="shared" si="40"/>
        <v>947.1</v>
      </c>
      <c r="U362" s="699" t="s">
        <v>782</v>
      </c>
      <c r="X362" s="699">
        <f>X360/10</f>
        <v>6501.15</v>
      </c>
      <c r="AB362" s="710">
        <v>2</v>
      </c>
      <c r="AC362" s="708" t="s">
        <v>878</v>
      </c>
      <c r="AD362" s="697" t="s">
        <v>1327</v>
      </c>
      <c r="AE362" s="710">
        <f>V353</f>
        <v>3756.7</v>
      </c>
      <c r="AF362" s="697" t="s">
        <v>878</v>
      </c>
      <c r="AG362" s="710">
        <f>(AB362*AE362)</f>
        <v>7513.4</v>
      </c>
    </row>
    <row r="363" spans="1:34" ht="24" customHeight="1">
      <c r="A363" s="720" t="e">
        <f t="shared" si="39"/>
        <v>#REF!</v>
      </c>
      <c r="B363" s="722" t="s">
        <v>984</v>
      </c>
      <c r="C363" s="786"/>
      <c r="D363" s="784" t="s">
        <v>987</v>
      </c>
      <c r="K363" s="705" t="s">
        <v>2080</v>
      </c>
      <c r="M363" s="710">
        <v>3.2</v>
      </c>
      <c r="N363" s="697" t="s">
        <v>877</v>
      </c>
      <c r="O363" s="697" t="s">
        <v>321</v>
      </c>
      <c r="P363" s="710">
        <f>(C11)</f>
        <v>461</v>
      </c>
      <c r="Q363" s="697" t="s">
        <v>877</v>
      </c>
      <c r="R363" s="710">
        <f t="shared" si="40"/>
        <v>1475.2</v>
      </c>
      <c r="X363" s="747" t="s">
        <v>1242</v>
      </c>
      <c r="AB363" s="710">
        <v>3.5</v>
      </c>
      <c r="AC363" s="708" t="s">
        <v>877</v>
      </c>
      <c r="AD363" s="697" t="s">
        <v>2034</v>
      </c>
      <c r="AE363" s="710">
        <f>V354</f>
        <v>861</v>
      </c>
      <c r="AF363" s="697" t="s">
        <v>877</v>
      </c>
      <c r="AG363" s="710">
        <f>(AB363*AE363)</f>
        <v>3013.5</v>
      </c>
    </row>
    <row r="364" spans="1:34" ht="24" customHeight="1">
      <c r="A364" s="720" t="e">
        <f t="shared" si="39"/>
        <v>#REF!</v>
      </c>
      <c r="B364" s="722" t="s">
        <v>239</v>
      </c>
      <c r="C364" s="783">
        <v>20.329999999999998</v>
      </c>
      <c r="D364" s="784" t="s">
        <v>778</v>
      </c>
      <c r="H364" s="697" t="s">
        <v>386</v>
      </c>
      <c r="J364" s="702">
        <f>K364-K362</f>
        <v>71.400000000000006</v>
      </c>
      <c r="K364" s="710">
        <f>(K362+C17)</f>
        <v>6324.27</v>
      </c>
      <c r="M364" s="710">
        <v>9.8000000000000007</v>
      </c>
      <c r="N364" s="697" t="s">
        <v>1670</v>
      </c>
      <c r="O364" s="697" t="s">
        <v>1671</v>
      </c>
      <c r="P364" s="710">
        <f>(C145)</f>
        <v>143.80000000000001</v>
      </c>
      <c r="Q364" s="697" t="s">
        <v>1670</v>
      </c>
      <c r="R364" s="710">
        <f t="shared" si="40"/>
        <v>1409.24</v>
      </c>
      <c r="U364" s="699" t="s">
        <v>386</v>
      </c>
      <c r="X364" s="699">
        <f>X362+C17</f>
        <v>6572.55</v>
      </c>
      <c r="Y364" s="699">
        <f>X362+X364+X365+X366+X367+X368</f>
        <v>40804.5</v>
      </c>
      <c r="Z364" s="699">
        <f>Y364/6</f>
        <v>6800.75</v>
      </c>
      <c r="AB364" s="710">
        <v>10.6</v>
      </c>
      <c r="AC364" s="708" t="s">
        <v>877</v>
      </c>
      <c r="AD364" s="697" t="s">
        <v>1737</v>
      </c>
      <c r="AE364" s="710">
        <f>V355</f>
        <v>804</v>
      </c>
      <c r="AF364" s="697" t="s">
        <v>877</v>
      </c>
      <c r="AG364" s="710">
        <f>(AB364*AE364)</f>
        <v>8522.4</v>
      </c>
    </row>
    <row r="365" spans="1:34" ht="24" customHeight="1">
      <c r="A365" s="720" t="e">
        <f t="shared" si="39"/>
        <v>#REF!</v>
      </c>
      <c r="B365" s="722" t="s">
        <v>240</v>
      </c>
      <c r="C365" s="783">
        <v>26.6</v>
      </c>
      <c r="D365" s="784" t="s">
        <v>778</v>
      </c>
      <c r="H365" s="697" t="s">
        <v>388</v>
      </c>
      <c r="J365" s="702">
        <f>K365-K364</f>
        <v>144.06</v>
      </c>
      <c r="K365" s="710">
        <f>(K364+C18)</f>
        <v>6468.33</v>
      </c>
      <c r="L365" s="699">
        <f>(K364+K365)/2</f>
        <v>6396.3</v>
      </c>
      <c r="N365" s="697" t="s">
        <v>450</v>
      </c>
      <c r="O365" s="697" t="s">
        <v>451</v>
      </c>
      <c r="P365" s="697" t="s">
        <v>987</v>
      </c>
      <c r="Q365" s="697" t="s">
        <v>450</v>
      </c>
      <c r="R365" s="710">
        <v>0</v>
      </c>
      <c r="U365" s="699" t="s">
        <v>388</v>
      </c>
      <c r="X365" s="699">
        <f>X364+C18</f>
        <v>6716.61</v>
      </c>
      <c r="Y365" s="699">
        <f>SUM(X364:X365)/2</f>
        <v>6644.58</v>
      </c>
      <c r="AB365" s="710">
        <v>7.1</v>
      </c>
      <c r="AC365" s="708" t="s">
        <v>877</v>
      </c>
      <c r="AD365" s="697" t="s">
        <v>1927</v>
      </c>
      <c r="AE365" s="710">
        <f>V356</f>
        <v>562</v>
      </c>
      <c r="AF365" s="697" t="s">
        <v>877</v>
      </c>
      <c r="AG365" s="710">
        <f>(AB365*AE365)</f>
        <v>3990.2</v>
      </c>
      <c r="AH365" s="699">
        <f>(AG374+AG373)/2</f>
        <v>6302.13</v>
      </c>
    </row>
    <row r="366" spans="1:34" ht="24" customHeight="1">
      <c r="A366" s="720" t="e">
        <f t="shared" si="39"/>
        <v>#REF!</v>
      </c>
      <c r="B366" s="722" t="s">
        <v>241</v>
      </c>
      <c r="C366" s="783">
        <v>33.89</v>
      </c>
      <c r="D366" s="784" t="s">
        <v>778</v>
      </c>
      <c r="H366" s="697" t="s">
        <v>2257</v>
      </c>
      <c r="J366" s="702">
        <f>K366-K365</f>
        <v>144.06</v>
      </c>
      <c r="K366" s="710">
        <f>(K365+C19)</f>
        <v>6612.39</v>
      </c>
      <c r="L366" s="699">
        <f>SUM(K364:K366)/3</f>
        <v>6468.33</v>
      </c>
      <c r="R366" s="705" t="s">
        <v>1609</v>
      </c>
      <c r="U366" s="699" t="s">
        <v>2257</v>
      </c>
      <c r="X366" s="699">
        <f>X365+C18</f>
        <v>6860.67</v>
      </c>
      <c r="Y366" s="699">
        <f>SUM(X364:X366)/3</f>
        <v>6716.61</v>
      </c>
      <c r="AB366" s="710">
        <v>21.2</v>
      </c>
      <c r="AC366" s="708" t="s">
        <v>877</v>
      </c>
      <c r="AD366" s="697" t="s">
        <v>321</v>
      </c>
      <c r="AE366" s="710">
        <f>V357</f>
        <v>461</v>
      </c>
      <c r="AF366" s="697" t="s">
        <v>877</v>
      </c>
      <c r="AG366" s="710">
        <f>(AB366*AE366)</f>
        <v>9773.2000000000007</v>
      </c>
      <c r="AH366" s="699">
        <f>SUM(AG373:AG375)/3</f>
        <v>6374.16</v>
      </c>
    </row>
    <row r="367" spans="1:34" ht="24" customHeight="1">
      <c r="A367" s="720" t="e">
        <f t="shared" si="39"/>
        <v>#REF!</v>
      </c>
      <c r="B367" s="722" t="s">
        <v>985</v>
      </c>
      <c r="C367" s="786"/>
      <c r="D367" s="787"/>
      <c r="H367" s="697" t="s">
        <v>380</v>
      </c>
      <c r="J367" s="702">
        <f>K367-K366</f>
        <v>144.06</v>
      </c>
      <c r="K367" s="710">
        <f>K366+C19</f>
        <v>6756.45</v>
      </c>
      <c r="O367" s="697" t="s">
        <v>442</v>
      </c>
      <c r="R367" s="710">
        <f>SUM(R359:R365)</f>
        <v>6833.21</v>
      </c>
      <c r="U367" s="699" t="s">
        <v>380</v>
      </c>
      <c r="X367" s="699">
        <f>X366+C18</f>
        <v>7004.73</v>
      </c>
      <c r="AC367" s="708" t="s">
        <v>450</v>
      </c>
      <c r="AD367" s="697" t="s">
        <v>451</v>
      </c>
      <c r="AF367" s="697" t="s">
        <v>450</v>
      </c>
      <c r="AG367" s="710">
        <v>0</v>
      </c>
    </row>
    <row r="368" spans="1:34" ht="24" customHeight="1">
      <c r="A368" s="720" t="e">
        <f t="shared" si="39"/>
        <v>#REF!</v>
      </c>
      <c r="B368" s="722" t="s">
        <v>239</v>
      </c>
      <c r="C368" s="783">
        <v>13.29</v>
      </c>
      <c r="D368" s="784" t="s">
        <v>778</v>
      </c>
      <c r="H368" s="697" t="s">
        <v>489</v>
      </c>
      <c r="J368" s="702">
        <f>K368-K367</f>
        <v>144.06</v>
      </c>
      <c r="K368" s="710">
        <f>K367+C19</f>
        <v>6900.51</v>
      </c>
      <c r="R368" s="705" t="s">
        <v>1609</v>
      </c>
      <c r="U368" s="699" t="s">
        <v>489</v>
      </c>
      <c r="X368" s="699">
        <f>X367+C18</f>
        <v>7148.79</v>
      </c>
      <c r="AC368" s="700"/>
      <c r="AF368" s="702"/>
      <c r="AG368" s="705" t="s">
        <v>1609</v>
      </c>
    </row>
    <row r="369" spans="1:44" ht="24" customHeight="1">
      <c r="A369" s="720" t="e">
        <f t="shared" si="39"/>
        <v>#REF!</v>
      </c>
      <c r="B369" s="722" t="s">
        <v>240</v>
      </c>
      <c r="C369" s="783">
        <v>18.02</v>
      </c>
      <c r="D369" s="784" t="s">
        <v>778</v>
      </c>
      <c r="H369" s="697" t="s">
        <v>1856</v>
      </c>
      <c r="J369" s="702">
        <f>SUM(K364+K365+K366)/3</f>
        <v>6468.33</v>
      </c>
      <c r="K369" s="710">
        <f>(K364+K365+K366+K367)/4</f>
        <v>6540.36</v>
      </c>
      <c r="O369" s="697" t="s">
        <v>556</v>
      </c>
      <c r="R369" s="710">
        <f>(R367/10)</f>
        <v>683.32</v>
      </c>
      <c r="U369" s="699" t="s">
        <v>1856</v>
      </c>
      <c r="W369" s="699">
        <v>2171.31</v>
      </c>
      <c r="X369" s="699">
        <f>SUM(X364:X367)/4</f>
        <v>6788.64</v>
      </c>
      <c r="AC369" s="700"/>
      <c r="AD369" s="697" t="s">
        <v>620</v>
      </c>
      <c r="AF369" s="702"/>
      <c r="AG369" s="710">
        <f>SUM(AG361:AG367)</f>
        <v>61587.040000000001</v>
      </c>
    </row>
    <row r="370" spans="1:44" ht="24" customHeight="1">
      <c r="A370" s="720" t="e">
        <f t="shared" si="39"/>
        <v>#REF!</v>
      </c>
      <c r="B370" s="722" t="s">
        <v>241</v>
      </c>
      <c r="C370" s="783">
        <v>23.17</v>
      </c>
      <c r="D370" s="784" t="s">
        <v>778</v>
      </c>
      <c r="R370" s="705" t="s">
        <v>2080</v>
      </c>
      <c r="AC370" s="700"/>
      <c r="AF370" s="702"/>
      <c r="AG370" s="705" t="s">
        <v>1609</v>
      </c>
    </row>
    <row r="371" spans="1:44" ht="24" customHeight="1">
      <c r="A371" s="720" t="e">
        <f t="shared" si="39"/>
        <v>#REF!</v>
      </c>
      <c r="B371" s="722" t="s">
        <v>1857</v>
      </c>
      <c r="C371" s="786"/>
      <c r="D371" s="784" t="s">
        <v>987</v>
      </c>
      <c r="H371" s="698" t="s">
        <v>1858</v>
      </c>
      <c r="N371" s="697" t="s">
        <v>2276</v>
      </c>
      <c r="O371" s="697" t="s">
        <v>1859</v>
      </c>
      <c r="U371" s="699" t="s">
        <v>1858</v>
      </c>
      <c r="AC371" s="700"/>
      <c r="AD371" s="697" t="s">
        <v>782</v>
      </c>
      <c r="AF371" s="702"/>
      <c r="AG371" s="710">
        <f>(AG369/10)</f>
        <v>6158.7</v>
      </c>
    </row>
    <row r="372" spans="1:44" ht="24" customHeight="1">
      <c r="A372" s="720" t="e">
        <f t="shared" si="39"/>
        <v>#REF!</v>
      </c>
      <c r="B372" s="722" t="s">
        <v>239</v>
      </c>
      <c r="C372" s="783">
        <v>9</v>
      </c>
      <c r="D372" s="784" t="s">
        <v>778</v>
      </c>
      <c r="H372" s="705" t="s">
        <v>1609</v>
      </c>
      <c r="O372" s="705" t="s">
        <v>1609</v>
      </c>
      <c r="U372" s="699" t="s">
        <v>1609</v>
      </c>
      <c r="AC372" s="700"/>
      <c r="AF372" s="702"/>
      <c r="AG372" s="705" t="s">
        <v>2080</v>
      </c>
    </row>
    <row r="373" spans="1:44" ht="24" customHeight="1">
      <c r="A373" s="720" t="e">
        <f t="shared" si="39"/>
        <v>#REF!</v>
      </c>
      <c r="B373" s="722" t="s">
        <v>240</v>
      </c>
      <c r="C373" s="783">
        <v>11.58</v>
      </c>
      <c r="D373" s="784" t="s">
        <v>778</v>
      </c>
      <c r="F373" s="733">
        <v>10</v>
      </c>
      <c r="G373" s="708" t="s">
        <v>2276</v>
      </c>
      <c r="H373" s="697" t="s">
        <v>2804</v>
      </c>
      <c r="M373" s="710">
        <v>0.05</v>
      </c>
      <c r="N373" s="697" t="s">
        <v>878</v>
      </c>
      <c r="O373" s="697" t="s">
        <v>2029</v>
      </c>
      <c r="P373" s="710">
        <f>(C81)</f>
        <v>1322</v>
      </c>
      <c r="Q373" s="697" t="s">
        <v>878</v>
      </c>
      <c r="R373" s="710">
        <f>(M373*P373)</f>
        <v>66.099999999999994</v>
      </c>
      <c r="S373" s="703">
        <v>10</v>
      </c>
      <c r="T373" s="699" t="s">
        <v>2276</v>
      </c>
      <c r="U373" s="699" t="s">
        <v>1436</v>
      </c>
      <c r="AC373" s="700"/>
      <c r="AD373" s="697" t="s">
        <v>386</v>
      </c>
      <c r="AF373" s="702"/>
      <c r="AG373" s="710">
        <f>(AG371+C17)</f>
        <v>6230.1</v>
      </c>
    </row>
    <row r="374" spans="1:44" ht="24" customHeight="1">
      <c r="A374" s="720" t="e">
        <f t="shared" si="39"/>
        <v>#REF!</v>
      </c>
      <c r="B374" s="722" t="s">
        <v>241</v>
      </c>
      <c r="C374" s="783">
        <v>14.15</v>
      </c>
      <c r="D374" s="784" t="s">
        <v>778</v>
      </c>
      <c r="H374" s="710" t="str">
        <f>H306</f>
        <v>Bricks of size 22x11x7 cm</v>
      </c>
      <c r="M374" s="710">
        <v>1.1000000000000001</v>
      </c>
      <c r="N374" s="697" t="s">
        <v>877</v>
      </c>
      <c r="O374" s="697" t="s">
        <v>1737</v>
      </c>
      <c r="P374" s="710">
        <f>(C9)</f>
        <v>804</v>
      </c>
      <c r="Q374" s="697" t="s">
        <v>877</v>
      </c>
      <c r="R374" s="710">
        <f>(M374*P374)</f>
        <v>884.4</v>
      </c>
      <c r="U374" s="699" t="s">
        <v>427</v>
      </c>
      <c r="AC374" s="700"/>
      <c r="AD374" s="697" t="s">
        <v>388</v>
      </c>
      <c r="AF374" s="702"/>
      <c r="AG374" s="710">
        <f>(AG373+C18)</f>
        <v>6374.16</v>
      </c>
    </row>
    <row r="375" spans="1:44" ht="24" customHeight="1">
      <c r="A375" s="720" t="e">
        <f t="shared" si="39"/>
        <v>#REF!</v>
      </c>
      <c r="B375" s="722" t="s">
        <v>1860</v>
      </c>
      <c r="C375" s="786"/>
      <c r="D375" s="787"/>
      <c r="H375" s="705" t="s">
        <v>1609</v>
      </c>
      <c r="M375" s="710">
        <v>0.3</v>
      </c>
      <c r="N375" s="697" t="s">
        <v>877</v>
      </c>
      <c r="O375" s="697" t="s">
        <v>1927</v>
      </c>
      <c r="P375" s="710">
        <f>(C10)</f>
        <v>562</v>
      </c>
      <c r="Q375" s="697" t="s">
        <v>877</v>
      </c>
      <c r="R375" s="710">
        <f>(M375*P375)</f>
        <v>168.6</v>
      </c>
      <c r="U375" s="699" t="s">
        <v>1609</v>
      </c>
      <c r="AC375" s="700"/>
      <c r="AD375" s="697" t="s">
        <v>2257</v>
      </c>
      <c r="AF375" s="702"/>
      <c r="AG375" s="710">
        <f>(AG374+C18)</f>
        <v>6518.22</v>
      </c>
    </row>
    <row r="376" spans="1:44" ht="24" customHeight="1">
      <c r="A376" s="720" t="e">
        <f t="shared" si="39"/>
        <v>#REF!</v>
      </c>
      <c r="B376" s="722" t="s">
        <v>239</v>
      </c>
      <c r="C376" s="783">
        <v>4.29</v>
      </c>
      <c r="D376" s="784" t="s">
        <v>778</v>
      </c>
      <c r="F376" s="710">
        <f>F308</f>
        <v>4800</v>
      </c>
      <c r="G376" s="708" t="s">
        <v>1445</v>
      </c>
      <c r="H376" s="710" t="str">
        <f>H306</f>
        <v>Bricks of size 22x11x7 cm</v>
      </c>
      <c r="I376" s="710">
        <f>(C77)</f>
        <v>5799.5</v>
      </c>
      <c r="J376" s="697" t="s">
        <v>1617</v>
      </c>
      <c r="K376" s="710">
        <f>(F376*I376)/1000</f>
        <v>27837.599999999999</v>
      </c>
      <c r="M376" s="710">
        <v>1.9</v>
      </c>
      <c r="N376" s="697" t="s">
        <v>877</v>
      </c>
      <c r="O376" s="697" t="s">
        <v>321</v>
      </c>
      <c r="P376" s="710">
        <f>(C11)</f>
        <v>461</v>
      </c>
      <c r="Q376" s="697" t="s">
        <v>877</v>
      </c>
      <c r="R376" s="710">
        <f>(M376*P376)</f>
        <v>875.9</v>
      </c>
      <c r="S376" s="703">
        <v>4600</v>
      </c>
      <c r="T376" s="699" t="s">
        <v>1445</v>
      </c>
      <c r="U376" s="699" t="s">
        <v>427</v>
      </c>
      <c r="V376" s="699">
        <f>AC38</f>
        <v>6591.4</v>
      </c>
      <c r="W376" s="699" t="s">
        <v>1617</v>
      </c>
      <c r="X376" s="699">
        <f>S376*V376/1000</f>
        <v>30320.44</v>
      </c>
      <c r="AC376" s="700"/>
      <c r="AD376" s="697" t="s">
        <v>380</v>
      </c>
      <c r="AF376" s="702"/>
      <c r="AG376" s="710">
        <f>AG375+C18</f>
        <v>6662.28</v>
      </c>
    </row>
    <row r="377" spans="1:44" ht="24" customHeight="1">
      <c r="A377" s="720" t="e">
        <f t="shared" si="39"/>
        <v>#REF!</v>
      </c>
      <c r="B377" s="722" t="s">
        <v>240</v>
      </c>
      <c r="C377" s="783">
        <v>6.01</v>
      </c>
      <c r="D377" s="784" t="s">
        <v>778</v>
      </c>
      <c r="F377" s="710">
        <v>1.59</v>
      </c>
      <c r="G377" s="708" t="s">
        <v>878</v>
      </c>
      <c r="H377" s="697" t="s">
        <v>1327</v>
      </c>
      <c r="I377" s="710">
        <f>(K37)</f>
        <v>3756.7</v>
      </c>
      <c r="J377" s="697" t="s">
        <v>878</v>
      </c>
      <c r="K377" s="710">
        <f>(F377*I377)</f>
        <v>5973.15</v>
      </c>
      <c r="N377" s="697" t="s">
        <v>450</v>
      </c>
      <c r="O377" s="697" t="s">
        <v>1861</v>
      </c>
      <c r="P377" s="697" t="s">
        <v>987</v>
      </c>
      <c r="Q377" s="697" t="s">
        <v>450</v>
      </c>
      <c r="R377" s="710">
        <v>1.46</v>
      </c>
      <c r="S377" s="703">
        <v>1.59</v>
      </c>
      <c r="T377" s="699" t="s">
        <v>878</v>
      </c>
      <c r="U377" s="699" t="s">
        <v>1327</v>
      </c>
      <c r="V377" s="699">
        <f>I377</f>
        <v>3756.7</v>
      </c>
      <c r="W377" s="699" t="s">
        <v>878</v>
      </c>
      <c r="X377" s="699">
        <f>V377*S377</f>
        <v>5973.15</v>
      </c>
      <c r="AC377" s="700"/>
      <c r="AD377" s="697" t="s">
        <v>489</v>
      </c>
      <c r="AF377" s="702"/>
      <c r="AG377" s="710">
        <f>AG376+C18</f>
        <v>6806.34</v>
      </c>
    </row>
    <row r="378" spans="1:44" ht="24" customHeight="1">
      <c r="A378" s="720" t="e">
        <f t="shared" si="39"/>
        <v>#REF!</v>
      </c>
      <c r="B378" s="722" t="s">
        <v>241</v>
      </c>
      <c r="C378" s="783">
        <v>6.86</v>
      </c>
      <c r="D378" s="784" t="s">
        <v>778</v>
      </c>
      <c r="F378" s="710">
        <v>7</v>
      </c>
      <c r="G378" s="708" t="s">
        <v>877</v>
      </c>
      <c r="H378" s="697" t="s">
        <v>2034</v>
      </c>
      <c r="I378" s="710">
        <f>(C8)</f>
        <v>861</v>
      </c>
      <c r="J378" s="697" t="s">
        <v>877</v>
      </c>
      <c r="K378" s="710">
        <f>(F378*I378)</f>
        <v>6027</v>
      </c>
      <c r="R378" s="705" t="s">
        <v>1609</v>
      </c>
      <c r="S378" s="703">
        <v>7</v>
      </c>
      <c r="T378" s="699" t="s">
        <v>877</v>
      </c>
      <c r="U378" s="699" t="s">
        <v>2034</v>
      </c>
      <c r="V378" s="699">
        <f>I378</f>
        <v>861</v>
      </c>
      <c r="W378" s="699" t="s">
        <v>877</v>
      </c>
      <c r="X378" s="699">
        <f>V378*S378</f>
        <v>6027</v>
      </c>
      <c r="AC378" s="700"/>
      <c r="AD378" s="697" t="s">
        <v>1856</v>
      </c>
      <c r="AF378" s="702"/>
      <c r="AG378" s="710">
        <f>(AG373+AG374+AG375+AG376)/4</f>
        <v>6446.19</v>
      </c>
    </row>
    <row r="379" spans="1:44" ht="24" customHeight="1">
      <c r="A379" s="720" t="e">
        <f t="shared" si="39"/>
        <v>#REF!</v>
      </c>
      <c r="B379" s="722" t="s">
        <v>1862</v>
      </c>
      <c r="C379" s="786"/>
      <c r="D379" s="784" t="s">
        <v>987</v>
      </c>
      <c r="F379" s="710">
        <v>7.1</v>
      </c>
      <c r="G379" s="708" t="s">
        <v>877</v>
      </c>
      <c r="H379" s="697" t="s">
        <v>1737</v>
      </c>
      <c r="I379" s="710">
        <f>(C9)</f>
        <v>804</v>
      </c>
      <c r="J379" s="697" t="s">
        <v>877</v>
      </c>
      <c r="K379" s="710">
        <f>(F379*I379)</f>
        <v>5708.4</v>
      </c>
      <c r="O379" s="697" t="s">
        <v>1863</v>
      </c>
      <c r="R379" s="710">
        <f>SUM(R372:R377)</f>
        <v>1996.46</v>
      </c>
      <c r="S379" s="703">
        <v>7.1</v>
      </c>
      <c r="T379" s="699" t="s">
        <v>877</v>
      </c>
      <c r="U379" s="699" t="s">
        <v>1737</v>
      </c>
      <c r="V379" s="699">
        <f>I379</f>
        <v>804</v>
      </c>
      <c r="W379" s="699" t="s">
        <v>877</v>
      </c>
      <c r="X379" s="699">
        <f>V379*S379</f>
        <v>5708.4</v>
      </c>
      <c r="AC379" s="700"/>
      <c r="AF379" s="702"/>
    </row>
    <row r="380" spans="1:44" ht="24" customHeight="1">
      <c r="A380" s="720" t="e">
        <f t="shared" si="39"/>
        <v>#REF!</v>
      </c>
      <c r="B380" s="722" t="s">
        <v>239</v>
      </c>
      <c r="C380" s="783">
        <v>14.91</v>
      </c>
      <c r="D380" s="784" t="s">
        <v>778</v>
      </c>
      <c r="F380" s="710">
        <v>7.1</v>
      </c>
      <c r="G380" s="708" t="s">
        <v>877</v>
      </c>
      <c r="H380" s="697" t="s">
        <v>1927</v>
      </c>
      <c r="I380" s="710">
        <f>(C10)</f>
        <v>562</v>
      </c>
      <c r="J380" s="697" t="s">
        <v>877</v>
      </c>
      <c r="K380" s="710">
        <f>(F380*I380)</f>
        <v>3990.2</v>
      </c>
      <c r="R380" s="705" t="s">
        <v>1609</v>
      </c>
      <c r="S380" s="703">
        <v>7.1</v>
      </c>
      <c r="T380" s="699" t="s">
        <v>877</v>
      </c>
      <c r="U380" s="699" t="s">
        <v>1927</v>
      </c>
      <c r="V380" s="699">
        <f>I380</f>
        <v>562</v>
      </c>
      <c r="W380" s="699" t="s">
        <v>877</v>
      </c>
      <c r="X380" s="699">
        <f>V380*S380</f>
        <v>3990.2</v>
      </c>
      <c r="AC380" s="700"/>
      <c r="AD380" s="698" t="s">
        <v>1858</v>
      </c>
      <c r="AF380" s="702"/>
    </row>
    <row r="381" spans="1:44" ht="24" customHeight="1">
      <c r="A381" s="720" t="e">
        <f t="shared" si="39"/>
        <v>#REF!</v>
      </c>
      <c r="B381" s="722" t="s">
        <v>240</v>
      </c>
      <c r="C381" s="783">
        <v>17.579999999999998</v>
      </c>
      <c r="D381" s="784" t="s">
        <v>778</v>
      </c>
      <c r="F381" s="710">
        <v>21.2</v>
      </c>
      <c r="G381" s="708" t="s">
        <v>877</v>
      </c>
      <c r="H381" s="697" t="s">
        <v>321</v>
      </c>
      <c r="I381" s="710">
        <f>(C11)</f>
        <v>461</v>
      </c>
      <c r="J381" s="697" t="s">
        <v>877</v>
      </c>
      <c r="K381" s="710">
        <f>(F381*I381)</f>
        <v>9773.2000000000007</v>
      </c>
      <c r="O381" s="697" t="s">
        <v>556</v>
      </c>
      <c r="R381" s="710">
        <f>(R379/100)</f>
        <v>19.96</v>
      </c>
      <c r="S381" s="703">
        <v>21.2</v>
      </c>
      <c r="T381" s="699" t="s">
        <v>877</v>
      </c>
      <c r="U381" s="699" t="s">
        <v>321</v>
      </c>
      <c r="V381" s="699">
        <f>I381</f>
        <v>461</v>
      </c>
      <c r="W381" s="699" t="s">
        <v>877</v>
      </c>
      <c r="X381" s="699">
        <f>V381*S381</f>
        <v>9773.2000000000007</v>
      </c>
      <c r="AC381" s="700"/>
      <c r="AD381" s="705" t="s">
        <v>1609</v>
      </c>
      <c r="AF381" s="702"/>
    </row>
    <row r="382" spans="1:44" ht="24" customHeight="1">
      <c r="A382" s="720" t="e">
        <f t="shared" si="39"/>
        <v>#REF!</v>
      </c>
      <c r="B382" s="722" t="s">
        <v>241</v>
      </c>
      <c r="C382" s="783">
        <v>19.3</v>
      </c>
      <c r="D382" s="784" t="s">
        <v>778</v>
      </c>
      <c r="G382" s="708" t="s">
        <v>450</v>
      </c>
      <c r="H382" s="697" t="s">
        <v>451</v>
      </c>
      <c r="I382" s="697" t="s">
        <v>987</v>
      </c>
      <c r="J382" s="697" t="s">
        <v>450</v>
      </c>
      <c r="K382" s="710">
        <v>0</v>
      </c>
      <c r="R382" s="705" t="s">
        <v>2080</v>
      </c>
      <c r="T382" s="699" t="s">
        <v>450</v>
      </c>
      <c r="U382" s="699" t="s">
        <v>451</v>
      </c>
      <c r="V382" s="699" t="s">
        <v>987</v>
      </c>
      <c r="W382" s="699" t="s">
        <v>450</v>
      </c>
      <c r="X382" s="699">
        <v>0</v>
      </c>
      <c r="AB382" s="733">
        <v>10</v>
      </c>
      <c r="AC382" s="708" t="s">
        <v>2276</v>
      </c>
      <c r="AD382" s="697" t="s">
        <v>823</v>
      </c>
      <c r="AF382" s="702"/>
      <c r="AN382" s="10"/>
      <c r="AO382" s="7" t="s">
        <v>2276</v>
      </c>
      <c r="AP382" s="1" t="s">
        <v>4877</v>
      </c>
      <c r="AR382" s="9"/>
    </row>
    <row r="383" spans="1:44" ht="24" customHeight="1">
      <c r="A383" s="720" t="e">
        <f t="shared" si="39"/>
        <v>#REF!</v>
      </c>
      <c r="B383" s="722" t="s">
        <v>1131</v>
      </c>
      <c r="C383" s="786"/>
      <c r="D383" s="787"/>
      <c r="K383" s="705" t="s">
        <v>1609</v>
      </c>
      <c r="X383" s="747" t="s">
        <v>429</v>
      </c>
      <c r="AC383" s="700"/>
      <c r="AD383" s="710" t="str">
        <f>AD306</f>
        <v>Bricks of size 23x11.4x7.5 cm</v>
      </c>
      <c r="AF383" s="702"/>
      <c r="AO383" s="3"/>
      <c r="AP383" s="8"/>
      <c r="AR383" s="9"/>
    </row>
    <row r="384" spans="1:44" ht="24" customHeight="1">
      <c r="A384" s="720" t="e">
        <f t="shared" si="39"/>
        <v>#REF!</v>
      </c>
      <c r="B384" s="722" t="s">
        <v>239</v>
      </c>
      <c r="C384" s="783">
        <v>15.87</v>
      </c>
      <c r="D384" s="784" t="s">
        <v>778</v>
      </c>
      <c r="H384" s="697" t="s">
        <v>620</v>
      </c>
      <c r="K384" s="710">
        <f>SUM(K376:K382)</f>
        <v>59309.55</v>
      </c>
      <c r="U384" s="699" t="s">
        <v>620</v>
      </c>
      <c r="X384" s="699">
        <f>SUM(X376:X383)</f>
        <v>61792.39</v>
      </c>
      <c r="AC384" s="700"/>
      <c r="AD384" s="705" t="s">
        <v>1609</v>
      </c>
      <c r="AF384" s="702"/>
      <c r="AO384" s="3"/>
      <c r="AP384" s="5" t="s">
        <v>1609</v>
      </c>
      <c r="AR384" s="9"/>
    </row>
    <row r="385" spans="1:45" ht="35.25" customHeight="1">
      <c r="A385" s="720" t="e">
        <f t="shared" si="39"/>
        <v>#REF!</v>
      </c>
      <c r="B385" s="722" t="s">
        <v>240</v>
      </c>
      <c r="C385" s="783">
        <v>20.16</v>
      </c>
      <c r="D385" s="784" t="s">
        <v>778</v>
      </c>
      <c r="K385" s="705" t="s">
        <v>1609</v>
      </c>
      <c r="N385" s="697" t="s">
        <v>681</v>
      </c>
      <c r="O385" s="697" t="s">
        <v>1132</v>
      </c>
      <c r="X385" s="747" t="s">
        <v>429</v>
      </c>
      <c r="AB385" s="710">
        <f>AB308</f>
        <v>4240</v>
      </c>
      <c r="AC385" s="708" t="s">
        <v>1445</v>
      </c>
      <c r="AD385" s="710" t="str">
        <f>AD306</f>
        <v>Bricks of size 23x11.4x7.5 cm</v>
      </c>
      <c r="AE385" s="710">
        <f>AC39</f>
        <v>6786.4</v>
      </c>
      <c r="AF385" s="697" t="s">
        <v>1617</v>
      </c>
      <c r="AG385" s="710">
        <f>(AB385*AE385)/1000</f>
        <v>28774.34</v>
      </c>
      <c r="AN385" s="8">
        <v>91</v>
      </c>
      <c r="AO385" s="7" t="s">
        <v>1445</v>
      </c>
      <c r="AP385" s="648" t="s">
        <v>4878</v>
      </c>
      <c r="AQ385" s="258">
        <v>45.35</v>
      </c>
      <c r="AR385" s="1" t="s">
        <v>1418</v>
      </c>
      <c r="AS385" s="8">
        <f>(AN385*AQ385)</f>
        <v>4126.8500000000004</v>
      </c>
    </row>
    <row r="386" spans="1:45" ht="24" customHeight="1">
      <c r="A386" s="720" t="e">
        <f t="shared" si="39"/>
        <v>#REF!</v>
      </c>
      <c r="B386" s="722" t="s">
        <v>241</v>
      </c>
      <c r="C386" s="783">
        <v>22.31</v>
      </c>
      <c r="D386" s="784" t="s">
        <v>778</v>
      </c>
      <c r="H386" s="697" t="s">
        <v>782</v>
      </c>
      <c r="K386" s="710">
        <f>(K384/10)</f>
        <v>5930.96</v>
      </c>
      <c r="O386" s="705" t="s">
        <v>1609</v>
      </c>
      <c r="U386" s="699" t="s">
        <v>782</v>
      </c>
      <c r="X386" s="699">
        <f>X384/10</f>
        <v>6179.24</v>
      </c>
      <c r="AB386" s="710">
        <v>1.27</v>
      </c>
      <c r="AC386" s="708" t="s">
        <v>878</v>
      </c>
      <c r="AD386" s="697" t="s">
        <v>1327</v>
      </c>
      <c r="AE386" s="710">
        <f>V377</f>
        <v>3756.7</v>
      </c>
      <c r="AF386" s="697" t="s">
        <v>878</v>
      </c>
      <c r="AG386" s="710">
        <f>(AB386*AE386)</f>
        <v>4771.01</v>
      </c>
      <c r="AN386" s="8">
        <v>0.11</v>
      </c>
      <c r="AO386" s="7" t="s">
        <v>878</v>
      </c>
      <c r="AP386" s="1" t="s">
        <v>1327</v>
      </c>
      <c r="AQ386" s="8">
        <f>AE386</f>
        <v>3756.7</v>
      </c>
      <c r="AR386" s="1" t="s">
        <v>878</v>
      </c>
      <c r="AS386" s="8">
        <f>(AN386*AQ386)</f>
        <v>413.24</v>
      </c>
    </row>
    <row r="387" spans="1:45" ht="24" customHeight="1">
      <c r="A387" s="720" t="e">
        <f t="shared" si="39"/>
        <v>#REF!</v>
      </c>
      <c r="B387" s="722" t="s">
        <v>2252</v>
      </c>
      <c r="C387" s="782"/>
      <c r="D387" s="781" t="s">
        <v>987</v>
      </c>
      <c r="K387" s="705" t="s">
        <v>2080</v>
      </c>
      <c r="M387" s="710">
        <v>7.0000000000000007E-2</v>
      </c>
      <c r="N387" s="697" t="s">
        <v>878</v>
      </c>
      <c r="O387" s="697" t="s">
        <v>2029</v>
      </c>
      <c r="P387" s="710">
        <f>(C81)</f>
        <v>1322</v>
      </c>
      <c r="Q387" s="697" t="s">
        <v>878</v>
      </c>
      <c r="R387" s="710">
        <f>(M387*P387)</f>
        <v>92.54</v>
      </c>
      <c r="X387" s="747" t="s">
        <v>34</v>
      </c>
      <c r="AB387" s="710">
        <v>7</v>
      </c>
      <c r="AC387" s="708" t="s">
        <v>877</v>
      </c>
      <c r="AD387" s="697" t="s">
        <v>2034</v>
      </c>
      <c r="AE387" s="710">
        <f>V378</f>
        <v>861</v>
      </c>
      <c r="AF387" s="697" t="s">
        <v>877</v>
      </c>
      <c r="AG387" s="710">
        <f>(AB387*AE387)</f>
        <v>6027</v>
      </c>
      <c r="AN387" s="8">
        <v>1.25</v>
      </c>
      <c r="AO387" s="7" t="s">
        <v>877</v>
      </c>
      <c r="AP387" s="1" t="s">
        <v>2034</v>
      </c>
      <c r="AQ387" s="8">
        <f>AE387</f>
        <v>861</v>
      </c>
      <c r="AR387" s="1" t="s">
        <v>877</v>
      </c>
      <c r="AS387" s="8">
        <f>(AN387*AQ387)</f>
        <v>1076.25</v>
      </c>
    </row>
    <row r="388" spans="1:45" ht="24" customHeight="1">
      <c r="A388" s="720" t="e">
        <f t="shared" si="39"/>
        <v>#REF!</v>
      </c>
      <c r="B388" s="697" t="s">
        <v>4957</v>
      </c>
      <c r="C388" s="718">
        <v>69.8</v>
      </c>
      <c r="D388" s="722" t="s">
        <v>1796</v>
      </c>
      <c r="M388" s="710">
        <v>1.6</v>
      </c>
      <c r="N388" s="697" t="s">
        <v>877</v>
      </c>
      <c r="O388" s="697" t="s">
        <v>1737</v>
      </c>
      <c r="P388" s="710">
        <f>(C9)</f>
        <v>804</v>
      </c>
      <c r="Q388" s="697" t="s">
        <v>877</v>
      </c>
      <c r="R388" s="710">
        <f>(M388*P388)</f>
        <v>1286.4000000000001</v>
      </c>
      <c r="AB388" s="710">
        <v>7.1</v>
      </c>
      <c r="AC388" s="708" t="s">
        <v>877</v>
      </c>
      <c r="AD388" s="697" t="s">
        <v>1737</v>
      </c>
      <c r="AE388" s="710">
        <f>V379</f>
        <v>804</v>
      </c>
      <c r="AF388" s="697" t="s">
        <v>877</v>
      </c>
      <c r="AG388" s="710">
        <f>(AB388*AE388)</f>
        <v>5708.4</v>
      </c>
      <c r="AN388" s="8"/>
      <c r="AO388" s="7"/>
      <c r="AP388" s="1"/>
      <c r="AQ388" s="8"/>
      <c r="AR388" s="1"/>
      <c r="AS388" s="8"/>
    </row>
    <row r="389" spans="1:45" ht="24" customHeight="1">
      <c r="A389" s="720" t="e">
        <f t="shared" si="39"/>
        <v>#REF!</v>
      </c>
      <c r="B389" s="722" t="s">
        <v>1134</v>
      </c>
      <c r="C389" s="718">
        <v>98.6</v>
      </c>
      <c r="D389" s="722" t="s">
        <v>1796</v>
      </c>
      <c r="G389" s="708" t="s">
        <v>681</v>
      </c>
      <c r="H389" s="697" t="s">
        <v>2964</v>
      </c>
      <c r="M389" s="710">
        <v>0.5</v>
      </c>
      <c r="N389" s="697" t="s">
        <v>877</v>
      </c>
      <c r="O389" s="697" t="s">
        <v>1927</v>
      </c>
      <c r="P389" s="710">
        <f>(C10)</f>
        <v>562</v>
      </c>
      <c r="Q389" s="697" t="s">
        <v>877</v>
      </c>
      <c r="R389" s="710">
        <f>(M389*P389)</f>
        <v>281</v>
      </c>
      <c r="T389" s="699" t="s">
        <v>681</v>
      </c>
      <c r="U389" s="699" t="s">
        <v>430</v>
      </c>
      <c r="AB389" s="710">
        <v>7.1</v>
      </c>
      <c r="AC389" s="708" t="s">
        <v>877</v>
      </c>
      <c r="AD389" s="697" t="s">
        <v>1927</v>
      </c>
      <c r="AE389" s="710">
        <f>V380</f>
        <v>562</v>
      </c>
      <c r="AF389" s="697" t="s">
        <v>877</v>
      </c>
      <c r="AG389" s="710">
        <f>(AB389*AE389)</f>
        <v>3990.2</v>
      </c>
      <c r="AN389" s="8">
        <v>0.88</v>
      </c>
      <c r="AO389" s="7" t="s">
        <v>877</v>
      </c>
      <c r="AP389" s="1" t="s">
        <v>1927</v>
      </c>
      <c r="AQ389" s="8">
        <f>AE389</f>
        <v>562</v>
      </c>
      <c r="AR389" s="1" t="s">
        <v>877</v>
      </c>
      <c r="AS389" s="8">
        <f>(AN389*AQ389)</f>
        <v>494.56</v>
      </c>
    </row>
    <row r="390" spans="1:45" ht="24" customHeight="1">
      <c r="A390" s="720" t="e">
        <f t="shared" si="39"/>
        <v>#REF!</v>
      </c>
      <c r="B390" s="722" t="s">
        <v>1135</v>
      </c>
      <c r="C390" s="718">
        <v>128</v>
      </c>
      <c r="D390" s="722" t="s">
        <v>1796</v>
      </c>
      <c r="H390" s="705" t="s">
        <v>1609</v>
      </c>
      <c r="M390" s="710">
        <v>2.7</v>
      </c>
      <c r="N390" s="697" t="s">
        <v>877</v>
      </c>
      <c r="O390" s="697" t="s">
        <v>321</v>
      </c>
      <c r="P390" s="710">
        <f>(C11)</f>
        <v>461</v>
      </c>
      <c r="Q390" s="697" t="s">
        <v>877</v>
      </c>
      <c r="R390" s="710">
        <f>(M390*P390)</f>
        <v>1244.7</v>
      </c>
      <c r="U390" s="699" t="s">
        <v>1609</v>
      </c>
      <c r="AB390" s="710">
        <v>21.2</v>
      </c>
      <c r="AC390" s="708" t="s">
        <v>877</v>
      </c>
      <c r="AD390" s="697" t="s">
        <v>321</v>
      </c>
      <c r="AE390" s="710">
        <f>V381</f>
        <v>461</v>
      </c>
      <c r="AF390" s="697" t="s">
        <v>877</v>
      </c>
      <c r="AG390" s="710">
        <f>(AB390*AE390)</f>
        <v>9773.2000000000007</v>
      </c>
      <c r="AN390" s="8">
        <v>0.88</v>
      </c>
      <c r="AO390" s="7" t="s">
        <v>877</v>
      </c>
      <c r="AP390" s="1" t="s">
        <v>321</v>
      </c>
      <c r="AQ390" s="8">
        <f>AE390</f>
        <v>461</v>
      </c>
      <c r="AR390" s="1" t="s">
        <v>877</v>
      </c>
      <c r="AS390" s="8">
        <f>(AN390*AQ390)</f>
        <v>405.68</v>
      </c>
    </row>
    <row r="391" spans="1:45" ht="24" customHeight="1">
      <c r="A391" s="720" t="e">
        <f t="shared" si="39"/>
        <v>#REF!</v>
      </c>
      <c r="B391" s="722" t="s">
        <v>1136</v>
      </c>
      <c r="C391" s="718">
        <v>151.4</v>
      </c>
      <c r="D391" s="722" t="s">
        <v>1796</v>
      </c>
      <c r="F391" s="710">
        <v>1.1000000000000001</v>
      </c>
      <c r="G391" s="708" t="s">
        <v>878</v>
      </c>
      <c r="H391" s="697" t="s">
        <v>1137</v>
      </c>
      <c r="I391" s="710">
        <f>(K386)</f>
        <v>5930.96</v>
      </c>
      <c r="J391" s="697" t="s">
        <v>878</v>
      </c>
      <c r="K391" s="710">
        <f>(F391*I391)</f>
        <v>6524.06</v>
      </c>
      <c r="N391" s="697" t="s">
        <v>450</v>
      </c>
      <c r="O391" s="697" t="s">
        <v>1861</v>
      </c>
      <c r="P391" s="697" t="s">
        <v>987</v>
      </c>
      <c r="Q391" s="697" t="s">
        <v>450</v>
      </c>
      <c r="R391" s="710">
        <v>2.09</v>
      </c>
      <c r="S391" s="703">
        <v>1.1200000000000001</v>
      </c>
      <c r="T391" s="699" t="s">
        <v>878</v>
      </c>
      <c r="U391" s="699" t="s">
        <v>1137</v>
      </c>
      <c r="V391" s="699">
        <f>X386</f>
        <v>6179.24</v>
      </c>
      <c r="W391" s="699" t="s">
        <v>878</v>
      </c>
      <c r="X391" s="699">
        <f>V391*S391</f>
        <v>6920.75</v>
      </c>
      <c r="AC391" s="708" t="s">
        <v>450</v>
      </c>
      <c r="AD391" s="697" t="s">
        <v>451</v>
      </c>
      <c r="AE391" s="697" t="s">
        <v>987</v>
      </c>
      <c r="AF391" s="697" t="s">
        <v>450</v>
      </c>
      <c r="AG391" s="710">
        <v>0</v>
      </c>
      <c r="AO391" s="7" t="s">
        <v>450</v>
      </c>
      <c r="AP391" s="1" t="s">
        <v>451</v>
      </c>
      <c r="AQ391" s="1" t="s">
        <v>987</v>
      </c>
      <c r="AR391" s="1" t="s">
        <v>450</v>
      </c>
      <c r="AS391" s="8">
        <v>0</v>
      </c>
    </row>
    <row r="392" spans="1:45" ht="24" customHeight="1">
      <c r="A392" s="720" t="e">
        <f t="shared" si="39"/>
        <v>#REF!</v>
      </c>
      <c r="B392" s="722" t="s">
        <v>1138</v>
      </c>
      <c r="C392" s="718">
        <v>163</v>
      </c>
      <c r="D392" s="722" t="s">
        <v>1796</v>
      </c>
      <c r="F392" s="710">
        <v>1</v>
      </c>
      <c r="G392" s="708" t="s">
        <v>778</v>
      </c>
      <c r="H392" s="697" t="s">
        <v>2034</v>
      </c>
      <c r="I392" s="710">
        <f>(C8)</f>
        <v>861</v>
      </c>
      <c r="J392" s="697" t="s">
        <v>877</v>
      </c>
      <c r="K392" s="710">
        <f>(F392*I392)</f>
        <v>861</v>
      </c>
      <c r="R392" s="705" t="s">
        <v>1609</v>
      </c>
      <c r="S392" s="703">
        <v>1</v>
      </c>
      <c r="T392" s="699" t="s">
        <v>778</v>
      </c>
      <c r="U392" s="699" t="s">
        <v>2034</v>
      </c>
      <c r="V392" s="699">
        <f>I392</f>
        <v>861</v>
      </c>
      <c r="W392" s="699" t="s">
        <v>877</v>
      </c>
      <c r="X392" s="699">
        <f>V392*S392</f>
        <v>861</v>
      </c>
      <c r="AC392" s="700"/>
      <c r="AF392" s="702"/>
      <c r="AG392" s="705" t="s">
        <v>1609</v>
      </c>
      <c r="AO392" s="3"/>
      <c r="AR392" s="9"/>
      <c r="AS392" s="5" t="s">
        <v>1609</v>
      </c>
    </row>
    <row r="393" spans="1:45" ht="24" customHeight="1">
      <c r="A393" s="720" t="e">
        <f t="shared" si="39"/>
        <v>#REF!</v>
      </c>
      <c r="B393" s="722" t="s">
        <v>239</v>
      </c>
      <c r="C393" s="718">
        <v>209</v>
      </c>
      <c r="D393" s="722" t="s">
        <v>1796</v>
      </c>
      <c r="G393" s="708" t="s">
        <v>450</v>
      </c>
      <c r="H393" s="697" t="s">
        <v>451</v>
      </c>
      <c r="I393" s="697" t="s">
        <v>987</v>
      </c>
      <c r="J393" s="697" t="s">
        <v>450</v>
      </c>
      <c r="K393" s="710">
        <v>0</v>
      </c>
      <c r="O393" s="697" t="s">
        <v>1863</v>
      </c>
      <c r="R393" s="710">
        <f>SUM(R386:R391)</f>
        <v>2906.73</v>
      </c>
      <c r="T393" s="699" t="s">
        <v>450</v>
      </c>
      <c r="U393" s="699" t="s">
        <v>451</v>
      </c>
      <c r="V393" s="699" t="s">
        <v>987</v>
      </c>
      <c r="W393" s="699" t="s">
        <v>450</v>
      </c>
      <c r="X393" s="699">
        <v>0</v>
      </c>
      <c r="AC393" s="700"/>
      <c r="AD393" s="697" t="s">
        <v>620</v>
      </c>
      <c r="AF393" s="702"/>
      <c r="AG393" s="710">
        <f>SUM(AG385:AG391)</f>
        <v>59044.15</v>
      </c>
      <c r="AO393" s="3"/>
      <c r="AP393" s="1" t="s">
        <v>4879</v>
      </c>
      <c r="AR393" s="9"/>
      <c r="AS393" s="8">
        <f>SUM(AS385:AS391)</f>
        <v>6516.58</v>
      </c>
    </row>
    <row r="394" spans="1:45" ht="24" customHeight="1">
      <c r="A394" s="720" t="e">
        <f t="shared" si="39"/>
        <v>#REF!</v>
      </c>
      <c r="B394" s="722" t="s">
        <v>4110</v>
      </c>
      <c r="C394" s="718">
        <v>244.4</v>
      </c>
      <c r="D394" s="722" t="s">
        <v>1796</v>
      </c>
      <c r="K394" s="705" t="s">
        <v>1609</v>
      </c>
      <c r="R394" s="705" t="s">
        <v>1609</v>
      </c>
      <c r="X394" s="747" t="s">
        <v>429</v>
      </c>
      <c r="AC394" s="700"/>
      <c r="AF394" s="702"/>
      <c r="AG394" s="705" t="s">
        <v>1609</v>
      </c>
      <c r="AO394" s="3"/>
      <c r="AR394" s="9"/>
      <c r="AS394" s="5" t="s">
        <v>1609</v>
      </c>
    </row>
    <row r="395" spans="1:45" ht="24" customHeight="1">
      <c r="A395" s="720" t="e">
        <f t="shared" si="39"/>
        <v>#REF!</v>
      </c>
      <c r="B395" s="697" t="s">
        <v>4958</v>
      </c>
      <c r="C395" s="734"/>
      <c r="D395" s="734"/>
      <c r="H395" s="697" t="s">
        <v>442</v>
      </c>
      <c r="K395" s="710">
        <f>SUM(K391:K393)</f>
        <v>7385.06</v>
      </c>
      <c r="O395" s="697" t="s">
        <v>556</v>
      </c>
      <c r="R395" s="710">
        <f>(R393/100)</f>
        <v>29.07</v>
      </c>
      <c r="U395" s="699" t="s">
        <v>442</v>
      </c>
      <c r="X395" s="699">
        <f>SUM(X391:X393)</f>
        <v>7781.75</v>
      </c>
      <c r="AC395" s="700"/>
      <c r="AD395" s="697" t="s">
        <v>782</v>
      </c>
      <c r="AF395" s="702"/>
      <c r="AG395" s="710">
        <f>(AG393/10)</f>
        <v>5904.42</v>
      </c>
      <c r="AO395" s="3"/>
      <c r="AP395" s="1" t="s">
        <v>556</v>
      </c>
      <c r="AR395" s="9"/>
      <c r="AS395" s="8">
        <f>(AS393/10.71)</f>
        <v>608.46</v>
      </c>
    </row>
    <row r="396" spans="1:45" ht="24" customHeight="1">
      <c r="A396" s="720" t="e">
        <f t="shared" si="39"/>
        <v>#REF!</v>
      </c>
      <c r="B396" s="722" t="s">
        <v>1133</v>
      </c>
      <c r="C396" s="718">
        <v>13.6</v>
      </c>
      <c r="D396" s="722" t="s">
        <v>877</v>
      </c>
      <c r="K396" s="705" t="s">
        <v>1609</v>
      </c>
      <c r="R396" s="705" t="s">
        <v>2080</v>
      </c>
      <c r="X396" s="747" t="s">
        <v>429</v>
      </c>
      <c r="AC396" s="700"/>
      <c r="AF396" s="702"/>
      <c r="AG396" s="705" t="s">
        <v>2080</v>
      </c>
      <c r="AO396" s="3"/>
      <c r="AR396" s="9"/>
      <c r="AS396" s="5" t="s">
        <v>2080</v>
      </c>
    </row>
    <row r="397" spans="1:45" ht="24" customHeight="1">
      <c r="A397" s="720" t="e">
        <f t="shared" si="39"/>
        <v>#REF!</v>
      </c>
      <c r="B397" s="722" t="s">
        <v>1134</v>
      </c>
      <c r="C397" s="718">
        <v>23.2</v>
      </c>
      <c r="D397" s="722" t="s">
        <v>877</v>
      </c>
      <c r="H397" s="697" t="s">
        <v>556</v>
      </c>
      <c r="K397" s="709">
        <f>(K395/10)</f>
        <v>738.51</v>
      </c>
      <c r="N397" s="697" t="s">
        <v>681</v>
      </c>
      <c r="O397" s="697" t="s">
        <v>349</v>
      </c>
      <c r="U397" s="699" t="s">
        <v>556</v>
      </c>
      <c r="X397" s="699">
        <f>X395/10</f>
        <v>778.18</v>
      </c>
      <c r="AC397" s="700"/>
      <c r="AF397" s="702"/>
      <c r="AP397" s="1" t="s">
        <v>386</v>
      </c>
      <c r="AR397" s="9">
        <f>AF408</f>
        <v>8.14</v>
      </c>
      <c r="AS397" s="26">
        <f>AS395+AR397</f>
        <v>616.6</v>
      </c>
    </row>
    <row r="398" spans="1:45" ht="24" customHeight="1">
      <c r="A398" s="720" t="e">
        <f t="shared" si="39"/>
        <v>#REF!</v>
      </c>
      <c r="B398" s="722" t="s">
        <v>1135</v>
      </c>
      <c r="C398" s="718">
        <v>52</v>
      </c>
      <c r="D398" s="722" t="s">
        <v>877</v>
      </c>
      <c r="K398" s="705" t="s">
        <v>2080</v>
      </c>
      <c r="O398" s="705" t="s">
        <v>1609</v>
      </c>
      <c r="X398" s="747" t="s">
        <v>34</v>
      </c>
      <c r="AC398" s="708" t="s">
        <v>681</v>
      </c>
      <c r="AD398" s="697" t="s">
        <v>3246</v>
      </c>
      <c r="AF398" s="702"/>
      <c r="AP398" s="1" t="s">
        <v>388</v>
      </c>
      <c r="AR398" s="9">
        <f>AF409</f>
        <v>16.420000000000002</v>
      </c>
      <c r="AS398" s="26">
        <f t="shared" ref="AS398:AS403" si="41">AS397+AR398</f>
        <v>633.02</v>
      </c>
    </row>
    <row r="399" spans="1:45" ht="24" customHeight="1">
      <c r="A399" s="720" t="e">
        <f t="shared" si="39"/>
        <v>#REF!</v>
      </c>
      <c r="B399" s="722" t="s">
        <v>1136</v>
      </c>
      <c r="C399" s="718">
        <v>69.8</v>
      </c>
      <c r="D399" s="722" t="s">
        <v>877</v>
      </c>
      <c r="H399" s="697" t="s">
        <v>386</v>
      </c>
      <c r="J399" s="702">
        <f>K399-K397</f>
        <v>7.85</v>
      </c>
      <c r="K399" s="709">
        <f>(K397+C17/10*F391)</f>
        <v>746.36</v>
      </c>
      <c r="M399" s="710">
        <v>10</v>
      </c>
      <c r="N399" s="697" t="s">
        <v>615</v>
      </c>
      <c r="O399" s="697" t="s">
        <v>1132</v>
      </c>
      <c r="P399" s="710">
        <f>(R395)</f>
        <v>29.07</v>
      </c>
      <c r="Q399" s="697" t="s">
        <v>615</v>
      </c>
      <c r="R399" s="710">
        <f>(M399*P399)</f>
        <v>290.7</v>
      </c>
      <c r="U399" s="758" t="s">
        <v>386</v>
      </c>
      <c r="W399" s="699">
        <f>0.112*C17</f>
        <v>8</v>
      </c>
      <c r="X399" s="758">
        <f>X397+W399</f>
        <v>786.18</v>
      </c>
      <c r="AC399" s="700"/>
      <c r="AD399" s="705" t="s">
        <v>1609</v>
      </c>
      <c r="AF399" s="702"/>
      <c r="AP399" s="1" t="s">
        <v>2257</v>
      </c>
      <c r="AR399" s="9">
        <f>AR398</f>
        <v>16.420000000000002</v>
      </c>
      <c r="AS399" s="26">
        <f t="shared" si="41"/>
        <v>649.44000000000005</v>
      </c>
    </row>
    <row r="400" spans="1:45" ht="24" customHeight="1">
      <c r="A400" s="720" t="e">
        <f t="shared" si="39"/>
        <v>#REF!</v>
      </c>
      <c r="B400" s="722" t="s">
        <v>1138</v>
      </c>
      <c r="C400" s="718">
        <v>87</v>
      </c>
      <c r="D400" s="722" t="s">
        <v>877</v>
      </c>
      <c r="H400" s="697" t="s">
        <v>388</v>
      </c>
      <c r="J400" s="702">
        <f>K400-K399</f>
        <v>15.85</v>
      </c>
      <c r="K400" s="709">
        <f>(K399+C18/10*F391)</f>
        <v>762.21</v>
      </c>
      <c r="M400" s="710">
        <v>10</v>
      </c>
      <c r="N400" s="697" t="s">
        <v>615</v>
      </c>
      <c r="O400" s="697" t="s">
        <v>1551</v>
      </c>
      <c r="P400" s="710">
        <f>(R395/2)</f>
        <v>14.54</v>
      </c>
      <c r="Q400" s="697" t="s">
        <v>615</v>
      </c>
      <c r="R400" s="710">
        <f>(M400*P400)</f>
        <v>145.4</v>
      </c>
      <c r="U400" s="758" t="s">
        <v>388</v>
      </c>
      <c r="W400" s="699">
        <f>0.112*C18</f>
        <v>16.13</v>
      </c>
      <c r="X400" s="758">
        <f>X399+W400</f>
        <v>802.31</v>
      </c>
      <c r="AB400" s="710">
        <v>1.1399999999999999</v>
      </c>
      <c r="AC400" s="708" t="s">
        <v>878</v>
      </c>
      <c r="AD400" s="697" t="s">
        <v>1137</v>
      </c>
      <c r="AE400" s="710">
        <f>(AG395)</f>
        <v>5904.42</v>
      </c>
      <c r="AF400" s="697" t="s">
        <v>878</v>
      </c>
      <c r="AG400" s="710">
        <f>(AB400*AE400)</f>
        <v>6731.04</v>
      </c>
      <c r="AP400" s="1" t="s">
        <v>380</v>
      </c>
      <c r="AR400" s="9">
        <f>AR399</f>
        <v>16.420000000000002</v>
      </c>
      <c r="AS400" s="26">
        <f t="shared" si="41"/>
        <v>665.86</v>
      </c>
    </row>
    <row r="401" spans="1:45" ht="24" customHeight="1">
      <c r="A401" s="720" t="e">
        <f t="shared" si="39"/>
        <v>#REF!</v>
      </c>
      <c r="B401" s="722" t="s">
        <v>239</v>
      </c>
      <c r="C401" s="718">
        <v>116.3</v>
      </c>
      <c r="D401" s="722" t="s">
        <v>877</v>
      </c>
      <c r="H401" s="697" t="s">
        <v>2257</v>
      </c>
      <c r="K401" s="709">
        <f>(K400+C19/10*F391)</f>
        <v>778.06</v>
      </c>
      <c r="O401" s="697" t="s">
        <v>1552</v>
      </c>
      <c r="R401" s="705" t="s">
        <v>1609</v>
      </c>
      <c r="U401" s="758" t="s">
        <v>2257</v>
      </c>
      <c r="W401" s="699">
        <f>W400</f>
        <v>16.13</v>
      </c>
      <c r="X401" s="758">
        <f>X400+W401</f>
        <v>818.44</v>
      </c>
      <c r="AB401" s="710">
        <v>1</v>
      </c>
      <c r="AC401" s="708" t="s">
        <v>778</v>
      </c>
      <c r="AD401" s="697" t="s">
        <v>2034</v>
      </c>
      <c r="AE401" s="710">
        <f>AE387</f>
        <v>861</v>
      </c>
      <c r="AF401" s="697" t="s">
        <v>877</v>
      </c>
      <c r="AG401" s="710">
        <f>(AB401*AE401)</f>
        <v>861</v>
      </c>
      <c r="AP401" s="1" t="s">
        <v>1554</v>
      </c>
      <c r="AR401" s="9">
        <f>AR400</f>
        <v>16.420000000000002</v>
      </c>
      <c r="AS401" s="26">
        <f t="shared" si="41"/>
        <v>682.28</v>
      </c>
    </row>
    <row r="402" spans="1:45" ht="24" customHeight="1">
      <c r="A402" s="720" t="e">
        <f t="shared" si="39"/>
        <v>#REF!</v>
      </c>
      <c r="B402" s="789" t="s">
        <v>4959</v>
      </c>
      <c r="C402" s="790">
        <v>242.55</v>
      </c>
      <c r="D402" s="791" t="s">
        <v>877</v>
      </c>
      <c r="H402" s="697" t="s">
        <v>380</v>
      </c>
      <c r="K402" s="709">
        <f>(K401+C19/10*F391)</f>
        <v>793.91</v>
      </c>
      <c r="R402" s="710">
        <f>SUM(R399:R400)</f>
        <v>436.1</v>
      </c>
      <c r="U402" s="758" t="s">
        <v>380</v>
      </c>
      <c r="W402" s="699">
        <f>W400</f>
        <v>16.13</v>
      </c>
      <c r="X402" s="758">
        <f>X401+W402</f>
        <v>834.57</v>
      </c>
      <c r="AC402" s="708" t="s">
        <v>450</v>
      </c>
      <c r="AD402" s="697" t="s">
        <v>451</v>
      </c>
      <c r="AE402" s="697" t="s">
        <v>987</v>
      </c>
      <c r="AF402" s="697" t="s">
        <v>450</v>
      </c>
      <c r="AG402" s="710">
        <v>0</v>
      </c>
      <c r="AP402" s="1" t="s">
        <v>3612</v>
      </c>
      <c r="AR402" s="9">
        <f>AR401</f>
        <v>16.420000000000002</v>
      </c>
      <c r="AS402" s="26">
        <f t="shared" si="41"/>
        <v>698.7</v>
      </c>
    </row>
    <row r="403" spans="1:45" ht="24" customHeight="1">
      <c r="A403" s="720" t="e">
        <f t="shared" si="39"/>
        <v>#REF!</v>
      </c>
      <c r="B403" s="697" t="s">
        <v>4960</v>
      </c>
      <c r="C403" s="734"/>
      <c r="D403" s="722" t="s">
        <v>987</v>
      </c>
      <c r="H403" s="697" t="s">
        <v>1554</v>
      </c>
      <c r="K403" s="709">
        <f>(K402+C19/10*F391)</f>
        <v>809.76</v>
      </c>
      <c r="L403" s="699">
        <f>K403-K402</f>
        <v>15.85</v>
      </c>
      <c r="O403" s="697" t="s">
        <v>442</v>
      </c>
      <c r="R403" s="705" t="s">
        <v>1609</v>
      </c>
      <c r="U403" s="758" t="s">
        <v>1554</v>
      </c>
      <c r="W403" s="699">
        <f>W402</f>
        <v>16.13</v>
      </c>
      <c r="X403" s="758">
        <f>X402+W403</f>
        <v>850.7</v>
      </c>
      <c r="AC403" s="700"/>
      <c r="AF403" s="702"/>
      <c r="AG403" s="705" t="s">
        <v>1609</v>
      </c>
      <c r="AP403" s="1" t="s">
        <v>3613</v>
      </c>
      <c r="AR403" s="9">
        <f>AR402</f>
        <v>16.420000000000002</v>
      </c>
      <c r="AS403" s="26">
        <f t="shared" si="41"/>
        <v>715.12</v>
      </c>
    </row>
    <row r="404" spans="1:45" ht="24" customHeight="1">
      <c r="A404" s="720" t="e">
        <f t="shared" si="39"/>
        <v>#REF!</v>
      </c>
      <c r="B404" s="722" t="s">
        <v>1133</v>
      </c>
      <c r="C404" s="718">
        <v>13.6</v>
      </c>
      <c r="D404" s="722" t="s">
        <v>877</v>
      </c>
      <c r="F404" s="733">
        <v>11</v>
      </c>
      <c r="G404" s="708" t="s">
        <v>2276</v>
      </c>
      <c r="H404" s="697" t="s">
        <v>818</v>
      </c>
      <c r="L404" s="699">
        <f>K403+L403</f>
        <v>825.61</v>
      </c>
      <c r="R404" s="710">
        <f>(R402/10)</f>
        <v>43.61</v>
      </c>
      <c r="S404" s="703">
        <v>11</v>
      </c>
      <c r="T404" s="699" t="s">
        <v>2276</v>
      </c>
      <c r="U404" s="699" t="s">
        <v>818</v>
      </c>
      <c r="AC404" s="700"/>
      <c r="AD404" s="697" t="s">
        <v>442</v>
      </c>
      <c r="AF404" s="702"/>
      <c r="AG404" s="710">
        <f>SUM(AG400:AG402)</f>
        <v>7592.04</v>
      </c>
    </row>
    <row r="405" spans="1:45" ht="24" customHeight="1">
      <c r="A405" s="720" t="e">
        <f t="shared" si="39"/>
        <v>#REF!</v>
      </c>
      <c r="B405" s="722" t="s">
        <v>1134</v>
      </c>
      <c r="C405" s="718">
        <v>15.9</v>
      </c>
      <c r="D405" s="722" t="s">
        <v>877</v>
      </c>
      <c r="H405" s="710" t="str">
        <f>H306</f>
        <v>Bricks of size 22x11x7 cm</v>
      </c>
      <c r="O405" s="697" t="s">
        <v>556</v>
      </c>
      <c r="R405" s="705" t="s">
        <v>2080</v>
      </c>
      <c r="U405" s="699" t="s">
        <v>427</v>
      </c>
      <c r="AC405" s="700"/>
      <c r="AF405" s="702"/>
      <c r="AG405" s="705" t="s">
        <v>1609</v>
      </c>
    </row>
    <row r="406" spans="1:45" ht="24" customHeight="1">
      <c r="A406" s="720" t="e">
        <f t="shared" si="39"/>
        <v>#REF!</v>
      </c>
      <c r="B406" s="722" t="s">
        <v>1135</v>
      </c>
      <c r="C406" s="718">
        <v>28.6</v>
      </c>
      <c r="D406" s="722" t="s">
        <v>877</v>
      </c>
      <c r="H406" s="705" t="s">
        <v>1609</v>
      </c>
      <c r="U406" s="699" t="s">
        <v>1609</v>
      </c>
      <c r="AC406" s="700"/>
      <c r="AD406" s="697" t="s">
        <v>556</v>
      </c>
      <c r="AF406" s="702"/>
      <c r="AG406" s="709">
        <f>(AG404/10)</f>
        <v>759.2</v>
      </c>
    </row>
    <row r="407" spans="1:45" ht="24" customHeight="1">
      <c r="A407" s="720" t="e">
        <f t="shared" si="39"/>
        <v>#REF!</v>
      </c>
      <c r="B407" s="722" t="s">
        <v>1136</v>
      </c>
      <c r="C407" s="718">
        <v>46.5</v>
      </c>
      <c r="D407" s="722" t="s">
        <v>877</v>
      </c>
      <c r="F407" s="710">
        <f>F308</f>
        <v>4800</v>
      </c>
      <c r="G407" s="708" t="s">
        <v>1445</v>
      </c>
      <c r="H407" s="710" t="str">
        <f>H306</f>
        <v>Bricks of size 22x11x7 cm</v>
      </c>
      <c r="I407" s="710">
        <f>(C77)</f>
        <v>5799.5</v>
      </c>
      <c r="J407" s="697" t="s">
        <v>1555</v>
      </c>
      <c r="K407" s="710">
        <f>(F407*I407)/1000</f>
        <v>27837.599999999999</v>
      </c>
      <c r="N407" s="697" t="s">
        <v>2276</v>
      </c>
      <c r="O407" s="697" t="s">
        <v>1556</v>
      </c>
      <c r="S407" s="703">
        <v>4600</v>
      </c>
      <c r="T407" s="699" t="s">
        <v>1445</v>
      </c>
      <c r="U407" s="699" t="s">
        <v>427</v>
      </c>
      <c r="V407" s="699">
        <f t="shared" ref="V407:V412" si="42">V376</f>
        <v>6591.4</v>
      </c>
      <c r="W407" s="699" t="s">
        <v>1555</v>
      </c>
      <c r="X407" s="699">
        <f>V407*S407/1000</f>
        <v>30320.44</v>
      </c>
      <c r="AC407" s="700"/>
      <c r="AF407" s="702"/>
      <c r="AG407" s="705" t="s">
        <v>2080</v>
      </c>
    </row>
    <row r="408" spans="1:45" ht="24" customHeight="1">
      <c r="A408" s="720" t="e">
        <f t="shared" ref="A408:A418" si="43">(A407+1)</f>
        <v>#REF!</v>
      </c>
      <c r="B408" s="722" t="s">
        <v>1138</v>
      </c>
      <c r="C408" s="718">
        <v>58.1</v>
      </c>
      <c r="D408" s="722" t="s">
        <v>877</v>
      </c>
      <c r="F408" s="710">
        <f>F377</f>
        <v>1.59</v>
      </c>
      <c r="G408" s="708" t="s">
        <v>878</v>
      </c>
      <c r="H408" s="697" t="s">
        <v>1327</v>
      </c>
      <c r="I408" s="710">
        <f>(K37)</f>
        <v>3756.7</v>
      </c>
      <c r="J408" s="697" t="s">
        <v>878</v>
      </c>
      <c r="K408" s="710">
        <f>(F408*I408)</f>
        <v>5973.15</v>
      </c>
      <c r="O408" s="697" t="s">
        <v>1557</v>
      </c>
      <c r="S408" s="703">
        <v>1.59</v>
      </c>
      <c r="T408" s="699" t="s">
        <v>878</v>
      </c>
      <c r="U408" s="699" t="s">
        <v>1327</v>
      </c>
      <c r="V408" s="699">
        <f t="shared" si="42"/>
        <v>3756.7</v>
      </c>
      <c r="W408" s="699" t="s">
        <v>878</v>
      </c>
      <c r="X408" s="699">
        <f t="shared" ref="X408:X413" si="44">V408*S408</f>
        <v>5973.15</v>
      </c>
      <c r="AC408" s="700"/>
      <c r="AD408" s="697" t="s">
        <v>386</v>
      </c>
      <c r="AF408" s="702">
        <f>C17*0.114</f>
        <v>8.14</v>
      </c>
      <c r="AG408" s="709">
        <f>AG406+AF408</f>
        <v>767.34</v>
      </c>
    </row>
    <row r="409" spans="1:45" ht="24" customHeight="1">
      <c r="A409" s="720" t="e">
        <f t="shared" si="43"/>
        <v>#REF!</v>
      </c>
      <c r="B409" s="722" t="s">
        <v>239</v>
      </c>
      <c r="C409" s="718">
        <v>69.8</v>
      </c>
      <c r="D409" s="722" t="s">
        <v>877</v>
      </c>
      <c r="F409" s="710">
        <v>7</v>
      </c>
      <c r="G409" s="708" t="s">
        <v>877</v>
      </c>
      <c r="H409" s="697" t="s">
        <v>2034</v>
      </c>
      <c r="I409" s="710">
        <f>(C8)</f>
        <v>861</v>
      </c>
      <c r="J409" s="697" t="s">
        <v>877</v>
      </c>
      <c r="K409" s="710">
        <f>(F409*I409)</f>
        <v>6027</v>
      </c>
      <c r="O409" s="705" t="s">
        <v>1609</v>
      </c>
      <c r="S409" s="703">
        <v>7</v>
      </c>
      <c r="T409" s="699" t="s">
        <v>877</v>
      </c>
      <c r="U409" s="699" t="s">
        <v>2034</v>
      </c>
      <c r="V409" s="699">
        <f t="shared" si="42"/>
        <v>861</v>
      </c>
      <c r="W409" s="699" t="s">
        <v>877</v>
      </c>
      <c r="X409" s="699">
        <f t="shared" si="44"/>
        <v>6027</v>
      </c>
      <c r="AC409" s="700"/>
      <c r="AD409" s="697" t="s">
        <v>388</v>
      </c>
      <c r="AF409" s="702">
        <f>C18*0.114</f>
        <v>16.420000000000002</v>
      </c>
      <c r="AG409" s="709">
        <f t="shared" ref="AG409:AG417" si="45">AG408+AF409</f>
        <v>783.76</v>
      </c>
    </row>
    <row r="410" spans="1:45" ht="24" customHeight="1">
      <c r="A410" s="720" t="e">
        <f t="shared" si="43"/>
        <v>#REF!</v>
      </c>
      <c r="B410" s="789" t="s">
        <v>4961</v>
      </c>
      <c r="C410" s="790">
        <v>207.9</v>
      </c>
      <c r="D410" s="791" t="s">
        <v>877</v>
      </c>
      <c r="F410" s="710">
        <v>7.1</v>
      </c>
      <c r="G410" s="708" t="s">
        <v>877</v>
      </c>
      <c r="H410" s="697" t="s">
        <v>1737</v>
      </c>
      <c r="I410" s="710">
        <f>(C9)</f>
        <v>804</v>
      </c>
      <c r="J410" s="697" t="s">
        <v>877</v>
      </c>
      <c r="K410" s="710">
        <f>(F410*I410)</f>
        <v>5708.4</v>
      </c>
      <c r="M410" s="710">
        <v>10</v>
      </c>
      <c r="N410" s="697" t="s">
        <v>615</v>
      </c>
      <c r="O410" s="697" t="s">
        <v>1859</v>
      </c>
      <c r="P410" s="710">
        <f>(R381)</f>
        <v>19.96</v>
      </c>
      <c r="Q410" s="697" t="s">
        <v>615</v>
      </c>
      <c r="R410" s="710">
        <f>(M410*P410)</f>
        <v>199.6</v>
      </c>
      <c r="S410" s="703">
        <v>7.1</v>
      </c>
      <c r="T410" s="699" t="s">
        <v>877</v>
      </c>
      <c r="U410" s="699" t="s">
        <v>1737</v>
      </c>
      <c r="V410" s="699">
        <f t="shared" si="42"/>
        <v>804</v>
      </c>
      <c r="W410" s="699" t="s">
        <v>877</v>
      </c>
      <c r="X410" s="699">
        <f t="shared" si="44"/>
        <v>5708.4</v>
      </c>
      <c r="AC410" s="700"/>
      <c r="AD410" s="697" t="s">
        <v>2257</v>
      </c>
      <c r="AF410" s="702">
        <f t="shared" ref="AF410:AF419" si="46">AF409</f>
        <v>16.420000000000002</v>
      </c>
      <c r="AG410" s="709">
        <f t="shared" si="45"/>
        <v>800.18</v>
      </c>
    </row>
    <row r="411" spans="1:45" ht="24" customHeight="1">
      <c r="A411" s="720" t="e">
        <f t="shared" si="43"/>
        <v>#REF!</v>
      </c>
      <c r="B411" s="792" t="s">
        <v>4723</v>
      </c>
      <c r="C411" s="734"/>
      <c r="D411" s="722" t="s">
        <v>987</v>
      </c>
      <c r="F411" s="710">
        <v>7.1</v>
      </c>
      <c r="G411" s="708" t="s">
        <v>877</v>
      </c>
      <c r="H411" s="697" t="s">
        <v>1927</v>
      </c>
      <c r="I411" s="710">
        <f>(C10)</f>
        <v>562</v>
      </c>
      <c r="J411" s="697" t="s">
        <v>877</v>
      </c>
      <c r="K411" s="710">
        <f>(F411*I411)</f>
        <v>3990.2</v>
      </c>
      <c r="M411" s="710">
        <v>10</v>
      </c>
      <c r="N411" s="697" t="s">
        <v>615</v>
      </c>
      <c r="O411" s="697" t="s">
        <v>349</v>
      </c>
      <c r="P411" s="710">
        <f>(R404)</f>
        <v>43.61</v>
      </c>
      <c r="Q411" s="697" t="s">
        <v>615</v>
      </c>
      <c r="R411" s="710">
        <f>(M411*P411)</f>
        <v>436.1</v>
      </c>
      <c r="S411" s="703">
        <v>7.1</v>
      </c>
      <c r="T411" s="699" t="s">
        <v>877</v>
      </c>
      <c r="U411" s="699" t="s">
        <v>1927</v>
      </c>
      <c r="V411" s="699">
        <f t="shared" si="42"/>
        <v>562</v>
      </c>
      <c r="W411" s="699" t="s">
        <v>877</v>
      </c>
      <c r="X411" s="699">
        <f t="shared" si="44"/>
        <v>3990.2</v>
      </c>
      <c r="AC411" s="700"/>
      <c r="AD411" s="697" t="s">
        <v>380</v>
      </c>
      <c r="AF411" s="702">
        <f t="shared" si="46"/>
        <v>16.420000000000002</v>
      </c>
      <c r="AG411" s="709">
        <f t="shared" si="45"/>
        <v>816.6</v>
      </c>
    </row>
    <row r="412" spans="1:45" ht="24" customHeight="1">
      <c r="A412" s="720" t="e">
        <f t="shared" si="43"/>
        <v>#REF!</v>
      </c>
      <c r="B412" s="722" t="s">
        <v>1133</v>
      </c>
      <c r="C412" s="718">
        <v>15.9</v>
      </c>
      <c r="D412" s="722" t="s">
        <v>877</v>
      </c>
      <c r="F412" s="710">
        <v>21.2</v>
      </c>
      <c r="G412" s="708" t="s">
        <v>877</v>
      </c>
      <c r="H412" s="697" t="s">
        <v>321</v>
      </c>
      <c r="I412" s="710">
        <f>(C11)</f>
        <v>461</v>
      </c>
      <c r="J412" s="697" t="s">
        <v>877</v>
      </c>
      <c r="K412" s="710">
        <f>(F412*I412)</f>
        <v>9773.2000000000007</v>
      </c>
      <c r="O412" s="697" t="s">
        <v>987</v>
      </c>
      <c r="R412" s="705" t="s">
        <v>1609</v>
      </c>
      <c r="S412" s="703">
        <v>21.2</v>
      </c>
      <c r="T412" s="699" t="s">
        <v>877</v>
      </c>
      <c r="U412" s="699" t="s">
        <v>321</v>
      </c>
      <c r="V412" s="699">
        <f t="shared" si="42"/>
        <v>461</v>
      </c>
      <c r="W412" s="699" t="s">
        <v>877</v>
      </c>
      <c r="X412" s="699">
        <f t="shared" si="44"/>
        <v>9773.2000000000007</v>
      </c>
      <c r="AC412" s="700"/>
      <c r="AD412" s="697" t="s">
        <v>1554</v>
      </c>
      <c r="AF412" s="702">
        <f t="shared" si="46"/>
        <v>16.420000000000002</v>
      </c>
      <c r="AG412" s="709">
        <f t="shared" si="45"/>
        <v>833.02</v>
      </c>
    </row>
    <row r="413" spans="1:45" ht="24" customHeight="1">
      <c r="A413" s="720" t="e">
        <f t="shared" si="43"/>
        <v>#REF!</v>
      </c>
      <c r="B413" s="722" t="s">
        <v>1134</v>
      </c>
      <c r="C413" s="718">
        <v>25.4</v>
      </c>
      <c r="D413" s="722" t="s">
        <v>877</v>
      </c>
      <c r="G413" s="708" t="s">
        <v>450</v>
      </c>
      <c r="H413" s="697" t="s">
        <v>451</v>
      </c>
      <c r="I413" s="697" t="s">
        <v>987</v>
      </c>
      <c r="J413" s="697" t="s">
        <v>450</v>
      </c>
      <c r="K413" s="710">
        <v>0</v>
      </c>
      <c r="R413" s="710">
        <f>SUM(R410:R411)</f>
        <v>635.70000000000005</v>
      </c>
      <c r="T413" s="699" t="s">
        <v>450</v>
      </c>
      <c r="U413" s="699" t="s">
        <v>451</v>
      </c>
      <c r="V413" s="699" t="s">
        <v>987</v>
      </c>
      <c r="W413" s="699" t="s">
        <v>450</v>
      </c>
      <c r="X413" s="699">
        <f t="shared" si="44"/>
        <v>0</v>
      </c>
      <c r="AC413" s="700"/>
      <c r="AD413" s="697" t="s">
        <v>3612</v>
      </c>
      <c r="AF413" s="702">
        <f t="shared" si="46"/>
        <v>16.420000000000002</v>
      </c>
      <c r="AG413" s="709">
        <f t="shared" si="45"/>
        <v>849.44</v>
      </c>
    </row>
    <row r="414" spans="1:45" ht="24" customHeight="1">
      <c r="A414" s="720" t="e">
        <f t="shared" si="43"/>
        <v>#REF!</v>
      </c>
      <c r="B414" s="722" t="s">
        <v>1135</v>
      </c>
      <c r="C414" s="718">
        <v>58.1</v>
      </c>
      <c r="D414" s="722" t="s">
        <v>877</v>
      </c>
      <c r="K414" s="705" t="s">
        <v>1609</v>
      </c>
      <c r="O414" s="697" t="s">
        <v>442</v>
      </c>
      <c r="R414" s="705" t="s">
        <v>1609</v>
      </c>
      <c r="X414" s="747" t="s">
        <v>429</v>
      </c>
      <c r="AC414" s="700"/>
      <c r="AD414" s="697" t="s">
        <v>3613</v>
      </c>
      <c r="AF414" s="702">
        <f t="shared" si="46"/>
        <v>16.420000000000002</v>
      </c>
      <c r="AG414" s="709">
        <f t="shared" si="45"/>
        <v>865.86</v>
      </c>
    </row>
    <row r="415" spans="1:45" ht="24" customHeight="1">
      <c r="A415" s="720" t="e">
        <f t="shared" si="43"/>
        <v>#REF!</v>
      </c>
      <c r="B415" s="722" t="s">
        <v>1136</v>
      </c>
      <c r="C415" s="718">
        <v>87</v>
      </c>
      <c r="D415" s="722" t="s">
        <v>877</v>
      </c>
      <c r="H415" s="697" t="s">
        <v>620</v>
      </c>
      <c r="K415" s="710">
        <f>SUM(K407:K413)</f>
        <v>59309.55</v>
      </c>
      <c r="R415" s="710">
        <f>(R413/10)</f>
        <v>63.57</v>
      </c>
      <c r="U415" s="699" t="s">
        <v>620</v>
      </c>
      <c r="X415" s="699">
        <f>SUM(X407:X413)</f>
        <v>61792.39</v>
      </c>
      <c r="AC415" s="700"/>
      <c r="AD415" s="697" t="s">
        <v>3614</v>
      </c>
      <c r="AF415" s="702">
        <f t="shared" si="46"/>
        <v>16.420000000000002</v>
      </c>
      <c r="AG415" s="709">
        <f t="shared" si="45"/>
        <v>882.28</v>
      </c>
    </row>
    <row r="416" spans="1:45" ht="24" customHeight="1">
      <c r="A416" s="720" t="e">
        <f t="shared" si="43"/>
        <v>#REF!</v>
      </c>
      <c r="B416" s="722" t="s">
        <v>1138</v>
      </c>
      <c r="C416" s="718">
        <v>98.6</v>
      </c>
      <c r="D416" s="722" t="s">
        <v>877</v>
      </c>
      <c r="K416" s="705" t="s">
        <v>1609</v>
      </c>
      <c r="O416" s="697" t="s">
        <v>556</v>
      </c>
      <c r="R416" s="705" t="s">
        <v>2080</v>
      </c>
      <c r="X416" s="747" t="s">
        <v>429</v>
      </c>
      <c r="AC416" s="700"/>
      <c r="AD416" s="697" t="s">
        <v>3635</v>
      </c>
      <c r="AF416" s="702">
        <f t="shared" si="46"/>
        <v>16.420000000000002</v>
      </c>
      <c r="AG416" s="709">
        <f>AG415+AF416</f>
        <v>898.7</v>
      </c>
    </row>
    <row r="417" spans="1:35" ht="24" customHeight="1">
      <c r="A417" s="720" t="e">
        <f t="shared" si="43"/>
        <v>#REF!</v>
      </c>
      <c r="B417" s="722" t="s">
        <v>239</v>
      </c>
      <c r="C417" s="718">
        <v>128</v>
      </c>
      <c r="D417" s="722" t="s">
        <v>877</v>
      </c>
      <c r="H417" s="697" t="s">
        <v>782</v>
      </c>
      <c r="K417" s="710">
        <f>(K415/10)</f>
        <v>5930.96</v>
      </c>
      <c r="U417" s="699" t="s">
        <v>782</v>
      </c>
      <c r="X417" s="699">
        <f>X415/10</f>
        <v>6179.24</v>
      </c>
      <c r="AC417" s="700"/>
      <c r="AD417" s="697" t="s">
        <v>3633</v>
      </c>
      <c r="AF417" s="702">
        <f t="shared" si="46"/>
        <v>16.420000000000002</v>
      </c>
      <c r="AG417" s="709">
        <f t="shared" si="45"/>
        <v>915.12</v>
      </c>
    </row>
    <row r="418" spans="1:35" ht="24" customHeight="1">
      <c r="A418" s="720" t="e">
        <f t="shared" si="43"/>
        <v>#REF!</v>
      </c>
      <c r="B418" s="791" t="s">
        <v>3580</v>
      </c>
      <c r="C418" s="790">
        <v>280</v>
      </c>
      <c r="D418" s="791" t="s">
        <v>877</v>
      </c>
      <c r="K418" s="705" t="s">
        <v>2080</v>
      </c>
      <c r="X418" s="747" t="s">
        <v>34</v>
      </c>
      <c r="AB418" s="733">
        <v>11</v>
      </c>
      <c r="AC418" s="708" t="s">
        <v>2276</v>
      </c>
      <c r="AD418" s="697" t="s">
        <v>818</v>
      </c>
      <c r="AF418" s="702">
        <f t="shared" si="46"/>
        <v>16.420000000000002</v>
      </c>
      <c r="AG418" s="709">
        <f>AG417+AF418</f>
        <v>931.54</v>
      </c>
    </row>
    <row r="419" spans="1:35" ht="24" customHeight="1">
      <c r="A419" s="734"/>
      <c r="B419" s="734"/>
      <c r="C419" s="734"/>
      <c r="D419" s="734"/>
      <c r="F419" s="697" t="s">
        <v>248</v>
      </c>
      <c r="S419" s="703" t="s">
        <v>248</v>
      </c>
      <c r="AC419" s="700"/>
      <c r="AD419" s="710">
        <f>AD304</f>
        <v>0</v>
      </c>
      <c r="AF419" s="702">
        <f t="shared" si="46"/>
        <v>16.420000000000002</v>
      </c>
      <c r="AG419" s="709">
        <f>AG418+AF419</f>
        <v>947.96</v>
      </c>
      <c r="AH419" s="699" t="s">
        <v>4424</v>
      </c>
      <c r="AI419" s="699">
        <f>AG419+AF419</f>
        <v>964.38</v>
      </c>
    </row>
    <row r="420" spans="1:35" ht="24" customHeight="1">
      <c r="A420" s="720" t="e">
        <f>(A418+1)</f>
        <v>#REF!</v>
      </c>
      <c r="B420" s="792" t="s">
        <v>4724</v>
      </c>
      <c r="C420" s="734"/>
      <c r="D420" s="722" t="s">
        <v>987</v>
      </c>
      <c r="O420" s="698" t="s">
        <v>1560</v>
      </c>
      <c r="AC420" s="700"/>
      <c r="AD420" s="705" t="s">
        <v>1609</v>
      </c>
      <c r="AF420" s="702"/>
      <c r="AH420" s="699" t="s">
        <v>4425</v>
      </c>
      <c r="AI420" s="699">
        <f>AI419+AF419</f>
        <v>980.8</v>
      </c>
    </row>
    <row r="421" spans="1:35" ht="24" customHeight="1">
      <c r="A421" s="720" t="e">
        <f t="shared" ref="A421:A491" si="47">(A420+1)</f>
        <v>#REF!</v>
      </c>
      <c r="B421" s="722" t="s">
        <v>1133</v>
      </c>
      <c r="C421" s="718">
        <v>58.1</v>
      </c>
      <c r="D421" s="722" t="s">
        <v>877</v>
      </c>
      <c r="G421" s="708" t="s">
        <v>1561</v>
      </c>
      <c r="H421" s="697" t="s">
        <v>431</v>
      </c>
      <c r="O421" s="705" t="s">
        <v>1609</v>
      </c>
      <c r="T421" s="699" t="s">
        <v>1561</v>
      </c>
      <c r="U421" s="699" t="s">
        <v>431</v>
      </c>
      <c r="AB421" s="710">
        <f>AB308</f>
        <v>4240</v>
      </c>
      <c r="AC421" s="708" t="s">
        <v>1445</v>
      </c>
      <c r="AD421" s="710" t="str">
        <f>AD308</f>
        <v>Bricks of size 23x11.4x7.5 cm</v>
      </c>
      <c r="AE421" s="710">
        <f t="shared" ref="AE421:AE426" si="48">AE385</f>
        <v>6786.4</v>
      </c>
      <c r="AF421" s="697" t="s">
        <v>1555</v>
      </c>
      <c r="AG421" s="710">
        <f>(AB421*AE421)/1000</f>
        <v>28774.34</v>
      </c>
    </row>
    <row r="422" spans="1:35" ht="24" customHeight="1">
      <c r="A422" s="720" t="e">
        <f t="shared" si="47"/>
        <v>#REF!</v>
      </c>
      <c r="B422" s="722" t="s">
        <v>1134</v>
      </c>
      <c r="C422" s="718">
        <v>69.8</v>
      </c>
      <c r="D422" s="722" t="s">
        <v>877</v>
      </c>
      <c r="H422" s="705" t="s">
        <v>1609</v>
      </c>
      <c r="N422" s="697" t="s">
        <v>2276</v>
      </c>
      <c r="O422" s="697" t="s">
        <v>2072</v>
      </c>
      <c r="U422" s="699" t="s">
        <v>1609</v>
      </c>
      <c r="AB422" s="710">
        <v>1.27</v>
      </c>
      <c r="AC422" s="708" t="s">
        <v>878</v>
      </c>
      <c r="AD422" s="697" t="s">
        <v>1327</v>
      </c>
      <c r="AE422" s="710">
        <f t="shared" si="48"/>
        <v>3756.7</v>
      </c>
      <c r="AF422" s="697" t="s">
        <v>878</v>
      </c>
      <c r="AG422" s="710">
        <f>(AB422*AE422)</f>
        <v>4771.01</v>
      </c>
    </row>
    <row r="423" spans="1:35" ht="24" customHeight="1">
      <c r="A423" s="720" t="e">
        <f t="shared" si="47"/>
        <v>#REF!</v>
      </c>
      <c r="B423" s="722" t="s">
        <v>1135</v>
      </c>
      <c r="C423" s="718">
        <v>98.6</v>
      </c>
      <c r="D423" s="722" t="s">
        <v>877</v>
      </c>
      <c r="F423" s="710">
        <v>0.7</v>
      </c>
      <c r="G423" s="708" t="s">
        <v>878</v>
      </c>
      <c r="H423" s="697" t="s">
        <v>2304</v>
      </c>
      <c r="I423" s="710">
        <f>(K417)</f>
        <v>5930.96</v>
      </c>
      <c r="J423" s="697" t="s">
        <v>877</v>
      </c>
      <c r="K423" s="710">
        <f>(F423*I423)</f>
        <v>4151.67</v>
      </c>
      <c r="O423" s="697" t="s">
        <v>2073</v>
      </c>
      <c r="S423" s="703">
        <v>0.7</v>
      </c>
      <c r="T423" s="699" t="s">
        <v>878</v>
      </c>
      <c r="U423" s="699" t="s">
        <v>2304</v>
      </c>
      <c r="V423" s="699">
        <f>X417</f>
        <v>6179.24</v>
      </c>
      <c r="W423" s="699" t="s">
        <v>877</v>
      </c>
      <c r="X423" s="699">
        <f>V423*S423</f>
        <v>4325.47</v>
      </c>
      <c r="AB423" s="710">
        <v>7</v>
      </c>
      <c r="AC423" s="708" t="s">
        <v>877</v>
      </c>
      <c r="AD423" s="697" t="s">
        <v>2034</v>
      </c>
      <c r="AE423" s="710">
        <f t="shared" si="48"/>
        <v>861</v>
      </c>
      <c r="AF423" s="697" t="s">
        <v>877</v>
      </c>
      <c r="AG423" s="710">
        <f>(AB423*AE423)</f>
        <v>6027</v>
      </c>
    </row>
    <row r="424" spans="1:35" ht="24" customHeight="1">
      <c r="A424" s="720" t="e">
        <f t="shared" si="47"/>
        <v>#REF!</v>
      </c>
      <c r="B424" s="722" t="s">
        <v>1136</v>
      </c>
      <c r="C424" s="718">
        <v>127.5</v>
      </c>
      <c r="D424" s="722" t="s">
        <v>877</v>
      </c>
      <c r="F424" s="710">
        <v>1</v>
      </c>
      <c r="G424" s="708" t="s">
        <v>778</v>
      </c>
      <c r="H424" s="697" t="s">
        <v>2034</v>
      </c>
      <c r="I424" s="710">
        <f>(C8)</f>
        <v>861</v>
      </c>
      <c r="J424" s="697" t="s">
        <v>877</v>
      </c>
      <c r="K424" s="710">
        <f>(F424*I424)</f>
        <v>861</v>
      </c>
      <c r="O424" s="697" t="s">
        <v>155</v>
      </c>
      <c r="S424" s="703">
        <v>1</v>
      </c>
      <c r="T424" s="699" t="s">
        <v>778</v>
      </c>
      <c r="U424" s="699" t="s">
        <v>2034</v>
      </c>
      <c r="V424" s="699">
        <f>V392</f>
        <v>861</v>
      </c>
      <c r="W424" s="699" t="s">
        <v>877</v>
      </c>
      <c r="X424" s="699">
        <f>V424*S424</f>
        <v>861</v>
      </c>
      <c r="AB424" s="710">
        <v>7.1</v>
      </c>
      <c r="AC424" s="708" t="s">
        <v>877</v>
      </c>
      <c r="AD424" s="697" t="s">
        <v>1737</v>
      </c>
      <c r="AE424" s="710">
        <f t="shared" si="48"/>
        <v>804</v>
      </c>
      <c r="AF424" s="697" t="s">
        <v>877</v>
      </c>
      <c r="AG424" s="710">
        <f>(AB424*AE424)</f>
        <v>5708.4</v>
      </c>
    </row>
    <row r="425" spans="1:35" ht="24" customHeight="1">
      <c r="A425" s="720" t="e">
        <f t="shared" si="47"/>
        <v>#REF!</v>
      </c>
      <c r="B425" s="722" t="s">
        <v>1138</v>
      </c>
      <c r="C425" s="718">
        <v>197.5</v>
      </c>
      <c r="D425" s="722" t="s">
        <v>877</v>
      </c>
      <c r="G425" s="708" t="s">
        <v>450</v>
      </c>
      <c r="H425" s="697" t="s">
        <v>451</v>
      </c>
      <c r="I425" s="697" t="s">
        <v>987</v>
      </c>
      <c r="J425" s="697" t="s">
        <v>450</v>
      </c>
      <c r="K425" s="710">
        <v>0</v>
      </c>
      <c r="O425" s="705" t="s">
        <v>1609</v>
      </c>
      <c r="T425" s="699" t="s">
        <v>450</v>
      </c>
      <c r="U425" s="699" t="s">
        <v>451</v>
      </c>
      <c r="V425" s="699" t="s">
        <v>987</v>
      </c>
      <c r="W425" s="699" t="s">
        <v>450</v>
      </c>
      <c r="X425" s="699">
        <v>0</v>
      </c>
      <c r="AB425" s="710">
        <f>AB312</f>
        <v>7.1</v>
      </c>
      <c r="AC425" s="708" t="s">
        <v>877</v>
      </c>
      <c r="AD425" s="697" t="s">
        <v>1927</v>
      </c>
      <c r="AE425" s="710">
        <f t="shared" si="48"/>
        <v>562</v>
      </c>
      <c r="AF425" s="697" t="s">
        <v>877</v>
      </c>
      <c r="AG425" s="710">
        <f>(AB425*AE425)</f>
        <v>3990.2</v>
      </c>
    </row>
    <row r="426" spans="1:35" ht="39" customHeight="1">
      <c r="A426" s="720" t="e">
        <f t="shared" si="47"/>
        <v>#REF!</v>
      </c>
      <c r="B426" s="722" t="s">
        <v>239</v>
      </c>
      <c r="C426" s="718">
        <v>266.3</v>
      </c>
      <c r="D426" s="722" t="s">
        <v>877</v>
      </c>
      <c r="K426" s="705" t="s">
        <v>1609</v>
      </c>
      <c r="N426" s="697" t="s">
        <v>156</v>
      </c>
      <c r="O426" s="698" t="s">
        <v>157</v>
      </c>
      <c r="X426" s="747" t="s">
        <v>429</v>
      </c>
      <c r="AB426" s="710">
        <f>AB313</f>
        <v>21.2</v>
      </c>
      <c r="AC426" s="708" t="s">
        <v>877</v>
      </c>
      <c r="AD426" s="697" t="s">
        <v>321</v>
      </c>
      <c r="AE426" s="710">
        <f t="shared" si="48"/>
        <v>461</v>
      </c>
      <c r="AF426" s="697" t="s">
        <v>877</v>
      </c>
      <c r="AG426" s="710">
        <f>(AB426*AE426)</f>
        <v>9773.2000000000007</v>
      </c>
    </row>
    <row r="427" spans="1:35" ht="34.5" customHeight="1">
      <c r="A427" s="720" t="e">
        <f t="shared" si="47"/>
        <v>#REF!</v>
      </c>
      <c r="B427" s="791" t="s">
        <v>1139</v>
      </c>
      <c r="C427" s="790">
        <v>551</v>
      </c>
      <c r="D427" s="791" t="s">
        <v>877</v>
      </c>
      <c r="H427" s="697" t="s">
        <v>442</v>
      </c>
      <c r="K427" s="710">
        <f>SUM(K423:K425)</f>
        <v>5012.67</v>
      </c>
      <c r="O427" s="705" t="s">
        <v>1609</v>
      </c>
      <c r="U427" s="699" t="s">
        <v>442</v>
      </c>
      <c r="X427" s="699">
        <f>SUM(X423:X425)</f>
        <v>5186.47</v>
      </c>
      <c r="AB427" s="710">
        <f>AB314</f>
        <v>0</v>
      </c>
      <c r="AC427" s="708" t="s">
        <v>450</v>
      </c>
      <c r="AD427" s="697" t="s">
        <v>451</v>
      </c>
      <c r="AE427" s="697" t="s">
        <v>987</v>
      </c>
      <c r="AF427" s="697" t="s">
        <v>450</v>
      </c>
      <c r="AG427" s="710">
        <v>0</v>
      </c>
    </row>
    <row r="428" spans="1:35" ht="24" customHeight="1">
      <c r="A428" s="720" t="e">
        <f t="shared" si="47"/>
        <v>#REF!</v>
      </c>
      <c r="B428" s="722" t="s">
        <v>158</v>
      </c>
      <c r="C428" s="734"/>
      <c r="D428" s="722" t="s">
        <v>987</v>
      </c>
      <c r="K428" s="705" t="s">
        <v>1609</v>
      </c>
      <c r="M428" s="710">
        <v>8.1</v>
      </c>
      <c r="N428" s="697" t="s">
        <v>878</v>
      </c>
      <c r="O428" s="697" t="s">
        <v>623</v>
      </c>
      <c r="P428" s="710">
        <f>(C58)*2</f>
        <v>193.2</v>
      </c>
      <c r="Q428" s="697" t="s">
        <v>878</v>
      </c>
      <c r="R428" s="710">
        <f>(M428*P428)</f>
        <v>1564.92</v>
      </c>
      <c r="X428" s="747" t="s">
        <v>429</v>
      </c>
      <c r="AB428" s="710">
        <f>AB315</f>
        <v>0</v>
      </c>
      <c r="AC428" s="700"/>
      <c r="AF428" s="702"/>
      <c r="AG428" s="705" t="s">
        <v>1609</v>
      </c>
    </row>
    <row r="429" spans="1:35" ht="30.75" customHeight="1">
      <c r="A429" s="720" t="e">
        <f t="shared" si="47"/>
        <v>#REF!</v>
      </c>
      <c r="B429" s="722" t="s">
        <v>1133</v>
      </c>
      <c r="C429" s="737">
        <v>1.8</v>
      </c>
      <c r="D429" s="722" t="s">
        <v>877</v>
      </c>
      <c r="H429" s="697" t="s">
        <v>556</v>
      </c>
      <c r="K429" s="710">
        <f>(K427/10)</f>
        <v>501.27</v>
      </c>
      <c r="M429" s="710">
        <v>8.1</v>
      </c>
      <c r="N429" s="697" t="s">
        <v>878</v>
      </c>
      <c r="O429" s="697" t="s">
        <v>2182</v>
      </c>
      <c r="P429" s="710">
        <f>(C24)</f>
        <v>33.6</v>
      </c>
      <c r="Q429" s="697" t="s">
        <v>878</v>
      </c>
      <c r="R429" s="710">
        <f>(M429*P429)</f>
        <v>272.16000000000003</v>
      </c>
      <c r="U429" s="699" t="s">
        <v>556</v>
      </c>
      <c r="X429" s="699">
        <f>X427/10</f>
        <v>518.65</v>
      </c>
      <c r="AB429" s="710">
        <f>AB316</f>
        <v>0</v>
      </c>
      <c r="AC429" s="700"/>
      <c r="AD429" s="697" t="s">
        <v>620</v>
      </c>
      <c r="AF429" s="702"/>
      <c r="AG429" s="710">
        <f>SUM(AG421:AG428)</f>
        <v>59044.15</v>
      </c>
    </row>
    <row r="430" spans="1:35" ht="42" customHeight="1">
      <c r="A430" s="720" t="e">
        <f t="shared" si="47"/>
        <v>#REF!</v>
      </c>
      <c r="B430" s="722" t="s">
        <v>1134</v>
      </c>
      <c r="C430" s="737">
        <v>2.9</v>
      </c>
      <c r="D430" s="722" t="s">
        <v>877</v>
      </c>
      <c r="K430" s="705" t="s">
        <v>2080</v>
      </c>
      <c r="M430" s="710">
        <v>30</v>
      </c>
      <c r="N430" s="697" t="s">
        <v>1796</v>
      </c>
      <c r="O430" s="697" t="s">
        <v>2183</v>
      </c>
      <c r="P430" s="710">
        <f>(C39)</f>
        <v>5</v>
      </c>
      <c r="Q430" s="697" t="s">
        <v>1796</v>
      </c>
      <c r="R430" s="710">
        <f>(M430*P430)</f>
        <v>150</v>
      </c>
      <c r="X430" s="747" t="s">
        <v>34</v>
      </c>
      <c r="AC430" s="700"/>
      <c r="AF430" s="702"/>
      <c r="AG430" s="705" t="s">
        <v>1609</v>
      </c>
    </row>
    <row r="431" spans="1:35" ht="24" customHeight="1">
      <c r="A431" s="720" t="e">
        <f t="shared" si="47"/>
        <v>#REF!</v>
      </c>
      <c r="B431" s="722" t="s">
        <v>1135</v>
      </c>
      <c r="C431" s="737">
        <v>4</v>
      </c>
      <c r="D431" s="722" t="s">
        <v>877</v>
      </c>
      <c r="H431" s="697" t="s">
        <v>386</v>
      </c>
      <c r="K431" s="709">
        <f>(K429+C17/10*F423)</f>
        <v>506.27</v>
      </c>
      <c r="O431" s="697" t="s">
        <v>2184</v>
      </c>
      <c r="U431" s="758" t="s">
        <v>386</v>
      </c>
      <c r="W431" s="699">
        <f>0.07*C17</f>
        <v>5</v>
      </c>
      <c r="X431" s="758">
        <f>X429+W431</f>
        <v>523.65</v>
      </c>
      <c r="AC431" s="700"/>
      <c r="AD431" s="697" t="s">
        <v>782</v>
      </c>
      <c r="AF431" s="702"/>
      <c r="AG431" s="710">
        <f>(AG429/10)</f>
        <v>5904.42</v>
      </c>
    </row>
    <row r="432" spans="1:35" ht="24" customHeight="1">
      <c r="A432" s="720" t="e">
        <f t="shared" si="47"/>
        <v>#REF!</v>
      </c>
      <c r="B432" s="722" t="s">
        <v>1136</v>
      </c>
      <c r="C432" s="737">
        <v>6.86</v>
      </c>
      <c r="D432" s="722" t="s">
        <v>877</v>
      </c>
      <c r="H432" s="697" t="s">
        <v>388</v>
      </c>
      <c r="K432" s="709">
        <f>(K431+C18/10*F423)</f>
        <v>516.35</v>
      </c>
      <c r="O432" s="697" t="s">
        <v>2185</v>
      </c>
      <c r="U432" s="758" t="s">
        <v>388</v>
      </c>
      <c r="W432" s="699">
        <f>0.07*C18</f>
        <v>10.08</v>
      </c>
      <c r="X432" s="758">
        <f>X431+W432</f>
        <v>533.73</v>
      </c>
      <c r="AC432" s="700"/>
      <c r="AF432" s="702"/>
      <c r="AG432" s="705" t="s">
        <v>2080</v>
      </c>
    </row>
    <row r="433" spans="1:33" ht="24" customHeight="1">
      <c r="A433" s="720" t="e">
        <f t="shared" si="47"/>
        <v>#REF!</v>
      </c>
      <c r="B433" s="722" t="s">
        <v>1138</v>
      </c>
      <c r="C433" s="737">
        <v>9.15</v>
      </c>
      <c r="D433" s="722" t="s">
        <v>877</v>
      </c>
      <c r="H433" s="697" t="s">
        <v>2257</v>
      </c>
      <c r="K433" s="709">
        <f>(K432+C19/10*F423)</f>
        <v>526.42999999999995</v>
      </c>
      <c r="O433" s="697" t="s">
        <v>2186</v>
      </c>
      <c r="U433" s="758" t="s">
        <v>2257</v>
      </c>
      <c r="W433" s="699">
        <f>W432</f>
        <v>10.08</v>
      </c>
      <c r="X433" s="758">
        <f>X432+W433</f>
        <v>543.80999999999995</v>
      </c>
      <c r="AB433" s="697" t="s">
        <v>248</v>
      </c>
      <c r="AC433" s="700"/>
      <c r="AF433" s="702"/>
    </row>
    <row r="434" spans="1:33" ht="24" customHeight="1">
      <c r="A434" s="720" t="e">
        <f t="shared" si="47"/>
        <v>#REF!</v>
      </c>
      <c r="B434" s="722" t="s">
        <v>239</v>
      </c>
      <c r="C434" s="737">
        <v>14.59</v>
      </c>
      <c r="D434" s="722" t="s">
        <v>877</v>
      </c>
      <c r="H434" s="697" t="s">
        <v>380</v>
      </c>
      <c r="K434" s="709">
        <f>(K433+C19/10*F423)</f>
        <v>536.51</v>
      </c>
      <c r="O434" s="697" t="s">
        <v>2189</v>
      </c>
      <c r="U434" s="758" t="s">
        <v>380</v>
      </c>
      <c r="W434" s="699">
        <f>W433</f>
        <v>10.08</v>
      </c>
      <c r="X434" s="758">
        <f>X433+W434</f>
        <v>553.89</v>
      </c>
      <c r="AC434" s="700"/>
      <c r="AF434" s="702"/>
    </row>
    <row r="435" spans="1:33" ht="24" customHeight="1">
      <c r="A435" s="720"/>
      <c r="B435" s="722"/>
      <c r="C435" s="737"/>
      <c r="D435" s="722"/>
      <c r="H435" s="697" t="s">
        <v>842</v>
      </c>
      <c r="K435" s="709">
        <f>(K434+C18/10*F423)</f>
        <v>546.59</v>
      </c>
      <c r="O435" s="697"/>
      <c r="U435" s="758" t="s">
        <v>842</v>
      </c>
      <c r="W435" s="699">
        <f>W434</f>
        <v>10.08</v>
      </c>
      <c r="X435" s="758">
        <f>X434+W435</f>
        <v>563.97</v>
      </c>
      <c r="AC435" s="708" t="s">
        <v>1561</v>
      </c>
      <c r="AD435" s="697" t="s">
        <v>3893</v>
      </c>
      <c r="AF435" s="702"/>
    </row>
    <row r="436" spans="1:33" ht="24" customHeight="1">
      <c r="A436" s="720" t="e">
        <f>(A434+1)</f>
        <v>#REF!</v>
      </c>
      <c r="B436" s="722" t="s">
        <v>1139</v>
      </c>
      <c r="C436" s="737">
        <v>21.74</v>
      </c>
      <c r="D436" s="722" t="s">
        <v>877</v>
      </c>
      <c r="H436" s="698" t="s">
        <v>2167</v>
      </c>
      <c r="M436" s="710">
        <v>8</v>
      </c>
      <c r="N436" s="697" t="s">
        <v>778</v>
      </c>
      <c r="O436" s="697" t="s">
        <v>2168</v>
      </c>
      <c r="P436" s="710">
        <f>(C40)</f>
        <v>8.1</v>
      </c>
      <c r="Q436" s="697" t="s">
        <v>778</v>
      </c>
      <c r="R436" s="710">
        <f>(M436*P436)</f>
        <v>64.8</v>
      </c>
      <c r="AC436" s="700"/>
      <c r="AD436" s="705" t="s">
        <v>1609</v>
      </c>
      <c r="AF436" s="702"/>
    </row>
    <row r="437" spans="1:33" ht="24" customHeight="1">
      <c r="A437" s="720" t="e">
        <f t="shared" si="47"/>
        <v>#REF!</v>
      </c>
      <c r="B437" s="792" t="s">
        <v>4725</v>
      </c>
      <c r="C437" s="734"/>
      <c r="D437" s="722" t="s">
        <v>987</v>
      </c>
      <c r="H437" s="698" t="s">
        <v>2146</v>
      </c>
      <c r="M437" s="710">
        <v>8</v>
      </c>
      <c r="N437" s="697" t="s">
        <v>778</v>
      </c>
      <c r="O437" s="697" t="s">
        <v>468</v>
      </c>
      <c r="P437" s="710">
        <f>(C47)</f>
        <v>11.5</v>
      </c>
      <c r="Q437" s="697" t="s">
        <v>778</v>
      </c>
      <c r="R437" s="710">
        <f>(M437*P437)</f>
        <v>92</v>
      </c>
      <c r="AB437" s="710">
        <v>0.75</v>
      </c>
      <c r="AC437" s="708" t="s">
        <v>878</v>
      </c>
      <c r="AD437" s="697" t="s">
        <v>2304</v>
      </c>
      <c r="AE437" s="710">
        <f>AG431</f>
        <v>5904.42</v>
      </c>
      <c r="AF437" s="697" t="s">
        <v>877</v>
      </c>
      <c r="AG437" s="710">
        <f>(AB437*AE437)</f>
        <v>4428.32</v>
      </c>
    </row>
    <row r="438" spans="1:33" ht="38.25" customHeight="1">
      <c r="A438" s="720" t="e">
        <f t="shared" si="47"/>
        <v>#REF!</v>
      </c>
      <c r="B438" s="722" t="s">
        <v>1133</v>
      </c>
      <c r="C438" s="718">
        <v>28.6</v>
      </c>
      <c r="D438" s="722" t="s">
        <v>877</v>
      </c>
      <c r="F438" s="733">
        <v>12</v>
      </c>
      <c r="G438" s="708" t="s">
        <v>2276</v>
      </c>
      <c r="H438" s="697" t="s">
        <v>469</v>
      </c>
      <c r="M438" s="710">
        <v>1</v>
      </c>
      <c r="N438" s="697" t="s">
        <v>450</v>
      </c>
      <c r="O438" s="697" t="s">
        <v>1709</v>
      </c>
      <c r="P438" s="710">
        <f>(C53)</f>
        <v>12.1</v>
      </c>
      <c r="Q438" s="697" t="s">
        <v>450</v>
      </c>
      <c r="R438" s="710">
        <f>(M438*P438)</f>
        <v>12.1</v>
      </c>
      <c r="AB438" s="710">
        <v>1</v>
      </c>
      <c r="AC438" s="708" t="s">
        <v>778</v>
      </c>
      <c r="AD438" s="697" t="s">
        <v>2034</v>
      </c>
      <c r="AE438" s="710">
        <f>AE423</f>
        <v>861</v>
      </c>
      <c r="AF438" s="697" t="s">
        <v>877</v>
      </c>
      <c r="AG438" s="710">
        <f>(AB438*AE438)</f>
        <v>861</v>
      </c>
    </row>
    <row r="439" spans="1:33" ht="24" customHeight="1">
      <c r="A439" s="720" t="e">
        <f t="shared" si="47"/>
        <v>#REF!</v>
      </c>
      <c r="B439" s="722" t="s">
        <v>1134</v>
      </c>
      <c r="C439" s="718">
        <v>34.700000000000003</v>
      </c>
      <c r="D439" s="722" t="s">
        <v>877</v>
      </c>
      <c r="H439" s="697" t="s">
        <v>1130</v>
      </c>
      <c r="M439" s="710">
        <v>1</v>
      </c>
      <c r="N439" s="697" t="s">
        <v>450</v>
      </c>
      <c r="O439" s="697" t="s">
        <v>451</v>
      </c>
      <c r="Q439" s="697" t="s">
        <v>450</v>
      </c>
      <c r="R439" s="710">
        <v>0</v>
      </c>
      <c r="AC439" s="708" t="s">
        <v>450</v>
      </c>
      <c r="AD439" s="697" t="s">
        <v>451</v>
      </c>
      <c r="AE439" s="697" t="s">
        <v>987</v>
      </c>
      <c r="AF439" s="697" t="s">
        <v>450</v>
      </c>
      <c r="AG439" s="710">
        <v>0</v>
      </c>
    </row>
    <row r="440" spans="1:33" ht="24" customHeight="1">
      <c r="A440" s="720" t="e">
        <f t="shared" si="47"/>
        <v>#REF!</v>
      </c>
      <c r="B440" s="722" t="s">
        <v>1135</v>
      </c>
      <c r="C440" s="718">
        <v>81.400000000000006</v>
      </c>
      <c r="D440" s="722" t="s">
        <v>877</v>
      </c>
      <c r="H440" s="705" t="s">
        <v>1609</v>
      </c>
      <c r="R440" s="705" t="s">
        <v>1609</v>
      </c>
      <c r="AC440" s="700"/>
      <c r="AF440" s="702"/>
      <c r="AG440" s="705" t="s">
        <v>1609</v>
      </c>
    </row>
    <row r="441" spans="1:33" ht="24" customHeight="1">
      <c r="A441" s="720" t="e">
        <f t="shared" si="47"/>
        <v>#REF!</v>
      </c>
      <c r="B441" s="722" t="s">
        <v>1136</v>
      </c>
      <c r="C441" s="718">
        <v>98.6</v>
      </c>
      <c r="D441" s="722" t="s">
        <v>877</v>
      </c>
      <c r="F441" s="710">
        <v>6570</v>
      </c>
      <c r="G441" s="708" t="s">
        <v>1445</v>
      </c>
      <c r="H441" s="697" t="s">
        <v>1589</v>
      </c>
      <c r="I441" s="710">
        <f>(C74)</f>
        <v>4424.5</v>
      </c>
      <c r="J441" s="697" t="s">
        <v>1617</v>
      </c>
      <c r="K441" s="710">
        <f>(F441*I441)/1000</f>
        <v>29068.97</v>
      </c>
      <c r="O441" s="697" t="s">
        <v>1566</v>
      </c>
      <c r="R441" s="710">
        <f>SUM(R428:R439)</f>
        <v>2155.98</v>
      </c>
      <c r="AC441" s="700"/>
      <c r="AD441" s="697" t="s">
        <v>442</v>
      </c>
      <c r="AF441" s="702"/>
      <c r="AG441" s="710">
        <f>SUM(AG437:AG439)</f>
        <v>5289.32</v>
      </c>
    </row>
    <row r="442" spans="1:33" ht="24" customHeight="1">
      <c r="A442" s="720" t="e">
        <f t="shared" si="47"/>
        <v>#REF!</v>
      </c>
      <c r="B442" s="722" t="s">
        <v>1138</v>
      </c>
      <c r="C442" s="718">
        <v>110.2</v>
      </c>
      <c r="D442" s="722" t="s">
        <v>877</v>
      </c>
      <c r="F442" s="710">
        <v>1.91</v>
      </c>
      <c r="G442" s="708" t="s">
        <v>878</v>
      </c>
      <c r="H442" s="697" t="s">
        <v>1327</v>
      </c>
      <c r="I442" s="710">
        <f>(K37)</f>
        <v>3756.7</v>
      </c>
      <c r="J442" s="697" t="s">
        <v>878</v>
      </c>
      <c r="K442" s="710">
        <f>(F442*I442)</f>
        <v>7175.3</v>
      </c>
      <c r="R442" s="705" t="s">
        <v>1609</v>
      </c>
      <c r="AC442" s="700"/>
      <c r="AF442" s="702"/>
      <c r="AG442" s="705" t="s">
        <v>1609</v>
      </c>
    </row>
    <row r="443" spans="1:33" ht="24" customHeight="1">
      <c r="A443" s="720" t="e">
        <f t="shared" si="47"/>
        <v>#REF!</v>
      </c>
      <c r="B443" s="722" t="s">
        <v>239</v>
      </c>
      <c r="C443" s="718">
        <v>139.80000000000001</v>
      </c>
      <c r="D443" s="722" t="s">
        <v>877</v>
      </c>
      <c r="F443" s="710">
        <v>7</v>
      </c>
      <c r="G443" s="708" t="s">
        <v>877</v>
      </c>
      <c r="H443" s="697" t="s">
        <v>2034</v>
      </c>
      <c r="I443" s="710">
        <f>(C8)</f>
        <v>861</v>
      </c>
      <c r="J443" s="697" t="s">
        <v>877</v>
      </c>
      <c r="K443" s="710">
        <f>(F443*I443)</f>
        <v>6027</v>
      </c>
      <c r="O443" s="697" t="s">
        <v>1567</v>
      </c>
      <c r="R443" s="710">
        <f>(R441/30)</f>
        <v>71.87</v>
      </c>
      <c r="AC443" s="700"/>
      <c r="AD443" s="697" t="s">
        <v>556</v>
      </c>
      <c r="AF443" s="702"/>
      <c r="AG443" s="710">
        <f>(AG441/10)</f>
        <v>528.92999999999995</v>
      </c>
    </row>
    <row r="444" spans="1:33" ht="24" customHeight="1">
      <c r="A444" s="720" t="e">
        <f t="shared" si="47"/>
        <v>#REF!</v>
      </c>
      <c r="B444" s="791" t="s">
        <v>3581</v>
      </c>
      <c r="C444" s="790">
        <v>363</v>
      </c>
      <c r="D444" s="791" t="s">
        <v>877</v>
      </c>
      <c r="F444" s="710">
        <v>3.6</v>
      </c>
      <c r="G444" s="708" t="s">
        <v>877</v>
      </c>
      <c r="H444" s="697" t="s">
        <v>1737</v>
      </c>
      <c r="I444" s="710">
        <f>(C9)</f>
        <v>804</v>
      </c>
      <c r="J444" s="697" t="s">
        <v>877</v>
      </c>
      <c r="K444" s="710">
        <f>(F444*I444)</f>
        <v>2894.4</v>
      </c>
      <c r="R444" s="705" t="s">
        <v>1609</v>
      </c>
      <c r="AC444" s="700"/>
      <c r="AF444" s="702"/>
      <c r="AG444" s="705" t="s">
        <v>2080</v>
      </c>
    </row>
    <row r="445" spans="1:33" ht="24" customHeight="1">
      <c r="A445" s="720" t="e">
        <f t="shared" si="47"/>
        <v>#REF!</v>
      </c>
      <c r="B445" s="792" t="s">
        <v>4726</v>
      </c>
      <c r="C445" s="734"/>
      <c r="D445" s="722" t="s">
        <v>987</v>
      </c>
      <c r="F445" s="710">
        <v>7.1</v>
      </c>
      <c r="G445" s="708" t="s">
        <v>877</v>
      </c>
      <c r="H445" s="697" t="s">
        <v>1927</v>
      </c>
      <c r="I445" s="710">
        <f>(C10)</f>
        <v>562</v>
      </c>
      <c r="J445" s="697" t="s">
        <v>877</v>
      </c>
      <c r="K445" s="710">
        <f>(F445*I445)</f>
        <v>3990.2</v>
      </c>
      <c r="N445" s="697" t="s">
        <v>1577</v>
      </c>
      <c r="O445" s="698" t="s">
        <v>1028</v>
      </c>
      <c r="AC445" s="700"/>
      <c r="AD445" s="697" t="s">
        <v>386</v>
      </c>
      <c r="AF445" s="702">
        <f>C17*0.075</f>
        <v>5.36</v>
      </c>
      <c r="AG445" s="709">
        <f>AG443+AF445</f>
        <v>534.29</v>
      </c>
    </row>
    <row r="446" spans="1:33" ht="24" customHeight="1">
      <c r="A446" s="720" t="e">
        <f t="shared" si="47"/>
        <v>#REF!</v>
      </c>
      <c r="B446" s="722" t="s">
        <v>1133</v>
      </c>
      <c r="C446" s="718">
        <v>23.2</v>
      </c>
      <c r="D446" s="722" t="s">
        <v>877</v>
      </c>
      <c r="F446" s="710">
        <v>14.1</v>
      </c>
      <c r="G446" s="708" t="s">
        <v>877</v>
      </c>
      <c r="H446" s="697" t="s">
        <v>321</v>
      </c>
      <c r="I446" s="710">
        <f>(C11)</f>
        <v>461</v>
      </c>
      <c r="J446" s="697" t="s">
        <v>877</v>
      </c>
      <c r="K446" s="710">
        <f>(F446*I446)</f>
        <v>6500.1</v>
      </c>
      <c r="O446" s="705" t="s">
        <v>1609</v>
      </c>
      <c r="AC446" s="700"/>
      <c r="AD446" s="697" t="s">
        <v>388</v>
      </c>
      <c r="AF446" s="702">
        <f>C18*0.075</f>
        <v>10.8</v>
      </c>
      <c r="AG446" s="709">
        <f t="shared" ref="AG446:AG455" si="49">AG445+AF446</f>
        <v>545.09</v>
      </c>
    </row>
    <row r="447" spans="1:33" ht="39" customHeight="1">
      <c r="A447" s="720" t="e">
        <f t="shared" si="47"/>
        <v>#REF!</v>
      </c>
      <c r="B447" s="722" t="s">
        <v>1134</v>
      </c>
      <c r="C447" s="718">
        <v>34.700000000000003</v>
      </c>
      <c r="D447" s="722" t="s">
        <v>877</v>
      </c>
      <c r="G447" s="708" t="s">
        <v>450</v>
      </c>
      <c r="H447" s="697" t="s">
        <v>451</v>
      </c>
      <c r="I447" s="697" t="s">
        <v>987</v>
      </c>
      <c r="J447" s="697" t="s">
        <v>450</v>
      </c>
      <c r="K447" s="710">
        <v>0</v>
      </c>
      <c r="M447" s="710">
        <v>8.1</v>
      </c>
      <c r="N447" s="697" t="s">
        <v>878</v>
      </c>
      <c r="O447" s="697" t="s">
        <v>623</v>
      </c>
      <c r="P447" s="710">
        <f>(C58)*2</f>
        <v>193.2</v>
      </c>
      <c r="Q447" s="697" t="s">
        <v>878</v>
      </c>
      <c r="R447" s="710">
        <f>(M447*P447)</f>
        <v>1564.92</v>
      </c>
      <c r="AC447" s="700"/>
      <c r="AD447" s="697" t="s">
        <v>2257</v>
      </c>
      <c r="AF447" s="702">
        <f>C19*0.075</f>
        <v>10.8</v>
      </c>
      <c r="AG447" s="709">
        <f t="shared" si="49"/>
        <v>555.89</v>
      </c>
    </row>
    <row r="448" spans="1:33" ht="24" customHeight="1">
      <c r="A448" s="720" t="e">
        <f t="shared" si="47"/>
        <v>#REF!</v>
      </c>
      <c r="B448" s="722" t="s">
        <v>1135</v>
      </c>
      <c r="C448" s="718">
        <v>43.7</v>
      </c>
      <c r="D448" s="722" t="s">
        <v>877</v>
      </c>
      <c r="K448" s="705" t="s">
        <v>1609</v>
      </c>
      <c r="M448" s="710">
        <v>8.1</v>
      </c>
      <c r="N448" s="697" t="s">
        <v>878</v>
      </c>
      <c r="O448" s="697" t="s">
        <v>2182</v>
      </c>
      <c r="P448" s="710">
        <f>(C24)</f>
        <v>33.6</v>
      </c>
      <c r="Q448" s="697" t="s">
        <v>878</v>
      </c>
      <c r="R448" s="710">
        <f>(M448*P448)</f>
        <v>272.16000000000003</v>
      </c>
      <c r="AC448" s="700"/>
      <c r="AD448" s="697" t="s">
        <v>380</v>
      </c>
      <c r="AF448" s="702">
        <f t="shared" ref="AF448:AF455" si="50">AF447</f>
        <v>10.8</v>
      </c>
      <c r="AG448" s="709">
        <f t="shared" si="49"/>
        <v>566.69000000000005</v>
      </c>
    </row>
    <row r="449" spans="1:36" ht="24" customHeight="1">
      <c r="A449" s="720" t="e">
        <f t="shared" si="47"/>
        <v>#REF!</v>
      </c>
      <c r="B449" s="722" t="s">
        <v>1136</v>
      </c>
      <c r="C449" s="718">
        <v>58.1</v>
      </c>
      <c r="D449" s="722" t="s">
        <v>877</v>
      </c>
      <c r="H449" s="697" t="s">
        <v>620</v>
      </c>
      <c r="K449" s="710">
        <f>SUM(K441:K447)</f>
        <v>55655.97</v>
      </c>
      <c r="M449" s="710">
        <v>30</v>
      </c>
      <c r="N449" s="697" t="s">
        <v>1796</v>
      </c>
      <c r="O449" s="697" t="s">
        <v>2183</v>
      </c>
      <c r="P449" s="710">
        <f>(C39)</f>
        <v>5</v>
      </c>
      <c r="Q449" s="697" t="s">
        <v>1796</v>
      </c>
      <c r="R449" s="710">
        <f>(M449*P449)</f>
        <v>150</v>
      </c>
      <c r="AC449" s="700"/>
      <c r="AD449" s="697" t="s">
        <v>842</v>
      </c>
      <c r="AF449" s="702">
        <f t="shared" si="50"/>
        <v>10.8</v>
      </c>
      <c r="AG449" s="709">
        <f t="shared" si="49"/>
        <v>577.49</v>
      </c>
      <c r="AJ449" s="699">
        <f>40.81*0.075</f>
        <v>3.06</v>
      </c>
    </row>
    <row r="450" spans="1:36" ht="24" customHeight="1">
      <c r="A450" s="720" t="e">
        <f t="shared" si="47"/>
        <v>#REF!</v>
      </c>
      <c r="B450" s="722" t="s">
        <v>1138</v>
      </c>
      <c r="C450" s="718">
        <v>69.8</v>
      </c>
      <c r="D450" s="722" t="s">
        <v>877</v>
      </c>
      <c r="K450" s="705" t="s">
        <v>1609</v>
      </c>
      <c r="O450" s="697" t="s">
        <v>2184</v>
      </c>
      <c r="AD450" s="697" t="s">
        <v>3612</v>
      </c>
      <c r="AE450" s="724">
        <f t="shared" ref="AE450:AE455" si="51">AG450</f>
        <v>588.29</v>
      </c>
      <c r="AF450" s="702">
        <f t="shared" si="50"/>
        <v>10.8</v>
      </c>
      <c r="AG450" s="709">
        <f t="shared" si="49"/>
        <v>588.29</v>
      </c>
    </row>
    <row r="451" spans="1:36" ht="24" customHeight="1">
      <c r="A451" s="720" t="e">
        <f t="shared" si="47"/>
        <v>#REF!</v>
      </c>
      <c r="B451" s="722" t="s">
        <v>239</v>
      </c>
      <c r="C451" s="718">
        <v>87</v>
      </c>
      <c r="D451" s="722" t="s">
        <v>877</v>
      </c>
      <c r="H451" s="697" t="s">
        <v>782</v>
      </c>
      <c r="K451" s="710">
        <f>(K449/10)</f>
        <v>5565.6</v>
      </c>
      <c r="O451" s="697" t="s">
        <v>2185</v>
      </c>
      <c r="AD451" s="697" t="s">
        <v>3613</v>
      </c>
      <c r="AE451" s="724">
        <f t="shared" si="51"/>
        <v>599.09</v>
      </c>
      <c r="AF451" s="702">
        <f t="shared" si="50"/>
        <v>10.8</v>
      </c>
      <c r="AG451" s="709">
        <f t="shared" si="49"/>
        <v>599.09</v>
      </c>
    </row>
    <row r="452" spans="1:36" ht="24" customHeight="1">
      <c r="A452" s="720" t="e">
        <f t="shared" si="47"/>
        <v>#REF!</v>
      </c>
      <c r="B452" s="791" t="s">
        <v>3581</v>
      </c>
      <c r="C452" s="790">
        <v>18.600000000000001</v>
      </c>
      <c r="D452" s="791" t="s">
        <v>877</v>
      </c>
      <c r="K452" s="705" t="s">
        <v>2080</v>
      </c>
      <c r="O452" s="697" t="s">
        <v>2186</v>
      </c>
      <c r="AD452" s="697" t="s">
        <v>3614</v>
      </c>
      <c r="AE452" s="724">
        <f t="shared" si="51"/>
        <v>609.89</v>
      </c>
      <c r="AF452" s="702">
        <f t="shared" si="50"/>
        <v>10.8</v>
      </c>
      <c r="AG452" s="709">
        <f t="shared" si="49"/>
        <v>609.89</v>
      </c>
    </row>
    <row r="453" spans="1:36" ht="24" customHeight="1">
      <c r="A453" s="720" t="e">
        <f t="shared" si="47"/>
        <v>#REF!</v>
      </c>
      <c r="B453" s="722" t="s">
        <v>2313</v>
      </c>
      <c r="C453" s="734"/>
      <c r="D453" s="722" t="s">
        <v>987</v>
      </c>
      <c r="O453" s="697" t="s">
        <v>2189</v>
      </c>
      <c r="AD453" s="697" t="s">
        <v>3635</v>
      </c>
      <c r="AE453" s="724">
        <f t="shared" si="51"/>
        <v>620.69000000000005</v>
      </c>
      <c r="AF453" s="702">
        <f t="shared" si="50"/>
        <v>10.8</v>
      </c>
      <c r="AG453" s="709">
        <f t="shared" si="49"/>
        <v>620.69000000000005</v>
      </c>
    </row>
    <row r="454" spans="1:36" ht="24" customHeight="1">
      <c r="A454" s="720" t="e">
        <f t="shared" si="47"/>
        <v>#REF!</v>
      </c>
      <c r="B454" s="722" t="s">
        <v>1133</v>
      </c>
      <c r="C454" s="721">
        <v>355.95</v>
      </c>
      <c r="D454" s="722" t="s">
        <v>877</v>
      </c>
      <c r="G454" s="708" t="s">
        <v>2276</v>
      </c>
      <c r="H454" s="697" t="s">
        <v>153</v>
      </c>
      <c r="M454" s="710">
        <v>8</v>
      </c>
      <c r="N454" s="697" t="s">
        <v>778</v>
      </c>
      <c r="O454" s="697" t="s">
        <v>2168</v>
      </c>
      <c r="P454" s="710">
        <f>(C41)</f>
        <v>7.1</v>
      </c>
      <c r="Q454" s="697" t="s">
        <v>778</v>
      </c>
      <c r="R454" s="710">
        <f>(M454*P454)</f>
        <v>56.8</v>
      </c>
      <c r="AD454" s="697" t="s">
        <v>3633</v>
      </c>
      <c r="AE454" s="724">
        <f t="shared" si="51"/>
        <v>631.49</v>
      </c>
      <c r="AF454" s="702">
        <f t="shared" si="50"/>
        <v>10.8</v>
      </c>
      <c r="AG454" s="709">
        <f t="shared" si="49"/>
        <v>631.49</v>
      </c>
    </row>
    <row r="455" spans="1:36" ht="24" customHeight="1">
      <c r="A455" s="720" t="e">
        <f t="shared" si="47"/>
        <v>#REF!</v>
      </c>
      <c r="B455" s="722" t="s">
        <v>1134</v>
      </c>
      <c r="C455" s="721">
        <v>536.54999999999995</v>
      </c>
      <c r="D455" s="722" t="s">
        <v>877</v>
      </c>
      <c r="H455" s="705" t="s">
        <v>1609</v>
      </c>
      <c r="M455" s="710">
        <v>8</v>
      </c>
      <c r="N455" s="697" t="s">
        <v>778</v>
      </c>
      <c r="O455" s="697" t="s">
        <v>468</v>
      </c>
      <c r="P455" s="710">
        <f>(C48)</f>
        <v>11.7</v>
      </c>
      <c r="Q455" s="697" t="s">
        <v>778</v>
      </c>
      <c r="R455" s="710">
        <f>(M455*P455)</f>
        <v>93.6</v>
      </c>
      <c r="AE455" s="724">
        <f t="shared" si="51"/>
        <v>642.29</v>
      </c>
      <c r="AF455" s="702">
        <f t="shared" si="50"/>
        <v>10.8</v>
      </c>
      <c r="AG455" s="709">
        <f t="shared" si="49"/>
        <v>642.29</v>
      </c>
    </row>
    <row r="456" spans="1:36" ht="24" customHeight="1">
      <c r="A456" s="720" t="e">
        <f t="shared" si="47"/>
        <v>#REF!</v>
      </c>
      <c r="B456" s="722" t="s">
        <v>1135</v>
      </c>
      <c r="C456" s="734">
        <v>789.6</v>
      </c>
      <c r="D456" s="722" t="s">
        <v>987</v>
      </c>
      <c r="F456" s="710">
        <v>0.5</v>
      </c>
      <c r="G456" s="708" t="s">
        <v>878</v>
      </c>
      <c r="H456" s="697" t="s">
        <v>2304</v>
      </c>
      <c r="I456" s="710">
        <f>(K451)</f>
        <v>5565.6</v>
      </c>
      <c r="J456" s="697" t="s">
        <v>877</v>
      </c>
      <c r="K456" s="710">
        <f>(F456*I456)</f>
        <v>2782.8</v>
      </c>
      <c r="M456" s="710">
        <v>1</v>
      </c>
      <c r="N456" s="697" t="s">
        <v>450</v>
      </c>
      <c r="O456" s="697" t="s">
        <v>1709</v>
      </c>
      <c r="P456" s="710">
        <f>(C53)</f>
        <v>12.1</v>
      </c>
      <c r="Q456" s="697" t="s">
        <v>450</v>
      </c>
      <c r="R456" s="710">
        <f>(M456*P456)</f>
        <v>12.1</v>
      </c>
      <c r="U456" s="793" t="s">
        <v>4099</v>
      </c>
      <c r="Y456" s="703"/>
      <c r="AA456" s="793" t="s">
        <v>4230</v>
      </c>
      <c r="AE456" s="724">
        <f>AG456</f>
        <v>653.09</v>
      </c>
      <c r="AF456" s="702">
        <f>AF455</f>
        <v>10.8</v>
      </c>
      <c r="AG456" s="709">
        <f>AG455+AF456</f>
        <v>653.09</v>
      </c>
    </row>
    <row r="457" spans="1:36" ht="24" customHeight="1">
      <c r="A457" s="720" t="e">
        <f t="shared" si="47"/>
        <v>#REF!</v>
      </c>
      <c r="B457" s="722" t="s">
        <v>4727</v>
      </c>
      <c r="C457" s="718">
        <f>AE46</f>
        <v>3.83</v>
      </c>
      <c r="D457" s="722" t="s">
        <v>877</v>
      </c>
      <c r="F457" s="710">
        <v>1</v>
      </c>
      <c r="G457" s="708" t="s">
        <v>778</v>
      </c>
      <c r="H457" s="697" t="s">
        <v>2034</v>
      </c>
      <c r="I457" s="710">
        <f>(C8)</f>
        <v>861</v>
      </c>
      <c r="J457" s="697" t="s">
        <v>877</v>
      </c>
      <c r="K457" s="710">
        <f>(F457*I457)</f>
        <v>861</v>
      </c>
      <c r="M457" s="710">
        <v>1</v>
      </c>
      <c r="N457" s="697" t="s">
        <v>450</v>
      </c>
      <c r="O457" s="697" t="s">
        <v>451</v>
      </c>
      <c r="Q457" s="697" t="s">
        <v>450</v>
      </c>
      <c r="R457" s="710">
        <v>0</v>
      </c>
      <c r="S457" s="698" t="s">
        <v>1635</v>
      </c>
      <c r="T457" s="708" t="s">
        <v>2276</v>
      </c>
      <c r="U457" s="697" t="s">
        <v>891</v>
      </c>
      <c r="W457" s="702"/>
      <c r="Y457" s="698" t="s">
        <v>1635</v>
      </c>
      <c r="Z457" s="708" t="s">
        <v>2276</v>
      </c>
      <c r="AA457" s="697" t="s">
        <v>891</v>
      </c>
      <c r="AC457" s="702"/>
      <c r="AE457" s="724">
        <f>AG457</f>
        <v>663.89</v>
      </c>
      <c r="AF457" s="702">
        <f>AF456</f>
        <v>10.8</v>
      </c>
      <c r="AG457" s="709">
        <f>AG456+AF457</f>
        <v>663.89</v>
      </c>
    </row>
    <row r="458" spans="1:36" ht="24" customHeight="1">
      <c r="A458" s="720" t="e">
        <f t="shared" si="47"/>
        <v>#REF!</v>
      </c>
      <c r="B458" s="722" t="s">
        <v>4728</v>
      </c>
      <c r="C458" s="718">
        <f>AE47</f>
        <v>4.83</v>
      </c>
      <c r="D458" s="722" t="s">
        <v>877</v>
      </c>
      <c r="G458" s="708" t="s">
        <v>450</v>
      </c>
      <c r="H458" s="697" t="s">
        <v>451</v>
      </c>
      <c r="I458" s="697" t="s">
        <v>987</v>
      </c>
      <c r="J458" s="697" t="s">
        <v>450</v>
      </c>
      <c r="K458" s="710">
        <v>0</v>
      </c>
      <c r="R458" s="705" t="s">
        <v>1609</v>
      </c>
      <c r="S458" s="699"/>
      <c r="T458" s="700"/>
      <c r="U458" s="697" t="s">
        <v>1113</v>
      </c>
      <c r="W458" s="702"/>
      <c r="Z458" s="700"/>
      <c r="AA458" s="697" t="s">
        <v>1113</v>
      </c>
      <c r="AC458" s="702"/>
      <c r="AE458" s="724">
        <f t="shared" ref="AE458:AE478" si="52">AG458</f>
        <v>674.69</v>
      </c>
      <c r="AF458" s="702">
        <f>AF457</f>
        <v>10.8</v>
      </c>
      <c r="AG458" s="709">
        <f>AG457+AF458</f>
        <v>674.69</v>
      </c>
    </row>
    <row r="459" spans="1:36" ht="24" customHeight="1">
      <c r="A459" s="720" t="e">
        <f t="shared" si="47"/>
        <v>#REF!</v>
      </c>
      <c r="B459" s="722" t="s">
        <v>1099</v>
      </c>
      <c r="C459" s="745">
        <v>350</v>
      </c>
      <c r="D459" s="745">
        <v>375</v>
      </c>
      <c r="K459" s="705" t="s">
        <v>1609</v>
      </c>
      <c r="O459" s="697" t="s">
        <v>1566</v>
      </c>
      <c r="R459" s="710">
        <f>SUM(R447:R457)</f>
        <v>2149.58</v>
      </c>
      <c r="S459" s="699"/>
      <c r="T459" s="700"/>
      <c r="U459" s="697" t="s">
        <v>4091</v>
      </c>
      <c r="W459" s="702"/>
      <c r="Z459" s="700"/>
      <c r="AA459" s="697" t="s">
        <v>4091</v>
      </c>
      <c r="AC459" s="702"/>
      <c r="AE459" s="724">
        <f t="shared" si="52"/>
        <v>685.49</v>
      </c>
      <c r="AF459" s="702">
        <f>AF458</f>
        <v>10.8</v>
      </c>
      <c r="AG459" s="709">
        <f>AG458+AF459</f>
        <v>685.49</v>
      </c>
    </row>
    <row r="460" spans="1:36" ht="24" customHeight="1">
      <c r="A460" s="720" t="e">
        <f t="shared" si="47"/>
        <v>#REF!</v>
      </c>
      <c r="B460" s="722" t="s">
        <v>2123</v>
      </c>
      <c r="C460" s="745">
        <v>400</v>
      </c>
      <c r="D460" s="745">
        <v>425</v>
      </c>
      <c r="H460" s="697" t="s">
        <v>442</v>
      </c>
      <c r="K460" s="710">
        <f>SUM(K456:K458)</f>
        <v>3643.8</v>
      </c>
      <c r="R460" s="705" t="s">
        <v>1609</v>
      </c>
      <c r="S460" s="699"/>
      <c r="T460" s="700"/>
      <c r="U460" s="705" t="s">
        <v>1609</v>
      </c>
      <c r="W460" s="702"/>
      <c r="Z460" s="700"/>
      <c r="AA460" s="705" t="s">
        <v>1609</v>
      </c>
      <c r="AC460" s="702"/>
      <c r="AE460" s="724">
        <f t="shared" si="52"/>
        <v>696.29</v>
      </c>
      <c r="AF460" s="702">
        <f>AF459</f>
        <v>10.8</v>
      </c>
      <c r="AG460" s="709">
        <f>AG459+AF460</f>
        <v>696.29</v>
      </c>
    </row>
    <row r="461" spans="1:36" ht="60.75" customHeight="1">
      <c r="A461" s="720" t="e">
        <f t="shared" si="47"/>
        <v>#REF!</v>
      </c>
      <c r="B461" s="722" t="s">
        <v>1076</v>
      </c>
      <c r="C461" s="745">
        <v>450</v>
      </c>
      <c r="D461" s="745">
        <v>500</v>
      </c>
      <c r="K461" s="705" t="s">
        <v>1609</v>
      </c>
      <c r="O461" s="697" t="s">
        <v>1567</v>
      </c>
      <c r="R461" s="710">
        <f>(R459/30)</f>
        <v>71.650000000000006</v>
      </c>
      <c r="S461" s="710">
        <v>0.01</v>
      </c>
      <c r="T461" s="708" t="s">
        <v>878</v>
      </c>
      <c r="U461" s="762" t="s">
        <v>4100</v>
      </c>
      <c r="V461" s="710">
        <f>Z715</f>
        <v>7182.09</v>
      </c>
      <c r="W461" s="697" t="s">
        <v>878</v>
      </c>
      <c r="X461" s="710">
        <f>(S461*V461)</f>
        <v>71.819999999999993</v>
      </c>
      <c r="Y461" s="710">
        <v>0.01</v>
      </c>
      <c r="Z461" s="708" t="s">
        <v>878</v>
      </c>
      <c r="AA461" s="762" t="s">
        <v>4231</v>
      </c>
      <c r="AB461" s="710">
        <f>Y685</f>
        <v>7719.51</v>
      </c>
      <c r="AC461" s="697" t="s">
        <v>878</v>
      </c>
      <c r="AD461" s="710">
        <f>(Y461*AB461)</f>
        <v>77.2</v>
      </c>
      <c r="AE461" s="724" t="str">
        <f t="shared" si="52"/>
        <v>|</v>
      </c>
      <c r="AG461" s="697" t="s">
        <v>2284</v>
      </c>
    </row>
    <row r="462" spans="1:36" ht="24" customHeight="1">
      <c r="A462" s="720" t="e">
        <f t="shared" si="47"/>
        <v>#REF!</v>
      </c>
      <c r="B462" s="722" t="s">
        <v>1978</v>
      </c>
      <c r="C462" s="745">
        <v>77.819999999999993</v>
      </c>
      <c r="D462" s="722" t="s">
        <v>877</v>
      </c>
      <c r="H462" s="697" t="s">
        <v>556</v>
      </c>
      <c r="K462" s="710">
        <f>(K460/10)</f>
        <v>364.38</v>
      </c>
      <c r="R462" s="705" t="s">
        <v>1609</v>
      </c>
      <c r="S462" s="710">
        <v>0.01</v>
      </c>
      <c r="T462" s="708" t="s">
        <v>878</v>
      </c>
      <c r="U462" s="697" t="s">
        <v>997</v>
      </c>
      <c r="V462" s="710"/>
      <c r="W462" s="697" t="s">
        <v>450</v>
      </c>
      <c r="X462" s="710">
        <v>1.1499999999999999</v>
      </c>
      <c r="Y462" s="710">
        <v>0.01</v>
      </c>
      <c r="Z462" s="708" t="s">
        <v>878</v>
      </c>
      <c r="AA462" s="697" t="s">
        <v>997</v>
      </c>
      <c r="AB462" s="710"/>
      <c r="AC462" s="697" t="s">
        <v>450</v>
      </c>
      <c r="AD462" s="710">
        <v>1.1499999999999999</v>
      </c>
      <c r="AE462" s="724" t="str">
        <f t="shared" si="52"/>
        <v>|</v>
      </c>
      <c r="AG462" s="697" t="s">
        <v>2284</v>
      </c>
    </row>
    <row r="463" spans="1:36" ht="24" customHeight="1">
      <c r="A463" s="720" t="e">
        <f t="shared" si="47"/>
        <v>#REF!</v>
      </c>
      <c r="B463" s="722" t="s">
        <v>1979</v>
      </c>
      <c r="C463" s="745">
        <v>99.74</v>
      </c>
      <c r="D463" s="722" t="s">
        <v>877</v>
      </c>
      <c r="K463" s="705" t="s">
        <v>2080</v>
      </c>
      <c r="N463" s="697" t="s">
        <v>1980</v>
      </c>
      <c r="O463" s="698" t="s">
        <v>1981</v>
      </c>
      <c r="S463" s="699"/>
      <c r="T463" s="700"/>
      <c r="U463" s="697" t="s">
        <v>132</v>
      </c>
      <c r="V463" s="710"/>
      <c r="W463" s="702"/>
      <c r="Z463" s="700"/>
      <c r="AA463" s="697" t="s">
        <v>132</v>
      </c>
      <c r="AB463" s="710"/>
      <c r="AC463" s="702"/>
      <c r="AE463" s="724" t="str">
        <f t="shared" si="52"/>
        <v>|</v>
      </c>
      <c r="AG463" s="697" t="s">
        <v>2284</v>
      </c>
    </row>
    <row r="464" spans="1:36" ht="24" customHeight="1">
      <c r="A464" s="720" t="e">
        <f t="shared" si="47"/>
        <v>#REF!</v>
      </c>
      <c r="B464" s="722" t="s">
        <v>1135</v>
      </c>
      <c r="C464" s="745">
        <v>165</v>
      </c>
      <c r="D464" s="722" t="s">
        <v>877</v>
      </c>
      <c r="H464" s="697" t="s">
        <v>386</v>
      </c>
      <c r="K464" s="709">
        <f>(K462+C17/10*F456)</f>
        <v>367.95</v>
      </c>
      <c r="O464" s="705" t="s">
        <v>1609</v>
      </c>
      <c r="S464" s="699"/>
      <c r="T464" s="700"/>
      <c r="V464" s="710"/>
      <c r="W464" s="702"/>
      <c r="X464" s="705" t="s">
        <v>1609</v>
      </c>
      <c r="Z464" s="700"/>
      <c r="AB464" s="710"/>
      <c r="AC464" s="702"/>
      <c r="AD464" s="705" t="s">
        <v>1609</v>
      </c>
      <c r="AE464" s="724" t="str">
        <f t="shared" si="52"/>
        <v>|</v>
      </c>
      <c r="AG464" s="697" t="s">
        <v>2284</v>
      </c>
    </row>
    <row r="465" spans="1:33" ht="24" customHeight="1">
      <c r="A465" s="720" t="e">
        <f t="shared" si="47"/>
        <v>#REF!</v>
      </c>
      <c r="B465" s="722" t="s">
        <v>1136</v>
      </c>
      <c r="C465" s="745">
        <v>258</v>
      </c>
      <c r="D465" s="722" t="s">
        <v>877</v>
      </c>
      <c r="H465" s="697" t="s">
        <v>388</v>
      </c>
      <c r="K465" s="709">
        <f>(K464+C18/10*F456)</f>
        <v>375.15</v>
      </c>
      <c r="M465" s="710">
        <v>8.1</v>
      </c>
      <c r="N465" s="697" t="s">
        <v>878</v>
      </c>
      <c r="O465" s="697" t="s">
        <v>623</v>
      </c>
      <c r="P465" s="710">
        <f>(C58)*2</f>
        <v>193.2</v>
      </c>
      <c r="Q465" s="697" t="s">
        <v>878</v>
      </c>
      <c r="R465" s="710">
        <f>(M465*P465)</f>
        <v>1564.92</v>
      </c>
      <c r="S465" s="699"/>
      <c r="T465" s="700"/>
      <c r="U465" s="697" t="s">
        <v>1508</v>
      </c>
      <c r="V465" s="710"/>
      <c r="W465" s="702"/>
      <c r="X465" s="710">
        <f>SUM(X461:X463)</f>
        <v>72.97</v>
      </c>
      <c r="Z465" s="700"/>
      <c r="AA465" s="697" t="s">
        <v>1508</v>
      </c>
      <c r="AB465" s="710"/>
      <c r="AC465" s="702"/>
      <c r="AD465" s="710">
        <f>SUM(AD461:AD463)</f>
        <v>78.349999999999994</v>
      </c>
      <c r="AE465" s="724" t="str">
        <f t="shared" si="52"/>
        <v>|</v>
      </c>
      <c r="AG465" s="697" t="s">
        <v>2284</v>
      </c>
    </row>
    <row r="466" spans="1:33" ht="24" customHeight="1">
      <c r="A466" s="720" t="e">
        <f t="shared" si="47"/>
        <v>#REF!</v>
      </c>
      <c r="B466" s="722" t="s">
        <v>1138</v>
      </c>
      <c r="C466" s="745">
        <v>298</v>
      </c>
      <c r="D466" s="722" t="s">
        <v>877</v>
      </c>
      <c r="H466" s="697" t="s">
        <v>2257</v>
      </c>
      <c r="K466" s="709">
        <f>(K465+C19/10*F456)</f>
        <v>382.35</v>
      </c>
      <c r="M466" s="710">
        <v>8.1</v>
      </c>
      <c r="N466" s="697" t="s">
        <v>878</v>
      </c>
      <c r="O466" s="697" t="s">
        <v>2182</v>
      </c>
      <c r="P466" s="710">
        <f>(C24)</f>
        <v>33.6</v>
      </c>
      <c r="Q466" s="697" t="s">
        <v>878</v>
      </c>
      <c r="R466" s="710">
        <f>(M466*P466)</f>
        <v>272.16000000000003</v>
      </c>
      <c r="S466" s="699"/>
      <c r="T466" s="700"/>
      <c r="V466" s="710"/>
      <c r="W466" s="702"/>
      <c r="X466" s="705" t="s">
        <v>1609</v>
      </c>
      <c r="Z466" s="700"/>
      <c r="AB466" s="710"/>
      <c r="AC466" s="702"/>
      <c r="AD466" s="705" t="s">
        <v>1609</v>
      </c>
      <c r="AE466" s="724" t="str">
        <f t="shared" si="52"/>
        <v>|</v>
      </c>
      <c r="AG466" s="697" t="s">
        <v>2284</v>
      </c>
    </row>
    <row r="467" spans="1:33" ht="24" customHeight="1">
      <c r="A467" s="720" t="e">
        <f t="shared" si="47"/>
        <v>#REF!</v>
      </c>
      <c r="B467" s="722" t="s">
        <v>239</v>
      </c>
      <c r="C467" s="745">
        <v>398</v>
      </c>
      <c r="D467" s="722" t="s">
        <v>877</v>
      </c>
      <c r="H467" s="697" t="s">
        <v>380</v>
      </c>
      <c r="K467" s="709">
        <f>(K466+C19/10*F456)</f>
        <v>389.55</v>
      </c>
      <c r="L467" s="699">
        <f t="shared" ref="L467:L473" si="53">K467-K466</f>
        <v>7.2</v>
      </c>
      <c r="M467" s="710">
        <v>30</v>
      </c>
      <c r="N467" s="697" t="s">
        <v>1796</v>
      </c>
      <c r="O467" s="697" t="s">
        <v>2183</v>
      </c>
      <c r="P467" s="710">
        <f>(C39)</f>
        <v>5</v>
      </c>
      <c r="Q467" s="697" t="s">
        <v>1796</v>
      </c>
      <c r="R467" s="710">
        <f>(M467*P467)</f>
        <v>150</v>
      </c>
      <c r="S467" s="699"/>
      <c r="T467" s="700"/>
      <c r="U467" s="697" t="s">
        <v>782</v>
      </c>
      <c r="V467" s="710"/>
      <c r="W467" s="702"/>
      <c r="X467" s="710">
        <f>ROUND(X465*100,0)</f>
        <v>7297</v>
      </c>
      <c r="Z467" s="700"/>
      <c r="AA467" s="697" t="s">
        <v>782</v>
      </c>
      <c r="AB467" s="710"/>
      <c r="AC467" s="702"/>
      <c r="AD467" s="710">
        <f>ROUND(AD465*100,0)</f>
        <v>7835</v>
      </c>
      <c r="AE467" s="724" t="str">
        <f t="shared" si="52"/>
        <v>|</v>
      </c>
      <c r="AG467" s="697" t="s">
        <v>2284</v>
      </c>
    </row>
    <row r="468" spans="1:33" ht="15.75">
      <c r="A468" s="720" t="e">
        <f t="shared" si="47"/>
        <v>#REF!</v>
      </c>
      <c r="B468" s="722" t="s">
        <v>1139</v>
      </c>
      <c r="C468" s="757"/>
      <c r="D468" s="722" t="s">
        <v>877</v>
      </c>
      <c r="H468" s="697" t="s">
        <v>1554</v>
      </c>
      <c r="K468" s="709">
        <f>(K467+C19/10*F456)</f>
        <v>396.75</v>
      </c>
      <c r="L468" s="699">
        <f t="shared" si="53"/>
        <v>7.2</v>
      </c>
      <c r="O468" s="697" t="s">
        <v>2184</v>
      </c>
      <c r="S468" s="697" t="s">
        <v>987</v>
      </c>
      <c r="T468" s="700"/>
      <c r="V468" s="710"/>
      <c r="W468" s="702"/>
      <c r="Y468" s="697" t="s">
        <v>987</v>
      </c>
      <c r="Z468" s="700"/>
      <c r="AB468" s="710"/>
      <c r="AC468" s="702"/>
      <c r="AE468" s="724" t="str">
        <f t="shared" si="52"/>
        <v>|</v>
      </c>
      <c r="AG468" s="697" t="s">
        <v>2284</v>
      </c>
    </row>
    <row r="469" spans="1:33" ht="15.75">
      <c r="A469" s="720"/>
      <c r="B469" s="722"/>
      <c r="C469" s="734"/>
      <c r="D469" s="722"/>
      <c r="H469" s="697">
        <v>5</v>
      </c>
      <c r="K469" s="709">
        <f>(K468+C19/10*F456)</f>
        <v>403.95</v>
      </c>
      <c r="L469" s="699">
        <f t="shared" si="53"/>
        <v>7.2</v>
      </c>
      <c r="O469" s="697"/>
      <c r="S469" s="699"/>
      <c r="T469" s="700"/>
      <c r="V469" s="710"/>
      <c r="W469" s="702"/>
      <c r="X469" s="705" t="s">
        <v>2080</v>
      </c>
      <c r="Z469" s="700"/>
      <c r="AB469" s="710"/>
      <c r="AC469" s="702"/>
      <c r="AD469" s="705" t="s">
        <v>2080</v>
      </c>
      <c r="AE469" s="724"/>
      <c r="AG469" s="697"/>
    </row>
    <row r="470" spans="1:33" ht="15.75">
      <c r="A470" s="720"/>
      <c r="B470" s="722"/>
      <c r="C470" s="734"/>
      <c r="D470" s="722"/>
      <c r="H470" s="697">
        <v>6</v>
      </c>
      <c r="K470" s="709">
        <f>(K469+C19/10*F456)</f>
        <v>411.15</v>
      </c>
      <c r="L470" s="699">
        <f t="shared" si="53"/>
        <v>7.2</v>
      </c>
      <c r="O470" s="697"/>
      <c r="S470" s="699"/>
      <c r="T470" s="708" t="s">
        <v>681</v>
      </c>
      <c r="U470" s="697" t="s">
        <v>1004</v>
      </c>
      <c r="V470" s="710"/>
      <c r="W470" s="702"/>
      <c r="Z470" s="708" t="s">
        <v>681</v>
      </c>
      <c r="AA470" s="697" t="s">
        <v>1004</v>
      </c>
      <c r="AB470" s="710"/>
      <c r="AC470" s="702"/>
      <c r="AE470" s="724"/>
      <c r="AG470" s="697"/>
    </row>
    <row r="471" spans="1:33" ht="15.75">
      <c r="A471" s="720"/>
      <c r="B471" s="722"/>
      <c r="C471" s="734"/>
      <c r="D471" s="722"/>
      <c r="H471" s="697">
        <v>7</v>
      </c>
      <c r="K471" s="709">
        <f>(K470+C19/10*F456)</f>
        <v>418.35</v>
      </c>
      <c r="L471" s="699">
        <f t="shared" si="53"/>
        <v>7.2</v>
      </c>
      <c r="O471" s="697"/>
      <c r="S471" s="699"/>
      <c r="T471" s="700"/>
      <c r="U471" s="697" t="s">
        <v>1678</v>
      </c>
      <c r="V471" s="710"/>
      <c r="W471" s="702"/>
      <c r="Z471" s="700"/>
      <c r="AA471" s="697" t="s">
        <v>1678</v>
      </c>
      <c r="AB471" s="710"/>
      <c r="AC471" s="702"/>
      <c r="AE471" s="724"/>
      <c r="AG471" s="697"/>
    </row>
    <row r="472" spans="1:33" ht="15.75">
      <c r="A472" s="720"/>
      <c r="B472" s="722"/>
      <c r="C472" s="734"/>
      <c r="D472" s="722"/>
      <c r="H472" s="697">
        <v>8</v>
      </c>
      <c r="K472" s="709">
        <f>(K471+C19/10*F456)</f>
        <v>425.55</v>
      </c>
      <c r="L472" s="699">
        <f t="shared" si="53"/>
        <v>7.2</v>
      </c>
      <c r="O472" s="697"/>
      <c r="S472" s="699"/>
      <c r="T472" s="700"/>
      <c r="U472" s="705" t="s">
        <v>1609</v>
      </c>
      <c r="V472" s="710"/>
      <c r="W472" s="702"/>
      <c r="Z472" s="700"/>
      <c r="AA472" s="705" t="s">
        <v>1609</v>
      </c>
      <c r="AB472" s="710"/>
      <c r="AC472" s="702"/>
      <c r="AE472" s="724"/>
      <c r="AG472" s="697"/>
    </row>
    <row r="473" spans="1:33" ht="15.75">
      <c r="A473" s="720"/>
      <c r="B473" s="722"/>
      <c r="C473" s="734"/>
      <c r="D473" s="722"/>
      <c r="H473" s="697">
        <v>9</v>
      </c>
      <c r="K473" s="709">
        <f>(K472+C19/10*F456)</f>
        <v>432.75</v>
      </c>
      <c r="L473" s="699">
        <f t="shared" si="53"/>
        <v>7.2</v>
      </c>
      <c r="O473" s="697"/>
      <c r="S473" s="740">
        <v>1.4E-2</v>
      </c>
      <c r="T473" s="708" t="s">
        <v>878</v>
      </c>
      <c r="U473" s="697" t="s">
        <v>1345</v>
      </c>
      <c r="V473" s="710">
        <f>X467</f>
        <v>7297</v>
      </c>
      <c r="W473" s="697" t="s">
        <v>878</v>
      </c>
      <c r="X473" s="710">
        <f>(S473*V473)</f>
        <v>102.16</v>
      </c>
      <c r="Y473" s="740">
        <v>1.4E-2</v>
      </c>
      <c r="Z473" s="708" t="s">
        <v>878</v>
      </c>
      <c r="AA473" s="697" t="s">
        <v>1345</v>
      </c>
      <c r="AB473" s="710">
        <f>AD467</f>
        <v>7835</v>
      </c>
      <c r="AC473" s="697" t="s">
        <v>878</v>
      </c>
      <c r="AD473" s="710">
        <f>(Y473*AB473)</f>
        <v>109.69</v>
      </c>
      <c r="AE473" s="724"/>
      <c r="AG473" s="697"/>
    </row>
    <row r="474" spans="1:33" ht="15.75">
      <c r="A474" s="720"/>
      <c r="B474" s="722"/>
      <c r="C474" s="734"/>
      <c r="D474" s="722"/>
      <c r="H474" s="697">
        <v>10</v>
      </c>
      <c r="K474" s="709">
        <f>(K473+C19/10*F456)</f>
        <v>439.95</v>
      </c>
      <c r="L474" s="699">
        <f>K474-K473</f>
        <v>7.2</v>
      </c>
      <c r="O474" s="697"/>
      <c r="S474" s="740"/>
      <c r="T474" s="700"/>
      <c r="U474" s="697" t="s">
        <v>1799</v>
      </c>
      <c r="V474" s="710"/>
      <c r="W474" s="702"/>
      <c r="X474" s="697" t="s">
        <v>987</v>
      </c>
      <c r="Y474" s="740"/>
      <c r="Z474" s="700"/>
      <c r="AA474" s="697" t="s">
        <v>1799</v>
      </c>
      <c r="AB474" s="710"/>
      <c r="AC474" s="702"/>
      <c r="AD474" s="697" t="s">
        <v>987</v>
      </c>
      <c r="AE474" s="724"/>
      <c r="AG474" s="697"/>
    </row>
    <row r="475" spans="1:33" ht="15.75">
      <c r="A475" s="720"/>
      <c r="B475" s="722"/>
      <c r="C475" s="734"/>
      <c r="D475" s="722"/>
      <c r="H475" s="697"/>
      <c r="K475" s="709">
        <f>(K474+C19/10*F456)</f>
        <v>447.15</v>
      </c>
      <c r="L475" s="699">
        <f>K475-K474</f>
        <v>7.2</v>
      </c>
      <c r="O475" s="697"/>
      <c r="S475" s="710">
        <v>0.5</v>
      </c>
      <c r="T475" s="708" t="s">
        <v>778</v>
      </c>
      <c r="U475" s="697" t="s">
        <v>2034</v>
      </c>
      <c r="V475" s="710">
        <f>C8</f>
        <v>861</v>
      </c>
      <c r="W475" s="697" t="s">
        <v>778</v>
      </c>
      <c r="X475" s="710">
        <f>(S475*V475)</f>
        <v>430.5</v>
      </c>
      <c r="Y475" s="710">
        <v>0.5</v>
      </c>
      <c r="Z475" s="708" t="s">
        <v>778</v>
      </c>
      <c r="AA475" s="697" t="s">
        <v>2034</v>
      </c>
      <c r="AB475" s="710">
        <f>V475</f>
        <v>861</v>
      </c>
      <c r="AC475" s="697" t="s">
        <v>778</v>
      </c>
      <c r="AD475" s="710">
        <f>(Y475*AB475)</f>
        <v>430.5</v>
      </c>
      <c r="AE475" s="724"/>
      <c r="AG475" s="697"/>
    </row>
    <row r="476" spans="1:33" ht="15.75">
      <c r="A476" s="720" t="e">
        <f>(A468+1)</f>
        <v>#REF!</v>
      </c>
      <c r="B476" s="792" t="s">
        <v>4729</v>
      </c>
      <c r="C476" s="734"/>
      <c r="D476" s="722" t="s">
        <v>877</v>
      </c>
      <c r="F476" s="698" t="s">
        <v>1982</v>
      </c>
      <c r="G476" s="708" t="s">
        <v>2276</v>
      </c>
      <c r="H476" s="697" t="s">
        <v>1983</v>
      </c>
      <c r="K476" s="709">
        <f>(K475+C19/10*F456)</f>
        <v>454.35</v>
      </c>
      <c r="L476" s="699">
        <f>K476-K475</f>
        <v>7.2</v>
      </c>
      <c r="O476" s="697" t="s">
        <v>2185</v>
      </c>
      <c r="S476" s="710">
        <v>0.75</v>
      </c>
      <c r="T476" s="708" t="s">
        <v>778</v>
      </c>
      <c r="U476" s="697" t="s">
        <v>1927</v>
      </c>
      <c r="V476" s="710">
        <f>C10</f>
        <v>562</v>
      </c>
      <c r="W476" s="697" t="s">
        <v>778</v>
      </c>
      <c r="X476" s="710">
        <f>(S476*V476)</f>
        <v>421.5</v>
      </c>
      <c r="Y476" s="710">
        <v>0.75</v>
      </c>
      <c r="Z476" s="708" t="s">
        <v>778</v>
      </c>
      <c r="AA476" s="697" t="s">
        <v>1927</v>
      </c>
      <c r="AB476" s="710">
        <f>V476</f>
        <v>562</v>
      </c>
      <c r="AC476" s="697" t="s">
        <v>778</v>
      </c>
      <c r="AD476" s="710">
        <f>(Y476*AB476)</f>
        <v>421.5</v>
      </c>
      <c r="AE476" s="724" t="str">
        <f t="shared" si="52"/>
        <v>|</v>
      </c>
      <c r="AG476" s="697" t="s">
        <v>2284</v>
      </c>
    </row>
    <row r="477" spans="1:33" ht="50.25" customHeight="1">
      <c r="A477" s="720" t="e">
        <f t="shared" si="47"/>
        <v>#REF!</v>
      </c>
      <c r="B477" s="722" t="s">
        <v>1133</v>
      </c>
      <c r="C477" s="721">
        <v>168</v>
      </c>
      <c r="D477" s="722" t="s">
        <v>877</v>
      </c>
      <c r="H477" s="697" t="s">
        <v>2263</v>
      </c>
      <c r="O477" s="697" t="s">
        <v>2186</v>
      </c>
      <c r="S477" s="699"/>
      <c r="T477" s="708" t="s">
        <v>450</v>
      </c>
      <c r="U477" s="697" t="s">
        <v>451</v>
      </c>
      <c r="V477" s="710"/>
      <c r="W477" s="697" t="s">
        <v>450</v>
      </c>
      <c r="X477" s="710">
        <v>0</v>
      </c>
      <c r="Z477" s="708" t="s">
        <v>450</v>
      </c>
      <c r="AA477" s="697" t="s">
        <v>451</v>
      </c>
      <c r="AB477" s="710">
        <f>V477</f>
        <v>0</v>
      </c>
      <c r="AC477" s="697" t="s">
        <v>450</v>
      </c>
      <c r="AD477" s="710">
        <v>0</v>
      </c>
      <c r="AE477" s="724" t="str">
        <f t="shared" si="52"/>
        <v>|</v>
      </c>
      <c r="AG477" s="697" t="s">
        <v>2284</v>
      </c>
    </row>
    <row r="478" spans="1:33" ht="30.75" customHeight="1">
      <c r="A478" s="720" t="e">
        <f t="shared" si="47"/>
        <v>#REF!</v>
      </c>
      <c r="B478" s="722" t="s">
        <v>1134</v>
      </c>
      <c r="C478" s="718">
        <v>347</v>
      </c>
      <c r="D478" s="722" t="s">
        <v>877</v>
      </c>
      <c r="H478" s="705" t="s">
        <v>1609</v>
      </c>
      <c r="O478" s="697" t="s">
        <v>2189</v>
      </c>
      <c r="S478" s="699"/>
      <c r="T478" s="700"/>
      <c r="V478" s="710"/>
      <c r="W478" s="702"/>
      <c r="X478" s="705" t="s">
        <v>1609</v>
      </c>
      <c r="Z478" s="700"/>
      <c r="AB478" s="710"/>
      <c r="AC478" s="702"/>
      <c r="AD478" s="705" t="s">
        <v>1609</v>
      </c>
      <c r="AE478" s="724" t="str">
        <f t="shared" si="52"/>
        <v>|</v>
      </c>
      <c r="AG478" s="697" t="s">
        <v>2284</v>
      </c>
    </row>
    <row r="479" spans="1:33" ht="24" customHeight="1">
      <c r="A479" s="720" t="e">
        <f t="shared" si="47"/>
        <v>#REF!</v>
      </c>
      <c r="B479" s="722" t="s">
        <v>1135</v>
      </c>
      <c r="C479" s="718">
        <v>587</v>
      </c>
      <c r="D479" s="722" t="s">
        <v>877</v>
      </c>
      <c r="F479" s="710">
        <v>1</v>
      </c>
      <c r="G479" s="708" t="s">
        <v>878</v>
      </c>
      <c r="H479" s="697" t="s">
        <v>2264</v>
      </c>
      <c r="I479" s="710">
        <f>(C24)</f>
        <v>33.6</v>
      </c>
      <c r="J479" s="697" t="s">
        <v>878</v>
      </c>
      <c r="K479" s="709">
        <f>(F479*I479)</f>
        <v>33.6</v>
      </c>
      <c r="M479" s="710">
        <v>8</v>
      </c>
      <c r="N479" s="697" t="s">
        <v>778</v>
      </c>
      <c r="O479" s="697" t="s">
        <v>2168</v>
      </c>
      <c r="P479" s="710">
        <f>(C42)</f>
        <v>9.6999999999999993</v>
      </c>
      <c r="Q479" s="697" t="s">
        <v>778</v>
      </c>
      <c r="R479" s="710">
        <f>(M479*P479)</f>
        <v>77.599999999999994</v>
      </c>
      <c r="S479" s="699"/>
      <c r="T479" s="700"/>
      <c r="U479" s="697" t="s">
        <v>104</v>
      </c>
      <c r="V479" s="710"/>
      <c r="W479" s="702"/>
      <c r="X479" s="710">
        <f>SUM(X473:X477)</f>
        <v>954.16</v>
      </c>
      <c r="Z479" s="700"/>
      <c r="AA479" s="697" t="s">
        <v>104</v>
      </c>
      <c r="AB479" s="710"/>
      <c r="AC479" s="702"/>
      <c r="AD479" s="710">
        <f>SUM(AD473:AD477)</f>
        <v>961.69</v>
      </c>
      <c r="AE479" s="724" t="str">
        <f t="shared" ref="AE479:AE550" si="54">AG479</f>
        <v>|</v>
      </c>
      <c r="AG479" s="697" t="s">
        <v>2284</v>
      </c>
    </row>
    <row r="480" spans="1:33" ht="24" customHeight="1">
      <c r="A480" s="720" t="e">
        <f t="shared" si="47"/>
        <v>#REF!</v>
      </c>
      <c r="B480" s="722" t="s">
        <v>1136</v>
      </c>
      <c r="C480" s="718">
        <v>753</v>
      </c>
      <c r="D480" s="722" t="s">
        <v>877</v>
      </c>
      <c r="K480" s="705" t="s">
        <v>2080</v>
      </c>
      <c r="M480" s="710">
        <v>8</v>
      </c>
      <c r="N480" s="697" t="s">
        <v>778</v>
      </c>
      <c r="O480" s="697" t="s">
        <v>468</v>
      </c>
      <c r="P480" s="710">
        <f>(C49)</f>
        <v>24.2</v>
      </c>
      <c r="Q480" s="697" t="s">
        <v>778</v>
      </c>
      <c r="R480" s="710">
        <f>(M480*P480)</f>
        <v>193.6</v>
      </c>
      <c r="S480" s="699"/>
      <c r="T480" s="700"/>
      <c r="V480" s="710"/>
      <c r="W480" s="702"/>
      <c r="X480" s="705" t="s">
        <v>1609</v>
      </c>
      <c r="Z480" s="700"/>
      <c r="AB480" s="710"/>
      <c r="AC480" s="702"/>
      <c r="AD480" s="705" t="s">
        <v>1609</v>
      </c>
      <c r="AE480" s="724" t="str">
        <f t="shared" si="54"/>
        <v>|</v>
      </c>
      <c r="AG480" s="697" t="s">
        <v>2284</v>
      </c>
    </row>
    <row r="481" spans="1:33" ht="24" customHeight="1">
      <c r="A481" s="720" t="e">
        <f t="shared" si="47"/>
        <v>#REF!</v>
      </c>
      <c r="B481" s="722" t="s">
        <v>1138</v>
      </c>
      <c r="C481" s="718">
        <v>968</v>
      </c>
      <c r="D481" s="722" t="s">
        <v>877</v>
      </c>
      <c r="F481" s="753">
        <v>7.3</v>
      </c>
      <c r="G481" s="708" t="s">
        <v>2276</v>
      </c>
      <c r="H481" s="697" t="s">
        <v>2265</v>
      </c>
      <c r="M481" s="710">
        <v>1</v>
      </c>
      <c r="N481" s="697" t="s">
        <v>450</v>
      </c>
      <c r="O481" s="697" t="s">
        <v>1709</v>
      </c>
      <c r="P481" s="710">
        <f>(C53)</f>
        <v>12.1</v>
      </c>
      <c r="Q481" s="697" t="s">
        <v>450</v>
      </c>
      <c r="R481" s="710">
        <f>(M481*P481)</f>
        <v>12.1</v>
      </c>
      <c r="S481" s="699"/>
      <c r="T481" s="700"/>
      <c r="U481" s="697" t="s">
        <v>556</v>
      </c>
      <c r="W481" s="702"/>
      <c r="X481" s="710">
        <f>(X479/0.372)</f>
        <v>2564.9499999999998</v>
      </c>
      <c r="Z481" s="700"/>
      <c r="AA481" s="697" t="s">
        <v>556</v>
      </c>
      <c r="AC481" s="702"/>
      <c r="AD481" s="710">
        <f>(AD479/0.372)</f>
        <v>2585.19</v>
      </c>
      <c r="AE481" s="724" t="str">
        <f t="shared" si="54"/>
        <v>|</v>
      </c>
      <c r="AG481" s="697" t="s">
        <v>2284</v>
      </c>
    </row>
    <row r="482" spans="1:33" ht="24" customHeight="1">
      <c r="A482" s="720" t="e">
        <f t="shared" si="47"/>
        <v>#REF!</v>
      </c>
      <c r="B482" s="722" t="s">
        <v>239</v>
      </c>
      <c r="C482" s="718">
        <v>1229</v>
      </c>
      <c r="D482" s="722" t="s">
        <v>877</v>
      </c>
      <c r="F482" s="697" t="s">
        <v>987</v>
      </c>
      <c r="H482" s="697" t="s">
        <v>975</v>
      </c>
      <c r="M482" s="710">
        <v>1</v>
      </c>
      <c r="N482" s="697" t="s">
        <v>450</v>
      </c>
      <c r="O482" s="697" t="s">
        <v>451</v>
      </c>
      <c r="Q482" s="697" t="s">
        <v>450</v>
      </c>
      <c r="R482" s="710">
        <v>0</v>
      </c>
      <c r="S482" s="699"/>
      <c r="T482" s="700"/>
      <c r="W482" s="702"/>
      <c r="X482" s="705" t="s">
        <v>2080</v>
      </c>
      <c r="Z482" s="700"/>
      <c r="AC482" s="702"/>
      <c r="AD482" s="705" t="s">
        <v>2080</v>
      </c>
      <c r="AE482" s="724" t="str">
        <f t="shared" si="54"/>
        <v>|</v>
      </c>
      <c r="AG482" s="697" t="s">
        <v>2284</v>
      </c>
    </row>
    <row r="483" spans="1:33" ht="24" customHeight="1">
      <c r="A483" s="720" t="e">
        <f t="shared" si="47"/>
        <v>#REF!</v>
      </c>
      <c r="B483" s="722" t="s">
        <v>1139</v>
      </c>
      <c r="C483" s="744">
        <v>1508</v>
      </c>
      <c r="D483" s="722" t="s">
        <v>877</v>
      </c>
      <c r="F483" s="697" t="s">
        <v>987</v>
      </c>
      <c r="H483" s="705" t="s">
        <v>2324</v>
      </c>
      <c r="R483" s="705" t="s">
        <v>1609</v>
      </c>
      <c r="S483" s="699"/>
      <c r="T483" s="700"/>
      <c r="U483" s="697" t="s">
        <v>386</v>
      </c>
      <c r="V483" s="699">
        <f>X481</f>
        <v>2564.9499999999998</v>
      </c>
      <c r="W483" s="702">
        <f>J656</f>
        <v>4.08</v>
      </c>
      <c r="X483" s="709">
        <f>V483+W483</f>
        <v>2569.0300000000002</v>
      </c>
      <c r="Z483" s="700"/>
      <c r="AA483" s="697" t="s">
        <v>386</v>
      </c>
      <c r="AB483" s="699">
        <f>AD481</f>
        <v>2585.19</v>
      </c>
      <c r="AC483" s="702">
        <f>W483</f>
        <v>4.08</v>
      </c>
      <c r="AD483" s="709">
        <f>AB483+AC483</f>
        <v>2589.27</v>
      </c>
      <c r="AE483" s="724" t="str">
        <f t="shared" si="54"/>
        <v>|</v>
      </c>
      <c r="AG483" s="697" t="s">
        <v>2284</v>
      </c>
    </row>
    <row r="484" spans="1:33" ht="24" customHeight="1">
      <c r="A484" s="720" t="e">
        <f t="shared" si="47"/>
        <v>#REF!</v>
      </c>
      <c r="B484" s="792" t="s">
        <v>4730</v>
      </c>
      <c r="C484" s="734"/>
      <c r="D484" s="722"/>
      <c r="F484" s="710">
        <v>0.13</v>
      </c>
      <c r="G484" s="708" t="s">
        <v>878</v>
      </c>
      <c r="H484" s="697" t="s">
        <v>1327</v>
      </c>
      <c r="I484" s="710">
        <f>(K37)</f>
        <v>3756.7</v>
      </c>
      <c r="J484" s="697" t="s">
        <v>878</v>
      </c>
      <c r="K484" s="710">
        <f t="shared" ref="K484:K489" si="55">(F484*I484)</f>
        <v>488.37</v>
      </c>
      <c r="O484" s="697" t="s">
        <v>1566</v>
      </c>
      <c r="R484" s="710">
        <f>SUM(R465:R482)</f>
        <v>2270.38</v>
      </c>
      <c r="S484" s="699"/>
      <c r="T484" s="700"/>
      <c r="U484" s="697" t="s">
        <v>388</v>
      </c>
      <c r="V484" s="699">
        <f>X483</f>
        <v>2569.0300000000002</v>
      </c>
      <c r="W484" s="702">
        <f>J659</f>
        <v>8.0399999999999991</v>
      </c>
      <c r="X484" s="709">
        <f>V484+W484</f>
        <v>2577.0700000000002</v>
      </c>
      <c r="Z484" s="700"/>
      <c r="AA484" s="697" t="s">
        <v>388</v>
      </c>
      <c r="AB484" s="699">
        <f>AD483</f>
        <v>2589.27</v>
      </c>
      <c r="AC484" s="702">
        <f>W484</f>
        <v>8.0399999999999991</v>
      </c>
      <c r="AD484" s="709">
        <f>AB484+AC484</f>
        <v>2597.31</v>
      </c>
      <c r="AE484" s="724" t="str">
        <f t="shared" si="54"/>
        <v>|</v>
      </c>
      <c r="AG484" s="697" t="s">
        <v>2284</v>
      </c>
    </row>
    <row r="485" spans="1:33" ht="24" customHeight="1">
      <c r="A485" s="720" t="e">
        <f t="shared" si="47"/>
        <v>#REF!</v>
      </c>
      <c r="B485" s="722" t="s">
        <v>1133</v>
      </c>
      <c r="C485" s="718">
        <v>168</v>
      </c>
      <c r="D485" s="722" t="s">
        <v>877</v>
      </c>
      <c r="F485" s="710">
        <v>0.7</v>
      </c>
      <c r="G485" s="708" t="s">
        <v>778</v>
      </c>
      <c r="H485" s="697" t="s">
        <v>2034</v>
      </c>
      <c r="I485" s="710">
        <f>(C8)</f>
        <v>861</v>
      </c>
      <c r="J485" s="697" t="s">
        <v>778</v>
      </c>
      <c r="K485" s="710">
        <f t="shared" si="55"/>
        <v>602.70000000000005</v>
      </c>
      <c r="R485" s="705" t="s">
        <v>1609</v>
      </c>
      <c r="S485" s="699"/>
      <c r="T485" s="700"/>
      <c r="U485" s="697" t="s">
        <v>2257</v>
      </c>
      <c r="V485" s="699">
        <f>X484</f>
        <v>2577.0700000000002</v>
      </c>
      <c r="W485" s="702">
        <f>J660</f>
        <v>8.0399999999999991</v>
      </c>
      <c r="X485" s="709">
        <f>V485+W485</f>
        <v>2585.11</v>
      </c>
      <c r="Z485" s="700"/>
      <c r="AA485" s="697" t="s">
        <v>2257</v>
      </c>
      <c r="AB485" s="699">
        <f>AD484</f>
        <v>2597.31</v>
      </c>
      <c r="AC485" s="702">
        <f>W485</f>
        <v>8.0399999999999991</v>
      </c>
      <c r="AD485" s="709">
        <f>AB485+AC485</f>
        <v>2605.35</v>
      </c>
      <c r="AE485" s="724" t="str">
        <f t="shared" si="54"/>
        <v>|</v>
      </c>
      <c r="AG485" s="697" t="s">
        <v>2284</v>
      </c>
    </row>
    <row r="486" spans="1:33" ht="33.75" customHeight="1">
      <c r="A486" s="720" t="e">
        <f t="shared" si="47"/>
        <v>#REF!</v>
      </c>
      <c r="B486" s="722" t="s">
        <v>1134</v>
      </c>
      <c r="C486" s="718">
        <v>239</v>
      </c>
      <c r="D486" s="722" t="s">
        <v>877</v>
      </c>
      <c r="F486" s="710">
        <v>0.7</v>
      </c>
      <c r="G486" s="708" t="s">
        <v>778</v>
      </c>
      <c r="H486" s="697" t="s">
        <v>1737</v>
      </c>
      <c r="I486" s="710">
        <f>(C9)</f>
        <v>804</v>
      </c>
      <c r="J486" s="697" t="s">
        <v>778</v>
      </c>
      <c r="K486" s="710">
        <f t="shared" si="55"/>
        <v>562.79999999999995</v>
      </c>
      <c r="O486" s="697" t="s">
        <v>1567</v>
      </c>
      <c r="R486" s="710">
        <f>(R484/30)</f>
        <v>75.680000000000007</v>
      </c>
      <c r="S486" s="699"/>
      <c r="T486" s="700"/>
      <c r="U486" s="697" t="s">
        <v>380</v>
      </c>
      <c r="V486" s="699">
        <f>X485</f>
        <v>2585.11</v>
      </c>
      <c r="W486" s="702">
        <f>J661</f>
        <v>8.0399999999999991</v>
      </c>
      <c r="X486" s="709">
        <f>V486+W486</f>
        <v>2593.15</v>
      </c>
      <c r="Z486" s="700"/>
      <c r="AA486" s="697" t="s">
        <v>380</v>
      </c>
      <c r="AB486" s="699">
        <f>AD485</f>
        <v>2605.35</v>
      </c>
      <c r="AC486" s="702">
        <f>W486</f>
        <v>8.0399999999999991</v>
      </c>
      <c r="AD486" s="709">
        <f>AB486+AC486</f>
        <v>2613.39</v>
      </c>
      <c r="AE486" s="724" t="str">
        <f t="shared" si="54"/>
        <v>|</v>
      </c>
      <c r="AG486" s="697" t="s">
        <v>2284</v>
      </c>
    </row>
    <row r="487" spans="1:33" ht="24" customHeight="1">
      <c r="A487" s="720" t="e">
        <f t="shared" si="47"/>
        <v>#REF!</v>
      </c>
      <c r="B487" s="722" t="s">
        <v>1135</v>
      </c>
      <c r="C487" s="718">
        <v>348</v>
      </c>
      <c r="D487" s="722" t="s">
        <v>877</v>
      </c>
      <c r="F487" s="710">
        <v>1.5</v>
      </c>
      <c r="G487" s="708" t="s">
        <v>778</v>
      </c>
      <c r="H487" s="697" t="s">
        <v>1927</v>
      </c>
      <c r="I487" s="710">
        <f>(C10)</f>
        <v>562</v>
      </c>
      <c r="J487" s="697" t="s">
        <v>778</v>
      </c>
      <c r="K487" s="710">
        <f t="shared" si="55"/>
        <v>843</v>
      </c>
      <c r="R487" s="705" t="s">
        <v>1609</v>
      </c>
      <c r="S487" s="699"/>
      <c r="T487" s="700"/>
      <c r="U487" s="697" t="s">
        <v>1384</v>
      </c>
      <c r="V487" s="699">
        <f>X486</f>
        <v>2593.15</v>
      </c>
      <c r="W487" s="702">
        <f>J662</f>
        <v>8.0399999999999991</v>
      </c>
      <c r="X487" s="709">
        <f>V487+W487</f>
        <v>2601.19</v>
      </c>
      <c r="Z487" s="700"/>
      <c r="AA487" s="697" t="s">
        <v>1384</v>
      </c>
      <c r="AB487" s="699">
        <f>AD486</f>
        <v>2613.39</v>
      </c>
      <c r="AC487" s="702">
        <f>W487</f>
        <v>8.0399999999999991</v>
      </c>
      <c r="AD487" s="709">
        <f>AB487+AC487</f>
        <v>2621.4299999999998</v>
      </c>
      <c r="AE487" s="724" t="str">
        <f t="shared" si="54"/>
        <v>|</v>
      </c>
      <c r="AG487" s="697" t="s">
        <v>2284</v>
      </c>
    </row>
    <row r="488" spans="1:33" ht="24" customHeight="1">
      <c r="A488" s="720" t="e">
        <f t="shared" si="47"/>
        <v>#REF!</v>
      </c>
      <c r="B488" s="722" t="s">
        <v>1136</v>
      </c>
      <c r="C488" s="718">
        <v>508</v>
      </c>
      <c r="D488" s="722" t="s">
        <v>877</v>
      </c>
      <c r="F488" s="710">
        <v>0.5</v>
      </c>
      <c r="G488" s="708" t="s">
        <v>778</v>
      </c>
      <c r="H488" s="697" t="s">
        <v>321</v>
      </c>
      <c r="I488" s="710">
        <f>(C11)</f>
        <v>461</v>
      </c>
      <c r="J488" s="697" t="s">
        <v>778</v>
      </c>
      <c r="K488" s="710">
        <f t="shared" si="55"/>
        <v>230.5</v>
      </c>
      <c r="M488" s="697" t="s">
        <v>987</v>
      </c>
      <c r="Y488" s="703"/>
      <c r="AA488" s="697" t="s">
        <v>3612</v>
      </c>
      <c r="AC488" s="702">
        <f t="shared" ref="AC488:AC494" si="56">AC487</f>
        <v>8.0399999999999991</v>
      </c>
      <c r="AD488" s="709">
        <f t="shared" ref="AD488:AD494" si="57">AD487+AC488</f>
        <v>2629.47</v>
      </c>
      <c r="AE488" s="724" t="str">
        <f t="shared" si="54"/>
        <v>|</v>
      </c>
      <c r="AG488" s="697" t="s">
        <v>2284</v>
      </c>
    </row>
    <row r="489" spans="1:33" ht="24" customHeight="1">
      <c r="A489" s="720" t="e">
        <f t="shared" si="47"/>
        <v>#REF!</v>
      </c>
      <c r="B489" s="722" t="s">
        <v>1138</v>
      </c>
      <c r="C489" s="718">
        <v>646</v>
      </c>
      <c r="D489" s="722" t="s">
        <v>877</v>
      </c>
      <c r="F489" s="710">
        <v>0.94</v>
      </c>
      <c r="G489" s="708" t="s">
        <v>1670</v>
      </c>
      <c r="H489" s="697" t="s">
        <v>920</v>
      </c>
      <c r="I489" s="710">
        <f>C650</f>
        <v>42.3</v>
      </c>
      <c r="J489" s="697" t="s">
        <v>1670</v>
      </c>
      <c r="K489" s="710">
        <f t="shared" si="55"/>
        <v>39.76</v>
      </c>
      <c r="N489" s="697" t="s">
        <v>2276</v>
      </c>
      <c r="O489" s="697" t="s">
        <v>2072</v>
      </c>
      <c r="Y489" s="703"/>
      <c r="AA489" s="697" t="s">
        <v>3613</v>
      </c>
      <c r="AC489" s="702">
        <f t="shared" si="56"/>
        <v>8.0399999999999991</v>
      </c>
      <c r="AD489" s="709">
        <f t="shared" si="57"/>
        <v>2637.51</v>
      </c>
      <c r="AE489" s="724" t="str">
        <f t="shared" si="54"/>
        <v>|</v>
      </c>
      <c r="AG489" s="697" t="s">
        <v>2284</v>
      </c>
    </row>
    <row r="490" spans="1:33" ht="24" customHeight="1">
      <c r="A490" s="720" t="e">
        <f t="shared" si="47"/>
        <v>#REF!</v>
      </c>
      <c r="B490" s="722" t="s">
        <v>239</v>
      </c>
      <c r="C490" s="745">
        <v>584</v>
      </c>
      <c r="D490" s="722" t="s">
        <v>877</v>
      </c>
      <c r="H490" s="697" t="s">
        <v>451</v>
      </c>
      <c r="I490" s="697" t="s">
        <v>987</v>
      </c>
      <c r="J490" s="697" t="s">
        <v>450</v>
      </c>
      <c r="K490" s="710">
        <v>0</v>
      </c>
      <c r="O490" s="697" t="s">
        <v>2073</v>
      </c>
      <c r="Y490" s="703"/>
      <c r="AA490" s="697" t="s">
        <v>3614</v>
      </c>
      <c r="AC490" s="702">
        <f t="shared" si="56"/>
        <v>8.0399999999999991</v>
      </c>
      <c r="AD490" s="699">
        <f t="shared" si="57"/>
        <v>2645.55</v>
      </c>
      <c r="AE490" s="724" t="str">
        <f t="shared" si="54"/>
        <v>|</v>
      </c>
      <c r="AG490" s="697" t="s">
        <v>2284</v>
      </c>
    </row>
    <row r="491" spans="1:33" ht="24" customHeight="1">
      <c r="A491" s="720" t="e">
        <f t="shared" si="47"/>
        <v>#REF!</v>
      </c>
      <c r="B491" s="722" t="s">
        <v>1139</v>
      </c>
      <c r="C491" s="734"/>
      <c r="D491" s="722" t="s">
        <v>877</v>
      </c>
      <c r="K491" s="705" t="s">
        <v>1609</v>
      </c>
      <c r="O491" s="697" t="s">
        <v>960</v>
      </c>
      <c r="Y491" s="703"/>
      <c r="AA491" s="697" t="s">
        <v>3615</v>
      </c>
      <c r="AC491" s="702">
        <f t="shared" si="56"/>
        <v>8.0399999999999991</v>
      </c>
      <c r="AD491" s="699">
        <f t="shared" si="57"/>
        <v>2653.59</v>
      </c>
      <c r="AE491" s="724" t="str">
        <f t="shared" si="54"/>
        <v>|</v>
      </c>
      <c r="AG491" s="697" t="s">
        <v>2284</v>
      </c>
    </row>
    <row r="492" spans="1:33" ht="24" customHeight="1">
      <c r="A492" s="720" t="e">
        <f>(A491+1)</f>
        <v>#REF!</v>
      </c>
      <c r="B492" s="792" t="s">
        <v>4731</v>
      </c>
      <c r="C492" s="734"/>
      <c r="D492" s="722" t="s">
        <v>877</v>
      </c>
      <c r="H492" s="697" t="s">
        <v>442</v>
      </c>
      <c r="K492" s="710">
        <f>SUM(K483:K490)</f>
        <v>2767.13</v>
      </c>
      <c r="O492" s="705" t="s">
        <v>1609</v>
      </c>
      <c r="Y492" s="703"/>
      <c r="AA492" s="697" t="s">
        <v>3633</v>
      </c>
      <c r="AC492" s="702">
        <f t="shared" si="56"/>
        <v>8.0399999999999991</v>
      </c>
      <c r="AD492" s="709">
        <f t="shared" si="57"/>
        <v>2661.63</v>
      </c>
      <c r="AE492" s="724" t="str">
        <f t="shared" si="54"/>
        <v>|</v>
      </c>
      <c r="AG492" s="697" t="s">
        <v>2284</v>
      </c>
    </row>
    <row r="493" spans="1:33" ht="24" customHeight="1">
      <c r="A493" s="720" t="e">
        <f>(A492+1)</f>
        <v>#REF!</v>
      </c>
      <c r="B493" s="722" t="s">
        <v>4368</v>
      </c>
      <c r="C493" s="718">
        <v>20.3</v>
      </c>
      <c r="D493" s="722" t="s">
        <v>877</v>
      </c>
      <c r="K493" s="705" t="s">
        <v>1609</v>
      </c>
      <c r="N493" s="697" t="s">
        <v>156</v>
      </c>
      <c r="O493" s="698" t="s">
        <v>965</v>
      </c>
      <c r="Y493" s="703"/>
      <c r="AA493" s="697" t="s">
        <v>3634</v>
      </c>
      <c r="AC493" s="702">
        <f t="shared" si="56"/>
        <v>8.0399999999999991</v>
      </c>
      <c r="AD493" s="709">
        <f t="shared" si="57"/>
        <v>2669.67</v>
      </c>
      <c r="AE493" s="724" t="str">
        <f t="shared" si="54"/>
        <v>|</v>
      </c>
      <c r="AG493" s="697" t="s">
        <v>2284</v>
      </c>
    </row>
    <row r="494" spans="1:33" ht="33.75" customHeight="1">
      <c r="A494" s="720" t="e">
        <f>(A493+1)</f>
        <v>#REF!</v>
      </c>
      <c r="B494" s="722" t="s">
        <v>752</v>
      </c>
      <c r="C494" s="745">
        <v>11.5</v>
      </c>
      <c r="D494" s="722" t="s">
        <v>877</v>
      </c>
      <c r="H494" s="711" t="s">
        <v>556</v>
      </c>
      <c r="K494" s="709">
        <f>(K492/10)</f>
        <v>276.70999999999998</v>
      </c>
      <c r="O494" s="705" t="s">
        <v>1609</v>
      </c>
      <c r="Y494" s="703"/>
      <c r="AA494" s="697" t="s">
        <v>4787</v>
      </c>
      <c r="AC494" s="702">
        <f t="shared" si="56"/>
        <v>8.0399999999999991</v>
      </c>
      <c r="AD494" s="709">
        <f t="shared" si="57"/>
        <v>2677.71</v>
      </c>
      <c r="AE494" s="724" t="str">
        <f t="shared" si="54"/>
        <v>|</v>
      </c>
      <c r="AG494" s="697" t="s">
        <v>2284</v>
      </c>
    </row>
    <row r="495" spans="1:33" ht="36" customHeight="1">
      <c r="A495" s="734"/>
      <c r="B495" s="734"/>
      <c r="C495" s="734"/>
      <c r="D495" s="734"/>
      <c r="F495" s="697" t="s">
        <v>987</v>
      </c>
      <c r="AD495" s="709">
        <f>AD494+AC494</f>
        <v>2685.75</v>
      </c>
      <c r="AE495" s="724" t="str">
        <f t="shared" si="54"/>
        <v>|</v>
      </c>
      <c r="AG495" s="697" t="s">
        <v>2284</v>
      </c>
    </row>
    <row r="496" spans="1:33" ht="24" customHeight="1">
      <c r="A496" s="720" t="e">
        <f>(A494+1)</f>
        <v>#REF!</v>
      </c>
      <c r="B496" s="722" t="s">
        <v>4369</v>
      </c>
      <c r="C496" s="718">
        <v>28.6</v>
      </c>
      <c r="D496" s="722" t="s">
        <v>877</v>
      </c>
      <c r="K496" s="705" t="s">
        <v>2080</v>
      </c>
      <c r="M496" s="710">
        <v>30</v>
      </c>
      <c r="N496" s="697" t="s">
        <v>1796</v>
      </c>
      <c r="O496" s="697" t="s">
        <v>1689</v>
      </c>
      <c r="P496" s="710">
        <f>(C39)</f>
        <v>5</v>
      </c>
      <c r="Q496" s="697" t="s">
        <v>1796</v>
      </c>
      <c r="R496" s="710">
        <f>(M496*P496)</f>
        <v>150</v>
      </c>
      <c r="AE496" s="724" t="str">
        <f t="shared" si="54"/>
        <v>|</v>
      </c>
      <c r="AG496" s="697" t="s">
        <v>2284</v>
      </c>
    </row>
    <row r="497" spans="1:33" ht="24" customHeight="1">
      <c r="A497" s="720" t="e">
        <f t="shared" ref="A497:A559" si="58">(A496+1)</f>
        <v>#REF!</v>
      </c>
      <c r="B497" s="722" t="s">
        <v>1690</v>
      </c>
      <c r="C497" s="745">
        <v>56.74</v>
      </c>
      <c r="D497" s="722" t="s">
        <v>877</v>
      </c>
      <c r="F497" s="698"/>
      <c r="G497" s="708" t="s">
        <v>2276</v>
      </c>
      <c r="H497" s="697" t="s">
        <v>1691</v>
      </c>
      <c r="M497" s="697" t="s">
        <v>987</v>
      </c>
      <c r="O497" s="697" t="s">
        <v>1692</v>
      </c>
      <c r="P497" s="697" t="s">
        <v>987</v>
      </c>
      <c r="R497" s="697" t="s">
        <v>987</v>
      </c>
      <c r="AE497" s="724" t="str">
        <f t="shared" si="54"/>
        <v>|</v>
      </c>
      <c r="AG497" s="697" t="s">
        <v>2284</v>
      </c>
    </row>
    <row r="498" spans="1:33" ht="24" customHeight="1">
      <c r="A498" s="720" t="e">
        <f t="shared" si="58"/>
        <v>#REF!</v>
      </c>
      <c r="B498" s="722" t="s">
        <v>1693</v>
      </c>
      <c r="C498" s="745">
        <v>56.74</v>
      </c>
      <c r="D498" s="722" t="s">
        <v>877</v>
      </c>
      <c r="H498" s="697" t="s">
        <v>2294</v>
      </c>
      <c r="M498" s="710">
        <v>8</v>
      </c>
      <c r="N498" s="697" t="s">
        <v>877</v>
      </c>
      <c r="O498" s="697" t="s">
        <v>2168</v>
      </c>
      <c r="P498" s="710">
        <f>(C40)</f>
        <v>8.1</v>
      </c>
      <c r="Q498" s="697" t="s">
        <v>877</v>
      </c>
      <c r="R498" s="710">
        <f t="shared" ref="R498:R503" si="59">(M498*P498)</f>
        <v>64.8</v>
      </c>
      <c r="AE498" s="724" t="str">
        <f t="shared" si="54"/>
        <v>|</v>
      </c>
      <c r="AG498" s="697" t="s">
        <v>2284</v>
      </c>
    </row>
    <row r="499" spans="1:33" ht="45.75" customHeight="1">
      <c r="A499" s="720" t="e">
        <f t="shared" si="58"/>
        <v>#REF!</v>
      </c>
      <c r="B499" s="792" t="s">
        <v>4732</v>
      </c>
      <c r="C499" s="734"/>
      <c r="D499" s="722" t="s">
        <v>987</v>
      </c>
      <c r="H499" s="705" t="s">
        <v>1609</v>
      </c>
      <c r="M499" s="710">
        <v>8</v>
      </c>
      <c r="N499" s="697" t="s">
        <v>877</v>
      </c>
      <c r="O499" s="697" t="s">
        <v>468</v>
      </c>
      <c r="P499" s="710">
        <f>(C47)</f>
        <v>11.5</v>
      </c>
      <c r="Q499" s="697" t="s">
        <v>877</v>
      </c>
      <c r="R499" s="710">
        <f t="shared" si="59"/>
        <v>92</v>
      </c>
      <c r="AE499" s="724" t="str">
        <f t="shared" si="54"/>
        <v>|</v>
      </c>
      <c r="AG499" s="697" t="s">
        <v>2284</v>
      </c>
    </row>
    <row r="500" spans="1:33" ht="24" customHeight="1">
      <c r="A500" s="720" t="e">
        <f t="shared" si="58"/>
        <v>#REF!</v>
      </c>
      <c r="B500" s="722" t="s">
        <v>964</v>
      </c>
      <c r="C500" s="718">
        <v>69.8</v>
      </c>
      <c r="D500" s="722" t="s">
        <v>877</v>
      </c>
      <c r="F500" s="710">
        <v>9</v>
      </c>
      <c r="G500" s="708" t="s">
        <v>878</v>
      </c>
      <c r="H500" s="697" t="s">
        <v>1695</v>
      </c>
      <c r="I500" s="710">
        <f>(C67)</f>
        <v>991.83</v>
      </c>
      <c r="J500" s="697" t="s">
        <v>878</v>
      </c>
      <c r="K500" s="710">
        <f t="shared" ref="K500:K505" si="60">(F500*I500)</f>
        <v>8926.4699999999993</v>
      </c>
      <c r="M500" s="710">
        <v>3</v>
      </c>
      <c r="N500" s="697" t="s">
        <v>877</v>
      </c>
      <c r="O500" s="697" t="s">
        <v>1870</v>
      </c>
      <c r="P500" s="710">
        <f>(C38)</f>
        <v>637</v>
      </c>
      <c r="Q500" s="697" t="s">
        <v>877</v>
      </c>
      <c r="R500" s="710">
        <f t="shared" si="59"/>
        <v>1911</v>
      </c>
      <c r="AE500" s="724" t="str">
        <f t="shared" si="54"/>
        <v>|</v>
      </c>
      <c r="AG500" s="697" t="s">
        <v>2284</v>
      </c>
    </row>
    <row r="501" spans="1:33" ht="24" customHeight="1">
      <c r="A501" s="720" t="e">
        <f t="shared" si="58"/>
        <v>#REF!</v>
      </c>
      <c r="B501" s="722" t="s">
        <v>752</v>
      </c>
      <c r="C501" s="745">
        <v>15.6</v>
      </c>
      <c r="D501" s="722" t="s">
        <v>877</v>
      </c>
      <c r="F501" s="740">
        <v>3.2309999999999999</v>
      </c>
      <c r="G501" s="708" t="s">
        <v>870</v>
      </c>
      <c r="H501" s="697" t="s">
        <v>871</v>
      </c>
      <c r="I501" s="710">
        <f>(C64)</f>
        <v>5960</v>
      </c>
      <c r="J501" s="697" t="s">
        <v>870</v>
      </c>
      <c r="K501" s="710">
        <f t="shared" si="60"/>
        <v>19256.759999999998</v>
      </c>
      <c r="M501" s="710">
        <v>1</v>
      </c>
      <c r="N501" s="697" t="s">
        <v>877</v>
      </c>
      <c r="O501" s="697" t="s">
        <v>1871</v>
      </c>
      <c r="P501" s="710">
        <f>(C8)</f>
        <v>861</v>
      </c>
      <c r="Q501" s="697" t="s">
        <v>877</v>
      </c>
      <c r="R501" s="710">
        <f t="shared" si="59"/>
        <v>861</v>
      </c>
      <c r="AE501" s="724" t="str">
        <f t="shared" si="54"/>
        <v>|</v>
      </c>
      <c r="AG501" s="697" t="s">
        <v>2284</v>
      </c>
    </row>
    <row r="502" spans="1:33" ht="24" customHeight="1">
      <c r="A502" s="720" t="e">
        <f t="shared" si="58"/>
        <v>#REF!</v>
      </c>
      <c r="B502" s="722" t="s">
        <v>1688</v>
      </c>
      <c r="C502" s="718">
        <v>75.3</v>
      </c>
      <c r="D502" s="722" t="s">
        <v>877</v>
      </c>
      <c r="F502" s="710">
        <v>4.5</v>
      </c>
      <c r="G502" s="708" t="s">
        <v>878</v>
      </c>
      <c r="H502" s="1165" t="s">
        <v>5354</v>
      </c>
      <c r="I502" s="710">
        <f>(C75)</f>
        <v>1511.1</v>
      </c>
      <c r="J502" s="697" t="s">
        <v>878</v>
      </c>
      <c r="K502" s="710">
        <f t="shared" si="60"/>
        <v>6799.95</v>
      </c>
      <c r="M502" s="710">
        <v>2</v>
      </c>
      <c r="N502" s="697" t="s">
        <v>877</v>
      </c>
      <c r="O502" s="697" t="s">
        <v>1927</v>
      </c>
      <c r="P502" s="710">
        <f>(C10)</f>
        <v>562</v>
      </c>
      <c r="Q502" s="697" t="s">
        <v>877</v>
      </c>
      <c r="R502" s="710">
        <f t="shared" si="59"/>
        <v>1124</v>
      </c>
      <c r="AE502" s="724" t="str">
        <f t="shared" si="54"/>
        <v>|</v>
      </c>
      <c r="AG502" s="697" t="s">
        <v>2284</v>
      </c>
    </row>
    <row r="503" spans="1:33" ht="24" customHeight="1">
      <c r="A503" s="720" t="e">
        <f t="shared" si="58"/>
        <v>#REF!</v>
      </c>
      <c r="B503" s="722" t="s">
        <v>1690</v>
      </c>
      <c r="C503" s="745">
        <v>100.3</v>
      </c>
      <c r="D503" s="722" t="s">
        <v>877</v>
      </c>
      <c r="F503" s="710">
        <v>3.5</v>
      </c>
      <c r="G503" s="708" t="s">
        <v>877</v>
      </c>
      <c r="H503" s="697" t="s">
        <v>1737</v>
      </c>
      <c r="I503" s="710">
        <f>(C9)</f>
        <v>804</v>
      </c>
      <c r="J503" s="697" t="s">
        <v>877</v>
      </c>
      <c r="K503" s="710">
        <f t="shared" si="60"/>
        <v>2814</v>
      </c>
      <c r="M503" s="710">
        <v>1</v>
      </c>
      <c r="N503" s="697" t="s">
        <v>877</v>
      </c>
      <c r="O503" s="697" t="s">
        <v>321</v>
      </c>
      <c r="P503" s="710">
        <f>(C11)</f>
        <v>461</v>
      </c>
      <c r="Q503" s="697" t="s">
        <v>877</v>
      </c>
      <c r="R503" s="710">
        <f t="shared" si="59"/>
        <v>461</v>
      </c>
      <c r="AE503" s="724" t="str">
        <f t="shared" si="54"/>
        <v>|</v>
      </c>
      <c r="AG503" s="697" t="s">
        <v>2284</v>
      </c>
    </row>
    <row r="504" spans="1:33" ht="24" customHeight="1">
      <c r="A504" s="720" t="e">
        <f t="shared" si="58"/>
        <v>#REF!</v>
      </c>
      <c r="B504" s="722" t="s">
        <v>1693</v>
      </c>
      <c r="C504" s="745">
        <v>100.3</v>
      </c>
      <c r="D504" s="722" t="s">
        <v>877</v>
      </c>
      <c r="F504" s="710">
        <v>21.2</v>
      </c>
      <c r="G504" s="708" t="s">
        <v>877</v>
      </c>
      <c r="H504" s="697" t="s">
        <v>1927</v>
      </c>
      <c r="I504" s="710">
        <f>(C10)</f>
        <v>562</v>
      </c>
      <c r="J504" s="697" t="s">
        <v>877</v>
      </c>
      <c r="K504" s="710">
        <f t="shared" si="60"/>
        <v>11914.4</v>
      </c>
      <c r="N504" s="697" t="s">
        <v>450</v>
      </c>
      <c r="O504" s="697" t="s">
        <v>1872</v>
      </c>
      <c r="P504" s="697" t="s">
        <v>987</v>
      </c>
      <c r="Q504" s="697" t="s">
        <v>450</v>
      </c>
      <c r="R504" s="710">
        <f>(C53)</f>
        <v>12.1</v>
      </c>
      <c r="AE504" s="724" t="str">
        <f t="shared" si="54"/>
        <v>|</v>
      </c>
      <c r="AG504" s="697" t="s">
        <v>2284</v>
      </c>
    </row>
    <row r="505" spans="1:33" ht="24" customHeight="1">
      <c r="A505" s="720" t="e">
        <f t="shared" si="58"/>
        <v>#REF!</v>
      </c>
      <c r="B505" s="792" t="s">
        <v>4733</v>
      </c>
      <c r="C505" s="734"/>
      <c r="D505" s="722" t="s">
        <v>987</v>
      </c>
      <c r="F505" s="710">
        <v>35.299999999999997</v>
      </c>
      <c r="G505" s="708" t="s">
        <v>877</v>
      </c>
      <c r="H505" s="697" t="s">
        <v>321</v>
      </c>
      <c r="I505" s="710">
        <f>(C11)</f>
        <v>461</v>
      </c>
      <c r="J505" s="697" t="s">
        <v>877</v>
      </c>
      <c r="K505" s="710">
        <f t="shared" si="60"/>
        <v>16273.3</v>
      </c>
      <c r="O505" s="697" t="s">
        <v>1874</v>
      </c>
      <c r="P505" s="697" t="s">
        <v>987</v>
      </c>
      <c r="R505" s="697" t="s">
        <v>987</v>
      </c>
      <c r="AE505" s="724" t="str">
        <f t="shared" si="54"/>
        <v>|</v>
      </c>
      <c r="AG505" s="697" t="s">
        <v>2284</v>
      </c>
    </row>
    <row r="506" spans="1:33" ht="24" customHeight="1">
      <c r="A506" s="720" t="e">
        <f t="shared" si="58"/>
        <v>#REF!</v>
      </c>
      <c r="B506" s="722" t="s">
        <v>964</v>
      </c>
      <c r="C506" s="718">
        <v>40.4</v>
      </c>
      <c r="D506" s="722" t="s">
        <v>877</v>
      </c>
      <c r="G506" s="708" t="s">
        <v>450</v>
      </c>
      <c r="H506" s="697" t="s">
        <v>451</v>
      </c>
      <c r="I506" s="697" t="s">
        <v>987</v>
      </c>
      <c r="J506" s="697" t="s">
        <v>450</v>
      </c>
      <c r="K506" s="710">
        <v>0</v>
      </c>
      <c r="N506" s="697" t="s">
        <v>450</v>
      </c>
      <c r="O506" s="697" t="s">
        <v>451</v>
      </c>
      <c r="Q506" s="697" t="s">
        <v>450</v>
      </c>
      <c r="R506" s="710">
        <v>0</v>
      </c>
      <c r="AE506" s="724" t="str">
        <f t="shared" si="54"/>
        <v>|</v>
      </c>
      <c r="AG506" s="697" t="s">
        <v>2284</v>
      </c>
    </row>
    <row r="507" spans="1:33" ht="24" customHeight="1">
      <c r="A507" s="720" t="e">
        <f t="shared" si="58"/>
        <v>#REF!</v>
      </c>
      <c r="B507" s="722" t="s">
        <v>752</v>
      </c>
      <c r="C507" s="794">
        <v>47</v>
      </c>
      <c r="D507" s="722" t="s">
        <v>877</v>
      </c>
      <c r="K507" s="705" t="s">
        <v>1609</v>
      </c>
      <c r="R507" s="705" t="s">
        <v>1609</v>
      </c>
      <c r="AE507" s="724" t="str">
        <f t="shared" si="54"/>
        <v>|</v>
      </c>
      <c r="AG507" s="697" t="s">
        <v>2284</v>
      </c>
    </row>
    <row r="508" spans="1:33" ht="24" customHeight="1">
      <c r="A508" s="720" t="e">
        <f t="shared" si="58"/>
        <v>#REF!</v>
      </c>
      <c r="B508" s="722" t="s">
        <v>1688</v>
      </c>
      <c r="C508" s="718">
        <v>52</v>
      </c>
      <c r="D508" s="722" t="s">
        <v>877</v>
      </c>
      <c r="H508" s="697" t="s">
        <v>2196</v>
      </c>
      <c r="K508" s="710">
        <f>SUM(K500:K506)</f>
        <v>65984.88</v>
      </c>
      <c r="O508" s="697" t="s">
        <v>1875</v>
      </c>
      <c r="R508" s="710">
        <f>SUM(R496:R506)</f>
        <v>4675.8999999999996</v>
      </c>
      <c r="AE508" s="724" t="str">
        <f t="shared" si="54"/>
        <v>|</v>
      </c>
      <c r="AG508" s="697" t="s">
        <v>2284</v>
      </c>
    </row>
    <row r="509" spans="1:33" ht="24" customHeight="1">
      <c r="A509" s="720" t="e">
        <f t="shared" si="58"/>
        <v>#REF!</v>
      </c>
      <c r="B509" s="722" t="s">
        <v>1876</v>
      </c>
      <c r="C509" s="745">
        <v>36.61</v>
      </c>
      <c r="D509" s="722" t="s">
        <v>877</v>
      </c>
      <c r="K509" s="705" t="s">
        <v>1609</v>
      </c>
      <c r="R509" s="705" t="s">
        <v>1609</v>
      </c>
      <c r="AE509" s="724" t="str">
        <f t="shared" si="54"/>
        <v>|</v>
      </c>
      <c r="AG509" s="697" t="s">
        <v>2284</v>
      </c>
    </row>
    <row r="510" spans="1:33" ht="24" customHeight="1">
      <c r="A510" s="720" t="e">
        <f t="shared" si="58"/>
        <v>#REF!</v>
      </c>
      <c r="B510" s="722" t="s">
        <v>1690</v>
      </c>
      <c r="C510" s="745">
        <v>78.709999999999994</v>
      </c>
      <c r="D510" s="722" t="s">
        <v>877</v>
      </c>
      <c r="H510" s="697" t="s">
        <v>782</v>
      </c>
      <c r="K510" s="710">
        <f>(K508/10)+0.01</f>
        <v>6598.5</v>
      </c>
      <c r="O510" s="697" t="s">
        <v>1567</v>
      </c>
      <c r="R510" s="710">
        <f>(R508/30)</f>
        <v>155.86000000000001</v>
      </c>
      <c r="AE510" s="724" t="str">
        <f t="shared" si="54"/>
        <v>|</v>
      </c>
      <c r="AG510" s="697" t="s">
        <v>2284</v>
      </c>
    </row>
    <row r="511" spans="1:33" ht="24" customHeight="1">
      <c r="A511" s="720" t="e">
        <f t="shared" si="58"/>
        <v>#REF!</v>
      </c>
      <c r="B511" s="722" t="s">
        <v>1693</v>
      </c>
      <c r="C511" s="745">
        <v>78.709999999999994</v>
      </c>
      <c r="D511" s="722" t="s">
        <v>877</v>
      </c>
      <c r="R511" s="705" t="s">
        <v>1609</v>
      </c>
      <c r="AE511" s="724">
        <f t="shared" si="54"/>
        <v>0</v>
      </c>
    </row>
    <row r="512" spans="1:33" ht="24" customHeight="1">
      <c r="A512" s="720" t="e">
        <f t="shared" si="58"/>
        <v>#REF!</v>
      </c>
      <c r="B512" s="722" t="s">
        <v>1877</v>
      </c>
      <c r="C512" s="734"/>
      <c r="D512" s="722" t="s">
        <v>219</v>
      </c>
      <c r="F512" s="710">
        <v>1</v>
      </c>
      <c r="G512" s="708" t="s">
        <v>878</v>
      </c>
      <c r="H512" s="697" t="s">
        <v>46</v>
      </c>
      <c r="K512" s="710">
        <f>C23</f>
        <v>81.3</v>
      </c>
      <c r="N512" s="697" t="s">
        <v>1577</v>
      </c>
      <c r="O512" s="698" t="s">
        <v>220</v>
      </c>
      <c r="AE512" s="724" t="str">
        <f t="shared" si="54"/>
        <v>|</v>
      </c>
      <c r="AG512" s="697" t="s">
        <v>2284</v>
      </c>
    </row>
    <row r="513" spans="1:33" ht="24" customHeight="1">
      <c r="A513" s="720" t="e">
        <f t="shared" si="58"/>
        <v>#REF!</v>
      </c>
      <c r="B513" s="722" t="s">
        <v>4370</v>
      </c>
      <c r="C513" s="737">
        <v>20.55</v>
      </c>
      <c r="D513" s="722" t="s">
        <v>1796</v>
      </c>
      <c r="K513" s="705" t="s">
        <v>1609</v>
      </c>
      <c r="O513" s="705" t="s">
        <v>1609</v>
      </c>
      <c r="AE513" s="724" t="str">
        <f t="shared" si="54"/>
        <v>|</v>
      </c>
      <c r="AG513" s="697" t="s">
        <v>2284</v>
      </c>
    </row>
    <row r="514" spans="1:33" ht="24" customHeight="1">
      <c r="A514" s="720" t="e">
        <f t="shared" si="58"/>
        <v>#REF!</v>
      </c>
      <c r="B514" s="722" t="s">
        <v>2963</v>
      </c>
      <c r="C514" s="737">
        <v>26</v>
      </c>
      <c r="D514" s="722" t="s">
        <v>1796</v>
      </c>
      <c r="E514" s="744">
        <v>98.6</v>
      </c>
      <c r="H514" s="697" t="s">
        <v>1258</v>
      </c>
      <c r="K514" s="710">
        <f>SUM(K510:K512)</f>
        <v>6679.8</v>
      </c>
      <c r="M514" s="710">
        <v>30</v>
      </c>
      <c r="N514" s="697" t="s">
        <v>1796</v>
      </c>
      <c r="O514" s="697" t="s">
        <v>1689</v>
      </c>
      <c r="P514" s="710">
        <f>(C39)</f>
        <v>5</v>
      </c>
      <c r="Q514" s="697" t="s">
        <v>1796</v>
      </c>
      <c r="R514" s="710">
        <f>(M514*P514)</f>
        <v>150</v>
      </c>
      <c r="AE514" s="724" t="str">
        <f t="shared" si="54"/>
        <v>|</v>
      </c>
      <c r="AG514" s="697" t="s">
        <v>2284</v>
      </c>
    </row>
    <row r="515" spans="1:33" ht="24" customHeight="1">
      <c r="A515" s="720" t="e">
        <f t="shared" si="58"/>
        <v>#REF!</v>
      </c>
      <c r="B515" s="722" t="s">
        <v>1259</v>
      </c>
      <c r="C515" s="737">
        <v>35</v>
      </c>
      <c r="D515" s="722" t="s">
        <v>1796</v>
      </c>
      <c r="K515" s="705" t="s">
        <v>1609</v>
      </c>
      <c r="M515" s="697" t="s">
        <v>987</v>
      </c>
      <c r="O515" s="697" t="s">
        <v>1692</v>
      </c>
      <c r="P515" s="697" t="s">
        <v>987</v>
      </c>
      <c r="R515" s="697" t="s">
        <v>987</v>
      </c>
      <c r="AE515" s="724" t="str">
        <f t="shared" si="54"/>
        <v>|</v>
      </c>
      <c r="AG515" s="697" t="s">
        <v>2284</v>
      </c>
    </row>
    <row r="516" spans="1:33" ht="24" customHeight="1">
      <c r="A516" s="720" t="e">
        <f t="shared" si="58"/>
        <v>#REF!</v>
      </c>
      <c r="B516" s="722" t="s">
        <v>1260</v>
      </c>
      <c r="C516" s="737">
        <v>52</v>
      </c>
      <c r="D516" s="722" t="s">
        <v>1796</v>
      </c>
      <c r="G516" s="708" t="s">
        <v>1261</v>
      </c>
      <c r="H516" s="697" t="s">
        <v>386</v>
      </c>
      <c r="K516" s="710">
        <f>(K514+C20)</f>
        <v>6788.27</v>
      </c>
      <c r="L516" s="699">
        <f>K516-K514</f>
        <v>108.47</v>
      </c>
      <c r="M516" s="710">
        <v>8</v>
      </c>
      <c r="N516" s="697" t="s">
        <v>877</v>
      </c>
      <c r="O516" s="697" t="s">
        <v>2168</v>
      </c>
      <c r="P516" s="710">
        <f>(C41)</f>
        <v>7.1</v>
      </c>
      <c r="Q516" s="697" t="s">
        <v>877</v>
      </c>
      <c r="R516" s="710">
        <f t="shared" ref="R516:R521" si="61">(M516*P516)</f>
        <v>56.8</v>
      </c>
      <c r="AE516" s="724" t="str">
        <f t="shared" si="54"/>
        <v>|</v>
      </c>
      <c r="AG516" s="697" t="s">
        <v>2284</v>
      </c>
    </row>
    <row r="517" spans="1:33" ht="24" customHeight="1">
      <c r="A517" s="720" t="e">
        <f t="shared" si="58"/>
        <v>#REF!</v>
      </c>
      <c r="B517" s="722" t="s">
        <v>1262</v>
      </c>
      <c r="C517" s="737">
        <v>65</v>
      </c>
      <c r="D517" s="721">
        <v>21</v>
      </c>
      <c r="G517" s="708" t="s">
        <v>1263</v>
      </c>
      <c r="H517" s="697" t="s">
        <v>388</v>
      </c>
      <c r="K517" s="710">
        <f>(K516+C21)</f>
        <v>7001.95</v>
      </c>
      <c r="M517" s="710">
        <v>8</v>
      </c>
      <c r="N517" s="697" t="s">
        <v>877</v>
      </c>
      <c r="O517" s="697" t="s">
        <v>468</v>
      </c>
      <c r="P517" s="710">
        <f>(C48)</f>
        <v>11.7</v>
      </c>
      <c r="Q517" s="697" t="s">
        <v>877</v>
      </c>
      <c r="R517" s="710">
        <f t="shared" si="61"/>
        <v>93.6</v>
      </c>
      <c r="AE517" s="724" t="str">
        <f t="shared" si="54"/>
        <v>|</v>
      </c>
      <c r="AG517" s="697" t="s">
        <v>2284</v>
      </c>
    </row>
    <row r="518" spans="1:33" ht="24" customHeight="1">
      <c r="A518" s="720" t="e">
        <f t="shared" si="58"/>
        <v>#REF!</v>
      </c>
      <c r="B518" s="722" t="s">
        <v>376</v>
      </c>
      <c r="C518" s="737">
        <v>82</v>
      </c>
      <c r="D518" s="721">
        <v>37.15</v>
      </c>
      <c r="G518" s="708" t="s">
        <v>426</v>
      </c>
      <c r="H518" s="697" t="s">
        <v>2257</v>
      </c>
      <c r="K518" s="710">
        <f>(K517+C22)</f>
        <v>7215.63</v>
      </c>
      <c r="M518" s="710">
        <v>3</v>
      </c>
      <c r="N518" s="697" t="s">
        <v>877</v>
      </c>
      <c r="O518" s="697" t="s">
        <v>1870</v>
      </c>
      <c r="P518" s="710">
        <f>(C38)</f>
        <v>637</v>
      </c>
      <c r="Q518" s="697" t="s">
        <v>877</v>
      </c>
      <c r="R518" s="710">
        <f t="shared" si="61"/>
        <v>1911</v>
      </c>
      <c r="AE518" s="724" t="str">
        <f t="shared" si="54"/>
        <v>|</v>
      </c>
      <c r="AG518" s="697" t="s">
        <v>2284</v>
      </c>
    </row>
    <row r="519" spans="1:33" ht="24" customHeight="1">
      <c r="A519" s="720" t="e">
        <f t="shared" si="58"/>
        <v>#REF!</v>
      </c>
      <c r="B519" s="722" t="s">
        <v>1007</v>
      </c>
      <c r="C519" s="734"/>
      <c r="D519" s="722" t="s">
        <v>987</v>
      </c>
      <c r="G519" s="708" t="s">
        <v>1008</v>
      </c>
      <c r="H519" s="697" t="s">
        <v>380</v>
      </c>
      <c r="K519" s="710">
        <f>(K518+C22)</f>
        <v>7429.31</v>
      </c>
      <c r="M519" s="710">
        <v>1</v>
      </c>
      <c r="N519" s="697" t="s">
        <v>877</v>
      </c>
      <c r="O519" s="697" t="s">
        <v>1871</v>
      </c>
      <c r="P519" s="710">
        <f>(C8)</f>
        <v>861</v>
      </c>
      <c r="Q519" s="697" t="s">
        <v>877</v>
      </c>
      <c r="R519" s="710">
        <f t="shared" si="61"/>
        <v>861</v>
      </c>
      <c r="AE519" s="724" t="str">
        <f t="shared" si="54"/>
        <v>|::</v>
      </c>
      <c r="AG519" s="697" t="s">
        <v>322</v>
      </c>
    </row>
    <row r="520" spans="1:33" ht="24" customHeight="1">
      <c r="A520" s="720" t="e">
        <f t="shared" si="58"/>
        <v>#REF!</v>
      </c>
      <c r="B520" s="722" t="s">
        <v>1133</v>
      </c>
      <c r="C520" s="737">
        <v>4.1900000000000004</v>
      </c>
      <c r="D520" s="722" t="s">
        <v>877</v>
      </c>
      <c r="M520" s="710">
        <v>2</v>
      </c>
      <c r="N520" s="697" t="s">
        <v>877</v>
      </c>
      <c r="O520" s="697" t="s">
        <v>1927</v>
      </c>
      <c r="P520" s="710">
        <f>(C10)</f>
        <v>562</v>
      </c>
      <c r="Q520" s="697" t="s">
        <v>877</v>
      </c>
      <c r="R520" s="710">
        <f t="shared" si="61"/>
        <v>1124</v>
      </c>
      <c r="AE520" s="724">
        <f t="shared" si="54"/>
        <v>0</v>
      </c>
    </row>
    <row r="521" spans="1:33" ht="24" customHeight="1">
      <c r="A521" s="720" t="e">
        <f t="shared" si="58"/>
        <v>#REF!</v>
      </c>
      <c r="B521" s="722" t="s">
        <v>1134</v>
      </c>
      <c r="C521" s="737">
        <v>5</v>
      </c>
      <c r="D521" s="722" t="s">
        <v>877</v>
      </c>
      <c r="F521" s="698" t="s">
        <v>1009</v>
      </c>
      <c r="G521" s="708" t="s">
        <v>2276</v>
      </c>
      <c r="H521" s="697" t="s">
        <v>1010</v>
      </c>
      <c r="M521" s="710">
        <v>1</v>
      </c>
      <c r="N521" s="697" t="s">
        <v>877</v>
      </c>
      <c r="O521" s="697" t="s">
        <v>321</v>
      </c>
      <c r="P521" s="710">
        <f>(C11)</f>
        <v>461</v>
      </c>
      <c r="Q521" s="697" t="s">
        <v>877</v>
      </c>
      <c r="R521" s="710">
        <f t="shared" si="61"/>
        <v>461</v>
      </c>
      <c r="AE521" s="724">
        <f t="shared" si="54"/>
        <v>0</v>
      </c>
    </row>
    <row r="522" spans="1:33" ht="24" customHeight="1">
      <c r="A522" s="720" t="e">
        <f t="shared" si="58"/>
        <v>#REF!</v>
      </c>
      <c r="B522" s="722" t="s">
        <v>1135</v>
      </c>
      <c r="C522" s="737">
        <v>8.06</v>
      </c>
      <c r="D522" s="722" t="s">
        <v>877</v>
      </c>
      <c r="H522" s="705" t="s">
        <v>1609</v>
      </c>
      <c r="N522" s="697" t="s">
        <v>450</v>
      </c>
      <c r="O522" s="697" t="s">
        <v>1872</v>
      </c>
      <c r="P522" s="697" t="s">
        <v>987</v>
      </c>
      <c r="Q522" s="697" t="s">
        <v>450</v>
      </c>
      <c r="R522" s="710">
        <f>(C53)</f>
        <v>12.1</v>
      </c>
      <c r="U522" s="795" t="s">
        <v>4079</v>
      </c>
      <c r="AA522" s="795" t="s">
        <v>4232</v>
      </c>
      <c r="AE522" s="724" t="str">
        <f t="shared" si="54"/>
        <v>|</v>
      </c>
      <c r="AG522" s="697" t="s">
        <v>2284</v>
      </c>
    </row>
    <row r="523" spans="1:33" ht="24" customHeight="1">
      <c r="A523" s="720" t="e">
        <f t="shared" si="58"/>
        <v>#REF!</v>
      </c>
      <c r="B523" s="722" t="s">
        <v>1136</v>
      </c>
      <c r="C523" s="737">
        <v>11.86</v>
      </c>
      <c r="D523" s="722" t="s">
        <v>877</v>
      </c>
      <c r="F523" s="740">
        <v>1.4999999999999999E-2</v>
      </c>
      <c r="G523" s="708" t="s">
        <v>878</v>
      </c>
      <c r="H523" s="697" t="s">
        <v>1011</v>
      </c>
      <c r="I523" s="710">
        <f>(K510)</f>
        <v>6598.5</v>
      </c>
      <c r="J523" s="697" t="s">
        <v>878</v>
      </c>
      <c r="K523" s="710">
        <f>(F523*I523)</f>
        <v>98.98</v>
      </c>
      <c r="O523" s="697" t="s">
        <v>1874</v>
      </c>
      <c r="P523" s="697" t="s">
        <v>987</v>
      </c>
      <c r="R523" s="697" t="s">
        <v>987</v>
      </c>
      <c r="S523" s="698" t="s">
        <v>1009</v>
      </c>
      <c r="T523" s="708" t="s">
        <v>2276</v>
      </c>
      <c r="U523" s="1224" t="s">
        <v>5226</v>
      </c>
      <c r="W523" s="702"/>
      <c r="Y523" s="698" t="s">
        <v>1009</v>
      </c>
      <c r="Z523" s="708" t="s">
        <v>2276</v>
      </c>
      <c r="AA523" s="697" t="s">
        <v>5227</v>
      </c>
      <c r="AC523" s="702"/>
      <c r="AE523" s="724" t="str">
        <f t="shared" si="54"/>
        <v>|</v>
      </c>
      <c r="AG523" s="697" t="s">
        <v>2284</v>
      </c>
    </row>
    <row r="524" spans="1:33" ht="24" customHeight="1">
      <c r="A524" s="720" t="e">
        <f t="shared" si="58"/>
        <v>#REF!</v>
      </c>
      <c r="B524" s="722" t="s">
        <v>1138</v>
      </c>
      <c r="C524" s="737">
        <v>18.88</v>
      </c>
      <c r="D524" s="722" t="s">
        <v>877</v>
      </c>
      <c r="F524" s="710">
        <v>0.5</v>
      </c>
      <c r="G524" s="708" t="s">
        <v>778</v>
      </c>
      <c r="H524" s="697" t="s">
        <v>2034</v>
      </c>
      <c r="I524" s="710">
        <f>(C8)</f>
        <v>861</v>
      </c>
      <c r="J524" s="697" t="s">
        <v>778</v>
      </c>
      <c r="K524" s="710">
        <f>(F524*I524)</f>
        <v>430.5</v>
      </c>
      <c r="N524" s="697" t="s">
        <v>450</v>
      </c>
      <c r="O524" s="697" t="s">
        <v>451</v>
      </c>
      <c r="Q524" s="697" t="s">
        <v>450</v>
      </c>
      <c r="R524" s="710">
        <v>0</v>
      </c>
      <c r="S524" s="699"/>
      <c r="T524" s="700"/>
      <c r="U524" s="705" t="s">
        <v>1609</v>
      </c>
      <c r="W524" s="702"/>
      <c r="Z524" s="700"/>
      <c r="AA524" s="705" t="s">
        <v>1609</v>
      </c>
      <c r="AC524" s="702"/>
      <c r="AE524" s="724" t="str">
        <f t="shared" si="54"/>
        <v>|</v>
      </c>
      <c r="AG524" s="697" t="s">
        <v>2284</v>
      </c>
    </row>
    <row r="525" spans="1:33" ht="24" customHeight="1">
      <c r="A525" s="720" t="e">
        <f t="shared" si="58"/>
        <v>#REF!</v>
      </c>
      <c r="B525" s="722" t="s">
        <v>239</v>
      </c>
      <c r="C525" s="737">
        <v>26</v>
      </c>
      <c r="D525" s="722" t="s">
        <v>877</v>
      </c>
      <c r="F525" s="710">
        <v>0.75</v>
      </c>
      <c r="G525" s="708" t="s">
        <v>778</v>
      </c>
      <c r="H525" s="697" t="s">
        <v>1927</v>
      </c>
      <c r="I525" s="710">
        <f>(C10)</f>
        <v>562</v>
      </c>
      <c r="J525" s="697" t="s">
        <v>778</v>
      </c>
      <c r="K525" s="710">
        <f>(F525*I525)</f>
        <v>421.5</v>
      </c>
      <c r="R525" s="705" t="s">
        <v>1609</v>
      </c>
      <c r="S525" s="740">
        <v>1.4999999999999999E-2</v>
      </c>
      <c r="T525" s="708" t="s">
        <v>878</v>
      </c>
      <c r="U525" s="697" t="s">
        <v>1011</v>
      </c>
      <c r="V525" s="710">
        <f>X654</f>
        <v>6701.01</v>
      </c>
      <c r="W525" s="697" t="s">
        <v>878</v>
      </c>
      <c r="X525" s="710">
        <f>(S525*V525)</f>
        <v>100.52</v>
      </c>
      <c r="Y525" s="740">
        <v>1.4999999999999999E-2</v>
      </c>
      <c r="Z525" s="708" t="s">
        <v>878</v>
      </c>
      <c r="AA525" s="697" t="s">
        <v>1011</v>
      </c>
      <c r="AB525" s="710">
        <f>AF654</f>
        <v>7238.42</v>
      </c>
      <c r="AC525" s="697" t="s">
        <v>878</v>
      </c>
      <c r="AD525" s="710">
        <f>(Y525*AB525)</f>
        <v>108.58</v>
      </c>
      <c r="AE525" s="724" t="str">
        <f t="shared" si="54"/>
        <v>|</v>
      </c>
      <c r="AG525" s="697" t="s">
        <v>2284</v>
      </c>
    </row>
    <row r="526" spans="1:33" ht="24" customHeight="1">
      <c r="A526" s="720" t="e">
        <f t="shared" si="58"/>
        <v>#REF!</v>
      </c>
      <c r="B526" s="722" t="s">
        <v>688</v>
      </c>
      <c r="C526" s="780"/>
      <c r="D526" s="722" t="s">
        <v>987</v>
      </c>
      <c r="G526" s="708" t="s">
        <v>450</v>
      </c>
      <c r="H526" s="697" t="s">
        <v>451</v>
      </c>
      <c r="J526" s="697" t="s">
        <v>450</v>
      </c>
      <c r="K526" s="710">
        <v>0</v>
      </c>
      <c r="O526" s="697" t="s">
        <v>1875</v>
      </c>
      <c r="R526" s="710">
        <f>SUM(R514:R524)</f>
        <v>4669.5</v>
      </c>
      <c r="S526" s="710">
        <v>0.5</v>
      </c>
      <c r="T526" s="708" t="s">
        <v>778</v>
      </c>
      <c r="U526" s="697" t="s">
        <v>2034</v>
      </c>
      <c r="V526" s="710">
        <f>C8</f>
        <v>861</v>
      </c>
      <c r="W526" s="697" t="s">
        <v>778</v>
      </c>
      <c r="X526" s="710">
        <f>(S526*V526)</f>
        <v>430.5</v>
      </c>
      <c r="Y526" s="710">
        <v>0.5</v>
      </c>
      <c r="Z526" s="708" t="s">
        <v>778</v>
      </c>
      <c r="AA526" s="697" t="s">
        <v>2034</v>
      </c>
      <c r="AB526" s="710">
        <f>V526</f>
        <v>861</v>
      </c>
      <c r="AC526" s="697" t="s">
        <v>778</v>
      </c>
      <c r="AD526" s="710">
        <f>(Y526*AB526)</f>
        <v>430.5</v>
      </c>
      <c r="AE526" s="724" t="str">
        <f t="shared" si="54"/>
        <v>|</v>
      </c>
      <c r="AG526" s="697" t="s">
        <v>2284</v>
      </c>
    </row>
    <row r="527" spans="1:33" ht="24" customHeight="1">
      <c r="A527" s="720" t="e">
        <f t="shared" si="58"/>
        <v>#REF!</v>
      </c>
      <c r="B527" s="722" t="s">
        <v>1133</v>
      </c>
      <c r="C527" s="737">
        <v>4.62</v>
      </c>
      <c r="D527" s="722" t="s">
        <v>877</v>
      </c>
      <c r="K527" s="705" t="s">
        <v>1609</v>
      </c>
      <c r="R527" s="705" t="s">
        <v>1609</v>
      </c>
      <c r="S527" s="710">
        <v>0.75</v>
      </c>
      <c r="T527" s="708" t="s">
        <v>778</v>
      </c>
      <c r="U527" s="697" t="s">
        <v>1927</v>
      </c>
      <c r="V527" s="710">
        <f>C10</f>
        <v>562</v>
      </c>
      <c r="W527" s="697" t="s">
        <v>778</v>
      </c>
      <c r="X527" s="710">
        <f>(S527*V527)</f>
        <v>421.5</v>
      </c>
      <c r="Y527" s="710">
        <v>0.75</v>
      </c>
      <c r="Z527" s="708" t="s">
        <v>778</v>
      </c>
      <c r="AA527" s="697" t="s">
        <v>1927</v>
      </c>
      <c r="AB527" s="710">
        <f>V527</f>
        <v>562</v>
      </c>
      <c r="AC527" s="697" t="s">
        <v>778</v>
      </c>
      <c r="AD527" s="710">
        <f>(Y527*AB527)</f>
        <v>421.5</v>
      </c>
      <c r="AE527" s="724" t="str">
        <f t="shared" si="54"/>
        <v>|</v>
      </c>
      <c r="AG527" s="697" t="s">
        <v>2284</v>
      </c>
    </row>
    <row r="528" spans="1:33" ht="24" customHeight="1">
      <c r="A528" s="720" t="e">
        <f t="shared" si="58"/>
        <v>#REF!</v>
      </c>
      <c r="B528" s="722" t="s">
        <v>1134</v>
      </c>
      <c r="C528" s="737">
        <v>7.83</v>
      </c>
      <c r="D528" s="722" t="s">
        <v>877</v>
      </c>
      <c r="H528" s="697" t="s">
        <v>1773</v>
      </c>
      <c r="K528" s="710">
        <f>SUM(K523:K526)</f>
        <v>950.98</v>
      </c>
      <c r="O528" s="697" t="s">
        <v>1567</v>
      </c>
      <c r="R528" s="710">
        <f>(R526/30)</f>
        <v>155.65</v>
      </c>
      <c r="S528" s="699"/>
      <c r="T528" s="708" t="s">
        <v>450</v>
      </c>
      <c r="U528" s="697" t="s">
        <v>451</v>
      </c>
      <c r="W528" s="697" t="s">
        <v>450</v>
      </c>
      <c r="X528" s="710">
        <v>0</v>
      </c>
      <c r="Z528" s="708" t="s">
        <v>450</v>
      </c>
      <c r="AA528" s="697" t="s">
        <v>451</v>
      </c>
      <c r="AB528" s="710">
        <f>V528</f>
        <v>0</v>
      </c>
      <c r="AC528" s="697" t="s">
        <v>450</v>
      </c>
      <c r="AD528" s="710">
        <v>0</v>
      </c>
      <c r="AE528" s="724" t="str">
        <f t="shared" si="54"/>
        <v>|</v>
      </c>
      <c r="AG528" s="697" t="s">
        <v>2284</v>
      </c>
    </row>
    <row r="529" spans="1:33" ht="24" customHeight="1">
      <c r="A529" s="720" t="e">
        <f t="shared" si="58"/>
        <v>#REF!</v>
      </c>
      <c r="B529" s="722" t="s">
        <v>1135</v>
      </c>
      <c r="C529" s="737">
        <v>11.38</v>
      </c>
      <c r="D529" s="722" t="s">
        <v>877</v>
      </c>
      <c r="K529" s="705" t="s">
        <v>1609</v>
      </c>
      <c r="R529" s="705" t="s">
        <v>1609</v>
      </c>
      <c r="S529" s="699"/>
      <c r="T529" s="700"/>
      <c r="W529" s="702"/>
      <c r="X529" s="705" t="s">
        <v>1609</v>
      </c>
      <c r="Z529" s="700"/>
      <c r="AC529" s="702"/>
      <c r="AD529" s="705" t="s">
        <v>1609</v>
      </c>
      <c r="AE529" s="724" t="str">
        <f t="shared" si="54"/>
        <v>|</v>
      </c>
      <c r="AG529" s="697" t="s">
        <v>2284</v>
      </c>
    </row>
    <row r="530" spans="1:33" ht="24" customHeight="1">
      <c r="A530" s="720" t="e">
        <f t="shared" si="58"/>
        <v>#REF!</v>
      </c>
      <c r="B530" s="722" t="s">
        <v>1136</v>
      </c>
      <c r="C530" s="737">
        <v>18.75</v>
      </c>
      <c r="D530" s="722" t="s">
        <v>877</v>
      </c>
      <c r="H530" s="697" t="s">
        <v>556</v>
      </c>
      <c r="K530" s="710">
        <f>(K528/0.743)</f>
        <v>1279.92</v>
      </c>
      <c r="S530" s="699"/>
      <c r="T530" s="700"/>
      <c r="U530" s="697" t="s">
        <v>1773</v>
      </c>
      <c r="W530" s="702"/>
      <c r="X530" s="710">
        <f>SUM(X525:X528)</f>
        <v>952.52</v>
      </c>
      <c r="Z530" s="700"/>
      <c r="AA530" s="697" t="s">
        <v>1773</v>
      </c>
      <c r="AC530" s="702"/>
      <c r="AD530" s="710">
        <f>SUM(AD525:AD528)</f>
        <v>960.58</v>
      </c>
      <c r="AE530" s="724" t="str">
        <f t="shared" si="54"/>
        <v>|</v>
      </c>
      <c r="AG530" s="697" t="s">
        <v>2284</v>
      </c>
    </row>
    <row r="531" spans="1:33" ht="24" customHeight="1">
      <c r="A531" s="720" t="e">
        <f t="shared" si="58"/>
        <v>#REF!</v>
      </c>
      <c r="B531" s="722" t="s">
        <v>1138</v>
      </c>
      <c r="C531" s="737">
        <v>35.1</v>
      </c>
      <c r="D531" s="722" t="s">
        <v>877</v>
      </c>
      <c r="K531" s="705" t="s">
        <v>2080</v>
      </c>
      <c r="S531" s="699"/>
      <c r="T531" s="700"/>
      <c r="W531" s="702"/>
      <c r="X531" s="705" t="s">
        <v>1609</v>
      </c>
      <c r="Z531" s="700"/>
      <c r="AC531" s="702"/>
      <c r="AD531" s="705" t="s">
        <v>1609</v>
      </c>
      <c r="AE531" s="724" t="str">
        <f t="shared" si="54"/>
        <v>|</v>
      </c>
      <c r="AG531" s="697" t="s">
        <v>2284</v>
      </c>
    </row>
    <row r="532" spans="1:33" ht="24" customHeight="1">
      <c r="A532" s="720" t="e">
        <f t="shared" si="58"/>
        <v>#REF!</v>
      </c>
      <c r="B532" s="722" t="s">
        <v>239</v>
      </c>
      <c r="C532" s="737">
        <v>45.57</v>
      </c>
      <c r="D532" s="722" t="s">
        <v>877</v>
      </c>
      <c r="H532" s="697" t="s">
        <v>386</v>
      </c>
      <c r="I532" s="710">
        <f>K530</f>
        <v>1279.92</v>
      </c>
      <c r="J532" s="697">
        <f>C20*0.015/0.743</f>
        <v>2.19</v>
      </c>
      <c r="K532" s="709">
        <f>I532+J532</f>
        <v>1282.1099999999999</v>
      </c>
      <c r="N532" s="697" t="s">
        <v>1980</v>
      </c>
      <c r="O532" s="698" t="s">
        <v>1290</v>
      </c>
      <c r="S532" s="699"/>
      <c r="T532" s="700"/>
      <c r="U532" s="697" t="s">
        <v>556</v>
      </c>
      <c r="W532" s="702"/>
      <c r="X532" s="710">
        <f>(X530/0.743)</f>
        <v>1281.99</v>
      </c>
      <c r="Z532" s="700"/>
      <c r="AA532" s="697" t="s">
        <v>556</v>
      </c>
      <c r="AC532" s="702"/>
      <c r="AD532" s="710">
        <f>(AD530/0.743)</f>
        <v>1292.8399999999999</v>
      </c>
      <c r="AE532" s="724" t="str">
        <f t="shared" si="54"/>
        <v>|</v>
      </c>
      <c r="AG532" s="697" t="s">
        <v>2284</v>
      </c>
    </row>
    <row r="533" spans="1:33" ht="24" customHeight="1">
      <c r="A533" s="720" t="e">
        <f t="shared" si="58"/>
        <v>#REF!</v>
      </c>
      <c r="B533" s="722" t="s">
        <v>1145</v>
      </c>
      <c r="C533" s="780"/>
      <c r="D533" s="722" t="s">
        <v>987</v>
      </c>
      <c r="H533" s="697" t="s">
        <v>388</v>
      </c>
      <c r="I533" s="710">
        <f>K532</f>
        <v>1282.1099999999999</v>
      </c>
      <c r="J533" s="697">
        <f>C21*0.015/0.743</f>
        <v>4.3099999999999996</v>
      </c>
      <c r="K533" s="709">
        <f>I533+J533</f>
        <v>1286.42</v>
      </c>
      <c r="O533" s="705" t="s">
        <v>1609</v>
      </c>
      <c r="S533" s="699"/>
      <c r="T533" s="700"/>
      <c r="W533" s="702"/>
      <c r="X533" s="705" t="s">
        <v>2080</v>
      </c>
      <c r="Z533" s="700"/>
      <c r="AC533" s="702"/>
      <c r="AD533" s="705" t="s">
        <v>2080</v>
      </c>
      <c r="AE533" s="724" t="str">
        <f t="shared" si="54"/>
        <v>|</v>
      </c>
      <c r="AG533" s="697" t="s">
        <v>2284</v>
      </c>
    </row>
    <row r="534" spans="1:33" ht="24" customHeight="1">
      <c r="A534" s="720" t="e">
        <f t="shared" si="58"/>
        <v>#REF!</v>
      </c>
      <c r="B534" s="722" t="s">
        <v>1133</v>
      </c>
      <c r="C534" s="737">
        <v>7.8</v>
      </c>
      <c r="D534" s="722" t="s">
        <v>877</v>
      </c>
      <c r="H534" s="697" t="s">
        <v>2257</v>
      </c>
      <c r="I534" s="710">
        <f>K533</f>
        <v>1286.42</v>
      </c>
      <c r="J534" s="697">
        <f>J533</f>
        <v>4.3099999999999996</v>
      </c>
      <c r="K534" s="709">
        <f>I534+J534</f>
        <v>1290.73</v>
      </c>
      <c r="M534" s="710">
        <v>30</v>
      </c>
      <c r="N534" s="697" t="s">
        <v>1796</v>
      </c>
      <c r="O534" s="697" t="s">
        <v>1689</v>
      </c>
      <c r="P534" s="710">
        <f>(C39)</f>
        <v>5</v>
      </c>
      <c r="Q534" s="697" t="s">
        <v>1796</v>
      </c>
      <c r="R534" s="710">
        <f>(M534*P534)</f>
        <v>150</v>
      </c>
      <c r="S534" s="699"/>
      <c r="T534" s="700"/>
      <c r="U534" s="697" t="s">
        <v>386</v>
      </c>
      <c r="V534" s="710">
        <f>X532</f>
        <v>1281.99</v>
      </c>
      <c r="W534" s="697">
        <f>J532</f>
        <v>2.19</v>
      </c>
      <c r="X534" s="709">
        <f>V534+W534</f>
        <v>1284.18</v>
      </c>
      <c r="Z534" s="700"/>
      <c r="AA534" s="697" t="s">
        <v>386</v>
      </c>
      <c r="AB534" s="710">
        <f>AD532</f>
        <v>1292.8399999999999</v>
      </c>
      <c r="AC534" s="697">
        <f>W534</f>
        <v>2.19</v>
      </c>
      <c r="AD534" s="709">
        <f>AB534+AC534</f>
        <v>1295.03</v>
      </c>
      <c r="AE534" s="724" t="str">
        <f t="shared" si="54"/>
        <v>|</v>
      </c>
      <c r="AG534" s="697" t="s">
        <v>2284</v>
      </c>
    </row>
    <row r="535" spans="1:33" ht="24" customHeight="1">
      <c r="A535" s="720" t="e">
        <f t="shared" si="58"/>
        <v>#REF!</v>
      </c>
      <c r="B535" s="722" t="s">
        <v>1134</v>
      </c>
      <c r="C535" s="737">
        <v>9.49</v>
      </c>
      <c r="D535" s="722" t="s">
        <v>877</v>
      </c>
      <c r="H535" s="697" t="s">
        <v>380</v>
      </c>
      <c r="I535" s="710">
        <f>K534</f>
        <v>1290.73</v>
      </c>
      <c r="J535" s="697">
        <f>J534</f>
        <v>4.3099999999999996</v>
      </c>
      <c r="K535" s="709">
        <f>I535+J535</f>
        <v>1295.04</v>
      </c>
      <c r="M535" s="697" t="s">
        <v>987</v>
      </c>
      <c r="O535" s="697" t="s">
        <v>1692</v>
      </c>
      <c r="P535" s="697" t="s">
        <v>987</v>
      </c>
      <c r="R535" s="697" t="s">
        <v>987</v>
      </c>
      <c r="S535" s="699"/>
      <c r="T535" s="700"/>
      <c r="U535" s="697" t="s">
        <v>388</v>
      </c>
      <c r="V535" s="710">
        <f>X534</f>
        <v>1284.18</v>
      </c>
      <c r="W535" s="697">
        <f t="shared" ref="W535:W546" si="62">J535</f>
        <v>4.3099999999999996</v>
      </c>
      <c r="X535" s="709">
        <f>V535+W535</f>
        <v>1288.49</v>
      </c>
      <c r="Z535" s="700"/>
      <c r="AA535" s="697" t="s">
        <v>388</v>
      </c>
      <c r="AB535" s="710">
        <f>AD534</f>
        <v>1295.03</v>
      </c>
      <c r="AC535" s="697">
        <f t="shared" ref="AC535:AC546" si="63">W535</f>
        <v>4.3099999999999996</v>
      </c>
      <c r="AD535" s="709">
        <f>AB535+AC535</f>
        <v>1299.3399999999999</v>
      </c>
      <c r="AE535" s="724" t="str">
        <f t="shared" si="54"/>
        <v>|</v>
      </c>
      <c r="AG535" s="697" t="s">
        <v>2284</v>
      </c>
    </row>
    <row r="536" spans="1:33" ht="24" customHeight="1">
      <c r="A536" s="720" t="e">
        <f t="shared" si="58"/>
        <v>#REF!</v>
      </c>
      <c r="B536" s="722" t="s">
        <v>1135</v>
      </c>
      <c r="C536" s="737">
        <v>13.91</v>
      </c>
      <c r="D536" s="722" t="s">
        <v>877</v>
      </c>
      <c r="H536" s="697" t="s">
        <v>388</v>
      </c>
      <c r="I536" s="710">
        <f>K535</f>
        <v>1295.04</v>
      </c>
      <c r="J536" s="697">
        <f>J535</f>
        <v>4.3099999999999996</v>
      </c>
      <c r="K536" s="709">
        <f>I536+J536</f>
        <v>1299.3499999999999</v>
      </c>
      <c r="M536" s="710">
        <v>8</v>
      </c>
      <c r="N536" s="697" t="s">
        <v>877</v>
      </c>
      <c r="O536" s="697" t="s">
        <v>2168</v>
      </c>
      <c r="P536" s="710">
        <f>(C42)</f>
        <v>9.6999999999999993</v>
      </c>
      <c r="Q536" s="697" t="s">
        <v>877</v>
      </c>
      <c r="R536" s="710">
        <f>(M536*P536)</f>
        <v>77.599999999999994</v>
      </c>
      <c r="S536" s="699"/>
      <c r="T536" s="700"/>
      <c r="U536" s="697" t="s">
        <v>2257</v>
      </c>
      <c r="V536" s="710">
        <f>X535</f>
        <v>1288.49</v>
      </c>
      <c r="W536" s="697">
        <f t="shared" si="62"/>
        <v>4.3099999999999996</v>
      </c>
      <c r="X536" s="709">
        <f>V536+W536</f>
        <v>1292.8</v>
      </c>
      <c r="Z536" s="700"/>
      <c r="AA536" s="697" t="s">
        <v>2257</v>
      </c>
      <c r="AB536" s="710">
        <f>AD535</f>
        <v>1299.3399999999999</v>
      </c>
      <c r="AC536" s="697">
        <f t="shared" si="63"/>
        <v>4.3099999999999996</v>
      </c>
      <c r="AD536" s="709">
        <f>AB536+AC536</f>
        <v>1303.6500000000001</v>
      </c>
      <c r="AE536" s="724" t="str">
        <f t="shared" si="54"/>
        <v>|</v>
      </c>
      <c r="AG536" s="697" t="s">
        <v>2284</v>
      </c>
    </row>
    <row r="537" spans="1:33" ht="24" customHeight="1">
      <c r="A537" s="720"/>
      <c r="B537" s="722"/>
      <c r="C537" s="721"/>
      <c r="D537" s="722"/>
      <c r="H537" s="697">
        <v>5</v>
      </c>
      <c r="I537" s="710">
        <f t="shared" ref="I537:I542" si="64">K536</f>
        <v>1299.3499999999999</v>
      </c>
      <c r="J537" s="697">
        <f t="shared" ref="J537:J544" si="65">J536</f>
        <v>4.3099999999999996</v>
      </c>
      <c r="K537" s="709">
        <f t="shared" ref="K537:K542" si="66">I537+J537</f>
        <v>1303.6600000000001</v>
      </c>
      <c r="M537" s="710"/>
      <c r="N537" s="697"/>
      <c r="O537" s="697"/>
      <c r="P537" s="710"/>
      <c r="Q537" s="697"/>
      <c r="R537" s="710"/>
      <c r="S537" s="699"/>
      <c r="T537" s="700"/>
      <c r="U537" s="697" t="s">
        <v>380</v>
      </c>
      <c r="V537" s="710">
        <f>X536</f>
        <v>1292.8</v>
      </c>
      <c r="W537" s="697">
        <f t="shared" si="62"/>
        <v>4.3099999999999996</v>
      </c>
      <c r="X537" s="709">
        <f>V537+W537</f>
        <v>1297.1099999999999</v>
      </c>
      <c r="Z537" s="700"/>
      <c r="AA537" s="697" t="s">
        <v>380</v>
      </c>
      <c r="AB537" s="710">
        <f>AD536</f>
        <v>1303.6500000000001</v>
      </c>
      <c r="AC537" s="697">
        <f t="shared" si="63"/>
        <v>4.3099999999999996</v>
      </c>
      <c r="AD537" s="709">
        <f>AB537+AC537</f>
        <v>1307.96</v>
      </c>
      <c r="AE537" s="724"/>
      <c r="AG537" s="697"/>
    </row>
    <row r="538" spans="1:33" ht="24" customHeight="1">
      <c r="A538" s="720"/>
      <c r="B538" s="722"/>
      <c r="C538" s="721"/>
      <c r="D538" s="722"/>
      <c r="H538" s="697">
        <v>6</v>
      </c>
      <c r="I538" s="710">
        <f t="shared" si="64"/>
        <v>1303.6600000000001</v>
      </c>
      <c r="J538" s="697">
        <f t="shared" si="65"/>
        <v>4.3099999999999996</v>
      </c>
      <c r="K538" s="709">
        <f t="shared" si="66"/>
        <v>1307.97</v>
      </c>
      <c r="M538" s="710"/>
      <c r="N538" s="697"/>
      <c r="O538" s="697"/>
      <c r="P538" s="710"/>
      <c r="Q538" s="697"/>
      <c r="R538" s="710"/>
      <c r="S538" s="699"/>
      <c r="T538" s="700"/>
      <c r="U538" s="697" t="s">
        <v>388</v>
      </c>
      <c r="V538" s="710">
        <f>X537</f>
        <v>1297.1099999999999</v>
      </c>
      <c r="W538" s="697">
        <f t="shared" si="62"/>
        <v>4.3099999999999996</v>
      </c>
      <c r="X538" s="709">
        <f>V538+W538</f>
        <v>1301.42</v>
      </c>
      <c r="Z538" s="700"/>
      <c r="AA538" s="697" t="s">
        <v>388</v>
      </c>
      <c r="AB538" s="710">
        <f>AD537</f>
        <v>1307.96</v>
      </c>
      <c r="AC538" s="697">
        <f t="shared" si="63"/>
        <v>4.3099999999999996</v>
      </c>
      <c r="AD538" s="709">
        <f>AB538+AC538</f>
        <v>1312.27</v>
      </c>
      <c r="AE538" s="724"/>
      <c r="AG538" s="697"/>
    </row>
    <row r="539" spans="1:33" ht="24" customHeight="1">
      <c r="A539" s="720"/>
      <c r="B539" s="722"/>
      <c r="C539" s="721"/>
      <c r="D539" s="722"/>
      <c r="H539" s="697">
        <v>7</v>
      </c>
      <c r="I539" s="710">
        <f t="shared" si="64"/>
        <v>1307.97</v>
      </c>
      <c r="J539" s="697">
        <f t="shared" si="65"/>
        <v>4.3099999999999996</v>
      </c>
      <c r="K539" s="709">
        <f t="shared" si="66"/>
        <v>1312.28</v>
      </c>
      <c r="M539" s="710"/>
      <c r="N539" s="697"/>
      <c r="O539" s="697"/>
      <c r="P539" s="710"/>
      <c r="Q539" s="697"/>
      <c r="R539" s="710"/>
      <c r="S539" s="699"/>
      <c r="T539" s="700"/>
      <c r="U539" s="697">
        <v>5</v>
      </c>
      <c r="V539" s="710">
        <f t="shared" ref="V539:V544" si="67">X538</f>
        <v>1301.42</v>
      </c>
      <c r="W539" s="697">
        <f t="shared" si="62"/>
        <v>4.3099999999999996</v>
      </c>
      <c r="X539" s="709">
        <f t="shared" ref="X539:X544" si="68">V539+W539</f>
        <v>1305.73</v>
      </c>
      <c r="Z539" s="700"/>
      <c r="AA539" s="697">
        <v>5</v>
      </c>
      <c r="AB539" s="710">
        <f t="shared" ref="AB539:AB544" si="69">AD538</f>
        <v>1312.27</v>
      </c>
      <c r="AC539" s="697">
        <f t="shared" si="63"/>
        <v>4.3099999999999996</v>
      </c>
      <c r="AD539" s="709">
        <f t="shared" ref="AD539:AD544" si="70">AB539+AC539</f>
        <v>1316.58</v>
      </c>
      <c r="AE539" s="724"/>
      <c r="AG539" s="697"/>
    </row>
    <row r="540" spans="1:33" ht="24" customHeight="1">
      <c r="A540" s="720"/>
      <c r="B540" s="722"/>
      <c r="C540" s="721"/>
      <c r="D540" s="722"/>
      <c r="H540" s="697">
        <v>8</v>
      </c>
      <c r="I540" s="710">
        <f t="shared" si="64"/>
        <v>1312.28</v>
      </c>
      <c r="J540" s="697">
        <f t="shared" si="65"/>
        <v>4.3099999999999996</v>
      </c>
      <c r="K540" s="709">
        <f t="shared" si="66"/>
        <v>1316.59</v>
      </c>
      <c r="M540" s="710"/>
      <c r="N540" s="697"/>
      <c r="O540" s="697"/>
      <c r="P540" s="710"/>
      <c r="Q540" s="697"/>
      <c r="R540" s="710"/>
      <c r="S540" s="699"/>
      <c r="T540" s="700"/>
      <c r="U540" s="697">
        <v>6</v>
      </c>
      <c r="V540" s="710">
        <f t="shared" si="67"/>
        <v>1305.73</v>
      </c>
      <c r="W540" s="697">
        <f t="shared" si="62"/>
        <v>4.3099999999999996</v>
      </c>
      <c r="X540" s="709">
        <f t="shared" si="68"/>
        <v>1310.04</v>
      </c>
      <c r="Z540" s="700"/>
      <c r="AA540" s="697">
        <v>6</v>
      </c>
      <c r="AB540" s="710">
        <f t="shared" si="69"/>
        <v>1316.58</v>
      </c>
      <c r="AC540" s="697">
        <f t="shared" si="63"/>
        <v>4.3099999999999996</v>
      </c>
      <c r="AD540" s="709">
        <f t="shared" si="70"/>
        <v>1320.89</v>
      </c>
      <c r="AE540" s="724"/>
      <c r="AG540" s="697"/>
    </row>
    <row r="541" spans="1:33" ht="24" customHeight="1">
      <c r="A541" s="720"/>
      <c r="B541" s="722"/>
      <c r="C541" s="721"/>
      <c r="D541" s="722"/>
      <c r="H541" s="697">
        <v>9</v>
      </c>
      <c r="I541" s="710">
        <f t="shared" si="64"/>
        <v>1316.59</v>
      </c>
      <c r="J541" s="697">
        <f t="shared" si="65"/>
        <v>4.3099999999999996</v>
      </c>
      <c r="K541" s="709">
        <f t="shared" si="66"/>
        <v>1320.9</v>
      </c>
      <c r="M541" s="710"/>
      <c r="N541" s="697"/>
      <c r="O541" s="697"/>
      <c r="P541" s="710"/>
      <c r="Q541" s="697"/>
      <c r="R541" s="710"/>
      <c r="S541" s="699"/>
      <c r="T541" s="700"/>
      <c r="U541" s="697">
        <v>7</v>
      </c>
      <c r="V541" s="710">
        <f t="shared" si="67"/>
        <v>1310.04</v>
      </c>
      <c r="W541" s="697">
        <f t="shared" si="62"/>
        <v>4.3099999999999996</v>
      </c>
      <c r="X541" s="709">
        <f t="shared" si="68"/>
        <v>1314.35</v>
      </c>
      <c r="Z541" s="700"/>
      <c r="AA541" s="697">
        <v>7</v>
      </c>
      <c r="AB541" s="710">
        <f t="shared" si="69"/>
        <v>1320.89</v>
      </c>
      <c r="AC541" s="697">
        <f t="shared" si="63"/>
        <v>4.3099999999999996</v>
      </c>
      <c r="AD541" s="709">
        <f t="shared" si="70"/>
        <v>1325.2</v>
      </c>
      <c r="AE541" s="724"/>
      <c r="AG541" s="697"/>
    </row>
    <row r="542" spans="1:33" ht="24" customHeight="1">
      <c r="A542" s="720"/>
      <c r="B542" s="722"/>
      <c r="C542" s="721"/>
      <c r="D542" s="722"/>
      <c r="H542" s="697">
        <v>10</v>
      </c>
      <c r="I542" s="710">
        <f t="shared" si="64"/>
        <v>1320.9</v>
      </c>
      <c r="J542" s="697">
        <f t="shared" si="65"/>
        <v>4.3099999999999996</v>
      </c>
      <c r="K542" s="709">
        <f t="shared" si="66"/>
        <v>1325.21</v>
      </c>
      <c r="M542" s="710"/>
      <c r="N542" s="697"/>
      <c r="O542" s="697"/>
      <c r="P542" s="710"/>
      <c r="Q542" s="697"/>
      <c r="R542" s="710"/>
      <c r="S542" s="699"/>
      <c r="T542" s="700"/>
      <c r="U542" s="697">
        <v>8</v>
      </c>
      <c r="V542" s="710">
        <f t="shared" si="67"/>
        <v>1314.35</v>
      </c>
      <c r="W542" s="697">
        <f t="shared" si="62"/>
        <v>4.3099999999999996</v>
      </c>
      <c r="X542" s="709">
        <f t="shared" si="68"/>
        <v>1318.66</v>
      </c>
      <c r="Z542" s="700"/>
      <c r="AA542" s="697">
        <v>8</v>
      </c>
      <c r="AB542" s="710">
        <f t="shared" si="69"/>
        <v>1325.2</v>
      </c>
      <c r="AC542" s="697">
        <f t="shared" si="63"/>
        <v>4.3099999999999996</v>
      </c>
      <c r="AD542" s="709">
        <f t="shared" si="70"/>
        <v>1329.51</v>
      </c>
      <c r="AE542" s="724"/>
      <c r="AG542" s="697"/>
    </row>
    <row r="543" spans="1:33" ht="24" customHeight="1">
      <c r="A543" s="720"/>
      <c r="B543" s="722"/>
      <c r="C543" s="721"/>
      <c r="D543" s="722"/>
      <c r="H543" s="697">
        <v>11</v>
      </c>
      <c r="I543" s="710">
        <f>K542</f>
        <v>1325.21</v>
      </c>
      <c r="J543" s="697">
        <f t="shared" si="65"/>
        <v>4.3099999999999996</v>
      </c>
      <c r="K543" s="709">
        <f>I543+J543</f>
        <v>1329.52</v>
      </c>
      <c r="M543" s="710"/>
      <c r="N543" s="697"/>
      <c r="O543" s="697"/>
      <c r="P543" s="710"/>
      <c r="Q543" s="697"/>
      <c r="R543" s="710"/>
      <c r="S543" s="699"/>
      <c r="T543" s="700"/>
      <c r="U543" s="697">
        <v>9</v>
      </c>
      <c r="V543" s="710">
        <f t="shared" si="67"/>
        <v>1318.66</v>
      </c>
      <c r="W543" s="697">
        <f t="shared" si="62"/>
        <v>4.3099999999999996</v>
      </c>
      <c r="X543" s="709">
        <f t="shared" si="68"/>
        <v>1322.97</v>
      </c>
      <c r="Z543" s="700"/>
      <c r="AA543" s="697">
        <v>9</v>
      </c>
      <c r="AB543" s="710">
        <f t="shared" si="69"/>
        <v>1329.51</v>
      </c>
      <c r="AC543" s="697">
        <f t="shared" si="63"/>
        <v>4.3099999999999996</v>
      </c>
      <c r="AD543" s="709">
        <f t="shared" si="70"/>
        <v>1333.82</v>
      </c>
      <c r="AE543" s="724"/>
      <c r="AG543" s="697"/>
    </row>
    <row r="544" spans="1:33" ht="24" customHeight="1">
      <c r="A544" s="720"/>
      <c r="B544" s="722"/>
      <c r="C544" s="721"/>
      <c r="D544" s="722"/>
      <c r="H544" s="697">
        <v>12</v>
      </c>
      <c r="I544" s="710">
        <f>K543</f>
        <v>1329.52</v>
      </c>
      <c r="J544" s="697">
        <f t="shared" si="65"/>
        <v>4.3099999999999996</v>
      </c>
      <c r="K544" s="709">
        <f>I544+J544</f>
        <v>1333.83</v>
      </c>
      <c r="M544" s="710"/>
      <c r="N544" s="697"/>
      <c r="O544" s="697"/>
      <c r="P544" s="710"/>
      <c r="Q544" s="697"/>
      <c r="R544" s="710"/>
      <c r="S544" s="699"/>
      <c r="T544" s="700"/>
      <c r="U544" s="697">
        <v>10</v>
      </c>
      <c r="V544" s="710">
        <f t="shared" si="67"/>
        <v>1322.97</v>
      </c>
      <c r="W544" s="697">
        <f t="shared" si="62"/>
        <v>4.3099999999999996</v>
      </c>
      <c r="X544" s="709">
        <f t="shared" si="68"/>
        <v>1327.28</v>
      </c>
      <c r="Z544" s="700"/>
      <c r="AA544" s="697">
        <v>10</v>
      </c>
      <c r="AB544" s="710">
        <f t="shared" si="69"/>
        <v>1333.82</v>
      </c>
      <c r="AC544" s="697">
        <f t="shared" si="63"/>
        <v>4.3099999999999996</v>
      </c>
      <c r="AD544" s="709">
        <f t="shared" si="70"/>
        <v>1338.13</v>
      </c>
      <c r="AE544" s="724"/>
      <c r="AG544" s="697"/>
    </row>
    <row r="545" spans="1:33" ht="24" customHeight="1">
      <c r="A545" s="720" t="e">
        <f>(A536+1)</f>
        <v>#REF!</v>
      </c>
      <c r="B545" s="722" t="s">
        <v>1136</v>
      </c>
      <c r="C545" s="737">
        <v>26.59</v>
      </c>
      <c r="D545" s="722" t="s">
        <v>877</v>
      </c>
      <c r="F545" s="698" t="s">
        <v>1146</v>
      </c>
      <c r="G545" s="708" t="s">
        <v>2276</v>
      </c>
      <c r="H545" s="697" t="s">
        <v>256</v>
      </c>
      <c r="M545" s="710">
        <v>8</v>
      </c>
      <c r="N545" s="697" t="s">
        <v>877</v>
      </c>
      <c r="O545" s="697" t="s">
        <v>468</v>
      </c>
      <c r="P545" s="710">
        <f>(C49)</f>
        <v>24.2</v>
      </c>
      <c r="Q545" s="697" t="s">
        <v>877</v>
      </c>
      <c r="R545" s="710">
        <f>(M545*P545)</f>
        <v>193.6</v>
      </c>
      <c r="S545" s="699"/>
      <c r="T545" s="700"/>
      <c r="U545" s="697">
        <v>11</v>
      </c>
      <c r="V545" s="710">
        <f>X544</f>
        <v>1327.28</v>
      </c>
      <c r="W545" s="697">
        <f t="shared" si="62"/>
        <v>0</v>
      </c>
      <c r="X545" s="709">
        <f>V545+W545</f>
        <v>1327.28</v>
      </c>
      <c r="Z545" s="700"/>
      <c r="AA545" s="697">
        <v>11</v>
      </c>
      <c r="AB545" s="710">
        <f>AD544</f>
        <v>1338.13</v>
      </c>
      <c r="AC545" s="697">
        <f t="shared" si="63"/>
        <v>0</v>
      </c>
      <c r="AD545" s="709">
        <f>AB545+AC545</f>
        <v>1338.13</v>
      </c>
      <c r="AE545" s="724" t="str">
        <f t="shared" si="54"/>
        <v>|</v>
      </c>
      <c r="AG545" s="697" t="s">
        <v>2284</v>
      </c>
    </row>
    <row r="546" spans="1:33" ht="45.75" customHeight="1">
      <c r="A546" s="720" t="e">
        <f t="shared" si="58"/>
        <v>#REF!</v>
      </c>
      <c r="B546" s="722" t="s">
        <v>1138</v>
      </c>
      <c r="C546" s="737">
        <v>39.909999999999997</v>
      </c>
      <c r="D546" s="722" t="s">
        <v>877</v>
      </c>
      <c r="H546" s="705" t="s">
        <v>1609</v>
      </c>
      <c r="M546" s="710">
        <v>3</v>
      </c>
      <c r="N546" s="697" t="s">
        <v>877</v>
      </c>
      <c r="O546" s="697" t="s">
        <v>1870</v>
      </c>
      <c r="P546" s="710">
        <f>(C38)</f>
        <v>637</v>
      </c>
      <c r="Q546" s="697" t="s">
        <v>877</v>
      </c>
      <c r="R546" s="710">
        <f>(M546*P546)</f>
        <v>1911</v>
      </c>
      <c r="S546" s="699"/>
      <c r="T546" s="700"/>
      <c r="U546" s="697">
        <v>12</v>
      </c>
      <c r="V546" s="710">
        <f>X545</f>
        <v>1327.28</v>
      </c>
      <c r="W546" s="697">
        <f t="shared" si="62"/>
        <v>0</v>
      </c>
      <c r="X546" s="709">
        <f>V546+W546</f>
        <v>1327.28</v>
      </c>
      <c r="Z546" s="700"/>
      <c r="AA546" s="697">
        <v>12</v>
      </c>
      <c r="AB546" s="710">
        <f>AD545</f>
        <v>1338.13</v>
      </c>
      <c r="AC546" s="697">
        <f t="shared" si="63"/>
        <v>0</v>
      </c>
      <c r="AD546" s="709">
        <f>AB546+AC546</f>
        <v>1338.13</v>
      </c>
      <c r="AE546" s="724" t="str">
        <f t="shared" si="54"/>
        <v>|</v>
      </c>
      <c r="AG546" s="697" t="s">
        <v>2284</v>
      </c>
    </row>
    <row r="547" spans="1:33" ht="52.5" customHeight="1">
      <c r="A547" s="720" t="e">
        <f t="shared" si="58"/>
        <v>#REF!</v>
      </c>
      <c r="B547" s="722" t="s">
        <v>239</v>
      </c>
      <c r="C547" s="737">
        <v>66</v>
      </c>
      <c r="D547" s="722" t="s">
        <v>877</v>
      </c>
      <c r="F547" s="710">
        <v>0.03</v>
      </c>
      <c r="G547" s="708" t="s">
        <v>878</v>
      </c>
      <c r="H547" s="697" t="s">
        <v>1011</v>
      </c>
      <c r="I547" s="710">
        <f>(K510)</f>
        <v>6598.5</v>
      </c>
      <c r="J547" s="697" t="s">
        <v>878</v>
      </c>
      <c r="K547" s="710">
        <f>(F547*I547)</f>
        <v>197.96</v>
      </c>
      <c r="M547" s="710">
        <v>1</v>
      </c>
      <c r="N547" s="697" t="s">
        <v>877</v>
      </c>
      <c r="O547" s="697" t="s">
        <v>1871</v>
      </c>
      <c r="P547" s="710">
        <f>(C8)</f>
        <v>861</v>
      </c>
      <c r="Q547" s="697" t="s">
        <v>877</v>
      </c>
      <c r="R547" s="710">
        <f>(M547*P547)</f>
        <v>861</v>
      </c>
      <c r="S547" s="698" t="s">
        <v>1146</v>
      </c>
      <c r="T547" s="708" t="s">
        <v>2276</v>
      </c>
      <c r="U547" s="762" t="s">
        <v>5228</v>
      </c>
      <c r="W547" s="697"/>
      <c r="Y547" s="698" t="s">
        <v>1146</v>
      </c>
      <c r="Z547" s="708" t="s">
        <v>2276</v>
      </c>
      <c r="AA547" s="1860" t="s">
        <v>5228</v>
      </c>
      <c r="AB547" s="1860"/>
      <c r="AC547" s="697"/>
      <c r="AE547" s="724" t="str">
        <f t="shared" si="54"/>
        <v>|</v>
      </c>
      <c r="AG547" s="697" t="s">
        <v>2284</v>
      </c>
    </row>
    <row r="548" spans="1:33" ht="24" customHeight="1">
      <c r="A548" s="720" t="e">
        <f t="shared" si="58"/>
        <v>#REF!</v>
      </c>
      <c r="B548" s="722" t="s">
        <v>1147</v>
      </c>
      <c r="C548" s="780"/>
      <c r="D548" s="722" t="s">
        <v>987</v>
      </c>
      <c r="F548" s="710">
        <v>0.5</v>
      </c>
      <c r="G548" s="708" t="s">
        <v>778</v>
      </c>
      <c r="H548" s="697" t="s">
        <v>2034</v>
      </c>
      <c r="I548" s="710">
        <f>(C8)</f>
        <v>861</v>
      </c>
      <c r="J548" s="697" t="s">
        <v>778</v>
      </c>
      <c r="K548" s="710">
        <f>(F548*I548)</f>
        <v>430.5</v>
      </c>
      <c r="M548" s="710">
        <v>2</v>
      </c>
      <c r="N548" s="697" t="s">
        <v>877</v>
      </c>
      <c r="O548" s="697" t="s">
        <v>1927</v>
      </c>
      <c r="P548" s="710">
        <f>(C10)</f>
        <v>562</v>
      </c>
      <c r="Q548" s="697" t="s">
        <v>877</v>
      </c>
      <c r="R548" s="710">
        <f>(M548*P548)</f>
        <v>1124</v>
      </c>
      <c r="S548" s="699"/>
      <c r="T548" s="700"/>
      <c r="U548" s="705" t="s">
        <v>1609</v>
      </c>
      <c r="W548" s="702"/>
      <c r="Z548" s="700"/>
      <c r="AA548" s="705" t="s">
        <v>1609</v>
      </c>
      <c r="AC548" s="702"/>
      <c r="AE548" s="724" t="str">
        <f t="shared" si="54"/>
        <v>|</v>
      </c>
      <c r="AG548" s="697" t="s">
        <v>2284</v>
      </c>
    </row>
    <row r="549" spans="1:33" ht="24" customHeight="1">
      <c r="A549" s="720" t="e">
        <f t="shared" si="58"/>
        <v>#REF!</v>
      </c>
      <c r="B549" s="722" t="s">
        <v>964</v>
      </c>
      <c r="C549" s="737">
        <v>4.75</v>
      </c>
      <c r="D549" s="722" t="s">
        <v>877</v>
      </c>
      <c r="F549" s="710">
        <v>0.75</v>
      </c>
      <c r="G549" s="708" t="s">
        <v>778</v>
      </c>
      <c r="H549" s="697" t="s">
        <v>1927</v>
      </c>
      <c r="I549" s="710">
        <f>(C10)</f>
        <v>562</v>
      </c>
      <c r="J549" s="697" t="s">
        <v>778</v>
      </c>
      <c r="K549" s="710">
        <f>(F549*I549)</f>
        <v>421.5</v>
      </c>
      <c r="M549" s="710">
        <v>1</v>
      </c>
      <c r="N549" s="697" t="s">
        <v>877</v>
      </c>
      <c r="O549" s="697" t="s">
        <v>321</v>
      </c>
      <c r="P549" s="710">
        <f>(C11)</f>
        <v>461</v>
      </c>
      <c r="Q549" s="697" t="s">
        <v>877</v>
      </c>
      <c r="R549" s="710">
        <f>(M549*P549)</f>
        <v>461</v>
      </c>
      <c r="S549" s="710">
        <v>0.03</v>
      </c>
      <c r="T549" s="708" t="s">
        <v>878</v>
      </c>
      <c r="U549" s="697" t="s">
        <v>4077</v>
      </c>
      <c r="V549" s="710">
        <f>V525</f>
        <v>6701.01</v>
      </c>
      <c r="W549" s="697" t="s">
        <v>878</v>
      </c>
      <c r="X549" s="710">
        <f>(S549*V549)</f>
        <v>201.03</v>
      </c>
      <c r="Y549" s="710">
        <v>0.03</v>
      </c>
      <c r="Z549" s="708" t="s">
        <v>878</v>
      </c>
      <c r="AA549" s="697" t="s">
        <v>4077</v>
      </c>
      <c r="AB549" s="710">
        <f>AB525</f>
        <v>7238.42</v>
      </c>
      <c r="AC549" s="697" t="s">
        <v>878</v>
      </c>
      <c r="AD549" s="710">
        <f>(Y549*AB549)</f>
        <v>217.15</v>
      </c>
      <c r="AE549" s="724" t="str">
        <f t="shared" si="54"/>
        <v>|</v>
      </c>
      <c r="AG549" s="697" t="s">
        <v>2284</v>
      </c>
    </row>
    <row r="550" spans="1:33" ht="24" customHeight="1">
      <c r="A550" s="720" t="e">
        <f t="shared" si="58"/>
        <v>#REF!</v>
      </c>
      <c r="B550" s="722" t="s">
        <v>752</v>
      </c>
      <c r="C550" s="737">
        <v>6.89</v>
      </c>
      <c r="D550" s="722" t="s">
        <v>877</v>
      </c>
      <c r="E550" s="796">
        <f>0.03/40*75</f>
        <v>5.6300000000000003E-2</v>
      </c>
      <c r="G550" s="708" t="s">
        <v>450</v>
      </c>
      <c r="H550" s="697" t="s">
        <v>451</v>
      </c>
      <c r="J550" s="697" t="s">
        <v>450</v>
      </c>
      <c r="K550" s="710">
        <v>0</v>
      </c>
      <c r="N550" s="697" t="s">
        <v>450</v>
      </c>
      <c r="O550" s="697" t="s">
        <v>1872</v>
      </c>
      <c r="P550" s="697" t="s">
        <v>987</v>
      </c>
      <c r="Q550" s="697" t="s">
        <v>450</v>
      </c>
      <c r="R550" s="710">
        <f>(C53)</f>
        <v>12.1</v>
      </c>
      <c r="S550" s="710">
        <v>0.5</v>
      </c>
      <c r="T550" s="708" t="s">
        <v>778</v>
      </c>
      <c r="U550" s="697" t="s">
        <v>2034</v>
      </c>
      <c r="V550" s="710">
        <f>V526</f>
        <v>861</v>
      </c>
      <c r="W550" s="697" t="s">
        <v>778</v>
      </c>
      <c r="X550" s="710">
        <f>(S550*V550)</f>
        <v>430.5</v>
      </c>
      <c r="Y550" s="710">
        <v>0.5</v>
      </c>
      <c r="Z550" s="708" t="s">
        <v>778</v>
      </c>
      <c r="AA550" s="697" t="s">
        <v>2034</v>
      </c>
      <c r="AB550" s="710">
        <f>AB526</f>
        <v>861</v>
      </c>
      <c r="AC550" s="697" t="s">
        <v>778</v>
      </c>
      <c r="AD550" s="710">
        <f>(Y550*AB550)</f>
        <v>430.5</v>
      </c>
      <c r="AE550" s="724" t="str">
        <f t="shared" si="54"/>
        <v>|</v>
      </c>
      <c r="AG550" s="697" t="s">
        <v>2284</v>
      </c>
    </row>
    <row r="551" spans="1:33" ht="24" customHeight="1">
      <c r="A551" s="720" t="e">
        <f t="shared" si="58"/>
        <v>#REF!</v>
      </c>
      <c r="B551" s="722" t="s">
        <v>1688</v>
      </c>
      <c r="C551" s="737">
        <v>6.18</v>
      </c>
      <c r="D551" s="722" t="s">
        <v>877</v>
      </c>
      <c r="K551" s="705" t="s">
        <v>1609</v>
      </c>
      <c r="O551" s="697" t="s">
        <v>1874</v>
      </c>
      <c r="P551" s="697" t="s">
        <v>987</v>
      </c>
      <c r="R551" s="697" t="s">
        <v>987</v>
      </c>
      <c r="S551" s="710">
        <v>0.75</v>
      </c>
      <c r="T551" s="708" t="s">
        <v>778</v>
      </c>
      <c r="U551" s="697" t="s">
        <v>1927</v>
      </c>
      <c r="V551" s="710">
        <f>V527</f>
        <v>562</v>
      </c>
      <c r="W551" s="697" t="s">
        <v>778</v>
      </c>
      <c r="X551" s="710">
        <f>(S551*V551)</f>
        <v>421.5</v>
      </c>
      <c r="Y551" s="710">
        <v>0.75</v>
      </c>
      <c r="Z551" s="708" t="s">
        <v>778</v>
      </c>
      <c r="AA551" s="697" t="s">
        <v>1927</v>
      </c>
      <c r="AB551" s="710">
        <f>AB527</f>
        <v>562</v>
      </c>
      <c r="AC551" s="697" t="s">
        <v>778</v>
      </c>
      <c r="AD551" s="710">
        <f>(Y551*AB551)</f>
        <v>421.5</v>
      </c>
      <c r="AE551" s="724" t="str">
        <f t="shared" ref="AE551:AE620" si="71">AG551</f>
        <v>|</v>
      </c>
      <c r="AG551" s="697" t="s">
        <v>2284</v>
      </c>
    </row>
    <row r="552" spans="1:33" ht="24" customHeight="1">
      <c r="A552" s="720" t="e">
        <f t="shared" si="58"/>
        <v>#REF!</v>
      </c>
      <c r="B552" s="722" t="s">
        <v>1148</v>
      </c>
      <c r="C552" s="737">
        <v>13.29</v>
      </c>
      <c r="D552" s="722" t="s">
        <v>877</v>
      </c>
      <c r="H552" s="697" t="s">
        <v>1773</v>
      </c>
      <c r="K552" s="710">
        <f>SUM(K547:K550)</f>
        <v>1049.96</v>
      </c>
      <c r="N552" s="697" t="s">
        <v>450</v>
      </c>
      <c r="O552" s="697" t="s">
        <v>451</v>
      </c>
      <c r="Q552" s="697" t="s">
        <v>450</v>
      </c>
      <c r="R552" s="710">
        <v>0</v>
      </c>
      <c r="S552" s="699"/>
      <c r="T552" s="708" t="s">
        <v>450</v>
      </c>
      <c r="U552" s="697" t="s">
        <v>451</v>
      </c>
      <c r="V552" s="710">
        <f>V528</f>
        <v>0</v>
      </c>
      <c r="W552" s="697" t="s">
        <v>450</v>
      </c>
      <c r="X552" s="710">
        <v>0</v>
      </c>
      <c r="Z552" s="708" t="s">
        <v>450</v>
      </c>
      <c r="AA552" s="697" t="s">
        <v>451</v>
      </c>
      <c r="AB552" s="710">
        <f>AB528</f>
        <v>0</v>
      </c>
      <c r="AC552" s="697" t="s">
        <v>450</v>
      </c>
      <c r="AD552" s="710">
        <v>0</v>
      </c>
      <c r="AE552" s="724" t="str">
        <f t="shared" si="71"/>
        <v>|</v>
      </c>
      <c r="AG552" s="697" t="s">
        <v>2284</v>
      </c>
    </row>
    <row r="553" spans="1:33" ht="24" customHeight="1">
      <c r="A553" s="720" t="e">
        <f t="shared" si="58"/>
        <v>#REF!</v>
      </c>
      <c r="B553" s="722" t="s">
        <v>1149</v>
      </c>
      <c r="C553" s="737">
        <v>14.11</v>
      </c>
      <c r="D553" s="722" t="s">
        <v>877</v>
      </c>
      <c r="K553" s="705" t="s">
        <v>1609</v>
      </c>
      <c r="R553" s="705" t="s">
        <v>1609</v>
      </c>
      <c r="S553" s="699"/>
      <c r="T553" s="700"/>
      <c r="W553" s="702"/>
      <c r="X553" s="705" t="s">
        <v>1609</v>
      </c>
      <c r="Z553" s="700"/>
      <c r="AC553" s="702"/>
      <c r="AD553" s="705" t="s">
        <v>1609</v>
      </c>
      <c r="AE553" s="724" t="str">
        <f t="shared" si="71"/>
        <v>|</v>
      </c>
      <c r="AG553" s="697" t="s">
        <v>2284</v>
      </c>
    </row>
    <row r="554" spans="1:33" ht="24" customHeight="1">
      <c r="A554" s="720" t="e">
        <f t="shared" si="58"/>
        <v>#REF!</v>
      </c>
      <c r="B554" s="722" t="s">
        <v>1150</v>
      </c>
      <c r="C554" s="737">
        <v>14.69</v>
      </c>
      <c r="D554" s="722" t="s">
        <v>877</v>
      </c>
      <c r="H554" s="697" t="s">
        <v>556</v>
      </c>
      <c r="K554" s="710">
        <f>(K552/0.743)</f>
        <v>1413.14</v>
      </c>
      <c r="O554" s="697" t="s">
        <v>1875</v>
      </c>
      <c r="R554" s="710">
        <f>SUM(R534:R552)</f>
        <v>4790.3</v>
      </c>
      <c r="S554" s="699"/>
      <c r="T554" s="700"/>
      <c r="U554" s="697" t="s">
        <v>1773</v>
      </c>
      <c r="W554" s="702"/>
      <c r="X554" s="710">
        <f>SUM(X549:X552)</f>
        <v>1053.03</v>
      </c>
      <c r="Z554" s="700"/>
      <c r="AA554" s="697" t="s">
        <v>1773</v>
      </c>
      <c r="AC554" s="702"/>
      <c r="AD554" s="710">
        <f>SUM(AD549:AD552)</f>
        <v>1069.1500000000001</v>
      </c>
      <c r="AE554" s="724" t="str">
        <f t="shared" si="71"/>
        <v>|</v>
      </c>
      <c r="AG554" s="697" t="s">
        <v>2284</v>
      </c>
    </row>
    <row r="555" spans="1:33" ht="24" customHeight="1">
      <c r="A555" s="720" t="e">
        <f t="shared" si="58"/>
        <v>#REF!</v>
      </c>
      <c r="B555" s="722" t="s">
        <v>1889</v>
      </c>
      <c r="C555" s="734"/>
      <c r="D555" s="722" t="s">
        <v>987</v>
      </c>
      <c r="K555" s="705" t="s">
        <v>2080</v>
      </c>
      <c r="R555" s="705" t="s">
        <v>1609</v>
      </c>
      <c r="S555" s="699"/>
      <c r="T555" s="700"/>
      <c r="W555" s="702"/>
      <c r="X555" s="705" t="s">
        <v>1609</v>
      </c>
      <c r="Z555" s="700"/>
      <c r="AC555" s="702"/>
      <c r="AD555" s="705" t="s">
        <v>1609</v>
      </c>
      <c r="AE555" s="724" t="str">
        <f t="shared" si="71"/>
        <v>|</v>
      </c>
      <c r="AG555" s="697" t="s">
        <v>2284</v>
      </c>
    </row>
    <row r="556" spans="1:33" ht="24" customHeight="1">
      <c r="A556" s="720" t="e">
        <f t="shared" si="58"/>
        <v>#REF!</v>
      </c>
      <c r="B556" s="722" t="s">
        <v>964</v>
      </c>
      <c r="C556" s="737">
        <v>10.3</v>
      </c>
      <c r="D556" s="722" t="s">
        <v>877</v>
      </c>
      <c r="H556" s="697" t="s">
        <v>386</v>
      </c>
      <c r="I556" s="710">
        <f>K554</f>
        <v>1413.14</v>
      </c>
      <c r="J556" s="697">
        <f>C20*0.03/0.743</f>
        <v>4.38</v>
      </c>
      <c r="K556" s="709">
        <f>I556+J556</f>
        <v>1417.52</v>
      </c>
      <c r="M556" s="699">
        <f>0.47*38.5</f>
        <v>18.100000000000001</v>
      </c>
      <c r="O556" s="697" t="s">
        <v>1567</v>
      </c>
      <c r="R556" s="710">
        <f>(R554/30)</f>
        <v>159.68</v>
      </c>
      <c r="S556" s="699"/>
      <c r="T556" s="700"/>
      <c r="U556" s="697" t="s">
        <v>4078</v>
      </c>
      <c r="W556" s="702"/>
      <c r="X556" s="709">
        <f>(X554/0.743)</f>
        <v>1417.27</v>
      </c>
      <c r="Z556" s="700"/>
      <c r="AA556" s="697" t="s">
        <v>4078</v>
      </c>
      <c r="AC556" s="702"/>
      <c r="AD556" s="709">
        <f>(AD554/0.743)</f>
        <v>1438.96</v>
      </c>
      <c r="AE556" s="724" t="str">
        <f t="shared" si="71"/>
        <v>|</v>
      </c>
      <c r="AG556" s="697" t="s">
        <v>2284</v>
      </c>
    </row>
    <row r="557" spans="1:33" ht="24" customHeight="1">
      <c r="A557" s="720" t="e">
        <f t="shared" si="58"/>
        <v>#REF!</v>
      </c>
      <c r="B557" s="722" t="s">
        <v>752</v>
      </c>
      <c r="C557" s="737">
        <v>19.05</v>
      </c>
      <c r="D557" s="722" t="s">
        <v>877</v>
      </c>
      <c r="H557" s="697" t="s">
        <v>388</v>
      </c>
      <c r="I557" s="710">
        <f>K556</f>
        <v>1417.52</v>
      </c>
      <c r="J557" s="697">
        <f>C21*0.03/0.743</f>
        <v>8.6300000000000008</v>
      </c>
      <c r="K557" s="709">
        <f>I557+J557</f>
        <v>1426.15</v>
      </c>
      <c r="M557" s="699">
        <f>0.24*546</f>
        <v>131.04</v>
      </c>
      <c r="R557" s="705" t="s">
        <v>1609</v>
      </c>
      <c r="S557" s="699"/>
      <c r="T557" s="700"/>
      <c r="W557" s="702"/>
      <c r="X557" s="705" t="s">
        <v>2080</v>
      </c>
      <c r="Z557" s="700"/>
      <c r="AC557" s="702"/>
      <c r="AD557" s="705" t="s">
        <v>2080</v>
      </c>
      <c r="AE557" s="724" t="str">
        <f t="shared" si="71"/>
        <v>|</v>
      </c>
      <c r="AG557" s="697" t="s">
        <v>2284</v>
      </c>
    </row>
    <row r="558" spans="1:33" ht="24" customHeight="1">
      <c r="A558" s="720" t="e">
        <f t="shared" si="58"/>
        <v>#REF!</v>
      </c>
      <c r="B558" s="722" t="s">
        <v>1688</v>
      </c>
      <c r="C558" s="737">
        <v>15.34</v>
      </c>
      <c r="D558" s="722" t="s">
        <v>877</v>
      </c>
      <c r="H558" s="697" t="s">
        <v>2257</v>
      </c>
      <c r="I558" s="710">
        <f>K557</f>
        <v>1426.15</v>
      </c>
      <c r="J558" s="697">
        <f>J557</f>
        <v>8.6300000000000008</v>
      </c>
      <c r="K558" s="709">
        <f>I558+J558</f>
        <v>1434.78</v>
      </c>
      <c r="M558" s="699">
        <f>0.24*143.6</f>
        <v>34.46</v>
      </c>
      <c r="N558" s="697" t="s">
        <v>2276</v>
      </c>
      <c r="O558" s="697" t="s">
        <v>2072</v>
      </c>
      <c r="S558" s="699"/>
      <c r="T558" s="700"/>
      <c r="U558" s="697" t="s">
        <v>386</v>
      </c>
      <c r="V558" s="710">
        <f>X556</f>
        <v>1417.27</v>
      </c>
      <c r="W558" s="697">
        <f>J556</f>
        <v>4.38</v>
      </c>
      <c r="X558" s="709">
        <f>V558+W558</f>
        <v>1421.65</v>
      </c>
      <c r="Z558" s="700"/>
      <c r="AA558" s="697" t="s">
        <v>386</v>
      </c>
      <c r="AB558" s="710">
        <f>AD556</f>
        <v>1438.96</v>
      </c>
      <c r="AC558" s="697">
        <f t="shared" ref="AC558:AC563" si="72">W558</f>
        <v>4.38</v>
      </c>
      <c r="AD558" s="709">
        <f t="shared" ref="AD558:AD563" si="73">AB558+AC558</f>
        <v>1443.34</v>
      </c>
      <c r="AE558" s="724" t="str">
        <f t="shared" si="71"/>
        <v>|</v>
      </c>
      <c r="AG558" s="697" t="s">
        <v>2284</v>
      </c>
    </row>
    <row r="559" spans="1:33" ht="24" customHeight="1">
      <c r="A559" s="720" t="e">
        <f t="shared" si="58"/>
        <v>#REF!</v>
      </c>
      <c r="B559" s="722" t="s">
        <v>1890</v>
      </c>
      <c r="C559" s="737">
        <v>29.41</v>
      </c>
      <c r="D559" s="722" t="s">
        <v>877</v>
      </c>
      <c r="H559" s="697" t="s">
        <v>380</v>
      </c>
      <c r="I559" s="710">
        <f>K558</f>
        <v>1434.78</v>
      </c>
      <c r="J559" s="697">
        <f>J558</f>
        <v>8.6300000000000008</v>
      </c>
      <c r="K559" s="709">
        <f>I559+J559</f>
        <v>1443.41</v>
      </c>
      <c r="M559" s="699">
        <f>0.79*328.9</f>
        <v>259.83</v>
      </c>
      <c r="O559" s="697" t="s">
        <v>1891</v>
      </c>
      <c r="S559" s="699"/>
      <c r="T559" s="700"/>
      <c r="U559" s="697" t="s">
        <v>388</v>
      </c>
      <c r="V559" s="710">
        <f>X558</f>
        <v>1421.65</v>
      </c>
      <c r="W559" s="697">
        <f>J557</f>
        <v>8.6300000000000008</v>
      </c>
      <c r="X559" s="709">
        <f>V559+W559</f>
        <v>1430.28</v>
      </c>
      <c r="Z559" s="700"/>
      <c r="AA559" s="697" t="s">
        <v>388</v>
      </c>
      <c r="AB559" s="710">
        <f>AD558</f>
        <v>1443.34</v>
      </c>
      <c r="AC559" s="697">
        <f t="shared" si="72"/>
        <v>8.6300000000000008</v>
      </c>
      <c r="AD559" s="709">
        <f t="shared" si="73"/>
        <v>1451.97</v>
      </c>
      <c r="AE559" s="724" t="str">
        <f t="shared" si="71"/>
        <v>|</v>
      </c>
      <c r="AG559" s="697" t="s">
        <v>2284</v>
      </c>
    </row>
    <row r="560" spans="1:33" ht="24" customHeight="1">
      <c r="A560" s="734"/>
      <c r="B560" s="734"/>
      <c r="C560" s="780"/>
      <c r="D560" s="734"/>
      <c r="F560" s="697" t="s">
        <v>987</v>
      </c>
      <c r="H560" s="697" t="s">
        <v>388</v>
      </c>
      <c r="I560" s="710">
        <f>K559</f>
        <v>1443.41</v>
      </c>
      <c r="J560" s="697">
        <f>J559</f>
        <v>8.6300000000000008</v>
      </c>
      <c r="K560" s="709">
        <f>I560+J560</f>
        <v>1452.04</v>
      </c>
      <c r="M560" s="699">
        <f>SUM(M556:M559)</f>
        <v>443.43</v>
      </c>
      <c r="S560" s="699"/>
      <c r="T560" s="700"/>
      <c r="U560" s="697" t="s">
        <v>2257</v>
      </c>
      <c r="V560" s="710">
        <f>X559</f>
        <v>1430.28</v>
      </c>
      <c r="W560" s="697">
        <f>J558</f>
        <v>8.6300000000000008</v>
      </c>
      <c r="X560" s="709">
        <f>V560+W560</f>
        <v>1438.91</v>
      </c>
      <c r="Z560" s="700"/>
      <c r="AA560" s="697" t="s">
        <v>2257</v>
      </c>
      <c r="AB560" s="710">
        <f>AD559</f>
        <v>1451.97</v>
      </c>
      <c r="AC560" s="697">
        <f t="shared" si="72"/>
        <v>8.6300000000000008</v>
      </c>
      <c r="AD560" s="709">
        <f t="shared" si="73"/>
        <v>1460.6</v>
      </c>
      <c r="AE560" s="724" t="str">
        <f t="shared" si="71"/>
        <v>|</v>
      </c>
      <c r="AG560" s="697" t="s">
        <v>2284</v>
      </c>
    </row>
    <row r="561" spans="1:33" ht="15.75">
      <c r="A561" s="720" t="e">
        <f>(A559+1)</f>
        <v>#REF!</v>
      </c>
      <c r="B561" s="722" t="s">
        <v>1149</v>
      </c>
      <c r="C561" s="737">
        <v>38.35</v>
      </c>
      <c r="D561" s="722" t="s">
        <v>877</v>
      </c>
      <c r="H561" s="697">
        <v>5</v>
      </c>
      <c r="I561" s="710">
        <f t="shared" ref="I561:I566" si="74">K560</f>
        <v>1452.04</v>
      </c>
      <c r="J561" s="697">
        <f t="shared" ref="J561:J568" si="75">J560</f>
        <v>8.6300000000000008</v>
      </c>
      <c r="K561" s="709">
        <f t="shared" ref="K561:K566" si="76">I561+J561</f>
        <v>1460.67</v>
      </c>
      <c r="O561" s="697" t="s">
        <v>155</v>
      </c>
      <c r="S561" s="699"/>
      <c r="T561" s="700"/>
      <c r="U561" s="697" t="s">
        <v>380</v>
      </c>
      <c r="V561" s="710">
        <f>X560</f>
        <v>1438.91</v>
      </c>
      <c r="W561" s="697">
        <f>J559</f>
        <v>8.6300000000000008</v>
      </c>
      <c r="X561" s="709">
        <f>V561+W561</f>
        <v>1447.54</v>
      </c>
      <c r="Z561" s="700"/>
      <c r="AA561" s="697" t="s">
        <v>380</v>
      </c>
      <c r="AB561" s="710">
        <f>AD560</f>
        <v>1460.6</v>
      </c>
      <c r="AC561" s="697">
        <f t="shared" si="72"/>
        <v>8.6300000000000008</v>
      </c>
      <c r="AD561" s="709">
        <f t="shared" si="73"/>
        <v>1469.23</v>
      </c>
      <c r="AE561" s="724" t="str">
        <f t="shared" si="71"/>
        <v>|</v>
      </c>
      <c r="AG561" s="697" t="s">
        <v>2284</v>
      </c>
    </row>
    <row r="562" spans="1:33" ht="15.75">
      <c r="A562" s="720"/>
      <c r="B562" s="722"/>
      <c r="C562" s="721"/>
      <c r="D562" s="722"/>
      <c r="H562" s="697">
        <v>6</v>
      </c>
      <c r="I562" s="710">
        <f t="shared" si="74"/>
        <v>1460.67</v>
      </c>
      <c r="J562" s="697">
        <f t="shared" si="75"/>
        <v>8.6300000000000008</v>
      </c>
      <c r="K562" s="709">
        <f t="shared" si="76"/>
        <v>1469.3</v>
      </c>
      <c r="O562" s="697"/>
      <c r="S562" s="697" t="s">
        <v>987</v>
      </c>
      <c r="T562" s="700"/>
      <c r="U562" s="697" t="s">
        <v>4094</v>
      </c>
      <c r="V562" s="710">
        <f>X561</f>
        <v>1447.54</v>
      </c>
      <c r="W562" s="697">
        <f>J560</f>
        <v>8.6300000000000008</v>
      </c>
      <c r="X562" s="709">
        <f>V562+W562</f>
        <v>1456.17</v>
      </c>
      <c r="AA562" s="697" t="s">
        <v>388</v>
      </c>
      <c r="AB562" s="710">
        <f>AD561</f>
        <v>1469.23</v>
      </c>
      <c r="AC562" s="697">
        <f t="shared" si="72"/>
        <v>8.6300000000000008</v>
      </c>
      <c r="AD562" s="709">
        <f t="shared" si="73"/>
        <v>1477.86</v>
      </c>
      <c r="AE562" s="724"/>
      <c r="AG562" s="697"/>
    </row>
    <row r="563" spans="1:33" ht="15.75">
      <c r="A563" s="720"/>
      <c r="B563" s="722"/>
      <c r="C563" s="721"/>
      <c r="D563" s="722"/>
      <c r="H563" s="697">
        <v>7</v>
      </c>
      <c r="I563" s="710">
        <f t="shared" si="74"/>
        <v>1469.3</v>
      </c>
      <c r="J563" s="697">
        <f t="shared" si="75"/>
        <v>8.6300000000000008</v>
      </c>
      <c r="K563" s="709">
        <f t="shared" si="76"/>
        <v>1477.93</v>
      </c>
      <c r="O563" s="697"/>
      <c r="AA563" s="697" t="s">
        <v>2257</v>
      </c>
      <c r="AB563" s="710">
        <f>AD562</f>
        <v>1477.86</v>
      </c>
      <c r="AC563" s="697">
        <f t="shared" si="72"/>
        <v>0</v>
      </c>
      <c r="AD563" s="709">
        <f t="shared" si="73"/>
        <v>1477.86</v>
      </c>
      <c r="AE563" s="724"/>
      <c r="AG563" s="697"/>
    </row>
    <row r="564" spans="1:33" ht="15.75">
      <c r="A564" s="720"/>
      <c r="B564" s="722"/>
      <c r="C564" s="721"/>
      <c r="D564" s="722"/>
      <c r="H564" s="697">
        <v>8</v>
      </c>
      <c r="I564" s="710">
        <f t="shared" si="74"/>
        <v>1477.93</v>
      </c>
      <c r="J564" s="697">
        <f t="shared" si="75"/>
        <v>8.6300000000000008</v>
      </c>
      <c r="K564" s="709">
        <f t="shared" si="76"/>
        <v>1486.56</v>
      </c>
      <c r="O564" s="697"/>
      <c r="AE564" s="724"/>
      <c r="AG564" s="697"/>
    </row>
    <row r="565" spans="1:33" ht="15.75">
      <c r="A565" s="720"/>
      <c r="B565" s="722"/>
      <c r="C565" s="721"/>
      <c r="D565" s="722"/>
      <c r="H565" s="697">
        <v>9</v>
      </c>
      <c r="I565" s="710">
        <f t="shared" si="74"/>
        <v>1486.56</v>
      </c>
      <c r="J565" s="697">
        <f t="shared" si="75"/>
        <v>8.6300000000000008</v>
      </c>
      <c r="K565" s="709">
        <f t="shared" si="76"/>
        <v>1495.19</v>
      </c>
      <c r="O565" s="697"/>
      <c r="AE565" s="724"/>
      <c r="AG565" s="697"/>
    </row>
    <row r="566" spans="1:33" ht="15.75">
      <c r="A566" s="720"/>
      <c r="B566" s="722"/>
      <c r="C566" s="721"/>
      <c r="D566" s="722"/>
      <c r="H566" s="697">
        <v>10</v>
      </c>
      <c r="I566" s="710">
        <f t="shared" si="74"/>
        <v>1495.19</v>
      </c>
      <c r="J566" s="697">
        <f t="shared" si="75"/>
        <v>8.6300000000000008</v>
      </c>
      <c r="K566" s="709">
        <f t="shared" si="76"/>
        <v>1503.82</v>
      </c>
      <c r="O566" s="697"/>
      <c r="AE566" s="724"/>
      <c r="AG566" s="697"/>
    </row>
    <row r="567" spans="1:33" ht="15.75">
      <c r="A567" s="720"/>
      <c r="B567" s="722"/>
      <c r="C567" s="721"/>
      <c r="D567" s="722"/>
      <c r="H567" s="697">
        <v>11</v>
      </c>
      <c r="I567" s="710">
        <f>K566</f>
        <v>1503.82</v>
      </c>
      <c r="J567" s="697">
        <f t="shared" si="75"/>
        <v>8.6300000000000008</v>
      </c>
      <c r="K567" s="709">
        <f>I567+J567</f>
        <v>1512.45</v>
      </c>
      <c r="O567" s="697"/>
      <c r="AE567" s="724"/>
      <c r="AG567" s="697"/>
    </row>
    <row r="568" spans="1:33" ht="15.75">
      <c r="A568" s="720"/>
      <c r="B568" s="722"/>
      <c r="C568" s="721"/>
      <c r="D568" s="722"/>
      <c r="H568" s="697">
        <v>12</v>
      </c>
      <c r="I568" s="710">
        <f>K567</f>
        <v>1512.45</v>
      </c>
      <c r="J568" s="697">
        <f t="shared" si="75"/>
        <v>8.6300000000000008</v>
      </c>
      <c r="K568" s="709">
        <f>I568+J568</f>
        <v>1521.08</v>
      </c>
      <c r="O568" s="697"/>
      <c r="AE568" s="724"/>
      <c r="AG568" s="697"/>
    </row>
    <row r="569" spans="1:33" ht="15.75">
      <c r="A569" s="720" t="e">
        <f>(A561+1)</f>
        <v>#REF!</v>
      </c>
      <c r="B569" s="722" t="s">
        <v>1150</v>
      </c>
      <c r="C569" s="737">
        <v>37.96</v>
      </c>
      <c r="D569" s="722" t="s">
        <v>877</v>
      </c>
      <c r="F569" s="753"/>
      <c r="G569" s="708" t="s">
        <v>987</v>
      </c>
      <c r="H569" s="697" t="s">
        <v>135</v>
      </c>
      <c r="O569" s="705" t="s">
        <v>1609</v>
      </c>
      <c r="S569" s="754"/>
      <c r="T569" s="708" t="s">
        <v>987</v>
      </c>
      <c r="U569" s="697" t="s">
        <v>135</v>
      </c>
      <c r="W569" s="702"/>
      <c r="AA569" s="697" t="s">
        <v>380</v>
      </c>
      <c r="AB569" s="710">
        <f>AD568</f>
        <v>0</v>
      </c>
      <c r="AC569" s="697">
        <f>W569</f>
        <v>0</v>
      </c>
      <c r="AD569" s="709">
        <f>AB569+AC569</f>
        <v>0</v>
      </c>
      <c r="AE569" s="724" t="str">
        <f t="shared" si="71"/>
        <v>|</v>
      </c>
      <c r="AG569" s="697" t="s">
        <v>2284</v>
      </c>
    </row>
    <row r="570" spans="1:33" ht="24" customHeight="1">
      <c r="A570" s="720" t="e">
        <f t="shared" ref="A570:A584" si="77">(A569+1)</f>
        <v>#REF!</v>
      </c>
      <c r="B570" s="722" t="s">
        <v>136</v>
      </c>
      <c r="C570" s="780"/>
      <c r="D570" s="722" t="s">
        <v>987</v>
      </c>
      <c r="H570" s="697" t="s">
        <v>1283</v>
      </c>
      <c r="T570" s="700"/>
      <c r="U570" s="697" t="s">
        <v>1283</v>
      </c>
      <c r="W570" s="702"/>
      <c r="AE570" s="724" t="str">
        <f t="shared" si="71"/>
        <v>|</v>
      </c>
      <c r="AG570" s="697" t="s">
        <v>2284</v>
      </c>
    </row>
    <row r="571" spans="1:33" ht="24" customHeight="1">
      <c r="A571" s="720" t="e">
        <f t="shared" si="77"/>
        <v>#REF!</v>
      </c>
      <c r="B571" s="722" t="s">
        <v>964</v>
      </c>
      <c r="C571" s="737">
        <v>6.68</v>
      </c>
      <c r="D571" s="722" t="s">
        <v>877</v>
      </c>
      <c r="H571" s="697" t="s">
        <v>1284</v>
      </c>
      <c r="N571" s="697" t="s">
        <v>156</v>
      </c>
      <c r="O571" s="697" t="s">
        <v>1037</v>
      </c>
      <c r="T571" s="700"/>
      <c r="U571" s="697" t="s">
        <v>1284</v>
      </c>
      <c r="W571" s="702"/>
      <c r="AE571" s="724" t="str">
        <f t="shared" si="71"/>
        <v>|</v>
      </c>
      <c r="AG571" s="697" t="s">
        <v>2284</v>
      </c>
    </row>
    <row r="572" spans="1:33" ht="24" customHeight="1">
      <c r="A572" s="720" t="e">
        <f t="shared" si="77"/>
        <v>#REF!</v>
      </c>
      <c r="B572" s="722" t="s">
        <v>752</v>
      </c>
      <c r="C572" s="737">
        <v>9.4499999999999993</v>
      </c>
      <c r="D572" s="722" t="s">
        <v>877</v>
      </c>
      <c r="H572" s="697" t="s">
        <v>1038</v>
      </c>
      <c r="O572" s="705" t="s">
        <v>1609</v>
      </c>
      <c r="T572" s="700"/>
      <c r="U572" s="697" t="s">
        <v>1038</v>
      </c>
      <c r="W572" s="702"/>
      <c r="AE572" s="724" t="str">
        <f t="shared" si="71"/>
        <v>|</v>
      </c>
      <c r="AG572" s="697" t="s">
        <v>2284</v>
      </c>
    </row>
    <row r="573" spans="1:33" ht="24" customHeight="1">
      <c r="A573" s="720" t="e">
        <f t="shared" si="77"/>
        <v>#REF!</v>
      </c>
      <c r="B573" s="722" t="s">
        <v>1688</v>
      </c>
      <c r="C573" s="737">
        <v>33.04</v>
      </c>
      <c r="D573" s="722" t="s">
        <v>877</v>
      </c>
      <c r="H573" s="697" t="s">
        <v>1039</v>
      </c>
      <c r="M573" s="710">
        <v>8.1</v>
      </c>
      <c r="N573" s="697" t="s">
        <v>878</v>
      </c>
      <c r="O573" s="697" t="s">
        <v>623</v>
      </c>
      <c r="P573" s="710">
        <f>(C58)*2</f>
        <v>193.2</v>
      </c>
      <c r="Q573" s="697" t="s">
        <v>878</v>
      </c>
      <c r="R573" s="710">
        <f>(M573*P573)</f>
        <v>1564.92</v>
      </c>
      <c r="T573" s="700"/>
      <c r="U573" s="697" t="s">
        <v>1039</v>
      </c>
      <c r="W573" s="702"/>
      <c r="AE573" s="724" t="str">
        <f t="shared" si="71"/>
        <v>|</v>
      </c>
      <c r="AG573" s="697" t="s">
        <v>2284</v>
      </c>
    </row>
    <row r="574" spans="1:33" ht="24" customHeight="1">
      <c r="A574" s="720" t="e">
        <f t="shared" si="77"/>
        <v>#REF!</v>
      </c>
      <c r="B574" s="722" t="s">
        <v>1890</v>
      </c>
      <c r="C574" s="737">
        <v>33.04</v>
      </c>
      <c r="D574" s="722" t="s">
        <v>877</v>
      </c>
      <c r="H574" s="697" t="s">
        <v>1266</v>
      </c>
      <c r="M574" s="710">
        <v>8.1</v>
      </c>
      <c r="N574" s="697" t="s">
        <v>878</v>
      </c>
      <c r="O574" s="697" t="s">
        <v>2182</v>
      </c>
      <c r="P574" s="710">
        <f>(C24)</f>
        <v>33.6</v>
      </c>
      <c r="Q574" s="697" t="s">
        <v>878</v>
      </c>
      <c r="R574" s="710">
        <f>(M574*P574)</f>
        <v>272.16000000000003</v>
      </c>
      <c r="T574" s="700"/>
      <c r="U574" s="697" t="s">
        <v>1266</v>
      </c>
      <c r="W574" s="702"/>
      <c r="AE574" s="724" t="str">
        <f t="shared" si="71"/>
        <v>|</v>
      </c>
      <c r="AG574" s="697" t="s">
        <v>2284</v>
      </c>
    </row>
    <row r="575" spans="1:33" ht="24" customHeight="1">
      <c r="A575" s="720" t="e">
        <f t="shared" si="77"/>
        <v>#REF!</v>
      </c>
      <c r="B575" s="722" t="s">
        <v>1267</v>
      </c>
      <c r="C575" s="737">
        <v>33.04</v>
      </c>
      <c r="D575" s="722" t="s">
        <v>877</v>
      </c>
      <c r="H575" s="697" t="s">
        <v>1164</v>
      </c>
      <c r="M575" s="710">
        <v>30</v>
      </c>
      <c r="N575" s="697" t="s">
        <v>1796</v>
      </c>
      <c r="O575" s="697" t="s">
        <v>2183</v>
      </c>
      <c r="P575" s="710">
        <f>(C658)</f>
        <v>9.1199999999999992</v>
      </c>
      <c r="Q575" s="697" t="s">
        <v>1796</v>
      </c>
      <c r="R575" s="710">
        <f>(M575*P575)</f>
        <v>273.60000000000002</v>
      </c>
      <c r="T575" s="700"/>
      <c r="U575" s="697" t="s">
        <v>1164</v>
      </c>
      <c r="W575" s="702"/>
      <c r="AE575" s="724" t="str">
        <f t="shared" si="71"/>
        <v>|</v>
      </c>
      <c r="AG575" s="697" t="s">
        <v>2284</v>
      </c>
    </row>
    <row r="576" spans="1:33" ht="24" customHeight="1">
      <c r="A576" s="720" t="e">
        <f t="shared" si="77"/>
        <v>#REF!</v>
      </c>
      <c r="B576" s="722" t="s">
        <v>1268</v>
      </c>
      <c r="C576" s="737">
        <v>33.04</v>
      </c>
      <c r="D576" s="722" t="s">
        <v>877</v>
      </c>
      <c r="H576" s="705" t="s">
        <v>1609</v>
      </c>
      <c r="I576" s="705" t="s">
        <v>1609</v>
      </c>
      <c r="O576" s="697" t="s">
        <v>1269</v>
      </c>
      <c r="T576" s="700"/>
      <c r="U576" s="705" t="s">
        <v>1609</v>
      </c>
      <c r="V576" s="705" t="s">
        <v>1609</v>
      </c>
      <c r="W576" s="702"/>
      <c r="AE576" s="724" t="str">
        <f t="shared" si="71"/>
        <v>|</v>
      </c>
      <c r="AG576" s="697" t="s">
        <v>2284</v>
      </c>
    </row>
    <row r="577" spans="1:33" ht="24" customHeight="1">
      <c r="A577" s="720" t="e">
        <f t="shared" si="77"/>
        <v>#REF!</v>
      </c>
      <c r="B577" s="722" t="s">
        <v>616</v>
      </c>
      <c r="C577" s="737">
        <v>538</v>
      </c>
      <c r="D577" s="722" t="s">
        <v>877</v>
      </c>
      <c r="G577" s="708" t="s">
        <v>695</v>
      </c>
      <c r="H577" s="697" t="s">
        <v>617</v>
      </c>
      <c r="O577" s="697" t="s">
        <v>2185</v>
      </c>
      <c r="T577" s="708" t="s">
        <v>695</v>
      </c>
      <c r="U577" s="697" t="s">
        <v>2188</v>
      </c>
      <c r="W577" s="702"/>
      <c r="AE577" s="724" t="str">
        <f t="shared" si="71"/>
        <v>|</v>
      </c>
      <c r="AG577" s="697" t="s">
        <v>2284</v>
      </c>
    </row>
    <row r="578" spans="1:33" ht="24" customHeight="1">
      <c r="A578" s="720" t="e">
        <f t="shared" si="77"/>
        <v>#REF!</v>
      </c>
      <c r="B578" s="722" t="s">
        <v>2305</v>
      </c>
      <c r="C578" s="737">
        <v>340</v>
      </c>
      <c r="D578" s="722" t="s">
        <v>877</v>
      </c>
      <c r="H578" s="697" t="s">
        <v>2306</v>
      </c>
      <c r="O578" s="697" t="s">
        <v>2186</v>
      </c>
      <c r="T578" s="700"/>
      <c r="U578" s="697" t="s">
        <v>2306</v>
      </c>
      <c r="W578" s="702"/>
      <c r="AE578" s="724" t="str">
        <f t="shared" si="71"/>
        <v>|</v>
      </c>
      <c r="AG578" s="697" t="s">
        <v>2284</v>
      </c>
    </row>
    <row r="579" spans="1:33" ht="24" customHeight="1">
      <c r="A579" s="720" t="e">
        <f t="shared" si="77"/>
        <v>#REF!</v>
      </c>
      <c r="B579" s="722" t="s">
        <v>2307</v>
      </c>
      <c r="C579" s="737">
        <v>1039</v>
      </c>
      <c r="D579" s="722" t="s">
        <v>877</v>
      </c>
      <c r="F579" s="710">
        <v>10</v>
      </c>
      <c r="G579" s="708" t="s">
        <v>2308</v>
      </c>
      <c r="H579" s="697" t="s">
        <v>562</v>
      </c>
      <c r="I579" s="710">
        <f>C748</f>
        <v>373</v>
      </c>
      <c r="J579" s="697" t="s">
        <v>2308</v>
      </c>
      <c r="K579" s="710">
        <f>(F579*I579)</f>
        <v>3730</v>
      </c>
      <c r="O579" s="697" t="s">
        <v>2189</v>
      </c>
      <c r="S579" s="740">
        <v>10</v>
      </c>
      <c r="T579" s="708" t="s">
        <v>2308</v>
      </c>
      <c r="U579" s="697" t="s">
        <v>562</v>
      </c>
      <c r="V579" s="710">
        <f>I601</f>
        <v>404</v>
      </c>
      <c r="W579" s="697" t="s">
        <v>2308</v>
      </c>
      <c r="X579" s="710">
        <f>(S579*V579)</f>
        <v>4040</v>
      </c>
      <c r="AE579" s="724" t="str">
        <f t="shared" si="71"/>
        <v>|</v>
      </c>
      <c r="AG579" s="697" t="s">
        <v>2284</v>
      </c>
    </row>
    <row r="580" spans="1:33" ht="24" customHeight="1">
      <c r="A580" s="720" t="e">
        <f t="shared" si="77"/>
        <v>#REF!</v>
      </c>
      <c r="B580" s="722" t="s">
        <v>4966</v>
      </c>
      <c r="C580" s="718">
        <v>228</v>
      </c>
      <c r="D580" s="722" t="s">
        <v>877</v>
      </c>
      <c r="F580" s="710">
        <v>1</v>
      </c>
      <c r="G580" s="708" t="s">
        <v>564</v>
      </c>
      <c r="H580" s="697" t="s">
        <v>565</v>
      </c>
      <c r="I580" s="710">
        <f>C8</f>
        <v>861</v>
      </c>
      <c r="J580" s="697" t="s">
        <v>1418</v>
      </c>
      <c r="K580" s="710">
        <f>(F580*I580)</f>
        <v>861</v>
      </c>
      <c r="M580" s="710">
        <v>8</v>
      </c>
      <c r="N580" s="697" t="s">
        <v>778</v>
      </c>
      <c r="O580" s="697" t="s">
        <v>2168</v>
      </c>
      <c r="P580" s="710">
        <v>10.199999999999999</v>
      </c>
      <c r="Q580" s="697" t="s">
        <v>778</v>
      </c>
      <c r="R580" s="710">
        <f>(M580*P580)</f>
        <v>81.599999999999994</v>
      </c>
      <c r="S580" s="740">
        <v>1</v>
      </c>
      <c r="T580" s="708" t="s">
        <v>564</v>
      </c>
      <c r="U580" s="697" t="s">
        <v>565</v>
      </c>
      <c r="V580" s="710">
        <f>I580</f>
        <v>861</v>
      </c>
      <c r="W580" s="697" t="s">
        <v>1418</v>
      </c>
      <c r="X580" s="710">
        <f>(S580*V580)</f>
        <v>861</v>
      </c>
      <c r="AE580" s="724" t="str">
        <f t="shared" si="71"/>
        <v>|</v>
      </c>
      <c r="AG580" s="697" t="s">
        <v>2284</v>
      </c>
    </row>
    <row r="581" spans="1:33" ht="24" customHeight="1">
      <c r="A581" s="720" t="e">
        <f t="shared" si="77"/>
        <v>#REF!</v>
      </c>
      <c r="B581" s="722" t="s">
        <v>831</v>
      </c>
      <c r="C581" s="737">
        <v>31</v>
      </c>
      <c r="D581" s="722" t="s">
        <v>1170</v>
      </c>
      <c r="F581" s="710">
        <v>1</v>
      </c>
      <c r="G581" s="708" t="s">
        <v>564</v>
      </c>
      <c r="H581" s="697" t="s">
        <v>832</v>
      </c>
      <c r="I581" s="710">
        <f>C10</f>
        <v>562</v>
      </c>
      <c r="J581" s="697" t="s">
        <v>1418</v>
      </c>
      <c r="K581" s="710">
        <f>(F581*I581)</f>
        <v>562</v>
      </c>
      <c r="M581" s="710">
        <v>8</v>
      </c>
      <c r="N581" s="697" t="s">
        <v>778</v>
      </c>
      <c r="O581" s="697" t="s">
        <v>468</v>
      </c>
      <c r="P581" s="710">
        <v>28.5</v>
      </c>
      <c r="Q581" s="697" t="s">
        <v>778</v>
      </c>
      <c r="R581" s="710">
        <f>(M581*P581)</f>
        <v>228</v>
      </c>
      <c r="S581" s="740">
        <v>1</v>
      </c>
      <c r="T581" s="708" t="s">
        <v>564</v>
      </c>
      <c r="U581" s="697" t="s">
        <v>832</v>
      </c>
      <c r="V581" s="710">
        <f>I581</f>
        <v>562</v>
      </c>
      <c r="W581" s="697" t="s">
        <v>1418</v>
      </c>
      <c r="X581" s="710">
        <f>(S581*V581)</f>
        <v>562</v>
      </c>
      <c r="AE581" s="724" t="str">
        <f t="shared" si="71"/>
        <v>|</v>
      </c>
      <c r="AG581" s="697" t="s">
        <v>2284</v>
      </c>
    </row>
    <row r="582" spans="1:33" ht="24" customHeight="1">
      <c r="A582" s="720" t="e">
        <f t="shared" si="77"/>
        <v>#REF!</v>
      </c>
      <c r="B582" s="697" t="s">
        <v>4967</v>
      </c>
      <c r="C582" s="718">
        <v>204</v>
      </c>
      <c r="D582" s="722" t="s">
        <v>877</v>
      </c>
      <c r="G582" s="708" t="s">
        <v>450</v>
      </c>
      <c r="H582" s="697" t="s">
        <v>61</v>
      </c>
      <c r="J582" s="697" t="s">
        <v>450</v>
      </c>
      <c r="K582" s="710">
        <v>120</v>
      </c>
      <c r="M582" s="710">
        <v>1</v>
      </c>
      <c r="N582" s="697" t="s">
        <v>450</v>
      </c>
      <c r="O582" s="697" t="s">
        <v>1709</v>
      </c>
      <c r="P582" s="710">
        <f>(C670)</f>
        <v>4</v>
      </c>
      <c r="Q582" s="697" t="s">
        <v>450</v>
      </c>
      <c r="R582" s="710">
        <f>(M582*P582)</f>
        <v>4</v>
      </c>
      <c r="T582" s="708" t="s">
        <v>450</v>
      </c>
      <c r="U582" s="697" t="s">
        <v>61</v>
      </c>
      <c r="V582" s="710">
        <f>I582</f>
        <v>0</v>
      </c>
      <c r="W582" s="697" t="s">
        <v>450</v>
      </c>
      <c r="X582" s="710">
        <v>120</v>
      </c>
      <c r="AE582" s="724" t="str">
        <f t="shared" si="71"/>
        <v>|</v>
      </c>
      <c r="AG582" s="697" t="s">
        <v>2284</v>
      </c>
    </row>
    <row r="583" spans="1:33" ht="24" customHeight="1">
      <c r="A583" s="720" t="e">
        <f t="shared" si="77"/>
        <v>#REF!</v>
      </c>
      <c r="B583" s="722" t="s">
        <v>62</v>
      </c>
      <c r="C583" s="718">
        <v>89</v>
      </c>
      <c r="D583" s="722" t="s">
        <v>877</v>
      </c>
      <c r="H583" s="697" t="s">
        <v>941</v>
      </c>
      <c r="K583" s="705" t="s">
        <v>1609</v>
      </c>
      <c r="M583" s="710">
        <v>1</v>
      </c>
      <c r="N583" s="697" t="s">
        <v>450</v>
      </c>
      <c r="O583" s="697" t="s">
        <v>451</v>
      </c>
      <c r="Q583" s="697" t="s">
        <v>450</v>
      </c>
      <c r="R583" s="710">
        <v>0</v>
      </c>
      <c r="T583" s="700"/>
      <c r="U583" s="697" t="s">
        <v>941</v>
      </c>
      <c r="W583" s="702"/>
      <c r="X583" s="705" t="s">
        <v>1609</v>
      </c>
      <c r="AE583" s="724">
        <f t="shared" si="71"/>
        <v>0</v>
      </c>
    </row>
    <row r="584" spans="1:33" ht="24" customHeight="1">
      <c r="A584" s="720" t="e">
        <f t="shared" si="77"/>
        <v>#REF!</v>
      </c>
      <c r="B584" s="722" t="s">
        <v>1077</v>
      </c>
      <c r="C584" s="737">
        <v>57.51</v>
      </c>
      <c r="D584" s="722" t="s">
        <v>877</v>
      </c>
      <c r="H584" s="698" t="s">
        <v>1078</v>
      </c>
      <c r="K584" s="710">
        <f>SUM(K579:K582)</f>
        <v>5273</v>
      </c>
      <c r="R584" s="705" t="s">
        <v>1609</v>
      </c>
      <c r="T584" s="700"/>
      <c r="U584" s="698" t="s">
        <v>1078</v>
      </c>
      <c r="W584" s="702"/>
      <c r="X584" s="710">
        <f>SUM(X579:X582)</f>
        <v>5583</v>
      </c>
      <c r="AE584" s="724" t="str">
        <f t="shared" si="71"/>
        <v>|</v>
      </c>
      <c r="AG584" s="697" t="s">
        <v>2284</v>
      </c>
    </row>
    <row r="585" spans="1:33" ht="24" customHeight="1">
      <c r="A585" s="720" t="e">
        <f>(A584+1)</f>
        <v>#REF!</v>
      </c>
      <c r="B585" s="722" t="s">
        <v>926</v>
      </c>
      <c r="C585" s="737">
        <v>30</v>
      </c>
      <c r="D585" s="722" t="s">
        <v>877</v>
      </c>
      <c r="K585" s="705" t="s">
        <v>1609</v>
      </c>
      <c r="O585" s="697" t="s">
        <v>1566</v>
      </c>
      <c r="R585" s="710">
        <f>SUM(R573:R583)</f>
        <v>2424.2800000000002</v>
      </c>
      <c r="T585" s="700"/>
      <c r="W585" s="702"/>
      <c r="X585" s="705" t="s">
        <v>1609</v>
      </c>
      <c r="AE585" s="724" t="str">
        <f t="shared" si="71"/>
        <v>|</v>
      </c>
      <c r="AG585" s="697" t="s">
        <v>2284</v>
      </c>
    </row>
    <row r="586" spans="1:33" ht="24" customHeight="1">
      <c r="A586" s="720" t="e">
        <f t="shared" ref="A586:A633" si="78">(A585+1)</f>
        <v>#REF!</v>
      </c>
      <c r="B586" s="722" t="s">
        <v>503</v>
      </c>
      <c r="C586" s="737">
        <v>57.51</v>
      </c>
      <c r="D586" s="722" t="s">
        <v>877</v>
      </c>
      <c r="H586" s="698" t="s">
        <v>504</v>
      </c>
      <c r="K586" s="710">
        <f>K584/10</f>
        <v>527.29999999999995</v>
      </c>
      <c r="R586" s="705" t="s">
        <v>1609</v>
      </c>
      <c r="T586" s="700"/>
      <c r="U586" s="698" t="s">
        <v>504</v>
      </c>
      <c r="W586" s="702"/>
      <c r="X586" s="710">
        <f>X584/10</f>
        <v>558.29999999999995</v>
      </c>
      <c r="AE586" s="724" t="str">
        <f t="shared" si="71"/>
        <v>|</v>
      </c>
      <c r="AG586" s="697" t="s">
        <v>2284</v>
      </c>
    </row>
    <row r="587" spans="1:33" ht="24" customHeight="1">
      <c r="A587" s="720" t="e">
        <f t="shared" si="78"/>
        <v>#REF!</v>
      </c>
      <c r="B587" s="722" t="s">
        <v>1934</v>
      </c>
      <c r="C587" s="737">
        <v>20</v>
      </c>
      <c r="D587" s="722" t="s">
        <v>877</v>
      </c>
      <c r="H587" s="697" t="s">
        <v>386</v>
      </c>
      <c r="I587" s="710">
        <f t="shared" ref="I587:I596" si="79">K586</f>
        <v>527.29999999999995</v>
      </c>
      <c r="J587" s="697">
        <f>C20*0.02</f>
        <v>2.17</v>
      </c>
      <c r="K587" s="709">
        <f>I587+J587</f>
        <v>529.47</v>
      </c>
      <c r="O587" s="697" t="s">
        <v>1567</v>
      </c>
      <c r="R587" s="710">
        <f>(R585/30)</f>
        <v>80.81</v>
      </c>
      <c r="T587" s="700"/>
      <c r="U587" s="697" t="s">
        <v>386</v>
      </c>
      <c r="V587" s="710">
        <f>J609</f>
        <v>4.34</v>
      </c>
      <c r="W587" s="697">
        <f>P20*0.02</f>
        <v>30.22</v>
      </c>
      <c r="X587" s="709">
        <f>X586+V587</f>
        <v>562.64</v>
      </c>
      <c r="Y587" s="699">
        <f>X592+V591</f>
        <v>613.94000000000005</v>
      </c>
      <c r="AE587" s="724" t="str">
        <f t="shared" si="71"/>
        <v>|</v>
      </c>
      <c r="AG587" s="697" t="s">
        <v>2284</v>
      </c>
    </row>
    <row r="588" spans="1:33" ht="24" customHeight="1">
      <c r="A588" s="720" t="e">
        <f t="shared" si="78"/>
        <v>#REF!</v>
      </c>
      <c r="B588" s="722" t="s">
        <v>1935</v>
      </c>
      <c r="C588" s="737">
        <v>21.92</v>
      </c>
      <c r="D588" s="722" t="s">
        <v>877</v>
      </c>
      <c r="H588" s="697" t="s">
        <v>388</v>
      </c>
      <c r="I588" s="710">
        <f t="shared" si="79"/>
        <v>529.47</v>
      </c>
      <c r="J588" s="697">
        <f>C21*0.02</f>
        <v>4.2699999999999996</v>
      </c>
      <c r="K588" s="709">
        <f>I588+J588</f>
        <v>533.74</v>
      </c>
      <c r="N588" s="697" t="s">
        <v>2276</v>
      </c>
      <c r="O588" s="697" t="s">
        <v>1936</v>
      </c>
      <c r="T588" s="700"/>
      <c r="U588" s="697" t="s">
        <v>388</v>
      </c>
      <c r="V588" s="710">
        <f>J610</f>
        <v>8.5500000000000007</v>
      </c>
      <c r="W588" s="697">
        <f>P21*0.02</f>
        <v>19.48</v>
      </c>
      <c r="X588" s="709">
        <f>X587+V588</f>
        <v>571.19000000000005</v>
      </c>
      <c r="Y588" s="699">
        <f>Y587+V591</f>
        <v>622.49</v>
      </c>
      <c r="AE588" s="724" t="str">
        <f t="shared" si="71"/>
        <v>|</v>
      </c>
      <c r="AG588" s="697" t="s">
        <v>2284</v>
      </c>
    </row>
    <row r="589" spans="1:33" ht="24" customHeight="1">
      <c r="A589" s="720" t="e">
        <f t="shared" si="78"/>
        <v>#REF!</v>
      </c>
      <c r="B589" s="722" t="s">
        <v>237</v>
      </c>
      <c r="C589" s="718">
        <v>67.2</v>
      </c>
      <c r="D589" s="722" t="s">
        <v>877</v>
      </c>
      <c r="H589" s="697" t="s">
        <v>2257</v>
      </c>
      <c r="I589" s="710">
        <f t="shared" si="79"/>
        <v>533.74</v>
      </c>
      <c r="J589" s="697">
        <f>C21*0.02</f>
        <v>4.2699999999999996</v>
      </c>
      <c r="K589" s="709">
        <f>I589+J589</f>
        <v>538.01</v>
      </c>
      <c r="O589" s="697" t="s">
        <v>238</v>
      </c>
      <c r="T589" s="700"/>
      <c r="U589" s="697" t="s">
        <v>2257</v>
      </c>
      <c r="V589" s="710">
        <f>J611</f>
        <v>8.5500000000000007</v>
      </c>
      <c r="W589" s="697">
        <f>P21*0.02</f>
        <v>19.48</v>
      </c>
      <c r="X589" s="709">
        <f>X588+V589</f>
        <v>579.74</v>
      </c>
      <c r="Y589" s="699">
        <f>Y588+V591</f>
        <v>631.04</v>
      </c>
      <c r="AE589" s="724" t="str">
        <f t="shared" si="71"/>
        <v>|</v>
      </c>
      <c r="AG589" s="697" t="s">
        <v>2284</v>
      </c>
    </row>
    <row r="590" spans="1:33" ht="24" customHeight="1">
      <c r="A590" s="720" t="e">
        <f t="shared" si="78"/>
        <v>#REF!</v>
      </c>
      <c r="B590" s="722" t="s">
        <v>4371</v>
      </c>
      <c r="C590" s="718">
        <v>948</v>
      </c>
      <c r="D590" s="722" t="s">
        <v>877</v>
      </c>
      <c r="H590" s="697" t="s">
        <v>380</v>
      </c>
      <c r="I590" s="710">
        <f t="shared" si="79"/>
        <v>538.01</v>
      </c>
      <c r="J590" s="697">
        <f>C21*0.02</f>
        <v>4.2699999999999996</v>
      </c>
      <c r="K590" s="709">
        <f>I590+J590</f>
        <v>542.28</v>
      </c>
      <c r="O590" s="705" t="s">
        <v>1609</v>
      </c>
      <c r="T590" s="700"/>
      <c r="U590" s="697" t="s">
        <v>380</v>
      </c>
      <c r="V590" s="710">
        <f>J612</f>
        <v>8.5500000000000007</v>
      </c>
      <c r="W590" s="697">
        <f>P21*0.02</f>
        <v>19.48</v>
      </c>
      <c r="X590" s="709">
        <f>X589+V590</f>
        <v>588.29</v>
      </c>
      <c r="Y590" s="699">
        <f>Y589+V591</f>
        <v>639.59</v>
      </c>
      <c r="AE590" s="724" t="str">
        <f t="shared" si="71"/>
        <v>|</v>
      </c>
      <c r="AG590" s="697" t="s">
        <v>2284</v>
      </c>
    </row>
    <row r="591" spans="1:33" ht="24" customHeight="1">
      <c r="A591" s="720"/>
      <c r="B591" s="722"/>
      <c r="C591" s="721"/>
      <c r="D591" s="722"/>
      <c r="H591" s="697" t="s">
        <v>1384</v>
      </c>
      <c r="I591" s="710">
        <f t="shared" si="79"/>
        <v>542.28</v>
      </c>
      <c r="J591" s="697">
        <f>C21*0.02</f>
        <v>4.2699999999999996</v>
      </c>
      <c r="K591" s="709">
        <f t="shared" ref="K591:K596" si="80">I591+J591</f>
        <v>546.54999999999995</v>
      </c>
      <c r="O591" s="705"/>
      <c r="T591" s="700"/>
      <c r="U591" s="697" t="s">
        <v>1384</v>
      </c>
      <c r="V591" s="710">
        <f>J613</f>
        <v>8.5500000000000007</v>
      </c>
      <c r="W591" s="697">
        <f>P21*0.02</f>
        <v>19.48</v>
      </c>
      <c r="X591" s="709">
        <f>X590+V591</f>
        <v>596.84</v>
      </c>
      <c r="Y591" s="699">
        <f>Y590+V591</f>
        <v>648.14</v>
      </c>
      <c r="AE591" s="724" t="str">
        <f t="shared" si="71"/>
        <v>|::</v>
      </c>
      <c r="AG591" s="697" t="s">
        <v>322</v>
      </c>
    </row>
    <row r="592" spans="1:33" ht="24" customHeight="1">
      <c r="A592" s="720" t="e">
        <f>(A590+1)</f>
        <v>#REF!</v>
      </c>
      <c r="B592" s="722" t="s">
        <v>547</v>
      </c>
      <c r="C592" s="737">
        <v>21</v>
      </c>
      <c r="D592" s="722" t="s">
        <v>877</v>
      </c>
      <c r="H592" s="697" t="s">
        <v>3612</v>
      </c>
      <c r="I592" s="710">
        <f t="shared" si="79"/>
        <v>546.54999999999995</v>
      </c>
      <c r="J592" s="697">
        <f>C21*0.02</f>
        <v>4.2699999999999996</v>
      </c>
      <c r="K592" s="709">
        <f t="shared" si="80"/>
        <v>550.82000000000005</v>
      </c>
      <c r="M592" s="710">
        <v>1.08</v>
      </c>
      <c r="N592" s="697" t="s">
        <v>878</v>
      </c>
      <c r="O592" s="697" t="s">
        <v>796</v>
      </c>
      <c r="P592" s="710">
        <f>(K85)</f>
        <v>204.4</v>
      </c>
      <c r="Q592" s="697" t="s">
        <v>878</v>
      </c>
      <c r="R592" s="710">
        <f>(M592*P592)</f>
        <v>220.75</v>
      </c>
      <c r="S592" s="754">
        <v>15.2</v>
      </c>
      <c r="T592" s="708" t="s">
        <v>695</v>
      </c>
      <c r="U592" s="697" t="s">
        <v>795</v>
      </c>
      <c r="W592" s="702"/>
      <c r="X592" s="709">
        <f>X591+V591</f>
        <v>605.39</v>
      </c>
      <c r="AE592" s="724">
        <f t="shared" si="71"/>
        <v>0</v>
      </c>
    </row>
    <row r="593" spans="1:33" ht="24" customHeight="1">
      <c r="A593" s="720" t="e">
        <f t="shared" si="78"/>
        <v>#REF!</v>
      </c>
      <c r="B593" s="722" t="s">
        <v>797</v>
      </c>
      <c r="C593" s="737">
        <v>150</v>
      </c>
      <c r="D593" s="722" t="s">
        <v>877</v>
      </c>
      <c r="H593" s="697" t="s">
        <v>3613</v>
      </c>
      <c r="I593" s="710">
        <f t="shared" si="79"/>
        <v>550.82000000000005</v>
      </c>
      <c r="J593" s="697">
        <f>C21*0.02</f>
        <v>4.2699999999999996</v>
      </c>
      <c r="K593" s="709">
        <f t="shared" si="80"/>
        <v>555.09</v>
      </c>
      <c r="M593" s="740">
        <v>0.216</v>
      </c>
      <c r="N593" s="697" t="s">
        <v>878</v>
      </c>
      <c r="O593" s="697" t="s">
        <v>798</v>
      </c>
      <c r="P593" s="710">
        <f>(R44)</f>
        <v>3640.02</v>
      </c>
      <c r="Q593" s="697" t="s">
        <v>878</v>
      </c>
      <c r="R593" s="710">
        <f>(M593*P593)</f>
        <v>786.24</v>
      </c>
      <c r="AE593" s="724">
        <f t="shared" si="71"/>
        <v>0</v>
      </c>
    </row>
    <row r="594" spans="1:33" ht="24" customHeight="1">
      <c r="A594" s="720" t="e">
        <f t="shared" si="78"/>
        <v>#REF!</v>
      </c>
      <c r="B594" s="722" t="s">
        <v>4734</v>
      </c>
      <c r="C594" s="718">
        <v>21.4</v>
      </c>
      <c r="D594" s="722" t="s">
        <v>877</v>
      </c>
      <c r="H594" s="697" t="s">
        <v>3614</v>
      </c>
      <c r="I594" s="710">
        <f t="shared" si="79"/>
        <v>555.09</v>
      </c>
      <c r="J594" s="697">
        <f>C21*0.02</f>
        <v>4.2699999999999996</v>
      </c>
      <c r="K594" s="709">
        <f t="shared" si="80"/>
        <v>559.36</v>
      </c>
      <c r="M594" s="740">
        <v>0.48699999999999999</v>
      </c>
      <c r="N594" s="697" t="s">
        <v>878</v>
      </c>
      <c r="O594" s="697" t="s">
        <v>2001</v>
      </c>
      <c r="P594" s="710">
        <f>AG318</f>
        <v>6072.88</v>
      </c>
      <c r="Q594" s="697" t="s">
        <v>878</v>
      </c>
      <c r="R594" s="710">
        <f>(M594*P594)</f>
        <v>2957.49</v>
      </c>
      <c r="AE594" s="724" t="str">
        <f t="shared" si="71"/>
        <v>|</v>
      </c>
      <c r="AG594" s="697" t="s">
        <v>2284</v>
      </c>
    </row>
    <row r="595" spans="1:33" ht="24" customHeight="1">
      <c r="A595" s="720" t="e">
        <f t="shared" si="78"/>
        <v>#REF!</v>
      </c>
      <c r="B595" s="722" t="s">
        <v>4735</v>
      </c>
      <c r="C595" s="718">
        <v>53.4</v>
      </c>
      <c r="D595" s="718">
        <v>45.9</v>
      </c>
      <c r="E595" s="699" t="s">
        <v>5105</v>
      </c>
      <c r="H595" s="697" t="s">
        <v>3615</v>
      </c>
      <c r="I595" s="710">
        <f t="shared" si="79"/>
        <v>559.36</v>
      </c>
      <c r="J595" s="697">
        <f>C21*0.02</f>
        <v>4.2699999999999996</v>
      </c>
      <c r="K595" s="709">
        <f t="shared" si="80"/>
        <v>563.63</v>
      </c>
      <c r="M595" s="740">
        <v>5.36</v>
      </c>
      <c r="N595" s="697" t="s">
        <v>615</v>
      </c>
      <c r="O595" s="697" t="s">
        <v>2002</v>
      </c>
      <c r="P595" s="710">
        <f>(R301)</f>
        <v>236.13</v>
      </c>
      <c r="Q595" s="697" t="s">
        <v>615</v>
      </c>
      <c r="R595" s="710">
        <f>(M595*P595)</f>
        <v>1265.6600000000001</v>
      </c>
      <c r="AE595" s="724" t="str">
        <f t="shared" si="71"/>
        <v>|</v>
      </c>
      <c r="AG595" s="697" t="s">
        <v>2284</v>
      </c>
    </row>
    <row r="596" spans="1:33" ht="24" customHeight="1">
      <c r="A596" s="720" t="e">
        <f t="shared" si="78"/>
        <v>#REF!</v>
      </c>
      <c r="B596" s="722" t="s">
        <v>424</v>
      </c>
      <c r="C596" s="737">
        <v>208.5</v>
      </c>
      <c r="D596" s="722" t="s">
        <v>877</v>
      </c>
      <c r="H596" s="697">
        <v>9</v>
      </c>
      <c r="I596" s="710">
        <f t="shared" si="79"/>
        <v>563.63</v>
      </c>
      <c r="J596" s="697">
        <f>C21*0.02</f>
        <v>4.2699999999999996</v>
      </c>
      <c r="K596" s="709">
        <f t="shared" si="80"/>
        <v>567.9</v>
      </c>
      <c r="M596" s="740">
        <v>3.2000000000000001E-2</v>
      </c>
      <c r="N596" s="697" t="s">
        <v>878</v>
      </c>
      <c r="O596" s="697" t="s">
        <v>788</v>
      </c>
      <c r="P596" s="710">
        <f>(K640)</f>
        <v>7332</v>
      </c>
      <c r="Q596" s="697" t="s">
        <v>878</v>
      </c>
      <c r="R596" s="710">
        <f>(M596*P596)</f>
        <v>234.62</v>
      </c>
      <c r="AE596" s="724" t="str">
        <f t="shared" si="71"/>
        <v>|</v>
      </c>
      <c r="AG596" s="697" t="s">
        <v>2284</v>
      </c>
    </row>
    <row r="597" spans="1:33" ht="24" customHeight="1">
      <c r="A597" s="720" t="e">
        <f t="shared" si="78"/>
        <v>#REF!</v>
      </c>
      <c r="B597" s="778" t="s">
        <v>2066</v>
      </c>
      <c r="C597" s="797">
        <v>172</v>
      </c>
      <c r="D597" s="722" t="s">
        <v>877</v>
      </c>
      <c r="H597" s="697"/>
      <c r="I597" s="710"/>
      <c r="J597" s="697"/>
      <c r="K597" s="709"/>
      <c r="O597" s="697" t="s">
        <v>288</v>
      </c>
      <c r="R597" s="697" t="s">
        <v>987</v>
      </c>
      <c r="AE597" s="724" t="str">
        <f t="shared" si="71"/>
        <v>|</v>
      </c>
      <c r="AG597" s="697" t="s">
        <v>2284</v>
      </c>
    </row>
    <row r="598" spans="1:33" ht="47.25" customHeight="1">
      <c r="A598" s="720" t="e">
        <f t="shared" si="78"/>
        <v>#REF!</v>
      </c>
      <c r="B598" s="798" t="s">
        <v>4968</v>
      </c>
      <c r="C598" s="736">
        <f>ROUND(33.8/0.093025,2)</f>
        <v>363.34</v>
      </c>
      <c r="D598" s="722" t="s">
        <v>615</v>
      </c>
      <c r="H598" s="697"/>
      <c r="I598" s="710"/>
      <c r="J598" s="697"/>
      <c r="K598" s="709"/>
      <c r="N598" s="697" t="s">
        <v>450</v>
      </c>
      <c r="O598" s="697" t="s">
        <v>340</v>
      </c>
      <c r="Q598" s="697" t="s">
        <v>450</v>
      </c>
      <c r="R598" s="710">
        <v>2.66</v>
      </c>
      <c r="AE598" s="724" t="str">
        <f t="shared" si="71"/>
        <v>|</v>
      </c>
      <c r="AG598" s="697" t="s">
        <v>2284</v>
      </c>
    </row>
    <row r="599" spans="1:33" ht="63">
      <c r="A599" s="720" t="e">
        <f t="shared" si="78"/>
        <v>#REF!</v>
      </c>
      <c r="B599" s="762" t="s">
        <v>5229</v>
      </c>
      <c r="C599" s="718">
        <f>8/0.02</f>
        <v>400</v>
      </c>
      <c r="D599" s="722" t="s">
        <v>615</v>
      </c>
      <c r="E599" s="697">
        <f>7.7/0.02</f>
        <v>385</v>
      </c>
      <c r="F599" s="753">
        <v>15.2</v>
      </c>
      <c r="G599" s="708" t="s">
        <v>695</v>
      </c>
      <c r="H599" s="697" t="s">
        <v>795</v>
      </c>
      <c r="K599" s="799">
        <f>K591+J591</f>
        <v>550.82000000000005</v>
      </c>
      <c r="R599" s="705" t="s">
        <v>1609</v>
      </c>
      <c r="AE599" s="724" t="str">
        <f t="shared" si="71"/>
        <v>|</v>
      </c>
      <c r="AG599" s="697" t="s">
        <v>2284</v>
      </c>
    </row>
    <row r="600" spans="1:33" ht="24" customHeight="1">
      <c r="A600" s="720" t="e">
        <f t="shared" si="78"/>
        <v>#REF!</v>
      </c>
      <c r="B600" s="722" t="s">
        <v>341</v>
      </c>
      <c r="C600" s="737">
        <v>75</v>
      </c>
      <c r="D600" s="722" t="s">
        <v>877</v>
      </c>
      <c r="H600" s="697" t="s">
        <v>2306</v>
      </c>
      <c r="O600" s="697" t="s">
        <v>1776</v>
      </c>
      <c r="R600" s="710">
        <f>SUM(R592:R598)</f>
        <v>5467.42</v>
      </c>
      <c r="AE600" s="724" t="str">
        <f t="shared" si="71"/>
        <v>|</v>
      </c>
      <c r="AG600" s="697" t="s">
        <v>2284</v>
      </c>
    </row>
    <row r="601" spans="1:33" ht="24" customHeight="1">
      <c r="A601" s="720" t="e">
        <f t="shared" si="78"/>
        <v>#REF!</v>
      </c>
      <c r="B601" s="722" t="s">
        <v>1777</v>
      </c>
      <c r="C601" s="737">
        <v>125</v>
      </c>
      <c r="D601" s="722" t="s">
        <v>877</v>
      </c>
      <c r="F601" s="710">
        <v>1</v>
      </c>
      <c r="G601" s="708" t="s">
        <v>2308</v>
      </c>
      <c r="H601" s="697" t="s">
        <v>562</v>
      </c>
      <c r="I601" s="710">
        <f>D748</f>
        <v>404</v>
      </c>
      <c r="J601" s="697" t="s">
        <v>2308</v>
      </c>
      <c r="K601" s="710">
        <f>(F601*I601)</f>
        <v>404</v>
      </c>
      <c r="R601" s="705" t="s">
        <v>1609</v>
      </c>
      <c r="AE601" s="724" t="str">
        <f t="shared" si="71"/>
        <v>|</v>
      </c>
      <c r="AG601" s="697" t="s">
        <v>2284</v>
      </c>
    </row>
    <row r="602" spans="1:33" ht="24" customHeight="1">
      <c r="A602" s="720" t="e">
        <f t="shared" si="78"/>
        <v>#REF!</v>
      </c>
      <c r="B602" s="722" t="s">
        <v>1778</v>
      </c>
      <c r="C602" s="737">
        <v>190</v>
      </c>
      <c r="D602" s="722" t="s">
        <v>877</v>
      </c>
      <c r="F602" s="710">
        <v>0.75</v>
      </c>
      <c r="G602" s="708" t="s">
        <v>564</v>
      </c>
      <c r="H602" s="697" t="s">
        <v>565</v>
      </c>
      <c r="I602" s="710">
        <f>C8</f>
        <v>861</v>
      </c>
      <c r="J602" s="697" t="s">
        <v>1418</v>
      </c>
      <c r="K602" s="710">
        <f>(F602*I602)</f>
        <v>645.75</v>
      </c>
      <c r="N602" s="697" t="s">
        <v>2276</v>
      </c>
      <c r="O602" s="697" t="s">
        <v>1936</v>
      </c>
      <c r="AE602" s="724" t="str">
        <f t="shared" si="71"/>
        <v>|</v>
      </c>
      <c r="AG602" s="697" t="s">
        <v>2284</v>
      </c>
    </row>
    <row r="603" spans="1:33" ht="24" customHeight="1">
      <c r="A603" s="720" t="e">
        <f t="shared" si="78"/>
        <v>#REF!</v>
      </c>
      <c r="B603" s="722" t="s">
        <v>1779</v>
      </c>
      <c r="C603" s="737">
        <v>16</v>
      </c>
      <c r="D603" s="722" t="s">
        <v>877</v>
      </c>
      <c r="F603" s="710">
        <v>0.75</v>
      </c>
      <c r="G603" s="708" t="s">
        <v>564</v>
      </c>
      <c r="H603" s="697" t="s">
        <v>832</v>
      </c>
      <c r="I603" s="710">
        <f>C10</f>
        <v>562</v>
      </c>
      <c r="J603" s="697" t="s">
        <v>1418</v>
      </c>
      <c r="K603" s="710">
        <f>(F603*I603)</f>
        <v>421.5</v>
      </c>
      <c r="O603" s="697" t="s">
        <v>1780</v>
      </c>
      <c r="AE603" s="724" t="str">
        <f t="shared" si="71"/>
        <v>|</v>
      </c>
      <c r="AG603" s="697" t="s">
        <v>2284</v>
      </c>
    </row>
    <row r="604" spans="1:33" ht="24" customHeight="1">
      <c r="A604" s="720" t="e">
        <f t="shared" si="78"/>
        <v>#REF!</v>
      </c>
      <c r="B604" s="697" t="s">
        <v>4969</v>
      </c>
      <c r="C604" s="718">
        <v>11.7</v>
      </c>
      <c r="D604" s="722" t="s">
        <v>1670</v>
      </c>
      <c r="F604" s="710">
        <v>0.5</v>
      </c>
      <c r="G604" s="708" t="s">
        <v>564</v>
      </c>
      <c r="H604" s="697" t="s">
        <v>2067</v>
      </c>
      <c r="I604" s="710">
        <f>C38</f>
        <v>637</v>
      </c>
      <c r="J604" s="697" t="s">
        <v>1418</v>
      </c>
      <c r="K604" s="710">
        <f>(F604*I604)</f>
        <v>318.5</v>
      </c>
      <c r="O604" s="705" t="s">
        <v>1609</v>
      </c>
      <c r="AE604" s="724" t="str">
        <f t="shared" si="71"/>
        <v>|</v>
      </c>
      <c r="AG604" s="697" t="s">
        <v>2284</v>
      </c>
    </row>
    <row r="605" spans="1:33" ht="24" customHeight="1">
      <c r="A605" s="720" t="e">
        <f t="shared" si="78"/>
        <v>#REF!</v>
      </c>
      <c r="B605" s="697" t="s">
        <v>4970</v>
      </c>
      <c r="C605" s="718">
        <f>(22.4+27)/2</f>
        <v>24.7</v>
      </c>
      <c r="D605" s="722" t="s">
        <v>1670</v>
      </c>
      <c r="E605" s="699">
        <f>25.8+29.8</f>
        <v>55.6</v>
      </c>
      <c r="G605" s="708" t="s">
        <v>450</v>
      </c>
      <c r="H605" s="697" t="s">
        <v>61</v>
      </c>
      <c r="J605" s="697" t="s">
        <v>450</v>
      </c>
      <c r="K605" s="710">
        <v>53.5</v>
      </c>
      <c r="M605" s="710">
        <v>1.3</v>
      </c>
      <c r="N605" s="697" t="s">
        <v>878</v>
      </c>
      <c r="O605" s="697" t="s">
        <v>796</v>
      </c>
      <c r="P605" s="710">
        <f>(K85)</f>
        <v>204.4</v>
      </c>
      <c r="Q605" s="697" t="s">
        <v>878</v>
      </c>
      <c r="R605" s="710">
        <f>(M605*P605)</f>
        <v>265.72000000000003</v>
      </c>
      <c r="AE605" s="724" t="str">
        <f t="shared" si="71"/>
        <v>|</v>
      </c>
      <c r="AG605" s="697" t="s">
        <v>2284</v>
      </c>
    </row>
    <row r="606" spans="1:33" ht="24" customHeight="1">
      <c r="A606" s="720"/>
      <c r="B606" s="697" t="s">
        <v>4971</v>
      </c>
      <c r="C606" s="718">
        <v>22.4</v>
      </c>
      <c r="D606" s="722" t="s">
        <v>1670</v>
      </c>
      <c r="E606" s="699">
        <f>E605/2</f>
        <v>27.8</v>
      </c>
      <c r="H606" s="697" t="s">
        <v>941</v>
      </c>
      <c r="K606" s="705" t="s">
        <v>1609</v>
      </c>
      <c r="M606" s="710"/>
      <c r="N606" s="697"/>
      <c r="O606" s="697"/>
      <c r="P606" s="710"/>
      <c r="Q606" s="697"/>
      <c r="R606" s="710"/>
      <c r="AE606" s="724" t="str">
        <f t="shared" si="71"/>
        <v>|</v>
      </c>
      <c r="AG606" s="697" t="s">
        <v>2284</v>
      </c>
    </row>
    <row r="607" spans="1:33" ht="24" customHeight="1">
      <c r="A607" s="720" t="e">
        <f>(A605+1)</f>
        <v>#REF!</v>
      </c>
      <c r="B607" s="697" t="s">
        <v>4972</v>
      </c>
      <c r="C607" s="718">
        <v>27</v>
      </c>
      <c r="D607" s="722" t="s">
        <v>1670</v>
      </c>
      <c r="H607" s="698" t="s">
        <v>1775</v>
      </c>
      <c r="K607" s="710">
        <f>SUM(K601:K605)</f>
        <v>1843.25</v>
      </c>
      <c r="M607" s="740">
        <v>0.216</v>
      </c>
      <c r="N607" s="697" t="s">
        <v>878</v>
      </c>
      <c r="O607" s="697" t="s">
        <v>798</v>
      </c>
      <c r="P607" s="710">
        <f>(R44)</f>
        <v>3640.02</v>
      </c>
      <c r="Q607" s="697" t="s">
        <v>878</v>
      </c>
      <c r="R607" s="710">
        <f>(M607*P607)</f>
        <v>786.24</v>
      </c>
      <c r="AE607" s="724">
        <f t="shared" si="71"/>
        <v>0</v>
      </c>
      <c r="AG607" s="697"/>
    </row>
    <row r="608" spans="1:33" ht="24" customHeight="1">
      <c r="A608" s="720" t="e">
        <f t="shared" si="78"/>
        <v>#REF!</v>
      </c>
      <c r="B608" s="722" t="s">
        <v>4736</v>
      </c>
      <c r="C608" s="737">
        <v>7.5</v>
      </c>
      <c r="D608" s="722" t="s">
        <v>778</v>
      </c>
      <c r="K608" s="705" t="s">
        <v>1609</v>
      </c>
      <c r="M608" s="740">
        <v>0.60099999999999998</v>
      </c>
      <c r="N608" s="697" t="s">
        <v>878</v>
      </c>
      <c r="O608" s="697" t="s">
        <v>2001</v>
      </c>
      <c r="P608" s="710">
        <f>P594</f>
        <v>6072.88</v>
      </c>
      <c r="Q608" s="697" t="s">
        <v>878</v>
      </c>
      <c r="R608" s="710">
        <f>(M608*P608)</f>
        <v>3649.8</v>
      </c>
      <c r="AE608" s="724" t="str">
        <f t="shared" si="71"/>
        <v>|</v>
      </c>
      <c r="AG608" s="697" t="s">
        <v>2284</v>
      </c>
    </row>
    <row r="609" spans="1:33" ht="24" customHeight="1">
      <c r="A609" s="720" t="e">
        <f t="shared" si="78"/>
        <v>#REF!</v>
      </c>
      <c r="B609" s="722" t="s">
        <v>4737</v>
      </c>
      <c r="C609" s="737">
        <v>16</v>
      </c>
      <c r="D609" s="722" t="s">
        <v>778</v>
      </c>
      <c r="E609" s="699" t="s">
        <v>1582</v>
      </c>
      <c r="H609" s="697" t="s">
        <v>386</v>
      </c>
      <c r="I609" s="710">
        <f>K607</f>
        <v>1843.25</v>
      </c>
      <c r="J609" s="697">
        <f>C20*0.04</f>
        <v>4.34</v>
      </c>
      <c r="K609" s="709">
        <f>(K607+C20*0.04)</f>
        <v>1847.59</v>
      </c>
      <c r="M609" s="740">
        <v>6.35</v>
      </c>
      <c r="N609" s="697" t="s">
        <v>615</v>
      </c>
      <c r="O609" s="697" t="s">
        <v>2002</v>
      </c>
      <c r="P609" s="710">
        <f>(R301)</f>
        <v>236.13</v>
      </c>
      <c r="Q609" s="697" t="s">
        <v>615</v>
      </c>
      <c r="R609" s="710">
        <f>(M609*P609)</f>
        <v>1499.43</v>
      </c>
      <c r="AE609" s="724" t="str">
        <f t="shared" si="71"/>
        <v>|</v>
      </c>
      <c r="AG609" s="697" t="s">
        <v>2284</v>
      </c>
    </row>
    <row r="610" spans="1:33" ht="24" customHeight="1">
      <c r="A610" s="720" t="e">
        <f t="shared" si="78"/>
        <v>#REF!</v>
      </c>
      <c r="B610" s="697" t="s">
        <v>4973</v>
      </c>
      <c r="C610" s="718">
        <v>3060</v>
      </c>
      <c r="D610" s="722" t="s">
        <v>792</v>
      </c>
      <c r="E610" s="744">
        <v>3450</v>
      </c>
      <c r="H610" s="697" t="s">
        <v>388</v>
      </c>
      <c r="I610" s="710">
        <f>K609</f>
        <v>1847.59</v>
      </c>
      <c r="J610" s="697">
        <f>C21*0.04</f>
        <v>8.5500000000000007</v>
      </c>
      <c r="K610" s="709">
        <f>(K609+C21*0.04)</f>
        <v>1856.14</v>
      </c>
      <c r="M610" s="740">
        <v>3.2000000000000001E-2</v>
      </c>
      <c r="N610" s="697" t="s">
        <v>878</v>
      </c>
      <c r="O610" s="697" t="s">
        <v>788</v>
      </c>
      <c r="P610" s="710">
        <f>(K640)</f>
        <v>7332</v>
      </c>
      <c r="Q610" s="697" t="s">
        <v>878</v>
      </c>
      <c r="R610" s="710">
        <f>(M610*P610)</f>
        <v>234.62</v>
      </c>
      <c r="AE610" s="724" t="str">
        <f t="shared" si="71"/>
        <v>|</v>
      </c>
      <c r="AG610" s="697" t="s">
        <v>2284</v>
      </c>
    </row>
    <row r="611" spans="1:33" ht="24" customHeight="1">
      <c r="A611" s="720" t="e">
        <f t="shared" si="78"/>
        <v>#REF!</v>
      </c>
      <c r="B611" s="722" t="s">
        <v>794</v>
      </c>
      <c r="C611" s="737">
        <v>805</v>
      </c>
      <c r="D611" s="722" t="s">
        <v>792</v>
      </c>
      <c r="H611" s="697" t="s">
        <v>2257</v>
      </c>
      <c r="I611" s="710">
        <f>K610</f>
        <v>1856.14</v>
      </c>
      <c r="J611" s="697">
        <f>C21*0.04</f>
        <v>8.5500000000000007</v>
      </c>
      <c r="K611" s="709">
        <f>(K610+C22*0.04)</f>
        <v>1864.69</v>
      </c>
      <c r="O611" s="697" t="s">
        <v>288</v>
      </c>
      <c r="R611" s="697" t="s">
        <v>987</v>
      </c>
      <c r="AE611" s="724" t="str">
        <f t="shared" si="71"/>
        <v>|</v>
      </c>
      <c r="AG611" s="697" t="s">
        <v>2284</v>
      </c>
    </row>
    <row r="612" spans="1:33" ht="24" customHeight="1">
      <c r="A612" s="720" t="e">
        <f t="shared" si="78"/>
        <v>#REF!</v>
      </c>
      <c r="B612" s="722" t="s">
        <v>2090</v>
      </c>
      <c r="C612" s="737">
        <f>204+53</f>
        <v>257</v>
      </c>
      <c r="D612" s="722" t="s">
        <v>792</v>
      </c>
      <c r="H612" s="697" t="s">
        <v>380</v>
      </c>
      <c r="I612" s="710">
        <f>K611</f>
        <v>1864.69</v>
      </c>
      <c r="J612" s="697">
        <f>C21*0.04</f>
        <v>8.5500000000000007</v>
      </c>
      <c r="K612" s="709">
        <f>(K611+C22*0.04)</f>
        <v>1873.24</v>
      </c>
      <c r="N612" s="697" t="s">
        <v>450</v>
      </c>
      <c r="O612" s="697" t="s">
        <v>340</v>
      </c>
      <c r="Q612" s="697" t="s">
        <v>450</v>
      </c>
      <c r="R612" s="710">
        <v>2</v>
      </c>
      <c r="AE612" s="724" t="str">
        <f t="shared" si="71"/>
        <v>|</v>
      </c>
      <c r="AG612" s="697" t="s">
        <v>2284</v>
      </c>
    </row>
    <row r="613" spans="1:33" ht="24" customHeight="1">
      <c r="A613" s="720" t="e">
        <f t="shared" si="78"/>
        <v>#REF!</v>
      </c>
      <c r="B613" s="722" t="s">
        <v>1079</v>
      </c>
      <c r="C613" s="737">
        <v>53</v>
      </c>
      <c r="D613" s="722" t="s">
        <v>778</v>
      </c>
      <c r="H613" s="697" t="s">
        <v>1384</v>
      </c>
      <c r="I613" s="710">
        <f>K612</f>
        <v>1873.24</v>
      </c>
      <c r="J613" s="697">
        <f>C22*0.04</f>
        <v>8.5500000000000007</v>
      </c>
      <c r="K613" s="709">
        <f>(K612+C22*0.04)</f>
        <v>1881.79</v>
      </c>
      <c r="R613" s="705" t="s">
        <v>1609</v>
      </c>
      <c r="AE613" s="724" t="str">
        <f t="shared" si="71"/>
        <v>|</v>
      </c>
      <c r="AG613" s="697" t="s">
        <v>2284</v>
      </c>
    </row>
    <row r="614" spans="1:33" ht="24" customHeight="1">
      <c r="A614" s="720" t="e">
        <f t="shared" si="78"/>
        <v>#REF!</v>
      </c>
      <c r="B614" s="697" t="s">
        <v>4974</v>
      </c>
      <c r="C614" s="718">
        <v>1656</v>
      </c>
      <c r="D614" s="722" t="s">
        <v>778</v>
      </c>
      <c r="F614" s="765">
        <v>15.1</v>
      </c>
      <c r="G614" s="708" t="s">
        <v>1782</v>
      </c>
      <c r="H614" s="697" t="s">
        <v>5230</v>
      </c>
      <c r="O614" s="697" t="s">
        <v>1776</v>
      </c>
      <c r="R614" s="710">
        <f>SUM(R605:R612)</f>
        <v>6437.81</v>
      </c>
      <c r="AE614" s="724" t="str">
        <f t="shared" si="71"/>
        <v>|</v>
      </c>
      <c r="AG614" s="697" t="s">
        <v>2284</v>
      </c>
    </row>
    <row r="615" spans="1:33" ht="24" customHeight="1">
      <c r="A615" s="720" t="e">
        <f t="shared" si="78"/>
        <v>#REF!</v>
      </c>
      <c r="B615" s="722" t="s">
        <v>406</v>
      </c>
      <c r="C615" s="737">
        <v>196</v>
      </c>
      <c r="D615" s="722" t="s">
        <v>778</v>
      </c>
      <c r="H615" s="697" t="s">
        <v>2306</v>
      </c>
      <c r="R615" s="705" t="s">
        <v>1609</v>
      </c>
      <c r="AE615" s="724" t="str">
        <f t="shared" si="71"/>
        <v>|</v>
      </c>
      <c r="AG615" s="697" t="s">
        <v>2284</v>
      </c>
    </row>
    <row r="616" spans="1:33" ht="24" customHeight="1">
      <c r="A616" s="720" t="e">
        <f t="shared" si="78"/>
        <v>#REF!</v>
      </c>
      <c r="B616" s="697" t="s">
        <v>4975</v>
      </c>
      <c r="C616" s="718">
        <v>931</v>
      </c>
      <c r="D616" s="722" t="s">
        <v>778</v>
      </c>
      <c r="F616" s="710">
        <v>10</v>
      </c>
      <c r="G616" s="708" t="s">
        <v>2308</v>
      </c>
      <c r="H616" s="697" t="s">
        <v>4170</v>
      </c>
      <c r="I616" s="710">
        <f>C748</f>
        <v>373</v>
      </c>
      <c r="J616" s="697" t="s">
        <v>2308</v>
      </c>
      <c r="K616" s="710">
        <f>(F616*I616)</f>
        <v>3730</v>
      </c>
      <c r="N616" s="697" t="s">
        <v>2276</v>
      </c>
      <c r="O616" s="697" t="s">
        <v>409</v>
      </c>
      <c r="AE616" s="724" t="str">
        <f t="shared" si="71"/>
        <v>|</v>
      </c>
      <c r="AG616" s="697" t="s">
        <v>2284</v>
      </c>
    </row>
    <row r="617" spans="1:33" ht="24" customHeight="1">
      <c r="A617" s="720" t="e">
        <f t="shared" si="78"/>
        <v>#REF!</v>
      </c>
      <c r="B617" s="722" t="s">
        <v>410</v>
      </c>
      <c r="C617" s="737">
        <v>193.05</v>
      </c>
      <c r="D617" s="778">
        <v>120.54</v>
      </c>
      <c r="F617" s="710">
        <v>0.12</v>
      </c>
      <c r="G617" s="708" t="s">
        <v>878</v>
      </c>
      <c r="H617" s="697" t="s">
        <v>793</v>
      </c>
      <c r="I617" s="710">
        <f>K30</f>
        <v>4471.8999999999996</v>
      </c>
      <c r="J617" s="697" t="s">
        <v>878</v>
      </c>
      <c r="K617" s="710">
        <f>(F617*I617)</f>
        <v>536.63</v>
      </c>
      <c r="O617" s="697" t="s">
        <v>412</v>
      </c>
      <c r="AE617" s="724" t="str">
        <f t="shared" si="71"/>
        <v>|</v>
      </c>
      <c r="AG617" s="697" t="s">
        <v>2284</v>
      </c>
    </row>
    <row r="618" spans="1:33" ht="24" customHeight="1">
      <c r="A618" s="720" t="e">
        <f t="shared" si="78"/>
        <v>#REF!</v>
      </c>
      <c r="B618" s="722" t="s">
        <v>413</v>
      </c>
      <c r="C618" s="800">
        <v>115.85</v>
      </c>
      <c r="D618" s="801" t="s">
        <v>1796</v>
      </c>
      <c r="E618" s="802"/>
      <c r="F618" s="710">
        <v>1</v>
      </c>
      <c r="G618" s="708" t="s">
        <v>564</v>
      </c>
      <c r="H618" s="697" t="s">
        <v>565</v>
      </c>
      <c r="I618" s="710">
        <f>C8</f>
        <v>861</v>
      </c>
      <c r="J618" s="697" t="s">
        <v>1418</v>
      </c>
      <c r="K618" s="710">
        <f>(F618*I618)</f>
        <v>861</v>
      </c>
      <c r="O618" s="705" t="s">
        <v>1609</v>
      </c>
      <c r="AE618" s="724" t="str">
        <f t="shared" si="71"/>
        <v>|</v>
      </c>
      <c r="AG618" s="697" t="s">
        <v>2284</v>
      </c>
    </row>
    <row r="619" spans="1:33" ht="24" customHeight="1">
      <c r="A619" s="720" t="e">
        <f t="shared" si="78"/>
        <v>#REF!</v>
      </c>
      <c r="B619" s="722" t="s">
        <v>414</v>
      </c>
      <c r="C619" s="803"/>
      <c r="D619" s="801" t="s">
        <v>1796</v>
      </c>
      <c r="E619" s="802"/>
      <c r="F619" s="710">
        <v>1</v>
      </c>
      <c r="G619" s="708" t="s">
        <v>564</v>
      </c>
      <c r="H619" s="697" t="s">
        <v>832</v>
      </c>
      <c r="I619" s="710">
        <f>C10</f>
        <v>562</v>
      </c>
      <c r="J619" s="697" t="s">
        <v>1418</v>
      </c>
      <c r="K619" s="710">
        <f>(F619*I619)</f>
        <v>562</v>
      </c>
      <c r="M619" s="710">
        <v>10.37</v>
      </c>
      <c r="N619" s="697" t="s">
        <v>878</v>
      </c>
      <c r="O619" s="697" t="s">
        <v>415</v>
      </c>
      <c r="P619" s="710">
        <f>(C58*2)</f>
        <v>193.2</v>
      </c>
      <c r="Q619" s="697" t="s">
        <v>878</v>
      </c>
      <c r="R619" s="710">
        <f t="shared" ref="R619:R627" si="81">(M619*P619)</f>
        <v>2003.48</v>
      </c>
      <c r="AE619" s="724" t="str">
        <f t="shared" si="71"/>
        <v>|</v>
      </c>
      <c r="AG619" s="697" t="s">
        <v>2284</v>
      </c>
    </row>
    <row r="620" spans="1:33" ht="24" customHeight="1">
      <c r="A620" s="720" t="e">
        <f t="shared" si="78"/>
        <v>#REF!</v>
      </c>
      <c r="B620" s="722" t="s">
        <v>5231</v>
      </c>
      <c r="C620" s="800">
        <v>76</v>
      </c>
      <c r="D620" s="801" t="s">
        <v>877</v>
      </c>
      <c r="E620" s="802"/>
      <c r="G620" s="708" t="s">
        <v>450</v>
      </c>
      <c r="H620" s="697" t="s">
        <v>61</v>
      </c>
      <c r="J620" s="697" t="s">
        <v>450</v>
      </c>
      <c r="K620" s="710">
        <v>0.33</v>
      </c>
      <c r="M620" s="710">
        <v>0.65</v>
      </c>
      <c r="N620" s="697" t="s">
        <v>878</v>
      </c>
      <c r="O620" s="697" t="s">
        <v>2089</v>
      </c>
      <c r="P620" s="710">
        <f>R44</f>
        <v>3640.02</v>
      </c>
      <c r="Q620" s="697" t="s">
        <v>878</v>
      </c>
      <c r="R620" s="710">
        <f t="shared" si="81"/>
        <v>2366.0100000000002</v>
      </c>
      <c r="AE620" s="724" t="str">
        <f t="shared" si="71"/>
        <v>|</v>
      </c>
      <c r="AG620" s="697" t="s">
        <v>2284</v>
      </c>
    </row>
    <row r="621" spans="1:33" ht="24" customHeight="1">
      <c r="A621" s="720" t="e">
        <f t="shared" si="78"/>
        <v>#REF!</v>
      </c>
      <c r="B621" s="722" t="s">
        <v>1807</v>
      </c>
      <c r="C621" s="800">
        <v>45</v>
      </c>
      <c r="D621" s="801" t="s">
        <v>877</v>
      </c>
      <c r="E621" s="802"/>
      <c r="H621" s="697" t="s">
        <v>941</v>
      </c>
      <c r="K621" s="705" t="s">
        <v>1609</v>
      </c>
      <c r="M621" s="710">
        <v>1.1399999999999999</v>
      </c>
      <c r="N621" s="697" t="s">
        <v>878</v>
      </c>
      <c r="O621" s="697" t="s">
        <v>327</v>
      </c>
      <c r="P621" s="710">
        <f>K318</f>
        <v>6145.59</v>
      </c>
      <c r="Q621" s="697" t="s">
        <v>878</v>
      </c>
      <c r="R621" s="710">
        <f t="shared" si="81"/>
        <v>7005.97</v>
      </c>
      <c r="AE621" s="724" t="str">
        <f t="shared" ref="AE621:AE634" si="82">AG621</f>
        <v>|</v>
      </c>
      <c r="AG621" s="697" t="s">
        <v>2284</v>
      </c>
    </row>
    <row r="622" spans="1:33" ht="24" customHeight="1">
      <c r="A622" s="720" t="e">
        <f t="shared" si="78"/>
        <v>#REF!</v>
      </c>
      <c r="B622" s="722" t="s">
        <v>328</v>
      </c>
      <c r="C622" s="804">
        <v>34.299999999999997</v>
      </c>
      <c r="D622" s="722" t="s">
        <v>877</v>
      </c>
      <c r="H622" s="698" t="s">
        <v>407</v>
      </c>
      <c r="K622" s="710">
        <f>SUM(K616:K620)</f>
        <v>5689.96</v>
      </c>
      <c r="M622" s="710">
        <v>0.85</v>
      </c>
      <c r="N622" s="697" t="s">
        <v>878</v>
      </c>
      <c r="O622" s="697" t="s">
        <v>1633</v>
      </c>
      <c r="P622" s="710">
        <f>K318-K309/10</f>
        <v>5313.7</v>
      </c>
      <c r="Q622" s="697" t="s">
        <v>878</v>
      </c>
      <c r="R622" s="710">
        <f t="shared" si="81"/>
        <v>4516.6499999999996</v>
      </c>
      <c r="AE622" s="724">
        <f t="shared" si="82"/>
        <v>0</v>
      </c>
      <c r="AG622" s="697"/>
    </row>
    <row r="623" spans="1:33" ht="24" customHeight="1">
      <c r="A623" s="720" t="e">
        <f t="shared" si="78"/>
        <v>#REF!</v>
      </c>
      <c r="B623" s="697" t="s">
        <v>4738</v>
      </c>
      <c r="C623" s="718">
        <v>79.5</v>
      </c>
      <c r="D623" s="722" t="s">
        <v>877</v>
      </c>
      <c r="K623" s="705" t="s">
        <v>1609</v>
      </c>
      <c r="M623" s="710">
        <v>0.98</v>
      </c>
      <c r="N623" s="697" t="s">
        <v>878</v>
      </c>
      <c r="O623" s="697" t="s">
        <v>2243</v>
      </c>
      <c r="P623" s="710">
        <f>(C70)</f>
        <v>1679.5</v>
      </c>
      <c r="Q623" s="697" t="s">
        <v>878</v>
      </c>
      <c r="R623" s="710">
        <f t="shared" si="81"/>
        <v>1645.91</v>
      </c>
      <c r="AE623" s="724" t="str">
        <f t="shared" si="82"/>
        <v>|</v>
      </c>
      <c r="AG623" s="697" t="s">
        <v>2284</v>
      </c>
    </row>
    <row r="624" spans="1:33" ht="24" customHeight="1">
      <c r="A624" s="720" t="e">
        <f t="shared" si="78"/>
        <v>#REF!</v>
      </c>
      <c r="B624" s="722" t="s">
        <v>1112</v>
      </c>
      <c r="C624" s="737">
        <v>36.520000000000003</v>
      </c>
      <c r="D624" s="722" t="s">
        <v>877</v>
      </c>
      <c r="H624" s="698" t="s">
        <v>411</v>
      </c>
      <c r="K624" s="710">
        <f>K622/10</f>
        <v>569</v>
      </c>
      <c r="M624" s="710">
        <v>2.68</v>
      </c>
      <c r="N624" s="697" t="s">
        <v>878</v>
      </c>
      <c r="O624" s="1165" t="s">
        <v>5357</v>
      </c>
      <c r="P624" s="710">
        <f>(C76)</f>
        <v>1511.1</v>
      </c>
      <c r="Q624" s="697" t="s">
        <v>878</v>
      </c>
      <c r="R624" s="710">
        <f t="shared" si="81"/>
        <v>4049.75</v>
      </c>
      <c r="AE624" s="724" t="str">
        <f t="shared" si="82"/>
        <v>|</v>
      </c>
      <c r="AG624" s="697" t="s">
        <v>2284</v>
      </c>
    </row>
    <row r="625" spans="1:33" ht="24" customHeight="1">
      <c r="A625" s="720" t="e">
        <f t="shared" si="78"/>
        <v>#REF!</v>
      </c>
      <c r="B625" s="722" t="s">
        <v>1636</v>
      </c>
      <c r="C625" s="734"/>
      <c r="D625" s="722" t="s">
        <v>877</v>
      </c>
      <c r="H625" s="697" t="s">
        <v>386</v>
      </c>
      <c r="I625" s="699">
        <f>K624</f>
        <v>569</v>
      </c>
      <c r="J625" s="702">
        <f>C20*0.02</f>
        <v>2.17</v>
      </c>
      <c r="K625" s="709">
        <f>I625+J625</f>
        <v>571.16999999999996</v>
      </c>
      <c r="M625" s="710">
        <v>7.24</v>
      </c>
      <c r="N625" s="697" t="s">
        <v>615</v>
      </c>
      <c r="O625" s="697" t="s">
        <v>1638</v>
      </c>
      <c r="P625" s="710">
        <f>(K1397)</f>
        <v>220.11</v>
      </c>
      <c r="Q625" s="697" t="s">
        <v>615</v>
      </c>
      <c r="R625" s="710">
        <f t="shared" si="81"/>
        <v>1593.6</v>
      </c>
      <c r="AE625" s="724" t="str">
        <f t="shared" si="82"/>
        <v>|</v>
      </c>
      <c r="AG625" s="697" t="s">
        <v>2284</v>
      </c>
    </row>
    <row r="626" spans="1:33" ht="24" customHeight="1">
      <c r="A626" s="720" t="e">
        <f t="shared" si="78"/>
        <v>#REF!</v>
      </c>
      <c r="B626" s="697" t="s">
        <v>4739</v>
      </c>
      <c r="C626" s="718">
        <v>99.2</v>
      </c>
      <c r="D626" s="721">
        <v>93.72</v>
      </c>
      <c r="H626" s="697" t="s">
        <v>388</v>
      </c>
      <c r="I626" s="699">
        <f>K625</f>
        <v>571.16999999999996</v>
      </c>
      <c r="J626" s="702">
        <f>C21*0.02</f>
        <v>4.2699999999999996</v>
      </c>
      <c r="K626" s="709">
        <f>I626+J626</f>
        <v>575.44000000000005</v>
      </c>
      <c r="M626" s="710">
        <v>1</v>
      </c>
      <c r="N626" s="697" t="s">
        <v>877</v>
      </c>
      <c r="O626" s="697" t="s">
        <v>1498</v>
      </c>
      <c r="P626" s="710">
        <f>(C200)</f>
        <v>126.8</v>
      </c>
      <c r="Q626" s="697" t="s">
        <v>877</v>
      </c>
      <c r="R626" s="710">
        <f t="shared" si="81"/>
        <v>126.8</v>
      </c>
      <c r="AE626" s="724" t="str">
        <f t="shared" si="82"/>
        <v>|</v>
      </c>
      <c r="AG626" s="697" t="s">
        <v>2284</v>
      </c>
    </row>
    <row r="627" spans="1:33" ht="24" customHeight="1">
      <c r="A627" s="720" t="e">
        <f t="shared" si="78"/>
        <v>#REF!</v>
      </c>
      <c r="B627" s="697" t="s">
        <v>1499</v>
      </c>
      <c r="C627" s="718">
        <v>66.3</v>
      </c>
      <c r="D627" s="722" t="s">
        <v>877</v>
      </c>
      <c r="H627" s="697" t="s">
        <v>2257</v>
      </c>
      <c r="I627" s="699">
        <f>K626</f>
        <v>575.44000000000005</v>
      </c>
      <c r="J627" s="702">
        <f>J626</f>
        <v>4.2699999999999996</v>
      </c>
      <c r="K627" s="709">
        <f>I627+J627</f>
        <v>579.71</v>
      </c>
      <c r="M627" s="740">
        <v>0.13600000000000001</v>
      </c>
      <c r="N627" s="697" t="s">
        <v>878</v>
      </c>
      <c r="O627" s="697" t="s">
        <v>995</v>
      </c>
      <c r="P627" s="710">
        <f>(K640)</f>
        <v>7332</v>
      </c>
      <c r="Q627" s="697" t="s">
        <v>878</v>
      </c>
      <c r="R627" s="710">
        <f t="shared" si="81"/>
        <v>997.15</v>
      </c>
      <c r="AE627" s="724" t="str">
        <f t="shared" si="82"/>
        <v>|</v>
      </c>
      <c r="AG627" s="697" t="s">
        <v>2284</v>
      </c>
    </row>
    <row r="628" spans="1:33" ht="24" customHeight="1">
      <c r="A628" s="720" t="e">
        <f t="shared" si="78"/>
        <v>#REF!</v>
      </c>
      <c r="B628" s="722" t="s">
        <v>996</v>
      </c>
      <c r="C628" s="804">
        <v>30.25</v>
      </c>
      <c r="D628" s="722" t="s">
        <v>877</v>
      </c>
      <c r="H628" s="697" t="s">
        <v>380</v>
      </c>
      <c r="I628" s="699">
        <f>K627</f>
        <v>579.71</v>
      </c>
      <c r="J628" s="702">
        <f>J627</f>
        <v>4.2699999999999996</v>
      </c>
      <c r="K628" s="709">
        <f>I628+J628</f>
        <v>583.98</v>
      </c>
      <c r="O628" s="697" t="s">
        <v>130</v>
      </c>
      <c r="AE628" s="724" t="str">
        <f t="shared" si="82"/>
        <v>|</v>
      </c>
      <c r="AG628" s="697" t="s">
        <v>2284</v>
      </c>
    </row>
    <row r="629" spans="1:33" ht="24" customHeight="1">
      <c r="A629" s="720" t="e">
        <f t="shared" si="78"/>
        <v>#REF!</v>
      </c>
      <c r="B629" s="697" t="s">
        <v>4740</v>
      </c>
      <c r="C629" s="718">
        <v>159.19999999999999</v>
      </c>
      <c r="D629" s="722" t="s">
        <v>877</v>
      </c>
      <c r="H629" s="697" t="s">
        <v>1384</v>
      </c>
      <c r="I629" s="699">
        <f>K628</f>
        <v>583.98</v>
      </c>
      <c r="J629" s="702">
        <f>J628</f>
        <v>4.2699999999999996</v>
      </c>
      <c r="K629" s="709">
        <f>I629+J629</f>
        <v>588.25</v>
      </c>
      <c r="N629" s="697" t="s">
        <v>450</v>
      </c>
      <c r="O629" s="697" t="s">
        <v>340</v>
      </c>
      <c r="Q629" s="697" t="s">
        <v>450</v>
      </c>
      <c r="R629" s="710">
        <v>2.2400000000000002</v>
      </c>
      <c r="AE629" s="724" t="str">
        <f t="shared" si="82"/>
        <v>|</v>
      </c>
      <c r="AG629" s="697" t="s">
        <v>2284</v>
      </c>
    </row>
    <row r="630" spans="1:33" ht="24" customHeight="1">
      <c r="A630" s="720" t="e">
        <f t="shared" si="78"/>
        <v>#REF!</v>
      </c>
      <c r="B630" s="697" t="s">
        <v>1506</v>
      </c>
      <c r="C630" s="718">
        <v>99.2</v>
      </c>
      <c r="D630" s="722" t="s">
        <v>877</v>
      </c>
      <c r="F630" s="698" t="s">
        <v>1635</v>
      </c>
      <c r="G630" s="708" t="s">
        <v>2276</v>
      </c>
      <c r="H630" s="697" t="s">
        <v>891</v>
      </c>
      <c r="R630" s="705" t="s">
        <v>1609</v>
      </c>
      <c r="AE630" s="724" t="str">
        <f t="shared" si="82"/>
        <v>|</v>
      </c>
      <c r="AG630" s="697" t="s">
        <v>2284</v>
      </c>
    </row>
    <row r="631" spans="1:33" ht="24" customHeight="1">
      <c r="A631" s="720" t="e">
        <f t="shared" si="78"/>
        <v>#REF!</v>
      </c>
      <c r="B631" s="722" t="s">
        <v>1507</v>
      </c>
      <c r="C631" s="734"/>
      <c r="D631" s="722" t="s">
        <v>877</v>
      </c>
      <c r="H631" s="697" t="s">
        <v>1113</v>
      </c>
      <c r="O631" s="697" t="s">
        <v>1776</v>
      </c>
      <c r="R631" s="710">
        <f>SUM(R619:R629)</f>
        <v>24307.56</v>
      </c>
      <c r="AE631" s="724" t="str">
        <f t="shared" si="82"/>
        <v>|</v>
      </c>
      <c r="AG631" s="697" t="s">
        <v>2284</v>
      </c>
    </row>
    <row r="632" spans="1:33" ht="24" customHeight="1">
      <c r="A632" s="720" t="e">
        <f t="shared" si="78"/>
        <v>#REF!</v>
      </c>
      <c r="B632" s="697" t="s">
        <v>4741</v>
      </c>
      <c r="C632" s="718">
        <v>185.9</v>
      </c>
      <c r="D632" s="722" t="s">
        <v>877</v>
      </c>
      <c r="H632" s="697" t="s">
        <v>1637</v>
      </c>
      <c r="R632" s="705" t="s">
        <v>1609</v>
      </c>
      <c r="AE632" s="724" t="str">
        <f t="shared" si="82"/>
        <v>|</v>
      </c>
      <c r="AG632" s="697" t="s">
        <v>2284</v>
      </c>
    </row>
    <row r="633" spans="1:33" ht="24" customHeight="1">
      <c r="A633" s="720" t="e">
        <f t="shared" si="78"/>
        <v>#REF!</v>
      </c>
      <c r="B633" s="697" t="s">
        <v>435</v>
      </c>
      <c r="C633" s="718">
        <v>119.3</v>
      </c>
      <c r="D633" s="722" t="s">
        <v>877</v>
      </c>
      <c r="H633" s="705" t="s">
        <v>1609</v>
      </c>
      <c r="N633" s="697" t="s">
        <v>2276</v>
      </c>
      <c r="O633" s="697" t="s">
        <v>436</v>
      </c>
      <c r="AE633" s="724" t="str">
        <f t="shared" si="82"/>
        <v>|</v>
      </c>
      <c r="AG633" s="697" t="s">
        <v>2284</v>
      </c>
    </row>
    <row r="634" spans="1:33" ht="24" customHeight="1">
      <c r="A634" s="734"/>
      <c r="B634" s="734"/>
      <c r="C634" s="734"/>
      <c r="D634" s="734"/>
      <c r="F634" s="710">
        <v>0.01</v>
      </c>
      <c r="G634" s="708" t="s">
        <v>878</v>
      </c>
      <c r="H634" s="697" t="s">
        <v>1500</v>
      </c>
      <c r="I634" s="710">
        <f>(K277)</f>
        <v>7217.39</v>
      </c>
      <c r="J634" s="697" t="s">
        <v>878</v>
      </c>
      <c r="K634" s="710">
        <f>(F634*I634)</f>
        <v>72.17</v>
      </c>
      <c r="AE634" s="724" t="str">
        <f t="shared" si="82"/>
        <v>|</v>
      </c>
      <c r="AG634" s="697" t="s">
        <v>2284</v>
      </c>
    </row>
    <row r="635" spans="1:33" ht="24" customHeight="1">
      <c r="A635" s="720" t="e">
        <f>(A633+1)</f>
        <v>#REF!</v>
      </c>
      <c r="B635" s="722" t="s">
        <v>1117</v>
      </c>
      <c r="C635" s="734"/>
      <c r="D635" s="722" t="s">
        <v>877</v>
      </c>
      <c r="F635" s="710">
        <v>0.01</v>
      </c>
      <c r="G635" s="708" t="s">
        <v>878</v>
      </c>
      <c r="H635" s="697" t="s">
        <v>997</v>
      </c>
      <c r="J635" s="697" t="s">
        <v>450</v>
      </c>
      <c r="K635" s="710">
        <v>1.1499999999999999</v>
      </c>
      <c r="O635" s="697" t="s">
        <v>1118</v>
      </c>
      <c r="S635" s="698" t="s">
        <v>165</v>
      </c>
      <c r="T635" s="708" t="s">
        <v>2276</v>
      </c>
      <c r="U635" s="701" t="s">
        <v>4079</v>
      </c>
      <c r="W635" s="702"/>
      <c r="AA635" s="698" t="s">
        <v>165</v>
      </c>
      <c r="AB635" s="708" t="s">
        <v>2276</v>
      </c>
      <c r="AC635" s="701" t="s">
        <v>4232</v>
      </c>
      <c r="AE635" s="702"/>
    </row>
    <row r="636" spans="1:33" ht="24" customHeight="1">
      <c r="A636" s="720" t="e">
        <f t="shared" ref="A636:A700" si="83">(A635+1)</f>
        <v>#REF!</v>
      </c>
      <c r="B636" s="697" t="s">
        <v>4372</v>
      </c>
      <c r="C636" s="718">
        <v>284.39999999999998</v>
      </c>
      <c r="D636" s="722" t="s">
        <v>877</v>
      </c>
      <c r="H636" s="697" t="s">
        <v>132</v>
      </c>
      <c r="O636" s="705" t="s">
        <v>1609</v>
      </c>
      <c r="S636" s="699"/>
      <c r="T636" s="700"/>
      <c r="U636" s="697" t="s">
        <v>1403</v>
      </c>
      <c r="W636" s="702"/>
      <c r="AB636" s="700"/>
      <c r="AC636" s="697" t="s">
        <v>1403</v>
      </c>
      <c r="AE636" s="702"/>
    </row>
    <row r="637" spans="1:33" ht="24" customHeight="1">
      <c r="A637" s="720" t="e">
        <f t="shared" si="83"/>
        <v>#REF!</v>
      </c>
      <c r="B637" s="697" t="s">
        <v>1677</v>
      </c>
      <c r="C637" s="718">
        <v>198.2</v>
      </c>
      <c r="D637" s="722" t="s">
        <v>877</v>
      </c>
      <c r="K637" s="705" t="s">
        <v>1609</v>
      </c>
      <c r="M637" s="710">
        <v>3</v>
      </c>
      <c r="N637" s="697" t="s">
        <v>878</v>
      </c>
      <c r="O637" s="697" t="s">
        <v>1679</v>
      </c>
      <c r="P637" s="710">
        <f>(C58*2)</f>
        <v>193.2</v>
      </c>
      <c r="Q637" s="697" t="s">
        <v>878</v>
      </c>
      <c r="R637" s="710">
        <f>(M637*P637)</f>
        <v>579.6</v>
      </c>
      <c r="S637" s="699"/>
      <c r="T637" s="700"/>
      <c r="U637" s="697" t="s">
        <v>134</v>
      </c>
      <c r="W637" s="702"/>
      <c r="AB637" s="700"/>
      <c r="AC637" s="697" t="s">
        <v>134</v>
      </c>
      <c r="AE637" s="702"/>
    </row>
    <row r="638" spans="1:33" ht="24" customHeight="1">
      <c r="A638" s="720" t="e">
        <f t="shared" si="83"/>
        <v>#REF!</v>
      </c>
      <c r="B638" s="722" t="s">
        <v>628</v>
      </c>
      <c r="C638" s="734"/>
      <c r="D638" s="722" t="s">
        <v>877</v>
      </c>
      <c r="H638" s="697" t="s">
        <v>1508</v>
      </c>
      <c r="K638" s="710">
        <f>SUM(K634:K636)</f>
        <v>73.319999999999993</v>
      </c>
      <c r="M638" s="710">
        <v>2.4</v>
      </c>
      <c r="N638" s="697" t="s">
        <v>878</v>
      </c>
      <c r="O638" s="697" t="s">
        <v>1658</v>
      </c>
      <c r="P638" s="710">
        <f>(C78)</f>
        <v>875.02</v>
      </c>
      <c r="Q638" s="697" t="s">
        <v>878</v>
      </c>
      <c r="R638" s="710">
        <f>(M638*P638)</f>
        <v>2100.0500000000002</v>
      </c>
      <c r="S638" s="699"/>
      <c r="T638" s="700"/>
      <c r="U638" s="705" t="s">
        <v>1609</v>
      </c>
      <c r="W638" s="702"/>
      <c r="AB638" s="700"/>
      <c r="AC638" s="705" t="s">
        <v>1609</v>
      </c>
      <c r="AE638" s="702"/>
    </row>
    <row r="639" spans="1:33" ht="24" customHeight="1">
      <c r="A639" s="720" t="e">
        <f t="shared" si="83"/>
        <v>#REF!</v>
      </c>
      <c r="B639" s="697" t="s">
        <v>4743</v>
      </c>
      <c r="C639" s="718">
        <v>152.30000000000001</v>
      </c>
      <c r="D639" s="722" t="s">
        <v>877</v>
      </c>
      <c r="K639" s="705" t="s">
        <v>1609</v>
      </c>
      <c r="M639" s="710">
        <v>5</v>
      </c>
      <c r="N639" s="697" t="s">
        <v>877</v>
      </c>
      <c r="O639" s="697" t="s">
        <v>613</v>
      </c>
      <c r="P639" s="710">
        <f>(C201)</f>
        <v>62.8</v>
      </c>
      <c r="Q639" s="697" t="s">
        <v>877</v>
      </c>
      <c r="R639" s="710">
        <f>(M639*P639)</f>
        <v>314</v>
      </c>
      <c r="S639" s="740">
        <v>8.3000000000000007</v>
      </c>
      <c r="T639" s="708" t="s">
        <v>878</v>
      </c>
      <c r="U639" s="697" t="s">
        <v>4080</v>
      </c>
      <c r="V639" s="710">
        <f>AC9</f>
        <v>991.83</v>
      </c>
      <c r="W639" s="697" t="s">
        <v>878</v>
      </c>
      <c r="X639" s="710">
        <f t="shared" ref="X639:X645" si="84">S639*V639</f>
        <v>8232.19</v>
      </c>
      <c r="AA639" s="740">
        <v>8.3000000000000007</v>
      </c>
      <c r="AB639" s="708" t="s">
        <v>878</v>
      </c>
      <c r="AC639" s="697" t="s">
        <v>4080</v>
      </c>
      <c r="AD639" s="710">
        <f>V639</f>
        <v>991.83</v>
      </c>
      <c r="AE639" s="697" t="s">
        <v>878</v>
      </c>
      <c r="AF639" s="710">
        <f t="shared" ref="AF639:AF645" si="85">AA639*AD639</f>
        <v>8232.19</v>
      </c>
    </row>
    <row r="640" spans="1:33" ht="24" customHeight="1">
      <c r="A640" s="720" t="e">
        <f t="shared" si="83"/>
        <v>#REF!</v>
      </c>
      <c r="B640" s="697" t="s">
        <v>1798</v>
      </c>
      <c r="C640" s="718">
        <v>92.7</v>
      </c>
      <c r="D640" s="722" t="s">
        <v>877</v>
      </c>
      <c r="H640" s="697" t="s">
        <v>782</v>
      </c>
      <c r="K640" s="710">
        <f>ROUND(K638*100,0)</f>
        <v>7332</v>
      </c>
      <c r="O640" s="697" t="s">
        <v>451</v>
      </c>
      <c r="Q640" s="697" t="s">
        <v>450</v>
      </c>
      <c r="R640" s="710">
        <v>0.08</v>
      </c>
      <c r="S640" s="740">
        <v>3.25</v>
      </c>
      <c r="T640" s="708" t="s">
        <v>870</v>
      </c>
      <c r="U640" s="697" t="s">
        <v>871</v>
      </c>
      <c r="V640" s="710">
        <f>I805</f>
        <v>5960</v>
      </c>
      <c r="W640" s="697" t="s">
        <v>870</v>
      </c>
      <c r="X640" s="710">
        <f t="shared" si="84"/>
        <v>19370</v>
      </c>
      <c r="AA640" s="740">
        <v>4</v>
      </c>
      <c r="AB640" s="708" t="s">
        <v>870</v>
      </c>
      <c r="AC640" s="697" t="s">
        <v>871</v>
      </c>
      <c r="AD640" s="710">
        <f t="shared" ref="AD640:AD645" si="86">V640</f>
        <v>5960</v>
      </c>
      <c r="AE640" s="697" t="s">
        <v>870</v>
      </c>
      <c r="AF640" s="710">
        <f t="shared" si="85"/>
        <v>23840</v>
      </c>
    </row>
    <row r="641" spans="1:32" ht="24" customHeight="1">
      <c r="A641" s="720" t="e">
        <f t="shared" si="83"/>
        <v>#REF!</v>
      </c>
      <c r="B641" s="722" t="s">
        <v>1800</v>
      </c>
      <c r="C641" s="734"/>
      <c r="D641" s="722" t="s">
        <v>877</v>
      </c>
      <c r="F641" s="697" t="s">
        <v>987</v>
      </c>
      <c r="R641" s="705" t="s">
        <v>1609</v>
      </c>
      <c r="S641" s="740">
        <v>4.79</v>
      </c>
      <c r="T641" s="708" t="s">
        <v>878</v>
      </c>
      <c r="U641" s="1165" t="s">
        <v>5354</v>
      </c>
      <c r="V641" s="710">
        <f>I806</f>
        <v>1511.1</v>
      </c>
      <c r="W641" s="697" t="s">
        <v>878</v>
      </c>
      <c r="X641" s="710">
        <f t="shared" si="84"/>
        <v>7238.17</v>
      </c>
      <c r="AA641" s="740">
        <v>4.79</v>
      </c>
      <c r="AB641" s="708" t="s">
        <v>878</v>
      </c>
      <c r="AC641" s="1165" t="s">
        <v>5354</v>
      </c>
      <c r="AD641" s="710">
        <f t="shared" si="86"/>
        <v>1511.1</v>
      </c>
      <c r="AE641" s="697" t="s">
        <v>878</v>
      </c>
      <c r="AF641" s="710">
        <f t="shared" si="85"/>
        <v>7238.17</v>
      </c>
    </row>
    <row r="642" spans="1:32" ht="24" customHeight="1">
      <c r="A642" s="720" t="e">
        <f t="shared" si="83"/>
        <v>#REF!</v>
      </c>
      <c r="B642" s="697" t="s">
        <v>4742</v>
      </c>
      <c r="C642" s="718">
        <v>178.9</v>
      </c>
      <c r="D642" s="722" t="s">
        <v>877</v>
      </c>
      <c r="K642" s="705" t="s">
        <v>2080</v>
      </c>
      <c r="O642" s="697" t="s">
        <v>1776</v>
      </c>
      <c r="R642" s="710">
        <f>SUM(R637:R640)</f>
        <v>2993.73</v>
      </c>
      <c r="S642" s="740">
        <v>3.5</v>
      </c>
      <c r="T642" s="708" t="s">
        <v>877</v>
      </c>
      <c r="U642" s="697" t="s">
        <v>1737</v>
      </c>
      <c r="V642" s="710">
        <f>C9</f>
        <v>804</v>
      </c>
      <c r="W642" s="697" t="s">
        <v>877</v>
      </c>
      <c r="X642" s="710">
        <f t="shared" si="84"/>
        <v>2814</v>
      </c>
      <c r="AA642" s="740">
        <v>3.5</v>
      </c>
      <c r="AB642" s="708" t="s">
        <v>877</v>
      </c>
      <c r="AC642" s="697" t="s">
        <v>1737</v>
      </c>
      <c r="AD642" s="710">
        <f t="shared" si="86"/>
        <v>804</v>
      </c>
      <c r="AE642" s="697" t="s">
        <v>877</v>
      </c>
      <c r="AF642" s="710">
        <f t="shared" si="85"/>
        <v>2814</v>
      </c>
    </row>
    <row r="643" spans="1:32" ht="24" customHeight="1">
      <c r="A643" s="720" t="e">
        <f t="shared" si="83"/>
        <v>#REF!</v>
      </c>
      <c r="B643" s="697" t="s">
        <v>1660</v>
      </c>
      <c r="C643" s="718">
        <v>119.3</v>
      </c>
      <c r="D643" s="722" t="s">
        <v>877</v>
      </c>
      <c r="G643" s="708" t="s">
        <v>681</v>
      </c>
      <c r="H643" s="697" t="s">
        <v>1004</v>
      </c>
      <c r="R643" s="705" t="s">
        <v>1609</v>
      </c>
      <c r="S643" s="740">
        <v>21.2</v>
      </c>
      <c r="T643" s="708" t="s">
        <v>877</v>
      </c>
      <c r="U643" s="697" t="s">
        <v>1927</v>
      </c>
      <c r="V643" s="710">
        <f>C10</f>
        <v>562</v>
      </c>
      <c r="W643" s="697" t="s">
        <v>877</v>
      </c>
      <c r="X643" s="710">
        <f t="shared" si="84"/>
        <v>11914.4</v>
      </c>
      <c r="AA643" s="740">
        <v>21.2</v>
      </c>
      <c r="AB643" s="708" t="s">
        <v>877</v>
      </c>
      <c r="AC643" s="697" t="s">
        <v>1927</v>
      </c>
      <c r="AD643" s="710">
        <f t="shared" si="86"/>
        <v>562</v>
      </c>
      <c r="AE643" s="697" t="s">
        <v>877</v>
      </c>
      <c r="AF643" s="710">
        <f t="shared" si="85"/>
        <v>11914.4</v>
      </c>
    </row>
    <row r="644" spans="1:32" ht="24" customHeight="1">
      <c r="A644" s="720" t="e">
        <f t="shared" si="83"/>
        <v>#REF!</v>
      </c>
      <c r="B644" s="722" t="s">
        <v>1661</v>
      </c>
      <c r="C644" s="734"/>
      <c r="D644" s="722" t="s">
        <v>877</v>
      </c>
      <c r="H644" s="697" t="s">
        <v>1678</v>
      </c>
      <c r="S644" s="740">
        <v>35.299999999999997</v>
      </c>
      <c r="T644" s="708" t="s">
        <v>877</v>
      </c>
      <c r="U644" s="697" t="s">
        <v>321</v>
      </c>
      <c r="V644" s="710">
        <f>C11</f>
        <v>461</v>
      </c>
      <c r="W644" s="697" t="s">
        <v>877</v>
      </c>
      <c r="X644" s="710">
        <f t="shared" si="84"/>
        <v>16273.3</v>
      </c>
      <c r="AA644" s="740">
        <v>35.299999999999997</v>
      </c>
      <c r="AB644" s="708" t="s">
        <v>877</v>
      </c>
      <c r="AC644" s="697" t="s">
        <v>321</v>
      </c>
      <c r="AD644" s="710">
        <f t="shared" si="86"/>
        <v>461</v>
      </c>
      <c r="AE644" s="697" t="s">
        <v>877</v>
      </c>
      <c r="AF644" s="710">
        <f t="shared" si="85"/>
        <v>16273.3</v>
      </c>
    </row>
    <row r="645" spans="1:32" ht="24" customHeight="1">
      <c r="A645" s="720" t="e">
        <f t="shared" si="83"/>
        <v>#REF!</v>
      </c>
      <c r="B645" s="697" t="s">
        <v>4744</v>
      </c>
      <c r="C645" s="718">
        <v>78.400000000000006</v>
      </c>
      <c r="D645" s="722" t="s">
        <v>877</v>
      </c>
      <c r="H645" s="705" t="s">
        <v>1609</v>
      </c>
      <c r="N645" s="697" t="s">
        <v>2276</v>
      </c>
      <c r="O645" s="697" t="s">
        <v>63</v>
      </c>
      <c r="S645" s="805">
        <v>19.5</v>
      </c>
      <c r="T645" s="700"/>
      <c r="U645" s="697" t="s">
        <v>4081</v>
      </c>
      <c r="V645" s="744">
        <f>C146</f>
        <v>42.8</v>
      </c>
      <c r="W645" s="697" t="s">
        <v>450</v>
      </c>
      <c r="X645" s="710">
        <f t="shared" si="84"/>
        <v>834.6</v>
      </c>
      <c r="AA645" s="805">
        <v>40</v>
      </c>
      <c r="AB645" s="700"/>
      <c r="AC645" s="697" t="s">
        <v>4081</v>
      </c>
      <c r="AD645" s="710">
        <f t="shared" si="86"/>
        <v>42.8</v>
      </c>
      <c r="AE645" s="697" t="s">
        <v>450</v>
      </c>
      <c r="AF645" s="710">
        <f t="shared" si="85"/>
        <v>1712</v>
      </c>
    </row>
    <row r="646" spans="1:32" ht="24" customHeight="1">
      <c r="A646" s="720" t="e">
        <f t="shared" si="83"/>
        <v>#REF!</v>
      </c>
      <c r="B646" s="697" t="s">
        <v>1985</v>
      </c>
      <c r="C646" s="718">
        <v>52.9</v>
      </c>
      <c r="D646" s="722" t="s">
        <v>877</v>
      </c>
      <c r="F646" s="740">
        <v>1.4E-2</v>
      </c>
      <c r="G646" s="708" t="s">
        <v>878</v>
      </c>
      <c r="H646" s="697" t="s">
        <v>1345</v>
      </c>
      <c r="I646" s="710">
        <f>(K640)</f>
        <v>7332</v>
      </c>
      <c r="J646" s="697" t="s">
        <v>878</v>
      </c>
      <c r="K646" s="710">
        <f>(F646*I646)</f>
        <v>102.65</v>
      </c>
      <c r="O646" s="697" t="s">
        <v>1986</v>
      </c>
      <c r="S646" s="699"/>
      <c r="T646" s="700"/>
      <c r="W646" s="702"/>
      <c r="X646" s="705" t="s">
        <v>1609</v>
      </c>
      <c r="AB646" s="700"/>
      <c r="AE646" s="702"/>
      <c r="AF646" s="705" t="s">
        <v>1609</v>
      </c>
    </row>
    <row r="647" spans="1:32" ht="24" customHeight="1">
      <c r="A647" s="720" t="e">
        <f t="shared" si="83"/>
        <v>#REF!</v>
      </c>
      <c r="B647" s="697" t="s">
        <v>1987</v>
      </c>
      <c r="C647" s="744">
        <v>32.799999999999997</v>
      </c>
      <c r="D647" s="722" t="s">
        <v>877</v>
      </c>
      <c r="F647" s="740"/>
      <c r="H647" s="697" t="s">
        <v>1799</v>
      </c>
      <c r="K647" s="697" t="s">
        <v>987</v>
      </c>
      <c r="O647" s="697" t="s">
        <v>1988</v>
      </c>
      <c r="S647" s="699"/>
      <c r="T647" s="700"/>
      <c r="U647" s="698" t="s">
        <v>620</v>
      </c>
      <c r="W647" s="702"/>
      <c r="X647" s="710">
        <f>SUM(X639:X645)</f>
        <v>66676.66</v>
      </c>
      <c r="AB647" s="700"/>
      <c r="AC647" s="698" t="s">
        <v>620</v>
      </c>
      <c r="AE647" s="702"/>
      <c r="AF647" s="710">
        <f>SUM(AF639:AF645)</f>
        <v>72024.06</v>
      </c>
    </row>
    <row r="648" spans="1:32" ht="24" customHeight="1">
      <c r="A648" s="720" t="e">
        <f t="shared" si="83"/>
        <v>#REF!</v>
      </c>
      <c r="B648" s="722" t="s">
        <v>1989</v>
      </c>
      <c r="C648" s="737">
        <v>155.32</v>
      </c>
      <c r="D648" s="722" t="s">
        <v>877</v>
      </c>
      <c r="F648" s="710">
        <v>0.5</v>
      </c>
      <c r="G648" s="708" t="s">
        <v>778</v>
      </c>
      <c r="H648" s="697" t="s">
        <v>2034</v>
      </c>
      <c r="I648" s="710">
        <f>(C8)</f>
        <v>861</v>
      </c>
      <c r="J648" s="697" t="s">
        <v>778</v>
      </c>
      <c r="K648" s="710">
        <f>(F648*I648)</f>
        <v>430.5</v>
      </c>
      <c r="O648" s="705" t="s">
        <v>1609</v>
      </c>
      <c r="S648" s="699"/>
      <c r="T648" s="700"/>
      <c r="W648" s="702"/>
      <c r="X648" s="705" t="s">
        <v>2080</v>
      </c>
      <c r="AB648" s="700"/>
      <c r="AE648" s="702"/>
      <c r="AF648" s="705" t="s">
        <v>2080</v>
      </c>
    </row>
    <row r="649" spans="1:32" ht="24" customHeight="1">
      <c r="A649" s="720" t="e">
        <f t="shared" si="83"/>
        <v>#REF!</v>
      </c>
      <c r="B649" s="722" t="s">
        <v>1792</v>
      </c>
      <c r="C649" s="737">
        <v>91.08</v>
      </c>
      <c r="D649" s="722" t="s">
        <v>877</v>
      </c>
      <c r="F649" s="710">
        <v>0.75</v>
      </c>
      <c r="G649" s="708" t="s">
        <v>778</v>
      </c>
      <c r="H649" s="697" t="s">
        <v>1927</v>
      </c>
      <c r="I649" s="710">
        <f>(C10)</f>
        <v>562</v>
      </c>
      <c r="J649" s="697" t="s">
        <v>778</v>
      </c>
      <c r="K649" s="710">
        <f>(F649*I649)</f>
        <v>421.5</v>
      </c>
      <c r="M649" s="710">
        <v>9.5</v>
      </c>
      <c r="N649" s="697" t="s">
        <v>878</v>
      </c>
      <c r="O649" s="697" t="s">
        <v>1679</v>
      </c>
      <c r="P649" s="710">
        <f>(C58*2)</f>
        <v>193.2</v>
      </c>
      <c r="Q649" s="697" t="s">
        <v>878</v>
      </c>
      <c r="R649" s="710">
        <f t="shared" ref="R649:R657" si="87">(M649*P649)</f>
        <v>1835.4</v>
      </c>
      <c r="S649" s="699"/>
      <c r="T649" s="700"/>
      <c r="U649" s="697" t="s">
        <v>782</v>
      </c>
      <c r="W649" s="702"/>
      <c r="X649" s="710">
        <f>X647/10</f>
        <v>6667.67</v>
      </c>
      <c r="AB649" s="700"/>
      <c r="AC649" s="697" t="s">
        <v>782</v>
      </c>
      <c r="AE649" s="702"/>
      <c r="AF649" s="710">
        <f>AF647/10</f>
        <v>7202.41</v>
      </c>
    </row>
    <row r="650" spans="1:32" ht="24" customHeight="1">
      <c r="A650" s="720" t="e">
        <f t="shared" si="83"/>
        <v>#REF!</v>
      </c>
      <c r="B650" s="697" t="s">
        <v>4976</v>
      </c>
      <c r="C650" s="718">
        <v>42.3</v>
      </c>
      <c r="D650" s="722" t="s">
        <v>1670</v>
      </c>
      <c r="G650" s="708" t="s">
        <v>450</v>
      </c>
      <c r="H650" s="697" t="s">
        <v>451</v>
      </c>
      <c r="J650" s="697" t="s">
        <v>450</v>
      </c>
      <c r="K650" s="710">
        <v>0</v>
      </c>
      <c r="M650" s="710">
        <v>0.47</v>
      </c>
      <c r="N650" s="697" t="s">
        <v>878</v>
      </c>
      <c r="O650" s="697" t="s">
        <v>342</v>
      </c>
      <c r="P650" s="710">
        <f>(R58)</f>
        <v>5957.06</v>
      </c>
      <c r="Q650" s="697" t="s">
        <v>878</v>
      </c>
      <c r="R650" s="710">
        <f t="shared" si="87"/>
        <v>2799.82</v>
      </c>
      <c r="S650" s="710">
        <v>1</v>
      </c>
      <c r="T650" s="708" t="s">
        <v>878</v>
      </c>
      <c r="U650" s="697" t="s">
        <v>46</v>
      </c>
      <c r="V650" s="710"/>
      <c r="W650" s="702"/>
      <c r="X650" s="710"/>
      <c r="AA650" s="710">
        <v>1</v>
      </c>
      <c r="AB650" s="708" t="s">
        <v>878</v>
      </c>
      <c r="AC650" s="697" t="s">
        <v>46</v>
      </c>
      <c r="AD650" s="710"/>
      <c r="AE650" s="702"/>
      <c r="AF650" s="710"/>
    </row>
    <row r="651" spans="1:32" ht="24" customHeight="1">
      <c r="A651" s="720" t="e">
        <f t="shared" si="83"/>
        <v>#REF!</v>
      </c>
      <c r="B651" s="722" t="s">
        <v>1868</v>
      </c>
      <c r="C651" s="737">
        <v>0.3</v>
      </c>
      <c r="D651" s="722" t="s">
        <v>877</v>
      </c>
      <c r="K651" s="705" t="s">
        <v>1609</v>
      </c>
      <c r="M651" s="710">
        <v>1.62</v>
      </c>
      <c r="N651" s="697" t="s">
        <v>878</v>
      </c>
      <c r="O651" s="697" t="s">
        <v>2001</v>
      </c>
      <c r="P651" s="710">
        <f>(R73)</f>
        <v>6393.87</v>
      </c>
      <c r="Q651" s="697" t="s">
        <v>878</v>
      </c>
      <c r="R651" s="710">
        <f t="shared" si="87"/>
        <v>10358.07</v>
      </c>
      <c r="X651" s="699">
        <f>SUM(X649:X650)</f>
        <v>6667.67</v>
      </c>
      <c r="AA651" s="703"/>
      <c r="AF651" s="699">
        <f>SUM(AF649:AF650)</f>
        <v>7202.41</v>
      </c>
    </row>
    <row r="652" spans="1:32" ht="24" customHeight="1">
      <c r="A652" s="720" t="e">
        <f t="shared" si="83"/>
        <v>#REF!</v>
      </c>
      <c r="B652" s="697" t="s">
        <v>4977</v>
      </c>
      <c r="C652" s="718">
        <v>187.8</v>
      </c>
      <c r="D652" s="722" t="s">
        <v>615</v>
      </c>
      <c r="H652" s="697" t="s">
        <v>104</v>
      </c>
      <c r="K652" s="710">
        <f>SUM(K646:K650)</f>
        <v>954.65</v>
      </c>
      <c r="M652" s="710">
        <v>15.22</v>
      </c>
      <c r="N652" s="697" t="s">
        <v>615</v>
      </c>
      <c r="O652" s="697" t="s">
        <v>2159</v>
      </c>
      <c r="P652" s="710">
        <f>(R301)</f>
        <v>236.13</v>
      </c>
      <c r="Q652" s="697" t="s">
        <v>615</v>
      </c>
      <c r="R652" s="710">
        <f t="shared" si="87"/>
        <v>3593.9</v>
      </c>
      <c r="S652" s="699"/>
      <c r="T652" s="700"/>
      <c r="U652" s="699" t="s">
        <v>4082</v>
      </c>
      <c r="X652" s="699">
        <f>X651*0.5%</f>
        <v>33.340000000000003</v>
      </c>
      <c r="AB652" s="700"/>
      <c r="AC652" s="699" t="s">
        <v>4082</v>
      </c>
      <c r="AF652" s="699">
        <f>AF651*0.5%</f>
        <v>36.01</v>
      </c>
    </row>
    <row r="653" spans="1:32" ht="24" customHeight="1">
      <c r="A653" s="720" t="e">
        <f t="shared" si="83"/>
        <v>#REF!</v>
      </c>
      <c r="B653" s="722" t="s">
        <v>2043</v>
      </c>
      <c r="C653" s="737">
        <v>97.31</v>
      </c>
      <c r="D653" s="722" t="s">
        <v>615</v>
      </c>
      <c r="K653" s="705" t="s">
        <v>1609</v>
      </c>
      <c r="M653" s="710">
        <v>0.18</v>
      </c>
      <c r="N653" s="697" t="s">
        <v>878</v>
      </c>
      <c r="O653" s="697" t="s">
        <v>1353</v>
      </c>
      <c r="P653" s="710">
        <f>(K277)</f>
        <v>7217.39</v>
      </c>
      <c r="Q653" s="697" t="s">
        <v>878</v>
      </c>
      <c r="R653" s="710">
        <f t="shared" si="87"/>
        <v>1299.1300000000001</v>
      </c>
      <c r="S653" s="699"/>
      <c r="T653" s="700"/>
      <c r="W653" s="702"/>
      <c r="X653" s="705"/>
      <c r="AB653" s="700"/>
      <c r="AE653" s="702"/>
      <c r="AF653" s="705"/>
    </row>
    <row r="654" spans="1:32" ht="24" customHeight="1">
      <c r="A654" s="720" t="e">
        <f t="shared" si="83"/>
        <v>#REF!</v>
      </c>
      <c r="B654" s="697" t="s">
        <v>4978</v>
      </c>
      <c r="C654" s="718">
        <v>194.5</v>
      </c>
      <c r="D654" s="697" t="s">
        <v>1170</v>
      </c>
      <c r="H654" s="697" t="s">
        <v>556</v>
      </c>
      <c r="K654" s="710">
        <f>(K652/0.372)</f>
        <v>2566.2600000000002</v>
      </c>
      <c r="M654" s="710">
        <v>0.36</v>
      </c>
      <c r="N654" s="697" t="s">
        <v>615</v>
      </c>
      <c r="O654" s="697" t="s">
        <v>769</v>
      </c>
      <c r="P654" s="710">
        <f>(K464)</f>
        <v>367.95</v>
      </c>
      <c r="Q654" s="697" t="s">
        <v>615</v>
      </c>
      <c r="R654" s="710">
        <f t="shared" si="87"/>
        <v>132.46</v>
      </c>
      <c r="S654" s="699"/>
      <c r="T654" s="700"/>
      <c r="U654" s="699" t="s">
        <v>3637</v>
      </c>
      <c r="W654" s="702"/>
      <c r="X654" s="709">
        <f>SUM(X651:X653)</f>
        <v>6701.01</v>
      </c>
      <c r="AB654" s="700"/>
      <c r="AC654" s="699" t="s">
        <v>3637</v>
      </c>
      <c r="AE654" s="702"/>
      <c r="AF654" s="709">
        <f>SUM(AF651:AF653)</f>
        <v>7238.42</v>
      </c>
    </row>
    <row r="655" spans="1:32" ht="24" customHeight="1">
      <c r="A655" s="720" t="e">
        <f t="shared" si="83"/>
        <v>#REF!</v>
      </c>
      <c r="B655" s="697" t="s">
        <v>4979</v>
      </c>
      <c r="C655" s="718">
        <v>194.5</v>
      </c>
      <c r="D655" s="697" t="s">
        <v>1170</v>
      </c>
      <c r="K655" s="705" t="s">
        <v>2080</v>
      </c>
      <c r="M655" s="710">
        <v>1</v>
      </c>
      <c r="N655" s="697" t="s">
        <v>877</v>
      </c>
      <c r="O655" s="697" t="s">
        <v>1182</v>
      </c>
      <c r="P655" s="710">
        <f>(C200)</f>
        <v>126.8</v>
      </c>
      <c r="Q655" s="697" t="s">
        <v>877</v>
      </c>
      <c r="R655" s="710">
        <f t="shared" si="87"/>
        <v>126.8</v>
      </c>
      <c r="S655" s="699"/>
      <c r="T655" s="700"/>
      <c r="W655" s="702"/>
      <c r="X655" s="705" t="s">
        <v>1609</v>
      </c>
      <c r="AB655" s="700"/>
      <c r="AE655" s="702"/>
      <c r="AF655" s="705" t="s">
        <v>1609</v>
      </c>
    </row>
    <row r="656" spans="1:32" ht="24" customHeight="1">
      <c r="A656" s="720" t="e">
        <f t="shared" si="83"/>
        <v>#REF!</v>
      </c>
      <c r="B656" s="697" t="s">
        <v>1183</v>
      </c>
      <c r="C656" s="718">
        <v>3.88</v>
      </c>
      <c r="D656" s="697" t="s">
        <v>877</v>
      </c>
      <c r="E656" s="699" t="s">
        <v>150</v>
      </c>
      <c r="H656" s="697" t="s">
        <v>386</v>
      </c>
      <c r="I656" s="699">
        <f>K654</f>
        <v>2566.2600000000002</v>
      </c>
      <c r="J656" s="702">
        <f>C20*0.014/0.372</f>
        <v>4.08</v>
      </c>
      <c r="K656" s="709">
        <f>I656+J656</f>
        <v>2570.34</v>
      </c>
      <c r="M656" s="710">
        <v>1.8</v>
      </c>
      <c r="N656" s="697" t="s">
        <v>335</v>
      </c>
      <c r="O656" s="697" t="s">
        <v>336</v>
      </c>
      <c r="P656" s="710">
        <f>(C322)</f>
        <v>14.91</v>
      </c>
      <c r="Q656" s="697" t="s">
        <v>335</v>
      </c>
      <c r="R656" s="710">
        <f t="shared" si="87"/>
        <v>26.84</v>
      </c>
      <c r="S656" s="699"/>
      <c r="T656" s="700"/>
      <c r="U656" s="697" t="s">
        <v>386</v>
      </c>
      <c r="W656" s="702"/>
      <c r="X656" s="709">
        <f>(X654+C21)</f>
        <v>6914.69</v>
      </c>
      <c r="AB656" s="700"/>
      <c r="AC656" s="697" t="s">
        <v>386</v>
      </c>
      <c r="AE656" s="702"/>
      <c r="AF656" s="709">
        <f>AF654+C21</f>
        <v>7452.1</v>
      </c>
    </row>
    <row r="657" spans="1:33" ht="24" customHeight="1">
      <c r="A657" s="720" t="e">
        <f t="shared" si="83"/>
        <v>#REF!</v>
      </c>
      <c r="B657" s="697" t="s">
        <v>4980</v>
      </c>
      <c r="C657" s="718">
        <v>62.6</v>
      </c>
      <c r="D657" s="806">
        <v>62.1</v>
      </c>
      <c r="E657" s="699" t="s">
        <v>4745</v>
      </c>
      <c r="H657" s="697" t="s">
        <v>388</v>
      </c>
      <c r="I657" s="699">
        <f>K656</f>
        <v>2570.34</v>
      </c>
      <c r="J657" s="702">
        <f>C21*0.014/0.372</f>
        <v>8.0399999999999991</v>
      </c>
      <c r="K657" s="709">
        <f>I657+J657</f>
        <v>2578.38</v>
      </c>
      <c r="M657" s="710">
        <v>1</v>
      </c>
      <c r="N657" s="697" t="s">
        <v>877</v>
      </c>
      <c r="O657" s="697" t="s">
        <v>1938</v>
      </c>
      <c r="P657" s="710">
        <f>(C368)</f>
        <v>13.29</v>
      </c>
      <c r="Q657" s="697" t="s">
        <v>877</v>
      </c>
      <c r="R657" s="710">
        <f t="shared" si="87"/>
        <v>13.29</v>
      </c>
      <c r="S657" s="699"/>
      <c r="T657" s="700"/>
      <c r="U657" s="697" t="s">
        <v>388</v>
      </c>
      <c r="W657" s="702"/>
      <c r="X657" s="709">
        <f>X656+C22</f>
        <v>7128.37</v>
      </c>
      <c r="AB657" s="700"/>
      <c r="AC657" s="697" t="s">
        <v>388</v>
      </c>
      <c r="AE657" s="702"/>
      <c r="AF657" s="709">
        <f>AF656+C22</f>
        <v>7665.78</v>
      </c>
    </row>
    <row r="658" spans="1:33" ht="32.25" customHeight="1">
      <c r="A658" s="720" t="e">
        <f t="shared" si="83"/>
        <v>#REF!</v>
      </c>
      <c r="B658" s="807" t="s">
        <v>4981</v>
      </c>
      <c r="C658" s="790">
        <v>9.1199999999999992</v>
      </c>
      <c r="D658" s="791" t="s">
        <v>1796</v>
      </c>
      <c r="E658" s="808">
        <v>15.53</v>
      </c>
      <c r="H658" s="697" t="s">
        <v>2257</v>
      </c>
      <c r="I658" s="699">
        <f>K657</f>
        <v>2578.38</v>
      </c>
      <c r="J658" s="702">
        <f>J657</f>
        <v>8.0399999999999991</v>
      </c>
      <c r="K658" s="709">
        <f>I658+J658</f>
        <v>2586.42</v>
      </c>
      <c r="N658" s="697" t="s">
        <v>450</v>
      </c>
      <c r="O658" s="697" t="s">
        <v>340</v>
      </c>
      <c r="Q658" s="697" t="s">
        <v>450</v>
      </c>
      <c r="R658" s="710">
        <v>1.72</v>
      </c>
      <c r="S658" s="699"/>
      <c r="T658" s="700"/>
      <c r="U658" s="697" t="s">
        <v>2257</v>
      </c>
      <c r="W658" s="702"/>
      <c r="X658" s="709">
        <f>X657+C23</f>
        <v>7209.67</v>
      </c>
      <c r="AB658" s="700"/>
      <c r="AC658" s="697" t="s">
        <v>2257</v>
      </c>
      <c r="AE658" s="702"/>
      <c r="AF658" s="709">
        <f>AF657+C23</f>
        <v>7747.08</v>
      </c>
    </row>
    <row r="659" spans="1:33" ht="24" customHeight="1">
      <c r="A659" s="720" t="e">
        <f t="shared" si="83"/>
        <v>#REF!</v>
      </c>
      <c r="B659" s="809" t="s">
        <v>4982</v>
      </c>
      <c r="C659" s="790">
        <v>15.43</v>
      </c>
      <c r="D659" s="791" t="s">
        <v>1796</v>
      </c>
      <c r="E659" s="808"/>
      <c r="H659" s="697" t="s">
        <v>380</v>
      </c>
      <c r="I659" s="699">
        <f>K658</f>
        <v>2586.42</v>
      </c>
      <c r="J659" s="702">
        <f>J658</f>
        <v>8.0399999999999991</v>
      </c>
      <c r="K659" s="709">
        <f>I659+J659</f>
        <v>2594.46</v>
      </c>
      <c r="R659" s="697" t="s">
        <v>987</v>
      </c>
      <c r="S659" s="699"/>
      <c r="T659" s="700"/>
      <c r="U659" s="697" t="s">
        <v>380</v>
      </c>
      <c r="W659" s="702"/>
      <c r="X659" s="709">
        <f>X658+C23</f>
        <v>7290.97</v>
      </c>
      <c r="AB659" s="700"/>
      <c r="AC659" s="697" t="s">
        <v>380</v>
      </c>
      <c r="AE659" s="702"/>
      <c r="AF659" s="709">
        <f>AF658+C23</f>
        <v>7828.38</v>
      </c>
    </row>
    <row r="660" spans="1:33" ht="24" customHeight="1">
      <c r="A660" s="720" t="e">
        <f t="shared" si="83"/>
        <v>#REF!</v>
      </c>
      <c r="B660" s="697" t="s">
        <v>4746</v>
      </c>
      <c r="C660" s="718">
        <v>8.1</v>
      </c>
      <c r="D660" s="806">
        <v>8.1</v>
      </c>
      <c r="E660" s="699">
        <v>2</v>
      </c>
      <c r="H660" s="697" t="s">
        <v>1384</v>
      </c>
      <c r="I660" s="699">
        <f>K659</f>
        <v>2594.46</v>
      </c>
      <c r="J660" s="702">
        <f>J659</f>
        <v>8.0399999999999991</v>
      </c>
      <c r="K660" s="709">
        <f>I660+J660</f>
        <v>2602.5</v>
      </c>
      <c r="R660" s="705" t="s">
        <v>1609</v>
      </c>
      <c r="S660" s="699"/>
      <c r="T660" s="700"/>
      <c r="U660" s="697" t="s">
        <v>1554</v>
      </c>
      <c r="W660" s="702"/>
      <c r="X660" s="709">
        <f>X659+C23</f>
        <v>7372.27</v>
      </c>
      <c r="AB660" s="700"/>
      <c r="AC660" s="697" t="s">
        <v>1554</v>
      </c>
      <c r="AE660" s="702"/>
      <c r="AF660" s="709">
        <f>AF659+K23</f>
        <v>7828.38</v>
      </c>
    </row>
    <row r="661" spans="1:33" ht="24" customHeight="1">
      <c r="A661" s="720"/>
      <c r="B661" s="722"/>
      <c r="C661" s="724"/>
      <c r="D661" s="739"/>
      <c r="H661" s="697">
        <v>5</v>
      </c>
      <c r="I661" s="699">
        <f t="shared" ref="I661:I667" si="88">K660</f>
        <v>2602.5</v>
      </c>
      <c r="J661" s="702">
        <f t="shared" ref="J661:J667" si="89">J660</f>
        <v>8.0399999999999991</v>
      </c>
      <c r="K661" s="709">
        <f t="shared" ref="K661:K667" si="90">I661+J661</f>
        <v>2610.54</v>
      </c>
      <c r="R661" s="705"/>
      <c r="S661" s="699"/>
      <c r="T661" s="700"/>
      <c r="U661" s="697">
        <v>5</v>
      </c>
      <c r="W661" s="702"/>
      <c r="X661" s="709">
        <f>X660+C23</f>
        <v>7453.57</v>
      </c>
      <c r="AB661" s="700"/>
      <c r="AC661" s="697">
        <v>5</v>
      </c>
      <c r="AE661" s="702"/>
      <c r="AF661" s="709">
        <f>AF660+K23</f>
        <v>7828.38</v>
      </c>
    </row>
    <row r="662" spans="1:33" ht="24" customHeight="1">
      <c r="A662" s="720"/>
      <c r="B662" s="722"/>
      <c r="C662" s="724"/>
      <c r="D662" s="739"/>
      <c r="H662" s="697">
        <v>6</v>
      </c>
      <c r="I662" s="699">
        <f t="shared" si="88"/>
        <v>2610.54</v>
      </c>
      <c r="J662" s="702">
        <f t="shared" si="89"/>
        <v>8.0399999999999991</v>
      </c>
      <c r="K662" s="709">
        <f t="shared" si="90"/>
        <v>2618.58</v>
      </c>
      <c r="R662" s="705"/>
      <c r="AA662" s="703"/>
    </row>
    <row r="663" spans="1:33" ht="24" customHeight="1">
      <c r="A663" s="720"/>
      <c r="B663" s="722"/>
      <c r="C663" s="724"/>
      <c r="D663" s="739"/>
      <c r="H663" s="697">
        <v>7</v>
      </c>
      <c r="I663" s="699">
        <f t="shared" si="88"/>
        <v>2618.58</v>
      </c>
      <c r="J663" s="702">
        <f t="shared" si="89"/>
        <v>8.0399999999999991</v>
      </c>
      <c r="K663" s="709">
        <f t="shared" si="90"/>
        <v>2626.62</v>
      </c>
      <c r="R663" s="705"/>
      <c r="AA663" s="703"/>
    </row>
    <row r="664" spans="1:33" ht="24" customHeight="1">
      <c r="A664" s="720"/>
      <c r="B664" s="722"/>
      <c r="C664" s="724"/>
      <c r="D664" s="739"/>
      <c r="H664" s="697">
        <v>8</v>
      </c>
      <c r="I664" s="699">
        <f t="shared" si="88"/>
        <v>2626.62</v>
      </c>
      <c r="J664" s="702">
        <f t="shared" si="89"/>
        <v>8.0399999999999991</v>
      </c>
      <c r="K664" s="709">
        <f t="shared" si="90"/>
        <v>2634.66</v>
      </c>
      <c r="R664" s="705"/>
      <c r="AA664" s="703"/>
    </row>
    <row r="665" spans="1:33" ht="24" customHeight="1">
      <c r="A665" s="720"/>
      <c r="B665" s="722"/>
      <c r="C665" s="724"/>
      <c r="D665" s="739"/>
      <c r="H665" s="697">
        <v>9</v>
      </c>
      <c r="I665" s="699">
        <f t="shared" si="88"/>
        <v>2634.66</v>
      </c>
      <c r="J665" s="702">
        <f t="shared" si="89"/>
        <v>8.0399999999999991</v>
      </c>
      <c r="K665" s="709">
        <f t="shared" si="90"/>
        <v>2642.7</v>
      </c>
      <c r="R665" s="705"/>
      <c r="AA665" s="703"/>
    </row>
    <row r="666" spans="1:33" ht="24" customHeight="1">
      <c r="A666" s="720"/>
      <c r="B666" s="722"/>
      <c r="C666" s="724"/>
      <c r="D666" s="739"/>
      <c r="H666" s="697">
        <v>10</v>
      </c>
      <c r="I666" s="699">
        <f t="shared" si="88"/>
        <v>2642.7</v>
      </c>
      <c r="J666" s="702">
        <f t="shared" si="89"/>
        <v>8.0399999999999991</v>
      </c>
      <c r="K666" s="709">
        <f t="shared" si="90"/>
        <v>2650.74</v>
      </c>
      <c r="R666" s="705"/>
      <c r="AA666" s="703"/>
    </row>
    <row r="667" spans="1:33" ht="24" customHeight="1">
      <c r="A667" s="720"/>
      <c r="B667" s="722"/>
      <c r="C667" s="724"/>
      <c r="D667" s="739"/>
      <c r="H667" s="697">
        <v>11</v>
      </c>
      <c r="I667" s="699">
        <f t="shared" si="88"/>
        <v>2650.74</v>
      </c>
      <c r="J667" s="702">
        <f t="shared" si="89"/>
        <v>8.0399999999999991</v>
      </c>
      <c r="K667" s="709">
        <f t="shared" si="90"/>
        <v>2658.78</v>
      </c>
      <c r="R667" s="705"/>
      <c r="AA667" s="703"/>
    </row>
    <row r="668" spans="1:33" ht="24" customHeight="1">
      <c r="A668" s="720"/>
      <c r="B668" s="722"/>
      <c r="C668" s="724"/>
      <c r="D668" s="739"/>
      <c r="H668" s="697"/>
      <c r="K668" s="709"/>
      <c r="R668" s="705"/>
      <c r="AA668" s="703"/>
    </row>
    <row r="669" spans="1:33" ht="28.5" customHeight="1">
      <c r="A669" s="720" t="e">
        <f>(A660+1)</f>
        <v>#REF!</v>
      </c>
      <c r="B669" s="722" t="s">
        <v>176</v>
      </c>
      <c r="C669" s="724">
        <v>11.5</v>
      </c>
      <c r="D669" s="739">
        <v>11.7</v>
      </c>
      <c r="E669" s="699">
        <v>3.7</v>
      </c>
      <c r="F669" s="698" t="s">
        <v>1354</v>
      </c>
      <c r="H669" s="697" t="s">
        <v>768</v>
      </c>
      <c r="O669" s="697" t="s">
        <v>1776</v>
      </c>
      <c r="R669" s="710">
        <f>SUM(R649:R659)</f>
        <v>20187.43</v>
      </c>
      <c r="AA669" s="703"/>
    </row>
    <row r="670" spans="1:33" ht="24" customHeight="1">
      <c r="A670" s="720" t="e">
        <f t="shared" si="83"/>
        <v>#REF!</v>
      </c>
      <c r="B670" s="722" t="s">
        <v>177</v>
      </c>
      <c r="C670" s="737">
        <v>4</v>
      </c>
      <c r="D670" s="722" t="s">
        <v>450</v>
      </c>
      <c r="H670" s="697" t="s">
        <v>1429</v>
      </c>
      <c r="R670" s="705" t="s">
        <v>1609</v>
      </c>
      <c r="AE670" s="724" t="str">
        <f t="shared" ref="AE670:AE677" si="91">AG670</f>
        <v>|</v>
      </c>
      <c r="AG670" s="697" t="s">
        <v>2284</v>
      </c>
    </row>
    <row r="671" spans="1:33" ht="24" customHeight="1">
      <c r="A671" s="720" t="e">
        <f t="shared" si="83"/>
        <v>#REF!</v>
      </c>
      <c r="B671" s="722" t="s">
        <v>418</v>
      </c>
      <c r="C671" s="737">
        <v>5</v>
      </c>
      <c r="D671" s="722" t="s">
        <v>450</v>
      </c>
      <c r="H671" s="697" t="s">
        <v>334</v>
      </c>
      <c r="O671" s="697" t="s">
        <v>1460</v>
      </c>
      <c r="T671" s="758">
        <v>4.2</v>
      </c>
      <c r="U671" s="758" t="s">
        <v>4075</v>
      </c>
      <c r="AE671" s="724" t="str">
        <f t="shared" si="91"/>
        <v>|</v>
      </c>
      <c r="AG671" s="697" t="s">
        <v>2284</v>
      </c>
    </row>
    <row r="672" spans="1:33" ht="24" customHeight="1">
      <c r="A672" s="720" t="e">
        <f t="shared" si="83"/>
        <v>#REF!</v>
      </c>
      <c r="B672" s="722" t="s">
        <v>1621</v>
      </c>
      <c r="C672" s="737">
        <v>96</v>
      </c>
      <c r="D672" s="722" t="s">
        <v>877</v>
      </c>
      <c r="H672" s="697" t="s">
        <v>1525</v>
      </c>
      <c r="N672" s="697" t="s">
        <v>2276</v>
      </c>
      <c r="O672" s="697" t="s">
        <v>1623</v>
      </c>
      <c r="S672" s="703">
        <v>5</v>
      </c>
      <c r="T672" s="699" t="s">
        <v>1361</v>
      </c>
      <c r="U672" s="699" t="s">
        <v>5232</v>
      </c>
      <c r="V672" s="699">
        <f>V702</f>
        <v>1679.5</v>
      </c>
      <c r="X672" s="699">
        <f>V672*S672</f>
        <v>8397.5</v>
      </c>
      <c r="AE672" s="724" t="str">
        <f t="shared" si="91"/>
        <v>|</v>
      </c>
      <c r="AG672" s="697" t="s">
        <v>2284</v>
      </c>
    </row>
    <row r="673" spans="1:33" ht="24" customHeight="1">
      <c r="A673" s="720" t="e">
        <f t="shared" si="83"/>
        <v>#REF!</v>
      </c>
      <c r="B673" s="722" t="s">
        <v>1624</v>
      </c>
      <c r="C673" s="737">
        <v>75</v>
      </c>
      <c r="D673" s="722" t="s">
        <v>877</v>
      </c>
      <c r="H673" s="697" t="s">
        <v>172</v>
      </c>
      <c r="O673" s="697" t="s">
        <v>1625</v>
      </c>
      <c r="S673" s="703">
        <v>3.3</v>
      </c>
      <c r="T673" s="699" t="s">
        <v>1361</v>
      </c>
      <c r="U673" s="699" t="s">
        <v>5233</v>
      </c>
      <c r="V673" s="699">
        <f t="shared" ref="V673:V682" si="92">V703</f>
        <v>1400.5</v>
      </c>
      <c r="X673" s="699">
        <f t="shared" ref="X673:X679" si="93">V673*S673</f>
        <v>4621.6499999999996</v>
      </c>
      <c r="AE673" s="724" t="str">
        <f t="shared" si="91"/>
        <v>|</v>
      </c>
      <c r="AG673" s="697" t="s">
        <v>2284</v>
      </c>
    </row>
    <row r="674" spans="1:33" ht="24" customHeight="1">
      <c r="A674" s="720" t="e">
        <f t="shared" si="83"/>
        <v>#REF!</v>
      </c>
      <c r="B674" s="722" t="s">
        <v>1626</v>
      </c>
      <c r="C674" s="724">
        <v>32.700000000000003</v>
      </c>
      <c r="D674" s="724">
        <v>40.9</v>
      </c>
      <c r="E674" s="699">
        <v>3</v>
      </c>
      <c r="H674" s="697" t="s">
        <v>174</v>
      </c>
      <c r="O674" s="705" t="s">
        <v>1609</v>
      </c>
      <c r="S674" s="703">
        <v>4.79</v>
      </c>
      <c r="T674" s="699" t="s">
        <v>1361</v>
      </c>
      <c r="U674" s="699" t="s">
        <v>5371</v>
      </c>
      <c r="V674" s="699">
        <f t="shared" si="92"/>
        <v>1511.1</v>
      </c>
      <c r="X674" s="699">
        <f t="shared" si="93"/>
        <v>7238.17</v>
      </c>
      <c r="AE674" s="724" t="str">
        <f t="shared" si="91"/>
        <v>|</v>
      </c>
      <c r="AG674" s="697" t="s">
        <v>2284</v>
      </c>
    </row>
    <row r="675" spans="1:33" ht="24" customHeight="1">
      <c r="A675" s="720" t="e">
        <f t="shared" si="83"/>
        <v>#REF!</v>
      </c>
      <c r="B675" s="722" t="s">
        <v>1603</v>
      </c>
      <c r="C675" s="737">
        <v>80</v>
      </c>
      <c r="D675" s="722" t="s">
        <v>877</v>
      </c>
      <c r="H675" s="697" t="s">
        <v>175</v>
      </c>
      <c r="M675" s="710">
        <v>1</v>
      </c>
      <c r="N675" s="697" t="s">
        <v>877</v>
      </c>
      <c r="O675" s="697" t="s">
        <v>1605</v>
      </c>
      <c r="P675" s="710">
        <f>(C380)</f>
        <v>14.91</v>
      </c>
      <c r="Q675" s="697" t="s">
        <v>877</v>
      </c>
      <c r="R675" s="710">
        <f>(M675*P675)</f>
        <v>14.91</v>
      </c>
      <c r="S675" s="703">
        <v>4</v>
      </c>
      <c r="T675" s="699" t="s">
        <v>530</v>
      </c>
      <c r="U675" s="699" t="s">
        <v>390</v>
      </c>
      <c r="V675" s="699">
        <f t="shared" si="92"/>
        <v>5960</v>
      </c>
      <c r="X675" s="699">
        <f t="shared" si="93"/>
        <v>23840</v>
      </c>
      <c r="AE675" s="724" t="str">
        <f t="shared" si="91"/>
        <v>|</v>
      </c>
      <c r="AG675" s="697" t="s">
        <v>2284</v>
      </c>
    </row>
    <row r="676" spans="1:33" ht="24" customHeight="1">
      <c r="A676" s="720" t="e">
        <f t="shared" si="83"/>
        <v>#REF!</v>
      </c>
      <c r="B676" s="722" t="s">
        <v>137</v>
      </c>
      <c r="C676" s="737">
        <v>64</v>
      </c>
      <c r="D676" s="722" t="s">
        <v>877</v>
      </c>
      <c r="H676" s="705" t="s">
        <v>1609</v>
      </c>
      <c r="I676" s="705" t="s">
        <v>1609</v>
      </c>
      <c r="N676" s="697" t="s">
        <v>450</v>
      </c>
      <c r="O676" s="697" t="s">
        <v>138</v>
      </c>
      <c r="Q676" s="697" t="s">
        <v>450</v>
      </c>
      <c r="R676" s="710">
        <v>2.09</v>
      </c>
      <c r="S676" s="703">
        <v>40</v>
      </c>
      <c r="T676" s="699" t="s">
        <v>1670</v>
      </c>
      <c r="U676" s="699" t="s">
        <v>4092</v>
      </c>
      <c r="V676" s="699">
        <f>V645</f>
        <v>42.8</v>
      </c>
      <c r="X676" s="699">
        <f t="shared" si="93"/>
        <v>1712</v>
      </c>
      <c r="AE676" s="724" t="str">
        <f t="shared" si="91"/>
        <v>|</v>
      </c>
      <c r="AG676" s="697" t="s">
        <v>2284</v>
      </c>
    </row>
    <row r="677" spans="1:33" ht="24" customHeight="1">
      <c r="A677" s="720" t="e">
        <f t="shared" si="83"/>
        <v>#REF!</v>
      </c>
      <c r="B677" s="722" t="s">
        <v>139</v>
      </c>
      <c r="C677" s="737">
        <v>40.5</v>
      </c>
      <c r="D677" s="722" t="s">
        <v>877</v>
      </c>
      <c r="F677" s="710">
        <v>1</v>
      </c>
      <c r="G677" s="708" t="s">
        <v>615</v>
      </c>
      <c r="H677" s="697" t="s">
        <v>178</v>
      </c>
      <c r="I677" s="710">
        <f>D73</f>
        <v>290</v>
      </c>
      <c r="J677" s="697" t="s">
        <v>615</v>
      </c>
      <c r="K677" s="710">
        <f>(F677*I677)</f>
        <v>290</v>
      </c>
      <c r="O677" s="697" t="s">
        <v>140</v>
      </c>
      <c r="R677" s="697" t="s">
        <v>987</v>
      </c>
      <c r="S677" s="703">
        <v>3.5</v>
      </c>
      <c r="T677" s="699" t="s">
        <v>1452</v>
      </c>
      <c r="U677" s="699" t="s">
        <v>466</v>
      </c>
      <c r="V677" s="699">
        <f t="shared" si="92"/>
        <v>804</v>
      </c>
      <c r="X677" s="699">
        <f>V677*S677</f>
        <v>2814</v>
      </c>
      <c r="AE677" s="724" t="str">
        <f t="shared" si="91"/>
        <v>|</v>
      </c>
      <c r="AG677" s="697" t="s">
        <v>2284</v>
      </c>
    </row>
    <row r="678" spans="1:33" ht="24" customHeight="1">
      <c r="A678" s="720" t="e">
        <f t="shared" si="83"/>
        <v>#REF!</v>
      </c>
      <c r="B678" s="722" t="s">
        <v>1483</v>
      </c>
      <c r="C678" s="737">
        <v>92</v>
      </c>
      <c r="D678" s="722" t="s">
        <v>877</v>
      </c>
      <c r="F678" s="710">
        <v>1</v>
      </c>
      <c r="G678" s="708" t="s">
        <v>615</v>
      </c>
      <c r="H678" s="697" t="s">
        <v>1459</v>
      </c>
      <c r="I678" s="710">
        <f>C72</f>
        <v>175</v>
      </c>
      <c r="J678" s="697" t="s">
        <v>615</v>
      </c>
      <c r="K678" s="710">
        <f>(F678*I678)</f>
        <v>175</v>
      </c>
      <c r="R678" s="705" t="s">
        <v>1609</v>
      </c>
      <c r="S678" s="703">
        <v>21.2</v>
      </c>
      <c r="T678" s="699" t="s">
        <v>1452</v>
      </c>
      <c r="U678" s="699" t="s">
        <v>3523</v>
      </c>
      <c r="V678" s="699">
        <f t="shared" si="92"/>
        <v>562</v>
      </c>
      <c r="X678" s="699">
        <f t="shared" si="93"/>
        <v>11914.4</v>
      </c>
      <c r="AE678" s="724">
        <f>32.32*100</f>
        <v>3232</v>
      </c>
      <c r="AG678" s="697" t="s">
        <v>2284</v>
      </c>
    </row>
    <row r="679" spans="1:33" ht="24" customHeight="1">
      <c r="A679" s="720" t="e">
        <f t="shared" si="83"/>
        <v>#REF!</v>
      </c>
      <c r="B679" s="722" t="s">
        <v>1587</v>
      </c>
      <c r="C679" s="737">
        <v>60</v>
      </c>
      <c r="D679" s="722" t="s">
        <v>877</v>
      </c>
      <c r="F679" s="710">
        <v>1</v>
      </c>
      <c r="G679" s="708" t="s">
        <v>450</v>
      </c>
      <c r="H679" s="697" t="s">
        <v>1622</v>
      </c>
      <c r="I679" s="774">
        <v>15</v>
      </c>
      <c r="J679" s="697" t="s">
        <v>450</v>
      </c>
      <c r="K679" s="710">
        <f>(F679*I679)</f>
        <v>15</v>
      </c>
      <c r="O679" s="697" t="s">
        <v>1588</v>
      </c>
      <c r="R679" s="710">
        <f>SUM(R675:R677)</f>
        <v>17</v>
      </c>
      <c r="S679" s="703">
        <v>35.299999999999997</v>
      </c>
      <c r="T679" s="699" t="s">
        <v>1452</v>
      </c>
      <c r="U679" s="699" t="s">
        <v>3524</v>
      </c>
      <c r="V679" s="699">
        <f>V709</f>
        <v>461</v>
      </c>
      <c r="X679" s="699">
        <f t="shared" si="93"/>
        <v>16273.3</v>
      </c>
      <c r="AE679" s="724">
        <f>48.824*100</f>
        <v>4882.3999999999996</v>
      </c>
      <c r="AG679" s="697" t="s">
        <v>2284</v>
      </c>
    </row>
    <row r="680" spans="1:33" ht="24" customHeight="1">
      <c r="A680" s="720" t="e">
        <f t="shared" si="83"/>
        <v>#REF!</v>
      </c>
      <c r="B680" s="722" t="s">
        <v>1383</v>
      </c>
      <c r="C680" s="737">
        <v>49.87</v>
      </c>
      <c r="D680" s="722" t="s">
        <v>877</v>
      </c>
      <c r="K680" s="705" t="s">
        <v>1609</v>
      </c>
      <c r="R680" s="705" t="s">
        <v>1609</v>
      </c>
      <c r="U680" s="758" t="s">
        <v>4087</v>
      </c>
      <c r="X680" s="758">
        <f>SUM(X672:X679)</f>
        <v>76811.02</v>
      </c>
      <c r="AA680" s="703">
        <f>22.77+26.054</f>
        <v>48.823999999999998</v>
      </c>
      <c r="AE680" s="724">
        <f>0.52*100</f>
        <v>52</v>
      </c>
      <c r="AG680" s="697" t="s">
        <v>2284</v>
      </c>
    </row>
    <row r="681" spans="1:33" ht="24" customHeight="1">
      <c r="A681" s="720" t="e">
        <f t="shared" si="83"/>
        <v>#REF!</v>
      </c>
      <c r="B681" s="722" t="s">
        <v>1840</v>
      </c>
      <c r="C681" s="737">
        <v>80</v>
      </c>
      <c r="D681" s="722" t="s">
        <v>877</v>
      </c>
      <c r="H681" s="697" t="s">
        <v>556</v>
      </c>
      <c r="K681" s="710">
        <f>SUM(K675:K679)</f>
        <v>480</v>
      </c>
      <c r="U681" s="758" t="s">
        <v>4088</v>
      </c>
      <c r="X681" s="758">
        <f>X680/10</f>
        <v>7681.1</v>
      </c>
      <c r="Y681" s="699">
        <f>X681</f>
        <v>7681.1</v>
      </c>
      <c r="AC681" s="699">
        <f>26.19*0.02</f>
        <v>0.52</v>
      </c>
      <c r="AE681" s="724">
        <f>0.397*100</f>
        <v>39.700000000000003</v>
      </c>
      <c r="AF681" s="699">
        <f>AE678+AE679+AE680+AE681</f>
        <v>8206.1</v>
      </c>
      <c r="AG681" s="697" t="s">
        <v>2284</v>
      </c>
    </row>
    <row r="682" spans="1:33" ht="24" customHeight="1">
      <c r="A682" s="720" t="e">
        <f t="shared" si="83"/>
        <v>#REF!</v>
      </c>
      <c r="B682" s="722" t="s">
        <v>1842</v>
      </c>
      <c r="C682" s="737">
        <v>52</v>
      </c>
      <c r="D682" s="722" t="s">
        <v>877</v>
      </c>
      <c r="H682" s="697" t="s">
        <v>1604</v>
      </c>
      <c r="K682" s="705" t="s">
        <v>2080</v>
      </c>
      <c r="N682" s="697" t="s">
        <v>2276</v>
      </c>
      <c r="O682" s="697" t="s">
        <v>903</v>
      </c>
      <c r="S682" s="703">
        <v>1</v>
      </c>
      <c r="T682" s="699" t="s">
        <v>1361</v>
      </c>
      <c r="U682" s="699" t="s">
        <v>4116</v>
      </c>
      <c r="V682" s="699">
        <f t="shared" si="92"/>
        <v>81.3</v>
      </c>
      <c r="X682" s="699">
        <f>V682</f>
        <v>81.3</v>
      </c>
      <c r="AC682" s="703">
        <f>9.92*0.04</f>
        <v>0.39700000000000002</v>
      </c>
      <c r="AE682" s="724" t="str">
        <f t="shared" ref="AE682:AE692" si="94">AG682</f>
        <v>|</v>
      </c>
      <c r="AG682" s="697" t="s">
        <v>2284</v>
      </c>
    </row>
    <row r="683" spans="1:33" ht="24" customHeight="1">
      <c r="A683" s="720" t="e">
        <f t="shared" si="83"/>
        <v>#REF!</v>
      </c>
      <c r="B683" s="722" t="s">
        <v>1200</v>
      </c>
      <c r="C683" s="737">
        <v>39</v>
      </c>
      <c r="D683" s="722" t="s">
        <v>877</v>
      </c>
      <c r="H683" s="697" t="s">
        <v>386</v>
      </c>
      <c r="I683" s="699">
        <f>K681</f>
        <v>480</v>
      </c>
      <c r="J683" s="702">
        <f>C17*0.05</f>
        <v>3.57</v>
      </c>
      <c r="K683" s="709">
        <f>I683+J683</f>
        <v>483.57</v>
      </c>
      <c r="O683" s="697" t="s">
        <v>1625</v>
      </c>
      <c r="U683" s="699" t="s">
        <v>4089</v>
      </c>
      <c r="X683" s="758">
        <f>SUM(X681:X682)</f>
        <v>7762.4</v>
      </c>
      <c r="Y683" s="699">
        <f>SUM(Y681:Y682)</f>
        <v>7681.1</v>
      </c>
      <c r="AE683" s="724" t="str">
        <f t="shared" si="94"/>
        <v>|</v>
      </c>
      <c r="AF683" s="699">
        <f>SUM(AF681:AF682)</f>
        <v>8206.1</v>
      </c>
      <c r="AG683" s="697" t="s">
        <v>2284</v>
      </c>
    </row>
    <row r="684" spans="1:33" ht="24" customHeight="1">
      <c r="A684" s="720" t="e">
        <f t="shared" si="83"/>
        <v>#REF!</v>
      </c>
      <c r="B684" s="722" t="s">
        <v>1271</v>
      </c>
      <c r="C684" s="737">
        <v>90</v>
      </c>
      <c r="D684" s="722" t="s">
        <v>877</v>
      </c>
      <c r="H684" s="697" t="s">
        <v>388</v>
      </c>
      <c r="I684" s="699">
        <f>K683</f>
        <v>483.57</v>
      </c>
      <c r="J684" s="702">
        <f>C18*0.05</f>
        <v>7.2</v>
      </c>
      <c r="K684" s="709">
        <f>I684+J684</f>
        <v>490.77</v>
      </c>
      <c r="O684" s="705" t="s">
        <v>1609</v>
      </c>
      <c r="S684" s="810" t="s">
        <v>663</v>
      </c>
      <c r="U684" s="699" t="s">
        <v>4090</v>
      </c>
      <c r="V684" s="810" t="s">
        <v>663</v>
      </c>
      <c r="X684" s="699">
        <f>X683*0.5%</f>
        <v>38.81</v>
      </c>
      <c r="Y684" s="699">
        <f>Y683*0.5/100</f>
        <v>38.409999999999997</v>
      </c>
      <c r="AE684" s="724" t="str">
        <f t="shared" si="94"/>
        <v>|</v>
      </c>
      <c r="AF684" s="699">
        <f>AF683/185.82</f>
        <v>44.16</v>
      </c>
      <c r="AG684" s="697" t="s">
        <v>2284</v>
      </c>
    </row>
    <row r="685" spans="1:33" ht="30.75" customHeight="1">
      <c r="A685" s="720" t="e">
        <f t="shared" si="83"/>
        <v>#REF!</v>
      </c>
      <c r="B685" s="722" t="s">
        <v>1272</v>
      </c>
      <c r="C685" s="737">
        <v>60</v>
      </c>
      <c r="D685" s="722" t="s">
        <v>877</v>
      </c>
      <c r="H685" s="697" t="s">
        <v>2257</v>
      </c>
      <c r="I685" s="699">
        <f>K684</f>
        <v>490.77</v>
      </c>
      <c r="J685" s="702">
        <f>J684</f>
        <v>7.2</v>
      </c>
      <c r="K685" s="709">
        <f>I685+J685</f>
        <v>497.97</v>
      </c>
      <c r="M685" s="710">
        <v>1</v>
      </c>
      <c r="N685" s="697" t="s">
        <v>877</v>
      </c>
      <c r="O685" s="697" t="s">
        <v>1102</v>
      </c>
      <c r="P685" s="710">
        <f>(C381)</f>
        <v>17.579999999999998</v>
      </c>
      <c r="Q685" s="697" t="s">
        <v>877</v>
      </c>
      <c r="R685" s="710">
        <f>(M685*P685)</f>
        <v>17.579999999999998</v>
      </c>
      <c r="T685" s="700"/>
      <c r="U685" s="758" t="s">
        <v>3637</v>
      </c>
      <c r="W685" s="702"/>
      <c r="X685" s="709">
        <f>SUM(X683:X684)</f>
        <v>7801.21</v>
      </c>
      <c r="Y685" s="758">
        <f>SUM(Y683:Y684)</f>
        <v>7719.51</v>
      </c>
      <c r="Z685" s="811" t="s">
        <v>4101</v>
      </c>
      <c r="AE685" s="724" t="str">
        <f t="shared" si="94"/>
        <v>|</v>
      </c>
      <c r="AF685" s="699">
        <f>AF683/1000</f>
        <v>8.2100000000000009</v>
      </c>
      <c r="AG685" s="697" t="s">
        <v>2284</v>
      </c>
    </row>
    <row r="686" spans="1:33" ht="17.25" customHeight="1">
      <c r="A686" s="720" t="e">
        <f t="shared" si="83"/>
        <v>#REF!</v>
      </c>
      <c r="B686" s="722" t="s">
        <v>1103</v>
      </c>
      <c r="C686" s="737">
        <v>43.5</v>
      </c>
      <c r="D686" s="722" t="s">
        <v>877</v>
      </c>
      <c r="H686" s="697" t="s">
        <v>380</v>
      </c>
      <c r="I686" s="699">
        <f>K685</f>
        <v>497.97</v>
      </c>
      <c r="J686" s="702">
        <f>J685</f>
        <v>7.2</v>
      </c>
      <c r="K686" s="709">
        <f>I686+J686</f>
        <v>505.17</v>
      </c>
      <c r="N686" s="697" t="s">
        <v>450</v>
      </c>
      <c r="O686" s="697" t="s">
        <v>138</v>
      </c>
      <c r="Q686" s="697" t="s">
        <v>450</v>
      </c>
      <c r="R686" s="710">
        <v>2.09</v>
      </c>
      <c r="T686" s="700"/>
      <c r="W686" s="702"/>
      <c r="X686" s="705" t="s">
        <v>1609</v>
      </c>
      <c r="AE686" s="724" t="str">
        <f t="shared" si="94"/>
        <v>|</v>
      </c>
      <c r="AF686" s="699">
        <f>185.82*10.764</f>
        <v>2000.17</v>
      </c>
      <c r="AG686" s="697" t="s">
        <v>2284</v>
      </c>
    </row>
    <row r="687" spans="1:33" ht="24" customHeight="1">
      <c r="A687" s="720" t="e">
        <f t="shared" si="83"/>
        <v>#REF!</v>
      </c>
      <c r="B687" s="722" t="s">
        <v>246</v>
      </c>
      <c r="C687" s="737">
        <v>75</v>
      </c>
      <c r="D687" s="722" t="s">
        <v>877</v>
      </c>
      <c r="H687" s="697" t="s">
        <v>1384</v>
      </c>
      <c r="I687" s="699">
        <f>K686</f>
        <v>505.17</v>
      </c>
      <c r="J687" s="702">
        <f>J686</f>
        <v>7.2</v>
      </c>
      <c r="K687" s="709">
        <f>I687+J687</f>
        <v>512.37</v>
      </c>
      <c r="O687" s="697" t="s">
        <v>140</v>
      </c>
      <c r="R687" s="697" t="s">
        <v>987</v>
      </c>
      <c r="T687" s="700"/>
      <c r="U687" s="697" t="s">
        <v>386</v>
      </c>
      <c r="W687" s="702"/>
      <c r="X687" s="709">
        <f>(X685+C20)</f>
        <v>7909.68</v>
      </c>
      <c r="AE687" s="724" t="str">
        <f t="shared" si="94"/>
        <v>|</v>
      </c>
      <c r="AF687" s="699">
        <f>AF683/AF686</f>
        <v>4.0999999999999996</v>
      </c>
      <c r="AG687" s="697" t="s">
        <v>2284</v>
      </c>
    </row>
    <row r="688" spans="1:33" ht="24" customHeight="1">
      <c r="A688" s="720" t="e">
        <f t="shared" si="83"/>
        <v>#REF!</v>
      </c>
      <c r="B688" s="722" t="s">
        <v>2050</v>
      </c>
      <c r="C688" s="737">
        <v>52</v>
      </c>
      <c r="D688" s="722" t="s">
        <v>877</v>
      </c>
      <c r="F688" s="698" t="s">
        <v>1841</v>
      </c>
      <c r="H688" s="697" t="s">
        <v>768</v>
      </c>
      <c r="R688" s="705" t="s">
        <v>1609</v>
      </c>
      <c r="T688" s="700"/>
      <c r="U688" s="697" t="s">
        <v>388</v>
      </c>
      <c r="W688" s="702"/>
      <c r="X688" s="709">
        <f>(X687+C22)</f>
        <v>8123.36</v>
      </c>
      <c r="AE688" s="724" t="str">
        <f t="shared" si="94"/>
        <v>|</v>
      </c>
      <c r="AF688" s="699">
        <f>924.2/8.21</f>
        <v>112.57</v>
      </c>
      <c r="AG688" s="697" t="s">
        <v>2284</v>
      </c>
    </row>
    <row r="689" spans="1:33" ht="24" customHeight="1">
      <c r="A689" s="720" t="e">
        <f t="shared" si="83"/>
        <v>#REF!</v>
      </c>
      <c r="B689" s="722" t="s">
        <v>1200</v>
      </c>
      <c r="C689" s="737">
        <v>35.25</v>
      </c>
      <c r="D689" s="722" t="s">
        <v>877</v>
      </c>
      <c r="H689" s="697" t="s">
        <v>1843</v>
      </c>
      <c r="O689" s="697" t="s">
        <v>1588</v>
      </c>
      <c r="R689" s="710">
        <f>SUM(R685:R687)</f>
        <v>19.670000000000002</v>
      </c>
      <c r="T689" s="700"/>
      <c r="U689" s="697" t="s">
        <v>2257</v>
      </c>
      <c r="W689" s="702"/>
      <c r="X689" s="709">
        <f>(X688+C22)</f>
        <v>8337.0400000000009</v>
      </c>
      <c r="AE689" s="724" t="str">
        <f t="shared" si="94"/>
        <v>|</v>
      </c>
      <c r="AG689" s="697" t="s">
        <v>2284</v>
      </c>
    </row>
    <row r="690" spans="1:33" ht="24" customHeight="1">
      <c r="A690" s="720" t="e">
        <f t="shared" si="83"/>
        <v>#REF!</v>
      </c>
      <c r="B690" s="722" t="s">
        <v>937</v>
      </c>
      <c r="C690" s="737">
        <v>37.5</v>
      </c>
      <c r="D690" s="722" t="s">
        <v>877</v>
      </c>
      <c r="H690" s="697" t="s">
        <v>334</v>
      </c>
      <c r="R690" s="705" t="s">
        <v>1609</v>
      </c>
      <c r="T690" s="700"/>
      <c r="U690" s="697" t="s">
        <v>380</v>
      </c>
      <c r="W690" s="702"/>
      <c r="X690" s="709">
        <f>(X689+C22)</f>
        <v>8550.7199999999993</v>
      </c>
      <c r="AE690" s="724" t="str">
        <f t="shared" si="94"/>
        <v>|</v>
      </c>
      <c r="AG690" s="697" t="s">
        <v>2284</v>
      </c>
    </row>
    <row r="691" spans="1:33" ht="24" customHeight="1">
      <c r="A691" s="720" t="e">
        <f t="shared" si="83"/>
        <v>#REF!</v>
      </c>
      <c r="B691" s="722" t="s">
        <v>938</v>
      </c>
      <c r="C691" s="737">
        <v>24</v>
      </c>
      <c r="D691" s="722" t="s">
        <v>877</v>
      </c>
      <c r="H691" s="697" t="s">
        <v>1525</v>
      </c>
      <c r="O691" s="699" t="s">
        <v>248</v>
      </c>
      <c r="T691" s="700"/>
      <c r="U691" s="697" t="s">
        <v>1554</v>
      </c>
      <c r="W691" s="702"/>
      <c r="X691" s="709">
        <f>(X690+C22)</f>
        <v>8764.4</v>
      </c>
      <c r="AE691" s="724" t="str">
        <f t="shared" si="94"/>
        <v>|</v>
      </c>
      <c r="AG691" s="697" t="s">
        <v>2284</v>
      </c>
    </row>
    <row r="692" spans="1:33" ht="24" customHeight="1">
      <c r="A692" s="720" t="e">
        <f t="shared" si="83"/>
        <v>#REF!</v>
      </c>
      <c r="B692" s="722" t="s">
        <v>939</v>
      </c>
      <c r="C692" s="737">
        <v>16</v>
      </c>
      <c r="D692" s="722" t="s">
        <v>877</v>
      </c>
      <c r="H692" s="697" t="s">
        <v>172</v>
      </c>
      <c r="N692" s="697" t="s">
        <v>2276</v>
      </c>
      <c r="O692" s="697" t="s">
        <v>482</v>
      </c>
      <c r="X692" s="699">
        <f>X691+C22</f>
        <v>8978.08</v>
      </c>
      <c r="AE692" s="724" t="str">
        <f t="shared" si="94"/>
        <v>|</v>
      </c>
      <c r="AG692" s="697" t="s">
        <v>2284</v>
      </c>
    </row>
    <row r="693" spans="1:33" ht="24" customHeight="1">
      <c r="A693" s="720" t="e">
        <f t="shared" si="83"/>
        <v>#REF!</v>
      </c>
      <c r="B693" s="697" t="s">
        <v>4983</v>
      </c>
      <c r="C693" s="724">
        <v>31.8</v>
      </c>
      <c r="D693" s="722" t="s">
        <v>877</v>
      </c>
      <c r="H693" s="697" t="s">
        <v>174</v>
      </c>
      <c r="O693" s="697" t="s">
        <v>1625</v>
      </c>
      <c r="X693" s="699">
        <f>X692+C22</f>
        <v>9191.76</v>
      </c>
      <c r="AE693" s="724" t="str">
        <f t="shared" ref="AE693:AE756" si="95">AG693</f>
        <v>|</v>
      </c>
      <c r="AG693" s="697" t="s">
        <v>2284</v>
      </c>
    </row>
    <row r="694" spans="1:33" ht="24" customHeight="1">
      <c r="A694" s="720" t="e">
        <f t="shared" si="83"/>
        <v>#REF!</v>
      </c>
      <c r="B694" s="722" t="s">
        <v>3931</v>
      </c>
      <c r="C694" s="737">
        <v>6</v>
      </c>
      <c r="D694" s="722" t="s">
        <v>877</v>
      </c>
      <c r="H694" s="697" t="s">
        <v>2096</v>
      </c>
      <c r="O694" s="705" t="s">
        <v>1609</v>
      </c>
      <c r="X694" s="699">
        <f>X693+C22</f>
        <v>9405.44</v>
      </c>
      <c r="AE694" s="724" t="str">
        <f t="shared" si="95"/>
        <v>|</v>
      </c>
      <c r="AG694" s="697" t="s">
        <v>2284</v>
      </c>
    </row>
    <row r="695" spans="1:33" ht="24" customHeight="1">
      <c r="A695" s="720" t="e">
        <f t="shared" si="83"/>
        <v>#REF!</v>
      </c>
      <c r="B695" s="722" t="s">
        <v>128</v>
      </c>
      <c r="C695" s="721">
        <v>152.5</v>
      </c>
      <c r="D695" s="722" t="s">
        <v>1796</v>
      </c>
      <c r="E695" s="744">
        <v>98.6</v>
      </c>
      <c r="F695" s="699" t="s">
        <v>4747</v>
      </c>
      <c r="H695" s="705" t="s">
        <v>1609</v>
      </c>
      <c r="I695" s="705" t="s">
        <v>1609</v>
      </c>
      <c r="M695" s="710">
        <v>1</v>
      </c>
      <c r="N695" s="697" t="s">
        <v>877</v>
      </c>
      <c r="O695" s="697" t="s">
        <v>486</v>
      </c>
      <c r="P695" s="710">
        <f>(C382)</f>
        <v>19.3</v>
      </c>
      <c r="Q695" s="697" t="s">
        <v>877</v>
      </c>
      <c r="R695" s="710">
        <f>(M695*P695)</f>
        <v>19.3</v>
      </c>
      <c r="X695" s="699">
        <f>X694+C22</f>
        <v>9619.1200000000008</v>
      </c>
      <c r="AE695" s="724" t="str">
        <f t="shared" si="95"/>
        <v>|</v>
      </c>
      <c r="AG695" s="697" t="s">
        <v>2284</v>
      </c>
    </row>
    <row r="696" spans="1:33" ht="24" customHeight="1">
      <c r="A696" s="720" t="e">
        <f t="shared" si="83"/>
        <v>#REF!</v>
      </c>
      <c r="B696" s="697" t="s">
        <v>4984</v>
      </c>
      <c r="C696" s="718">
        <v>366</v>
      </c>
      <c r="D696" s="722" t="s">
        <v>877</v>
      </c>
      <c r="F696" s="710">
        <v>1</v>
      </c>
      <c r="G696" s="708" t="s">
        <v>615</v>
      </c>
      <c r="H696" s="697" t="s">
        <v>936</v>
      </c>
      <c r="I696" s="710">
        <f>C73</f>
        <v>460</v>
      </c>
      <c r="J696" s="697" t="s">
        <v>615</v>
      </c>
      <c r="K696" s="710">
        <f>(F696*I696)</f>
        <v>460</v>
      </c>
      <c r="N696" s="697" t="s">
        <v>450</v>
      </c>
      <c r="O696" s="697" t="s">
        <v>138</v>
      </c>
      <c r="Q696" s="697" t="s">
        <v>450</v>
      </c>
      <c r="R696" s="710">
        <v>2.09</v>
      </c>
      <c r="X696" s="699">
        <f>X695+C22</f>
        <v>9832.7999999999993</v>
      </c>
      <c r="AE696" s="724" t="str">
        <f t="shared" si="95"/>
        <v>|</v>
      </c>
      <c r="AG696" s="697" t="s">
        <v>2284</v>
      </c>
    </row>
    <row r="697" spans="1:33" ht="24" customHeight="1">
      <c r="A697" s="720" t="e">
        <f t="shared" si="83"/>
        <v>#REF!</v>
      </c>
      <c r="B697" s="697" t="s">
        <v>552</v>
      </c>
      <c r="C697" s="718">
        <v>256</v>
      </c>
      <c r="D697" s="722" t="s">
        <v>877</v>
      </c>
      <c r="F697" s="710">
        <v>1</v>
      </c>
      <c r="G697" s="708" t="s">
        <v>615</v>
      </c>
      <c r="H697" s="697" t="s">
        <v>1459</v>
      </c>
      <c r="I697" s="710">
        <f>C72</f>
        <v>175</v>
      </c>
      <c r="J697" s="697" t="s">
        <v>615</v>
      </c>
      <c r="K697" s="710">
        <f>(F697*I697)</f>
        <v>175</v>
      </c>
      <c r="O697" s="697" t="s">
        <v>140</v>
      </c>
      <c r="R697" s="697" t="s">
        <v>987</v>
      </c>
      <c r="X697" s="699">
        <f>X696+C22</f>
        <v>10046.48</v>
      </c>
      <c r="AE697" s="724" t="str">
        <f t="shared" si="95"/>
        <v>|</v>
      </c>
      <c r="AG697" s="697" t="s">
        <v>2284</v>
      </c>
    </row>
    <row r="698" spans="1:33" ht="24" customHeight="1">
      <c r="A698" s="720" t="e">
        <f t="shared" si="83"/>
        <v>#REF!</v>
      </c>
      <c r="B698" s="697" t="s">
        <v>553</v>
      </c>
      <c r="C698" s="718">
        <v>768.6</v>
      </c>
      <c r="D698" s="722" t="s">
        <v>877</v>
      </c>
      <c r="F698" s="710">
        <v>1</v>
      </c>
      <c r="G698" s="708" t="s">
        <v>450</v>
      </c>
      <c r="H698" s="697" t="s">
        <v>1622</v>
      </c>
      <c r="I698" s="774">
        <v>15</v>
      </c>
      <c r="J698" s="697" t="s">
        <v>450</v>
      </c>
      <c r="K698" s="710">
        <f>(F698*I698)</f>
        <v>15</v>
      </c>
      <c r="R698" s="705" t="s">
        <v>1609</v>
      </c>
      <c r="X698" s="699">
        <f>X697+C22</f>
        <v>10260.16</v>
      </c>
      <c r="AE698" s="724" t="str">
        <f t="shared" si="95"/>
        <v>|</v>
      </c>
      <c r="AG698" s="697" t="s">
        <v>2284</v>
      </c>
    </row>
    <row r="699" spans="1:33" ht="24" customHeight="1">
      <c r="A699" s="720" t="e">
        <f t="shared" si="83"/>
        <v>#REF!</v>
      </c>
      <c r="B699" s="697" t="s">
        <v>554</v>
      </c>
      <c r="C699" s="718">
        <v>129</v>
      </c>
      <c r="D699" s="722" t="s">
        <v>877</v>
      </c>
      <c r="H699" s="697" t="s">
        <v>451</v>
      </c>
      <c r="J699" s="697" t="s">
        <v>450</v>
      </c>
      <c r="K699" s="710">
        <v>0</v>
      </c>
      <c r="O699" s="697" t="s">
        <v>1588</v>
      </c>
      <c r="R699" s="710">
        <f>SUM(R695:R697)</f>
        <v>21.39</v>
      </c>
      <c r="X699" s="699">
        <f>X698+C22</f>
        <v>10473.84</v>
      </c>
      <c r="AE699" s="724" t="str">
        <f t="shared" si="95"/>
        <v>|</v>
      </c>
      <c r="AG699" s="697" t="s">
        <v>2284</v>
      </c>
    </row>
    <row r="700" spans="1:33" ht="24" customHeight="1">
      <c r="A700" s="720" t="e">
        <f t="shared" si="83"/>
        <v>#REF!</v>
      </c>
      <c r="B700" s="697" t="s">
        <v>188</v>
      </c>
      <c r="C700" s="718">
        <v>515.54999999999995</v>
      </c>
      <c r="D700" s="722" t="s">
        <v>877</v>
      </c>
      <c r="K700" s="705" t="s">
        <v>1609</v>
      </c>
      <c r="R700" s="705" t="s">
        <v>1609</v>
      </c>
      <c r="AE700" s="724" t="str">
        <f t="shared" si="95"/>
        <v>|</v>
      </c>
      <c r="AG700" s="697" t="s">
        <v>2284</v>
      </c>
    </row>
    <row r="701" spans="1:33" ht="24" customHeight="1">
      <c r="A701" s="734"/>
      <c r="B701" s="699" t="s">
        <v>4985</v>
      </c>
      <c r="C701" s="744">
        <v>3167</v>
      </c>
      <c r="D701" s="734" t="s">
        <v>615</v>
      </c>
      <c r="H701" s="697" t="s">
        <v>556</v>
      </c>
      <c r="K701" s="710">
        <f>SUM(K696:K699)</f>
        <v>650</v>
      </c>
      <c r="U701" s="758" t="s">
        <v>4076</v>
      </c>
      <c r="AE701" s="724" t="str">
        <f t="shared" si="95"/>
        <v>|</v>
      </c>
      <c r="AG701" s="697" t="s">
        <v>2284</v>
      </c>
    </row>
    <row r="702" spans="1:33" ht="24" customHeight="1">
      <c r="A702" s="720" t="e">
        <f>(A700+1)</f>
        <v>#REF!</v>
      </c>
      <c r="B702" s="697" t="s">
        <v>189</v>
      </c>
      <c r="C702" s="718">
        <v>254</v>
      </c>
      <c r="D702" s="722" t="s">
        <v>877</v>
      </c>
      <c r="H702" s="697" t="s">
        <v>1604</v>
      </c>
      <c r="K702" s="705" t="s">
        <v>2080</v>
      </c>
      <c r="S702" s="703">
        <v>5</v>
      </c>
      <c r="T702" s="699" t="s">
        <v>1361</v>
      </c>
      <c r="U702" s="699" t="s">
        <v>5232</v>
      </c>
      <c r="V702" s="699">
        <f>AC12</f>
        <v>1679.5</v>
      </c>
      <c r="X702" s="699">
        <f>V702*S702</f>
        <v>8397.5</v>
      </c>
      <c r="Z702" s="699">
        <f>X702</f>
        <v>8397.5</v>
      </c>
      <c r="AE702" s="724" t="str">
        <f t="shared" si="95"/>
        <v>|</v>
      </c>
      <c r="AG702" s="697" t="s">
        <v>2284</v>
      </c>
    </row>
    <row r="703" spans="1:33" ht="24" customHeight="1">
      <c r="A703" s="720" t="e">
        <f t="shared" ref="A703:A760" si="96">(A702+1)</f>
        <v>#REF!</v>
      </c>
      <c r="B703" s="697" t="s">
        <v>190</v>
      </c>
      <c r="C703" s="718">
        <v>315</v>
      </c>
      <c r="D703" s="722" t="s">
        <v>877</v>
      </c>
      <c r="H703" s="697" t="s">
        <v>386</v>
      </c>
      <c r="I703" s="699">
        <f>K701</f>
        <v>650</v>
      </c>
      <c r="J703" s="697">
        <f>C17*0.11</f>
        <v>7.85</v>
      </c>
      <c r="K703" s="709">
        <f>I703+J703</f>
        <v>657.85</v>
      </c>
      <c r="N703" s="697" t="s">
        <v>2276</v>
      </c>
      <c r="O703" s="697" t="s">
        <v>1474</v>
      </c>
      <c r="S703" s="703">
        <v>3.3</v>
      </c>
      <c r="T703" s="699" t="s">
        <v>1361</v>
      </c>
      <c r="U703" s="699" t="s">
        <v>5233</v>
      </c>
      <c r="V703" s="699">
        <f>(AC10+AC11)/2</f>
        <v>1400.5</v>
      </c>
      <c r="X703" s="699">
        <f t="shared" ref="X703:X709" si="97">V703*S703</f>
        <v>4621.6499999999996</v>
      </c>
      <c r="Z703" s="699">
        <f t="shared" ref="Z703:Z711" si="98">X703</f>
        <v>4621.6499999999996</v>
      </c>
      <c r="AE703" s="724" t="str">
        <f t="shared" si="95"/>
        <v>|</v>
      </c>
      <c r="AG703" s="697" t="s">
        <v>2284</v>
      </c>
    </row>
    <row r="704" spans="1:33" ht="24" customHeight="1">
      <c r="A704" s="720" t="e">
        <f t="shared" si="96"/>
        <v>#REF!</v>
      </c>
      <c r="B704" s="697" t="s">
        <v>1475</v>
      </c>
      <c r="C704" s="718">
        <v>306</v>
      </c>
      <c r="D704" s="722" t="s">
        <v>877</v>
      </c>
      <c r="H704" s="697" t="s">
        <v>388</v>
      </c>
      <c r="I704" s="699">
        <f>K703</f>
        <v>657.85</v>
      </c>
      <c r="J704" s="702">
        <f>C18*0.11</f>
        <v>15.85</v>
      </c>
      <c r="K704" s="709">
        <f>I704+J704</f>
        <v>673.7</v>
      </c>
      <c r="O704" s="697" t="s">
        <v>1477</v>
      </c>
      <c r="S704" s="703">
        <v>4.79</v>
      </c>
      <c r="T704" s="699" t="s">
        <v>1361</v>
      </c>
      <c r="U704" s="699" t="s">
        <v>5371</v>
      </c>
      <c r="V704" s="699">
        <f>V641</f>
        <v>1511.1</v>
      </c>
      <c r="X704" s="699">
        <f t="shared" si="97"/>
        <v>7238.17</v>
      </c>
      <c r="Z704" s="699">
        <f t="shared" si="98"/>
        <v>7238.17</v>
      </c>
      <c r="AE704" s="724" t="str">
        <f t="shared" si="95"/>
        <v>|</v>
      </c>
      <c r="AG704" s="697" t="s">
        <v>2284</v>
      </c>
    </row>
    <row r="705" spans="1:33" ht="24" customHeight="1">
      <c r="A705" s="720" t="e">
        <f t="shared" si="96"/>
        <v>#REF!</v>
      </c>
      <c r="B705" s="697" t="s">
        <v>1478</v>
      </c>
      <c r="C705" s="718">
        <v>274</v>
      </c>
      <c r="D705" s="722" t="s">
        <v>877</v>
      </c>
      <c r="H705" s="697" t="s">
        <v>2257</v>
      </c>
      <c r="I705" s="699">
        <f>K704</f>
        <v>673.7</v>
      </c>
      <c r="J705" s="702">
        <f>J704</f>
        <v>15.85</v>
      </c>
      <c r="K705" s="709">
        <f>I705+J705</f>
        <v>689.55</v>
      </c>
      <c r="O705" s="705" t="s">
        <v>1609</v>
      </c>
      <c r="S705" s="703">
        <v>3.25</v>
      </c>
      <c r="T705" s="699" t="s">
        <v>530</v>
      </c>
      <c r="U705" s="699" t="s">
        <v>390</v>
      </c>
      <c r="V705" s="699">
        <f>V640</f>
        <v>5960</v>
      </c>
      <c r="X705" s="699">
        <f t="shared" si="97"/>
        <v>19370</v>
      </c>
      <c r="Z705" s="699">
        <f t="shared" si="98"/>
        <v>19370</v>
      </c>
      <c r="AE705" s="724" t="str">
        <f t="shared" si="95"/>
        <v>|</v>
      </c>
      <c r="AG705" s="697" t="s">
        <v>2284</v>
      </c>
    </row>
    <row r="706" spans="1:33" ht="30.75" customHeight="1">
      <c r="A706" s="720" t="e">
        <f t="shared" si="96"/>
        <v>#REF!</v>
      </c>
      <c r="B706" s="697" t="s">
        <v>1231</v>
      </c>
      <c r="C706" s="718">
        <v>266</v>
      </c>
      <c r="D706" s="722" t="s">
        <v>877</v>
      </c>
      <c r="H706" s="697" t="s">
        <v>380</v>
      </c>
      <c r="I706" s="699">
        <f>K705</f>
        <v>689.55</v>
      </c>
      <c r="J706" s="702">
        <f>J705</f>
        <v>15.85</v>
      </c>
      <c r="K706" s="709">
        <f>I706+J706</f>
        <v>705.4</v>
      </c>
      <c r="M706" s="710">
        <v>1</v>
      </c>
      <c r="N706" s="697" t="s">
        <v>877</v>
      </c>
      <c r="O706" s="697" t="s">
        <v>1232</v>
      </c>
      <c r="P706" s="710">
        <f>(C390/1*0.3)</f>
        <v>38.4</v>
      </c>
      <c r="Q706" s="697" t="s">
        <v>877</v>
      </c>
      <c r="R706" s="710">
        <f>(M706*P706)</f>
        <v>38.4</v>
      </c>
      <c r="S706" s="703">
        <f>3250*0.6%</f>
        <v>19.5</v>
      </c>
      <c r="T706" s="699" t="s">
        <v>1670</v>
      </c>
      <c r="U706" s="812" t="s">
        <v>4086</v>
      </c>
      <c r="V706" s="699">
        <f>V645</f>
        <v>42.8</v>
      </c>
      <c r="X706" s="699">
        <f t="shared" si="97"/>
        <v>834.6</v>
      </c>
      <c r="Z706" s="699">
        <f t="shared" si="98"/>
        <v>834.6</v>
      </c>
      <c r="AE706" s="724" t="str">
        <f t="shared" si="95"/>
        <v>|</v>
      </c>
      <c r="AG706" s="697" t="s">
        <v>2284</v>
      </c>
    </row>
    <row r="707" spans="1:33" ht="24" customHeight="1">
      <c r="A707" s="720" t="e">
        <f t="shared" si="96"/>
        <v>#REF!</v>
      </c>
      <c r="B707" s="722" t="s">
        <v>1233</v>
      </c>
      <c r="C707" s="737">
        <v>107.64</v>
      </c>
      <c r="D707" s="722" t="s">
        <v>615</v>
      </c>
      <c r="H707" s="697" t="s">
        <v>1384</v>
      </c>
      <c r="I707" s="699">
        <f>K706</f>
        <v>705.4</v>
      </c>
      <c r="J707" s="702">
        <f>J706</f>
        <v>15.85</v>
      </c>
      <c r="K707" s="709">
        <f>I707+J707</f>
        <v>721.25</v>
      </c>
      <c r="N707" s="697" t="s">
        <v>450</v>
      </c>
      <c r="O707" s="697" t="s">
        <v>138</v>
      </c>
      <c r="Q707" s="697" t="s">
        <v>450</v>
      </c>
      <c r="R707" s="710">
        <v>1.65</v>
      </c>
      <c r="S707" s="703">
        <v>3.5</v>
      </c>
      <c r="T707" s="699" t="s">
        <v>1452</v>
      </c>
      <c r="U707" s="699" t="s">
        <v>466</v>
      </c>
      <c r="V707" s="699">
        <f>C9</f>
        <v>804</v>
      </c>
      <c r="W707" s="699">
        <f>J716</f>
        <v>0</v>
      </c>
      <c r="X707" s="699">
        <f t="shared" si="97"/>
        <v>2814</v>
      </c>
      <c r="Z707" s="699">
        <f t="shared" si="98"/>
        <v>2814</v>
      </c>
      <c r="AE707" s="724" t="str">
        <f t="shared" si="95"/>
        <v>|</v>
      </c>
      <c r="AG707" s="697" t="s">
        <v>2284</v>
      </c>
    </row>
    <row r="708" spans="1:33" ht="24" customHeight="1">
      <c r="A708" s="720" t="e">
        <f t="shared" si="96"/>
        <v>#REF!</v>
      </c>
      <c r="B708" s="722" t="s">
        <v>1235</v>
      </c>
      <c r="C708" s="734"/>
      <c r="D708" s="734"/>
      <c r="F708" s="697" t="s">
        <v>987</v>
      </c>
      <c r="O708" s="697" t="s">
        <v>140</v>
      </c>
      <c r="R708" s="697" t="s">
        <v>987</v>
      </c>
      <c r="S708" s="703">
        <v>21.2</v>
      </c>
      <c r="T708" s="699" t="s">
        <v>1452</v>
      </c>
      <c r="U708" s="699" t="s">
        <v>3523</v>
      </c>
      <c r="V708" s="699">
        <f>C10</f>
        <v>562</v>
      </c>
      <c r="X708" s="699">
        <f t="shared" si="97"/>
        <v>11914.4</v>
      </c>
      <c r="Z708" s="699">
        <f t="shared" si="98"/>
        <v>11914.4</v>
      </c>
      <c r="AE708" s="724" t="str">
        <f t="shared" si="95"/>
        <v>|</v>
      </c>
      <c r="AG708" s="697" t="s">
        <v>2284</v>
      </c>
    </row>
    <row r="709" spans="1:33" ht="24" customHeight="1">
      <c r="A709" s="720" t="e">
        <f t="shared" si="96"/>
        <v>#REF!</v>
      </c>
      <c r="B709" s="722" t="s">
        <v>2144</v>
      </c>
      <c r="C709" s="737">
        <v>11.55</v>
      </c>
      <c r="D709" s="722" t="s">
        <v>877</v>
      </c>
      <c r="R709" s="705" t="s">
        <v>1609</v>
      </c>
      <c r="S709" s="703">
        <v>35.299999999999997</v>
      </c>
      <c r="T709" s="699" t="s">
        <v>1452</v>
      </c>
      <c r="U709" s="699" t="s">
        <v>3524</v>
      </c>
      <c r="V709" s="699">
        <f>C11</f>
        <v>461</v>
      </c>
      <c r="X709" s="699">
        <f t="shared" si="97"/>
        <v>16273.3</v>
      </c>
      <c r="Z709" s="699">
        <f t="shared" si="98"/>
        <v>16273.3</v>
      </c>
      <c r="AE709" s="724" t="str">
        <f t="shared" si="95"/>
        <v>|</v>
      </c>
      <c r="AG709" s="697" t="s">
        <v>2284</v>
      </c>
    </row>
    <row r="710" spans="1:33" ht="24" customHeight="1">
      <c r="A710" s="720" t="e">
        <f t="shared" si="96"/>
        <v>#REF!</v>
      </c>
      <c r="B710" s="722" t="s">
        <v>1134</v>
      </c>
      <c r="C710" s="737">
        <v>16.399999999999999</v>
      </c>
      <c r="D710" s="722" t="s">
        <v>877</v>
      </c>
      <c r="F710" s="698" t="s">
        <v>1375</v>
      </c>
      <c r="H710" s="697" t="s">
        <v>191</v>
      </c>
      <c r="O710" s="697" t="s">
        <v>1588</v>
      </c>
      <c r="R710" s="710">
        <f>SUM(R706:R708)</f>
        <v>40.049999999999997</v>
      </c>
      <c r="U710" s="699" t="s">
        <v>4087</v>
      </c>
      <c r="V710" s="699">
        <f>V680</f>
        <v>0</v>
      </c>
      <c r="X710" s="758">
        <f>SUM(X702:X709)</f>
        <v>71463.62</v>
      </c>
      <c r="Z710" s="699">
        <f t="shared" si="98"/>
        <v>71463.62</v>
      </c>
      <c r="AE710" s="724" t="str">
        <f t="shared" si="95"/>
        <v>|</v>
      </c>
      <c r="AG710" s="697" t="s">
        <v>2284</v>
      </c>
    </row>
    <row r="711" spans="1:33" ht="27" customHeight="1">
      <c r="A711" s="720" t="e">
        <f t="shared" si="96"/>
        <v>#REF!</v>
      </c>
      <c r="B711" s="722" t="s">
        <v>1135</v>
      </c>
      <c r="C711" s="737">
        <v>27.85</v>
      </c>
      <c r="D711" s="722" t="s">
        <v>877</v>
      </c>
      <c r="H711" s="697" t="s">
        <v>1476</v>
      </c>
      <c r="R711" s="705" t="s">
        <v>1609</v>
      </c>
      <c r="U711" s="699" t="s">
        <v>4088</v>
      </c>
      <c r="V711" s="699">
        <f>V681</f>
        <v>0</v>
      </c>
      <c r="X711" s="758">
        <f>X710/10</f>
        <v>7146.36</v>
      </c>
      <c r="Z711" s="699">
        <f t="shared" si="98"/>
        <v>7146.36</v>
      </c>
      <c r="AE711" s="724" t="str">
        <f t="shared" si="95"/>
        <v>|</v>
      </c>
      <c r="AG711" s="697" t="s">
        <v>2284</v>
      </c>
    </row>
    <row r="712" spans="1:33" ht="24" customHeight="1">
      <c r="A712" s="720" t="e">
        <f t="shared" si="96"/>
        <v>#REF!</v>
      </c>
      <c r="B712" s="722" t="s">
        <v>1136</v>
      </c>
      <c r="C712" s="737">
        <v>49.9</v>
      </c>
      <c r="D712" s="722" t="s">
        <v>877</v>
      </c>
      <c r="H712" s="697" t="s">
        <v>1479</v>
      </c>
      <c r="O712" s="698" t="s">
        <v>668</v>
      </c>
      <c r="R712" s="697" t="s">
        <v>987</v>
      </c>
      <c r="S712" s="703">
        <v>1</v>
      </c>
      <c r="T712" s="699" t="s">
        <v>1361</v>
      </c>
      <c r="U712" s="699" t="s">
        <v>4116</v>
      </c>
      <c r="V712" s="699">
        <f>C23</f>
        <v>81.3</v>
      </c>
      <c r="X712" s="699">
        <f>V712*S712</f>
        <v>81.3</v>
      </c>
      <c r="AE712" s="724" t="str">
        <f t="shared" si="95"/>
        <v>|</v>
      </c>
      <c r="AG712" s="697" t="s">
        <v>2284</v>
      </c>
    </row>
    <row r="713" spans="1:33" ht="24" customHeight="1">
      <c r="A713" s="720" t="e">
        <f t="shared" si="96"/>
        <v>#REF!</v>
      </c>
      <c r="B713" s="722" t="s">
        <v>1138</v>
      </c>
      <c r="C713" s="737">
        <v>69.25</v>
      </c>
      <c r="D713" s="722" t="s">
        <v>877</v>
      </c>
      <c r="H713" s="705" t="s">
        <v>1609</v>
      </c>
      <c r="M713" s="776"/>
      <c r="O713" s="698" t="s">
        <v>2110</v>
      </c>
      <c r="U713" s="699" t="s">
        <v>4089</v>
      </c>
      <c r="V713" s="699">
        <f>V683</f>
        <v>0</v>
      </c>
      <c r="X713" s="758">
        <f>SUM(X711:X712)</f>
        <v>7227.66</v>
      </c>
      <c r="Z713" s="699">
        <f>Z711</f>
        <v>7146.36</v>
      </c>
      <c r="AE713" s="724" t="str">
        <f t="shared" si="95"/>
        <v>|</v>
      </c>
      <c r="AG713" s="697" t="s">
        <v>2284</v>
      </c>
    </row>
    <row r="714" spans="1:33" ht="24" customHeight="1">
      <c r="A714" s="720" t="e">
        <f t="shared" si="96"/>
        <v>#REF!</v>
      </c>
      <c r="B714" s="722" t="s">
        <v>1931</v>
      </c>
      <c r="C714" s="734"/>
      <c r="D714" s="722" t="s">
        <v>987</v>
      </c>
      <c r="F714" s="710">
        <v>0.4</v>
      </c>
      <c r="G714" s="708" t="s">
        <v>878</v>
      </c>
      <c r="H714" s="697" t="s">
        <v>1234</v>
      </c>
      <c r="I714" s="710">
        <f>(C265)</f>
        <v>17600</v>
      </c>
      <c r="J714" s="697" t="s">
        <v>878</v>
      </c>
      <c r="K714" s="710">
        <f>(F714*I714)</f>
        <v>7040</v>
      </c>
      <c r="M714" s="698" t="s">
        <v>1561</v>
      </c>
      <c r="N714" s="697" t="s">
        <v>1932</v>
      </c>
      <c r="O714" s="697" t="s">
        <v>330</v>
      </c>
      <c r="S714" s="810" t="s">
        <v>663</v>
      </c>
      <c r="U714" s="699" t="s">
        <v>4090</v>
      </c>
      <c r="V714" s="699" t="str">
        <f>V684</f>
        <v>LS</v>
      </c>
      <c r="X714" s="699">
        <f>X713*0.5%</f>
        <v>36.14</v>
      </c>
      <c r="Z714" s="699">
        <f>Z713*0.5/100</f>
        <v>35.729999999999997</v>
      </c>
      <c r="AE714" s="724" t="str">
        <f t="shared" si="95"/>
        <v>|::</v>
      </c>
      <c r="AG714" s="697" t="s">
        <v>322</v>
      </c>
    </row>
    <row r="715" spans="1:33" ht="24" customHeight="1">
      <c r="A715" s="720" t="e">
        <f t="shared" si="96"/>
        <v>#REF!</v>
      </c>
      <c r="B715" s="722" t="s">
        <v>240</v>
      </c>
      <c r="C715" s="737">
        <v>20</v>
      </c>
      <c r="D715" s="722" t="s">
        <v>877</v>
      </c>
      <c r="F715" s="710">
        <v>0.12</v>
      </c>
      <c r="G715" s="708" t="s">
        <v>878</v>
      </c>
      <c r="H715" s="697" t="s">
        <v>1192</v>
      </c>
      <c r="I715" s="710">
        <f>(C266)</f>
        <v>15500</v>
      </c>
      <c r="J715" s="697" t="s">
        <v>878</v>
      </c>
      <c r="K715" s="710">
        <f>(F715*I715)</f>
        <v>1860</v>
      </c>
      <c r="O715" s="705" t="s">
        <v>1609</v>
      </c>
      <c r="T715" s="700"/>
      <c r="U715" s="758" t="s">
        <v>3637</v>
      </c>
      <c r="W715" s="702"/>
      <c r="X715" s="709">
        <f>SUM(X713:X714)</f>
        <v>7263.8</v>
      </c>
      <c r="Z715" s="758">
        <f>SUM(Z713:Z714)</f>
        <v>7182.09</v>
      </c>
      <c r="AE715" s="724">
        <f t="shared" si="95"/>
        <v>0</v>
      </c>
    </row>
    <row r="716" spans="1:33" ht="24" customHeight="1">
      <c r="A716" s="720" t="e">
        <f t="shared" si="96"/>
        <v>#REF!</v>
      </c>
      <c r="B716" s="722" t="s">
        <v>501</v>
      </c>
      <c r="C716" s="737">
        <v>45</v>
      </c>
      <c r="D716" s="722" t="s">
        <v>877</v>
      </c>
      <c r="H716" s="697" t="s">
        <v>2145</v>
      </c>
      <c r="I716" s="697" t="s">
        <v>987</v>
      </c>
      <c r="K716" s="697" t="s">
        <v>987</v>
      </c>
      <c r="M716" s="776">
        <v>2.69E-2</v>
      </c>
      <c r="N716" s="697" t="s">
        <v>878</v>
      </c>
      <c r="O716" s="769" t="s">
        <v>487</v>
      </c>
      <c r="P716" s="710">
        <f>C83</f>
        <v>34300</v>
      </c>
      <c r="Q716" s="697" t="s">
        <v>878</v>
      </c>
      <c r="R716" s="710">
        <f t="shared" ref="R716:R722" si="99">M716*P716</f>
        <v>922.67</v>
      </c>
      <c r="T716" s="700"/>
      <c r="W716" s="702"/>
      <c r="X716" s="705" t="s">
        <v>1609</v>
      </c>
      <c r="AE716" s="724">
        <f t="shared" si="95"/>
        <v>0</v>
      </c>
    </row>
    <row r="717" spans="1:33" ht="24" customHeight="1">
      <c r="A717" s="720" t="e">
        <f t="shared" si="96"/>
        <v>#REF!</v>
      </c>
      <c r="B717" s="722" t="s">
        <v>1335</v>
      </c>
      <c r="C717" s="780"/>
      <c r="D717" s="722" t="s">
        <v>248</v>
      </c>
      <c r="F717" s="710">
        <v>98.5</v>
      </c>
      <c r="G717" s="708" t="s">
        <v>1796</v>
      </c>
      <c r="H717" s="697" t="s">
        <v>1446</v>
      </c>
      <c r="I717" s="710">
        <f>(C267)</f>
        <v>25.2</v>
      </c>
      <c r="J717" s="697" t="s">
        <v>1796</v>
      </c>
      <c r="K717" s="710">
        <f>(F717*I717)</f>
        <v>2482.1999999999998</v>
      </c>
      <c r="M717" s="776">
        <v>1.2949999999999999</v>
      </c>
      <c r="N717" s="697" t="s">
        <v>615</v>
      </c>
      <c r="O717" s="697" t="s">
        <v>1316</v>
      </c>
      <c r="P717" s="710">
        <f>C780</f>
        <v>387.4</v>
      </c>
      <c r="Q717" s="697" t="s">
        <v>615</v>
      </c>
      <c r="R717" s="710">
        <f t="shared" si="99"/>
        <v>501.68</v>
      </c>
      <c r="T717" s="700"/>
      <c r="U717" s="697" t="s">
        <v>386</v>
      </c>
      <c r="W717" s="702"/>
      <c r="X717" s="709">
        <f>(X715+C20)</f>
        <v>7372.27</v>
      </c>
      <c r="AE717" s="724">
        <f t="shared" si="95"/>
        <v>0</v>
      </c>
    </row>
    <row r="718" spans="1:33" ht="24" customHeight="1">
      <c r="A718" s="720" t="e">
        <f t="shared" si="96"/>
        <v>#REF!</v>
      </c>
      <c r="B718" s="722" t="s">
        <v>240</v>
      </c>
      <c r="C718" s="737">
        <v>19.09</v>
      </c>
      <c r="D718" s="722" t="s">
        <v>877</v>
      </c>
      <c r="H718" s="697" t="s">
        <v>312</v>
      </c>
      <c r="I718" s="697" t="s">
        <v>987</v>
      </c>
      <c r="K718" s="697" t="s">
        <v>248</v>
      </c>
      <c r="M718" s="776">
        <v>1.8149999999999999</v>
      </c>
      <c r="N718" s="697" t="s">
        <v>615</v>
      </c>
      <c r="O718" s="697" t="s">
        <v>2118</v>
      </c>
      <c r="P718" s="710">
        <f>C29</f>
        <v>1325</v>
      </c>
      <c r="Q718" s="697" t="s">
        <v>615</v>
      </c>
      <c r="R718" s="710">
        <f t="shared" si="99"/>
        <v>2404.88</v>
      </c>
      <c r="T718" s="700"/>
      <c r="U718" s="697" t="s">
        <v>388</v>
      </c>
      <c r="W718" s="702"/>
      <c r="X718" s="709">
        <f>(X717+C22)</f>
        <v>7585.95</v>
      </c>
      <c r="AE718" s="724" t="str">
        <f t="shared" si="95"/>
        <v>|</v>
      </c>
      <c r="AG718" s="697" t="s">
        <v>2284</v>
      </c>
    </row>
    <row r="719" spans="1:33" ht="24" customHeight="1">
      <c r="A719" s="720" t="e">
        <f t="shared" si="96"/>
        <v>#REF!</v>
      </c>
      <c r="B719" s="722" t="s">
        <v>501</v>
      </c>
      <c r="C719" s="737">
        <v>50.66</v>
      </c>
      <c r="D719" s="722" t="s">
        <v>877</v>
      </c>
      <c r="K719" s="705" t="s">
        <v>1609</v>
      </c>
      <c r="M719" s="710">
        <v>2</v>
      </c>
      <c r="N719" s="697" t="s">
        <v>877</v>
      </c>
      <c r="O719" s="697" t="s">
        <v>1748</v>
      </c>
      <c r="P719" s="710">
        <f>C296</f>
        <v>10.5</v>
      </c>
      <c r="Q719" s="697" t="s">
        <v>877</v>
      </c>
      <c r="R719" s="710">
        <f t="shared" si="99"/>
        <v>21</v>
      </c>
      <c r="T719" s="700"/>
      <c r="U719" s="697" t="s">
        <v>2257</v>
      </c>
      <c r="W719" s="702"/>
      <c r="X719" s="709">
        <f>(X718+C22)</f>
        <v>7799.63</v>
      </c>
      <c r="AE719" s="724" t="str">
        <f t="shared" si="95"/>
        <v>|</v>
      </c>
      <c r="AG719" s="697" t="s">
        <v>2284</v>
      </c>
    </row>
    <row r="720" spans="1:33" ht="24" customHeight="1">
      <c r="A720" s="720" t="e">
        <f t="shared" si="96"/>
        <v>#REF!</v>
      </c>
      <c r="B720" s="722" t="s">
        <v>1642</v>
      </c>
      <c r="C720" s="737">
        <v>1183.82</v>
      </c>
      <c r="D720" s="722" t="s">
        <v>615</v>
      </c>
      <c r="H720" s="697" t="s">
        <v>669</v>
      </c>
      <c r="K720" s="710">
        <f>SUM(K714:K718)</f>
        <v>11382.2</v>
      </c>
      <c r="M720" s="710">
        <v>3</v>
      </c>
      <c r="N720" s="697" t="s">
        <v>877</v>
      </c>
      <c r="O720" s="697" t="s">
        <v>1643</v>
      </c>
      <c r="P720" s="710">
        <f>C292</f>
        <v>8.5</v>
      </c>
      <c r="Q720" s="697" t="s">
        <v>877</v>
      </c>
      <c r="R720" s="710">
        <f t="shared" si="99"/>
        <v>25.5</v>
      </c>
      <c r="T720" s="700"/>
      <c r="U720" s="697" t="s">
        <v>380</v>
      </c>
      <c r="W720" s="702"/>
      <c r="X720" s="709">
        <f>(X719+C22)</f>
        <v>8013.31</v>
      </c>
      <c r="AE720" s="724" t="str">
        <f t="shared" si="95"/>
        <v>|</v>
      </c>
      <c r="AG720" s="697" t="s">
        <v>2284</v>
      </c>
    </row>
    <row r="721" spans="1:33" ht="24" customHeight="1">
      <c r="A721" s="720" t="e">
        <f t="shared" si="96"/>
        <v>#REF!</v>
      </c>
      <c r="B721" s="722" t="s">
        <v>1644</v>
      </c>
      <c r="C721" s="737">
        <v>1605</v>
      </c>
      <c r="D721" s="722" t="s">
        <v>615</v>
      </c>
      <c r="H721" s="697" t="s">
        <v>987</v>
      </c>
      <c r="K721" s="705" t="s">
        <v>1609</v>
      </c>
      <c r="M721" s="710">
        <v>1</v>
      </c>
      <c r="N721" s="697" t="s">
        <v>877</v>
      </c>
      <c r="O721" s="697" t="s">
        <v>1732</v>
      </c>
      <c r="P721" s="710">
        <f>C298</f>
        <v>21</v>
      </c>
      <c r="Q721" s="697" t="s">
        <v>877</v>
      </c>
      <c r="R721" s="710">
        <f t="shared" si="99"/>
        <v>21</v>
      </c>
      <c r="T721" s="700"/>
      <c r="U721" s="697" t="s">
        <v>1554</v>
      </c>
      <c r="W721" s="702"/>
      <c r="X721" s="709">
        <f>(X720+C22)</f>
        <v>8226.99</v>
      </c>
      <c r="AE721" s="724" t="str">
        <f t="shared" si="95"/>
        <v>|</v>
      </c>
      <c r="AG721" s="697" t="s">
        <v>2284</v>
      </c>
    </row>
    <row r="722" spans="1:33" ht="24" customHeight="1">
      <c r="A722" s="720" t="e">
        <f t="shared" si="96"/>
        <v>#REF!</v>
      </c>
      <c r="B722" s="697" t="s">
        <v>4986</v>
      </c>
      <c r="C722" s="736">
        <v>9.6</v>
      </c>
      <c r="D722" s="806" t="s">
        <v>55</v>
      </c>
      <c r="F722" s="710">
        <v>10</v>
      </c>
      <c r="G722" s="708" t="s">
        <v>615</v>
      </c>
      <c r="H722" s="697" t="s">
        <v>500</v>
      </c>
      <c r="I722" s="710">
        <f>(K720/50)</f>
        <v>227.64</v>
      </c>
      <c r="J722" s="697" t="s">
        <v>615</v>
      </c>
      <c r="K722" s="710">
        <f>(F722*I722)</f>
        <v>2276.4</v>
      </c>
      <c r="M722" s="710">
        <v>1</v>
      </c>
      <c r="N722" s="697" t="s">
        <v>877</v>
      </c>
      <c r="O722" s="697" t="s">
        <v>2005</v>
      </c>
      <c r="P722" s="710">
        <f>C300</f>
        <v>4</v>
      </c>
      <c r="Q722" s="697" t="s">
        <v>877</v>
      </c>
      <c r="R722" s="710">
        <f t="shared" si="99"/>
        <v>4</v>
      </c>
      <c r="AE722" s="724" t="str">
        <f t="shared" si="95"/>
        <v>|</v>
      </c>
      <c r="AG722" s="697" t="s">
        <v>2284</v>
      </c>
    </row>
    <row r="723" spans="1:33" ht="24" customHeight="1">
      <c r="A723" s="720" t="e">
        <f t="shared" si="96"/>
        <v>#REF!</v>
      </c>
      <c r="B723" s="722" t="s">
        <v>1742</v>
      </c>
      <c r="C723" s="737">
        <v>147.6</v>
      </c>
      <c r="D723" s="722" t="s">
        <v>1796</v>
      </c>
      <c r="F723" s="710">
        <v>3.8</v>
      </c>
      <c r="G723" s="708" t="s">
        <v>778</v>
      </c>
      <c r="H723" s="697" t="s">
        <v>502</v>
      </c>
      <c r="I723" s="710">
        <f>(C14)</f>
        <v>842</v>
      </c>
      <c r="J723" s="697" t="s">
        <v>778</v>
      </c>
      <c r="K723" s="710">
        <f>(F723*I723)</f>
        <v>3199.6</v>
      </c>
      <c r="N723" s="697" t="s">
        <v>450</v>
      </c>
      <c r="O723" s="697" t="s">
        <v>451</v>
      </c>
      <c r="Q723" s="697" t="s">
        <v>450</v>
      </c>
      <c r="R723" s="710">
        <v>0</v>
      </c>
      <c r="AE723" s="724" t="str">
        <f t="shared" si="95"/>
        <v>|</v>
      </c>
      <c r="AG723" s="697" t="s">
        <v>2284</v>
      </c>
    </row>
    <row r="724" spans="1:33" ht="24" customHeight="1">
      <c r="A724" s="720" t="e">
        <f t="shared" si="96"/>
        <v>#REF!</v>
      </c>
      <c r="B724" s="722" t="s">
        <v>1743</v>
      </c>
      <c r="C724" s="737">
        <v>147.6</v>
      </c>
      <c r="D724" s="722" t="s">
        <v>1796</v>
      </c>
      <c r="F724" s="710">
        <v>5.4</v>
      </c>
      <c r="G724" s="708" t="s">
        <v>778</v>
      </c>
      <c r="H724" s="697" t="s">
        <v>1927</v>
      </c>
      <c r="I724" s="710">
        <f>(C10)</f>
        <v>562</v>
      </c>
      <c r="J724" s="697" t="s">
        <v>778</v>
      </c>
      <c r="K724" s="710">
        <f>(F724*I724)</f>
        <v>3034.8</v>
      </c>
      <c r="R724" s="705" t="s">
        <v>1609</v>
      </c>
      <c r="AE724" s="724" t="str">
        <f t="shared" si="95"/>
        <v>|</v>
      </c>
      <c r="AG724" s="697" t="s">
        <v>2284</v>
      </c>
    </row>
    <row r="725" spans="1:33" ht="24" customHeight="1">
      <c r="A725" s="720" t="e">
        <f t="shared" si="96"/>
        <v>#REF!</v>
      </c>
      <c r="B725" s="722" t="s">
        <v>1744</v>
      </c>
      <c r="C725" s="737">
        <v>147.6</v>
      </c>
      <c r="D725" s="722" t="s">
        <v>1796</v>
      </c>
      <c r="G725" s="708" t="s">
        <v>450</v>
      </c>
      <c r="H725" s="697" t="s">
        <v>1317</v>
      </c>
      <c r="J725" s="697" t="s">
        <v>450</v>
      </c>
      <c r="K725" s="710">
        <v>5</v>
      </c>
      <c r="O725" s="698" t="s">
        <v>12</v>
      </c>
      <c r="R725" s="710">
        <f>SUM(R716:R723)</f>
        <v>3900.73</v>
      </c>
      <c r="T725" s="758">
        <v>4.2</v>
      </c>
      <c r="U725" s="758" t="s">
        <v>4790</v>
      </c>
      <c r="AE725" s="724" t="str">
        <f t="shared" si="95"/>
        <v>|</v>
      </c>
      <c r="AG725" s="697" t="s">
        <v>2284</v>
      </c>
    </row>
    <row r="726" spans="1:33" ht="24" customHeight="1">
      <c r="A726" s="720" t="e">
        <f t="shared" si="96"/>
        <v>#REF!</v>
      </c>
      <c r="B726" s="722" t="s">
        <v>654</v>
      </c>
      <c r="C726" s="737">
        <v>1250</v>
      </c>
      <c r="D726" s="722" t="s">
        <v>615</v>
      </c>
      <c r="K726" s="705" t="s">
        <v>1609</v>
      </c>
      <c r="R726" s="705" t="s">
        <v>1609</v>
      </c>
      <c r="S726" s="703">
        <v>5</v>
      </c>
      <c r="T726" s="699" t="s">
        <v>1361</v>
      </c>
      <c r="U726" s="699" t="s">
        <v>5232</v>
      </c>
      <c r="V726" s="699">
        <f>V672</f>
        <v>1679.5</v>
      </c>
      <c r="X726" s="699">
        <f t="shared" ref="X726:X733" si="100">V726*S726</f>
        <v>8397.5</v>
      </c>
      <c r="AE726" s="724" t="str">
        <f t="shared" si="95"/>
        <v>|</v>
      </c>
      <c r="AG726" s="697" t="s">
        <v>2284</v>
      </c>
    </row>
    <row r="727" spans="1:33" ht="24" customHeight="1">
      <c r="A727" s="720" t="e">
        <f t="shared" si="96"/>
        <v>#REF!</v>
      </c>
      <c r="B727" s="722" t="s">
        <v>656</v>
      </c>
      <c r="C727" s="737">
        <v>1250</v>
      </c>
      <c r="D727" s="722" t="s">
        <v>615</v>
      </c>
      <c r="H727" s="697" t="s">
        <v>442</v>
      </c>
      <c r="K727" s="710">
        <f>SUM(K722:K725)</f>
        <v>8515.7999999999993</v>
      </c>
      <c r="N727" s="697" t="s">
        <v>987</v>
      </c>
      <c r="O727" s="698" t="s">
        <v>556</v>
      </c>
      <c r="R727" s="710">
        <f>R725/M717</f>
        <v>3012.15</v>
      </c>
      <c r="S727" s="703">
        <v>3.3</v>
      </c>
      <c r="T727" s="699" t="s">
        <v>1361</v>
      </c>
      <c r="U727" s="699" t="s">
        <v>5233</v>
      </c>
      <c r="V727" s="699">
        <f t="shared" ref="V727:V736" si="101">V673</f>
        <v>1400.5</v>
      </c>
      <c r="X727" s="699">
        <f t="shared" si="100"/>
        <v>4621.6499999999996</v>
      </c>
      <c r="AE727" s="724" t="str">
        <f t="shared" si="95"/>
        <v>|</v>
      </c>
      <c r="AG727" s="697" t="s">
        <v>2284</v>
      </c>
    </row>
    <row r="728" spans="1:33" ht="24" customHeight="1">
      <c r="A728" s="720" t="e">
        <f t="shared" si="96"/>
        <v>#REF!</v>
      </c>
      <c r="B728" s="722" t="s">
        <v>1253</v>
      </c>
      <c r="C728" s="737">
        <v>1250</v>
      </c>
      <c r="D728" s="722" t="s">
        <v>615</v>
      </c>
      <c r="K728" s="705" t="s">
        <v>1609</v>
      </c>
      <c r="R728" s="705" t="s">
        <v>2080</v>
      </c>
      <c r="S728" s="703">
        <v>4.79</v>
      </c>
      <c r="T728" s="699" t="s">
        <v>1361</v>
      </c>
      <c r="U728" s="699" t="s">
        <v>5371</v>
      </c>
      <c r="V728" s="699">
        <f t="shared" si="101"/>
        <v>1511.1</v>
      </c>
      <c r="X728" s="699">
        <f t="shared" si="100"/>
        <v>7238.17</v>
      </c>
      <c r="AE728" s="724" t="str">
        <f t="shared" si="95"/>
        <v>|</v>
      </c>
      <c r="AG728" s="697" t="s">
        <v>2284</v>
      </c>
    </row>
    <row r="729" spans="1:33" ht="24" customHeight="1">
      <c r="A729" s="720" t="e">
        <f t="shared" si="96"/>
        <v>#REF!</v>
      </c>
      <c r="B729" s="722" t="s">
        <v>520</v>
      </c>
      <c r="C729" s="737">
        <v>1250</v>
      </c>
      <c r="D729" s="722" t="s">
        <v>615</v>
      </c>
      <c r="H729" s="697" t="s">
        <v>556</v>
      </c>
      <c r="K729" s="710">
        <f>(K727/10)</f>
        <v>851.58</v>
      </c>
      <c r="M729" s="698" t="s">
        <v>1561</v>
      </c>
      <c r="N729" s="697" t="s">
        <v>522</v>
      </c>
      <c r="O729" s="697" t="s">
        <v>523</v>
      </c>
      <c r="S729" s="703">
        <v>3.5</v>
      </c>
      <c r="T729" s="699" t="s">
        <v>530</v>
      </c>
      <c r="U729" s="699" t="s">
        <v>390</v>
      </c>
      <c r="V729" s="699">
        <f t="shared" si="101"/>
        <v>5960</v>
      </c>
      <c r="X729" s="699">
        <f t="shared" si="100"/>
        <v>20860</v>
      </c>
      <c r="AE729" s="724" t="str">
        <f t="shared" si="95"/>
        <v>|</v>
      </c>
      <c r="AG729" s="697" t="s">
        <v>2284</v>
      </c>
    </row>
    <row r="730" spans="1:33" ht="24" customHeight="1">
      <c r="A730" s="720" t="e">
        <f t="shared" si="96"/>
        <v>#REF!</v>
      </c>
      <c r="B730" s="722" t="s">
        <v>524</v>
      </c>
      <c r="C730" s="737">
        <v>1250</v>
      </c>
      <c r="D730" s="722" t="s">
        <v>615</v>
      </c>
      <c r="K730" s="705" t="s">
        <v>2080</v>
      </c>
      <c r="O730" s="705" t="s">
        <v>1609</v>
      </c>
      <c r="S730" s="703">
        <v>28</v>
      </c>
      <c r="T730" s="699" t="s">
        <v>1670</v>
      </c>
      <c r="U730" s="699" t="s">
        <v>4092</v>
      </c>
      <c r="V730" s="699">
        <f t="shared" si="101"/>
        <v>42.8</v>
      </c>
      <c r="X730" s="699">
        <f t="shared" si="100"/>
        <v>1198.4000000000001</v>
      </c>
      <c r="AE730" s="724" t="str">
        <f t="shared" si="95"/>
        <v>|</v>
      </c>
      <c r="AG730" s="697" t="s">
        <v>2284</v>
      </c>
    </row>
    <row r="731" spans="1:33" ht="24" customHeight="1">
      <c r="A731" s="720" t="e">
        <f t="shared" si="96"/>
        <v>#REF!</v>
      </c>
      <c r="B731" s="722" t="s">
        <v>770</v>
      </c>
      <c r="C731" s="737">
        <v>1250</v>
      </c>
      <c r="D731" s="722" t="s">
        <v>615</v>
      </c>
      <c r="M731" s="776">
        <v>2.5499999999999998E-2</v>
      </c>
      <c r="N731" s="697" t="s">
        <v>878</v>
      </c>
      <c r="O731" s="697" t="s">
        <v>1334</v>
      </c>
      <c r="P731" s="710">
        <f>C83</f>
        <v>34300</v>
      </c>
      <c r="Q731" s="697" t="s">
        <v>878</v>
      </c>
      <c r="R731" s="710">
        <f t="shared" ref="R731:R737" si="102">M731*P731</f>
        <v>874.65</v>
      </c>
      <c r="S731" s="703">
        <v>3.5</v>
      </c>
      <c r="T731" s="699" t="s">
        <v>1452</v>
      </c>
      <c r="U731" s="699" t="s">
        <v>466</v>
      </c>
      <c r="V731" s="699">
        <f t="shared" si="101"/>
        <v>804</v>
      </c>
      <c r="X731" s="699">
        <f t="shared" si="100"/>
        <v>2814</v>
      </c>
      <c r="AE731" s="724" t="str">
        <f t="shared" si="95"/>
        <v>|</v>
      </c>
      <c r="AG731" s="697" t="s">
        <v>2284</v>
      </c>
    </row>
    <row r="732" spans="1:33" ht="24" customHeight="1">
      <c r="A732" s="720" t="e">
        <f t="shared" si="96"/>
        <v>#REF!</v>
      </c>
      <c r="B732" s="722" t="s">
        <v>1245</v>
      </c>
      <c r="C732" s="737">
        <v>1250</v>
      </c>
      <c r="D732" s="722" t="s">
        <v>615</v>
      </c>
      <c r="F732" s="698" t="s">
        <v>2069</v>
      </c>
      <c r="G732" s="708" t="s">
        <v>2276</v>
      </c>
      <c r="H732" s="697" t="s">
        <v>11</v>
      </c>
      <c r="M732" s="776">
        <v>1.1299999999999999</v>
      </c>
      <c r="N732" s="697" t="s">
        <v>615</v>
      </c>
      <c r="O732" s="697" t="s">
        <v>1316</v>
      </c>
      <c r="P732" s="710">
        <f>C780</f>
        <v>387.4</v>
      </c>
      <c r="Q732" s="697" t="s">
        <v>615</v>
      </c>
      <c r="R732" s="710">
        <f t="shared" si="102"/>
        <v>437.76</v>
      </c>
      <c r="S732" s="703">
        <v>21.2</v>
      </c>
      <c r="T732" s="699" t="s">
        <v>1452</v>
      </c>
      <c r="U732" s="699" t="s">
        <v>3523</v>
      </c>
      <c r="V732" s="699">
        <f t="shared" si="101"/>
        <v>562</v>
      </c>
      <c r="X732" s="699">
        <f t="shared" si="100"/>
        <v>11914.4</v>
      </c>
      <c r="AE732" s="724" t="str">
        <f t="shared" si="95"/>
        <v>|</v>
      </c>
      <c r="AG732" s="697" t="s">
        <v>2284</v>
      </c>
    </row>
    <row r="733" spans="1:33" ht="24" customHeight="1">
      <c r="A733" s="720" t="e">
        <f t="shared" si="96"/>
        <v>#REF!</v>
      </c>
      <c r="B733" s="722" t="s">
        <v>1246</v>
      </c>
      <c r="C733" s="737">
        <v>1250</v>
      </c>
      <c r="D733" s="722" t="s">
        <v>615</v>
      </c>
      <c r="H733" s="697" t="s">
        <v>655</v>
      </c>
      <c r="M733" s="776">
        <v>1.6191</v>
      </c>
      <c r="N733" s="697" t="s">
        <v>615</v>
      </c>
      <c r="O733" s="697" t="s">
        <v>2118</v>
      </c>
      <c r="P733" s="710">
        <f>C29</f>
        <v>1325</v>
      </c>
      <c r="Q733" s="697" t="s">
        <v>615</v>
      </c>
      <c r="R733" s="710">
        <f t="shared" si="102"/>
        <v>2145.31</v>
      </c>
      <c r="S733" s="703">
        <v>35.299999999999997</v>
      </c>
      <c r="T733" s="699" t="s">
        <v>1452</v>
      </c>
      <c r="U733" s="699" t="s">
        <v>3524</v>
      </c>
      <c r="V733" s="699">
        <f t="shared" si="101"/>
        <v>461</v>
      </c>
      <c r="X733" s="699">
        <f t="shared" si="100"/>
        <v>16273.3</v>
      </c>
      <c r="AE733" s="724" t="str">
        <f t="shared" si="95"/>
        <v>|</v>
      </c>
      <c r="AG733" s="697" t="s">
        <v>2284</v>
      </c>
    </row>
    <row r="734" spans="1:33" ht="24" customHeight="1">
      <c r="A734" s="720" t="e">
        <f t="shared" si="96"/>
        <v>#REF!</v>
      </c>
      <c r="B734" s="722" t="s">
        <v>991</v>
      </c>
      <c r="C734" s="737">
        <v>1250</v>
      </c>
      <c r="D734" s="722" t="s">
        <v>615</v>
      </c>
      <c r="H734" s="697" t="s">
        <v>657</v>
      </c>
      <c r="M734" s="710">
        <v>2</v>
      </c>
      <c r="N734" s="697" t="s">
        <v>877</v>
      </c>
      <c r="O734" s="697" t="s">
        <v>1748</v>
      </c>
      <c r="P734" s="710">
        <f>C296</f>
        <v>10.5</v>
      </c>
      <c r="Q734" s="697" t="s">
        <v>877</v>
      </c>
      <c r="R734" s="710">
        <f t="shared" si="102"/>
        <v>21</v>
      </c>
      <c r="U734" s="758" t="s">
        <v>4087</v>
      </c>
      <c r="V734" s="699">
        <f t="shared" si="101"/>
        <v>0</v>
      </c>
      <c r="X734" s="758">
        <f>SUM(X726:X733)</f>
        <v>73317.42</v>
      </c>
      <c r="AE734" s="724" t="str">
        <f t="shared" si="95"/>
        <v>|</v>
      </c>
      <c r="AG734" s="697" t="s">
        <v>2284</v>
      </c>
    </row>
    <row r="735" spans="1:33" ht="24" customHeight="1">
      <c r="A735" s="720" t="e">
        <f t="shared" si="96"/>
        <v>#REF!</v>
      </c>
      <c r="B735" s="722" t="s">
        <v>993</v>
      </c>
      <c r="C735" s="737">
        <v>1250</v>
      </c>
      <c r="D735" s="722" t="s">
        <v>615</v>
      </c>
      <c r="H735" s="697" t="s">
        <v>519</v>
      </c>
      <c r="M735" s="710">
        <v>3</v>
      </c>
      <c r="N735" s="697" t="s">
        <v>877</v>
      </c>
      <c r="O735" s="697" t="s">
        <v>1643</v>
      </c>
      <c r="P735" s="710">
        <f>C292</f>
        <v>8.5</v>
      </c>
      <c r="Q735" s="697" t="s">
        <v>877</v>
      </c>
      <c r="R735" s="710">
        <f t="shared" si="102"/>
        <v>25.5</v>
      </c>
      <c r="U735" s="758" t="s">
        <v>4088</v>
      </c>
      <c r="V735" s="699">
        <f t="shared" si="101"/>
        <v>0</v>
      </c>
      <c r="X735" s="758">
        <f>X734/10</f>
        <v>7331.74</v>
      </c>
      <c r="Y735" s="699">
        <f>X735</f>
        <v>7331.74</v>
      </c>
      <c r="AE735" s="724" t="str">
        <f t="shared" si="95"/>
        <v>|</v>
      </c>
      <c r="AG735" s="697" t="s">
        <v>2284</v>
      </c>
    </row>
    <row r="736" spans="1:33" ht="24" customHeight="1">
      <c r="A736" s="720" t="e">
        <f t="shared" si="96"/>
        <v>#REF!</v>
      </c>
      <c r="B736" s="722" t="s">
        <v>954</v>
      </c>
      <c r="C736" s="737">
        <v>1250</v>
      </c>
      <c r="D736" s="722" t="s">
        <v>615</v>
      </c>
      <c r="H736" s="697" t="s">
        <v>521</v>
      </c>
      <c r="M736" s="710">
        <v>1</v>
      </c>
      <c r="N736" s="697" t="s">
        <v>877</v>
      </c>
      <c r="O736" s="697" t="s">
        <v>1732</v>
      </c>
      <c r="P736" s="710">
        <f>C298</f>
        <v>21</v>
      </c>
      <c r="Q736" s="697" t="s">
        <v>877</v>
      </c>
      <c r="R736" s="710">
        <f t="shared" si="102"/>
        <v>21</v>
      </c>
      <c r="S736" s="703">
        <v>1</v>
      </c>
      <c r="T736" s="699" t="s">
        <v>1361</v>
      </c>
      <c r="U736" s="699" t="s">
        <v>4116</v>
      </c>
      <c r="V736" s="699">
        <f t="shared" si="101"/>
        <v>81.3</v>
      </c>
      <c r="X736" s="699">
        <f>V736</f>
        <v>81.3</v>
      </c>
      <c r="AE736" s="724" t="str">
        <f t="shared" si="95"/>
        <v>|</v>
      </c>
      <c r="AG736" s="697" t="s">
        <v>2284</v>
      </c>
    </row>
    <row r="737" spans="1:33" ht="24" customHeight="1">
      <c r="A737" s="720" t="e">
        <f t="shared" si="96"/>
        <v>#REF!</v>
      </c>
      <c r="B737" s="722" t="s">
        <v>1245</v>
      </c>
      <c r="C737" s="737">
        <v>1250</v>
      </c>
      <c r="D737" s="722" t="s">
        <v>615</v>
      </c>
      <c r="H737" s="697" t="s">
        <v>2</v>
      </c>
      <c r="M737" s="710">
        <v>1</v>
      </c>
      <c r="N737" s="697" t="s">
        <v>877</v>
      </c>
      <c r="O737" s="697" t="s">
        <v>2005</v>
      </c>
      <c r="P737" s="710">
        <f>C300</f>
        <v>4</v>
      </c>
      <c r="Q737" s="697" t="s">
        <v>877</v>
      </c>
      <c r="R737" s="710">
        <f t="shared" si="102"/>
        <v>4</v>
      </c>
      <c r="U737" s="699" t="s">
        <v>4089</v>
      </c>
      <c r="X737" s="758">
        <f>SUM(X735:X736)</f>
        <v>7413.04</v>
      </c>
      <c r="Y737" s="699">
        <f>SUM(Y735:Y736)</f>
        <v>7331.74</v>
      </c>
      <c r="AE737" s="724" t="str">
        <f t="shared" si="95"/>
        <v>|</v>
      </c>
      <c r="AG737" s="697" t="s">
        <v>2284</v>
      </c>
    </row>
    <row r="738" spans="1:33" ht="24" customHeight="1">
      <c r="A738" s="720" t="e">
        <f t="shared" si="96"/>
        <v>#REF!</v>
      </c>
      <c r="B738" s="722" t="s">
        <v>1682</v>
      </c>
      <c r="C738" s="734"/>
      <c r="D738" s="722" t="s">
        <v>987</v>
      </c>
      <c r="H738" s="697" t="s">
        <v>1244</v>
      </c>
      <c r="N738" s="697" t="s">
        <v>450</v>
      </c>
      <c r="O738" s="697" t="s">
        <v>451</v>
      </c>
      <c r="Q738" s="697" t="s">
        <v>450</v>
      </c>
      <c r="R738" s="710">
        <v>0</v>
      </c>
      <c r="S738" s="810" t="s">
        <v>663</v>
      </c>
      <c r="U738" s="699" t="s">
        <v>4090</v>
      </c>
      <c r="V738" s="810" t="s">
        <v>663</v>
      </c>
      <c r="X738" s="699">
        <f>X737*0.5%</f>
        <v>37.07</v>
      </c>
      <c r="Y738" s="699">
        <f>Y737*0.5/100</f>
        <v>36.659999999999997</v>
      </c>
      <c r="AE738" s="724" t="str">
        <f t="shared" si="95"/>
        <v>|</v>
      </c>
      <c r="AG738" s="697" t="s">
        <v>2284</v>
      </c>
    </row>
    <row r="739" spans="1:33" ht="24" customHeight="1">
      <c r="A739" s="720" t="e">
        <f t="shared" si="96"/>
        <v>#REF!</v>
      </c>
      <c r="B739" s="722" t="s">
        <v>1684</v>
      </c>
      <c r="C739" s="737">
        <v>65</v>
      </c>
      <c r="D739" s="722" t="s">
        <v>1741</v>
      </c>
      <c r="H739" s="705" t="s">
        <v>1609</v>
      </c>
      <c r="I739" s="705" t="s">
        <v>1609</v>
      </c>
      <c r="J739" s="697" t="s">
        <v>1609</v>
      </c>
      <c r="R739" s="705" t="s">
        <v>1609</v>
      </c>
      <c r="T739" s="700"/>
      <c r="U739" s="758" t="s">
        <v>3637</v>
      </c>
      <c r="W739" s="702"/>
      <c r="X739" s="709">
        <f>SUM(X737:X738)</f>
        <v>7450.11</v>
      </c>
      <c r="Y739" s="758">
        <f>SUM(Y737:Y738)</f>
        <v>7368.4</v>
      </c>
      <c r="AE739" s="724" t="str">
        <f t="shared" si="95"/>
        <v>|</v>
      </c>
      <c r="AG739" s="697" t="s">
        <v>2284</v>
      </c>
    </row>
    <row r="740" spans="1:33" ht="24" customHeight="1">
      <c r="A740" s="720" t="e">
        <f t="shared" si="96"/>
        <v>#REF!</v>
      </c>
      <c r="B740" s="697" t="s">
        <v>26</v>
      </c>
      <c r="C740" s="718">
        <v>20.5</v>
      </c>
      <c r="D740" s="722" t="s">
        <v>1741</v>
      </c>
      <c r="F740" s="710">
        <v>13.46</v>
      </c>
      <c r="G740" s="708" t="s">
        <v>268</v>
      </c>
      <c r="H740" s="697" t="s">
        <v>269</v>
      </c>
      <c r="I740" s="710">
        <f>C32/1000</f>
        <v>47.3</v>
      </c>
      <c r="J740" s="697" t="s">
        <v>268</v>
      </c>
      <c r="K740" s="710">
        <f>(F740*I740)</f>
        <v>636.66</v>
      </c>
      <c r="O740" s="698" t="s">
        <v>27</v>
      </c>
      <c r="R740" s="710">
        <f>SUM(R731:R738)</f>
        <v>3529.22</v>
      </c>
      <c r="T740" s="700"/>
      <c r="W740" s="702"/>
      <c r="X740" s="705" t="s">
        <v>1609</v>
      </c>
      <c r="AE740" s="724" t="str">
        <f t="shared" si="95"/>
        <v>|</v>
      </c>
      <c r="AG740" s="697" t="s">
        <v>2284</v>
      </c>
    </row>
    <row r="741" spans="1:33" ht="24" customHeight="1">
      <c r="A741" s="720" t="e">
        <f t="shared" si="96"/>
        <v>#REF!</v>
      </c>
      <c r="B741" s="722" t="s">
        <v>28</v>
      </c>
      <c r="C741" s="737">
        <v>110.95</v>
      </c>
      <c r="D741" s="722" t="s">
        <v>1741</v>
      </c>
      <c r="H741" s="697" t="s">
        <v>992</v>
      </c>
      <c r="R741" s="705" t="s">
        <v>1609</v>
      </c>
      <c r="T741" s="700"/>
      <c r="U741" s="697" t="s">
        <v>386</v>
      </c>
      <c r="W741" s="702"/>
      <c r="X741" s="709">
        <f>(X739+C20)</f>
        <v>7558.58</v>
      </c>
      <c r="AE741" s="724" t="str">
        <f t="shared" si="95"/>
        <v>|</v>
      </c>
      <c r="AG741" s="697" t="s">
        <v>2284</v>
      </c>
    </row>
    <row r="742" spans="1:33" ht="24" customHeight="1">
      <c r="A742" s="720" t="e">
        <f t="shared" si="96"/>
        <v>#REF!</v>
      </c>
      <c r="B742" s="722" t="s">
        <v>1032</v>
      </c>
      <c r="C742" s="737">
        <v>399</v>
      </c>
      <c r="D742" s="722" t="s">
        <v>1741</v>
      </c>
      <c r="F742" s="710">
        <v>4</v>
      </c>
      <c r="G742" s="708" t="s">
        <v>268</v>
      </c>
      <c r="H742" s="697" t="s">
        <v>994</v>
      </c>
      <c r="I742" s="710">
        <f>C32/1000</f>
        <v>47.3</v>
      </c>
      <c r="J742" s="697" t="s">
        <v>268</v>
      </c>
      <c r="K742" s="710">
        <f>(F742*I742)</f>
        <v>189.2</v>
      </c>
      <c r="O742" s="698" t="s">
        <v>556</v>
      </c>
      <c r="R742" s="710">
        <f>R740/M733</f>
        <v>2179.7399999999998</v>
      </c>
      <c r="T742" s="700"/>
      <c r="U742" s="697" t="s">
        <v>388</v>
      </c>
      <c r="W742" s="702"/>
      <c r="X742" s="709">
        <f>(X741+C22)</f>
        <v>7772.26</v>
      </c>
      <c r="AE742" s="724" t="str">
        <f t="shared" si="95"/>
        <v>|</v>
      </c>
      <c r="AG742" s="697" t="s">
        <v>2284</v>
      </c>
    </row>
    <row r="743" spans="1:33" ht="24" customHeight="1">
      <c r="A743" s="720" t="e">
        <f t="shared" si="96"/>
        <v>#REF!</v>
      </c>
      <c r="B743" s="722" t="s">
        <v>905</v>
      </c>
      <c r="C743" s="737">
        <v>92</v>
      </c>
      <c r="D743" s="722" t="s">
        <v>1741</v>
      </c>
      <c r="H743" s="697" t="s">
        <v>1045</v>
      </c>
      <c r="R743" s="705" t="s">
        <v>2080</v>
      </c>
      <c r="T743" s="700"/>
      <c r="U743" s="697" t="s">
        <v>2257</v>
      </c>
      <c r="W743" s="702"/>
      <c r="X743" s="709">
        <f>(X742+C22)</f>
        <v>7985.94</v>
      </c>
      <c r="AE743" s="724" t="str">
        <f t="shared" si="95"/>
        <v>|</v>
      </c>
      <c r="AG743" s="697" t="s">
        <v>2284</v>
      </c>
    </row>
    <row r="744" spans="1:33" ht="24" customHeight="1">
      <c r="A744" s="720" t="e">
        <f t="shared" si="96"/>
        <v>#REF!</v>
      </c>
      <c r="B744" s="722" t="s">
        <v>313</v>
      </c>
      <c r="C744" s="737">
        <v>174.24</v>
      </c>
      <c r="D744" s="722" t="s">
        <v>1741</v>
      </c>
      <c r="F744" s="710"/>
      <c r="G744" s="708" t="s">
        <v>450</v>
      </c>
      <c r="H744" s="697" t="s">
        <v>1681</v>
      </c>
      <c r="J744" s="697" t="s">
        <v>450</v>
      </c>
      <c r="K744" s="710">
        <v>40</v>
      </c>
      <c r="T744" s="700"/>
      <c r="U744" s="697" t="s">
        <v>380</v>
      </c>
      <c r="W744" s="702"/>
      <c r="X744" s="709">
        <f>(X743+C22)</f>
        <v>8199.6200000000008</v>
      </c>
      <c r="AE744" s="724" t="str">
        <f t="shared" si="95"/>
        <v>|</v>
      </c>
      <c r="AG744" s="697" t="s">
        <v>2284</v>
      </c>
    </row>
    <row r="745" spans="1:33" ht="24" customHeight="1">
      <c r="A745" s="720" t="e">
        <f t="shared" si="96"/>
        <v>#REF!</v>
      </c>
      <c r="B745" s="722" t="s">
        <v>315</v>
      </c>
      <c r="C745" s="737">
        <v>215.06</v>
      </c>
      <c r="D745" s="722" t="s">
        <v>1741</v>
      </c>
      <c r="H745" s="697" t="s">
        <v>1683</v>
      </c>
      <c r="K745" s="705" t="s">
        <v>1609</v>
      </c>
      <c r="M745" s="698" t="s">
        <v>1561</v>
      </c>
      <c r="N745" s="697" t="s">
        <v>317</v>
      </c>
      <c r="O745" s="697" t="s">
        <v>1645</v>
      </c>
      <c r="T745" s="700"/>
      <c r="U745" s="697" t="s">
        <v>1554</v>
      </c>
      <c r="W745" s="702"/>
      <c r="X745" s="709">
        <f t="shared" ref="X745:X750" si="103">(X744+C22)</f>
        <v>8413.2999999999993</v>
      </c>
      <c r="AE745" s="724" t="str">
        <f t="shared" si="95"/>
        <v>|</v>
      </c>
      <c r="AG745" s="697" t="s">
        <v>2284</v>
      </c>
    </row>
    <row r="746" spans="1:33" ht="24" customHeight="1">
      <c r="A746" s="720" t="e">
        <f t="shared" si="96"/>
        <v>#REF!</v>
      </c>
      <c r="B746" s="722" t="s">
        <v>1646</v>
      </c>
      <c r="C746" s="737">
        <v>97.24</v>
      </c>
      <c r="D746" s="722" t="s">
        <v>1741</v>
      </c>
      <c r="H746" s="698" t="s">
        <v>3645</v>
      </c>
      <c r="K746" s="710">
        <f>SUM(K740:K744)</f>
        <v>865.86</v>
      </c>
      <c r="O746" s="705" t="s">
        <v>1609</v>
      </c>
      <c r="X746" s="709">
        <f t="shared" si="103"/>
        <v>8494.6</v>
      </c>
      <c r="AE746" s="724" t="str">
        <f t="shared" si="95"/>
        <v>|</v>
      </c>
      <c r="AG746" s="697" t="s">
        <v>2284</v>
      </c>
    </row>
    <row r="747" spans="1:33" ht="24" customHeight="1">
      <c r="A747" s="720" t="e">
        <f t="shared" si="96"/>
        <v>#REF!</v>
      </c>
      <c r="B747" s="722" t="s">
        <v>1451</v>
      </c>
      <c r="C747" s="737">
        <v>168.96</v>
      </c>
      <c r="D747" s="722" t="s">
        <v>1741</v>
      </c>
      <c r="K747" s="705" t="s">
        <v>1609</v>
      </c>
      <c r="M747" s="776">
        <v>2.35E-2</v>
      </c>
      <c r="N747" s="697" t="s">
        <v>878</v>
      </c>
      <c r="O747" s="697" t="s">
        <v>1334</v>
      </c>
      <c r="P747" s="710">
        <f>C83</f>
        <v>34300</v>
      </c>
      <c r="Q747" s="697" t="s">
        <v>878</v>
      </c>
      <c r="R747" s="710">
        <f t="shared" ref="R747:R753" si="104">M747*P747</f>
        <v>806.05</v>
      </c>
      <c r="X747" s="709">
        <f t="shared" si="103"/>
        <v>8528.2000000000007</v>
      </c>
      <c r="AE747" s="724" t="str">
        <f t="shared" si="95"/>
        <v>|</v>
      </c>
      <c r="AG747" s="697" t="s">
        <v>2284</v>
      </c>
    </row>
    <row r="748" spans="1:33" ht="24" customHeight="1">
      <c r="A748" s="720" t="e">
        <f t="shared" si="96"/>
        <v>#REF!</v>
      </c>
      <c r="B748" s="697" t="s">
        <v>4987</v>
      </c>
      <c r="C748" s="718">
        <v>373</v>
      </c>
      <c r="D748" s="718">
        <v>404</v>
      </c>
      <c r="H748" s="698" t="s">
        <v>29</v>
      </c>
      <c r="K748" s="710">
        <f>K746/40</f>
        <v>21.65</v>
      </c>
      <c r="M748" s="776">
        <v>0.872</v>
      </c>
      <c r="N748" s="697" t="s">
        <v>615</v>
      </c>
      <c r="O748" s="697" t="s">
        <v>1316</v>
      </c>
      <c r="P748" s="710">
        <f>C780</f>
        <v>387.4</v>
      </c>
      <c r="Q748" s="697" t="s">
        <v>615</v>
      </c>
      <c r="R748" s="710">
        <f t="shared" si="104"/>
        <v>337.81</v>
      </c>
      <c r="X748" s="709">
        <f t="shared" si="103"/>
        <v>8557.7000000000007</v>
      </c>
      <c r="AE748" s="724" t="str">
        <f t="shared" si="95"/>
        <v>|</v>
      </c>
      <c r="AG748" s="697" t="s">
        <v>2284</v>
      </c>
    </row>
    <row r="749" spans="1:33" ht="24" customHeight="1">
      <c r="A749" s="720" t="e">
        <f t="shared" si="96"/>
        <v>#REF!</v>
      </c>
      <c r="B749" s="697" t="s">
        <v>4988</v>
      </c>
      <c r="C749" s="718">
        <v>762</v>
      </c>
      <c r="D749" s="722" t="s">
        <v>1741</v>
      </c>
      <c r="K749" s="705" t="s">
        <v>1609</v>
      </c>
      <c r="M749" s="776">
        <v>1.3247</v>
      </c>
      <c r="N749" s="697" t="s">
        <v>615</v>
      </c>
      <c r="O749" s="697" t="s">
        <v>2118</v>
      </c>
      <c r="P749" s="710">
        <f>C29</f>
        <v>1325</v>
      </c>
      <c r="Q749" s="697" t="s">
        <v>615</v>
      </c>
      <c r="R749" s="710">
        <f t="shared" si="104"/>
        <v>1755.23</v>
      </c>
      <c r="X749" s="709">
        <f t="shared" si="103"/>
        <v>8643.2999999999993</v>
      </c>
      <c r="AE749" s="724" t="str">
        <f t="shared" si="95"/>
        <v>|</v>
      </c>
      <c r="AG749" s="697" t="s">
        <v>2284</v>
      </c>
    </row>
    <row r="750" spans="1:33" ht="24" customHeight="1">
      <c r="A750" s="720" t="e">
        <f t="shared" si="96"/>
        <v>#REF!</v>
      </c>
      <c r="B750" s="722" t="s">
        <v>834</v>
      </c>
      <c r="C750" s="737">
        <v>210</v>
      </c>
      <c r="D750" s="722" t="s">
        <v>1741</v>
      </c>
      <c r="H750" s="697" t="s">
        <v>906</v>
      </c>
      <c r="M750" s="710">
        <v>1</v>
      </c>
      <c r="N750" s="697" t="s">
        <v>877</v>
      </c>
      <c r="O750" s="697" t="s">
        <v>1748</v>
      </c>
      <c r="P750" s="710">
        <f>C296</f>
        <v>10.5</v>
      </c>
      <c r="Q750" s="697" t="s">
        <v>877</v>
      </c>
      <c r="R750" s="710">
        <f t="shared" si="104"/>
        <v>10.5</v>
      </c>
      <c r="X750" s="709">
        <f t="shared" si="103"/>
        <v>9306.2999999999993</v>
      </c>
      <c r="AE750" s="724" t="str">
        <f t="shared" si="95"/>
        <v>|</v>
      </c>
      <c r="AG750" s="697" t="s">
        <v>2284</v>
      </c>
    </row>
    <row r="751" spans="1:33" ht="24" customHeight="1">
      <c r="A751" s="720" t="e">
        <f t="shared" si="96"/>
        <v>#REF!</v>
      </c>
      <c r="B751" s="697" t="s">
        <v>4989</v>
      </c>
      <c r="C751" s="718">
        <v>1448</v>
      </c>
      <c r="D751" s="722" t="s">
        <v>615</v>
      </c>
      <c r="H751" s="697" t="s">
        <v>314</v>
      </c>
      <c r="M751" s="710">
        <v>3</v>
      </c>
      <c r="N751" s="697" t="s">
        <v>877</v>
      </c>
      <c r="O751" s="697" t="s">
        <v>1412</v>
      </c>
      <c r="P751" s="710">
        <f>C291</f>
        <v>5.75</v>
      </c>
      <c r="Q751" s="697" t="s">
        <v>877</v>
      </c>
      <c r="R751" s="710">
        <f t="shared" si="104"/>
        <v>17.25</v>
      </c>
      <c r="AE751" s="724" t="str">
        <f t="shared" si="95"/>
        <v>|</v>
      </c>
      <c r="AG751" s="697" t="s">
        <v>2284</v>
      </c>
    </row>
    <row r="752" spans="1:33" ht="24" customHeight="1">
      <c r="A752" s="720" t="e">
        <f t="shared" si="96"/>
        <v>#REF!</v>
      </c>
      <c r="B752" s="722" t="s">
        <v>1413</v>
      </c>
      <c r="C752" s="734"/>
      <c r="D752" s="722" t="s">
        <v>987</v>
      </c>
      <c r="H752" s="697" t="s">
        <v>316</v>
      </c>
      <c r="M752" s="710">
        <v>1</v>
      </c>
      <c r="N752" s="697" t="s">
        <v>877</v>
      </c>
      <c r="O752" s="697" t="s">
        <v>1416</v>
      </c>
      <c r="P752" s="710">
        <f>C299</f>
        <v>10</v>
      </c>
      <c r="Q752" s="697" t="s">
        <v>877</v>
      </c>
      <c r="R752" s="710">
        <f t="shared" si="104"/>
        <v>10</v>
      </c>
      <c r="AE752" s="724" t="str">
        <f t="shared" si="95"/>
        <v>|</v>
      </c>
      <c r="AG752" s="697" t="s">
        <v>2284</v>
      </c>
    </row>
    <row r="753" spans="1:33" ht="24" customHeight="1">
      <c r="A753" s="720" t="e">
        <f t="shared" si="96"/>
        <v>#REF!</v>
      </c>
      <c r="B753" s="722" t="s">
        <v>1417</v>
      </c>
      <c r="C753" s="734"/>
      <c r="D753" s="734"/>
      <c r="M753" s="710">
        <v>1</v>
      </c>
      <c r="N753" s="697" t="s">
        <v>877</v>
      </c>
      <c r="O753" s="697" t="s">
        <v>2005</v>
      </c>
      <c r="P753" s="710">
        <f>C300</f>
        <v>4</v>
      </c>
      <c r="Q753" s="697" t="s">
        <v>877</v>
      </c>
      <c r="R753" s="710">
        <f t="shared" si="104"/>
        <v>4</v>
      </c>
      <c r="AE753" s="724" t="str">
        <f t="shared" si="95"/>
        <v>|</v>
      </c>
      <c r="AG753" s="697" t="s">
        <v>2284</v>
      </c>
    </row>
    <row r="754" spans="1:33" ht="24" customHeight="1">
      <c r="A754" s="720" t="e">
        <f t="shared" si="96"/>
        <v>#REF!</v>
      </c>
      <c r="B754" s="722" t="s">
        <v>2203</v>
      </c>
      <c r="C754" s="721">
        <v>300</v>
      </c>
      <c r="D754" s="722" t="s">
        <v>2310</v>
      </c>
      <c r="F754" s="710">
        <v>19</v>
      </c>
      <c r="G754" s="708" t="s">
        <v>1452</v>
      </c>
      <c r="H754" s="697" t="s">
        <v>70</v>
      </c>
      <c r="I754" s="740">
        <f>K748</f>
        <v>21.65</v>
      </c>
      <c r="J754" s="697" t="s">
        <v>259</v>
      </c>
      <c r="K754" s="710">
        <f>(F754*I754)</f>
        <v>411.35</v>
      </c>
      <c r="N754" s="697" t="s">
        <v>450</v>
      </c>
      <c r="O754" s="697" t="s">
        <v>451</v>
      </c>
      <c r="Q754" s="697" t="s">
        <v>450</v>
      </c>
      <c r="R754" s="710">
        <v>0</v>
      </c>
      <c r="AE754" s="724" t="str">
        <f t="shared" si="95"/>
        <v>|</v>
      </c>
      <c r="AG754" s="697" t="s">
        <v>2284</v>
      </c>
    </row>
    <row r="755" spans="1:33" ht="24" customHeight="1">
      <c r="A755" s="720" t="e">
        <f t="shared" si="96"/>
        <v>#REF!</v>
      </c>
      <c r="B755" s="813" t="s">
        <v>783</v>
      </c>
      <c r="C755" s="721">
        <v>302</v>
      </c>
      <c r="D755" s="722" t="s">
        <v>2310</v>
      </c>
      <c r="H755" s="697" t="s">
        <v>1685</v>
      </c>
      <c r="R755" s="705" t="s">
        <v>1609</v>
      </c>
      <c r="AE755" s="724" t="str">
        <f t="shared" si="95"/>
        <v>|</v>
      </c>
      <c r="AG755" s="697" t="s">
        <v>2284</v>
      </c>
    </row>
    <row r="756" spans="1:33" ht="24" customHeight="1">
      <c r="A756" s="720" t="e">
        <f t="shared" si="96"/>
        <v>#REF!</v>
      </c>
      <c r="B756" s="722" t="s">
        <v>785</v>
      </c>
      <c r="C756" s="721">
        <v>382</v>
      </c>
      <c r="D756" s="722" t="s">
        <v>2310</v>
      </c>
      <c r="F756" s="710">
        <v>0.12</v>
      </c>
      <c r="G756" s="708" t="s">
        <v>2176</v>
      </c>
      <c r="H756" s="697" t="s">
        <v>1153</v>
      </c>
      <c r="I756" s="710">
        <f>C266/5</f>
        <v>3100</v>
      </c>
      <c r="J756" s="697" t="s">
        <v>259</v>
      </c>
      <c r="K756" s="710">
        <f t="shared" ref="K756:K763" si="105">(F756*I756)</f>
        <v>372</v>
      </c>
      <c r="O756" s="698" t="s">
        <v>753</v>
      </c>
      <c r="R756" s="710">
        <f>SUM(R747:R754)</f>
        <v>2940.84</v>
      </c>
      <c r="AE756" s="724" t="str">
        <f t="shared" si="95"/>
        <v>|</v>
      </c>
      <c r="AG756" s="697" t="s">
        <v>2284</v>
      </c>
    </row>
    <row r="757" spans="1:33" ht="24" customHeight="1">
      <c r="A757" s="720" t="e">
        <f t="shared" si="96"/>
        <v>#REF!</v>
      </c>
      <c r="B757" s="722" t="s">
        <v>574</v>
      </c>
      <c r="C757" s="721">
        <v>140</v>
      </c>
      <c r="D757" s="722" t="s">
        <v>2310</v>
      </c>
      <c r="F757" s="710">
        <v>98.5</v>
      </c>
      <c r="G757" s="708" t="s">
        <v>835</v>
      </c>
      <c r="H757" s="697" t="s">
        <v>836</v>
      </c>
      <c r="I757" s="710">
        <f>C267/5</f>
        <v>5.04</v>
      </c>
      <c r="J757" s="697" t="s">
        <v>259</v>
      </c>
      <c r="K757" s="710">
        <f t="shared" si="105"/>
        <v>496.44</v>
      </c>
      <c r="R757" s="705" t="s">
        <v>1609</v>
      </c>
      <c r="AE757" s="724" t="str">
        <f t="shared" ref="AE757:AE819" si="106">AG757</f>
        <v>|</v>
      </c>
      <c r="AG757" s="697" t="s">
        <v>2284</v>
      </c>
    </row>
    <row r="758" spans="1:33" ht="24" customHeight="1">
      <c r="A758" s="720" t="e">
        <f t="shared" si="96"/>
        <v>#REF!</v>
      </c>
      <c r="B758" s="722" t="s">
        <v>847</v>
      </c>
      <c r="C758" s="721">
        <v>222</v>
      </c>
      <c r="D758" s="722" t="s">
        <v>2310</v>
      </c>
      <c r="F758" s="710">
        <v>1</v>
      </c>
      <c r="G758" s="708" t="s">
        <v>450</v>
      </c>
      <c r="H758" s="697" t="s">
        <v>1411</v>
      </c>
      <c r="I758" s="774">
        <v>11</v>
      </c>
      <c r="J758" s="697" t="s">
        <v>450</v>
      </c>
      <c r="K758" s="710">
        <f t="shared" si="105"/>
        <v>11</v>
      </c>
      <c r="O758" s="698" t="s">
        <v>556</v>
      </c>
      <c r="R758" s="710">
        <f>R756/1.3247</f>
        <v>2220</v>
      </c>
      <c r="AE758" s="724" t="str">
        <f t="shared" si="106"/>
        <v>|</v>
      </c>
      <c r="AG758" s="697" t="s">
        <v>2284</v>
      </c>
    </row>
    <row r="759" spans="1:33" ht="24" customHeight="1">
      <c r="A759" s="720" t="e">
        <f t="shared" si="96"/>
        <v>#REF!</v>
      </c>
      <c r="B759" s="722" t="s">
        <v>618</v>
      </c>
      <c r="C759" s="721">
        <v>505</v>
      </c>
      <c r="D759" s="722" t="s">
        <v>2310</v>
      </c>
      <c r="F759" s="710">
        <v>3.8</v>
      </c>
      <c r="G759" s="708" t="s">
        <v>1414</v>
      </c>
      <c r="H759" s="697" t="s">
        <v>1415</v>
      </c>
      <c r="I759" s="710">
        <f>C14</f>
        <v>842</v>
      </c>
      <c r="J759" s="697" t="s">
        <v>1418</v>
      </c>
      <c r="K759" s="710">
        <f t="shared" si="105"/>
        <v>3199.6</v>
      </c>
      <c r="R759" s="705" t="s">
        <v>2080</v>
      </c>
      <c r="AE759" s="724" t="str">
        <f t="shared" si="106"/>
        <v>|</v>
      </c>
      <c r="AG759" s="697" t="s">
        <v>2284</v>
      </c>
    </row>
    <row r="760" spans="1:33" ht="24" customHeight="1">
      <c r="A760" s="720" t="e">
        <f t="shared" si="96"/>
        <v>#REF!</v>
      </c>
      <c r="B760" s="722" t="s">
        <v>4748</v>
      </c>
      <c r="C760" s="718">
        <v>272.2</v>
      </c>
      <c r="D760" s="722" t="s">
        <v>1741</v>
      </c>
      <c r="F760" s="710">
        <v>5.4</v>
      </c>
      <c r="G760" s="708" t="s">
        <v>1414</v>
      </c>
      <c r="H760" s="697" t="s">
        <v>832</v>
      </c>
      <c r="I760" s="710">
        <f>C10</f>
        <v>562</v>
      </c>
      <c r="J760" s="697" t="s">
        <v>1418</v>
      </c>
      <c r="K760" s="710">
        <f t="shared" si="105"/>
        <v>3034.8</v>
      </c>
      <c r="N760" s="697" t="s">
        <v>2276</v>
      </c>
      <c r="AE760" s="724" t="str">
        <f t="shared" si="106"/>
        <v>|</v>
      </c>
      <c r="AG760" s="697" t="s">
        <v>2284</v>
      </c>
    </row>
    <row r="761" spans="1:33" ht="24" customHeight="1">
      <c r="A761" s="734" t="s">
        <v>2869</v>
      </c>
      <c r="B761" s="722" t="s">
        <v>4749</v>
      </c>
      <c r="C761" s="718">
        <v>1000</v>
      </c>
      <c r="D761" s="722" t="s">
        <v>1741</v>
      </c>
      <c r="F761" s="710">
        <v>1</v>
      </c>
      <c r="G761" s="708" t="s">
        <v>1414</v>
      </c>
      <c r="H761" s="697" t="s">
        <v>2311</v>
      </c>
      <c r="I761" s="710">
        <f>C63</f>
        <v>739</v>
      </c>
      <c r="J761" s="697" t="s">
        <v>1418</v>
      </c>
      <c r="K761" s="710">
        <f t="shared" si="105"/>
        <v>739</v>
      </c>
      <c r="O761" s="697" t="s">
        <v>2309</v>
      </c>
      <c r="AE761" s="724" t="str">
        <f t="shared" si="106"/>
        <v>|</v>
      </c>
      <c r="AG761" s="697" t="s">
        <v>2284</v>
      </c>
    </row>
    <row r="762" spans="1:33" ht="24" customHeight="1">
      <c r="A762" s="720" t="e">
        <f>(A760+1)</f>
        <v>#REF!</v>
      </c>
      <c r="B762" s="722" t="s">
        <v>102</v>
      </c>
      <c r="C762" s="721">
        <v>43.3</v>
      </c>
      <c r="D762" s="722" t="s">
        <v>1796</v>
      </c>
      <c r="F762" s="710">
        <v>1</v>
      </c>
      <c r="G762" s="708" t="s">
        <v>450</v>
      </c>
      <c r="H762" s="697" t="s">
        <v>784</v>
      </c>
      <c r="I762" s="774">
        <v>10</v>
      </c>
      <c r="J762" s="697" t="s">
        <v>450</v>
      </c>
      <c r="K762" s="710">
        <f t="shared" si="105"/>
        <v>10</v>
      </c>
      <c r="O762" s="697" t="s">
        <v>2140</v>
      </c>
      <c r="AE762" s="724" t="str">
        <f t="shared" si="106"/>
        <v>|</v>
      </c>
      <c r="AG762" s="697" t="s">
        <v>2284</v>
      </c>
    </row>
    <row r="763" spans="1:33" ht="24" customHeight="1">
      <c r="A763" s="720" t="e">
        <f t="shared" ref="A763:A780" si="107">(A762+1)</f>
        <v>#REF!</v>
      </c>
      <c r="B763" s="722" t="s">
        <v>2141</v>
      </c>
      <c r="C763" s="721">
        <v>218</v>
      </c>
      <c r="D763" s="722" t="s">
        <v>1741</v>
      </c>
      <c r="F763" s="710">
        <v>19</v>
      </c>
      <c r="G763" s="708" t="s">
        <v>1452</v>
      </c>
      <c r="H763" s="697" t="s">
        <v>786</v>
      </c>
      <c r="I763" s="774">
        <v>2</v>
      </c>
      <c r="J763" s="697" t="s">
        <v>1452</v>
      </c>
      <c r="K763" s="710">
        <f t="shared" si="105"/>
        <v>38</v>
      </c>
      <c r="O763" s="697" t="s">
        <v>723</v>
      </c>
      <c r="AE763" s="724" t="str">
        <f t="shared" si="106"/>
        <v>|</v>
      </c>
      <c r="AG763" s="697" t="s">
        <v>2284</v>
      </c>
    </row>
    <row r="764" spans="1:33" ht="24" customHeight="1">
      <c r="A764" s="720" t="e">
        <f t="shared" si="107"/>
        <v>#REF!</v>
      </c>
      <c r="B764" s="722" t="s">
        <v>724</v>
      </c>
      <c r="C764" s="721">
        <v>926</v>
      </c>
      <c r="D764" s="722" t="s">
        <v>1741</v>
      </c>
      <c r="H764" s="697" t="s">
        <v>505</v>
      </c>
      <c r="K764" s="705" t="s">
        <v>1609</v>
      </c>
      <c r="O764" s="697" t="s">
        <v>88</v>
      </c>
      <c r="AE764" s="724" t="str">
        <f t="shared" si="106"/>
        <v>|</v>
      </c>
      <c r="AG764" s="697" t="s">
        <v>2284</v>
      </c>
    </row>
    <row r="765" spans="1:33" ht="24" customHeight="1">
      <c r="A765" s="720" t="e">
        <f t="shared" si="107"/>
        <v>#REF!</v>
      </c>
      <c r="B765" s="722" t="s">
        <v>89</v>
      </c>
      <c r="C765" s="721">
        <v>5.15</v>
      </c>
      <c r="D765" s="722" t="s">
        <v>1796</v>
      </c>
      <c r="H765" s="698" t="s">
        <v>442</v>
      </c>
      <c r="K765" s="710">
        <f>SUM(K754:K763)+0.07</f>
        <v>8312.26</v>
      </c>
      <c r="O765" s="705" t="s">
        <v>1609</v>
      </c>
      <c r="AE765" s="724" t="str">
        <f t="shared" si="106"/>
        <v>|</v>
      </c>
      <c r="AG765" s="697" t="s">
        <v>2284</v>
      </c>
    </row>
    <row r="766" spans="1:33" ht="24" customHeight="1">
      <c r="A766" s="720" t="e">
        <f t="shared" si="107"/>
        <v>#REF!</v>
      </c>
      <c r="B766" s="722" t="s">
        <v>571</v>
      </c>
      <c r="C766" s="721">
        <v>550</v>
      </c>
      <c r="D766" s="722" t="s">
        <v>1741</v>
      </c>
      <c r="K766" s="705" t="s">
        <v>1609</v>
      </c>
      <c r="AE766" s="724" t="str">
        <f t="shared" si="106"/>
        <v>|</v>
      </c>
      <c r="AG766" s="697" t="s">
        <v>2284</v>
      </c>
    </row>
    <row r="767" spans="1:33" ht="24" customHeight="1">
      <c r="A767" s="720" t="e">
        <f t="shared" si="107"/>
        <v>#REF!</v>
      </c>
      <c r="B767" s="722" t="s">
        <v>990</v>
      </c>
      <c r="C767" s="721">
        <v>286</v>
      </c>
      <c r="D767" s="722" t="s">
        <v>1741</v>
      </c>
      <c r="H767" s="698" t="s">
        <v>556</v>
      </c>
      <c r="K767" s="710">
        <f>(K765/10)</f>
        <v>831.23</v>
      </c>
      <c r="O767" s="697" t="s">
        <v>908</v>
      </c>
      <c r="R767" s="710">
        <f>(C720)</f>
        <v>1183.82</v>
      </c>
      <c r="AE767" s="724" t="str">
        <f t="shared" si="106"/>
        <v>|</v>
      </c>
      <c r="AG767" s="697" t="s">
        <v>2284</v>
      </c>
    </row>
    <row r="768" spans="1:33" ht="24" customHeight="1">
      <c r="A768" s="720" t="e">
        <f t="shared" si="107"/>
        <v>#REF!</v>
      </c>
      <c r="B768" s="722" t="s">
        <v>909</v>
      </c>
      <c r="C768" s="721">
        <v>96.3</v>
      </c>
      <c r="D768" s="722" t="s">
        <v>1796</v>
      </c>
      <c r="F768" s="697" t="s">
        <v>987</v>
      </c>
      <c r="R768" s="705" t="s">
        <v>2080</v>
      </c>
      <c r="AE768" s="724" t="str">
        <f t="shared" si="106"/>
        <v>|</v>
      </c>
      <c r="AG768" s="697" t="s">
        <v>2284</v>
      </c>
    </row>
    <row r="769" spans="1:33" ht="24" customHeight="1">
      <c r="A769" s="720" t="e">
        <f t="shared" si="107"/>
        <v>#REF!</v>
      </c>
      <c r="B769" s="722" t="s">
        <v>848</v>
      </c>
      <c r="C769" s="721">
        <v>51</v>
      </c>
      <c r="D769" s="722" t="s">
        <v>1741</v>
      </c>
      <c r="K769" s="705" t="s">
        <v>2080</v>
      </c>
      <c r="AE769" s="724" t="str">
        <f t="shared" si="106"/>
        <v>|</v>
      </c>
      <c r="AG769" s="697" t="s">
        <v>2284</v>
      </c>
    </row>
    <row r="770" spans="1:33" ht="24" customHeight="1">
      <c r="A770" s="720" t="e">
        <f t="shared" si="107"/>
        <v>#REF!</v>
      </c>
      <c r="B770" s="722" t="s">
        <v>558</v>
      </c>
      <c r="C770" s="721">
        <v>181</v>
      </c>
      <c r="D770" s="722" t="s">
        <v>792</v>
      </c>
      <c r="F770" s="698" t="s">
        <v>1512</v>
      </c>
      <c r="G770" s="708" t="s">
        <v>2276</v>
      </c>
      <c r="H770" s="697" t="s">
        <v>722</v>
      </c>
      <c r="N770" s="697" t="s">
        <v>2276</v>
      </c>
      <c r="O770" s="697" t="s">
        <v>560</v>
      </c>
      <c r="AE770" s="724" t="str">
        <f t="shared" si="106"/>
        <v>|</v>
      </c>
      <c r="AG770" s="697" t="s">
        <v>2284</v>
      </c>
    </row>
    <row r="771" spans="1:33" ht="24" customHeight="1">
      <c r="A771" s="720" t="e">
        <f t="shared" si="107"/>
        <v>#REF!</v>
      </c>
      <c r="B771" s="722" t="s">
        <v>561</v>
      </c>
      <c r="C771" s="721">
        <v>36.200000000000003</v>
      </c>
      <c r="D771" s="722" t="s">
        <v>1796</v>
      </c>
      <c r="H771" s="697" t="s">
        <v>725</v>
      </c>
      <c r="O771" s="705" t="s">
        <v>2080</v>
      </c>
      <c r="P771" s="705" t="s">
        <v>2080</v>
      </c>
      <c r="Q771" s="705" t="s">
        <v>2080</v>
      </c>
      <c r="R771" s="697" t="s">
        <v>1016</v>
      </c>
      <c r="AE771" s="724" t="str">
        <f t="shared" si="106"/>
        <v>|</v>
      </c>
      <c r="AG771" s="697" t="s">
        <v>2284</v>
      </c>
    </row>
    <row r="772" spans="1:33" ht="24" customHeight="1">
      <c r="A772" s="720" t="e">
        <f t="shared" si="107"/>
        <v>#REF!</v>
      </c>
      <c r="B772" s="722" t="s">
        <v>664</v>
      </c>
      <c r="C772" s="721">
        <v>98</v>
      </c>
      <c r="D772" s="722" t="s">
        <v>1741</v>
      </c>
      <c r="H772" s="697" t="s">
        <v>2298</v>
      </c>
      <c r="O772" s="697" t="s">
        <v>1454</v>
      </c>
      <c r="Q772" s="698" t="s">
        <v>835</v>
      </c>
      <c r="R772" s="710">
        <f>(C723)</f>
        <v>147.6</v>
      </c>
      <c r="AE772" s="724" t="str">
        <f t="shared" si="106"/>
        <v>|</v>
      </c>
      <c r="AG772" s="697" t="s">
        <v>2284</v>
      </c>
    </row>
    <row r="773" spans="1:33" ht="24" customHeight="1">
      <c r="A773" s="720" t="e">
        <f t="shared" si="107"/>
        <v>#REF!</v>
      </c>
      <c r="B773" s="722" t="s">
        <v>1984</v>
      </c>
      <c r="C773" s="721">
        <v>92</v>
      </c>
      <c r="D773" s="722" t="s">
        <v>1796</v>
      </c>
      <c r="H773" s="705" t="s">
        <v>1609</v>
      </c>
      <c r="O773" s="697" t="s">
        <v>2109</v>
      </c>
      <c r="AE773" s="724" t="str">
        <f t="shared" si="106"/>
        <v>|::</v>
      </c>
      <c r="AG773" s="697" t="s">
        <v>322</v>
      </c>
    </row>
    <row r="774" spans="1:33" ht="24" customHeight="1">
      <c r="A774" s="720" t="e">
        <f t="shared" si="107"/>
        <v>#REF!</v>
      </c>
      <c r="B774" s="722" t="s">
        <v>325</v>
      </c>
      <c r="C774" s="721">
        <v>49.42</v>
      </c>
      <c r="D774" s="722" t="s">
        <v>1741</v>
      </c>
      <c r="F774" s="710">
        <v>10</v>
      </c>
      <c r="G774" s="708" t="s">
        <v>615</v>
      </c>
      <c r="H774" s="697" t="s">
        <v>907</v>
      </c>
      <c r="I774" s="710">
        <f>(K754)*1.2</f>
        <v>493.62</v>
      </c>
      <c r="J774" s="697" t="s">
        <v>259</v>
      </c>
      <c r="K774" s="710">
        <f>(F774*I774)/10</f>
        <v>493.62</v>
      </c>
      <c r="O774" s="697" t="s">
        <v>326</v>
      </c>
      <c r="AE774" s="724">
        <f t="shared" si="106"/>
        <v>0</v>
      </c>
    </row>
    <row r="775" spans="1:33" ht="24" customHeight="1">
      <c r="A775" s="720" t="e">
        <f t="shared" si="107"/>
        <v>#REF!</v>
      </c>
      <c r="B775" s="722" t="s">
        <v>721</v>
      </c>
      <c r="C775" s="721">
        <v>53.2</v>
      </c>
      <c r="D775" s="722" t="s">
        <v>1741</v>
      </c>
      <c r="H775" s="697" t="s">
        <v>910</v>
      </c>
      <c r="O775" s="697" t="s">
        <v>1060</v>
      </c>
      <c r="AE775" s="724">
        <f t="shared" si="106"/>
        <v>0</v>
      </c>
    </row>
    <row r="776" spans="1:33" ht="24" customHeight="1">
      <c r="A776" s="720" t="e">
        <f t="shared" si="107"/>
        <v>#REF!</v>
      </c>
      <c r="B776" s="722" t="s">
        <v>1061</v>
      </c>
      <c r="C776" s="721">
        <v>59</v>
      </c>
      <c r="D776" s="722" t="s">
        <v>1741</v>
      </c>
      <c r="H776" s="697" t="s">
        <v>849</v>
      </c>
      <c r="O776" s="697" t="s">
        <v>1119</v>
      </c>
      <c r="AE776" s="724" t="str">
        <f t="shared" si="106"/>
        <v>|</v>
      </c>
      <c r="AG776" s="697" t="s">
        <v>2284</v>
      </c>
    </row>
    <row r="777" spans="1:33" ht="24" customHeight="1">
      <c r="A777" s="720" t="e">
        <f t="shared" si="107"/>
        <v>#REF!</v>
      </c>
      <c r="B777" s="722" t="s">
        <v>973</v>
      </c>
      <c r="C777" s="721">
        <v>100</v>
      </c>
      <c r="D777" s="722" t="s">
        <v>1741</v>
      </c>
      <c r="F777" s="710">
        <v>10</v>
      </c>
      <c r="G777" s="708" t="s">
        <v>615</v>
      </c>
      <c r="H777" s="697" t="s">
        <v>559</v>
      </c>
      <c r="I777" s="710">
        <f>K756*1.2</f>
        <v>446.4</v>
      </c>
      <c r="J777" s="697" t="s">
        <v>259</v>
      </c>
      <c r="K777" s="710">
        <f>(F777*I777)/10</f>
        <v>446.4</v>
      </c>
      <c r="O777" s="697" t="s">
        <v>1128</v>
      </c>
      <c r="R777" s="697" t="s">
        <v>987</v>
      </c>
      <c r="AE777" s="724">
        <f t="shared" si="106"/>
        <v>0</v>
      </c>
    </row>
    <row r="778" spans="1:33" ht="24" customHeight="1">
      <c r="A778" s="720" t="e">
        <f t="shared" si="107"/>
        <v>#REF!</v>
      </c>
      <c r="B778" s="722" t="s">
        <v>1129</v>
      </c>
      <c r="C778" s="721">
        <v>49.52</v>
      </c>
      <c r="D778" s="722" t="s">
        <v>1796</v>
      </c>
      <c r="H778" s="697" t="s">
        <v>1015</v>
      </c>
      <c r="O778" s="697" t="s">
        <v>987</v>
      </c>
      <c r="AE778" s="724" t="str">
        <f t="shared" si="106"/>
        <v>|</v>
      </c>
      <c r="AG778" s="697" t="s">
        <v>2284</v>
      </c>
    </row>
    <row r="779" spans="1:33" ht="24" customHeight="1">
      <c r="A779" s="720" t="e">
        <f t="shared" si="107"/>
        <v>#REF!</v>
      </c>
      <c r="B779" s="722" t="s">
        <v>2152</v>
      </c>
      <c r="C779" s="721">
        <v>1080</v>
      </c>
      <c r="D779" s="722" t="s">
        <v>1741</v>
      </c>
      <c r="H779" s="697" t="s">
        <v>825</v>
      </c>
      <c r="AE779" s="724" t="str">
        <f t="shared" si="106"/>
        <v>|</v>
      </c>
      <c r="AG779" s="697" t="s">
        <v>2284</v>
      </c>
    </row>
    <row r="780" spans="1:33" ht="24" customHeight="1">
      <c r="A780" s="720" t="e">
        <f t="shared" si="107"/>
        <v>#REF!</v>
      </c>
      <c r="B780" s="722" t="s">
        <v>4331</v>
      </c>
      <c r="C780" s="737">
        <v>387.4</v>
      </c>
      <c r="D780" s="722" t="s">
        <v>615</v>
      </c>
      <c r="F780" s="710">
        <v>98.5</v>
      </c>
      <c r="G780" s="708" t="s">
        <v>835</v>
      </c>
      <c r="H780" s="697" t="s">
        <v>836</v>
      </c>
      <c r="I780" s="710">
        <f>C267/5</f>
        <v>5.04</v>
      </c>
      <c r="J780" s="697" t="s">
        <v>259</v>
      </c>
      <c r="K780" s="710">
        <f t="shared" ref="K780:K786" si="108">(F780*I780)</f>
        <v>496.44</v>
      </c>
      <c r="N780" s="697" t="s">
        <v>2276</v>
      </c>
      <c r="O780" s="697" t="s">
        <v>2154</v>
      </c>
      <c r="Q780" s="698" t="s">
        <v>2308</v>
      </c>
      <c r="R780" s="710">
        <f>(C727)</f>
        <v>1250</v>
      </c>
      <c r="AE780" s="724" t="str">
        <f t="shared" si="106"/>
        <v>|</v>
      </c>
      <c r="AG780" s="697" t="s">
        <v>2284</v>
      </c>
    </row>
    <row r="781" spans="1:33" ht="24" customHeight="1">
      <c r="A781" s="720" t="e">
        <f>(#REF!+1)</f>
        <v>#REF!</v>
      </c>
      <c r="B781" s="722" t="s">
        <v>1417</v>
      </c>
      <c r="C781" s="734"/>
      <c r="D781" s="734"/>
      <c r="F781" s="710">
        <v>3.8</v>
      </c>
      <c r="G781" s="708" t="s">
        <v>778</v>
      </c>
      <c r="H781" s="697" t="s">
        <v>502</v>
      </c>
      <c r="I781" s="710">
        <f>(C14)</f>
        <v>842</v>
      </c>
      <c r="J781" s="697" t="s">
        <v>778</v>
      </c>
      <c r="K781" s="710">
        <f t="shared" si="108"/>
        <v>3199.6</v>
      </c>
      <c r="O781" s="697" t="s">
        <v>1708</v>
      </c>
      <c r="AE781" s="724" t="str">
        <f t="shared" si="106"/>
        <v>|</v>
      </c>
      <c r="AG781" s="697" t="s">
        <v>2284</v>
      </c>
    </row>
    <row r="782" spans="1:33" ht="24" customHeight="1">
      <c r="A782" s="720"/>
      <c r="B782" s="722" t="s">
        <v>2203</v>
      </c>
      <c r="C782" s="721">
        <v>300</v>
      </c>
      <c r="D782" s="734"/>
      <c r="F782" s="710">
        <v>5.4</v>
      </c>
      <c r="G782" s="708" t="s">
        <v>778</v>
      </c>
      <c r="H782" s="697" t="s">
        <v>1927</v>
      </c>
      <c r="I782" s="710">
        <f>(C10)</f>
        <v>562</v>
      </c>
      <c r="J782" s="697" t="s">
        <v>778</v>
      </c>
      <c r="K782" s="710">
        <f t="shared" si="108"/>
        <v>3034.8</v>
      </c>
      <c r="O782" s="697" t="s">
        <v>318</v>
      </c>
      <c r="AE782" s="724" t="str">
        <f t="shared" si="106"/>
        <v>|</v>
      </c>
      <c r="AG782" s="697" t="s">
        <v>2284</v>
      </c>
    </row>
    <row r="783" spans="1:33" ht="24" customHeight="1">
      <c r="A783" s="720"/>
      <c r="B783" s="813" t="s">
        <v>783</v>
      </c>
      <c r="C783" s="721">
        <v>302</v>
      </c>
      <c r="D783" s="734"/>
      <c r="F783" s="710">
        <v>1</v>
      </c>
      <c r="G783" s="708" t="s">
        <v>778</v>
      </c>
      <c r="H783" s="697" t="s">
        <v>2311</v>
      </c>
      <c r="I783" s="710">
        <f>C63</f>
        <v>739</v>
      </c>
      <c r="J783" s="697" t="s">
        <v>1418</v>
      </c>
      <c r="K783" s="710">
        <f t="shared" si="108"/>
        <v>739</v>
      </c>
      <c r="O783" s="697" t="s">
        <v>1285</v>
      </c>
      <c r="AE783" s="724" t="str">
        <f t="shared" si="106"/>
        <v>|</v>
      </c>
      <c r="AG783" s="697" t="s">
        <v>2284</v>
      </c>
    </row>
    <row r="784" spans="1:33" ht="24" customHeight="1">
      <c r="A784" s="720"/>
      <c r="B784" s="722" t="s">
        <v>1286</v>
      </c>
      <c r="C784" s="721">
        <v>324</v>
      </c>
      <c r="D784" s="734"/>
      <c r="F784" s="710">
        <v>1</v>
      </c>
      <c r="G784" s="708" t="s">
        <v>450</v>
      </c>
      <c r="H784" s="697" t="s">
        <v>974</v>
      </c>
      <c r="I784" s="710">
        <f>I758</f>
        <v>11</v>
      </c>
      <c r="J784" s="697" t="s">
        <v>1418</v>
      </c>
      <c r="K784" s="710">
        <f t="shared" si="108"/>
        <v>11</v>
      </c>
      <c r="AE784" s="724" t="str">
        <f t="shared" si="106"/>
        <v>|</v>
      </c>
      <c r="AG784" s="697" t="s">
        <v>2284</v>
      </c>
    </row>
    <row r="785" spans="1:33" ht="24" customHeight="1">
      <c r="A785" s="720"/>
      <c r="B785" s="722" t="s">
        <v>785</v>
      </c>
      <c r="C785" s="721">
        <v>382</v>
      </c>
      <c r="D785" s="734"/>
      <c r="F785" s="710">
        <v>1</v>
      </c>
      <c r="G785" s="708" t="s">
        <v>450</v>
      </c>
      <c r="H785" s="697" t="s">
        <v>1317</v>
      </c>
      <c r="I785" s="814">
        <v>10</v>
      </c>
      <c r="J785" s="697" t="s">
        <v>450</v>
      </c>
      <c r="K785" s="710">
        <f t="shared" si="108"/>
        <v>10</v>
      </c>
      <c r="N785" s="697" t="s">
        <v>2276</v>
      </c>
      <c r="O785" s="697" t="s">
        <v>598</v>
      </c>
      <c r="AE785" s="724" t="str">
        <f t="shared" si="106"/>
        <v>|</v>
      </c>
      <c r="AG785" s="697" t="s">
        <v>2284</v>
      </c>
    </row>
    <row r="786" spans="1:33" ht="24" customHeight="1">
      <c r="A786" s="720"/>
      <c r="B786" s="722" t="s">
        <v>618</v>
      </c>
      <c r="C786" s="721">
        <v>505</v>
      </c>
      <c r="D786" s="734"/>
      <c r="F786" s="710">
        <v>19</v>
      </c>
      <c r="G786" s="708" t="s">
        <v>1452</v>
      </c>
      <c r="H786" s="697" t="s">
        <v>2153</v>
      </c>
      <c r="I786" s="814">
        <v>2</v>
      </c>
      <c r="J786" s="702" t="s">
        <v>1452</v>
      </c>
      <c r="K786" s="710">
        <f t="shared" si="108"/>
        <v>38</v>
      </c>
      <c r="O786" s="697" t="s">
        <v>4172</v>
      </c>
      <c r="R786" s="697" t="s">
        <v>987</v>
      </c>
      <c r="AE786" s="724" t="str">
        <f t="shared" si="106"/>
        <v>|</v>
      </c>
      <c r="AG786" s="697" t="s">
        <v>2284</v>
      </c>
    </row>
    <row r="787" spans="1:33" ht="24" customHeight="1">
      <c r="A787" s="720"/>
      <c r="B787" s="722" t="s">
        <v>574</v>
      </c>
      <c r="C787" s="721">
        <v>140</v>
      </c>
      <c r="D787" s="734"/>
      <c r="H787" s="697" t="s">
        <v>77</v>
      </c>
      <c r="O787" s="697" t="s">
        <v>2116</v>
      </c>
      <c r="AE787" s="724" t="str">
        <f t="shared" si="106"/>
        <v>|</v>
      </c>
      <c r="AG787" s="697" t="s">
        <v>2284</v>
      </c>
    </row>
    <row r="788" spans="1:33" ht="24" customHeight="1">
      <c r="A788" s="720"/>
      <c r="B788" s="722" t="s">
        <v>847</v>
      </c>
      <c r="C788" s="721">
        <v>222</v>
      </c>
      <c r="D788" s="734"/>
      <c r="K788" s="705" t="s">
        <v>1609</v>
      </c>
      <c r="O788" s="705" t="s">
        <v>1609</v>
      </c>
      <c r="AE788" s="724" t="str">
        <f t="shared" si="106"/>
        <v>|</v>
      </c>
      <c r="AG788" s="697" t="s">
        <v>2284</v>
      </c>
    </row>
    <row r="789" spans="1:33" ht="24" customHeight="1">
      <c r="A789" s="720"/>
      <c r="B789" s="722" t="s">
        <v>738</v>
      </c>
      <c r="C789" s="721">
        <v>100</v>
      </c>
      <c r="D789" s="734"/>
      <c r="H789" s="697" t="s">
        <v>442</v>
      </c>
      <c r="K789" s="710">
        <f>SUM(K774:K787)</f>
        <v>8468.86</v>
      </c>
      <c r="N789" s="697" t="s">
        <v>236</v>
      </c>
      <c r="O789" s="697" t="s">
        <v>4171</v>
      </c>
      <c r="P789" s="710">
        <f>(C269)</f>
        <v>303.89999999999998</v>
      </c>
      <c r="Q789" s="697" t="s">
        <v>236</v>
      </c>
      <c r="R789" s="710">
        <f>M789*P789</f>
        <v>0</v>
      </c>
      <c r="AE789" s="724" t="str">
        <f t="shared" si="106"/>
        <v>|</v>
      </c>
      <c r="AG789" s="697" t="s">
        <v>2284</v>
      </c>
    </row>
    <row r="790" spans="1:33" ht="24" customHeight="1">
      <c r="A790" s="720"/>
      <c r="B790" s="722" t="s">
        <v>499</v>
      </c>
      <c r="C790" s="721">
        <v>75</v>
      </c>
      <c r="D790" s="734"/>
      <c r="K790" s="705" t="s">
        <v>1609</v>
      </c>
      <c r="R790" s="710"/>
      <c r="AE790" s="724" t="str">
        <f t="shared" si="106"/>
        <v>|</v>
      </c>
      <c r="AG790" s="697" t="s">
        <v>2284</v>
      </c>
    </row>
    <row r="791" spans="1:33" ht="24" customHeight="1">
      <c r="A791" s="720"/>
      <c r="B791" s="722" t="s">
        <v>1174</v>
      </c>
      <c r="C791" s="721">
        <v>218</v>
      </c>
      <c r="D791" s="734"/>
      <c r="H791" s="697" t="s">
        <v>556</v>
      </c>
      <c r="K791" s="710">
        <f>(K789/10)</f>
        <v>846.89</v>
      </c>
      <c r="N791" s="697" t="s">
        <v>1176</v>
      </c>
      <c r="O791" s="697" t="s">
        <v>274</v>
      </c>
      <c r="P791" s="710">
        <f>(C14)</f>
        <v>842</v>
      </c>
      <c r="Q791" s="697" t="s">
        <v>1176</v>
      </c>
      <c r="R791" s="710">
        <f>M791*P791</f>
        <v>0</v>
      </c>
      <c r="AE791" s="724" t="str">
        <f t="shared" si="106"/>
        <v>|</v>
      </c>
      <c r="AG791" s="697" t="s">
        <v>2284</v>
      </c>
    </row>
    <row r="792" spans="1:33" ht="24" customHeight="1">
      <c r="A792" s="720"/>
      <c r="B792" s="722" t="s">
        <v>275</v>
      </c>
      <c r="C792" s="721">
        <v>1854</v>
      </c>
      <c r="D792" s="734"/>
      <c r="K792" s="705" t="s">
        <v>2080</v>
      </c>
      <c r="R792" s="710"/>
      <c r="AE792" s="724" t="str">
        <f t="shared" si="106"/>
        <v>|</v>
      </c>
      <c r="AG792" s="697" t="s">
        <v>2284</v>
      </c>
    </row>
    <row r="793" spans="1:33" ht="24" customHeight="1">
      <c r="A793" s="720"/>
      <c r="B793" s="722" t="s">
        <v>164</v>
      </c>
      <c r="C793" s="721">
        <v>51</v>
      </c>
      <c r="D793" s="734"/>
      <c r="O793" s="697" t="s">
        <v>1346</v>
      </c>
      <c r="P793" s="805" t="s">
        <v>450</v>
      </c>
      <c r="R793" s="710">
        <v>0.64</v>
      </c>
      <c r="AE793" s="724" t="str">
        <f t="shared" si="106"/>
        <v>|</v>
      </c>
      <c r="AG793" s="697" t="s">
        <v>2284</v>
      </c>
    </row>
    <row r="794" spans="1:33" ht="24" customHeight="1">
      <c r="A794" s="720"/>
      <c r="B794" s="722" t="s">
        <v>1402</v>
      </c>
      <c r="C794" s="721">
        <v>915</v>
      </c>
      <c r="D794" s="734"/>
      <c r="F794" s="698" t="s">
        <v>894</v>
      </c>
      <c r="G794" s="708" t="s">
        <v>2276</v>
      </c>
      <c r="H794" s="697" t="s">
        <v>722</v>
      </c>
      <c r="R794" s="705" t="s">
        <v>1609</v>
      </c>
      <c r="AE794" s="724" t="str">
        <f t="shared" si="106"/>
        <v>|</v>
      </c>
      <c r="AG794" s="697" t="s">
        <v>2284</v>
      </c>
    </row>
    <row r="795" spans="1:33" ht="24" customHeight="1">
      <c r="A795" s="720"/>
      <c r="B795" s="722" t="s">
        <v>133</v>
      </c>
      <c r="C795" s="721">
        <v>890</v>
      </c>
      <c r="D795" s="734"/>
      <c r="H795" s="697" t="s">
        <v>725</v>
      </c>
      <c r="O795" s="697" t="s">
        <v>1955</v>
      </c>
      <c r="R795" s="710">
        <f>SUM(R789:R793)</f>
        <v>0.64</v>
      </c>
      <c r="AE795" s="724" t="str">
        <f t="shared" si="106"/>
        <v>|</v>
      </c>
      <c r="AG795" s="697" t="s">
        <v>2284</v>
      </c>
    </row>
    <row r="796" spans="1:33" ht="24" customHeight="1">
      <c r="A796" s="720"/>
      <c r="B796" s="722" t="s">
        <v>1956</v>
      </c>
      <c r="C796" s="721">
        <v>5.15</v>
      </c>
      <c r="D796" s="734"/>
      <c r="H796" s="697" t="s">
        <v>277</v>
      </c>
      <c r="R796" s="705" t="s">
        <v>1609</v>
      </c>
      <c r="U796" s="758" t="s">
        <v>3528</v>
      </c>
      <c r="AE796" s="724" t="str">
        <f t="shared" si="106"/>
        <v>|</v>
      </c>
      <c r="AG796" s="697" t="s">
        <v>2284</v>
      </c>
    </row>
    <row r="797" spans="1:33" ht="24" customHeight="1">
      <c r="A797" s="720"/>
      <c r="B797" s="722" t="s">
        <v>1430</v>
      </c>
      <c r="C797" s="721">
        <v>43.3</v>
      </c>
      <c r="D797" s="734"/>
      <c r="H797" s="705" t="s">
        <v>1609</v>
      </c>
      <c r="O797" s="697" t="s">
        <v>1432</v>
      </c>
      <c r="R797" s="710">
        <f>(R795/0.4)</f>
        <v>1.6</v>
      </c>
      <c r="S797" s="703">
        <v>0.443</v>
      </c>
      <c r="T797" s="699" t="s">
        <v>1361</v>
      </c>
      <c r="U797" s="699" t="s">
        <v>3521</v>
      </c>
      <c r="V797" s="699">
        <f>AC12</f>
        <v>1679.5</v>
      </c>
      <c r="X797" s="699">
        <f>V797*S797</f>
        <v>744.02</v>
      </c>
      <c r="AE797" s="724" t="str">
        <f t="shared" si="106"/>
        <v>|</v>
      </c>
      <c r="AG797" s="697" t="s">
        <v>2284</v>
      </c>
    </row>
    <row r="798" spans="1:33" ht="24" customHeight="1">
      <c r="A798" s="720"/>
      <c r="B798" s="722" t="s">
        <v>81</v>
      </c>
      <c r="C798" s="721">
        <v>920</v>
      </c>
      <c r="D798" s="734"/>
      <c r="H798" s="697" t="s">
        <v>1175</v>
      </c>
      <c r="K798" s="710">
        <f>(K729/2)</f>
        <v>425.79</v>
      </c>
      <c r="R798" s="705" t="s">
        <v>2080</v>
      </c>
      <c r="S798" s="703">
        <v>0.29499999999999998</v>
      </c>
      <c r="T798" s="699" t="s">
        <v>1361</v>
      </c>
      <c r="U798" s="699" t="s">
        <v>3522</v>
      </c>
      <c r="V798" s="699">
        <f>AC10</f>
        <v>1224.5</v>
      </c>
      <c r="X798" s="699">
        <f t="shared" ref="X798:X804" si="109">V798*S798</f>
        <v>361.23</v>
      </c>
      <c r="AE798" s="724" t="str">
        <f t="shared" si="106"/>
        <v>|</v>
      </c>
      <c r="AG798" s="697" t="s">
        <v>2284</v>
      </c>
    </row>
    <row r="799" spans="1:33" ht="24" customHeight="1">
      <c r="A799" s="720"/>
      <c r="B799" s="722" t="s">
        <v>82</v>
      </c>
      <c r="C799" s="721">
        <v>98</v>
      </c>
      <c r="D799" s="734"/>
      <c r="H799" s="697" t="s">
        <v>276</v>
      </c>
      <c r="K799" s="705" t="s">
        <v>2080</v>
      </c>
      <c r="N799" s="746" t="s">
        <v>2276</v>
      </c>
      <c r="O799" s="746" t="s">
        <v>2142</v>
      </c>
      <c r="P799" s="780"/>
      <c r="Q799" s="780"/>
      <c r="R799" s="780"/>
      <c r="S799" s="703">
        <v>0.43</v>
      </c>
      <c r="T799" s="699" t="s">
        <v>1361</v>
      </c>
      <c r="U799" s="699" t="s">
        <v>5354</v>
      </c>
      <c r="V799" s="699">
        <f>I806</f>
        <v>1511.1</v>
      </c>
      <c r="X799" s="699">
        <f t="shared" si="109"/>
        <v>649.77</v>
      </c>
      <c r="AE799" s="724" t="str">
        <f t="shared" si="106"/>
        <v>|</v>
      </c>
      <c r="AG799" s="697" t="s">
        <v>2284</v>
      </c>
    </row>
    <row r="800" spans="1:33" ht="24" customHeight="1">
      <c r="A800" s="720"/>
      <c r="B800" s="722" t="s">
        <v>2143</v>
      </c>
      <c r="C800" s="721">
        <v>181</v>
      </c>
      <c r="D800" s="734"/>
      <c r="F800" s="698" t="s">
        <v>165</v>
      </c>
      <c r="G800" s="708" t="s">
        <v>2276</v>
      </c>
      <c r="H800" s="697" t="s">
        <v>166</v>
      </c>
      <c r="N800" s="780"/>
      <c r="O800" s="746" t="s">
        <v>717</v>
      </c>
      <c r="P800" s="780"/>
      <c r="Q800" s="780"/>
      <c r="R800" s="780"/>
      <c r="S800" s="703">
        <v>0.39</v>
      </c>
      <c r="T800" s="699" t="s">
        <v>530</v>
      </c>
      <c r="U800" s="699" t="s">
        <v>390</v>
      </c>
      <c r="V800" s="699">
        <f>I805</f>
        <v>5960</v>
      </c>
      <c r="X800" s="699">
        <f t="shared" si="109"/>
        <v>2324.4</v>
      </c>
      <c r="AE800" s="724" t="str">
        <f t="shared" si="106"/>
        <v>|</v>
      </c>
      <c r="AG800" s="697" t="s">
        <v>2284</v>
      </c>
    </row>
    <row r="801" spans="1:33" ht="24" customHeight="1">
      <c r="A801" s="720"/>
      <c r="B801" s="722" t="s">
        <v>93</v>
      </c>
      <c r="C801" s="721">
        <v>1148.76</v>
      </c>
      <c r="D801" s="734"/>
      <c r="H801" s="697" t="s">
        <v>1403</v>
      </c>
      <c r="N801" s="780"/>
      <c r="O801" s="746" t="s">
        <v>94</v>
      </c>
      <c r="P801" s="780"/>
      <c r="Q801" s="780"/>
      <c r="R801" s="780"/>
      <c r="S801" s="703">
        <v>0.35</v>
      </c>
      <c r="T801" s="699" t="s">
        <v>1452</v>
      </c>
      <c r="U801" s="699" t="s">
        <v>466</v>
      </c>
      <c r="V801" s="699">
        <f>I807</f>
        <v>804</v>
      </c>
      <c r="W801" s="699" t="str">
        <f>J807</f>
        <v>NO.</v>
      </c>
      <c r="X801" s="699">
        <f t="shared" si="109"/>
        <v>281.39999999999998</v>
      </c>
      <c r="AE801" s="724" t="str">
        <f t="shared" si="106"/>
        <v>|</v>
      </c>
      <c r="AG801" s="697" t="s">
        <v>2284</v>
      </c>
    </row>
    <row r="802" spans="1:33" ht="24" customHeight="1">
      <c r="A802" s="720"/>
      <c r="B802" s="722" t="s">
        <v>1571</v>
      </c>
      <c r="C802" s="721">
        <v>967</v>
      </c>
      <c r="D802" s="734"/>
      <c r="H802" s="697" t="s">
        <v>134</v>
      </c>
      <c r="N802" s="780"/>
      <c r="O802" s="815" t="s">
        <v>1609</v>
      </c>
      <c r="P802" s="780"/>
      <c r="Q802" s="780"/>
      <c r="R802" s="780"/>
      <c r="S802" s="703">
        <v>2.12</v>
      </c>
      <c r="T802" s="699" t="s">
        <v>1452</v>
      </c>
      <c r="U802" s="699" t="s">
        <v>3523</v>
      </c>
      <c r="V802" s="699">
        <f>I808</f>
        <v>562</v>
      </c>
      <c r="X802" s="699">
        <f t="shared" si="109"/>
        <v>1191.44</v>
      </c>
      <c r="AE802" s="724" t="str">
        <f t="shared" si="106"/>
        <v>|</v>
      </c>
      <c r="AG802" s="697" t="s">
        <v>2284</v>
      </c>
    </row>
    <row r="803" spans="1:33" ht="24" customHeight="1">
      <c r="A803" s="720"/>
      <c r="B803" s="722" t="s">
        <v>5234</v>
      </c>
      <c r="C803" s="816">
        <v>33.9</v>
      </c>
      <c r="D803" s="734"/>
      <c r="H803" s="705" t="s">
        <v>1609</v>
      </c>
      <c r="N803" s="817" t="s">
        <v>1932</v>
      </c>
      <c r="O803" s="746" t="s">
        <v>864</v>
      </c>
      <c r="P803" s="780"/>
      <c r="Q803" s="780"/>
      <c r="R803" s="780"/>
      <c r="S803" s="703">
        <v>3.53</v>
      </c>
      <c r="T803" s="699" t="s">
        <v>1452</v>
      </c>
      <c r="U803" s="699" t="s">
        <v>3524</v>
      </c>
      <c r="V803" s="699">
        <f>I809</f>
        <v>461</v>
      </c>
      <c r="X803" s="699">
        <f t="shared" si="109"/>
        <v>1627.33</v>
      </c>
      <c r="AE803" s="724" t="str">
        <f t="shared" si="106"/>
        <v>|</v>
      </c>
      <c r="AG803" s="697" t="s">
        <v>2284</v>
      </c>
    </row>
    <row r="804" spans="1:33" ht="24" customHeight="1">
      <c r="A804" s="720"/>
      <c r="B804" s="722" t="s">
        <v>1787</v>
      </c>
      <c r="C804" s="721">
        <v>2107</v>
      </c>
      <c r="D804" s="734"/>
      <c r="F804" s="740">
        <v>9</v>
      </c>
      <c r="G804" s="708" t="s">
        <v>878</v>
      </c>
      <c r="H804" s="697" t="s">
        <v>1431</v>
      </c>
      <c r="I804" s="710">
        <f>C70</f>
        <v>1679.5</v>
      </c>
      <c r="J804" s="697" t="s">
        <v>878</v>
      </c>
      <c r="K804" s="710">
        <f t="shared" ref="K804:K809" si="110">F804*I804</f>
        <v>15115.5</v>
      </c>
      <c r="N804" s="780"/>
      <c r="O804" s="746" t="s">
        <v>1788</v>
      </c>
      <c r="P804" s="780"/>
      <c r="Q804" s="780"/>
      <c r="R804" s="780"/>
      <c r="S804" s="703">
        <v>1</v>
      </c>
      <c r="T804" s="699" t="s">
        <v>1361</v>
      </c>
      <c r="U804" s="699" t="s">
        <v>3525</v>
      </c>
      <c r="V804" s="699">
        <f>K816</f>
        <v>81.3</v>
      </c>
      <c r="X804" s="699">
        <f t="shared" si="109"/>
        <v>81.3</v>
      </c>
      <c r="AE804" s="724" t="str">
        <f t="shared" si="106"/>
        <v>|</v>
      </c>
      <c r="AG804" s="697" t="s">
        <v>2284</v>
      </c>
    </row>
    <row r="805" spans="1:33" ht="24" customHeight="1">
      <c r="A805" s="720"/>
      <c r="B805" s="722" t="s">
        <v>4990</v>
      </c>
      <c r="C805" s="724">
        <v>931</v>
      </c>
      <c r="D805" s="734"/>
      <c r="F805" s="740">
        <v>4.3079999999999998</v>
      </c>
      <c r="G805" s="708" t="s">
        <v>870</v>
      </c>
      <c r="H805" s="697" t="s">
        <v>871</v>
      </c>
      <c r="I805" s="710">
        <f>C64</f>
        <v>5960</v>
      </c>
      <c r="J805" s="697" t="s">
        <v>870</v>
      </c>
      <c r="K805" s="710">
        <f t="shared" si="110"/>
        <v>25675.68</v>
      </c>
      <c r="N805" s="746" t="s">
        <v>268</v>
      </c>
      <c r="O805" s="746" t="s">
        <v>1790</v>
      </c>
      <c r="P805" s="737">
        <f>C32/1000</f>
        <v>47.3</v>
      </c>
      <c r="Q805" s="780"/>
      <c r="R805" s="737" t="e">
        <f>(#VALUE!*P805)</f>
        <v>#VALUE!</v>
      </c>
      <c r="S805" s="810" t="s">
        <v>663</v>
      </c>
      <c r="U805" s="699" t="s">
        <v>3526</v>
      </c>
      <c r="V805" s="810" t="s">
        <v>663</v>
      </c>
      <c r="X805" s="699">
        <v>270</v>
      </c>
      <c r="AE805" s="724" t="str">
        <f t="shared" si="106"/>
        <v>|</v>
      </c>
      <c r="AG805" s="697" t="s">
        <v>2284</v>
      </c>
    </row>
    <row r="806" spans="1:33" ht="24" customHeight="1">
      <c r="A806" s="720"/>
      <c r="B806" s="722" t="s">
        <v>4750</v>
      </c>
      <c r="C806" s="724">
        <v>636</v>
      </c>
      <c r="D806" s="734"/>
      <c r="F806" s="740">
        <v>4.5</v>
      </c>
      <c r="G806" s="708" t="s">
        <v>878</v>
      </c>
      <c r="H806" s="1165" t="s">
        <v>5354</v>
      </c>
      <c r="I806" s="710">
        <f>C75</f>
        <v>1511.1</v>
      </c>
      <c r="J806" s="697" t="s">
        <v>878</v>
      </c>
      <c r="K806" s="710">
        <f t="shared" si="110"/>
        <v>6799.95</v>
      </c>
      <c r="N806" s="780"/>
      <c r="O806" s="746" t="s">
        <v>1945</v>
      </c>
      <c r="P806" s="780"/>
      <c r="Q806" s="780"/>
      <c r="R806" s="780"/>
      <c r="S806" s="810" t="s">
        <v>663</v>
      </c>
      <c r="U806" s="699" t="s">
        <v>3527</v>
      </c>
      <c r="V806" s="810" t="s">
        <v>663</v>
      </c>
      <c r="X806" s="699">
        <v>150</v>
      </c>
      <c r="AE806" s="724" t="str">
        <f t="shared" si="106"/>
        <v>|</v>
      </c>
      <c r="AG806" s="697" t="s">
        <v>2284</v>
      </c>
    </row>
    <row r="807" spans="1:33" ht="24" customHeight="1">
      <c r="A807" s="720"/>
      <c r="B807" s="722" t="s">
        <v>4751</v>
      </c>
      <c r="C807" s="724">
        <v>497</v>
      </c>
      <c r="D807" s="734"/>
      <c r="F807" s="740">
        <v>3.5</v>
      </c>
      <c r="G807" s="708" t="s">
        <v>877</v>
      </c>
      <c r="H807" s="697" t="s">
        <v>1737</v>
      </c>
      <c r="I807" s="710">
        <f>C9</f>
        <v>804</v>
      </c>
      <c r="J807" s="697" t="s">
        <v>877</v>
      </c>
      <c r="K807" s="710">
        <f t="shared" si="110"/>
        <v>2814</v>
      </c>
      <c r="N807" s="780"/>
      <c r="O807" s="746" t="s">
        <v>998</v>
      </c>
      <c r="P807" s="780"/>
      <c r="Q807" s="780"/>
      <c r="R807" s="780"/>
      <c r="S807" s="810" t="s">
        <v>663</v>
      </c>
      <c r="U807" s="699" t="s">
        <v>2296</v>
      </c>
      <c r="V807" s="810" t="s">
        <v>663</v>
      </c>
      <c r="X807" s="699">
        <v>0.06</v>
      </c>
      <c r="AE807" s="724" t="str">
        <f t="shared" si="106"/>
        <v>|</v>
      </c>
      <c r="AG807" s="697" t="s">
        <v>2284</v>
      </c>
    </row>
    <row r="808" spans="1:33" ht="24" customHeight="1">
      <c r="A808" s="720"/>
      <c r="B808" s="734"/>
      <c r="C808" s="734"/>
      <c r="D808" s="734"/>
      <c r="F808" s="740">
        <v>21.2</v>
      </c>
      <c r="G808" s="708" t="s">
        <v>877</v>
      </c>
      <c r="H808" s="697" t="s">
        <v>1927</v>
      </c>
      <c r="I808" s="710">
        <f>C10</f>
        <v>562</v>
      </c>
      <c r="J808" s="697" t="s">
        <v>877</v>
      </c>
      <c r="K808" s="710">
        <f t="shared" si="110"/>
        <v>11914.4</v>
      </c>
      <c r="N808" s="746" t="s">
        <v>615</v>
      </c>
      <c r="O808" s="746" t="s">
        <v>4173</v>
      </c>
      <c r="P808" s="737">
        <f>C269</f>
        <v>303.89999999999998</v>
      </c>
      <c r="Q808" s="780"/>
      <c r="R808" s="737" t="e">
        <f t="shared" ref="R808:R814" si="111">(#VALUE!*P808)</f>
        <v>#VALUE!</v>
      </c>
      <c r="X808" s="758">
        <f>SUM(X797:X807)</f>
        <v>7680.95</v>
      </c>
      <c r="Y808" s="699">
        <v>59.4</v>
      </c>
      <c r="Z808" s="699">
        <v>117</v>
      </c>
      <c r="AE808" s="724" t="str">
        <f t="shared" si="106"/>
        <v>|</v>
      </c>
      <c r="AG808" s="697" t="s">
        <v>2284</v>
      </c>
    </row>
    <row r="809" spans="1:33" ht="24" customHeight="1">
      <c r="A809" s="720"/>
      <c r="B809" s="722" t="s">
        <v>3918</v>
      </c>
      <c r="C809" s="734">
        <v>3.15</v>
      </c>
      <c r="D809" s="734"/>
      <c r="F809" s="740">
        <v>35.299999999999997</v>
      </c>
      <c r="G809" s="708" t="s">
        <v>877</v>
      </c>
      <c r="H809" s="697" t="s">
        <v>321</v>
      </c>
      <c r="I809" s="710">
        <f>C11</f>
        <v>461</v>
      </c>
      <c r="J809" s="697" t="s">
        <v>877</v>
      </c>
      <c r="K809" s="710">
        <f t="shared" si="110"/>
        <v>16273.3</v>
      </c>
      <c r="N809" s="746" t="s">
        <v>877</v>
      </c>
      <c r="O809" s="746" t="s">
        <v>151</v>
      </c>
      <c r="P809" s="737">
        <v>5</v>
      </c>
      <c r="Q809" s="780"/>
      <c r="R809" s="737" t="e">
        <f t="shared" si="111"/>
        <v>#VALUE!</v>
      </c>
      <c r="AE809" s="724" t="str">
        <f t="shared" si="106"/>
        <v>|</v>
      </c>
      <c r="AG809" s="697" t="s">
        <v>2284</v>
      </c>
    </row>
    <row r="810" spans="1:33" ht="24" customHeight="1">
      <c r="A810" s="720"/>
      <c r="B810" s="734"/>
      <c r="C810" s="734"/>
      <c r="D810" s="734"/>
      <c r="F810" s="805" t="s">
        <v>450</v>
      </c>
      <c r="H810" s="697" t="s">
        <v>451</v>
      </c>
      <c r="J810" s="697" t="s">
        <v>450</v>
      </c>
      <c r="K810" s="710">
        <v>0</v>
      </c>
      <c r="N810" s="746" t="s">
        <v>877</v>
      </c>
      <c r="O810" s="746" t="s">
        <v>152</v>
      </c>
      <c r="P810" s="737">
        <v>10</v>
      </c>
      <c r="Q810" s="780"/>
      <c r="R810" s="737" t="e">
        <f t="shared" si="111"/>
        <v>#VALUE!</v>
      </c>
      <c r="AE810" s="724" t="str">
        <f t="shared" si="106"/>
        <v>|</v>
      </c>
      <c r="AG810" s="697" t="s">
        <v>2284</v>
      </c>
    </row>
    <row r="811" spans="1:33" ht="24" customHeight="1">
      <c r="A811" s="720"/>
      <c r="B811" s="722" t="s">
        <v>4752</v>
      </c>
      <c r="C811" s="735">
        <v>8.5</v>
      </c>
      <c r="D811" s="734"/>
      <c r="K811" s="705" t="s">
        <v>1609</v>
      </c>
      <c r="N811" s="746" t="s">
        <v>877</v>
      </c>
      <c r="O811" s="746" t="s">
        <v>1772</v>
      </c>
      <c r="P811" s="737">
        <v>8</v>
      </c>
      <c r="Q811" s="780"/>
      <c r="R811" s="737" t="e">
        <f t="shared" si="111"/>
        <v>#VALUE!</v>
      </c>
      <c r="U811" s="758" t="s">
        <v>3529</v>
      </c>
      <c r="AE811" s="724" t="str">
        <f t="shared" si="106"/>
        <v>|</v>
      </c>
      <c r="AG811" s="697" t="s">
        <v>2284</v>
      </c>
    </row>
    <row r="812" spans="1:33" ht="24" customHeight="1">
      <c r="A812" s="720"/>
      <c r="B812" s="722" t="s">
        <v>1084</v>
      </c>
      <c r="C812" s="735">
        <v>21.1</v>
      </c>
      <c r="D812" s="734"/>
      <c r="H812" s="698" t="s">
        <v>620</v>
      </c>
      <c r="K812" s="710">
        <f>SUM(K804:K810)</f>
        <v>78592.83</v>
      </c>
      <c r="N812" s="746" t="s">
        <v>835</v>
      </c>
      <c r="O812" s="746" t="s">
        <v>1521</v>
      </c>
      <c r="P812" s="737">
        <v>13.66</v>
      </c>
      <c r="Q812" s="780"/>
      <c r="R812" s="737" t="e">
        <f t="shared" si="111"/>
        <v>#VALUE!</v>
      </c>
      <c r="S812" s="703">
        <v>0.45300000000000001</v>
      </c>
      <c r="T812" s="699" t="s">
        <v>1361</v>
      </c>
      <c r="U812" s="699" t="s">
        <v>3521</v>
      </c>
      <c r="V812" s="699">
        <f>V797</f>
        <v>1679.5</v>
      </c>
      <c r="X812" s="699">
        <f>V812*S812</f>
        <v>760.81</v>
      </c>
      <c r="Z812" s="699">
        <f>X823+Y808</f>
        <v>7661.73</v>
      </c>
      <c r="AE812" s="724" t="str">
        <f t="shared" si="106"/>
        <v>|</v>
      </c>
      <c r="AG812" s="697" t="s">
        <v>2284</v>
      </c>
    </row>
    <row r="813" spans="1:33" ht="24" customHeight="1">
      <c r="A813" s="720"/>
      <c r="B813" s="734"/>
      <c r="C813" s="734" t="s">
        <v>4373</v>
      </c>
      <c r="D813" s="734"/>
      <c r="K813" s="705" t="s">
        <v>2080</v>
      </c>
      <c r="N813" s="746" t="s">
        <v>615</v>
      </c>
      <c r="O813" s="746" t="s">
        <v>1522</v>
      </c>
      <c r="P813" s="737">
        <v>25.46</v>
      </c>
      <c r="Q813" s="780"/>
      <c r="R813" s="737" t="e">
        <f t="shared" si="111"/>
        <v>#VALUE!</v>
      </c>
      <c r="S813" s="703">
        <v>0.30199999999999999</v>
      </c>
      <c r="T813" s="699" t="s">
        <v>1361</v>
      </c>
      <c r="U813" s="699" t="s">
        <v>3522</v>
      </c>
      <c r="V813" s="699">
        <f t="shared" ref="V813:V822" si="112">V798</f>
        <v>1224.5</v>
      </c>
      <c r="X813" s="699">
        <f t="shared" ref="X813:X819" si="113">V813*S813</f>
        <v>369.8</v>
      </c>
      <c r="Z813" s="699">
        <f>Z812+Z808</f>
        <v>7778.73</v>
      </c>
      <c r="AE813" s="724" t="str">
        <f t="shared" si="106"/>
        <v>|</v>
      </c>
      <c r="AG813" s="697" t="s">
        <v>2284</v>
      </c>
    </row>
    <row r="814" spans="1:33" ht="24" customHeight="1">
      <c r="A814" s="818"/>
      <c r="H814" s="697" t="s">
        <v>782</v>
      </c>
      <c r="K814" s="710">
        <f>K812/10</f>
        <v>7859.28</v>
      </c>
      <c r="N814" s="746" t="s">
        <v>877</v>
      </c>
      <c r="O814" s="746" t="s">
        <v>1339</v>
      </c>
      <c r="P814" s="737">
        <v>0.5</v>
      </c>
      <c r="Q814" s="780"/>
      <c r="R814" s="737" t="e">
        <f t="shared" si="111"/>
        <v>#VALUE!</v>
      </c>
      <c r="S814" s="703">
        <v>0.44</v>
      </c>
      <c r="T814" s="699" t="s">
        <v>1361</v>
      </c>
      <c r="U814" s="699" t="s">
        <v>5354</v>
      </c>
      <c r="V814" s="699">
        <f t="shared" si="112"/>
        <v>1511.1</v>
      </c>
      <c r="X814" s="699">
        <f t="shared" si="113"/>
        <v>664.88</v>
      </c>
      <c r="Z814" s="699">
        <f>Z813+Z808</f>
        <v>7895.73</v>
      </c>
      <c r="AE814" s="724" t="str">
        <f t="shared" si="106"/>
        <v>|</v>
      </c>
      <c r="AG814" s="697" t="s">
        <v>2284</v>
      </c>
    </row>
    <row r="815" spans="1:33" ht="24" customHeight="1">
      <c r="A815" s="818"/>
      <c r="R815" s="710">
        <v>0.54</v>
      </c>
      <c r="S815" s="703">
        <v>0.37</v>
      </c>
      <c r="T815" s="699" t="s">
        <v>530</v>
      </c>
      <c r="U815" s="699" t="s">
        <v>390</v>
      </c>
      <c r="V815" s="699">
        <f t="shared" si="112"/>
        <v>5960</v>
      </c>
      <c r="X815" s="699">
        <f t="shared" si="113"/>
        <v>2205.1999999999998</v>
      </c>
      <c r="Z815" s="699">
        <f>Z814+Z808</f>
        <v>8012.73</v>
      </c>
      <c r="AE815" s="724" t="str">
        <f t="shared" si="106"/>
        <v>|</v>
      </c>
      <c r="AG815" s="697" t="s">
        <v>2284</v>
      </c>
    </row>
    <row r="816" spans="1:33" ht="24" customHeight="1">
      <c r="A816" s="818"/>
      <c r="F816" s="710">
        <v>1</v>
      </c>
      <c r="G816" s="708" t="s">
        <v>878</v>
      </c>
      <c r="H816" s="697" t="s">
        <v>46</v>
      </c>
      <c r="I816" s="710">
        <f>C23</f>
        <v>81.3</v>
      </c>
      <c r="K816" s="710">
        <f>F816*I816</f>
        <v>81.3</v>
      </c>
      <c r="R816" s="705" t="s">
        <v>1609</v>
      </c>
      <c r="S816" s="703">
        <v>0.35</v>
      </c>
      <c r="T816" s="699" t="s">
        <v>1452</v>
      </c>
      <c r="U816" s="699" t="s">
        <v>466</v>
      </c>
      <c r="V816" s="699">
        <f t="shared" si="112"/>
        <v>804</v>
      </c>
      <c r="W816" s="699">
        <f>J822</f>
        <v>0</v>
      </c>
      <c r="X816" s="699">
        <f t="shared" si="113"/>
        <v>281.39999999999998</v>
      </c>
      <c r="Z816" s="699">
        <f>Z808+Z815</f>
        <v>8129.73</v>
      </c>
      <c r="AE816" s="724" t="str">
        <f t="shared" si="106"/>
        <v>|</v>
      </c>
      <c r="AG816" s="697" t="s">
        <v>2284</v>
      </c>
    </row>
    <row r="817" spans="1:33" ht="24" customHeight="1">
      <c r="A817" s="818"/>
      <c r="K817" s="705" t="s">
        <v>1609</v>
      </c>
      <c r="O817" s="698" t="s">
        <v>1340</v>
      </c>
      <c r="R817" s="710" t="e">
        <f>SUM(R805:R815)</f>
        <v>#VALUE!</v>
      </c>
      <c r="S817" s="703">
        <v>2.12</v>
      </c>
      <c r="T817" s="699" t="s">
        <v>1452</v>
      </c>
      <c r="U817" s="699" t="s">
        <v>3523</v>
      </c>
      <c r="V817" s="699">
        <f t="shared" si="112"/>
        <v>562</v>
      </c>
      <c r="X817" s="699">
        <f t="shared" si="113"/>
        <v>1191.44</v>
      </c>
      <c r="Z817" s="699">
        <f>Z808+Z816</f>
        <v>8246.73</v>
      </c>
      <c r="AE817" s="724" t="str">
        <f t="shared" si="106"/>
        <v>|</v>
      </c>
      <c r="AG817" s="697" t="s">
        <v>2284</v>
      </c>
    </row>
    <row r="818" spans="1:33" ht="24" customHeight="1">
      <c r="K818" s="710">
        <f>SUM(K814:K816)</f>
        <v>7940.58</v>
      </c>
      <c r="S818" s="703">
        <v>3.53</v>
      </c>
      <c r="T818" s="699" t="s">
        <v>1452</v>
      </c>
      <c r="U818" s="699" t="s">
        <v>3524</v>
      </c>
      <c r="V818" s="699">
        <f t="shared" si="112"/>
        <v>461</v>
      </c>
      <c r="X818" s="699">
        <f t="shared" si="113"/>
        <v>1627.33</v>
      </c>
      <c r="Z818" s="699">
        <f>Z808+Z817</f>
        <v>8363.73</v>
      </c>
      <c r="AE818" s="724" t="str">
        <f t="shared" si="106"/>
        <v>|</v>
      </c>
      <c r="AG818" s="697" t="s">
        <v>2284</v>
      </c>
    </row>
    <row r="819" spans="1:33" ht="24" customHeight="1">
      <c r="A819" s="818"/>
      <c r="K819" s="705" t="s">
        <v>1609</v>
      </c>
      <c r="R819" s="705" t="s">
        <v>1609</v>
      </c>
      <c r="S819" s="703">
        <v>1</v>
      </c>
      <c r="T819" s="699" t="s">
        <v>1361</v>
      </c>
      <c r="U819" s="699" t="s">
        <v>3525</v>
      </c>
      <c r="V819" s="699">
        <f t="shared" si="112"/>
        <v>81.3</v>
      </c>
      <c r="X819" s="699">
        <f t="shared" si="113"/>
        <v>81.3</v>
      </c>
      <c r="Z819" s="699">
        <f>Z808+Z818</f>
        <v>8480.73</v>
      </c>
      <c r="AE819" s="724" t="str">
        <f t="shared" si="106"/>
        <v>|</v>
      </c>
      <c r="AG819" s="697" t="s">
        <v>2284</v>
      </c>
    </row>
    <row r="820" spans="1:33" ht="24" customHeight="1">
      <c r="A820" s="818"/>
      <c r="H820" s="697" t="s">
        <v>386</v>
      </c>
      <c r="K820" s="709">
        <f>(K818+C20)</f>
        <v>8049.05</v>
      </c>
      <c r="S820" s="810" t="s">
        <v>663</v>
      </c>
      <c r="U820" s="699" t="s">
        <v>3526</v>
      </c>
      <c r="V820" s="785" t="str">
        <f t="shared" si="112"/>
        <v>LS</v>
      </c>
      <c r="X820" s="699">
        <v>270</v>
      </c>
      <c r="Z820" s="699">
        <f>Z808+Z819</f>
        <v>8597.73</v>
      </c>
      <c r="AE820" s="724" t="str">
        <f t="shared" ref="AE820:AE892" si="114">AG820</f>
        <v>|</v>
      </c>
      <c r="AG820" s="697" t="s">
        <v>2284</v>
      </c>
    </row>
    <row r="821" spans="1:33" ht="24" customHeight="1">
      <c r="A821" s="818"/>
      <c r="H821" s="697" t="s">
        <v>388</v>
      </c>
      <c r="K821" s="709">
        <f>(K820+C21)</f>
        <v>8262.73</v>
      </c>
      <c r="N821" s="697" t="s">
        <v>522</v>
      </c>
      <c r="O821" s="697" t="s">
        <v>1342</v>
      </c>
      <c r="S821" s="810" t="s">
        <v>663</v>
      </c>
      <c r="U821" s="699" t="s">
        <v>3527</v>
      </c>
      <c r="V821" s="785" t="str">
        <f t="shared" si="112"/>
        <v>LS</v>
      </c>
      <c r="X821" s="699">
        <v>150</v>
      </c>
      <c r="Z821" s="699">
        <f>Z808+Z820</f>
        <v>8714.73</v>
      </c>
      <c r="AE821" s="724" t="str">
        <f t="shared" si="114"/>
        <v>|</v>
      </c>
      <c r="AG821" s="697" t="s">
        <v>2284</v>
      </c>
    </row>
    <row r="822" spans="1:33" ht="24" customHeight="1">
      <c r="A822" s="818"/>
      <c r="H822" s="697" t="s">
        <v>2257</v>
      </c>
      <c r="K822" s="709">
        <f>(K821+C22)</f>
        <v>8476.41</v>
      </c>
      <c r="O822" s="697" t="s">
        <v>1788</v>
      </c>
      <c r="S822" s="810" t="s">
        <v>663</v>
      </c>
      <c r="U822" s="699" t="s">
        <v>2296</v>
      </c>
      <c r="V822" s="785" t="str">
        <f t="shared" si="112"/>
        <v>LS</v>
      </c>
      <c r="X822" s="699">
        <v>0.17</v>
      </c>
      <c r="AE822" s="724" t="str">
        <f t="shared" si="114"/>
        <v>|</v>
      </c>
      <c r="AG822" s="697" t="s">
        <v>2284</v>
      </c>
    </row>
    <row r="823" spans="1:33" ht="24" customHeight="1">
      <c r="A823" s="818"/>
      <c r="H823" s="697" t="s">
        <v>380</v>
      </c>
      <c r="K823" s="709">
        <f>(K822+C22)</f>
        <v>8690.09</v>
      </c>
      <c r="N823" s="697" t="s">
        <v>268</v>
      </c>
      <c r="O823" s="697" t="s">
        <v>1790</v>
      </c>
      <c r="P823" s="710">
        <f>P805</f>
        <v>47.3</v>
      </c>
      <c r="R823" s="710" t="e">
        <f>(#VALUE!*P823)</f>
        <v>#VALUE!</v>
      </c>
      <c r="X823" s="758">
        <f>SUM(X812:X822)</f>
        <v>7602.33</v>
      </c>
      <c r="AE823" s="724" t="str">
        <f t="shared" si="114"/>
        <v>|</v>
      </c>
      <c r="AG823" s="697" t="s">
        <v>2284</v>
      </c>
    </row>
    <row r="824" spans="1:33" ht="24" customHeight="1">
      <c r="H824" s="697" t="s">
        <v>1554</v>
      </c>
      <c r="K824" s="709">
        <f>(K823+C22)</f>
        <v>8903.77</v>
      </c>
      <c r="O824" s="697" t="s">
        <v>1945</v>
      </c>
      <c r="AE824" s="724" t="str">
        <f t="shared" si="114"/>
        <v>|</v>
      </c>
      <c r="AG824" s="697" t="s">
        <v>2284</v>
      </c>
    </row>
    <row r="825" spans="1:33" ht="24" customHeight="1">
      <c r="H825" s="697">
        <v>5</v>
      </c>
      <c r="K825" s="709">
        <f>(K824+C22)</f>
        <v>9117.4500000000007</v>
      </c>
      <c r="O825" s="697"/>
      <c r="AE825" s="724">
        <f>SUM(AE678:AE682)</f>
        <v>8206.1</v>
      </c>
      <c r="AG825" s="697"/>
    </row>
    <row r="826" spans="1:33" ht="24" customHeight="1">
      <c r="H826" s="697">
        <v>6</v>
      </c>
      <c r="K826" s="709">
        <f>(K825+C22)</f>
        <v>9331.1299999999992</v>
      </c>
      <c r="O826" s="697"/>
      <c r="AE826" s="724"/>
      <c r="AG826" s="697"/>
    </row>
    <row r="827" spans="1:33" ht="24" customHeight="1">
      <c r="H827" s="697">
        <v>7</v>
      </c>
      <c r="K827" s="709">
        <f>(K826+C22)</f>
        <v>9544.81</v>
      </c>
      <c r="O827" s="697"/>
      <c r="AE827" s="724"/>
      <c r="AG827" s="697"/>
    </row>
    <row r="828" spans="1:33" ht="24" customHeight="1">
      <c r="H828" s="697">
        <v>8</v>
      </c>
      <c r="K828" s="709">
        <f>(K827+C22)</f>
        <v>9758.49</v>
      </c>
      <c r="O828" s="697"/>
      <c r="AE828" s="724"/>
      <c r="AG828" s="697"/>
    </row>
    <row r="829" spans="1:33" ht="24" customHeight="1">
      <c r="H829" s="697">
        <v>9</v>
      </c>
      <c r="K829" s="709">
        <f>(K828+C22)</f>
        <v>9972.17</v>
      </c>
      <c r="O829" s="697"/>
      <c r="AE829" s="724"/>
      <c r="AG829" s="697"/>
    </row>
    <row r="830" spans="1:33" ht="24" customHeight="1">
      <c r="H830" s="697">
        <v>10</v>
      </c>
      <c r="K830" s="709">
        <f>(K829+C22)</f>
        <v>10185.85</v>
      </c>
      <c r="O830" s="697"/>
      <c r="AE830" s="724"/>
      <c r="AG830" s="697"/>
    </row>
    <row r="831" spans="1:33" ht="24" customHeight="1">
      <c r="H831" s="697">
        <v>11</v>
      </c>
      <c r="K831" s="709">
        <f>(K830+C22)</f>
        <v>10399.530000000001</v>
      </c>
      <c r="O831" s="697"/>
      <c r="AE831" s="724"/>
      <c r="AG831" s="697"/>
    </row>
    <row r="832" spans="1:33" ht="24" customHeight="1">
      <c r="H832" s="697">
        <v>12</v>
      </c>
      <c r="K832" s="709">
        <f>(K831+C22)</f>
        <v>10613.21</v>
      </c>
      <c r="O832" s="697"/>
      <c r="AE832" s="724"/>
      <c r="AG832" s="697"/>
    </row>
    <row r="833" spans="6:33" ht="24" customHeight="1">
      <c r="H833" s="697"/>
      <c r="K833" s="709"/>
      <c r="O833" s="697"/>
      <c r="AE833" s="724"/>
      <c r="AG833" s="697"/>
    </row>
    <row r="834" spans="6:33" ht="24" customHeight="1">
      <c r="F834" s="697" t="s">
        <v>987</v>
      </c>
      <c r="O834" s="697" t="s">
        <v>998</v>
      </c>
      <c r="AE834" s="724" t="str">
        <f t="shared" si="114"/>
        <v>|</v>
      </c>
      <c r="AG834" s="697" t="s">
        <v>2284</v>
      </c>
    </row>
    <row r="835" spans="6:33" ht="24" customHeight="1">
      <c r="F835" s="697" t="s">
        <v>987</v>
      </c>
      <c r="G835" s="708" t="s">
        <v>2276</v>
      </c>
      <c r="H835" s="698" t="s">
        <v>1341</v>
      </c>
      <c r="N835" s="697" t="s">
        <v>615</v>
      </c>
      <c r="O835" s="697" t="s">
        <v>999</v>
      </c>
      <c r="P835" s="710">
        <f>C269</f>
        <v>303.89999999999998</v>
      </c>
      <c r="R835" s="710" t="e">
        <f t="shared" ref="R835:R841" si="115">(#VALUE!*P835)</f>
        <v>#VALUE!</v>
      </c>
      <c r="AE835" s="724" t="str">
        <f t="shared" si="114"/>
        <v>|</v>
      </c>
      <c r="AG835" s="697" t="s">
        <v>2284</v>
      </c>
    </row>
    <row r="836" spans="6:33" ht="24" customHeight="1">
      <c r="H836" s="705" t="s">
        <v>2080</v>
      </c>
      <c r="N836" s="697" t="s">
        <v>877</v>
      </c>
      <c r="O836" s="697" t="s">
        <v>151</v>
      </c>
      <c r="P836" s="710">
        <v>5</v>
      </c>
      <c r="R836" s="710" t="e">
        <f t="shared" si="115"/>
        <v>#VALUE!</v>
      </c>
      <c r="AE836" s="724" t="str">
        <f t="shared" si="114"/>
        <v>|</v>
      </c>
      <c r="AG836" s="697" t="s">
        <v>2284</v>
      </c>
    </row>
    <row r="837" spans="6:33" ht="24" customHeight="1">
      <c r="N837" s="697" t="s">
        <v>877</v>
      </c>
      <c r="O837" s="697" t="s">
        <v>152</v>
      </c>
      <c r="P837" s="710">
        <v>10</v>
      </c>
      <c r="R837" s="710" t="e">
        <f t="shared" si="115"/>
        <v>#VALUE!</v>
      </c>
      <c r="AE837" s="724" t="str">
        <f t="shared" si="114"/>
        <v>|</v>
      </c>
      <c r="AG837" s="697" t="s">
        <v>2284</v>
      </c>
    </row>
    <row r="838" spans="6:33" ht="24" customHeight="1">
      <c r="F838" s="698" t="s">
        <v>1343</v>
      </c>
      <c r="G838" s="708" t="s">
        <v>2276</v>
      </c>
      <c r="H838" s="697" t="s">
        <v>2056</v>
      </c>
      <c r="N838" s="697" t="s">
        <v>877</v>
      </c>
      <c r="O838" s="697" t="s">
        <v>1772</v>
      </c>
      <c r="P838" s="710">
        <v>8</v>
      </c>
      <c r="R838" s="710" t="e">
        <f t="shared" si="115"/>
        <v>#VALUE!</v>
      </c>
      <c r="AE838" s="724" t="str">
        <f t="shared" si="114"/>
        <v>|</v>
      </c>
      <c r="AG838" s="697" t="s">
        <v>2284</v>
      </c>
    </row>
    <row r="839" spans="6:33" ht="24" customHeight="1">
      <c r="H839" s="697" t="s">
        <v>2057</v>
      </c>
      <c r="N839" s="697" t="s">
        <v>835</v>
      </c>
      <c r="O839" s="697" t="s">
        <v>1521</v>
      </c>
      <c r="P839" s="710">
        <v>13.66</v>
      </c>
      <c r="R839" s="710" t="e">
        <f t="shared" si="115"/>
        <v>#VALUE!</v>
      </c>
      <c r="AE839" s="724" t="str">
        <f t="shared" si="114"/>
        <v>|</v>
      </c>
      <c r="AG839" s="697" t="s">
        <v>2284</v>
      </c>
    </row>
    <row r="840" spans="6:33" ht="24" customHeight="1">
      <c r="H840" s="697" t="s">
        <v>2058</v>
      </c>
      <c r="N840" s="697" t="s">
        <v>615</v>
      </c>
      <c r="O840" s="697" t="s">
        <v>1522</v>
      </c>
      <c r="P840" s="710">
        <v>25.46</v>
      </c>
      <c r="R840" s="710" t="e">
        <f t="shared" si="115"/>
        <v>#VALUE!</v>
      </c>
      <c r="AE840" s="724" t="str">
        <f t="shared" si="114"/>
        <v>|::</v>
      </c>
      <c r="AG840" s="697" t="s">
        <v>322</v>
      </c>
    </row>
    <row r="841" spans="6:33" ht="24" customHeight="1">
      <c r="H841" s="697" t="s">
        <v>900</v>
      </c>
      <c r="N841" s="697" t="s">
        <v>877</v>
      </c>
      <c r="O841" s="697" t="s">
        <v>1339</v>
      </c>
      <c r="P841" s="710">
        <v>0.5</v>
      </c>
      <c r="R841" s="710" t="e">
        <f t="shared" si="115"/>
        <v>#VALUE!</v>
      </c>
      <c r="AE841" s="724">
        <f t="shared" si="114"/>
        <v>0</v>
      </c>
    </row>
    <row r="842" spans="6:33" ht="24" customHeight="1">
      <c r="H842" s="697" t="s">
        <v>901</v>
      </c>
      <c r="R842" s="710">
        <v>0.7</v>
      </c>
      <c r="AE842" s="724">
        <f t="shared" si="114"/>
        <v>0</v>
      </c>
    </row>
    <row r="843" spans="6:33" ht="24" customHeight="1">
      <c r="H843" s="697" t="s">
        <v>1746</v>
      </c>
      <c r="R843" s="705" t="s">
        <v>1609</v>
      </c>
      <c r="AE843" s="724">
        <f t="shared" si="114"/>
        <v>0</v>
      </c>
    </row>
    <row r="844" spans="6:33" ht="24" customHeight="1">
      <c r="H844" s="697" t="s">
        <v>95</v>
      </c>
      <c r="O844" s="698" t="s">
        <v>1340</v>
      </c>
      <c r="R844" s="710" t="e">
        <f>SUM(R823:R842)</f>
        <v>#VALUE!</v>
      </c>
      <c r="AE844" s="724" t="str">
        <f t="shared" si="114"/>
        <v>|</v>
      </c>
      <c r="AG844" s="697" t="s">
        <v>2284</v>
      </c>
    </row>
    <row r="845" spans="6:33" ht="24" customHeight="1">
      <c r="H845" s="697" t="s">
        <v>96</v>
      </c>
      <c r="O845" s="699" t="s">
        <v>987</v>
      </c>
      <c r="R845" s="705" t="s">
        <v>1609</v>
      </c>
      <c r="AE845" s="724" t="str">
        <f t="shared" si="114"/>
        <v>|</v>
      </c>
      <c r="AG845" s="697" t="s">
        <v>2284</v>
      </c>
    </row>
    <row r="846" spans="6:33" ht="24" customHeight="1">
      <c r="H846" s="697" t="s">
        <v>97</v>
      </c>
      <c r="O846" s="758" t="s">
        <v>4517</v>
      </c>
      <c r="R846" s="705"/>
      <c r="AE846" s="724" t="str">
        <f t="shared" si="114"/>
        <v>|</v>
      </c>
      <c r="AG846" s="697" t="s">
        <v>2284</v>
      </c>
    </row>
    <row r="847" spans="6:33" ht="24" customHeight="1">
      <c r="H847" s="697" t="s">
        <v>98</v>
      </c>
      <c r="O847" s="698" t="s">
        <v>1768</v>
      </c>
      <c r="R847" s="705"/>
      <c r="AE847" s="724" t="str">
        <f t="shared" si="114"/>
        <v>|</v>
      </c>
      <c r="AG847" s="697" t="s">
        <v>2284</v>
      </c>
    </row>
    <row r="848" spans="6:33" ht="24" customHeight="1">
      <c r="H848" s="697" t="s">
        <v>2078</v>
      </c>
      <c r="R848" s="705"/>
      <c r="AE848" s="724" t="str">
        <f t="shared" si="114"/>
        <v>|</v>
      </c>
      <c r="AG848" s="697" t="s">
        <v>2284</v>
      </c>
    </row>
    <row r="849" spans="6:33" ht="24" customHeight="1">
      <c r="H849" s="697" t="s">
        <v>1044</v>
      </c>
      <c r="M849" s="775">
        <v>6.5000000000000002E-2</v>
      </c>
      <c r="N849" s="708" t="s">
        <v>878</v>
      </c>
      <c r="O849" s="697" t="s">
        <v>2099</v>
      </c>
      <c r="P849" s="710">
        <f>I856</f>
        <v>7719.51</v>
      </c>
      <c r="Q849" s="697" t="s">
        <v>878</v>
      </c>
      <c r="R849" s="710">
        <f>P849*M849</f>
        <v>501.77</v>
      </c>
      <c r="AE849" s="724" t="str">
        <f t="shared" si="114"/>
        <v>|</v>
      </c>
      <c r="AG849" s="697" t="s">
        <v>2284</v>
      </c>
    </row>
    <row r="850" spans="6:33" ht="24" customHeight="1">
      <c r="H850" s="697" t="s">
        <v>1803</v>
      </c>
      <c r="M850" s="819">
        <v>8.4499999999999993</v>
      </c>
      <c r="N850" s="708" t="s">
        <v>1670</v>
      </c>
      <c r="O850" s="697" t="s">
        <v>2100</v>
      </c>
      <c r="P850" s="710">
        <f t="shared" ref="P850:P859" si="116">I857</f>
        <v>77593</v>
      </c>
      <c r="Q850" s="697" t="s">
        <v>870</v>
      </c>
      <c r="R850" s="710">
        <f>P850*M850/1000</f>
        <v>655.66</v>
      </c>
      <c r="AE850" s="724" t="str">
        <f t="shared" si="114"/>
        <v>|</v>
      </c>
      <c r="AG850" s="697" t="s">
        <v>2284</v>
      </c>
    </row>
    <row r="851" spans="6:33" ht="24" customHeight="1">
      <c r="H851" s="697" t="s">
        <v>1804</v>
      </c>
      <c r="M851" s="710">
        <v>3</v>
      </c>
      <c r="N851" s="708" t="s">
        <v>877</v>
      </c>
      <c r="O851" s="697" t="s">
        <v>1204</v>
      </c>
      <c r="P851" s="710">
        <f t="shared" si="116"/>
        <v>14.8</v>
      </c>
      <c r="Q851" s="697" t="s">
        <v>877</v>
      </c>
      <c r="R851" s="710">
        <f t="shared" ref="R851:R858" si="117">P851*M851</f>
        <v>44.4</v>
      </c>
      <c r="AE851" s="724" t="str">
        <f t="shared" si="114"/>
        <v>|</v>
      </c>
      <c r="AG851" s="697" t="s">
        <v>2284</v>
      </c>
    </row>
    <row r="852" spans="6:33" ht="24" customHeight="1">
      <c r="M852" s="710">
        <v>12</v>
      </c>
      <c r="N852" s="708" t="s">
        <v>877</v>
      </c>
      <c r="O852" s="697" t="s">
        <v>1205</v>
      </c>
      <c r="P852" s="710">
        <f t="shared" si="116"/>
        <v>2</v>
      </c>
      <c r="Q852" s="697" t="s">
        <v>877</v>
      </c>
      <c r="R852" s="710">
        <f t="shared" si="117"/>
        <v>24</v>
      </c>
      <c r="AE852" s="724" t="str">
        <f t="shared" si="114"/>
        <v>|</v>
      </c>
      <c r="AG852" s="697" t="s">
        <v>2284</v>
      </c>
    </row>
    <row r="853" spans="6:33" ht="24" customHeight="1">
      <c r="M853" s="710">
        <v>2</v>
      </c>
      <c r="N853" s="708" t="s">
        <v>877</v>
      </c>
      <c r="O853" s="697" t="s">
        <v>1206</v>
      </c>
      <c r="P853" s="710">
        <f t="shared" si="116"/>
        <v>4.9000000000000004</v>
      </c>
      <c r="Q853" s="697" t="s">
        <v>877</v>
      </c>
      <c r="R853" s="710">
        <f t="shared" si="117"/>
        <v>9.8000000000000007</v>
      </c>
      <c r="AE853" s="724" t="str">
        <f t="shared" si="114"/>
        <v>|</v>
      </c>
      <c r="AG853" s="697" t="s">
        <v>2284</v>
      </c>
    </row>
    <row r="854" spans="6:33" ht="24" customHeight="1">
      <c r="G854" s="708" t="s">
        <v>317</v>
      </c>
      <c r="H854" s="698" t="s">
        <v>1801</v>
      </c>
      <c r="M854" s="710">
        <v>6</v>
      </c>
      <c r="N854" s="708" t="s">
        <v>877</v>
      </c>
      <c r="O854" s="697" t="s">
        <v>2245</v>
      </c>
      <c r="P854" s="710">
        <f t="shared" si="116"/>
        <v>4.45</v>
      </c>
      <c r="Q854" s="697" t="s">
        <v>877</v>
      </c>
      <c r="R854" s="710">
        <f t="shared" si="117"/>
        <v>26.7</v>
      </c>
      <c r="S854" s="699"/>
      <c r="T854" s="708" t="s">
        <v>317</v>
      </c>
      <c r="U854" s="698" t="s">
        <v>3807</v>
      </c>
      <c r="W854" s="702"/>
      <c r="AE854" s="724" t="str">
        <f t="shared" si="114"/>
        <v>|</v>
      </c>
      <c r="AG854" s="697" t="s">
        <v>2284</v>
      </c>
    </row>
    <row r="855" spans="6:33" ht="24" customHeight="1">
      <c r="H855" s="698" t="s">
        <v>1806</v>
      </c>
      <c r="M855" s="710">
        <v>1</v>
      </c>
      <c r="N855" s="708" t="s">
        <v>877</v>
      </c>
      <c r="O855" s="697" t="s">
        <v>1211</v>
      </c>
      <c r="P855" s="710">
        <f t="shared" si="116"/>
        <v>861</v>
      </c>
      <c r="Q855" s="697" t="s">
        <v>877</v>
      </c>
      <c r="R855" s="710">
        <f t="shared" si="117"/>
        <v>861</v>
      </c>
      <c r="S855" s="699"/>
      <c r="T855" s="700"/>
      <c r="U855" s="698" t="s">
        <v>1806</v>
      </c>
      <c r="W855" s="702"/>
      <c r="AE855" s="724" t="str">
        <f t="shared" si="114"/>
        <v>|</v>
      </c>
      <c r="AG855" s="697" t="s">
        <v>2284</v>
      </c>
    </row>
    <row r="856" spans="6:33" ht="24" customHeight="1">
      <c r="F856" s="775">
        <v>3.8100000000000002E-2</v>
      </c>
      <c r="G856" s="708" t="s">
        <v>878</v>
      </c>
      <c r="H856" s="697" t="s">
        <v>2099</v>
      </c>
      <c r="I856" s="710">
        <f>I874</f>
        <v>7719.51</v>
      </c>
      <c r="J856" s="697" t="s">
        <v>878</v>
      </c>
      <c r="K856" s="710">
        <f>F856*I856</f>
        <v>294.11</v>
      </c>
      <c r="M856" s="710">
        <v>1</v>
      </c>
      <c r="N856" s="708" t="s">
        <v>877</v>
      </c>
      <c r="O856" s="697" t="s">
        <v>1212</v>
      </c>
      <c r="P856" s="710">
        <f t="shared" si="116"/>
        <v>562</v>
      </c>
      <c r="Q856" s="697" t="s">
        <v>877</v>
      </c>
      <c r="R856" s="710">
        <f t="shared" si="117"/>
        <v>562</v>
      </c>
      <c r="S856" s="775">
        <v>4.9500000000000002E-2</v>
      </c>
      <c r="T856" s="708" t="s">
        <v>878</v>
      </c>
      <c r="U856" s="697" t="s">
        <v>2099</v>
      </c>
      <c r="V856" s="710">
        <f>I856</f>
        <v>7719.51</v>
      </c>
      <c r="W856" s="697" t="s">
        <v>878</v>
      </c>
      <c r="X856" s="710">
        <f>S856*V856</f>
        <v>382.12</v>
      </c>
      <c r="AE856" s="724" t="str">
        <f t="shared" si="114"/>
        <v>|</v>
      </c>
      <c r="AG856" s="697" t="s">
        <v>2284</v>
      </c>
    </row>
    <row r="857" spans="6:33" ht="24" customHeight="1">
      <c r="F857" s="820">
        <v>5.01</v>
      </c>
      <c r="G857" s="708" t="s">
        <v>1670</v>
      </c>
      <c r="H857" s="697" t="s">
        <v>2100</v>
      </c>
      <c r="I857" s="710">
        <f>I875</f>
        <v>77593</v>
      </c>
      <c r="J857" s="697" t="s">
        <v>870</v>
      </c>
      <c r="K857" s="710">
        <f>F857*I857/1000</f>
        <v>388.74</v>
      </c>
      <c r="M857" s="710">
        <v>1</v>
      </c>
      <c r="N857" s="708" t="s">
        <v>877</v>
      </c>
      <c r="O857" s="697" t="s">
        <v>1213</v>
      </c>
      <c r="P857" s="710">
        <f t="shared" si="116"/>
        <v>25</v>
      </c>
      <c r="Q857" s="697" t="s">
        <v>877</v>
      </c>
      <c r="R857" s="710">
        <f t="shared" si="117"/>
        <v>25</v>
      </c>
      <c r="S857" s="820">
        <v>5.66</v>
      </c>
      <c r="T857" s="708" t="s">
        <v>1670</v>
      </c>
      <c r="U857" s="697" t="s">
        <v>2100</v>
      </c>
      <c r="V857" s="710">
        <f t="shared" ref="V857:V865" si="118">I857</f>
        <v>77593</v>
      </c>
      <c r="W857" s="697" t="s">
        <v>870</v>
      </c>
      <c r="X857" s="710">
        <f>S857*V857/1000</f>
        <v>439.18</v>
      </c>
      <c r="AE857" s="724" t="str">
        <f t="shared" si="114"/>
        <v>|</v>
      </c>
      <c r="AG857" s="697" t="s">
        <v>2284</v>
      </c>
    </row>
    <row r="858" spans="6:33" ht="24" customHeight="1">
      <c r="F858" s="710">
        <v>3</v>
      </c>
      <c r="G858" s="708" t="s">
        <v>877</v>
      </c>
      <c r="H858" s="697" t="s">
        <v>1204</v>
      </c>
      <c r="I858" s="774">
        <v>14.8</v>
      </c>
      <c r="J858" s="697" t="s">
        <v>877</v>
      </c>
      <c r="K858" s="710">
        <f t="shared" ref="K858:K865" si="119">F858*I858</f>
        <v>44.4</v>
      </c>
      <c r="M858" s="710">
        <v>0.5</v>
      </c>
      <c r="N858" s="708" t="s">
        <v>877</v>
      </c>
      <c r="O858" s="697" t="s">
        <v>1214</v>
      </c>
      <c r="P858" s="710">
        <f t="shared" si="116"/>
        <v>461</v>
      </c>
      <c r="Q858" s="697" t="s">
        <v>877</v>
      </c>
      <c r="R858" s="710">
        <f t="shared" si="117"/>
        <v>230.5</v>
      </c>
      <c r="S858" s="710">
        <v>3</v>
      </c>
      <c r="T858" s="708" t="s">
        <v>877</v>
      </c>
      <c r="U858" s="697" t="s">
        <v>1204</v>
      </c>
      <c r="V858" s="710">
        <f t="shared" si="118"/>
        <v>14.8</v>
      </c>
      <c r="W858" s="697" t="s">
        <v>877</v>
      </c>
      <c r="X858" s="710">
        <f t="shared" ref="X858:X865" si="120">S858*V858</f>
        <v>44.4</v>
      </c>
      <c r="AE858" s="724" t="str">
        <f t="shared" si="114"/>
        <v>|</v>
      </c>
      <c r="AG858" s="697" t="s">
        <v>2284</v>
      </c>
    </row>
    <row r="859" spans="6:33" ht="24" customHeight="1">
      <c r="F859" s="710">
        <v>12</v>
      </c>
      <c r="G859" s="708" t="s">
        <v>877</v>
      </c>
      <c r="H859" s="697" t="s">
        <v>1205</v>
      </c>
      <c r="I859" s="774">
        <v>2</v>
      </c>
      <c r="J859" s="697" t="s">
        <v>877</v>
      </c>
      <c r="K859" s="710">
        <f t="shared" si="119"/>
        <v>24</v>
      </c>
      <c r="N859" s="708" t="s">
        <v>450</v>
      </c>
      <c r="O859" s="697" t="s">
        <v>2163</v>
      </c>
      <c r="P859" s="710">
        <f t="shared" si="116"/>
        <v>0</v>
      </c>
      <c r="Q859" s="697" t="s">
        <v>450</v>
      </c>
      <c r="R859" s="710">
        <v>2.1</v>
      </c>
      <c r="S859" s="710">
        <v>12</v>
      </c>
      <c r="T859" s="708" t="s">
        <v>877</v>
      </c>
      <c r="U859" s="697" t="s">
        <v>1205</v>
      </c>
      <c r="V859" s="710">
        <f t="shared" si="118"/>
        <v>2</v>
      </c>
      <c r="W859" s="697" t="s">
        <v>877</v>
      </c>
      <c r="X859" s="710">
        <f t="shared" si="120"/>
        <v>24</v>
      </c>
      <c r="AE859" s="724" t="str">
        <f t="shared" si="114"/>
        <v>|</v>
      </c>
      <c r="AG859" s="697" t="s">
        <v>2284</v>
      </c>
    </row>
    <row r="860" spans="6:33" ht="24" customHeight="1">
      <c r="F860" s="710">
        <v>2</v>
      </c>
      <c r="G860" s="708" t="s">
        <v>877</v>
      </c>
      <c r="H860" s="697" t="s">
        <v>1206</v>
      </c>
      <c r="I860" s="774">
        <v>4.9000000000000004</v>
      </c>
      <c r="J860" s="697" t="s">
        <v>877</v>
      </c>
      <c r="K860" s="710">
        <f t="shared" si="119"/>
        <v>9.8000000000000007</v>
      </c>
      <c r="N860" s="700"/>
      <c r="Q860" s="702"/>
      <c r="R860" s="705" t="s">
        <v>1609</v>
      </c>
      <c r="S860" s="710">
        <v>2</v>
      </c>
      <c r="T860" s="708" t="s">
        <v>877</v>
      </c>
      <c r="U860" s="697" t="s">
        <v>1206</v>
      </c>
      <c r="V860" s="710">
        <f t="shared" si="118"/>
        <v>4.9000000000000004</v>
      </c>
      <c r="W860" s="697" t="s">
        <v>877</v>
      </c>
      <c r="X860" s="710">
        <f t="shared" si="120"/>
        <v>9.8000000000000007</v>
      </c>
      <c r="AE860" s="724" t="str">
        <f t="shared" si="114"/>
        <v>|</v>
      </c>
      <c r="AG860" s="697" t="s">
        <v>2284</v>
      </c>
    </row>
    <row r="861" spans="6:33" ht="24" customHeight="1">
      <c r="F861" s="710">
        <v>6</v>
      </c>
      <c r="G861" s="708" t="s">
        <v>877</v>
      </c>
      <c r="H861" s="697" t="s">
        <v>2245</v>
      </c>
      <c r="I861" s="774">
        <v>4.45</v>
      </c>
      <c r="J861" s="697" t="s">
        <v>877</v>
      </c>
      <c r="K861" s="710">
        <f t="shared" si="119"/>
        <v>26.7</v>
      </c>
      <c r="N861" s="700"/>
      <c r="O861" s="711" t="s">
        <v>283</v>
      </c>
      <c r="Q861" s="702"/>
      <c r="R861" s="821">
        <f>SUM(R849:R859)</f>
        <v>2942.93</v>
      </c>
      <c r="S861" s="710">
        <v>6</v>
      </c>
      <c r="T861" s="708" t="s">
        <v>877</v>
      </c>
      <c r="U861" s="697" t="s">
        <v>2245</v>
      </c>
      <c r="V861" s="710">
        <f t="shared" si="118"/>
        <v>4.45</v>
      </c>
      <c r="W861" s="697" t="s">
        <v>877</v>
      </c>
      <c r="X861" s="710">
        <f t="shared" si="120"/>
        <v>26.7</v>
      </c>
      <c r="AE861" s="724" t="str">
        <f t="shared" si="114"/>
        <v>|</v>
      </c>
      <c r="AG861" s="697" t="s">
        <v>2284</v>
      </c>
    </row>
    <row r="862" spans="6:33" ht="24" customHeight="1">
      <c r="F862" s="710">
        <v>1</v>
      </c>
      <c r="G862" s="708" t="s">
        <v>877</v>
      </c>
      <c r="H862" s="697" t="s">
        <v>1211</v>
      </c>
      <c r="I862" s="710">
        <f>C8</f>
        <v>861</v>
      </c>
      <c r="J862" s="697" t="s">
        <v>877</v>
      </c>
      <c r="K862" s="710">
        <f t="shared" si="119"/>
        <v>861</v>
      </c>
      <c r="N862" s="700"/>
      <c r="Q862" s="702"/>
      <c r="R862" s="705" t="s">
        <v>1609</v>
      </c>
      <c r="S862" s="710">
        <v>1</v>
      </c>
      <c r="T862" s="708" t="s">
        <v>877</v>
      </c>
      <c r="U862" s="697" t="s">
        <v>1211</v>
      </c>
      <c r="V862" s="710">
        <f t="shared" si="118"/>
        <v>861</v>
      </c>
      <c r="W862" s="697" t="s">
        <v>877</v>
      </c>
      <c r="X862" s="710">
        <f t="shared" si="120"/>
        <v>861</v>
      </c>
      <c r="AE862" s="724">
        <f t="shared" si="114"/>
        <v>0</v>
      </c>
      <c r="AG862" s="697"/>
    </row>
    <row r="863" spans="6:33" ht="24" customHeight="1">
      <c r="F863" s="710">
        <v>1</v>
      </c>
      <c r="G863" s="708" t="s">
        <v>877</v>
      </c>
      <c r="H863" s="697" t="s">
        <v>1212</v>
      </c>
      <c r="I863" s="710">
        <f>C10</f>
        <v>562</v>
      </c>
      <c r="J863" s="697" t="s">
        <v>877</v>
      </c>
      <c r="K863" s="710">
        <f t="shared" si="119"/>
        <v>562</v>
      </c>
      <c r="S863" s="710">
        <v>1</v>
      </c>
      <c r="T863" s="708" t="s">
        <v>877</v>
      </c>
      <c r="U863" s="697" t="s">
        <v>1212</v>
      </c>
      <c r="V863" s="710">
        <f t="shared" si="118"/>
        <v>562</v>
      </c>
      <c r="W863" s="697" t="s">
        <v>877</v>
      </c>
      <c r="X863" s="710">
        <f t="shared" si="120"/>
        <v>562</v>
      </c>
      <c r="AE863" s="724">
        <f t="shared" si="114"/>
        <v>0</v>
      </c>
      <c r="AG863" s="697"/>
    </row>
    <row r="864" spans="6:33" ht="24" customHeight="1">
      <c r="F864" s="710">
        <v>1</v>
      </c>
      <c r="G864" s="708" t="s">
        <v>877</v>
      </c>
      <c r="H864" s="697" t="s">
        <v>1213</v>
      </c>
      <c r="I864" s="774">
        <v>25</v>
      </c>
      <c r="J864" s="697" t="s">
        <v>877</v>
      </c>
      <c r="K864" s="710">
        <f t="shared" si="119"/>
        <v>25</v>
      </c>
      <c r="R864" s="705"/>
      <c r="S864" s="710">
        <v>1</v>
      </c>
      <c r="T864" s="708" t="s">
        <v>877</v>
      </c>
      <c r="U864" s="697" t="s">
        <v>1213</v>
      </c>
      <c r="V864" s="710">
        <f t="shared" si="118"/>
        <v>25</v>
      </c>
      <c r="W864" s="697" t="s">
        <v>877</v>
      </c>
      <c r="X864" s="710">
        <f t="shared" si="120"/>
        <v>25</v>
      </c>
      <c r="AE864" s="724">
        <f t="shared" si="114"/>
        <v>0</v>
      </c>
      <c r="AG864" s="697"/>
    </row>
    <row r="865" spans="2:33" ht="24" customHeight="1">
      <c r="F865" s="710">
        <v>0.5</v>
      </c>
      <c r="G865" s="708" t="s">
        <v>877</v>
      </c>
      <c r="H865" s="697" t="s">
        <v>1214</v>
      </c>
      <c r="I865" s="710">
        <f>C11</f>
        <v>461</v>
      </c>
      <c r="J865" s="697" t="s">
        <v>877</v>
      </c>
      <c r="K865" s="710">
        <f t="shared" si="119"/>
        <v>230.5</v>
      </c>
      <c r="R865" s="697" t="s">
        <v>987</v>
      </c>
      <c r="S865" s="710">
        <v>0.5</v>
      </c>
      <c r="T865" s="708" t="s">
        <v>877</v>
      </c>
      <c r="U865" s="697" t="s">
        <v>1214</v>
      </c>
      <c r="V865" s="710">
        <f t="shared" si="118"/>
        <v>461</v>
      </c>
      <c r="W865" s="697" t="s">
        <v>877</v>
      </c>
      <c r="X865" s="710">
        <f t="shared" si="120"/>
        <v>230.5</v>
      </c>
      <c r="AE865" s="724">
        <f t="shared" si="114"/>
        <v>0</v>
      </c>
      <c r="AG865" s="697"/>
    </row>
    <row r="866" spans="2:33" ht="24" customHeight="1">
      <c r="G866" s="708" t="s">
        <v>450</v>
      </c>
      <c r="H866" s="697" t="s">
        <v>2163</v>
      </c>
      <c r="J866" s="697" t="s">
        <v>450</v>
      </c>
      <c r="K866" s="710">
        <v>1.1299999999999999</v>
      </c>
      <c r="N866" s="697" t="s">
        <v>317</v>
      </c>
      <c r="O866" s="697" t="s">
        <v>40</v>
      </c>
      <c r="S866" s="699"/>
      <c r="T866" s="708" t="s">
        <v>450</v>
      </c>
      <c r="U866" s="697" t="s">
        <v>2163</v>
      </c>
      <c r="W866" s="697" t="s">
        <v>450</v>
      </c>
      <c r="X866" s="710">
        <v>0.06</v>
      </c>
      <c r="AE866" s="724">
        <f t="shared" si="114"/>
        <v>0</v>
      </c>
      <c r="AG866" s="697"/>
    </row>
    <row r="867" spans="2:33" ht="24" customHeight="1">
      <c r="K867" s="705" t="s">
        <v>1609</v>
      </c>
      <c r="O867" s="697" t="s">
        <v>1788</v>
      </c>
      <c r="S867" s="699"/>
      <c r="T867" s="700"/>
      <c r="W867" s="702"/>
      <c r="X867" s="705" t="s">
        <v>1609</v>
      </c>
      <c r="AE867" s="724">
        <f t="shared" si="114"/>
        <v>0</v>
      </c>
      <c r="AG867" s="697"/>
    </row>
    <row r="868" spans="2:33" ht="24" customHeight="1">
      <c r="H868" s="711" t="s">
        <v>283</v>
      </c>
      <c r="K868" s="709">
        <f>SUM(K856:K866)</f>
        <v>2467.38</v>
      </c>
      <c r="N868" s="697" t="s">
        <v>268</v>
      </c>
      <c r="O868" s="697" t="s">
        <v>1790</v>
      </c>
      <c r="P868" s="710">
        <f>P823</f>
        <v>47.3</v>
      </c>
      <c r="R868" s="710" t="e">
        <f>(#VALUE!*P868)</f>
        <v>#VALUE!</v>
      </c>
      <c r="S868" s="699"/>
      <c r="T868" s="700"/>
      <c r="U868" s="711" t="s">
        <v>283</v>
      </c>
      <c r="W868" s="702"/>
      <c r="X868" s="709">
        <f>SUM(X856:X866)</f>
        <v>2604.7600000000002</v>
      </c>
      <c r="AE868" s="724">
        <f t="shared" si="114"/>
        <v>0</v>
      </c>
      <c r="AG868" s="697"/>
    </row>
    <row r="869" spans="2:33" ht="24" customHeight="1">
      <c r="K869" s="705" t="s">
        <v>1609</v>
      </c>
      <c r="O869" s="697" t="s">
        <v>1945</v>
      </c>
      <c r="AE869" s="724">
        <f t="shared" si="114"/>
        <v>0</v>
      </c>
      <c r="AG869" s="697"/>
    </row>
    <row r="870" spans="2:33" ht="24" customHeight="1">
      <c r="O870" s="697" t="s">
        <v>998</v>
      </c>
      <c r="AE870" s="724">
        <f t="shared" si="114"/>
        <v>0</v>
      </c>
      <c r="AG870" s="697"/>
    </row>
    <row r="871" spans="2:33" ht="24" customHeight="1">
      <c r="N871" s="697" t="s">
        <v>615</v>
      </c>
      <c r="O871" s="697" t="s">
        <v>4174</v>
      </c>
      <c r="P871" s="710">
        <f>C269</f>
        <v>303.89999999999998</v>
      </c>
      <c r="R871" s="710" t="e">
        <f t="shared" ref="R871:R877" si="121">(#VALUE!*P871)</f>
        <v>#VALUE!</v>
      </c>
      <c r="AE871" s="724">
        <f t="shared" si="114"/>
        <v>0</v>
      </c>
      <c r="AG871" s="697"/>
    </row>
    <row r="872" spans="2:33" ht="24" customHeight="1">
      <c r="G872" s="708" t="s">
        <v>1932</v>
      </c>
      <c r="H872" s="698" t="s">
        <v>1805</v>
      </c>
      <c r="N872" s="697" t="s">
        <v>877</v>
      </c>
      <c r="O872" s="697" t="s">
        <v>151</v>
      </c>
      <c r="P872" s="710">
        <v>5</v>
      </c>
      <c r="R872" s="710" t="e">
        <f t="shared" si="121"/>
        <v>#VALUE!</v>
      </c>
      <c r="S872" s="699"/>
      <c r="T872" s="708" t="s">
        <v>317</v>
      </c>
      <c r="U872" s="698" t="s">
        <v>3808</v>
      </c>
      <c r="W872" s="702"/>
      <c r="AE872" s="724">
        <f t="shared" si="114"/>
        <v>0</v>
      </c>
      <c r="AG872" s="697"/>
    </row>
    <row r="873" spans="2:33" ht="24" customHeight="1">
      <c r="H873" s="698" t="s">
        <v>1806</v>
      </c>
      <c r="N873" s="697" t="s">
        <v>877</v>
      </c>
      <c r="O873" s="697" t="s">
        <v>152</v>
      </c>
      <c r="P873" s="710">
        <v>10</v>
      </c>
      <c r="R873" s="710" t="e">
        <f t="shared" si="121"/>
        <v>#VALUE!</v>
      </c>
      <c r="S873" s="699"/>
      <c r="T873" s="700"/>
      <c r="U873" s="698" t="s">
        <v>1806</v>
      </c>
      <c r="W873" s="702"/>
      <c r="AE873" s="724">
        <f t="shared" si="114"/>
        <v>0</v>
      </c>
      <c r="AG873" s="697"/>
    </row>
    <row r="874" spans="2:33" ht="64.5" customHeight="1">
      <c r="B874" s="762" t="s">
        <v>5235</v>
      </c>
      <c r="C874" s="710">
        <f>Y685</f>
        <v>7719.51</v>
      </c>
      <c r="F874" s="775">
        <v>3.6799999999999999E-2</v>
      </c>
      <c r="G874" s="708" t="s">
        <v>878</v>
      </c>
      <c r="H874" s="762" t="s">
        <v>5235</v>
      </c>
      <c r="I874" s="710">
        <f>Y685</f>
        <v>7719.51</v>
      </c>
      <c r="J874" s="697" t="s">
        <v>878</v>
      </c>
      <c r="K874" s="710">
        <f>F874*I874</f>
        <v>284.08</v>
      </c>
      <c r="N874" s="697" t="s">
        <v>877</v>
      </c>
      <c r="O874" s="697" t="s">
        <v>1772</v>
      </c>
      <c r="P874" s="710">
        <v>8</v>
      </c>
      <c r="R874" s="710" t="e">
        <f t="shared" si="121"/>
        <v>#VALUE!</v>
      </c>
      <c r="S874" s="775">
        <v>5.4699999999999999E-2</v>
      </c>
      <c r="T874" s="708" t="s">
        <v>878</v>
      </c>
      <c r="U874" s="697" t="s">
        <v>2099</v>
      </c>
      <c r="V874" s="710">
        <f>I874</f>
        <v>7719.51</v>
      </c>
      <c r="W874" s="697" t="s">
        <v>878</v>
      </c>
      <c r="X874" s="710">
        <f>S874*V874</f>
        <v>422.26</v>
      </c>
      <c r="AE874" s="724">
        <f t="shared" si="114"/>
        <v>0</v>
      </c>
      <c r="AG874" s="697"/>
    </row>
    <row r="875" spans="2:33" ht="34.5" customHeight="1">
      <c r="B875" s="697" t="s">
        <v>2100</v>
      </c>
      <c r="C875" s="710">
        <f>R1606</f>
        <v>77804.3</v>
      </c>
      <c r="F875" s="710">
        <v>4.87</v>
      </c>
      <c r="G875" s="708" t="s">
        <v>1670</v>
      </c>
      <c r="H875" s="697" t="s">
        <v>2100</v>
      </c>
      <c r="I875" s="710">
        <f>K1605</f>
        <v>77593</v>
      </c>
      <c r="J875" s="697" t="s">
        <v>870</v>
      </c>
      <c r="K875" s="710">
        <f>F875*I875/1000</f>
        <v>377.88</v>
      </c>
      <c r="N875" s="697" t="s">
        <v>835</v>
      </c>
      <c r="O875" s="697" t="s">
        <v>1521</v>
      </c>
      <c r="P875" s="710">
        <v>13.66</v>
      </c>
      <c r="R875" s="710" t="e">
        <f t="shared" si="121"/>
        <v>#VALUE!</v>
      </c>
      <c r="S875" s="820">
        <v>6.16</v>
      </c>
      <c r="T875" s="708" t="s">
        <v>1670</v>
      </c>
      <c r="U875" s="697" t="s">
        <v>2100</v>
      </c>
      <c r="V875" s="710">
        <f t="shared" ref="V875:V883" si="122">I875</f>
        <v>77593</v>
      </c>
      <c r="W875" s="697" t="s">
        <v>870</v>
      </c>
      <c r="X875" s="710">
        <f>S875*V875/1000</f>
        <v>477.97</v>
      </c>
      <c r="AE875" s="724">
        <f t="shared" si="114"/>
        <v>0</v>
      </c>
      <c r="AG875" s="697"/>
    </row>
    <row r="876" spans="2:33" ht="24" customHeight="1">
      <c r="F876" s="710">
        <v>3</v>
      </c>
      <c r="G876" s="708" t="s">
        <v>877</v>
      </c>
      <c r="H876" s="697" t="s">
        <v>1204</v>
      </c>
      <c r="I876" s="816">
        <f>I858</f>
        <v>14.8</v>
      </c>
      <c r="J876" s="697" t="s">
        <v>877</v>
      </c>
      <c r="K876" s="710">
        <f t="shared" ref="K876:K883" si="123">F876*I876</f>
        <v>44.4</v>
      </c>
      <c r="N876" s="697" t="s">
        <v>615</v>
      </c>
      <c r="O876" s="697" t="s">
        <v>1522</v>
      </c>
      <c r="P876" s="710">
        <v>25.46</v>
      </c>
      <c r="R876" s="710" t="e">
        <f t="shared" si="121"/>
        <v>#VALUE!</v>
      </c>
      <c r="S876" s="710">
        <v>3</v>
      </c>
      <c r="T876" s="708" t="s">
        <v>877</v>
      </c>
      <c r="U876" s="697" t="s">
        <v>1204</v>
      </c>
      <c r="V876" s="710">
        <f t="shared" si="122"/>
        <v>14.8</v>
      </c>
      <c r="W876" s="697" t="s">
        <v>877</v>
      </c>
      <c r="X876" s="710">
        <f t="shared" ref="X876:X883" si="124">S876*V876</f>
        <v>44.4</v>
      </c>
      <c r="AE876" s="724">
        <f t="shared" si="114"/>
        <v>0</v>
      </c>
      <c r="AG876" s="697"/>
    </row>
    <row r="877" spans="2:33" ht="24" customHeight="1">
      <c r="F877" s="710">
        <v>12</v>
      </c>
      <c r="G877" s="708" t="s">
        <v>877</v>
      </c>
      <c r="H877" s="697" t="s">
        <v>1205</v>
      </c>
      <c r="I877" s="816">
        <f>I859</f>
        <v>2</v>
      </c>
      <c r="J877" s="697" t="s">
        <v>877</v>
      </c>
      <c r="K877" s="710">
        <f t="shared" si="123"/>
        <v>24</v>
      </c>
      <c r="N877" s="697" t="s">
        <v>877</v>
      </c>
      <c r="O877" s="697" t="s">
        <v>1339</v>
      </c>
      <c r="P877" s="710">
        <v>0.5</v>
      </c>
      <c r="R877" s="710" t="e">
        <f t="shared" si="121"/>
        <v>#VALUE!</v>
      </c>
      <c r="S877" s="710">
        <v>12</v>
      </c>
      <c r="T877" s="708" t="s">
        <v>877</v>
      </c>
      <c r="U877" s="697" t="s">
        <v>1205</v>
      </c>
      <c r="V877" s="710">
        <f t="shared" si="122"/>
        <v>2</v>
      </c>
      <c r="W877" s="697" t="s">
        <v>877</v>
      </c>
      <c r="X877" s="710">
        <f t="shared" si="124"/>
        <v>24</v>
      </c>
      <c r="AE877" s="724">
        <f t="shared" si="114"/>
        <v>0</v>
      </c>
      <c r="AG877" s="697"/>
    </row>
    <row r="878" spans="2:33" ht="24" customHeight="1">
      <c r="F878" s="710">
        <v>2</v>
      </c>
      <c r="G878" s="708" t="s">
        <v>877</v>
      </c>
      <c r="H878" s="697" t="s">
        <v>1206</v>
      </c>
      <c r="I878" s="816">
        <f>I860</f>
        <v>4.9000000000000004</v>
      </c>
      <c r="J878" s="697" t="s">
        <v>877</v>
      </c>
      <c r="K878" s="710">
        <f t="shared" si="123"/>
        <v>9.8000000000000007</v>
      </c>
      <c r="R878" s="710">
        <v>0.97</v>
      </c>
      <c r="S878" s="710">
        <v>2</v>
      </c>
      <c r="T878" s="708" t="s">
        <v>877</v>
      </c>
      <c r="U878" s="697" t="s">
        <v>1206</v>
      </c>
      <c r="V878" s="710">
        <f t="shared" si="122"/>
        <v>4.9000000000000004</v>
      </c>
      <c r="W878" s="697" t="s">
        <v>877</v>
      </c>
      <c r="X878" s="710">
        <f t="shared" si="124"/>
        <v>9.8000000000000007</v>
      </c>
      <c r="AE878" s="724">
        <f t="shared" si="114"/>
        <v>0</v>
      </c>
      <c r="AG878" s="697"/>
    </row>
    <row r="879" spans="2:33" ht="24" customHeight="1">
      <c r="F879" s="710">
        <v>6</v>
      </c>
      <c r="G879" s="708" t="s">
        <v>877</v>
      </c>
      <c r="H879" s="697" t="s">
        <v>2245</v>
      </c>
      <c r="I879" s="816">
        <f>I861</f>
        <v>4.45</v>
      </c>
      <c r="J879" s="697" t="s">
        <v>877</v>
      </c>
      <c r="K879" s="710">
        <f t="shared" si="123"/>
        <v>26.7</v>
      </c>
      <c r="R879" s="705" t="s">
        <v>1609</v>
      </c>
      <c r="S879" s="710">
        <v>6</v>
      </c>
      <c r="T879" s="708" t="s">
        <v>877</v>
      </c>
      <c r="U879" s="697" t="s">
        <v>2245</v>
      </c>
      <c r="V879" s="710">
        <f t="shared" si="122"/>
        <v>4.45</v>
      </c>
      <c r="W879" s="697" t="s">
        <v>877</v>
      </c>
      <c r="X879" s="710">
        <f t="shared" si="124"/>
        <v>26.7</v>
      </c>
      <c r="AE879" s="724">
        <f t="shared" si="114"/>
        <v>0</v>
      </c>
      <c r="AG879" s="697"/>
    </row>
    <row r="880" spans="2:33" ht="24" customHeight="1">
      <c r="F880" s="710">
        <v>1</v>
      </c>
      <c r="G880" s="708" t="s">
        <v>877</v>
      </c>
      <c r="H880" s="697" t="s">
        <v>1211</v>
      </c>
      <c r="I880" s="710">
        <f>C8</f>
        <v>861</v>
      </c>
      <c r="J880" s="697" t="s">
        <v>877</v>
      </c>
      <c r="K880" s="710">
        <f t="shared" si="123"/>
        <v>861</v>
      </c>
      <c r="O880" s="698" t="s">
        <v>1340</v>
      </c>
      <c r="R880" s="710" t="e">
        <f>SUM(R868:R878)</f>
        <v>#VALUE!</v>
      </c>
      <c r="S880" s="710">
        <v>1</v>
      </c>
      <c r="T880" s="708" t="s">
        <v>877</v>
      </c>
      <c r="U880" s="697" t="s">
        <v>1211</v>
      </c>
      <c r="V880" s="710">
        <f t="shared" si="122"/>
        <v>861</v>
      </c>
      <c r="W880" s="697" t="s">
        <v>877</v>
      </c>
      <c r="X880" s="710">
        <f t="shared" si="124"/>
        <v>861</v>
      </c>
      <c r="AE880" s="724">
        <f t="shared" si="114"/>
        <v>0</v>
      </c>
      <c r="AG880" s="697"/>
    </row>
    <row r="881" spans="6:33" ht="24" customHeight="1">
      <c r="F881" s="710">
        <v>1</v>
      </c>
      <c r="G881" s="708" t="s">
        <v>877</v>
      </c>
      <c r="H881" s="697" t="s">
        <v>1212</v>
      </c>
      <c r="I881" s="710">
        <f>C10</f>
        <v>562</v>
      </c>
      <c r="J881" s="697" t="s">
        <v>877</v>
      </c>
      <c r="K881" s="710">
        <f t="shared" si="123"/>
        <v>562</v>
      </c>
      <c r="R881" s="705" t="s">
        <v>1609</v>
      </c>
      <c r="S881" s="710">
        <v>1</v>
      </c>
      <c r="T881" s="708" t="s">
        <v>877</v>
      </c>
      <c r="U881" s="697" t="s">
        <v>1212</v>
      </c>
      <c r="V881" s="710">
        <f t="shared" si="122"/>
        <v>562</v>
      </c>
      <c r="W881" s="697" t="s">
        <v>877</v>
      </c>
      <c r="X881" s="710">
        <f t="shared" si="124"/>
        <v>562</v>
      </c>
      <c r="AE881" s="724" t="str">
        <f t="shared" si="114"/>
        <v>|</v>
      </c>
      <c r="AG881" s="697" t="s">
        <v>2284</v>
      </c>
    </row>
    <row r="882" spans="6:33" ht="24" customHeight="1">
      <c r="F882" s="710">
        <v>1</v>
      </c>
      <c r="G882" s="708" t="s">
        <v>877</v>
      </c>
      <c r="H882" s="697" t="s">
        <v>1213</v>
      </c>
      <c r="I882" s="822">
        <v>25</v>
      </c>
      <c r="J882" s="697" t="s">
        <v>877</v>
      </c>
      <c r="K882" s="710">
        <f t="shared" si="123"/>
        <v>25</v>
      </c>
      <c r="S882" s="710">
        <v>1</v>
      </c>
      <c r="T882" s="708" t="s">
        <v>877</v>
      </c>
      <c r="U882" s="697" t="s">
        <v>1213</v>
      </c>
      <c r="V882" s="710">
        <f t="shared" si="122"/>
        <v>25</v>
      </c>
      <c r="W882" s="697" t="s">
        <v>877</v>
      </c>
      <c r="X882" s="710">
        <f t="shared" si="124"/>
        <v>25</v>
      </c>
      <c r="AE882" s="724" t="str">
        <f t="shared" si="114"/>
        <v>|</v>
      </c>
      <c r="AG882" s="697" t="s">
        <v>2284</v>
      </c>
    </row>
    <row r="883" spans="6:33" ht="24" customHeight="1">
      <c r="F883" s="710">
        <v>0.5</v>
      </c>
      <c r="G883" s="708" t="s">
        <v>877</v>
      </c>
      <c r="H883" s="697" t="s">
        <v>1214</v>
      </c>
      <c r="I883" s="710">
        <f>C11</f>
        <v>461</v>
      </c>
      <c r="J883" s="697" t="s">
        <v>877</v>
      </c>
      <c r="K883" s="710">
        <f t="shared" si="123"/>
        <v>230.5</v>
      </c>
      <c r="M883" s="698" t="s">
        <v>1123</v>
      </c>
      <c r="N883" s="697" t="s">
        <v>2276</v>
      </c>
      <c r="O883" s="697" t="s">
        <v>1124</v>
      </c>
      <c r="S883" s="710">
        <v>0.5</v>
      </c>
      <c r="T883" s="708" t="s">
        <v>877</v>
      </c>
      <c r="U883" s="697" t="s">
        <v>1214</v>
      </c>
      <c r="V883" s="710">
        <f t="shared" si="122"/>
        <v>461</v>
      </c>
      <c r="W883" s="697" t="s">
        <v>877</v>
      </c>
      <c r="X883" s="710">
        <f t="shared" si="124"/>
        <v>230.5</v>
      </c>
      <c r="AE883" s="724" t="str">
        <f t="shared" si="114"/>
        <v>|</v>
      </c>
      <c r="AG883" s="697" t="s">
        <v>2284</v>
      </c>
    </row>
    <row r="884" spans="6:33" ht="24" customHeight="1">
      <c r="G884" s="708" t="s">
        <v>450</v>
      </c>
      <c r="H884" s="697" t="s">
        <v>2163</v>
      </c>
      <c r="J884" s="697" t="s">
        <v>450</v>
      </c>
      <c r="K884" s="710">
        <v>1.98</v>
      </c>
      <c r="O884" s="697" t="s">
        <v>584</v>
      </c>
      <c r="S884" s="699"/>
      <c r="T884" s="708" t="s">
        <v>450</v>
      </c>
      <c r="U884" s="697" t="s">
        <v>2163</v>
      </c>
      <c r="W884" s="697" t="s">
        <v>450</v>
      </c>
      <c r="X884" s="710">
        <v>0.27</v>
      </c>
      <c r="AE884" s="724" t="str">
        <f t="shared" si="114"/>
        <v>|</v>
      </c>
      <c r="AG884" s="697" t="s">
        <v>2284</v>
      </c>
    </row>
    <row r="885" spans="6:33" ht="24" customHeight="1">
      <c r="K885" s="705" t="s">
        <v>1609</v>
      </c>
      <c r="O885" s="705" t="s">
        <v>1609</v>
      </c>
      <c r="P885" s="705" t="s">
        <v>1609</v>
      </c>
      <c r="S885" s="699"/>
      <c r="T885" s="700"/>
      <c r="W885" s="702"/>
      <c r="X885" s="705" t="s">
        <v>1609</v>
      </c>
      <c r="AE885" s="724" t="str">
        <f t="shared" si="114"/>
        <v>|</v>
      </c>
      <c r="AG885" s="697" t="s">
        <v>2284</v>
      </c>
    </row>
    <row r="886" spans="6:33" ht="24" customHeight="1">
      <c r="H886" s="711" t="s">
        <v>283</v>
      </c>
      <c r="K886" s="709">
        <f>SUM(K874:K884)</f>
        <v>2447.34</v>
      </c>
      <c r="L886" s="699">
        <f>K886-1729</f>
        <v>718.34</v>
      </c>
      <c r="O886" s="697" t="s">
        <v>585</v>
      </c>
      <c r="S886" s="699"/>
      <c r="T886" s="700"/>
      <c r="U886" s="711" t="s">
        <v>283</v>
      </c>
      <c r="W886" s="702"/>
      <c r="X886" s="709">
        <f>SUM(X874:X884)</f>
        <v>2683.9</v>
      </c>
      <c r="AE886" s="724" t="str">
        <f t="shared" si="114"/>
        <v>|</v>
      </c>
      <c r="AG886" s="697" t="s">
        <v>2284</v>
      </c>
    </row>
    <row r="887" spans="6:33" ht="24" customHeight="1">
      <c r="K887" s="705" t="s">
        <v>1609</v>
      </c>
      <c r="M887" s="710">
        <v>0.5</v>
      </c>
      <c r="N887" s="698" t="s">
        <v>778</v>
      </c>
      <c r="O887" s="697" t="s">
        <v>76</v>
      </c>
      <c r="P887" s="710">
        <f>C14</f>
        <v>842</v>
      </c>
      <c r="Q887" s="698" t="s">
        <v>1741</v>
      </c>
      <c r="R887" s="710">
        <f>(M887*P887)</f>
        <v>421</v>
      </c>
      <c r="AE887" s="724" t="str">
        <f t="shared" si="114"/>
        <v>|</v>
      </c>
      <c r="AG887" s="697" t="s">
        <v>2284</v>
      </c>
    </row>
    <row r="888" spans="6:33" ht="24" customHeight="1">
      <c r="F888" s="698"/>
      <c r="G888" s="708" t="s">
        <v>522</v>
      </c>
      <c r="H888" s="698" t="s">
        <v>567</v>
      </c>
      <c r="K888" s="699">
        <f>K886-1800.2</f>
        <v>647.14</v>
      </c>
      <c r="M888" s="710">
        <v>0.25</v>
      </c>
      <c r="N888" s="698" t="s">
        <v>778</v>
      </c>
      <c r="O888" s="697" t="s">
        <v>887</v>
      </c>
      <c r="P888" s="710">
        <f>C10</f>
        <v>562</v>
      </c>
      <c r="Q888" s="698" t="s">
        <v>1741</v>
      </c>
      <c r="R888" s="710">
        <f>(M888*P888)</f>
        <v>140.5</v>
      </c>
      <c r="S888" s="699"/>
      <c r="T888" s="708" t="s">
        <v>317</v>
      </c>
      <c r="U888" s="698" t="s">
        <v>3809</v>
      </c>
      <c r="W888" s="702"/>
      <c r="AE888" s="724" t="str">
        <f t="shared" si="114"/>
        <v>|</v>
      </c>
      <c r="AG888" s="697" t="s">
        <v>2284</v>
      </c>
    </row>
    <row r="889" spans="6:33" ht="24" customHeight="1">
      <c r="H889" s="698" t="s">
        <v>1806</v>
      </c>
      <c r="R889" s="705" t="s">
        <v>1609</v>
      </c>
      <c r="S889" s="699"/>
      <c r="T889" s="700"/>
      <c r="U889" s="698" t="s">
        <v>1806</v>
      </c>
      <c r="W889" s="702"/>
      <c r="AE889" s="724" t="str">
        <f t="shared" si="114"/>
        <v>|</v>
      </c>
      <c r="AG889" s="697" t="s">
        <v>2284</v>
      </c>
    </row>
    <row r="890" spans="6:33" ht="24" customHeight="1">
      <c r="F890" s="775">
        <v>3.5299999999999998E-2</v>
      </c>
      <c r="G890" s="708" t="s">
        <v>878</v>
      </c>
      <c r="H890" s="697" t="s">
        <v>2099</v>
      </c>
      <c r="I890" s="710">
        <f t="shared" ref="I890:I895" si="125">I874</f>
        <v>7719.51</v>
      </c>
      <c r="J890" s="697" t="s">
        <v>878</v>
      </c>
      <c r="K890" s="710">
        <f>F890*I890</f>
        <v>272.5</v>
      </c>
      <c r="O890" s="698" t="s">
        <v>1180</v>
      </c>
      <c r="R890" s="710">
        <f>SUM(R887:R888)</f>
        <v>561.5</v>
      </c>
      <c r="S890" s="775">
        <v>5.91E-2</v>
      </c>
      <c r="T890" s="708" t="s">
        <v>878</v>
      </c>
      <c r="U890" s="697" t="s">
        <v>2099</v>
      </c>
      <c r="V890" s="710">
        <f>V874</f>
        <v>7719.51</v>
      </c>
      <c r="W890" s="697" t="s">
        <v>878</v>
      </c>
      <c r="X890" s="710">
        <f>S890*V890</f>
        <v>456.22</v>
      </c>
      <c r="AE890" s="724" t="str">
        <f t="shared" si="114"/>
        <v>|</v>
      </c>
      <c r="AG890" s="697" t="s">
        <v>2284</v>
      </c>
    </row>
    <row r="891" spans="6:33" ht="24" customHeight="1">
      <c r="F891" s="710">
        <v>4.59</v>
      </c>
      <c r="G891" s="708" t="s">
        <v>1670</v>
      </c>
      <c r="H891" s="697" t="s">
        <v>2100</v>
      </c>
      <c r="I891" s="710">
        <f t="shared" si="125"/>
        <v>77593</v>
      </c>
      <c r="J891" s="697" t="s">
        <v>870</v>
      </c>
      <c r="K891" s="710">
        <f>F891*I891/1000</f>
        <v>356.15</v>
      </c>
      <c r="R891" s="705" t="s">
        <v>1609</v>
      </c>
      <c r="S891" s="820">
        <v>6.58</v>
      </c>
      <c r="T891" s="708" t="s">
        <v>1670</v>
      </c>
      <c r="U891" s="697" t="s">
        <v>2100</v>
      </c>
      <c r="V891" s="710">
        <f t="shared" ref="V891:V899" si="126">V875</f>
        <v>77593</v>
      </c>
      <c r="W891" s="697" t="s">
        <v>870</v>
      </c>
      <c r="X891" s="710">
        <f>S891*V891/1000</f>
        <v>510.56</v>
      </c>
      <c r="AE891" s="724" t="str">
        <f t="shared" si="114"/>
        <v>|</v>
      </c>
      <c r="AG891" s="697" t="s">
        <v>2284</v>
      </c>
    </row>
    <row r="892" spans="6:33" ht="24" customHeight="1">
      <c r="F892" s="710">
        <v>3</v>
      </c>
      <c r="G892" s="708" t="s">
        <v>877</v>
      </c>
      <c r="H892" s="697" t="s">
        <v>1204</v>
      </c>
      <c r="I892" s="816">
        <f t="shared" si="125"/>
        <v>14.8</v>
      </c>
      <c r="J892" s="697" t="s">
        <v>877</v>
      </c>
      <c r="K892" s="710">
        <f t="shared" ref="K892:K899" si="127">F892*I892</f>
        <v>44.4</v>
      </c>
      <c r="O892" s="698" t="s">
        <v>1181</v>
      </c>
      <c r="R892" s="710">
        <f>R890/0.0283</f>
        <v>19840.990000000002</v>
      </c>
      <c r="S892" s="710">
        <v>3</v>
      </c>
      <c r="T892" s="708" t="s">
        <v>877</v>
      </c>
      <c r="U892" s="697" t="s">
        <v>1204</v>
      </c>
      <c r="V892" s="710">
        <f t="shared" si="126"/>
        <v>14.8</v>
      </c>
      <c r="W892" s="697" t="s">
        <v>877</v>
      </c>
      <c r="X892" s="710">
        <f t="shared" ref="X892:X899" si="128">S892*V892</f>
        <v>44.4</v>
      </c>
      <c r="AE892" s="724" t="str">
        <f t="shared" si="114"/>
        <v>|</v>
      </c>
      <c r="AG892" s="697" t="s">
        <v>2284</v>
      </c>
    </row>
    <row r="893" spans="6:33" ht="24" customHeight="1">
      <c r="F893" s="710">
        <v>12</v>
      </c>
      <c r="G893" s="708" t="s">
        <v>877</v>
      </c>
      <c r="H893" s="697" t="s">
        <v>1205</v>
      </c>
      <c r="I893" s="816">
        <f t="shared" si="125"/>
        <v>2</v>
      </c>
      <c r="J893" s="697" t="s">
        <v>877</v>
      </c>
      <c r="K893" s="710">
        <f t="shared" si="127"/>
        <v>24</v>
      </c>
      <c r="R893" s="705" t="s">
        <v>1609</v>
      </c>
      <c r="S893" s="710">
        <v>12</v>
      </c>
      <c r="T893" s="708" t="s">
        <v>877</v>
      </c>
      <c r="U893" s="697" t="s">
        <v>1205</v>
      </c>
      <c r="V893" s="710">
        <f t="shared" si="126"/>
        <v>2</v>
      </c>
      <c r="W893" s="697" t="s">
        <v>877</v>
      </c>
      <c r="X893" s="710">
        <f t="shared" si="128"/>
        <v>24</v>
      </c>
      <c r="AE893" s="724" t="str">
        <f t="shared" ref="AE893:AE956" si="129">AG893</f>
        <v>|</v>
      </c>
      <c r="AG893" s="697" t="s">
        <v>2284</v>
      </c>
    </row>
    <row r="894" spans="6:33" ht="24" customHeight="1">
      <c r="F894" s="710">
        <v>2</v>
      </c>
      <c r="G894" s="708" t="s">
        <v>877</v>
      </c>
      <c r="H894" s="710" t="str">
        <f>H878</f>
        <v>TOWER BOLT RECEIVER</v>
      </c>
      <c r="I894" s="816">
        <f t="shared" si="125"/>
        <v>4.9000000000000004</v>
      </c>
      <c r="J894" s="697" t="s">
        <v>877</v>
      </c>
      <c r="K894" s="710">
        <f t="shared" si="127"/>
        <v>9.8000000000000007</v>
      </c>
      <c r="S894" s="710">
        <v>2</v>
      </c>
      <c r="T894" s="708" t="s">
        <v>877</v>
      </c>
      <c r="U894" s="697" t="s">
        <v>1206</v>
      </c>
      <c r="V894" s="710">
        <f t="shared" si="126"/>
        <v>4.9000000000000004</v>
      </c>
      <c r="W894" s="697" t="s">
        <v>877</v>
      </c>
      <c r="X894" s="710">
        <f t="shared" si="128"/>
        <v>9.8000000000000007</v>
      </c>
      <c r="AE894" s="724" t="str">
        <f t="shared" si="129"/>
        <v>|</v>
      </c>
      <c r="AG894" s="697" t="s">
        <v>2284</v>
      </c>
    </row>
    <row r="895" spans="6:33" ht="24" customHeight="1">
      <c r="F895" s="710">
        <v>6</v>
      </c>
      <c r="G895" s="708" t="s">
        <v>877</v>
      </c>
      <c r="H895" s="697" t="s">
        <v>2245</v>
      </c>
      <c r="I895" s="816">
        <f t="shared" si="125"/>
        <v>4.45</v>
      </c>
      <c r="J895" s="697" t="s">
        <v>877</v>
      </c>
      <c r="K895" s="710">
        <f t="shared" si="127"/>
        <v>26.7</v>
      </c>
      <c r="S895" s="710">
        <v>6</v>
      </c>
      <c r="T895" s="708" t="s">
        <v>877</v>
      </c>
      <c r="U895" s="697" t="s">
        <v>2245</v>
      </c>
      <c r="V895" s="710">
        <f t="shared" si="126"/>
        <v>4.45</v>
      </c>
      <c r="W895" s="697" t="s">
        <v>877</v>
      </c>
      <c r="X895" s="710">
        <f t="shared" si="128"/>
        <v>26.7</v>
      </c>
      <c r="AE895" s="724" t="str">
        <f t="shared" si="129"/>
        <v>|</v>
      </c>
      <c r="AG895" s="697" t="s">
        <v>2284</v>
      </c>
    </row>
    <row r="896" spans="6:33" ht="24" customHeight="1">
      <c r="F896" s="710">
        <v>1</v>
      </c>
      <c r="G896" s="708" t="s">
        <v>877</v>
      </c>
      <c r="H896" s="697" t="s">
        <v>1211</v>
      </c>
      <c r="I896" s="710">
        <f>C8</f>
        <v>861</v>
      </c>
      <c r="J896" s="697" t="s">
        <v>877</v>
      </c>
      <c r="K896" s="710">
        <f t="shared" si="127"/>
        <v>861</v>
      </c>
      <c r="S896" s="710">
        <v>1</v>
      </c>
      <c r="T896" s="708" t="s">
        <v>877</v>
      </c>
      <c r="U896" s="697" t="s">
        <v>1211</v>
      </c>
      <c r="V896" s="710">
        <f t="shared" si="126"/>
        <v>861</v>
      </c>
      <c r="W896" s="697" t="s">
        <v>877</v>
      </c>
      <c r="X896" s="710">
        <f t="shared" si="128"/>
        <v>861</v>
      </c>
      <c r="AE896" s="724" t="str">
        <f t="shared" si="129"/>
        <v>|</v>
      </c>
      <c r="AG896" s="697" t="s">
        <v>2284</v>
      </c>
    </row>
    <row r="897" spans="6:33" ht="24" customHeight="1">
      <c r="F897" s="710">
        <v>1</v>
      </c>
      <c r="G897" s="708" t="s">
        <v>877</v>
      </c>
      <c r="H897" s="697" t="s">
        <v>1212</v>
      </c>
      <c r="I897" s="710">
        <f>C10</f>
        <v>562</v>
      </c>
      <c r="J897" s="697" t="s">
        <v>877</v>
      </c>
      <c r="K897" s="710">
        <f t="shared" si="127"/>
        <v>562</v>
      </c>
      <c r="S897" s="710">
        <v>1</v>
      </c>
      <c r="T897" s="708" t="s">
        <v>877</v>
      </c>
      <c r="U897" s="697" t="s">
        <v>1212</v>
      </c>
      <c r="V897" s="710">
        <f t="shared" si="126"/>
        <v>562</v>
      </c>
      <c r="W897" s="697" t="s">
        <v>877</v>
      </c>
      <c r="X897" s="710">
        <f t="shared" si="128"/>
        <v>562</v>
      </c>
      <c r="AE897" s="724" t="str">
        <f t="shared" si="129"/>
        <v>|</v>
      </c>
      <c r="AG897" s="697" t="s">
        <v>2284</v>
      </c>
    </row>
    <row r="898" spans="6:33" ht="101.25" customHeight="1">
      <c r="F898" s="710">
        <v>1</v>
      </c>
      <c r="G898" s="708" t="s">
        <v>877</v>
      </c>
      <c r="H898" s="710" t="str">
        <f>H882</f>
        <v>MOULDING CHARGES</v>
      </c>
      <c r="I898" s="774">
        <v>25</v>
      </c>
      <c r="J898" s="697" t="s">
        <v>877</v>
      </c>
      <c r="K898" s="710">
        <f t="shared" si="127"/>
        <v>25</v>
      </c>
      <c r="S898" s="710">
        <v>1</v>
      </c>
      <c r="T898" s="708" t="s">
        <v>877</v>
      </c>
      <c r="U898" s="697" t="s">
        <v>1213</v>
      </c>
      <c r="V898" s="710">
        <f t="shared" si="126"/>
        <v>25</v>
      </c>
      <c r="W898" s="697" t="s">
        <v>877</v>
      </c>
      <c r="X898" s="710">
        <f t="shared" si="128"/>
        <v>25</v>
      </c>
      <c r="AE898" s="724">
        <f t="shared" si="129"/>
        <v>0</v>
      </c>
    </row>
    <row r="899" spans="6:33" ht="24" customHeight="1">
      <c r="F899" s="710">
        <v>0.5</v>
      </c>
      <c r="G899" s="708" t="s">
        <v>877</v>
      </c>
      <c r="H899" s="697" t="s">
        <v>1214</v>
      </c>
      <c r="I899" s="710">
        <f>C11</f>
        <v>461</v>
      </c>
      <c r="J899" s="697" t="s">
        <v>877</v>
      </c>
      <c r="K899" s="710">
        <f t="shared" si="127"/>
        <v>230.5</v>
      </c>
      <c r="M899" s="710">
        <v>11.64</v>
      </c>
      <c r="N899" s="697" t="s">
        <v>835</v>
      </c>
      <c r="O899" s="697" t="s">
        <v>1521</v>
      </c>
      <c r="P899" s="710">
        <v>13.66</v>
      </c>
      <c r="R899" s="710">
        <f>(M899*P899)</f>
        <v>159</v>
      </c>
      <c r="S899" s="710">
        <v>0.5</v>
      </c>
      <c r="T899" s="708" t="s">
        <v>877</v>
      </c>
      <c r="U899" s="697" t="s">
        <v>1214</v>
      </c>
      <c r="V899" s="710">
        <f t="shared" si="126"/>
        <v>461</v>
      </c>
      <c r="W899" s="697" t="s">
        <v>877</v>
      </c>
      <c r="X899" s="710">
        <f t="shared" si="128"/>
        <v>230.5</v>
      </c>
      <c r="AE899" s="724">
        <f t="shared" si="129"/>
        <v>0</v>
      </c>
    </row>
    <row r="900" spans="6:33" ht="24" customHeight="1">
      <c r="G900" s="708" t="s">
        <v>450</v>
      </c>
      <c r="H900" s="697" t="s">
        <v>2163</v>
      </c>
      <c r="J900" s="697" t="s">
        <v>450</v>
      </c>
      <c r="K900" s="710">
        <v>1.39</v>
      </c>
      <c r="M900" s="776">
        <v>1.62</v>
      </c>
      <c r="N900" s="697" t="s">
        <v>615</v>
      </c>
      <c r="O900" s="697" t="s">
        <v>1522</v>
      </c>
      <c r="P900" s="710">
        <v>25.46</v>
      </c>
      <c r="R900" s="710">
        <f>(M900*P900)</f>
        <v>41.25</v>
      </c>
      <c r="S900" s="699"/>
      <c r="T900" s="708" t="s">
        <v>450</v>
      </c>
      <c r="U900" s="697" t="s">
        <v>2163</v>
      </c>
      <c r="W900" s="697" t="s">
        <v>450</v>
      </c>
      <c r="X900" s="710">
        <v>0.21</v>
      </c>
      <c r="AE900" s="724">
        <f t="shared" si="129"/>
        <v>0</v>
      </c>
    </row>
    <row r="901" spans="6:33" ht="24" customHeight="1">
      <c r="K901" s="705" t="s">
        <v>1609</v>
      </c>
      <c r="M901" s="710">
        <v>48</v>
      </c>
      <c r="N901" s="697" t="s">
        <v>877</v>
      </c>
      <c r="O901" s="697" t="s">
        <v>1339</v>
      </c>
      <c r="P901" s="710">
        <v>0.5</v>
      </c>
      <c r="R901" s="710">
        <f>(M901*P901)</f>
        <v>24</v>
      </c>
      <c r="S901" s="699"/>
      <c r="T901" s="700"/>
      <c r="W901" s="702"/>
      <c r="X901" s="705" t="s">
        <v>1609</v>
      </c>
      <c r="AE901" s="724">
        <f t="shared" si="129"/>
        <v>0</v>
      </c>
    </row>
    <row r="902" spans="6:33" ht="24" customHeight="1">
      <c r="H902" s="711" t="s">
        <v>283</v>
      </c>
      <c r="K902" s="709">
        <f>SUM(K890:K900)</f>
        <v>2413.44</v>
      </c>
      <c r="R902" s="710">
        <v>0.23</v>
      </c>
      <c r="S902" s="699"/>
      <c r="T902" s="700"/>
      <c r="U902" s="711" t="s">
        <v>283</v>
      </c>
      <c r="W902" s="702"/>
      <c r="X902" s="709">
        <f>SUM(X890:X900)</f>
        <v>2750.39</v>
      </c>
      <c r="AE902" s="724">
        <f t="shared" si="129"/>
        <v>0</v>
      </c>
    </row>
    <row r="903" spans="6:33" ht="24" customHeight="1">
      <c r="K903" s="705" t="s">
        <v>1609</v>
      </c>
      <c r="AE903" s="724">
        <f t="shared" si="129"/>
        <v>0</v>
      </c>
    </row>
    <row r="904" spans="6:33" ht="24" customHeight="1">
      <c r="R904" s="705" t="s">
        <v>1609</v>
      </c>
      <c r="AE904" s="724">
        <f t="shared" si="129"/>
        <v>0</v>
      </c>
    </row>
    <row r="905" spans="6:33" ht="55.5" customHeight="1">
      <c r="F905" s="823">
        <v>21.3</v>
      </c>
      <c r="G905" s="708" t="s">
        <v>2276</v>
      </c>
      <c r="H905" s="824" t="s">
        <v>1752</v>
      </c>
      <c r="O905" s="698" t="s">
        <v>1340</v>
      </c>
      <c r="R905" s="710">
        <f>SUM(R899:R902)</f>
        <v>224.48</v>
      </c>
      <c r="AE905" s="724">
        <f t="shared" si="129"/>
        <v>0</v>
      </c>
    </row>
    <row r="906" spans="6:33" ht="24" customHeight="1">
      <c r="H906" s="697" t="s">
        <v>2285</v>
      </c>
      <c r="AE906" s="724">
        <f t="shared" si="129"/>
        <v>0</v>
      </c>
    </row>
    <row r="907" spans="6:33" ht="24" customHeight="1">
      <c r="H907" s="705" t="s">
        <v>1609</v>
      </c>
      <c r="J907" s="702" t="s">
        <v>1324</v>
      </c>
      <c r="AE907" s="724">
        <f t="shared" si="129"/>
        <v>0</v>
      </c>
    </row>
    <row r="908" spans="6:33" ht="24" customHeight="1">
      <c r="AE908" s="724">
        <f t="shared" si="129"/>
        <v>0</v>
      </c>
    </row>
    <row r="909" spans="6:33" ht="24" customHeight="1">
      <c r="H909" s="769" t="s">
        <v>4991</v>
      </c>
      <c r="J909" s="697" t="s">
        <v>615</v>
      </c>
      <c r="K909" s="723">
        <v>2034</v>
      </c>
      <c r="AE909" s="724">
        <f t="shared" si="129"/>
        <v>0</v>
      </c>
    </row>
    <row r="910" spans="6:33" ht="24" customHeight="1">
      <c r="F910" s="697" t="s">
        <v>987</v>
      </c>
      <c r="AE910" s="724">
        <f t="shared" si="129"/>
        <v>0</v>
      </c>
    </row>
    <row r="911" spans="6:33" ht="24" customHeight="1">
      <c r="H911" s="698" t="s">
        <v>2286</v>
      </c>
      <c r="K911" s="705" t="s">
        <v>2080</v>
      </c>
      <c r="AE911" s="724">
        <f t="shared" si="129"/>
        <v>0</v>
      </c>
    </row>
    <row r="912" spans="6:33" ht="24" customHeight="1">
      <c r="H912" s="698" t="s">
        <v>1388</v>
      </c>
      <c r="AE912" s="724">
        <f t="shared" si="129"/>
        <v>0</v>
      </c>
    </row>
    <row r="913" spans="6:33" ht="24" customHeight="1">
      <c r="F913" s="765">
        <v>21.2</v>
      </c>
      <c r="H913" s="758" t="s">
        <v>1753</v>
      </c>
      <c r="AE913" s="724">
        <f t="shared" si="129"/>
        <v>0</v>
      </c>
    </row>
    <row r="914" spans="6:33" ht="24" customHeight="1">
      <c r="F914" s="765"/>
      <c r="H914" s="705" t="s">
        <v>1609</v>
      </c>
      <c r="AE914" s="724" t="str">
        <f t="shared" si="129"/>
        <v>|</v>
      </c>
      <c r="AG914" s="697" t="s">
        <v>2284</v>
      </c>
    </row>
    <row r="915" spans="6:33" ht="24" customHeight="1">
      <c r="G915" s="708" t="s">
        <v>156</v>
      </c>
      <c r="H915" s="697" t="s">
        <v>1389</v>
      </c>
      <c r="K915" s="697" t="s">
        <v>987</v>
      </c>
      <c r="AE915" s="724" t="str">
        <f t="shared" si="129"/>
        <v>|</v>
      </c>
      <c r="AG915" s="697" t="s">
        <v>2284</v>
      </c>
    </row>
    <row r="916" spans="6:33" ht="24" customHeight="1">
      <c r="H916" s="705" t="s">
        <v>1609</v>
      </c>
      <c r="K916" s="697" t="s">
        <v>987</v>
      </c>
      <c r="AE916" s="724" t="str">
        <f t="shared" si="129"/>
        <v>|</v>
      </c>
      <c r="AG916" s="697" t="s">
        <v>2284</v>
      </c>
    </row>
    <row r="917" spans="6:33" ht="24" customHeight="1">
      <c r="F917" s="710">
        <v>1</v>
      </c>
      <c r="G917" s="708" t="s">
        <v>878</v>
      </c>
      <c r="H917" s="697" t="s">
        <v>1591</v>
      </c>
      <c r="I917" s="710">
        <f>C28</f>
        <v>11800</v>
      </c>
      <c r="J917" s="697" t="s">
        <v>878</v>
      </c>
      <c r="K917" s="710">
        <f>(F917*I917)</f>
        <v>11800</v>
      </c>
      <c r="AE917" s="724" t="str">
        <f t="shared" si="129"/>
        <v>|</v>
      </c>
      <c r="AG917" s="697" t="s">
        <v>2284</v>
      </c>
    </row>
    <row r="918" spans="6:33" ht="24" customHeight="1">
      <c r="F918" s="710">
        <v>1</v>
      </c>
      <c r="G918" s="708" t="s">
        <v>878</v>
      </c>
      <c r="H918" s="697" t="s">
        <v>1389</v>
      </c>
      <c r="I918" s="710">
        <f>C85</f>
        <v>111600</v>
      </c>
      <c r="J918" s="697" t="s">
        <v>878</v>
      </c>
      <c r="K918" s="710">
        <f>(F918*I918)</f>
        <v>111600</v>
      </c>
      <c r="AE918" s="724" t="str">
        <f t="shared" si="129"/>
        <v>|</v>
      </c>
      <c r="AG918" s="697" t="s">
        <v>2284</v>
      </c>
    </row>
    <row r="919" spans="6:33" ht="24" customHeight="1">
      <c r="K919" s="705" t="s">
        <v>2080</v>
      </c>
      <c r="AE919" s="724">
        <f t="shared" si="129"/>
        <v>0</v>
      </c>
    </row>
    <row r="920" spans="6:33" ht="24" customHeight="1">
      <c r="H920" s="697" t="s">
        <v>1592</v>
      </c>
      <c r="K920" s="709">
        <f>SUM(K917:K918)</f>
        <v>123400</v>
      </c>
      <c r="AE920" s="724" t="str">
        <f t="shared" si="129"/>
        <v>|</v>
      </c>
      <c r="AG920" s="697" t="s">
        <v>2284</v>
      </c>
    </row>
    <row r="921" spans="6:33" ht="24" customHeight="1">
      <c r="K921" s="705" t="s">
        <v>2080</v>
      </c>
      <c r="AE921" s="724" t="str">
        <f t="shared" si="129"/>
        <v>|</v>
      </c>
      <c r="AG921" s="697" t="s">
        <v>2284</v>
      </c>
    </row>
    <row r="922" spans="6:33" ht="24" customHeight="1">
      <c r="G922" s="708" t="s">
        <v>1577</v>
      </c>
      <c r="H922" s="697" t="s">
        <v>1593</v>
      </c>
      <c r="K922" s="697" t="s">
        <v>987</v>
      </c>
      <c r="AE922" s="724" t="str">
        <f t="shared" si="129"/>
        <v>|</v>
      </c>
      <c r="AG922" s="697" t="s">
        <v>2284</v>
      </c>
    </row>
    <row r="923" spans="6:33" ht="24" customHeight="1">
      <c r="H923" s="705" t="s">
        <v>1609</v>
      </c>
      <c r="M923" s="698" t="s">
        <v>568</v>
      </c>
      <c r="N923" s="708" t="s">
        <v>2276</v>
      </c>
      <c r="O923" s="697" t="s">
        <v>329</v>
      </c>
      <c r="Q923" s="702"/>
      <c r="AE923" s="724">
        <f t="shared" si="129"/>
        <v>0</v>
      </c>
      <c r="AG923" s="697"/>
    </row>
    <row r="924" spans="6:33" ht="24" customHeight="1">
      <c r="F924" s="710">
        <v>1</v>
      </c>
      <c r="G924" s="708" t="s">
        <v>878</v>
      </c>
      <c r="H924" s="697" t="s">
        <v>1591</v>
      </c>
      <c r="I924" s="710">
        <f>C28</f>
        <v>11800</v>
      </c>
      <c r="J924" s="697" t="s">
        <v>878</v>
      </c>
      <c r="K924" s="710">
        <f>(F924*I924)</f>
        <v>11800</v>
      </c>
      <c r="N924" s="700"/>
      <c r="O924" s="697" t="s">
        <v>255</v>
      </c>
      <c r="Q924" s="702"/>
      <c r="AE924" s="724" t="str">
        <f t="shared" si="129"/>
        <v>|</v>
      </c>
      <c r="AG924" s="697" t="s">
        <v>2284</v>
      </c>
    </row>
    <row r="925" spans="6:33" ht="24" customHeight="1">
      <c r="F925" s="710">
        <v>1</v>
      </c>
      <c r="G925" s="708" t="s">
        <v>878</v>
      </c>
      <c r="H925" s="697" t="s">
        <v>1389</v>
      </c>
      <c r="I925" s="710">
        <f>C86</f>
        <v>99400</v>
      </c>
      <c r="J925" s="697" t="s">
        <v>878</v>
      </c>
      <c r="K925" s="710">
        <f>(F925*I925)</f>
        <v>99400</v>
      </c>
      <c r="N925" s="700"/>
      <c r="O925" s="697" t="s">
        <v>1492</v>
      </c>
      <c r="Q925" s="702"/>
      <c r="AE925" s="724" t="str">
        <f t="shared" si="129"/>
        <v>|</v>
      </c>
      <c r="AG925" s="697" t="s">
        <v>2284</v>
      </c>
    </row>
    <row r="926" spans="6:33" ht="24" customHeight="1">
      <c r="K926" s="705" t="s">
        <v>2080</v>
      </c>
      <c r="N926" s="700"/>
      <c r="O926" s="705" t="s">
        <v>1609</v>
      </c>
      <c r="Q926" s="702"/>
      <c r="AE926" s="724" t="str">
        <f t="shared" si="129"/>
        <v>|</v>
      </c>
      <c r="AG926" s="697" t="s">
        <v>2284</v>
      </c>
    </row>
    <row r="927" spans="6:33" ht="24" customHeight="1">
      <c r="H927" s="697" t="s">
        <v>1594</v>
      </c>
      <c r="K927" s="709">
        <f>SUM(K924:K925)</f>
        <v>111200</v>
      </c>
      <c r="N927" s="700"/>
      <c r="O927" s="697" t="s">
        <v>91</v>
      </c>
      <c r="Q927" s="702"/>
      <c r="AE927" s="724" t="str">
        <f t="shared" si="129"/>
        <v>|</v>
      </c>
      <c r="AG927" s="697" t="s">
        <v>2284</v>
      </c>
    </row>
    <row r="928" spans="6:33" ht="24" customHeight="1">
      <c r="K928" s="705" t="s">
        <v>2080</v>
      </c>
      <c r="N928" s="700"/>
      <c r="O928" s="697" t="s">
        <v>92</v>
      </c>
      <c r="Q928" s="702"/>
      <c r="AE928" s="724" t="str">
        <f t="shared" si="129"/>
        <v>|</v>
      </c>
      <c r="AG928" s="697" t="s">
        <v>2284</v>
      </c>
    </row>
    <row r="929" spans="6:33" ht="24" customHeight="1">
      <c r="N929" s="700"/>
      <c r="Q929" s="697" t="s">
        <v>1609</v>
      </c>
      <c r="AE929" s="724" t="str">
        <f t="shared" si="129"/>
        <v>|</v>
      </c>
      <c r="AG929" s="697" t="s">
        <v>2284</v>
      </c>
    </row>
    <row r="930" spans="6:33" ht="24" customHeight="1">
      <c r="F930" s="698" t="s">
        <v>568</v>
      </c>
      <c r="G930" s="708" t="s">
        <v>2276</v>
      </c>
      <c r="H930" s="697" t="s">
        <v>254</v>
      </c>
      <c r="N930" s="700"/>
      <c r="O930" s="697" t="s">
        <v>1190</v>
      </c>
      <c r="Q930" s="702"/>
      <c r="AE930" s="724" t="str">
        <f t="shared" si="129"/>
        <v>|</v>
      </c>
      <c r="AG930" s="697" t="s">
        <v>2284</v>
      </c>
    </row>
    <row r="931" spans="6:33" ht="24" customHeight="1">
      <c r="H931" s="697" t="s">
        <v>255</v>
      </c>
      <c r="N931" s="700"/>
      <c r="O931" s="697" t="s">
        <v>2031</v>
      </c>
      <c r="Q931" s="702"/>
      <c r="R931" s="775">
        <v>2.4299999999999999E-2</v>
      </c>
      <c r="AE931" s="724" t="str">
        <f t="shared" si="129"/>
        <v>|</v>
      </c>
      <c r="AG931" s="697" t="s">
        <v>2284</v>
      </c>
    </row>
    <row r="932" spans="6:33" ht="24" customHeight="1">
      <c r="H932" s="697" t="s">
        <v>1492</v>
      </c>
      <c r="N932" s="700"/>
      <c r="Q932" s="697" t="s">
        <v>987</v>
      </c>
      <c r="R932" s="705" t="s">
        <v>1609</v>
      </c>
      <c r="AE932" s="724" t="str">
        <f t="shared" si="129"/>
        <v>|</v>
      </c>
      <c r="AG932" s="697" t="s">
        <v>2284</v>
      </c>
    </row>
    <row r="933" spans="6:33" ht="24" customHeight="1">
      <c r="H933" s="705" t="s">
        <v>1609</v>
      </c>
      <c r="N933" s="700"/>
      <c r="O933" s="697" t="s">
        <v>2032</v>
      </c>
      <c r="Q933" s="825" t="s">
        <v>987</v>
      </c>
      <c r="R933" s="775">
        <v>1.47E-2</v>
      </c>
      <c r="AE933" s="724" t="str">
        <f t="shared" si="129"/>
        <v>|</v>
      </c>
      <c r="AG933" s="697" t="s">
        <v>2284</v>
      </c>
    </row>
    <row r="934" spans="6:33" ht="24" customHeight="1">
      <c r="H934" s="697" t="s">
        <v>91</v>
      </c>
      <c r="N934" s="700"/>
      <c r="O934" s="697" t="s">
        <v>1791</v>
      </c>
      <c r="Q934" s="697" t="s">
        <v>987</v>
      </c>
      <c r="R934" s="775">
        <v>4.5999999999999999E-3</v>
      </c>
      <c r="AE934" s="724" t="str">
        <f t="shared" si="129"/>
        <v>|</v>
      </c>
      <c r="AG934" s="697" t="s">
        <v>2284</v>
      </c>
    </row>
    <row r="935" spans="6:33" ht="24" customHeight="1">
      <c r="H935" s="697" t="s">
        <v>92</v>
      </c>
      <c r="N935" s="700"/>
      <c r="Q935" s="702"/>
      <c r="R935" s="705" t="s">
        <v>1609</v>
      </c>
      <c r="AE935" s="724" t="str">
        <f t="shared" si="129"/>
        <v>|</v>
      </c>
      <c r="AG935" s="697" t="s">
        <v>2284</v>
      </c>
    </row>
    <row r="936" spans="6:33" ht="24" customHeight="1">
      <c r="J936" s="697" t="s">
        <v>1609</v>
      </c>
      <c r="N936" s="700"/>
      <c r="Q936" s="702"/>
      <c r="R936" s="775">
        <v>1.9300000000000001E-2</v>
      </c>
      <c r="AE936" s="724" t="str">
        <f t="shared" si="129"/>
        <v>|</v>
      </c>
      <c r="AG936" s="697" t="s">
        <v>2284</v>
      </c>
    </row>
    <row r="937" spans="6:33" ht="24" customHeight="1">
      <c r="H937" s="697" t="s">
        <v>1190</v>
      </c>
      <c r="N937" s="700"/>
      <c r="Q937" s="702"/>
      <c r="R937" s="705" t="s">
        <v>1609</v>
      </c>
      <c r="AE937" s="724" t="str">
        <f t="shared" si="129"/>
        <v>|</v>
      </c>
      <c r="AG937" s="697" t="s">
        <v>2284</v>
      </c>
    </row>
    <row r="938" spans="6:33" ht="24" customHeight="1">
      <c r="H938" s="697" t="s">
        <v>2031</v>
      </c>
      <c r="K938" s="775">
        <v>2.4299999999999999E-2</v>
      </c>
      <c r="N938" s="700"/>
      <c r="Q938" s="702"/>
      <c r="AE938" s="724" t="str">
        <f t="shared" si="129"/>
        <v>|</v>
      </c>
      <c r="AG938" s="697" t="s">
        <v>2284</v>
      </c>
    </row>
    <row r="939" spans="6:33" ht="24" customHeight="1">
      <c r="J939" s="697" t="s">
        <v>987</v>
      </c>
      <c r="K939" s="705" t="s">
        <v>1609</v>
      </c>
      <c r="N939" s="700"/>
      <c r="Q939" s="702"/>
      <c r="AE939" s="724" t="str">
        <f t="shared" si="129"/>
        <v>|</v>
      </c>
      <c r="AG939" s="697" t="s">
        <v>2284</v>
      </c>
    </row>
    <row r="940" spans="6:33" ht="24" customHeight="1">
      <c r="H940" s="697" t="s">
        <v>2032</v>
      </c>
      <c r="J940" s="825" t="s">
        <v>987</v>
      </c>
      <c r="K940" s="775">
        <v>1.47E-2</v>
      </c>
      <c r="M940" s="775">
        <v>1.14E-2</v>
      </c>
      <c r="N940" s="708" t="s">
        <v>878</v>
      </c>
      <c r="O940" s="697" t="s">
        <v>3960</v>
      </c>
      <c r="P940" s="710">
        <f>C83</f>
        <v>34300</v>
      </c>
      <c r="Q940" s="697" t="s">
        <v>878</v>
      </c>
      <c r="R940" s="710">
        <f>(M940*P940)</f>
        <v>391.02</v>
      </c>
      <c r="AE940" s="724" t="str">
        <f t="shared" si="129"/>
        <v>|</v>
      </c>
      <c r="AG940" s="697" t="s">
        <v>2284</v>
      </c>
    </row>
    <row r="941" spans="6:33" ht="24" customHeight="1">
      <c r="H941" s="697" t="s">
        <v>1791</v>
      </c>
      <c r="J941" s="697" t="s">
        <v>987</v>
      </c>
      <c r="K941" s="775">
        <v>4.5999999999999999E-3</v>
      </c>
      <c r="M941" s="775">
        <v>2.4299999999999999E-2</v>
      </c>
      <c r="N941" s="708" t="s">
        <v>878</v>
      </c>
      <c r="O941" s="697" t="s">
        <v>3961</v>
      </c>
      <c r="P941" s="710">
        <f>P940</f>
        <v>34300</v>
      </c>
      <c r="Q941" s="697" t="s">
        <v>878</v>
      </c>
      <c r="R941" s="710">
        <f>(M941*P941)</f>
        <v>833.49</v>
      </c>
      <c r="AE941" s="724" t="str">
        <f t="shared" si="129"/>
        <v>|</v>
      </c>
      <c r="AG941" s="697" t="s">
        <v>2284</v>
      </c>
    </row>
    <row r="942" spans="6:33" ht="24" customHeight="1">
      <c r="K942" s="705" t="s">
        <v>1609</v>
      </c>
      <c r="M942" s="775">
        <v>1.9300000000000001E-2</v>
      </c>
      <c r="N942" s="708" t="s">
        <v>878</v>
      </c>
      <c r="O942" s="697" t="s">
        <v>3962</v>
      </c>
      <c r="P942" s="710">
        <f>C84</f>
        <v>39400</v>
      </c>
      <c r="Q942" s="697" t="s">
        <v>878</v>
      </c>
      <c r="R942" s="710">
        <f>(M942*P942)</f>
        <v>760.42</v>
      </c>
      <c r="AE942" s="724" t="str">
        <f t="shared" si="129"/>
        <v>|</v>
      </c>
      <c r="AG942" s="697" t="s">
        <v>2284</v>
      </c>
    </row>
    <row r="943" spans="6:33" ht="24" customHeight="1">
      <c r="K943" s="775">
        <v>1.9300000000000001E-2</v>
      </c>
      <c r="M943" s="776"/>
      <c r="N943" s="700"/>
      <c r="O943" s="697"/>
      <c r="P943" s="697" t="s">
        <v>987</v>
      </c>
      <c r="Q943" s="702"/>
      <c r="R943" s="697" t="s">
        <v>987</v>
      </c>
      <c r="AE943" s="724">
        <f t="shared" si="129"/>
        <v>0</v>
      </c>
    </row>
    <row r="944" spans="6:33" ht="24" customHeight="1">
      <c r="K944" s="705" t="s">
        <v>1609</v>
      </c>
      <c r="M944" s="776">
        <v>1.823</v>
      </c>
      <c r="N944" s="708" t="s">
        <v>615</v>
      </c>
      <c r="O944" s="697" t="s">
        <v>448</v>
      </c>
      <c r="P944" s="710">
        <f>I951</f>
        <v>1325</v>
      </c>
      <c r="Q944" s="697" t="s">
        <v>615</v>
      </c>
      <c r="R944" s="710">
        <f t="shared" ref="R944:R950" si="130">(M944*P944)</f>
        <v>2415.48</v>
      </c>
      <c r="AE944" s="724">
        <f t="shared" si="129"/>
        <v>0</v>
      </c>
    </row>
    <row r="945" spans="6:33" ht="24" customHeight="1">
      <c r="M945" s="710">
        <v>1</v>
      </c>
      <c r="N945" s="708" t="s">
        <v>778</v>
      </c>
      <c r="O945" s="697" t="s">
        <v>1485</v>
      </c>
      <c r="P945" s="710">
        <f t="shared" ref="P945:P950" si="131">I952</f>
        <v>53.4</v>
      </c>
      <c r="Q945" s="697" t="s">
        <v>877</v>
      </c>
      <c r="R945" s="710">
        <f t="shared" si="130"/>
        <v>53.4</v>
      </c>
      <c r="AE945" s="724">
        <f t="shared" si="129"/>
        <v>0</v>
      </c>
    </row>
    <row r="946" spans="6:33" ht="24" customHeight="1">
      <c r="M946" s="710">
        <v>3</v>
      </c>
      <c r="N946" s="708" t="s">
        <v>877</v>
      </c>
      <c r="O946" s="697" t="s">
        <v>1486</v>
      </c>
      <c r="P946" s="710">
        <f t="shared" si="131"/>
        <v>83</v>
      </c>
      <c r="Q946" s="697" t="s">
        <v>877</v>
      </c>
      <c r="R946" s="710">
        <f t="shared" si="130"/>
        <v>249</v>
      </c>
      <c r="AE946" s="724">
        <f t="shared" si="129"/>
        <v>0</v>
      </c>
    </row>
    <row r="947" spans="6:33" ht="24" customHeight="1">
      <c r="F947" s="775">
        <v>1.14E-2</v>
      </c>
      <c r="G947" s="708" t="s">
        <v>878</v>
      </c>
      <c r="H947" s="697" t="s">
        <v>309</v>
      </c>
      <c r="I947" s="710">
        <f>C85</f>
        <v>111600</v>
      </c>
      <c r="J947" s="697" t="s">
        <v>878</v>
      </c>
      <c r="K947" s="710">
        <f>(F947*I947)</f>
        <v>1272.24</v>
      </c>
      <c r="M947" s="710">
        <v>2</v>
      </c>
      <c r="N947" s="708" t="s">
        <v>877</v>
      </c>
      <c r="O947" s="697" t="s">
        <v>1487</v>
      </c>
      <c r="P947" s="710">
        <f t="shared" si="131"/>
        <v>60</v>
      </c>
      <c r="Q947" s="697" t="s">
        <v>877</v>
      </c>
      <c r="R947" s="710">
        <f t="shared" si="130"/>
        <v>120</v>
      </c>
      <c r="AE947" s="724">
        <f t="shared" si="129"/>
        <v>0</v>
      </c>
    </row>
    <row r="948" spans="6:33" ht="24" customHeight="1">
      <c r="F948" s="775">
        <v>2.4299999999999999E-2</v>
      </c>
      <c r="G948" s="708" t="s">
        <v>878</v>
      </c>
      <c r="H948" s="697" t="s">
        <v>310</v>
      </c>
      <c r="I948" s="710">
        <f>C86</f>
        <v>99400</v>
      </c>
      <c r="J948" s="697" t="s">
        <v>878</v>
      </c>
      <c r="K948" s="710">
        <f>(F948*I948)</f>
        <v>2415.42</v>
      </c>
      <c r="M948" s="710">
        <v>1</v>
      </c>
      <c r="N948" s="708" t="s">
        <v>877</v>
      </c>
      <c r="O948" s="697" t="s">
        <v>1488</v>
      </c>
      <c r="P948" s="710">
        <f t="shared" si="131"/>
        <v>167.6</v>
      </c>
      <c r="Q948" s="697" t="s">
        <v>877</v>
      </c>
      <c r="R948" s="710">
        <f t="shared" si="130"/>
        <v>167.6</v>
      </c>
      <c r="AE948" s="724">
        <f t="shared" si="129"/>
        <v>0</v>
      </c>
    </row>
    <row r="949" spans="6:33" ht="24" customHeight="1">
      <c r="F949" s="775">
        <v>1.9300000000000001E-2</v>
      </c>
      <c r="G949" s="708" t="s">
        <v>878</v>
      </c>
      <c r="H949" s="697" t="s">
        <v>311</v>
      </c>
      <c r="I949" s="710">
        <f>C87</f>
        <v>95000</v>
      </c>
      <c r="J949" s="697" t="s">
        <v>878</v>
      </c>
      <c r="K949" s="710">
        <f>(F949*I949)</f>
        <v>1833.5</v>
      </c>
      <c r="M949" s="710">
        <v>1</v>
      </c>
      <c r="N949" s="708" t="s">
        <v>877</v>
      </c>
      <c r="O949" s="697" t="s">
        <v>1489</v>
      </c>
      <c r="P949" s="710">
        <f t="shared" si="131"/>
        <v>7.3</v>
      </c>
      <c r="Q949" s="697" t="s">
        <v>877</v>
      </c>
      <c r="R949" s="710">
        <f t="shared" si="130"/>
        <v>7.3</v>
      </c>
      <c r="AE949" s="724">
        <f t="shared" si="129"/>
        <v>0</v>
      </c>
    </row>
    <row r="950" spans="6:33" ht="24" customHeight="1">
      <c r="F950" s="776"/>
      <c r="H950" s="697" t="s">
        <v>447</v>
      </c>
      <c r="I950" s="697" t="s">
        <v>987</v>
      </c>
      <c r="K950" s="697" t="s">
        <v>987</v>
      </c>
      <c r="M950" s="710">
        <v>1</v>
      </c>
      <c r="N950" s="708" t="s">
        <v>877</v>
      </c>
      <c r="O950" s="697" t="s">
        <v>2007</v>
      </c>
      <c r="P950" s="710">
        <f t="shared" si="131"/>
        <v>45.9</v>
      </c>
      <c r="Q950" s="697" t="s">
        <v>877</v>
      </c>
      <c r="R950" s="710">
        <f t="shared" si="130"/>
        <v>45.9</v>
      </c>
      <c r="AE950" s="724">
        <f t="shared" si="129"/>
        <v>0</v>
      </c>
    </row>
    <row r="951" spans="6:33" ht="24" customHeight="1">
      <c r="F951" s="776">
        <v>1.823</v>
      </c>
      <c r="G951" s="708" t="s">
        <v>615</v>
      </c>
      <c r="H951" s="697" t="s">
        <v>448</v>
      </c>
      <c r="I951" s="710">
        <f>C29</f>
        <v>1325</v>
      </c>
      <c r="J951" s="697" t="s">
        <v>615</v>
      </c>
      <c r="K951" s="710">
        <f t="shared" ref="K951:K958" si="132">(F951*I951)</f>
        <v>2415.48</v>
      </c>
      <c r="N951" s="700"/>
      <c r="Q951" s="702"/>
      <c r="R951" s="705" t="s">
        <v>1609</v>
      </c>
      <c r="AE951" s="724">
        <f t="shared" si="129"/>
        <v>0</v>
      </c>
    </row>
    <row r="952" spans="6:33" ht="24" customHeight="1">
      <c r="F952" s="710">
        <v>1</v>
      </c>
      <c r="G952" s="708" t="s">
        <v>778</v>
      </c>
      <c r="H952" s="697" t="s">
        <v>1154</v>
      </c>
      <c r="I952" s="710">
        <f>C595</f>
        <v>53.4</v>
      </c>
      <c r="J952" s="697" t="s">
        <v>877</v>
      </c>
      <c r="K952" s="710">
        <f t="shared" si="132"/>
        <v>53.4</v>
      </c>
      <c r="N952" s="700"/>
      <c r="O952" s="697" t="s">
        <v>1490</v>
      </c>
      <c r="Q952" s="702"/>
      <c r="R952" s="710">
        <f>SUM(R940:R950)</f>
        <v>5043.6099999999997</v>
      </c>
      <c r="AE952" s="724">
        <f t="shared" si="129"/>
        <v>0</v>
      </c>
    </row>
    <row r="953" spans="6:33" ht="24" customHeight="1">
      <c r="F953" s="710">
        <v>3</v>
      </c>
      <c r="G953" s="708" t="s">
        <v>877</v>
      </c>
      <c r="H953" s="697" t="s">
        <v>1486</v>
      </c>
      <c r="I953" s="710">
        <f>C276</f>
        <v>83</v>
      </c>
      <c r="J953" s="697" t="s">
        <v>877</v>
      </c>
      <c r="K953" s="710">
        <f t="shared" si="132"/>
        <v>249</v>
      </c>
      <c r="N953" s="700"/>
      <c r="Q953" s="702"/>
      <c r="R953" s="705" t="s">
        <v>1609</v>
      </c>
      <c r="AE953" s="724">
        <f t="shared" si="129"/>
        <v>0</v>
      </c>
    </row>
    <row r="954" spans="6:33" ht="24" customHeight="1">
      <c r="F954" s="710">
        <v>2</v>
      </c>
      <c r="G954" s="708" t="s">
        <v>877</v>
      </c>
      <c r="H954" s="697" t="s">
        <v>1487</v>
      </c>
      <c r="I954" s="710">
        <f>C281</f>
        <v>60</v>
      </c>
      <c r="J954" s="697" t="s">
        <v>877</v>
      </c>
      <c r="K954" s="710">
        <f t="shared" si="132"/>
        <v>120</v>
      </c>
      <c r="N954" s="700"/>
      <c r="O954" s="711" t="s">
        <v>556</v>
      </c>
      <c r="Q954" s="702"/>
      <c r="R954" s="709">
        <f>R952/M944</f>
        <v>2766.65</v>
      </c>
      <c r="AE954" s="724">
        <f t="shared" si="129"/>
        <v>0</v>
      </c>
    </row>
    <row r="955" spans="6:33" ht="24" customHeight="1">
      <c r="F955" s="710">
        <v>1</v>
      </c>
      <c r="G955" s="708" t="s">
        <v>877</v>
      </c>
      <c r="H955" s="697" t="s">
        <v>1488</v>
      </c>
      <c r="I955" s="710">
        <f>C283</f>
        <v>167.6</v>
      </c>
      <c r="J955" s="697" t="s">
        <v>877</v>
      </c>
      <c r="K955" s="710">
        <f t="shared" si="132"/>
        <v>167.6</v>
      </c>
      <c r="M955" s="697" t="s">
        <v>987</v>
      </c>
      <c r="N955" s="700"/>
      <c r="Q955" s="702"/>
      <c r="AE955" s="724">
        <f t="shared" si="129"/>
        <v>0</v>
      </c>
    </row>
    <row r="956" spans="6:33" ht="24" customHeight="1">
      <c r="F956" s="710">
        <v>1</v>
      </c>
      <c r="G956" s="708" t="s">
        <v>877</v>
      </c>
      <c r="H956" s="697" t="s">
        <v>1489</v>
      </c>
      <c r="I956" s="710">
        <f>C285</f>
        <v>7.3</v>
      </c>
      <c r="J956" s="697" t="s">
        <v>877</v>
      </c>
      <c r="K956" s="710">
        <f t="shared" si="132"/>
        <v>7.3</v>
      </c>
      <c r="N956" s="700"/>
      <c r="Q956" s="702"/>
      <c r="R956" s="705" t="s">
        <v>2080</v>
      </c>
      <c r="AE956" s="724" t="str">
        <f t="shared" si="129"/>
        <v>|</v>
      </c>
      <c r="AG956" s="697" t="s">
        <v>2284</v>
      </c>
    </row>
    <row r="957" spans="6:33" ht="24" customHeight="1">
      <c r="F957" s="710">
        <v>1</v>
      </c>
      <c r="G957" s="708" t="s">
        <v>877</v>
      </c>
      <c r="H957" s="697" t="s">
        <v>2007</v>
      </c>
      <c r="I957" s="710">
        <f>D595</f>
        <v>45.9</v>
      </c>
      <c r="J957" s="697" t="s">
        <v>877</v>
      </c>
      <c r="K957" s="710">
        <f t="shared" si="132"/>
        <v>45.9</v>
      </c>
      <c r="AE957" s="724" t="str">
        <f t="shared" ref="AE957:AE1021" si="133">AG957</f>
        <v>|</v>
      </c>
      <c r="AG957" s="697" t="s">
        <v>2284</v>
      </c>
    </row>
    <row r="958" spans="6:33" ht="24" customHeight="1">
      <c r="F958" s="710">
        <v>64</v>
      </c>
      <c r="G958" s="708" t="s">
        <v>1046</v>
      </c>
      <c r="H958" s="769" t="s">
        <v>4992</v>
      </c>
      <c r="I958" s="744">
        <v>2.39</v>
      </c>
      <c r="J958" s="702" t="s">
        <v>160</v>
      </c>
      <c r="K958" s="710">
        <f t="shared" si="132"/>
        <v>152.96</v>
      </c>
      <c r="AE958" s="724" t="str">
        <f t="shared" si="133"/>
        <v>|</v>
      </c>
      <c r="AG958" s="697" t="s">
        <v>2284</v>
      </c>
    </row>
    <row r="959" spans="6:33" ht="24" customHeight="1">
      <c r="H959" s="697" t="s">
        <v>1490</v>
      </c>
      <c r="K959" s="710">
        <f>SUM(K947:K958)</f>
        <v>8732.7999999999993</v>
      </c>
      <c r="AE959" s="724" t="str">
        <f t="shared" si="133"/>
        <v>|</v>
      </c>
      <c r="AG959" s="697" t="s">
        <v>2284</v>
      </c>
    </row>
    <row r="960" spans="6:33" ht="24" customHeight="1">
      <c r="K960" s="705" t="s">
        <v>1609</v>
      </c>
      <c r="AE960" s="724" t="str">
        <f t="shared" si="133"/>
        <v>|</v>
      </c>
      <c r="AG960" s="697" t="s">
        <v>2284</v>
      </c>
    </row>
    <row r="961" spans="6:33" ht="24" customHeight="1">
      <c r="H961" s="711" t="s">
        <v>556</v>
      </c>
      <c r="K961" s="709">
        <f>K959/F951</f>
        <v>4790.3500000000004</v>
      </c>
      <c r="AE961" s="724" t="str">
        <f t="shared" si="133"/>
        <v>|</v>
      </c>
      <c r="AG961" s="697" t="s">
        <v>2284</v>
      </c>
    </row>
    <row r="962" spans="6:33" ht="24" customHeight="1">
      <c r="F962" s="697" t="s">
        <v>987</v>
      </c>
      <c r="AE962" s="724" t="str">
        <f t="shared" si="133"/>
        <v>|</v>
      </c>
      <c r="AG962" s="697" t="s">
        <v>2284</v>
      </c>
    </row>
    <row r="963" spans="6:33" ht="24" customHeight="1">
      <c r="K963" s="705" t="s">
        <v>2080</v>
      </c>
      <c r="AE963" s="724" t="str">
        <f t="shared" si="133"/>
        <v>|</v>
      </c>
      <c r="AG963" s="697" t="s">
        <v>2284</v>
      </c>
    </row>
    <row r="964" spans="6:33" ht="24" customHeight="1">
      <c r="AE964" s="724" t="str">
        <f t="shared" si="133"/>
        <v>|</v>
      </c>
      <c r="AG964" s="697" t="s">
        <v>2284</v>
      </c>
    </row>
    <row r="965" spans="6:33" ht="24" customHeight="1">
      <c r="AE965" s="724" t="str">
        <f t="shared" si="133"/>
        <v>|</v>
      </c>
      <c r="AG965" s="697" t="s">
        <v>2284</v>
      </c>
    </row>
    <row r="966" spans="6:33" ht="24" customHeight="1">
      <c r="F966" s="698" t="s">
        <v>1358</v>
      </c>
      <c r="G966" s="708" t="s">
        <v>2276</v>
      </c>
      <c r="H966" s="697" t="s">
        <v>254</v>
      </c>
      <c r="AE966" s="724" t="str">
        <f t="shared" si="133"/>
        <v>|</v>
      </c>
      <c r="AG966" s="697" t="s">
        <v>2284</v>
      </c>
    </row>
    <row r="967" spans="6:33" ht="24" customHeight="1">
      <c r="H967" s="697" t="s">
        <v>255</v>
      </c>
      <c r="AE967" s="724" t="str">
        <f t="shared" si="133"/>
        <v>|</v>
      </c>
      <c r="AG967" s="697" t="s">
        <v>2284</v>
      </c>
    </row>
    <row r="968" spans="6:33" ht="24" customHeight="1">
      <c r="H968" s="697" t="s">
        <v>1493</v>
      </c>
      <c r="AE968" s="724" t="str">
        <f t="shared" si="133"/>
        <v>|</v>
      </c>
      <c r="AG968" s="697" t="s">
        <v>2284</v>
      </c>
    </row>
    <row r="969" spans="6:33" ht="24" customHeight="1">
      <c r="H969" s="705" t="s">
        <v>1609</v>
      </c>
      <c r="AE969" s="724" t="str">
        <f t="shared" si="133"/>
        <v>|</v>
      </c>
      <c r="AG969" s="697" t="s">
        <v>2284</v>
      </c>
    </row>
    <row r="970" spans="6:33" ht="24" customHeight="1">
      <c r="AE970" s="724" t="str">
        <f t="shared" si="133"/>
        <v>|</v>
      </c>
      <c r="AG970" s="697" t="s">
        <v>2284</v>
      </c>
    </row>
    <row r="971" spans="6:33" ht="24" customHeight="1">
      <c r="H971" s="697" t="s">
        <v>650</v>
      </c>
      <c r="AE971" s="724">
        <f t="shared" si="133"/>
        <v>0</v>
      </c>
    </row>
    <row r="972" spans="6:33" ht="24" customHeight="1">
      <c r="H972" s="697" t="s">
        <v>651</v>
      </c>
      <c r="AE972" s="724" t="str">
        <f t="shared" si="133"/>
        <v>|</v>
      </c>
      <c r="AG972" s="697" t="s">
        <v>2284</v>
      </c>
    </row>
    <row r="973" spans="6:33" ht="24" customHeight="1">
      <c r="J973" s="697" t="s">
        <v>1609</v>
      </c>
      <c r="AE973" s="724">
        <f t="shared" si="133"/>
        <v>0</v>
      </c>
    </row>
    <row r="974" spans="6:33" ht="24" customHeight="1">
      <c r="H974" s="697" t="s">
        <v>652</v>
      </c>
      <c r="AE974" s="724">
        <f t="shared" si="133"/>
        <v>0</v>
      </c>
    </row>
    <row r="975" spans="6:33" ht="24" customHeight="1">
      <c r="H975" s="697" t="s">
        <v>653</v>
      </c>
      <c r="K975" s="775">
        <v>2.1999999999999999E-2</v>
      </c>
      <c r="AE975" s="724" t="str">
        <f t="shared" si="133"/>
        <v>|</v>
      </c>
      <c r="AG975" s="697" t="s">
        <v>2284</v>
      </c>
    </row>
    <row r="976" spans="6:33" ht="24" customHeight="1">
      <c r="J976" s="697" t="s">
        <v>987</v>
      </c>
      <c r="K976" s="705" t="s">
        <v>1609</v>
      </c>
      <c r="AE976" s="724" t="str">
        <f t="shared" si="133"/>
        <v>|</v>
      </c>
      <c r="AG976" s="697" t="s">
        <v>2284</v>
      </c>
    </row>
    <row r="977" spans="6:33" ht="24" customHeight="1">
      <c r="H977" s="697" t="s">
        <v>868</v>
      </c>
      <c r="J977" s="825" t="s">
        <v>987</v>
      </c>
      <c r="K977" s="775">
        <v>1.3100000000000001E-2</v>
      </c>
      <c r="AE977" s="724" t="str">
        <f t="shared" si="133"/>
        <v>|</v>
      </c>
      <c r="AG977" s="697" t="s">
        <v>2284</v>
      </c>
    </row>
    <row r="978" spans="6:33" ht="24" customHeight="1">
      <c r="H978" s="697" t="s">
        <v>2177</v>
      </c>
      <c r="J978" s="697" t="s">
        <v>987</v>
      </c>
      <c r="K978" s="775">
        <v>3.3999999999999998E-3</v>
      </c>
      <c r="AE978" s="724" t="str">
        <f t="shared" si="133"/>
        <v>|</v>
      </c>
      <c r="AG978" s="697" t="s">
        <v>2284</v>
      </c>
    </row>
    <row r="979" spans="6:33" ht="24" customHeight="1">
      <c r="K979" s="705" t="s">
        <v>1609</v>
      </c>
      <c r="AE979" s="724">
        <f t="shared" si="133"/>
        <v>0</v>
      </c>
    </row>
    <row r="980" spans="6:33" ht="24" customHeight="1">
      <c r="K980" s="775">
        <v>1.6500000000000001E-2</v>
      </c>
      <c r="AE980" s="724">
        <f t="shared" si="133"/>
        <v>0</v>
      </c>
    </row>
    <row r="981" spans="6:33" ht="24" customHeight="1">
      <c r="K981" s="705" t="s">
        <v>1609</v>
      </c>
      <c r="O981" s="699" t="s">
        <v>4514</v>
      </c>
      <c r="AE981" s="724">
        <f t="shared" si="133"/>
        <v>0</v>
      </c>
    </row>
    <row r="982" spans="6:33" ht="24" customHeight="1">
      <c r="F982" s="775">
        <v>1.15E-2</v>
      </c>
      <c r="G982" s="708" t="s">
        <v>878</v>
      </c>
      <c r="H982" s="697" t="s">
        <v>309</v>
      </c>
      <c r="I982" s="710">
        <f>C85</f>
        <v>111600</v>
      </c>
      <c r="J982" s="697" t="s">
        <v>878</v>
      </c>
      <c r="K982" s="710">
        <f>(F982*I982)</f>
        <v>1283.4000000000001</v>
      </c>
      <c r="M982" s="698" t="s">
        <v>1495</v>
      </c>
      <c r="N982" s="708"/>
      <c r="O982" s="697" t="s">
        <v>3778</v>
      </c>
      <c r="Q982" s="702"/>
      <c r="R982" s="697" t="s">
        <v>987</v>
      </c>
      <c r="AE982" s="724">
        <f t="shared" si="133"/>
        <v>0</v>
      </c>
    </row>
    <row r="983" spans="6:33" ht="24" customHeight="1">
      <c r="F983" s="775">
        <v>2.1999999999999999E-2</v>
      </c>
      <c r="G983" s="708" t="s">
        <v>878</v>
      </c>
      <c r="H983" s="697" t="s">
        <v>310</v>
      </c>
      <c r="I983" s="710">
        <f>C86</f>
        <v>99400</v>
      </c>
      <c r="J983" s="697" t="s">
        <v>878</v>
      </c>
      <c r="K983" s="710">
        <f>(F983*I983)</f>
        <v>2186.8000000000002</v>
      </c>
      <c r="N983" s="700"/>
      <c r="O983" s="705" t="s">
        <v>1609</v>
      </c>
      <c r="Q983" s="702"/>
      <c r="AE983" s="724">
        <f t="shared" si="133"/>
        <v>0</v>
      </c>
    </row>
    <row r="984" spans="6:33" ht="24" customHeight="1">
      <c r="F984" s="775">
        <v>1.6500000000000001E-2</v>
      </c>
      <c r="G984" s="708" t="s">
        <v>878</v>
      </c>
      <c r="H984" s="697" t="s">
        <v>311</v>
      </c>
      <c r="I984" s="710">
        <f>C87</f>
        <v>95000</v>
      </c>
      <c r="J984" s="697" t="s">
        <v>878</v>
      </c>
      <c r="K984" s="710">
        <f>(F984*I984)</f>
        <v>1567.5</v>
      </c>
      <c r="M984" s="826">
        <v>1.153E-2</v>
      </c>
      <c r="N984" s="827" t="s">
        <v>878</v>
      </c>
      <c r="O984" s="828" t="s">
        <v>698</v>
      </c>
      <c r="P984" s="829">
        <f t="shared" ref="P984:P994" si="134">I1050</f>
        <v>111600</v>
      </c>
      <c r="Q984" s="828" t="s">
        <v>878</v>
      </c>
      <c r="R984" s="829">
        <f t="shared" ref="R984:R994" si="135">(M984*P984)</f>
        <v>1286.75</v>
      </c>
      <c r="AE984" s="724">
        <f t="shared" si="133"/>
        <v>0</v>
      </c>
    </row>
    <row r="985" spans="6:33" ht="24" customHeight="1">
      <c r="F985" s="775"/>
      <c r="H985" s="697" t="s">
        <v>447</v>
      </c>
      <c r="I985" s="697" t="s">
        <v>987</v>
      </c>
      <c r="K985" s="697" t="s">
        <v>987</v>
      </c>
      <c r="M985" s="830">
        <v>1.013E-2</v>
      </c>
      <c r="N985" s="708" t="s">
        <v>878</v>
      </c>
      <c r="O985" s="697" t="s">
        <v>699</v>
      </c>
      <c r="P985" s="829">
        <f t="shared" si="134"/>
        <v>99400</v>
      </c>
      <c r="Q985" s="697" t="s">
        <v>878</v>
      </c>
      <c r="R985" s="710">
        <f t="shared" si="135"/>
        <v>1006.92</v>
      </c>
      <c r="AE985" s="724">
        <f t="shared" si="133"/>
        <v>0</v>
      </c>
    </row>
    <row r="986" spans="6:33" ht="24" customHeight="1">
      <c r="F986" s="775">
        <v>1.64</v>
      </c>
      <c r="G986" s="708" t="s">
        <v>615</v>
      </c>
      <c r="H986" s="697" t="s">
        <v>448</v>
      </c>
      <c r="I986" s="710">
        <f>C29</f>
        <v>1325</v>
      </c>
      <c r="J986" s="697" t="s">
        <v>615</v>
      </c>
      <c r="K986" s="710">
        <f t="shared" ref="K986:K993" si="136">(F986*I986)</f>
        <v>2173</v>
      </c>
      <c r="M986" s="830">
        <v>0.77780000000000005</v>
      </c>
      <c r="N986" s="708" t="s">
        <v>615</v>
      </c>
      <c r="O986" s="697" t="s">
        <v>2117</v>
      </c>
      <c r="P986" s="829">
        <f t="shared" si="134"/>
        <v>387.4</v>
      </c>
      <c r="Q986" s="697" t="s">
        <v>615</v>
      </c>
      <c r="R986" s="710">
        <f t="shared" si="135"/>
        <v>301.32</v>
      </c>
      <c r="AE986" s="724">
        <f t="shared" si="133"/>
        <v>0</v>
      </c>
    </row>
    <row r="987" spans="6:33" ht="24" customHeight="1">
      <c r="F987" s="710">
        <v>1</v>
      </c>
      <c r="G987" s="708" t="s">
        <v>778</v>
      </c>
      <c r="H987" s="697" t="s">
        <v>1154</v>
      </c>
      <c r="I987" s="710">
        <f>C595</f>
        <v>53.4</v>
      </c>
      <c r="J987" s="697" t="s">
        <v>877</v>
      </c>
      <c r="K987" s="710">
        <f t="shared" si="136"/>
        <v>53.4</v>
      </c>
      <c r="M987" s="830">
        <v>1.23</v>
      </c>
      <c r="N987" s="708" t="s">
        <v>615</v>
      </c>
      <c r="O987" s="697" t="s">
        <v>2118</v>
      </c>
      <c r="P987" s="829">
        <f t="shared" si="134"/>
        <v>1105</v>
      </c>
      <c r="Q987" s="697" t="s">
        <v>615</v>
      </c>
      <c r="R987" s="710">
        <f t="shared" si="135"/>
        <v>1359.15</v>
      </c>
      <c r="AE987" s="724">
        <f t="shared" si="133"/>
        <v>0</v>
      </c>
    </row>
    <row r="988" spans="6:33" ht="24" customHeight="1">
      <c r="F988" s="710">
        <v>3</v>
      </c>
      <c r="G988" s="708" t="s">
        <v>877</v>
      </c>
      <c r="H988" s="697" t="s">
        <v>1486</v>
      </c>
      <c r="I988" s="710">
        <f>C276</f>
        <v>83</v>
      </c>
      <c r="J988" s="697" t="s">
        <v>877</v>
      </c>
      <c r="K988" s="710">
        <f t="shared" si="136"/>
        <v>249</v>
      </c>
      <c r="M988" s="710">
        <v>2</v>
      </c>
      <c r="N988" s="708" t="s">
        <v>877</v>
      </c>
      <c r="O988" s="697" t="s">
        <v>2119</v>
      </c>
      <c r="P988" s="829">
        <f t="shared" si="134"/>
        <v>60</v>
      </c>
      <c r="Q988" s="697" t="s">
        <v>877</v>
      </c>
      <c r="R988" s="710">
        <f t="shared" si="135"/>
        <v>120</v>
      </c>
      <c r="AE988" s="724">
        <f t="shared" si="133"/>
        <v>0</v>
      </c>
    </row>
    <row r="989" spans="6:33" ht="24" customHeight="1">
      <c r="F989" s="710">
        <v>2</v>
      </c>
      <c r="G989" s="708" t="s">
        <v>877</v>
      </c>
      <c r="H989" s="697" t="s">
        <v>1487</v>
      </c>
      <c r="I989" s="710">
        <f>C281</f>
        <v>60</v>
      </c>
      <c r="J989" s="697" t="s">
        <v>877</v>
      </c>
      <c r="K989" s="710">
        <f t="shared" si="136"/>
        <v>120</v>
      </c>
      <c r="M989" s="710">
        <v>3</v>
      </c>
      <c r="N989" s="708" t="s">
        <v>877</v>
      </c>
      <c r="O989" s="697" t="s">
        <v>1539</v>
      </c>
      <c r="P989" s="829">
        <f t="shared" si="134"/>
        <v>83</v>
      </c>
      <c r="Q989" s="697" t="s">
        <v>877</v>
      </c>
      <c r="R989" s="710">
        <f t="shared" si="135"/>
        <v>249</v>
      </c>
      <c r="AE989" s="724">
        <f t="shared" si="133"/>
        <v>0</v>
      </c>
    </row>
    <row r="990" spans="6:33" ht="24" customHeight="1">
      <c r="F990" s="710">
        <v>1</v>
      </c>
      <c r="G990" s="708" t="s">
        <v>877</v>
      </c>
      <c r="H990" s="697" t="s">
        <v>1488</v>
      </c>
      <c r="I990" s="710">
        <f>C283</f>
        <v>167.6</v>
      </c>
      <c r="J990" s="697" t="s">
        <v>877</v>
      </c>
      <c r="K990" s="710">
        <f t="shared" si="136"/>
        <v>167.6</v>
      </c>
      <c r="M990" s="710">
        <v>1</v>
      </c>
      <c r="N990" s="708" t="s">
        <v>877</v>
      </c>
      <c r="O990" s="697" t="s">
        <v>2004</v>
      </c>
      <c r="P990" s="829">
        <f t="shared" si="134"/>
        <v>167.6</v>
      </c>
      <c r="Q990" s="697" t="s">
        <v>877</v>
      </c>
      <c r="R990" s="710">
        <f t="shared" si="135"/>
        <v>167.6</v>
      </c>
      <c r="AE990" s="724">
        <f t="shared" si="133"/>
        <v>0</v>
      </c>
    </row>
    <row r="991" spans="6:33" ht="24" customHeight="1">
      <c r="F991" s="710">
        <v>1</v>
      </c>
      <c r="G991" s="708" t="s">
        <v>877</v>
      </c>
      <c r="H991" s="697" t="s">
        <v>1489</v>
      </c>
      <c r="I991" s="710">
        <f>C285</f>
        <v>7.3</v>
      </c>
      <c r="J991" s="697" t="s">
        <v>877</v>
      </c>
      <c r="K991" s="710">
        <f t="shared" si="136"/>
        <v>7.3</v>
      </c>
      <c r="M991" s="710">
        <v>1</v>
      </c>
      <c r="N991" s="708" t="s">
        <v>877</v>
      </c>
      <c r="O991" s="697" t="s">
        <v>2005</v>
      </c>
      <c r="P991" s="829">
        <f t="shared" si="134"/>
        <v>7.3</v>
      </c>
      <c r="Q991" s="697" t="s">
        <v>877</v>
      </c>
      <c r="R991" s="710">
        <f t="shared" si="135"/>
        <v>7.3</v>
      </c>
      <c r="AE991" s="724" t="str">
        <f t="shared" si="133"/>
        <v>|</v>
      </c>
      <c r="AG991" s="697" t="s">
        <v>2284</v>
      </c>
    </row>
    <row r="992" spans="6:33" ht="24" customHeight="1">
      <c r="F992" s="710">
        <v>1</v>
      </c>
      <c r="G992" s="708" t="s">
        <v>877</v>
      </c>
      <c r="H992" s="697" t="s">
        <v>2007</v>
      </c>
      <c r="I992" s="710">
        <f>D595</f>
        <v>45.9</v>
      </c>
      <c r="J992" s="697" t="s">
        <v>877</v>
      </c>
      <c r="K992" s="710">
        <f t="shared" si="136"/>
        <v>45.9</v>
      </c>
      <c r="M992" s="710">
        <v>1</v>
      </c>
      <c r="N992" s="708" t="s">
        <v>877</v>
      </c>
      <c r="O992" s="697" t="s">
        <v>1155</v>
      </c>
      <c r="P992" s="829">
        <f t="shared" si="134"/>
        <v>53.4</v>
      </c>
      <c r="Q992" s="697" t="s">
        <v>877</v>
      </c>
      <c r="R992" s="710">
        <f t="shared" si="135"/>
        <v>53.4</v>
      </c>
      <c r="AE992" s="724" t="str">
        <f t="shared" si="133"/>
        <v>|</v>
      </c>
      <c r="AG992" s="697" t="s">
        <v>2284</v>
      </c>
    </row>
    <row r="993" spans="6:33" ht="24" customHeight="1">
      <c r="F993" s="710">
        <v>10</v>
      </c>
      <c r="G993" s="708" t="s">
        <v>1046</v>
      </c>
      <c r="H993" s="697" t="s">
        <v>1159</v>
      </c>
      <c r="I993" s="710">
        <f>I958</f>
        <v>2.39</v>
      </c>
      <c r="J993" s="697" t="s">
        <v>877</v>
      </c>
      <c r="K993" s="710">
        <f t="shared" si="136"/>
        <v>23.9</v>
      </c>
      <c r="M993" s="710">
        <v>1</v>
      </c>
      <c r="N993" s="708" t="s">
        <v>877</v>
      </c>
      <c r="O993" s="697" t="s">
        <v>2007</v>
      </c>
      <c r="P993" s="829">
        <f t="shared" si="134"/>
        <v>45.9</v>
      </c>
      <c r="Q993" s="697" t="s">
        <v>877</v>
      </c>
      <c r="R993" s="710">
        <f t="shared" si="135"/>
        <v>45.9</v>
      </c>
      <c r="AE993" s="724" t="str">
        <f t="shared" si="133"/>
        <v>|</v>
      </c>
      <c r="AG993" s="697" t="s">
        <v>2284</v>
      </c>
    </row>
    <row r="994" spans="6:33" ht="24" customHeight="1">
      <c r="K994" s="705" t="s">
        <v>1609</v>
      </c>
      <c r="M994" s="710">
        <v>58</v>
      </c>
      <c r="N994" s="700"/>
      <c r="O994" s="697" t="s">
        <v>1767</v>
      </c>
      <c r="P994" s="829">
        <f t="shared" si="134"/>
        <v>2.39</v>
      </c>
      <c r="Q994" s="702"/>
      <c r="R994" s="710">
        <f t="shared" si="135"/>
        <v>138.62</v>
      </c>
      <c r="AE994" s="724" t="str">
        <f t="shared" si="133"/>
        <v>|</v>
      </c>
      <c r="AG994" s="697" t="s">
        <v>2284</v>
      </c>
    </row>
    <row r="995" spans="6:33" ht="24" customHeight="1">
      <c r="H995" s="697" t="s">
        <v>2178</v>
      </c>
      <c r="K995" s="710">
        <f>SUM(K982:K993)</f>
        <v>7877.8</v>
      </c>
      <c r="N995" s="700"/>
      <c r="O995" s="698" t="s">
        <v>2008</v>
      </c>
      <c r="Q995" s="702"/>
      <c r="R995" s="710">
        <f>SUM(R984:R994)</f>
        <v>4735.96</v>
      </c>
      <c r="AE995" s="724" t="str">
        <f t="shared" si="133"/>
        <v>|</v>
      </c>
      <c r="AG995" s="697" t="s">
        <v>2284</v>
      </c>
    </row>
    <row r="996" spans="6:33" ht="24" customHeight="1">
      <c r="K996" s="705" t="s">
        <v>1609</v>
      </c>
      <c r="N996" s="708" t="s">
        <v>987</v>
      </c>
      <c r="Q996" s="702"/>
      <c r="R996" s="705" t="s">
        <v>1609</v>
      </c>
      <c r="AE996" s="724" t="str">
        <f t="shared" si="133"/>
        <v>|</v>
      </c>
      <c r="AG996" s="697" t="s">
        <v>2284</v>
      </c>
    </row>
    <row r="997" spans="6:33" ht="24" customHeight="1">
      <c r="H997" s="711" t="s">
        <v>556</v>
      </c>
      <c r="K997" s="709">
        <f>K995/F986</f>
        <v>4803.54</v>
      </c>
      <c r="N997" s="700"/>
      <c r="O997" s="711" t="s">
        <v>556</v>
      </c>
      <c r="Q997" s="702"/>
      <c r="R997" s="709">
        <f>R995/M987</f>
        <v>3850.37</v>
      </c>
      <c r="AE997" s="724" t="str">
        <f t="shared" si="133"/>
        <v>|</v>
      </c>
      <c r="AG997" s="697" t="s">
        <v>2284</v>
      </c>
    </row>
    <row r="998" spans="6:33" ht="24" customHeight="1">
      <c r="K998" s="705" t="s">
        <v>2080</v>
      </c>
      <c r="N998" s="700"/>
      <c r="Q998" s="702"/>
      <c r="R998" s="705" t="s">
        <v>2080</v>
      </c>
      <c r="AE998" s="724" t="str">
        <f t="shared" si="133"/>
        <v>|::</v>
      </c>
      <c r="AG998" s="697" t="s">
        <v>322</v>
      </c>
    </row>
    <row r="999" spans="6:33" ht="24" customHeight="1">
      <c r="F999" s="698" t="s">
        <v>1357</v>
      </c>
      <c r="G999" s="708" t="s">
        <v>2276</v>
      </c>
      <c r="H999" s="697" t="s">
        <v>254</v>
      </c>
      <c r="AE999" s="724">
        <f t="shared" si="133"/>
        <v>0</v>
      </c>
    </row>
    <row r="1000" spans="6:33" ht="24" customHeight="1">
      <c r="H1000" s="697" t="s">
        <v>255</v>
      </c>
      <c r="AE1000" s="724">
        <f t="shared" si="133"/>
        <v>0</v>
      </c>
    </row>
    <row r="1001" spans="6:33" ht="24" customHeight="1">
      <c r="H1001" s="697" t="s">
        <v>1494</v>
      </c>
      <c r="AE1001" s="724" t="str">
        <f t="shared" si="133"/>
        <v>|</v>
      </c>
      <c r="AG1001" s="697" t="s">
        <v>2284</v>
      </c>
    </row>
    <row r="1002" spans="6:33" ht="24" customHeight="1">
      <c r="H1002" s="705" t="s">
        <v>1609</v>
      </c>
      <c r="AE1002" s="724"/>
      <c r="AG1002" s="697"/>
    </row>
    <row r="1003" spans="6:33" ht="24" customHeight="1">
      <c r="H1003" s="697" t="s">
        <v>2179</v>
      </c>
      <c r="AE1003" s="724" t="str">
        <f t="shared" si="133"/>
        <v>|</v>
      </c>
      <c r="AG1003" s="697" t="s">
        <v>2284</v>
      </c>
    </row>
    <row r="1004" spans="6:33" ht="24" customHeight="1">
      <c r="H1004" s="697" t="s">
        <v>92</v>
      </c>
      <c r="AE1004" s="724" t="str">
        <f t="shared" si="133"/>
        <v>|</v>
      </c>
      <c r="AG1004" s="697" t="s">
        <v>2284</v>
      </c>
    </row>
    <row r="1005" spans="6:33" ht="24" customHeight="1">
      <c r="J1005" s="697" t="s">
        <v>1609</v>
      </c>
      <c r="AE1005" s="724" t="str">
        <f t="shared" si="133"/>
        <v>|</v>
      </c>
      <c r="AG1005" s="697" t="s">
        <v>2284</v>
      </c>
    </row>
    <row r="1006" spans="6:33" ht="24" customHeight="1">
      <c r="H1006" s="697" t="s">
        <v>2180</v>
      </c>
      <c r="AE1006" s="724" t="str">
        <f t="shared" si="133"/>
        <v>|</v>
      </c>
      <c r="AG1006" s="697" t="s">
        <v>2284</v>
      </c>
    </row>
    <row r="1007" spans="6:33" ht="24" customHeight="1">
      <c r="H1007" s="697" t="s">
        <v>460</v>
      </c>
      <c r="K1007" s="775">
        <v>1.1900000000000001E-2</v>
      </c>
      <c r="AE1007" s="724" t="str">
        <f t="shared" si="133"/>
        <v>|</v>
      </c>
      <c r="AG1007" s="697" t="s">
        <v>2284</v>
      </c>
    </row>
    <row r="1008" spans="6:33" ht="24" customHeight="1">
      <c r="J1008" s="697" t="s">
        <v>987</v>
      </c>
      <c r="K1008" s="705" t="s">
        <v>1609</v>
      </c>
      <c r="AE1008" s="724">
        <f t="shared" si="133"/>
        <v>0</v>
      </c>
    </row>
    <row r="1009" spans="6:31" ht="24" customHeight="1">
      <c r="H1009" s="697" t="s">
        <v>461</v>
      </c>
      <c r="J1009" s="825" t="s">
        <v>987</v>
      </c>
      <c r="K1009" s="775">
        <v>1.18E-2</v>
      </c>
      <c r="AE1009" s="724">
        <f t="shared" si="133"/>
        <v>0</v>
      </c>
    </row>
    <row r="1010" spans="6:31" ht="24" customHeight="1">
      <c r="H1010" s="697" t="s">
        <v>248</v>
      </c>
      <c r="J1010" s="697" t="s">
        <v>987</v>
      </c>
      <c r="K1010" s="831" t="s">
        <v>1609</v>
      </c>
      <c r="AE1010" s="724">
        <f t="shared" si="133"/>
        <v>0</v>
      </c>
    </row>
    <row r="1011" spans="6:31" ht="24" customHeight="1">
      <c r="AE1011" s="724">
        <f t="shared" si="133"/>
        <v>0</v>
      </c>
    </row>
    <row r="1012" spans="6:31" ht="24" customHeight="1">
      <c r="F1012" s="775">
        <v>1.14E-2</v>
      </c>
      <c r="G1012" s="708" t="s">
        <v>878</v>
      </c>
      <c r="H1012" s="697" t="s">
        <v>309</v>
      </c>
      <c r="I1012" s="710">
        <f>C85</f>
        <v>111600</v>
      </c>
      <c r="J1012" s="697" t="s">
        <v>878</v>
      </c>
      <c r="K1012" s="710">
        <f>(F1012*I1012)</f>
        <v>1272.24</v>
      </c>
      <c r="AE1012" s="724">
        <f t="shared" si="133"/>
        <v>0</v>
      </c>
    </row>
    <row r="1013" spans="6:31" ht="24" customHeight="1">
      <c r="F1013" s="775">
        <v>1.1900000000000001E-2</v>
      </c>
      <c r="G1013" s="708" t="s">
        <v>878</v>
      </c>
      <c r="H1013" s="697" t="s">
        <v>310</v>
      </c>
      <c r="I1013" s="710">
        <f>C86</f>
        <v>99400</v>
      </c>
      <c r="J1013" s="697" t="s">
        <v>878</v>
      </c>
      <c r="K1013" s="710">
        <f>(F1013*I1013)</f>
        <v>1182.8599999999999</v>
      </c>
      <c r="AE1013" s="724">
        <f t="shared" si="133"/>
        <v>0</v>
      </c>
    </row>
    <row r="1014" spans="6:31" ht="24" customHeight="1">
      <c r="F1014" s="775">
        <v>1.18E-2</v>
      </c>
      <c r="G1014" s="708" t="s">
        <v>878</v>
      </c>
      <c r="H1014" s="697" t="s">
        <v>311</v>
      </c>
      <c r="I1014" s="710">
        <f>C87</f>
        <v>95000</v>
      </c>
      <c r="J1014" s="697" t="s">
        <v>878</v>
      </c>
      <c r="K1014" s="710">
        <f>(F1014*I1014)</f>
        <v>1121</v>
      </c>
      <c r="AE1014" s="724">
        <f t="shared" si="133"/>
        <v>0</v>
      </c>
    </row>
    <row r="1015" spans="6:31" ht="24" customHeight="1">
      <c r="F1015" s="775"/>
      <c r="H1015" s="697" t="s">
        <v>447</v>
      </c>
      <c r="I1015" s="697" t="s">
        <v>987</v>
      </c>
      <c r="K1015" s="697" t="s">
        <v>987</v>
      </c>
      <c r="AE1015" s="724">
        <f t="shared" si="133"/>
        <v>0</v>
      </c>
    </row>
    <row r="1016" spans="6:31" ht="24" customHeight="1">
      <c r="F1016" s="775">
        <v>1.2150000000000001</v>
      </c>
      <c r="G1016" s="708" t="s">
        <v>615</v>
      </c>
      <c r="H1016" s="697" t="s">
        <v>448</v>
      </c>
      <c r="I1016" s="710">
        <f>C29</f>
        <v>1325</v>
      </c>
      <c r="J1016" s="697" t="s">
        <v>615</v>
      </c>
      <c r="K1016" s="710">
        <f t="shared" ref="K1016:K1023" si="137">(F1016*I1016)</f>
        <v>1609.88</v>
      </c>
      <c r="AE1016" s="724">
        <f t="shared" si="133"/>
        <v>0</v>
      </c>
    </row>
    <row r="1017" spans="6:31" ht="24" customHeight="1">
      <c r="F1017" s="710">
        <v>1</v>
      </c>
      <c r="G1017" s="708" t="s">
        <v>778</v>
      </c>
      <c r="H1017" s="697" t="s">
        <v>1154</v>
      </c>
      <c r="I1017" s="710">
        <f>C595</f>
        <v>53.4</v>
      </c>
      <c r="J1017" s="697" t="s">
        <v>877</v>
      </c>
      <c r="K1017" s="710">
        <f t="shared" si="137"/>
        <v>53.4</v>
      </c>
      <c r="AE1017" s="724">
        <f t="shared" si="133"/>
        <v>0</v>
      </c>
    </row>
    <row r="1018" spans="6:31" ht="24" customHeight="1">
      <c r="F1018" s="710">
        <v>3</v>
      </c>
      <c r="G1018" s="708" t="s">
        <v>877</v>
      </c>
      <c r="H1018" s="697" t="s">
        <v>1486</v>
      </c>
      <c r="I1018" s="710">
        <f>C276</f>
        <v>83</v>
      </c>
      <c r="J1018" s="697" t="s">
        <v>877</v>
      </c>
      <c r="K1018" s="710">
        <f t="shared" si="137"/>
        <v>249</v>
      </c>
      <c r="AE1018" s="724">
        <f t="shared" si="133"/>
        <v>0</v>
      </c>
    </row>
    <row r="1019" spans="6:31" ht="24" customHeight="1">
      <c r="F1019" s="710">
        <v>2</v>
      </c>
      <c r="G1019" s="708" t="s">
        <v>877</v>
      </c>
      <c r="H1019" s="697" t="s">
        <v>1487</v>
      </c>
      <c r="I1019" s="710">
        <f>C281</f>
        <v>60</v>
      </c>
      <c r="J1019" s="697" t="s">
        <v>877</v>
      </c>
      <c r="K1019" s="710">
        <f t="shared" si="137"/>
        <v>120</v>
      </c>
      <c r="AE1019" s="724">
        <f t="shared" si="133"/>
        <v>0</v>
      </c>
    </row>
    <row r="1020" spans="6:31" ht="24" customHeight="1">
      <c r="F1020" s="710">
        <v>1</v>
      </c>
      <c r="G1020" s="708" t="s">
        <v>877</v>
      </c>
      <c r="H1020" s="697" t="s">
        <v>1488</v>
      </c>
      <c r="I1020" s="710">
        <f>C283</f>
        <v>167.6</v>
      </c>
      <c r="J1020" s="697" t="s">
        <v>877</v>
      </c>
      <c r="K1020" s="710">
        <f t="shared" si="137"/>
        <v>167.6</v>
      </c>
      <c r="AE1020" s="724">
        <f t="shared" si="133"/>
        <v>0</v>
      </c>
    </row>
    <row r="1021" spans="6:31" ht="24" customHeight="1">
      <c r="F1021" s="710">
        <v>1</v>
      </c>
      <c r="G1021" s="708" t="s">
        <v>877</v>
      </c>
      <c r="H1021" s="697" t="s">
        <v>1489</v>
      </c>
      <c r="I1021" s="710">
        <f>C285</f>
        <v>7.3</v>
      </c>
      <c r="J1021" s="697" t="s">
        <v>877</v>
      </c>
      <c r="K1021" s="710">
        <f t="shared" si="137"/>
        <v>7.3</v>
      </c>
      <c r="AE1021" s="724">
        <f t="shared" si="133"/>
        <v>0</v>
      </c>
    </row>
    <row r="1022" spans="6:31" ht="24" customHeight="1">
      <c r="F1022" s="710">
        <v>1</v>
      </c>
      <c r="G1022" s="708" t="s">
        <v>877</v>
      </c>
      <c r="H1022" s="697" t="s">
        <v>2007</v>
      </c>
      <c r="I1022" s="710">
        <f>D595</f>
        <v>45.9</v>
      </c>
      <c r="J1022" s="697" t="s">
        <v>877</v>
      </c>
      <c r="K1022" s="710">
        <f t="shared" si="137"/>
        <v>45.9</v>
      </c>
      <c r="AE1022" s="724">
        <f t="shared" ref="AE1022:AE1031" si="138">AG1022</f>
        <v>0</v>
      </c>
    </row>
    <row r="1023" spans="6:31" ht="24" customHeight="1">
      <c r="F1023" s="710">
        <v>10</v>
      </c>
      <c r="G1023" s="708" t="s">
        <v>1046</v>
      </c>
      <c r="H1023" s="697" t="s">
        <v>1159</v>
      </c>
      <c r="I1023" s="710">
        <f>I993</f>
        <v>2.39</v>
      </c>
      <c r="J1023" s="697" t="s">
        <v>877</v>
      </c>
      <c r="K1023" s="710">
        <f t="shared" si="137"/>
        <v>23.9</v>
      </c>
      <c r="M1023" s="698" t="s">
        <v>463</v>
      </c>
      <c r="N1023" s="708" t="s">
        <v>2276</v>
      </c>
      <c r="O1023" s="697" t="s">
        <v>2202</v>
      </c>
      <c r="Q1023" s="702"/>
      <c r="AE1023" s="724">
        <f t="shared" si="138"/>
        <v>0</v>
      </c>
    </row>
    <row r="1024" spans="6:31" ht="24" customHeight="1">
      <c r="K1024" s="705" t="s">
        <v>1609</v>
      </c>
      <c r="N1024" s="700"/>
      <c r="O1024" s="697" t="s">
        <v>2204</v>
      </c>
      <c r="Q1024" s="702"/>
      <c r="AE1024" s="724">
        <f t="shared" si="138"/>
        <v>0</v>
      </c>
    </row>
    <row r="1025" spans="6:32" ht="24" customHeight="1">
      <c r="H1025" s="697" t="s">
        <v>462</v>
      </c>
      <c r="K1025" s="710">
        <f>SUM(K1012:K1023)</f>
        <v>5853.08</v>
      </c>
      <c r="N1025" s="700"/>
      <c r="O1025" s="697" t="s">
        <v>2205</v>
      </c>
      <c r="Q1025" s="702"/>
      <c r="AE1025" s="724">
        <f t="shared" si="138"/>
        <v>0</v>
      </c>
    </row>
    <row r="1026" spans="6:32" ht="24" customHeight="1">
      <c r="K1026" s="705" t="s">
        <v>1609</v>
      </c>
      <c r="N1026" s="700"/>
      <c r="O1026" s="697" t="s">
        <v>2206</v>
      </c>
      <c r="Q1026" s="702"/>
      <c r="AE1026" s="724">
        <f t="shared" si="138"/>
        <v>0</v>
      </c>
    </row>
    <row r="1027" spans="6:32" ht="24" customHeight="1">
      <c r="H1027" s="711" t="s">
        <v>556</v>
      </c>
      <c r="K1027" s="709">
        <f>K1025/F1016</f>
        <v>4817.3500000000004</v>
      </c>
      <c r="N1027" s="700"/>
      <c r="O1027" s="697" t="s">
        <v>2207</v>
      </c>
      <c r="Q1027" s="702"/>
      <c r="AE1027" s="724">
        <f t="shared" si="138"/>
        <v>0</v>
      </c>
    </row>
    <row r="1028" spans="6:32" ht="24" customHeight="1">
      <c r="K1028" s="705" t="s">
        <v>2080</v>
      </c>
      <c r="N1028" s="700"/>
      <c r="O1028" s="697" t="s">
        <v>2208</v>
      </c>
      <c r="Q1028" s="702"/>
      <c r="AE1028" s="724">
        <f t="shared" si="138"/>
        <v>0</v>
      </c>
    </row>
    <row r="1029" spans="6:32" ht="24" customHeight="1">
      <c r="H1029" s="832" t="s">
        <v>3565</v>
      </c>
      <c r="I1029" s="833"/>
      <c r="J1029" s="834"/>
      <c r="K1029" s="832">
        <f>K909</f>
        <v>2034</v>
      </c>
      <c r="N1029" s="700"/>
      <c r="O1029" s="705" t="s">
        <v>1609</v>
      </c>
      <c r="Q1029" s="702"/>
      <c r="AE1029" s="724">
        <f t="shared" si="138"/>
        <v>0</v>
      </c>
    </row>
    <row r="1030" spans="6:32" ht="24" customHeight="1">
      <c r="F1030" s="698" t="s">
        <v>463</v>
      </c>
      <c r="G1030" s="708" t="s">
        <v>2276</v>
      </c>
      <c r="H1030" s="697" t="s">
        <v>2202</v>
      </c>
      <c r="N1030" s="700"/>
      <c r="O1030" s="697" t="s">
        <v>650</v>
      </c>
      <c r="Q1030" s="702"/>
      <c r="AE1030" s="724">
        <f t="shared" si="138"/>
        <v>0</v>
      </c>
    </row>
    <row r="1031" spans="6:32" ht="24" customHeight="1">
      <c r="H1031" s="697" t="s">
        <v>2204</v>
      </c>
      <c r="N1031" s="700"/>
      <c r="O1031" s="697" t="s">
        <v>2209</v>
      </c>
      <c r="Q1031" s="702"/>
      <c r="AE1031" s="724">
        <f t="shared" si="138"/>
        <v>0</v>
      </c>
    </row>
    <row r="1032" spans="6:32" ht="24" customHeight="1">
      <c r="H1032" s="697" t="s">
        <v>2205</v>
      </c>
      <c r="N1032" s="700"/>
      <c r="Q1032" s="697" t="s">
        <v>1609</v>
      </c>
      <c r="AE1032" s="724"/>
    </row>
    <row r="1033" spans="6:32" ht="24" customHeight="1">
      <c r="H1033" s="697" t="s">
        <v>2206</v>
      </c>
      <c r="N1033" s="700"/>
      <c r="O1033" s="697" t="s">
        <v>2210</v>
      </c>
      <c r="Q1033" s="702"/>
      <c r="AE1033" s="724">
        <f t="shared" ref="AE1033:AE1038" si="139">AG1033</f>
        <v>0</v>
      </c>
    </row>
    <row r="1034" spans="6:32" ht="24" customHeight="1">
      <c r="H1034" s="697" t="s">
        <v>2207</v>
      </c>
      <c r="N1034" s="700"/>
      <c r="O1034" s="697" t="s">
        <v>987</v>
      </c>
      <c r="P1034" s="697" t="s">
        <v>987</v>
      </c>
      <c r="Q1034" s="702"/>
      <c r="R1034" s="825" t="s">
        <v>987</v>
      </c>
      <c r="AE1034" s="724">
        <f t="shared" si="139"/>
        <v>0</v>
      </c>
    </row>
    <row r="1035" spans="6:32" ht="24" customHeight="1">
      <c r="H1035" s="697" t="s">
        <v>2208</v>
      </c>
      <c r="N1035" s="700"/>
      <c r="Q1035" s="697" t="s">
        <v>987</v>
      </c>
      <c r="R1035" s="697" t="s">
        <v>987</v>
      </c>
      <c r="AE1035" s="724">
        <f t="shared" si="139"/>
        <v>0</v>
      </c>
    </row>
    <row r="1036" spans="6:32" ht="24" customHeight="1">
      <c r="H1036" s="705" t="s">
        <v>1609</v>
      </c>
      <c r="N1036" s="700"/>
      <c r="O1036" s="697" t="s">
        <v>2138</v>
      </c>
      <c r="Q1036" s="825" t="s">
        <v>987</v>
      </c>
      <c r="R1036" s="825" t="s">
        <v>987</v>
      </c>
      <c r="AE1036" s="724">
        <f t="shared" si="139"/>
        <v>0</v>
      </c>
    </row>
    <row r="1037" spans="6:32" ht="24" customHeight="1">
      <c r="H1037" s="697" t="s">
        <v>650</v>
      </c>
      <c r="N1037" s="700"/>
      <c r="O1037" s="697" t="s">
        <v>113</v>
      </c>
      <c r="Q1037" s="702"/>
      <c r="R1037" s="825" t="s">
        <v>1765</v>
      </c>
      <c r="AE1037" s="724">
        <f t="shared" si="139"/>
        <v>0</v>
      </c>
    </row>
    <row r="1038" spans="6:32" ht="24" customHeight="1">
      <c r="H1038" s="697" t="s">
        <v>2209</v>
      </c>
      <c r="N1038" s="700"/>
      <c r="Q1038" s="702"/>
      <c r="R1038" s="697" t="s">
        <v>987</v>
      </c>
      <c r="AE1038" s="724">
        <f t="shared" si="139"/>
        <v>0</v>
      </c>
    </row>
    <row r="1039" spans="6:32" ht="24" customHeight="1">
      <c r="J1039" s="697" t="s">
        <v>1609</v>
      </c>
      <c r="N1039" s="700"/>
      <c r="Q1039" s="702"/>
      <c r="R1039" s="825" t="s">
        <v>987</v>
      </c>
      <c r="AB1039" s="698" t="s">
        <v>463</v>
      </c>
      <c r="AC1039" s="708" t="s">
        <v>2276</v>
      </c>
      <c r="AD1039" s="697" t="s">
        <v>5236</v>
      </c>
      <c r="AF1039" s="702"/>
    </row>
    <row r="1040" spans="6:32" ht="24" customHeight="1">
      <c r="H1040" s="697" t="s">
        <v>2210</v>
      </c>
      <c r="N1040" s="700"/>
      <c r="Q1040" s="702"/>
      <c r="R1040" s="697" t="s">
        <v>987</v>
      </c>
      <c r="AC1040" s="700"/>
      <c r="AD1040" s="697" t="s">
        <v>2204</v>
      </c>
      <c r="AF1040" s="702"/>
    </row>
    <row r="1041" spans="1:39" ht="24" customHeight="1">
      <c r="H1041" s="697" t="s">
        <v>987</v>
      </c>
      <c r="I1041" s="697" t="s">
        <v>987</v>
      </c>
      <c r="K1041" s="825" t="s">
        <v>987</v>
      </c>
      <c r="M1041" s="698" t="s">
        <v>1495</v>
      </c>
      <c r="N1041" s="708"/>
      <c r="O1041" s="697" t="s">
        <v>726</v>
      </c>
      <c r="Q1041" s="702"/>
      <c r="R1041" s="697" t="s">
        <v>987</v>
      </c>
      <c r="AC1041" s="700"/>
      <c r="AD1041" s="697" t="s">
        <v>2205</v>
      </c>
      <c r="AF1041" s="702"/>
    </row>
    <row r="1042" spans="1:39" ht="24" customHeight="1">
      <c r="J1042" s="697" t="s">
        <v>987</v>
      </c>
      <c r="K1042" s="697" t="s">
        <v>987</v>
      </c>
      <c r="N1042" s="700"/>
      <c r="O1042" s="705" t="s">
        <v>1609</v>
      </c>
      <c r="Q1042" s="702"/>
      <c r="AC1042" s="700"/>
      <c r="AD1042" s="697" t="s">
        <v>2206</v>
      </c>
      <c r="AF1042" s="702"/>
    </row>
    <row r="1043" spans="1:39" s="101" customFormat="1" ht="24" customHeight="1">
      <c r="A1043" s="835"/>
      <c r="B1043" s="835"/>
      <c r="C1043" s="835"/>
      <c r="D1043" s="835"/>
      <c r="E1043" s="835"/>
      <c r="F1043" s="699"/>
      <c r="G1043" s="700"/>
      <c r="H1043" s="697" t="s">
        <v>2138</v>
      </c>
      <c r="I1043" s="699"/>
      <c r="J1043" s="825" t="s">
        <v>987</v>
      </c>
      <c r="K1043" s="825" t="s">
        <v>987</v>
      </c>
      <c r="L1043" s="835"/>
      <c r="M1043" s="826">
        <v>1.153E-2</v>
      </c>
      <c r="N1043" s="827" t="s">
        <v>878</v>
      </c>
      <c r="O1043" s="828" t="s">
        <v>1786</v>
      </c>
      <c r="P1043" s="829">
        <f>C83</f>
        <v>34300</v>
      </c>
      <c r="Q1043" s="828" t="s">
        <v>878</v>
      </c>
      <c r="R1043" s="829">
        <f t="shared" ref="R1043:R1052" si="140">(M1043*P1043)</f>
        <v>395.48</v>
      </c>
      <c r="S1043" s="836"/>
      <c r="T1043" s="835"/>
      <c r="U1043" s="835"/>
      <c r="V1043" s="835"/>
      <c r="W1043" s="835"/>
      <c r="X1043" s="835"/>
      <c r="Y1043" s="835"/>
      <c r="Z1043" s="835"/>
      <c r="AA1043" s="835"/>
      <c r="AB1043" s="699"/>
      <c r="AC1043" s="700"/>
      <c r="AD1043" s="697" t="s">
        <v>2207</v>
      </c>
      <c r="AE1043" s="699"/>
      <c r="AF1043" s="702"/>
      <c r="AG1043" s="699"/>
      <c r="AH1043" s="835"/>
      <c r="AI1043" s="835"/>
      <c r="AJ1043" s="835"/>
      <c r="AK1043" s="835"/>
      <c r="AL1043" s="835"/>
      <c r="AM1043" s="835"/>
    </row>
    <row r="1044" spans="1:39" ht="24" customHeight="1">
      <c r="H1044" s="697" t="s">
        <v>113</v>
      </c>
      <c r="K1044" s="825" t="s">
        <v>1765</v>
      </c>
      <c r="M1044" s="830">
        <v>1.35E-2</v>
      </c>
      <c r="N1044" s="708" t="s">
        <v>878</v>
      </c>
      <c r="O1044" s="697" t="s">
        <v>1786</v>
      </c>
      <c r="P1044" s="710">
        <f>P1043</f>
        <v>34300</v>
      </c>
      <c r="Q1044" s="697" t="s">
        <v>878</v>
      </c>
      <c r="R1044" s="710">
        <f t="shared" si="140"/>
        <v>463.05</v>
      </c>
      <c r="S1044" s="740"/>
      <c r="AC1044" s="700"/>
      <c r="AD1044" s="697" t="s">
        <v>5237</v>
      </c>
      <c r="AF1044" s="702"/>
    </row>
    <row r="1045" spans="1:39" ht="24" customHeight="1">
      <c r="K1045" s="697" t="s">
        <v>987</v>
      </c>
      <c r="M1045" s="830">
        <v>1.016</v>
      </c>
      <c r="N1045" s="708" t="s">
        <v>615</v>
      </c>
      <c r="O1045" s="697" t="s">
        <v>2117</v>
      </c>
      <c r="P1045" s="710">
        <f>I1052</f>
        <v>387.4</v>
      </c>
      <c r="Q1045" s="697" t="s">
        <v>615</v>
      </c>
      <c r="R1045" s="710">
        <f t="shared" si="140"/>
        <v>393.6</v>
      </c>
      <c r="S1045" s="740"/>
      <c r="AC1045" s="700"/>
      <c r="AD1045" s="705" t="s">
        <v>1609</v>
      </c>
      <c r="AF1045" s="702"/>
    </row>
    <row r="1046" spans="1:39" ht="24" customHeight="1">
      <c r="K1046" s="825" t="s">
        <v>987</v>
      </c>
      <c r="M1046" s="830">
        <v>1.64</v>
      </c>
      <c r="N1046" s="708" t="s">
        <v>615</v>
      </c>
      <c r="O1046" s="697" t="s">
        <v>2118</v>
      </c>
      <c r="P1046" s="710">
        <f t="shared" ref="P1046:P1051" si="141">I1053</f>
        <v>1105</v>
      </c>
      <c r="Q1046" s="697" t="s">
        <v>615</v>
      </c>
      <c r="R1046" s="710">
        <f t="shared" si="140"/>
        <v>1812.2</v>
      </c>
      <c r="S1046" s="740"/>
      <c r="AC1046" s="700"/>
      <c r="AD1046" s="697" t="s">
        <v>1756</v>
      </c>
      <c r="AF1046" s="702"/>
    </row>
    <row r="1047" spans="1:39" ht="24" customHeight="1">
      <c r="K1047" s="697" t="s">
        <v>987</v>
      </c>
      <c r="M1047" s="710">
        <v>2</v>
      </c>
      <c r="N1047" s="708" t="s">
        <v>877</v>
      </c>
      <c r="O1047" s="697" t="s">
        <v>2119</v>
      </c>
      <c r="P1047" s="710">
        <f t="shared" si="141"/>
        <v>60</v>
      </c>
      <c r="Q1047" s="697" t="s">
        <v>877</v>
      </c>
      <c r="R1047" s="710">
        <f t="shared" si="140"/>
        <v>120</v>
      </c>
      <c r="S1047" s="740"/>
      <c r="AC1047" s="700"/>
      <c r="AD1047" s="697" t="s">
        <v>1757</v>
      </c>
      <c r="AF1047" s="702"/>
    </row>
    <row r="1048" spans="1:39" ht="24" customHeight="1">
      <c r="F1048" s="698" t="s">
        <v>1495</v>
      </c>
      <c r="G1048" s="708"/>
      <c r="H1048" s="697" t="s">
        <v>726</v>
      </c>
      <c r="K1048" s="697" t="s">
        <v>987</v>
      </c>
      <c r="M1048" s="710">
        <v>3</v>
      </c>
      <c r="N1048" s="708" t="s">
        <v>877</v>
      </c>
      <c r="O1048" s="697" t="s">
        <v>1539</v>
      </c>
      <c r="P1048" s="710">
        <f t="shared" si="141"/>
        <v>83</v>
      </c>
      <c r="Q1048" s="697" t="s">
        <v>877</v>
      </c>
      <c r="R1048" s="710">
        <f t="shared" si="140"/>
        <v>249</v>
      </c>
      <c r="S1048" s="740"/>
      <c r="AC1048" s="700"/>
      <c r="AF1048" s="697" t="s">
        <v>1609</v>
      </c>
    </row>
    <row r="1049" spans="1:39" ht="24" customHeight="1">
      <c r="H1049" s="705" t="s">
        <v>1609</v>
      </c>
      <c r="M1049" s="710">
        <v>1</v>
      </c>
      <c r="N1049" s="708" t="s">
        <v>877</v>
      </c>
      <c r="O1049" s="697" t="s">
        <v>2004</v>
      </c>
      <c r="P1049" s="710">
        <f t="shared" si="141"/>
        <v>167.6</v>
      </c>
      <c r="Q1049" s="697" t="s">
        <v>877</v>
      </c>
      <c r="R1049" s="710">
        <f t="shared" si="140"/>
        <v>167.6</v>
      </c>
      <c r="S1049" s="740"/>
      <c r="AC1049" s="700"/>
      <c r="AD1049" s="697" t="s">
        <v>1758</v>
      </c>
      <c r="AF1049" s="702"/>
    </row>
    <row r="1050" spans="1:39" ht="24" customHeight="1">
      <c r="F1050" s="826">
        <v>1.153E-2</v>
      </c>
      <c r="G1050" s="827" t="s">
        <v>878</v>
      </c>
      <c r="H1050" s="828" t="s">
        <v>698</v>
      </c>
      <c r="I1050" s="829">
        <f>C85</f>
        <v>111600</v>
      </c>
      <c r="J1050" s="828" t="s">
        <v>878</v>
      </c>
      <c r="K1050" s="829">
        <f t="shared" ref="K1050:K1060" si="142">(F1050*I1050)</f>
        <v>1286.75</v>
      </c>
      <c r="M1050" s="710">
        <v>1</v>
      </c>
      <c r="N1050" s="708" t="s">
        <v>877</v>
      </c>
      <c r="O1050" s="697" t="s">
        <v>2005</v>
      </c>
      <c r="P1050" s="710">
        <f t="shared" si="141"/>
        <v>7.3</v>
      </c>
      <c r="Q1050" s="697" t="s">
        <v>877</v>
      </c>
      <c r="R1050" s="710">
        <f t="shared" si="140"/>
        <v>7.3</v>
      </c>
      <c r="S1050" s="740"/>
      <c r="AC1050" s="700"/>
      <c r="AD1050" s="697" t="s">
        <v>987</v>
      </c>
      <c r="AE1050" s="697" t="s">
        <v>987</v>
      </c>
      <c r="AF1050" s="702"/>
      <c r="AG1050" s="825" t="s">
        <v>987</v>
      </c>
    </row>
    <row r="1051" spans="1:39" ht="24" customHeight="1">
      <c r="F1051" s="830">
        <v>1.35E-2</v>
      </c>
      <c r="G1051" s="708" t="s">
        <v>878</v>
      </c>
      <c r="H1051" s="697" t="s">
        <v>699</v>
      </c>
      <c r="I1051" s="710">
        <f>C86</f>
        <v>99400</v>
      </c>
      <c r="J1051" s="697" t="s">
        <v>878</v>
      </c>
      <c r="K1051" s="710">
        <f t="shared" si="142"/>
        <v>1341.9</v>
      </c>
      <c r="M1051" s="710">
        <v>1</v>
      </c>
      <c r="N1051" s="708" t="s">
        <v>877</v>
      </c>
      <c r="O1051" s="697" t="s">
        <v>2006</v>
      </c>
      <c r="P1051" s="710">
        <f t="shared" si="141"/>
        <v>53.4</v>
      </c>
      <c r="Q1051" s="697" t="s">
        <v>877</v>
      </c>
      <c r="R1051" s="710">
        <f t="shared" si="140"/>
        <v>53.4</v>
      </c>
      <c r="S1051" s="740"/>
      <c r="AC1051" s="700"/>
      <c r="AF1051" s="697" t="s">
        <v>987</v>
      </c>
      <c r="AG1051" s="697" t="s">
        <v>987</v>
      </c>
    </row>
    <row r="1052" spans="1:39" ht="24" customHeight="1">
      <c r="F1052" s="830">
        <v>1.016</v>
      </c>
      <c r="G1052" s="708" t="s">
        <v>615</v>
      </c>
      <c r="H1052" s="697" t="s">
        <v>2117</v>
      </c>
      <c r="I1052" s="710">
        <f>C780</f>
        <v>387.4</v>
      </c>
      <c r="J1052" s="697" t="s">
        <v>615</v>
      </c>
      <c r="K1052" s="710">
        <f t="shared" si="142"/>
        <v>393.6</v>
      </c>
      <c r="M1052" s="710">
        <v>1</v>
      </c>
      <c r="N1052" s="708" t="s">
        <v>877</v>
      </c>
      <c r="O1052" s="697" t="s">
        <v>2007</v>
      </c>
      <c r="P1052" s="710">
        <f>P950</f>
        <v>45.9</v>
      </c>
      <c r="Q1052" s="697" t="s">
        <v>877</v>
      </c>
      <c r="R1052" s="710">
        <f t="shared" si="140"/>
        <v>45.9</v>
      </c>
      <c r="S1052" s="740"/>
      <c r="AC1052" s="700"/>
      <c r="AD1052" s="697" t="s">
        <v>1759</v>
      </c>
      <c r="AF1052" s="825" t="s">
        <v>987</v>
      </c>
      <c r="AG1052" s="825" t="s">
        <v>987</v>
      </c>
    </row>
    <row r="1053" spans="1:39" ht="24" customHeight="1">
      <c r="F1053" s="830">
        <v>1.64</v>
      </c>
      <c r="G1053" s="708" t="s">
        <v>615</v>
      </c>
      <c r="H1053" s="697" t="s">
        <v>2118</v>
      </c>
      <c r="I1053" s="710">
        <f>D28</f>
        <v>1105</v>
      </c>
      <c r="J1053" s="697" t="s">
        <v>615</v>
      </c>
      <c r="K1053" s="710">
        <f t="shared" si="142"/>
        <v>1812.2</v>
      </c>
      <c r="N1053" s="700"/>
      <c r="Q1053" s="702"/>
      <c r="R1053" s="705" t="s">
        <v>1609</v>
      </c>
      <c r="S1053" s="837"/>
      <c r="AC1053" s="700"/>
      <c r="AD1053" s="697" t="s">
        <v>1760</v>
      </c>
      <c r="AF1053" s="702"/>
      <c r="AG1053" s="825" t="s">
        <v>1761</v>
      </c>
    </row>
    <row r="1054" spans="1:39" ht="24" customHeight="1">
      <c r="F1054" s="710">
        <v>2</v>
      </c>
      <c r="G1054" s="708" t="s">
        <v>877</v>
      </c>
      <c r="H1054" s="697" t="s">
        <v>2119</v>
      </c>
      <c r="I1054" s="710">
        <f>C281</f>
        <v>60</v>
      </c>
      <c r="J1054" s="697" t="s">
        <v>877</v>
      </c>
      <c r="K1054" s="710">
        <f t="shared" si="142"/>
        <v>120</v>
      </c>
      <c r="N1054" s="700"/>
      <c r="O1054" s="698" t="s">
        <v>1540</v>
      </c>
      <c r="Q1054" s="702"/>
      <c r="R1054" s="710">
        <f>SUM(R1043:R1052)</f>
        <v>3707.53</v>
      </c>
      <c r="S1054" s="740"/>
      <c r="AC1054" s="700"/>
      <c r="AF1054" s="702"/>
      <c r="AG1054" s="697" t="s">
        <v>987</v>
      </c>
    </row>
    <row r="1055" spans="1:39" ht="24" customHeight="1">
      <c r="F1055" s="710">
        <v>3</v>
      </c>
      <c r="G1055" s="708" t="s">
        <v>877</v>
      </c>
      <c r="H1055" s="697" t="s">
        <v>1539</v>
      </c>
      <c r="I1055" s="710">
        <f>C276</f>
        <v>83</v>
      </c>
      <c r="J1055" s="697" t="s">
        <v>877</v>
      </c>
      <c r="K1055" s="710">
        <f t="shared" si="142"/>
        <v>249</v>
      </c>
      <c r="N1055" s="708" t="s">
        <v>987</v>
      </c>
      <c r="Q1055" s="702"/>
      <c r="R1055" s="705" t="s">
        <v>1609</v>
      </c>
      <c r="S1055" s="837"/>
      <c r="AC1055" s="700"/>
      <c r="AF1055" s="702"/>
      <c r="AG1055" s="825" t="s">
        <v>987</v>
      </c>
    </row>
    <row r="1056" spans="1:39" ht="24" customHeight="1">
      <c r="F1056" s="710">
        <v>1</v>
      </c>
      <c r="G1056" s="708" t="s">
        <v>877</v>
      </c>
      <c r="H1056" s="697" t="s">
        <v>2004</v>
      </c>
      <c r="I1056" s="710">
        <f>C283</f>
        <v>167.6</v>
      </c>
      <c r="J1056" s="697" t="s">
        <v>877</v>
      </c>
      <c r="K1056" s="710">
        <f t="shared" si="142"/>
        <v>167.6</v>
      </c>
      <c r="N1056" s="700"/>
      <c r="O1056" s="711" t="s">
        <v>556</v>
      </c>
      <c r="Q1056" s="702"/>
      <c r="R1056" s="709">
        <f>R1054/M1046</f>
        <v>2260.69</v>
      </c>
      <c r="S1056" s="740"/>
      <c r="AC1056" s="700"/>
      <c r="AF1056" s="702"/>
      <c r="AG1056" s="697" t="s">
        <v>987</v>
      </c>
    </row>
    <row r="1057" spans="6:33" ht="24" customHeight="1">
      <c r="F1057" s="710">
        <v>1</v>
      </c>
      <c r="G1057" s="708" t="s">
        <v>877</v>
      </c>
      <c r="H1057" s="697" t="s">
        <v>2005</v>
      </c>
      <c r="I1057" s="710">
        <f>C285</f>
        <v>7.3</v>
      </c>
      <c r="J1057" s="697" t="s">
        <v>877</v>
      </c>
      <c r="K1057" s="710">
        <f t="shared" si="142"/>
        <v>7.3</v>
      </c>
      <c r="N1057" s="700"/>
      <c r="Q1057" s="702"/>
      <c r="R1057" s="705" t="s">
        <v>2080</v>
      </c>
      <c r="S1057" s="837" t="s">
        <v>2080</v>
      </c>
      <c r="AB1057" s="698" t="s">
        <v>1495</v>
      </c>
      <c r="AC1057" s="708"/>
      <c r="AD1057" s="697" t="s">
        <v>1763</v>
      </c>
      <c r="AF1057" s="702"/>
      <c r="AG1057" s="697" t="s">
        <v>987</v>
      </c>
    </row>
    <row r="1058" spans="6:33" ht="24" customHeight="1">
      <c r="F1058" s="710">
        <v>1</v>
      </c>
      <c r="G1058" s="708" t="s">
        <v>877</v>
      </c>
      <c r="H1058" s="697" t="s">
        <v>1155</v>
      </c>
      <c r="I1058" s="710">
        <f>C595</f>
        <v>53.4</v>
      </c>
      <c r="J1058" s="697" t="s">
        <v>877</v>
      </c>
      <c r="K1058" s="710">
        <f t="shared" si="142"/>
        <v>53.4</v>
      </c>
      <c r="M1058" s="698"/>
      <c r="N1058" s="708"/>
      <c r="O1058" s="697"/>
      <c r="Q1058" s="702"/>
      <c r="R1058" s="697" t="s">
        <v>987</v>
      </c>
      <c r="AC1058" s="700"/>
      <c r="AD1058" s="705" t="s">
        <v>1609</v>
      </c>
      <c r="AF1058" s="702"/>
    </row>
    <row r="1059" spans="6:33" ht="24" customHeight="1">
      <c r="F1059" s="710">
        <v>1</v>
      </c>
      <c r="G1059" s="708" t="s">
        <v>877</v>
      </c>
      <c r="H1059" s="697" t="s">
        <v>2007</v>
      </c>
      <c r="I1059" s="710">
        <f>D595</f>
        <v>45.9</v>
      </c>
      <c r="J1059" s="697" t="s">
        <v>877</v>
      </c>
      <c r="K1059" s="710">
        <f t="shared" si="142"/>
        <v>45.9</v>
      </c>
      <c r="M1059" s="698" t="s">
        <v>1495</v>
      </c>
      <c r="N1059" s="708"/>
      <c r="O1059" s="697" t="s">
        <v>1839</v>
      </c>
      <c r="Q1059" s="702"/>
      <c r="R1059" s="697" t="s">
        <v>987</v>
      </c>
      <c r="AB1059" s="826">
        <v>2.3060000000000001E-2</v>
      </c>
      <c r="AC1059" s="827" t="s">
        <v>878</v>
      </c>
      <c r="AD1059" s="828" t="s">
        <v>698</v>
      </c>
      <c r="AE1059" s="829">
        <f>I1050</f>
        <v>111600</v>
      </c>
      <c r="AF1059" s="828" t="s">
        <v>878</v>
      </c>
      <c r="AG1059" s="829">
        <f t="shared" ref="AG1059:AG1069" si="143">(AB1059*AE1059)</f>
        <v>2573.5</v>
      </c>
    </row>
    <row r="1060" spans="6:33" ht="24" customHeight="1">
      <c r="F1060" s="710">
        <v>58</v>
      </c>
      <c r="G1060" s="708" t="s">
        <v>1046</v>
      </c>
      <c r="H1060" s="697" t="s">
        <v>1159</v>
      </c>
      <c r="I1060" s="699">
        <f>I1023</f>
        <v>2.39</v>
      </c>
      <c r="J1060" s="697" t="s">
        <v>877</v>
      </c>
      <c r="K1060" s="710">
        <f t="shared" si="142"/>
        <v>138.62</v>
      </c>
      <c r="N1060" s="700"/>
      <c r="O1060" s="705" t="s">
        <v>1609</v>
      </c>
      <c r="Q1060" s="702"/>
      <c r="AB1060" s="830">
        <v>1.856E-2</v>
      </c>
      <c r="AC1060" s="708" t="s">
        <v>878</v>
      </c>
      <c r="AD1060" s="697" t="s">
        <v>699</v>
      </c>
      <c r="AE1060" s="829">
        <f t="shared" ref="AE1060:AE1068" si="144">I1051</f>
        <v>99400</v>
      </c>
      <c r="AF1060" s="697" t="s">
        <v>878</v>
      </c>
      <c r="AG1060" s="710">
        <f t="shared" si="143"/>
        <v>1844.86</v>
      </c>
    </row>
    <row r="1061" spans="6:33" ht="24" customHeight="1">
      <c r="H1061" s="698" t="s">
        <v>1540</v>
      </c>
      <c r="K1061" s="710">
        <f>SUM(K1050:K1060)</f>
        <v>5616.27</v>
      </c>
      <c r="M1061" s="826">
        <v>1.153E-2</v>
      </c>
      <c r="N1061" s="827" t="s">
        <v>878</v>
      </c>
      <c r="O1061" s="828" t="s">
        <v>698</v>
      </c>
      <c r="P1061" s="829">
        <f>I1050</f>
        <v>111600</v>
      </c>
      <c r="Q1061" s="828" t="s">
        <v>878</v>
      </c>
      <c r="R1061" s="829">
        <f t="shared" ref="R1061:R1071" si="145">(M1061*P1061)</f>
        <v>1286.75</v>
      </c>
      <c r="AB1061" s="830">
        <v>1.4</v>
      </c>
      <c r="AC1061" s="708" t="s">
        <v>615</v>
      </c>
      <c r="AD1061" s="697" t="s">
        <v>2117</v>
      </c>
      <c r="AE1061" s="829">
        <f t="shared" si="144"/>
        <v>387.4</v>
      </c>
      <c r="AF1061" s="697" t="s">
        <v>615</v>
      </c>
      <c r="AG1061" s="710">
        <f t="shared" si="143"/>
        <v>542.36</v>
      </c>
    </row>
    <row r="1062" spans="6:33" ht="24" customHeight="1">
      <c r="G1062" s="708" t="s">
        <v>987</v>
      </c>
      <c r="K1062" s="705" t="s">
        <v>1609</v>
      </c>
      <c r="M1062" s="830">
        <v>1.52E-2</v>
      </c>
      <c r="N1062" s="708" t="s">
        <v>878</v>
      </c>
      <c r="O1062" s="697" t="s">
        <v>699</v>
      </c>
      <c r="P1062" s="829">
        <f t="shared" ref="P1062:P1070" si="146">I1051</f>
        <v>99400</v>
      </c>
      <c r="Q1062" s="697" t="s">
        <v>878</v>
      </c>
      <c r="R1062" s="710">
        <f t="shared" si="145"/>
        <v>1510.88</v>
      </c>
      <c r="AB1062" s="830">
        <v>2.2549999999999999</v>
      </c>
      <c r="AC1062" s="708" t="s">
        <v>615</v>
      </c>
      <c r="AD1062" s="697" t="s">
        <v>2118</v>
      </c>
      <c r="AE1062" s="829">
        <f t="shared" si="144"/>
        <v>1105</v>
      </c>
      <c r="AF1062" s="697" t="s">
        <v>615</v>
      </c>
      <c r="AG1062" s="710">
        <f t="shared" si="143"/>
        <v>2491.7800000000002</v>
      </c>
    </row>
    <row r="1063" spans="6:33" ht="24" customHeight="1">
      <c r="H1063" s="711" t="s">
        <v>556</v>
      </c>
      <c r="K1063" s="709">
        <f>K1061/F1053</f>
        <v>3424.55</v>
      </c>
      <c r="M1063" s="830">
        <v>1.26</v>
      </c>
      <c r="N1063" s="708" t="s">
        <v>615</v>
      </c>
      <c r="O1063" s="697" t="s">
        <v>2117</v>
      </c>
      <c r="P1063" s="829">
        <f t="shared" si="146"/>
        <v>387.4</v>
      </c>
      <c r="Q1063" s="697" t="s">
        <v>615</v>
      </c>
      <c r="R1063" s="710">
        <f t="shared" si="145"/>
        <v>488.12</v>
      </c>
      <c r="AB1063" s="710">
        <v>4</v>
      </c>
      <c r="AC1063" s="708" t="s">
        <v>877</v>
      </c>
      <c r="AD1063" s="697" t="s">
        <v>2119</v>
      </c>
      <c r="AE1063" s="829">
        <f t="shared" si="144"/>
        <v>60</v>
      </c>
      <c r="AF1063" s="697" t="s">
        <v>877</v>
      </c>
      <c r="AG1063" s="710">
        <f t="shared" si="143"/>
        <v>240</v>
      </c>
    </row>
    <row r="1064" spans="6:33" ht="24" customHeight="1">
      <c r="K1064" s="705" t="s">
        <v>2080</v>
      </c>
      <c r="M1064" s="830">
        <v>1.845</v>
      </c>
      <c r="N1064" s="708" t="s">
        <v>615</v>
      </c>
      <c r="O1064" s="697" t="s">
        <v>2118</v>
      </c>
      <c r="P1064" s="829">
        <f t="shared" si="146"/>
        <v>1105</v>
      </c>
      <c r="Q1064" s="697" t="s">
        <v>615</v>
      </c>
      <c r="R1064" s="710">
        <f t="shared" si="145"/>
        <v>2038.73</v>
      </c>
      <c r="AB1064" s="710">
        <v>6</v>
      </c>
      <c r="AC1064" s="708" t="s">
        <v>877</v>
      </c>
      <c r="AD1064" s="697" t="s">
        <v>1539</v>
      </c>
      <c r="AE1064" s="829">
        <f t="shared" si="144"/>
        <v>83</v>
      </c>
      <c r="AF1064" s="697" t="s">
        <v>877</v>
      </c>
      <c r="AG1064" s="710">
        <f t="shared" si="143"/>
        <v>498</v>
      </c>
    </row>
    <row r="1065" spans="6:33" ht="24" customHeight="1">
      <c r="F1065" s="698" t="s">
        <v>1595</v>
      </c>
      <c r="H1065" s="697" t="s">
        <v>1359</v>
      </c>
      <c r="M1065" s="710">
        <v>2</v>
      </c>
      <c r="N1065" s="708" t="s">
        <v>877</v>
      </c>
      <c r="O1065" s="697" t="s">
        <v>2119</v>
      </c>
      <c r="P1065" s="829">
        <f t="shared" si="146"/>
        <v>60</v>
      </c>
      <c r="Q1065" s="697" t="s">
        <v>877</v>
      </c>
      <c r="R1065" s="710">
        <f t="shared" si="145"/>
        <v>120</v>
      </c>
      <c r="AB1065" s="710">
        <v>1</v>
      </c>
      <c r="AC1065" s="708" t="s">
        <v>877</v>
      </c>
      <c r="AD1065" s="697" t="s">
        <v>2004</v>
      </c>
      <c r="AE1065" s="829">
        <f t="shared" si="144"/>
        <v>167.6</v>
      </c>
      <c r="AF1065" s="697" t="s">
        <v>877</v>
      </c>
      <c r="AG1065" s="710">
        <f t="shared" si="143"/>
        <v>167.6</v>
      </c>
    </row>
    <row r="1066" spans="6:33" ht="24" customHeight="1">
      <c r="H1066" s="697" t="s">
        <v>1360</v>
      </c>
      <c r="M1066" s="710">
        <v>3</v>
      </c>
      <c r="N1066" s="708" t="s">
        <v>877</v>
      </c>
      <c r="O1066" s="697" t="s">
        <v>1539</v>
      </c>
      <c r="P1066" s="829">
        <f t="shared" si="146"/>
        <v>83</v>
      </c>
      <c r="Q1066" s="697" t="s">
        <v>877</v>
      </c>
      <c r="R1066" s="710">
        <f t="shared" si="145"/>
        <v>249</v>
      </c>
      <c r="AB1066" s="710">
        <v>2</v>
      </c>
      <c r="AC1066" s="708" t="s">
        <v>877</v>
      </c>
      <c r="AD1066" s="697" t="s">
        <v>2005</v>
      </c>
      <c r="AE1066" s="829">
        <f t="shared" si="144"/>
        <v>7.3</v>
      </c>
      <c r="AF1066" s="697" t="s">
        <v>877</v>
      </c>
      <c r="AG1066" s="710">
        <f t="shared" si="143"/>
        <v>14.6</v>
      </c>
    </row>
    <row r="1067" spans="6:33" ht="24" customHeight="1">
      <c r="H1067" s="705" t="s">
        <v>1609</v>
      </c>
      <c r="M1067" s="710">
        <v>1</v>
      </c>
      <c r="N1067" s="708" t="s">
        <v>877</v>
      </c>
      <c r="O1067" s="697" t="s">
        <v>2004</v>
      </c>
      <c r="P1067" s="829">
        <f t="shared" si="146"/>
        <v>167.6</v>
      </c>
      <c r="Q1067" s="697" t="s">
        <v>877</v>
      </c>
      <c r="R1067" s="710">
        <f t="shared" si="145"/>
        <v>167.6</v>
      </c>
      <c r="AB1067" s="710">
        <v>2</v>
      </c>
      <c r="AC1067" s="708" t="s">
        <v>877</v>
      </c>
      <c r="AD1067" s="697" t="s">
        <v>1155</v>
      </c>
      <c r="AE1067" s="829">
        <f t="shared" si="144"/>
        <v>53.4</v>
      </c>
      <c r="AF1067" s="697" t="s">
        <v>877</v>
      </c>
      <c r="AG1067" s="710">
        <f t="shared" si="143"/>
        <v>106.8</v>
      </c>
    </row>
    <row r="1068" spans="6:33" ht="24" customHeight="1">
      <c r="F1068" s="830">
        <v>6.6499999999999997E-3</v>
      </c>
      <c r="G1068" s="708" t="s">
        <v>1361</v>
      </c>
      <c r="H1068" s="697" t="s">
        <v>1362</v>
      </c>
      <c r="I1068" s="710">
        <f>C86</f>
        <v>99400</v>
      </c>
      <c r="J1068" s="697" t="s">
        <v>878</v>
      </c>
      <c r="K1068" s="710">
        <f t="shared" ref="K1068:K1075" si="147">(F1068*I1068)</f>
        <v>661.01</v>
      </c>
      <c r="M1068" s="710">
        <v>1</v>
      </c>
      <c r="N1068" s="708" t="s">
        <v>877</v>
      </c>
      <c r="O1068" s="697" t="s">
        <v>2005</v>
      </c>
      <c r="P1068" s="829">
        <f t="shared" si="146"/>
        <v>7.3</v>
      </c>
      <c r="Q1068" s="697" t="s">
        <v>877</v>
      </c>
      <c r="R1068" s="710">
        <f t="shared" si="145"/>
        <v>7.3</v>
      </c>
      <c r="AB1068" s="710">
        <v>2</v>
      </c>
      <c r="AC1068" s="708" t="s">
        <v>877</v>
      </c>
      <c r="AD1068" s="697" t="s">
        <v>2007</v>
      </c>
      <c r="AE1068" s="829">
        <f t="shared" si="144"/>
        <v>45.9</v>
      </c>
      <c r="AF1068" s="697" t="s">
        <v>877</v>
      </c>
      <c r="AG1068" s="710">
        <f t="shared" si="143"/>
        <v>91.8</v>
      </c>
    </row>
    <row r="1069" spans="6:33" ht="24" customHeight="1">
      <c r="F1069" s="830">
        <v>0.32346000000000003</v>
      </c>
      <c r="G1069" s="708" t="s">
        <v>615</v>
      </c>
      <c r="H1069" s="697" t="s">
        <v>1632</v>
      </c>
      <c r="I1069" s="779">
        <v>208.8</v>
      </c>
      <c r="J1069" s="697" t="s">
        <v>878</v>
      </c>
      <c r="K1069" s="710">
        <f t="shared" si="147"/>
        <v>67.540000000000006</v>
      </c>
      <c r="M1069" s="710">
        <v>1</v>
      </c>
      <c r="N1069" s="708" t="s">
        <v>877</v>
      </c>
      <c r="O1069" s="697" t="s">
        <v>1155</v>
      </c>
      <c r="P1069" s="829">
        <f t="shared" si="146"/>
        <v>53.4</v>
      </c>
      <c r="Q1069" s="697" t="s">
        <v>877</v>
      </c>
      <c r="R1069" s="710">
        <f t="shared" si="145"/>
        <v>53.4</v>
      </c>
      <c r="AB1069" s="710">
        <v>118</v>
      </c>
      <c r="AC1069" s="708" t="s">
        <v>877</v>
      </c>
      <c r="AD1069" s="697" t="s">
        <v>1159</v>
      </c>
      <c r="AE1069" s="829">
        <f>I1060</f>
        <v>2.39</v>
      </c>
      <c r="AF1069" s="702"/>
      <c r="AG1069" s="710">
        <f t="shared" si="143"/>
        <v>282.02</v>
      </c>
    </row>
    <row r="1070" spans="6:33" ht="24" customHeight="1">
      <c r="F1070" s="830">
        <v>0.47660000000000002</v>
      </c>
      <c r="G1070" s="708" t="s">
        <v>615</v>
      </c>
      <c r="H1070" s="697" t="s">
        <v>2118</v>
      </c>
      <c r="I1070" s="710">
        <f>D29</f>
        <v>1239</v>
      </c>
      <c r="J1070" s="697" t="s">
        <v>615</v>
      </c>
      <c r="K1070" s="710">
        <f t="shared" si="147"/>
        <v>590.51</v>
      </c>
      <c r="M1070" s="710">
        <v>1</v>
      </c>
      <c r="N1070" s="708" t="s">
        <v>877</v>
      </c>
      <c r="O1070" s="697" t="s">
        <v>2007</v>
      </c>
      <c r="P1070" s="829">
        <f t="shared" si="146"/>
        <v>45.9</v>
      </c>
      <c r="Q1070" s="697" t="s">
        <v>877</v>
      </c>
      <c r="R1070" s="710">
        <f t="shared" si="145"/>
        <v>45.9</v>
      </c>
      <c r="AC1070" s="700"/>
      <c r="AD1070" s="698" t="s">
        <v>1762</v>
      </c>
      <c r="AF1070" s="702"/>
      <c r="AG1070" s="710">
        <f>SUM(AG1059:AG1069)</f>
        <v>8853.32</v>
      </c>
    </row>
    <row r="1071" spans="6:33" ht="24" customHeight="1">
      <c r="F1071" s="710">
        <v>3</v>
      </c>
      <c r="G1071" s="708" t="s">
        <v>877</v>
      </c>
      <c r="H1071" s="697" t="s">
        <v>1363</v>
      </c>
      <c r="I1071" s="710">
        <f>C279</f>
        <v>45.7</v>
      </c>
      <c r="J1071" s="697" t="s">
        <v>877</v>
      </c>
      <c r="K1071" s="710">
        <f t="shared" si="147"/>
        <v>137.1</v>
      </c>
      <c r="M1071" s="710">
        <v>58</v>
      </c>
      <c r="N1071" s="700"/>
      <c r="O1071" s="697" t="s">
        <v>1767</v>
      </c>
      <c r="P1071" s="829">
        <f>I1075</f>
        <v>2.39</v>
      </c>
      <c r="Q1071" s="702"/>
      <c r="R1071" s="710">
        <f t="shared" si="145"/>
        <v>138.62</v>
      </c>
      <c r="AC1071" s="708" t="s">
        <v>987</v>
      </c>
      <c r="AF1071" s="702"/>
      <c r="AG1071" s="705" t="s">
        <v>1609</v>
      </c>
    </row>
    <row r="1072" spans="6:33" ht="24" customHeight="1">
      <c r="F1072" s="710">
        <v>2</v>
      </c>
      <c r="G1072" s="708" t="s">
        <v>877</v>
      </c>
      <c r="H1072" s="697" t="s">
        <v>2134</v>
      </c>
      <c r="I1072" s="710">
        <f>C282</f>
        <v>36.799999999999997</v>
      </c>
      <c r="J1072" s="697" t="s">
        <v>877</v>
      </c>
      <c r="K1072" s="710">
        <f t="shared" si="147"/>
        <v>73.599999999999994</v>
      </c>
      <c r="N1072" s="700"/>
      <c r="O1072" s="698" t="s">
        <v>4515</v>
      </c>
      <c r="Q1072" s="702"/>
      <c r="R1072" s="710">
        <f>SUM(R1061:R1071)</f>
        <v>6106.3</v>
      </c>
      <c r="AC1072" s="700"/>
      <c r="AD1072" s="711" t="s">
        <v>556</v>
      </c>
      <c r="AF1072" s="702"/>
      <c r="AG1072" s="709">
        <f>AG1070/AB1062</f>
        <v>3926.08</v>
      </c>
    </row>
    <row r="1073" spans="6:33" ht="24" customHeight="1">
      <c r="F1073" s="710">
        <v>1</v>
      </c>
      <c r="G1073" s="708" t="s">
        <v>877</v>
      </c>
      <c r="H1073" s="697" t="s">
        <v>2135</v>
      </c>
      <c r="I1073" s="816">
        <f>I1057</f>
        <v>7.3</v>
      </c>
      <c r="J1073" s="697" t="s">
        <v>877</v>
      </c>
      <c r="K1073" s="710">
        <f t="shared" si="147"/>
        <v>7.3</v>
      </c>
      <c r="N1073" s="708" t="s">
        <v>987</v>
      </c>
      <c r="Q1073" s="702"/>
      <c r="R1073" s="705" t="s">
        <v>1609</v>
      </c>
      <c r="AC1073" s="700"/>
      <c r="AF1073" s="702"/>
      <c r="AG1073" s="705" t="s">
        <v>2080</v>
      </c>
    </row>
    <row r="1074" spans="6:33" ht="24" customHeight="1">
      <c r="F1074" s="710">
        <v>1</v>
      </c>
      <c r="G1074" s="708" t="s">
        <v>877</v>
      </c>
      <c r="H1074" s="697" t="s">
        <v>2136</v>
      </c>
      <c r="I1074" s="710">
        <f>C289</f>
        <v>8.9</v>
      </c>
      <c r="J1074" s="697" t="s">
        <v>877</v>
      </c>
      <c r="K1074" s="710">
        <f t="shared" si="147"/>
        <v>8.9</v>
      </c>
      <c r="N1074" s="700"/>
      <c r="O1074" s="711" t="s">
        <v>556</v>
      </c>
      <c r="Q1074" s="702"/>
      <c r="R1074" s="709">
        <f>R1072/M1064</f>
        <v>3309.65</v>
      </c>
      <c r="AE1074" s="724">
        <f t="shared" ref="AE1074:AE1086" si="148">AG1074</f>
        <v>0</v>
      </c>
    </row>
    <row r="1075" spans="6:33" ht="24" customHeight="1">
      <c r="F1075" s="710">
        <v>24</v>
      </c>
      <c r="H1075" s="697" t="s">
        <v>1159</v>
      </c>
      <c r="I1075" s="699">
        <f>I1060</f>
        <v>2.39</v>
      </c>
      <c r="J1075" s="697" t="s">
        <v>877</v>
      </c>
      <c r="K1075" s="710">
        <f t="shared" si="147"/>
        <v>57.36</v>
      </c>
      <c r="N1075" s="700"/>
      <c r="Q1075" s="702"/>
      <c r="R1075" s="705" t="s">
        <v>2080</v>
      </c>
      <c r="AE1075" s="724">
        <f t="shared" si="148"/>
        <v>0</v>
      </c>
    </row>
    <row r="1076" spans="6:33" ht="24" customHeight="1">
      <c r="H1076" s="698" t="s">
        <v>2137</v>
      </c>
      <c r="K1076" s="710">
        <f>SUM(K1068:K1075)</f>
        <v>1603.32</v>
      </c>
      <c r="AE1076" s="724">
        <f t="shared" si="148"/>
        <v>0</v>
      </c>
    </row>
    <row r="1077" spans="6:33" ht="24" customHeight="1">
      <c r="K1077" s="705" t="s">
        <v>1609</v>
      </c>
      <c r="AE1077" s="724">
        <f t="shared" si="148"/>
        <v>0</v>
      </c>
    </row>
    <row r="1078" spans="6:33" ht="24" customHeight="1">
      <c r="H1078" s="711" t="s">
        <v>556</v>
      </c>
      <c r="I1078" s="697" t="s">
        <v>987</v>
      </c>
      <c r="K1078" s="709">
        <f>K1076/F1070</f>
        <v>3364.08</v>
      </c>
      <c r="AE1078" s="724">
        <f t="shared" si="148"/>
        <v>0</v>
      </c>
    </row>
    <row r="1079" spans="6:33" ht="24" customHeight="1">
      <c r="K1079" s="705" t="s">
        <v>2080</v>
      </c>
      <c r="AE1079" s="724">
        <f t="shared" si="148"/>
        <v>0</v>
      </c>
    </row>
    <row r="1080" spans="6:33" ht="24" customHeight="1">
      <c r="F1080" s="698" t="s">
        <v>1639</v>
      </c>
      <c r="G1080" s="708" t="s">
        <v>2276</v>
      </c>
      <c r="H1080" s="697" t="s">
        <v>1359</v>
      </c>
      <c r="AE1080" s="724">
        <f t="shared" si="148"/>
        <v>0</v>
      </c>
    </row>
    <row r="1081" spans="6:33" ht="24" customHeight="1">
      <c r="H1081" s="697" t="s">
        <v>715</v>
      </c>
      <c r="N1081" s="697" t="s">
        <v>254</v>
      </c>
      <c r="AE1081" s="724">
        <f t="shared" si="148"/>
        <v>0</v>
      </c>
    </row>
    <row r="1082" spans="6:33" ht="24" customHeight="1">
      <c r="H1082" s="705" t="s">
        <v>1609</v>
      </c>
      <c r="N1082" s="697" t="s">
        <v>255</v>
      </c>
      <c r="AE1082" s="724">
        <f t="shared" si="148"/>
        <v>0</v>
      </c>
    </row>
    <row r="1083" spans="6:33" ht="24" customHeight="1">
      <c r="F1083" s="830">
        <v>5.4000000000000003E-3</v>
      </c>
      <c r="G1083" s="708" t="s">
        <v>1361</v>
      </c>
      <c r="H1083" s="697" t="s">
        <v>1362</v>
      </c>
      <c r="I1083" s="710">
        <f>C86</f>
        <v>99400</v>
      </c>
      <c r="J1083" s="697" t="s">
        <v>878</v>
      </c>
      <c r="K1083" s="710">
        <f t="shared" ref="K1083:K1090" si="149">(F1083*I1083)</f>
        <v>536.76</v>
      </c>
      <c r="N1083" s="697" t="s">
        <v>1764</v>
      </c>
      <c r="AE1083" s="724">
        <f t="shared" si="148"/>
        <v>0</v>
      </c>
    </row>
    <row r="1084" spans="6:33" ht="24" customHeight="1">
      <c r="F1084" s="830">
        <v>0.23871000000000001</v>
      </c>
      <c r="G1084" s="708" t="s">
        <v>615</v>
      </c>
      <c r="H1084" s="769" t="str">
        <f>H1069</f>
        <v>frosted glass 4mmthick</v>
      </c>
      <c r="I1084" s="816">
        <f>I1069</f>
        <v>208.8</v>
      </c>
      <c r="J1084" s="697" t="s">
        <v>878</v>
      </c>
      <c r="K1084" s="710">
        <f t="shared" si="149"/>
        <v>49.84</v>
      </c>
      <c r="AE1084" s="724">
        <f t="shared" si="148"/>
        <v>0</v>
      </c>
    </row>
    <row r="1085" spans="6:33" ht="24" customHeight="1">
      <c r="F1085" s="830">
        <v>0.36199999999999999</v>
      </c>
      <c r="G1085" s="708" t="s">
        <v>615</v>
      </c>
      <c r="H1085" s="697" t="s">
        <v>2118</v>
      </c>
      <c r="I1085" s="710">
        <f>D29</f>
        <v>1239</v>
      </c>
      <c r="J1085" s="697" t="s">
        <v>615</v>
      </c>
      <c r="K1085" s="710">
        <f t="shared" si="149"/>
        <v>448.52</v>
      </c>
      <c r="AE1085" s="724">
        <f t="shared" si="148"/>
        <v>0</v>
      </c>
    </row>
    <row r="1086" spans="6:33" ht="24" customHeight="1">
      <c r="F1086" s="710">
        <v>3</v>
      </c>
      <c r="G1086" s="708" t="s">
        <v>877</v>
      </c>
      <c r="H1086" s="697" t="s">
        <v>1363</v>
      </c>
      <c r="I1086" s="710">
        <f>C279</f>
        <v>45.7</v>
      </c>
      <c r="J1086" s="697" t="s">
        <v>877</v>
      </c>
      <c r="K1086" s="710">
        <f t="shared" si="149"/>
        <v>137.1</v>
      </c>
      <c r="M1086" s="775">
        <v>2.2800000000000001E-2</v>
      </c>
      <c r="N1086" s="708" t="s">
        <v>878</v>
      </c>
      <c r="O1086" s="697" t="s">
        <v>309</v>
      </c>
      <c r="P1086" s="710">
        <f>I1050</f>
        <v>111600</v>
      </c>
      <c r="Q1086" s="697" t="s">
        <v>878</v>
      </c>
      <c r="R1086" s="710">
        <f>P1086*M1086</f>
        <v>2544.48</v>
      </c>
      <c r="AE1086" s="724">
        <f t="shared" si="148"/>
        <v>0</v>
      </c>
    </row>
    <row r="1087" spans="6:33" ht="24" customHeight="1">
      <c r="F1087" s="710">
        <v>2</v>
      </c>
      <c r="G1087" s="708" t="s">
        <v>877</v>
      </c>
      <c r="H1087" s="697" t="s">
        <v>2134</v>
      </c>
      <c r="I1087" s="710">
        <f>C282</f>
        <v>36.799999999999997</v>
      </c>
      <c r="J1087" s="697" t="s">
        <v>877</v>
      </c>
      <c r="K1087" s="710">
        <f t="shared" si="149"/>
        <v>73.599999999999994</v>
      </c>
      <c r="M1087" s="775">
        <v>4.2999999999999997E-2</v>
      </c>
      <c r="N1087" s="708" t="s">
        <v>878</v>
      </c>
      <c r="O1087" s="697" t="s">
        <v>310</v>
      </c>
      <c r="P1087" s="710">
        <f>I1051</f>
        <v>99400</v>
      </c>
      <c r="Q1087" s="697" t="s">
        <v>878</v>
      </c>
      <c r="R1087" s="710">
        <f t="shared" ref="R1087:R1097" si="150">P1087*M1087</f>
        <v>4274.2</v>
      </c>
      <c r="AE1087" s="724">
        <f t="shared" ref="AE1087:AE1153" si="151">AG1087</f>
        <v>0</v>
      </c>
    </row>
    <row r="1088" spans="6:33" ht="24" customHeight="1">
      <c r="F1088" s="710">
        <v>1</v>
      </c>
      <c r="G1088" s="708" t="s">
        <v>877</v>
      </c>
      <c r="H1088" s="697" t="s">
        <v>2135</v>
      </c>
      <c r="I1088" s="816">
        <f>I1073</f>
        <v>7.3</v>
      </c>
      <c r="J1088" s="697" t="s">
        <v>877</v>
      </c>
      <c r="K1088" s="710">
        <f t="shared" si="149"/>
        <v>7.3</v>
      </c>
      <c r="M1088" s="775">
        <v>4.0800000000000003E-2</v>
      </c>
      <c r="N1088" s="708" t="s">
        <v>878</v>
      </c>
      <c r="O1088" s="697" t="s">
        <v>311</v>
      </c>
      <c r="P1088" s="710">
        <f>I1014</f>
        <v>95000</v>
      </c>
      <c r="Q1088" s="697" t="s">
        <v>878</v>
      </c>
      <c r="R1088" s="710">
        <f t="shared" si="150"/>
        <v>3876</v>
      </c>
      <c r="AE1088" s="724">
        <f t="shared" si="151"/>
        <v>0</v>
      </c>
    </row>
    <row r="1089" spans="6:31" ht="24" customHeight="1">
      <c r="F1089" s="710">
        <v>1</v>
      </c>
      <c r="G1089" s="708" t="s">
        <v>877</v>
      </c>
      <c r="H1089" s="697" t="s">
        <v>2136</v>
      </c>
      <c r="I1089" s="710">
        <f>C289</f>
        <v>8.9</v>
      </c>
      <c r="J1089" s="697" t="s">
        <v>877</v>
      </c>
      <c r="K1089" s="710">
        <f t="shared" si="149"/>
        <v>8.9</v>
      </c>
      <c r="M1089" s="775"/>
      <c r="N1089" s="700"/>
      <c r="O1089" s="697" t="s">
        <v>956</v>
      </c>
      <c r="P1089" s="710"/>
      <c r="Q1089" s="702"/>
      <c r="R1089" s="710">
        <f t="shared" si="150"/>
        <v>0</v>
      </c>
      <c r="AE1089" s="724">
        <f t="shared" si="151"/>
        <v>0</v>
      </c>
    </row>
    <row r="1090" spans="6:31" ht="24" customHeight="1">
      <c r="F1090" s="710">
        <v>10</v>
      </c>
      <c r="H1090" s="697" t="s">
        <v>1159</v>
      </c>
      <c r="I1090" s="710">
        <f>I1075</f>
        <v>2.39</v>
      </c>
      <c r="J1090" s="697" t="s">
        <v>877</v>
      </c>
      <c r="K1090" s="710">
        <f t="shared" si="149"/>
        <v>23.9</v>
      </c>
      <c r="M1090" s="775">
        <v>3.4424999999999999</v>
      </c>
      <c r="N1090" s="708" t="s">
        <v>615</v>
      </c>
      <c r="O1090" s="697" t="s">
        <v>448</v>
      </c>
      <c r="P1090" s="710">
        <f>I1016</f>
        <v>1325</v>
      </c>
      <c r="Q1090" s="697" t="s">
        <v>615</v>
      </c>
      <c r="R1090" s="710">
        <f t="shared" si="150"/>
        <v>4561.3100000000004</v>
      </c>
      <c r="AE1090" s="724">
        <f t="shared" si="151"/>
        <v>0</v>
      </c>
    </row>
    <row r="1091" spans="6:31" ht="24" customHeight="1">
      <c r="K1091" s="705" t="s">
        <v>1609</v>
      </c>
      <c r="M1091" s="710">
        <v>2</v>
      </c>
      <c r="N1091" s="708" t="s">
        <v>778</v>
      </c>
      <c r="O1091" s="697" t="s">
        <v>1154</v>
      </c>
      <c r="P1091" s="710">
        <f t="shared" ref="P1091:P1096" si="152">I1017</f>
        <v>53.4</v>
      </c>
      <c r="Q1091" s="697" t="s">
        <v>877</v>
      </c>
      <c r="R1091" s="710">
        <f t="shared" si="150"/>
        <v>106.8</v>
      </c>
      <c r="AE1091" s="724">
        <f t="shared" si="151"/>
        <v>0</v>
      </c>
    </row>
    <row r="1092" spans="6:31" ht="24" customHeight="1">
      <c r="H1092" s="698" t="s">
        <v>898</v>
      </c>
      <c r="K1092" s="710">
        <f>SUM(K1079:K1090)</f>
        <v>1285.92</v>
      </c>
      <c r="M1092" s="710">
        <v>6</v>
      </c>
      <c r="N1092" s="708" t="s">
        <v>877</v>
      </c>
      <c r="O1092" s="697" t="s">
        <v>1486</v>
      </c>
      <c r="P1092" s="710">
        <f t="shared" si="152"/>
        <v>83</v>
      </c>
      <c r="Q1092" s="697" t="s">
        <v>877</v>
      </c>
      <c r="R1092" s="710">
        <f t="shared" si="150"/>
        <v>498</v>
      </c>
      <c r="AE1092" s="724">
        <f t="shared" si="151"/>
        <v>0</v>
      </c>
    </row>
    <row r="1093" spans="6:31" ht="24" customHeight="1">
      <c r="K1093" s="705" t="s">
        <v>1609</v>
      </c>
      <c r="M1093" s="710">
        <v>4</v>
      </c>
      <c r="N1093" s="708" t="s">
        <v>877</v>
      </c>
      <c r="O1093" s="697" t="s">
        <v>1487</v>
      </c>
      <c r="P1093" s="710">
        <f t="shared" si="152"/>
        <v>60</v>
      </c>
      <c r="Q1093" s="697" t="s">
        <v>877</v>
      </c>
      <c r="R1093" s="710">
        <f t="shared" si="150"/>
        <v>240</v>
      </c>
      <c r="AE1093" s="724">
        <f t="shared" si="151"/>
        <v>0</v>
      </c>
    </row>
    <row r="1094" spans="6:31" ht="24" customHeight="1">
      <c r="H1094" s="711" t="s">
        <v>556</v>
      </c>
      <c r="I1094" s="697" t="s">
        <v>987</v>
      </c>
      <c r="K1094" s="709">
        <f>K1092/F1085</f>
        <v>3552.27</v>
      </c>
      <c r="M1094" s="710">
        <v>1</v>
      </c>
      <c r="N1094" s="708" t="s">
        <v>877</v>
      </c>
      <c r="O1094" s="697" t="s">
        <v>1488</v>
      </c>
      <c r="P1094" s="710">
        <f t="shared" si="152"/>
        <v>167.6</v>
      </c>
      <c r="Q1094" s="697" t="s">
        <v>877</v>
      </c>
      <c r="R1094" s="710">
        <f t="shared" si="150"/>
        <v>167.6</v>
      </c>
      <c r="AE1094" s="724">
        <f t="shared" si="151"/>
        <v>0</v>
      </c>
    </row>
    <row r="1095" spans="6:31" ht="24" customHeight="1">
      <c r="K1095" s="705" t="s">
        <v>2080</v>
      </c>
      <c r="M1095" s="710">
        <v>2</v>
      </c>
      <c r="N1095" s="708" t="s">
        <v>877</v>
      </c>
      <c r="O1095" s="697" t="s">
        <v>1489</v>
      </c>
      <c r="P1095" s="710">
        <f t="shared" si="152"/>
        <v>7.3</v>
      </c>
      <c r="Q1095" s="697" t="s">
        <v>877</v>
      </c>
      <c r="R1095" s="710">
        <f t="shared" si="150"/>
        <v>14.6</v>
      </c>
      <c r="AE1095" s="724">
        <f t="shared" si="151"/>
        <v>0</v>
      </c>
    </row>
    <row r="1096" spans="6:31" ht="24" customHeight="1">
      <c r="F1096" s="698" t="s">
        <v>1640</v>
      </c>
      <c r="G1096" s="708" t="s">
        <v>2276</v>
      </c>
      <c r="H1096" s="697" t="s">
        <v>899</v>
      </c>
      <c r="M1096" s="710">
        <v>2</v>
      </c>
      <c r="N1096" s="708" t="s">
        <v>877</v>
      </c>
      <c r="O1096" s="697" t="s">
        <v>2007</v>
      </c>
      <c r="P1096" s="710">
        <f t="shared" si="152"/>
        <v>45.9</v>
      </c>
      <c r="Q1096" s="697" t="s">
        <v>877</v>
      </c>
      <c r="R1096" s="710">
        <f t="shared" si="150"/>
        <v>91.8</v>
      </c>
      <c r="AE1096" s="724">
        <f t="shared" si="151"/>
        <v>0</v>
      </c>
    </row>
    <row r="1097" spans="6:31" ht="24" customHeight="1">
      <c r="H1097" s="697" t="s">
        <v>2019</v>
      </c>
      <c r="M1097" s="710">
        <v>10</v>
      </c>
      <c r="N1097" s="700"/>
      <c r="O1097" s="697" t="s">
        <v>1767</v>
      </c>
      <c r="P1097" s="710">
        <f>P1071</f>
        <v>2.39</v>
      </c>
      <c r="Q1097" s="702"/>
      <c r="R1097" s="710">
        <f t="shared" si="150"/>
        <v>23.9</v>
      </c>
      <c r="AE1097" s="724">
        <f t="shared" si="151"/>
        <v>0</v>
      </c>
    </row>
    <row r="1098" spans="6:31" ht="24" customHeight="1">
      <c r="H1098" s="705" t="s">
        <v>1609</v>
      </c>
      <c r="N1098" s="700"/>
      <c r="O1098" s="697" t="s">
        <v>2178</v>
      </c>
      <c r="Q1098" s="702"/>
      <c r="R1098" s="710">
        <f>SUM(R1086:R1097)+0.31</f>
        <v>16399</v>
      </c>
      <c r="AE1098" s="724">
        <f t="shared" si="151"/>
        <v>0</v>
      </c>
    </row>
    <row r="1099" spans="6:31" ht="24" customHeight="1">
      <c r="F1099" s="830">
        <v>5.3E-3</v>
      </c>
      <c r="G1099" s="708" t="s">
        <v>1361</v>
      </c>
      <c r="H1099" s="697" t="s">
        <v>1362</v>
      </c>
      <c r="I1099" s="710">
        <f>C86</f>
        <v>99400</v>
      </c>
      <c r="J1099" s="697" t="s">
        <v>878</v>
      </c>
      <c r="K1099" s="710">
        <f t="shared" ref="K1099:K1105" si="153">(F1099*I1099)</f>
        <v>526.82000000000005</v>
      </c>
      <c r="N1099" s="700"/>
      <c r="Q1099" s="702"/>
      <c r="R1099" s="705" t="s">
        <v>1609</v>
      </c>
      <c r="AE1099" s="724"/>
    </row>
    <row r="1100" spans="6:31" ht="24" customHeight="1">
      <c r="F1100" s="830">
        <v>0.27450000000000002</v>
      </c>
      <c r="G1100" s="708" t="s">
        <v>615</v>
      </c>
      <c r="H1100" s="697" t="str">
        <f>H1084</f>
        <v>frosted glass 4mmthick</v>
      </c>
      <c r="I1100" s="737">
        <f>I1069</f>
        <v>208.8</v>
      </c>
      <c r="J1100" s="697" t="s">
        <v>878</v>
      </c>
      <c r="K1100" s="710">
        <f t="shared" si="153"/>
        <v>57.32</v>
      </c>
      <c r="N1100" s="700"/>
      <c r="O1100" s="711" t="s">
        <v>556</v>
      </c>
      <c r="Q1100" s="702"/>
      <c r="R1100" s="709">
        <f>R1098/M1090</f>
        <v>4763.6899999999996</v>
      </c>
      <c r="AE1100" s="724">
        <f t="shared" si="151"/>
        <v>0</v>
      </c>
    </row>
    <row r="1101" spans="6:31" ht="24" customHeight="1">
      <c r="F1101" s="830">
        <v>0.4</v>
      </c>
      <c r="G1101" s="708" t="s">
        <v>615</v>
      </c>
      <c r="H1101" s="697" t="s">
        <v>2118</v>
      </c>
      <c r="I1101" s="710">
        <f>D30</f>
        <v>1035</v>
      </c>
      <c r="J1101" s="697" t="s">
        <v>615</v>
      </c>
      <c r="K1101" s="710">
        <f t="shared" si="153"/>
        <v>414</v>
      </c>
      <c r="N1101" s="700"/>
      <c r="Q1101" s="702"/>
      <c r="R1101" s="705" t="s">
        <v>2080</v>
      </c>
      <c r="AE1101" s="724">
        <f t="shared" si="151"/>
        <v>0</v>
      </c>
    </row>
    <row r="1102" spans="6:31" ht="24" customHeight="1">
      <c r="F1102" s="710">
        <v>2</v>
      </c>
      <c r="G1102" s="708" t="s">
        <v>2020</v>
      </c>
      <c r="H1102" s="697" t="s">
        <v>2021</v>
      </c>
      <c r="I1102" s="710">
        <f>C302</f>
        <v>8.5</v>
      </c>
      <c r="J1102" s="697" t="s">
        <v>2020</v>
      </c>
      <c r="K1102" s="710">
        <f t="shared" si="153"/>
        <v>17</v>
      </c>
      <c r="AE1102" s="724">
        <f t="shared" si="151"/>
        <v>0</v>
      </c>
    </row>
    <row r="1103" spans="6:31" ht="24" customHeight="1">
      <c r="F1103" s="710">
        <v>1</v>
      </c>
      <c r="G1103" s="708" t="s">
        <v>877</v>
      </c>
      <c r="H1103" s="697" t="s">
        <v>2022</v>
      </c>
      <c r="I1103" s="710">
        <f>C290</f>
        <v>6.1</v>
      </c>
      <c r="J1103" s="697" t="s">
        <v>877</v>
      </c>
      <c r="K1103" s="710">
        <f t="shared" si="153"/>
        <v>6.1</v>
      </c>
      <c r="AE1103" s="724">
        <f t="shared" si="151"/>
        <v>0</v>
      </c>
    </row>
    <row r="1104" spans="6:31" ht="24" customHeight="1">
      <c r="F1104" s="710">
        <v>1</v>
      </c>
      <c r="G1104" s="708" t="s">
        <v>877</v>
      </c>
      <c r="H1104" s="697" t="s">
        <v>2023</v>
      </c>
      <c r="I1104" s="737">
        <f>C288</f>
        <v>11.8</v>
      </c>
      <c r="J1104" s="697" t="s">
        <v>877</v>
      </c>
      <c r="K1104" s="710">
        <f t="shared" si="153"/>
        <v>11.8</v>
      </c>
      <c r="O1104" s="697" t="s">
        <v>1766</v>
      </c>
      <c r="AE1104" s="724">
        <f t="shared" si="151"/>
        <v>0</v>
      </c>
    </row>
    <row r="1105" spans="6:62" ht="24" customHeight="1">
      <c r="F1105" s="710">
        <v>10</v>
      </c>
      <c r="H1105" s="697" t="s">
        <v>1159</v>
      </c>
      <c r="I1105" s="710">
        <f>I1090</f>
        <v>2.39</v>
      </c>
      <c r="J1105" s="697" t="s">
        <v>877</v>
      </c>
      <c r="K1105" s="710">
        <f t="shared" si="153"/>
        <v>23.9</v>
      </c>
      <c r="AE1105" s="724">
        <f t="shared" si="151"/>
        <v>0</v>
      </c>
    </row>
    <row r="1106" spans="6:62" ht="24" customHeight="1">
      <c r="K1106" s="705" t="s">
        <v>1609</v>
      </c>
      <c r="AE1106" s="724">
        <f t="shared" si="151"/>
        <v>0</v>
      </c>
    </row>
    <row r="1107" spans="6:62" ht="24" customHeight="1">
      <c r="H1107" s="698" t="s">
        <v>36</v>
      </c>
      <c r="K1107" s="710">
        <f>SUM(K1095:K1105)</f>
        <v>1056.94</v>
      </c>
      <c r="AE1107" s="724">
        <f t="shared" si="151"/>
        <v>0</v>
      </c>
    </row>
    <row r="1108" spans="6:62" ht="24" customHeight="1">
      <c r="K1108" s="705" t="s">
        <v>1609</v>
      </c>
      <c r="M1108" s="796">
        <v>2.2800000000000001E-2</v>
      </c>
      <c r="N1108" s="700" t="s">
        <v>878</v>
      </c>
      <c r="O1108" s="699" t="s">
        <v>3181</v>
      </c>
      <c r="P1108" s="699">
        <f>P1086</f>
        <v>111600</v>
      </c>
      <c r="Q1108" s="702" t="s">
        <v>878</v>
      </c>
      <c r="R1108" s="699">
        <f>P1108*M1108</f>
        <v>2544.48</v>
      </c>
      <c r="AE1108" s="724">
        <f t="shared" si="151"/>
        <v>0</v>
      </c>
    </row>
    <row r="1109" spans="6:62" ht="24" customHeight="1">
      <c r="H1109" s="711" t="s">
        <v>556</v>
      </c>
      <c r="I1109" s="697" t="s">
        <v>987</v>
      </c>
      <c r="K1109" s="709">
        <f>K1107/F1101</f>
        <v>2642.35</v>
      </c>
      <c r="M1109" s="796">
        <v>3.5400000000000001E-2</v>
      </c>
      <c r="N1109" s="700" t="s">
        <v>878</v>
      </c>
      <c r="O1109" s="699" t="s">
        <v>2522</v>
      </c>
      <c r="P1109" s="699">
        <f>P1087</f>
        <v>99400</v>
      </c>
      <c r="Q1109" s="702" t="s">
        <v>878</v>
      </c>
      <c r="R1109" s="699">
        <f t="shared" ref="R1109:R1118" si="154">P1109*M1109</f>
        <v>3518.76</v>
      </c>
      <c r="AE1109" s="724">
        <f t="shared" si="151"/>
        <v>0</v>
      </c>
    </row>
    <row r="1110" spans="6:62" ht="24" customHeight="1">
      <c r="F1110" s="697" t="s">
        <v>987</v>
      </c>
      <c r="M1110" s="838">
        <v>3.2300000000000002E-2</v>
      </c>
      <c r="N1110" s="700" t="s">
        <v>878</v>
      </c>
      <c r="O1110" s="699" t="s">
        <v>947</v>
      </c>
      <c r="P1110" s="699">
        <f>P1088</f>
        <v>95000</v>
      </c>
      <c r="Q1110" s="702" t="s">
        <v>878</v>
      </c>
      <c r="R1110" s="699">
        <f t="shared" si="154"/>
        <v>3068.5</v>
      </c>
      <c r="AE1110" s="724">
        <f t="shared" si="151"/>
        <v>0</v>
      </c>
    </row>
    <row r="1111" spans="6:62" ht="24" customHeight="1">
      <c r="K1111" s="705" t="s">
        <v>2080</v>
      </c>
      <c r="M1111" s="703">
        <v>2.835</v>
      </c>
      <c r="N1111" s="700" t="s">
        <v>615</v>
      </c>
      <c r="O1111" s="699" t="s">
        <v>892</v>
      </c>
      <c r="P1111" s="699">
        <f t="shared" ref="P1111:P1117" si="155">P1090</f>
        <v>1325</v>
      </c>
      <c r="Q1111" s="702" t="s">
        <v>615</v>
      </c>
      <c r="R1111" s="699">
        <f t="shared" si="154"/>
        <v>3756.38</v>
      </c>
      <c r="AE1111" s="724">
        <f t="shared" si="151"/>
        <v>0</v>
      </c>
    </row>
    <row r="1112" spans="6:62" ht="24" customHeight="1">
      <c r="F1112" s="753">
        <v>22.3</v>
      </c>
      <c r="H1112" s="697" t="s">
        <v>2024</v>
      </c>
      <c r="L1112" s="697" t="s">
        <v>987</v>
      </c>
      <c r="M1112" s="699">
        <v>2</v>
      </c>
      <c r="N1112" s="700" t="s">
        <v>1898</v>
      </c>
      <c r="O1112" s="699" t="s">
        <v>2150</v>
      </c>
      <c r="P1112" s="699">
        <f t="shared" si="155"/>
        <v>53.4</v>
      </c>
      <c r="Q1112" s="702" t="s">
        <v>1418</v>
      </c>
      <c r="R1112" s="699">
        <f t="shared" si="154"/>
        <v>106.8</v>
      </c>
      <c r="AE1112" s="724">
        <f t="shared" si="151"/>
        <v>0</v>
      </c>
    </row>
    <row r="1113" spans="6:62" ht="24" customHeight="1">
      <c r="H1113" s="705" t="s">
        <v>1609</v>
      </c>
      <c r="I1113" s="705" t="s">
        <v>1609</v>
      </c>
      <c r="J1113" s="697" t="s">
        <v>1609</v>
      </c>
      <c r="M1113" s="699">
        <v>6</v>
      </c>
      <c r="N1113" s="700" t="s">
        <v>1898</v>
      </c>
      <c r="O1113" s="699" t="s">
        <v>1116</v>
      </c>
      <c r="P1113" s="699">
        <f t="shared" si="155"/>
        <v>83</v>
      </c>
      <c r="Q1113" s="702" t="s">
        <v>1418</v>
      </c>
      <c r="R1113" s="699">
        <f t="shared" si="154"/>
        <v>498</v>
      </c>
      <c r="AE1113" s="724">
        <f t="shared" si="151"/>
        <v>0</v>
      </c>
    </row>
    <row r="1114" spans="6:62" ht="24" customHeight="1">
      <c r="M1114" s="699">
        <v>4</v>
      </c>
      <c r="N1114" s="700" t="s">
        <v>1898</v>
      </c>
      <c r="O1114" s="699" t="s">
        <v>1368</v>
      </c>
      <c r="P1114" s="699">
        <f t="shared" si="155"/>
        <v>60</v>
      </c>
      <c r="Q1114" s="702" t="s">
        <v>1418</v>
      </c>
      <c r="R1114" s="699">
        <f t="shared" si="154"/>
        <v>240</v>
      </c>
      <c r="AE1114" s="724"/>
    </row>
    <row r="1115" spans="6:62" ht="24" customHeight="1">
      <c r="H1115" s="697" t="s">
        <v>2025</v>
      </c>
      <c r="M1115" s="699">
        <v>1</v>
      </c>
      <c r="N1115" s="700" t="s">
        <v>1898</v>
      </c>
      <c r="O1115" s="699" t="s">
        <v>1369</v>
      </c>
      <c r="P1115" s="699">
        <f t="shared" si="155"/>
        <v>167.6</v>
      </c>
      <c r="Q1115" s="702" t="s">
        <v>1418</v>
      </c>
      <c r="R1115" s="699">
        <f t="shared" si="154"/>
        <v>167.6</v>
      </c>
      <c r="AE1115" s="724">
        <f t="shared" si="151"/>
        <v>0</v>
      </c>
    </row>
    <row r="1116" spans="6:62" ht="24" customHeight="1">
      <c r="H1116" s="697" t="s">
        <v>2026</v>
      </c>
      <c r="M1116" s="699">
        <v>2</v>
      </c>
      <c r="N1116" s="700" t="s">
        <v>1898</v>
      </c>
      <c r="O1116" s="699" t="s">
        <v>2005</v>
      </c>
      <c r="P1116" s="699">
        <f t="shared" si="155"/>
        <v>7.3</v>
      </c>
      <c r="Q1116" s="702" t="s">
        <v>1418</v>
      </c>
      <c r="R1116" s="699">
        <f t="shared" si="154"/>
        <v>14.6</v>
      </c>
      <c r="AE1116" s="724">
        <f t="shared" si="151"/>
        <v>0</v>
      </c>
    </row>
    <row r="1117" spans="6:62" ht="24" customHeight="1">
      <c r="H1117" s="697" t="s">
        <v>455</v>
      </c>
      <c r="M1117" s="699">
        <v>2</v>
      </c>
      <c r="N1117" s="700" t="s">
        <v>1898</v>
      </c>
      <c r="O1117" s="699" t="s">
        <v>2007</v>
      </c>
      <c r="P1117" s="699">
        <f t="shared" si="155"/>
        <v>45.9</v>
      </c>
      <c r="Q1117" s="702" t="s">
        <v>1418</v>
      </c>
      <c r="R1117" s="699">
        <f t="shared" si="154"/>
        <v>91.8</v>
      </c>
      <c r="AE1117" s="724">
        <f t="shared" si="151"/>
        <v>0</v>
      </c>
    </row>
    <row r="1118" spans="6:62" ht="24" customHeight="1">
      <c r="H1118" s="697" t="s">
        <v>456</v>
      </c>
      <c r="M1118" s="710">
        <v>118</v>
      </c>
      <c r="N1118" s="700"/>
      <c r="O1118" s="697" t="s">
        <v>1767</v>
      </c>
      <c r="P1118" s="710">
        <f>P1097</f>
        <v>2.39</v>
      </c>
      <c r="Q1118" s="702"/>
      <c r="R1118" s="710">
        <f t="shared" si="154"/>
        <v>282.02</v>
      </c>
      <c r="AE1118" s="724">
        <f t="shared" si="151"/>
        <v>0</v>
      </c>
    </row>
    <row r="1119" spans="6:62" ht="24" customHeight="1">
      <c r="H1119" s="697" t="s">
        <v>457</v>
      </c>
      <c r="N1119" s="839"/>
      <c r="O1119" s="758" t="s">
        <v>556</v>
      </c>
      <c r="Q1119" s="702"/>
      <c r="R1119" s="758">
        <f>SUM(R1108:R1118)</f>
        <v>14288.94</v>
      </c>
      <c r="AE1119" s="724">
        <f t="shared" si="151"/>
        <v>0</v>
      </c>
    </row>
    <row r="1120" spans="6:62" ht="24" customHeight="1">
      <c r="J1120" s="697" t="s">
        <v>987</v>
      </c>
      <c r="K1120" s="775">
        <v>3.32E-2</v>
      </c>
      <c r="N1120" s="839"/>
      <c r="O1120" s="758"/>
      <c r="Q1120" s="702"/>
      <c r="R1120" s="747" t="s">
        <v>148</v>
      </c>
      <c r="AE1120" s="724">
        <f t="shared" si="151"/>
        <v>0</v>
      </c>
      <c r="BJ1120" t="s">
        <v>2055</v>
      </c>
    </row>
    <row r="1121" spans="6:31" ht="24" customHeight="1">
      <c r="H1121" s="697" t="s">
        <v>2181</v>
      </c>
      <c r="J1121" s="825" t="s">
        <v>987</v>
      </c>
      <c r="K1121" s="825" t="s">
        <v>987</v>
      </c>
      <c r="N1121" s="839"/>
      <c r="O1121" s="758" t="s">
        <v>2108</v>
      </c>
      <c r="Q1121" s="702"/>
      <c r="R1121" s="758">
        <f>R1119/2.835</f>
        <v>5040.1899999999996</v>
      </c>
      <c r="AE1121" s="724">
        <f t="shared" si="151"/>
        <v>0</v>
      </c>
    </row>
    <row r="1122" spans="6:31" ht="24" customHeight="1">
      <c r="H1122" s="697" t="s">
        <v>1855</v>
      </c>
      <c r="K1122" s="825" t="s">
        <v>987</v>
      </c>
      <c r="N1122" s="839"/>
      <c r="Q1122" s="702"/>
      <c r="R1122" s="747" t="s">
        <v>148</v>
      </c>
      <c r="AE1122" s="724">
        <f t="shared" si="151"/>
        <v>0</v>
      </c>
    </row>
    <row r="1123" spans="6:31" ht="24" customHeight="1">
      <c r="AE1123" s="724">
        <f t="shared" si="151"/>
        <v>0</v>
      </c>
    </row>
    <row r="1124" spans="6:31" ht="24" customHeight="1">
      <c r="F1124" s="830">
        <v>1.18E-2</v>
      </c>
      <c r="G1124" s="708" t="s">
        <v>878</v>
      </c>
      <c r="H1124" s="697" t="s">
        <v>698</v>
      </c>
      <c r="I1124" s="710">
        <f>C85</f>
        <v>111600</v>
      </c>
      <c r="J1124" s="697" t="s">
        <v>878</v>
      </c>
      <c r="K1124" s="710">
        <f t="shared" ref="K1124:K1133" si="156">(F1124*I1124)</f>
        <v>1316.88</v>
      </c>
      <c r="AE1124" s="724">
        <f t="shared" si="151"/>
        <v>0</v>
      </c>
    </row>
    <row r="1125" spans="6:31" ht="24" customHeight="1">
      <c r="F1125" s="830">
        <v>3.32E-2</v>
      </c>
      <c r="G1125" s="708" t="s">
        <v>878</v>
      </c>
      <c r="H1125" s="697" t="s">
        <v>699</v>
      </c>
      <c r="I1125" s="710">
        <f>C86</f>
        <v>99400</v>
      </c>
      <c r="J1125" s="697" t="s">
        <v>878</v>
      </c>
      <c r="K1125" s="710">
        <f t="shared" si="156"/>
        <v>3300.08</v>
      </c>
      <c r="AE1125" s="724">
        <f t="shared" si="151"/>
        <v>0</v>
      </c>
    </row>
    <row r="1126" spans="6:31" ht="24" customHeight="1">
      <c r="F1126" s="830">
        <v>1.8550000000000001E-2</v>
      </c>
      <c r="G1126" s="708" t="s">
        <v>878</v>
      </c>
      <c r="H1126" s="697" t="s">
        <v>895</v>
      </c>
      <c r="I1126" s="710">
        <f>C28</f>
        <v>11800</v>
      </c>
      <c r="J1126" s="697" t="s">
        <v>878</v>
      </c>
      <c r="K1126" s="710">
        <f t="shared" si="156"/>
        <v>218.89</v>
      </c>
      <c r="AE1126" s="724">
        <f t="shared" si="151"/>
        <v>0</v>
      </c>
    </row>
    <row r="1127" spans="6:31" ht="24" customHeight="1">
      <c r="F1127" s="830">
        <v>1.46</v>
      </c>
      <c r="G1127" s="708" t="s">
        <v>615</v>
      </c>
      <c r="H1127" s="697" t="s">
        <v>896</v>
      </c>
      <c r="I1127" s="840">
        <v>269.10000000000002</v>
      </c>
      <c r="J1127" s="697" t="s">
        <v>615</v>
      </c>
      <c r="K1127" s="710">
        <f t="shared" si="156"/>
        <v>392.89</v>
      </c>
      <c r="AE1127" s="724">
        <f t="shared" si="151"/>
        <v>0</v>
      </c>
    </row>
    <row r="1128" spans="6:31" ht="24" customHeight="1">
      <c r="F1128" s="830">
        <v>2.0499999999999998</v>
      </c>
      <c r="G1128" s="708" t="s">
        <v>615</v>
      </c>
      <c r="H1128" s="697" t="s">
        <v>1528</v>
      </c>
      <c r="I1128" s="710">
        <f>D28</f>
        <v>1105</v>
      </c>
      <c r="J1128" s="697" t="s">
        <v>615</v>
      </c>
      <c r="K1128" s="710">
        <f t="shared" si="156"/>
        <v>2265.25</v>
      </c>
      <c r="AE1128" s="724">
        <f t="shared" si="151"/>
        <v>0</v>
      </c>
    </row>
    <row r="1129" spans="6:31" ht="24" customHeight="1">
      <c r="F1129" s="710">
        <v>2</v>
      </c>
      <c r="G1129" s="708" t="s">
        <v>877</v>
      </c>
      <c r="H1129" s="697" t="s">
        <v>1529</v>
      </c>
      <c r="I1129" s="710">
        <f>C282</f>
        <v>36.799999999999997</v>
      </c>
      <c r="J1129" s="697" t="s">
        <v>877</v>
      </c>
      <c r="K1129" s="710">
        <f t="shared" si="156"/>
        <v>73.599999999999994</v>
      </c>
      <c r="AE1129" s="724">
        <f t="shared" si="151"/>
        <v>0</v>
      </c>
    </row>
    <row r="1130" spans="6:31" ht="24" customHeight="1">
      <c r="F1130" s="710">
        <v>6</v>
      </c>
      <c r="G1130" s="708" t="s">
        <v>877</v>
      </c>
      <c r="H1130" s="697" t="s">
        <v>1363</v>
      </c>
      <c r="I1130" s="710">
        <f>C279</f>
        <v>45.7</v>
      </c>
      <c r="J1130" s="697" t="s">
        <v>877</v>
      </c>
      <c r="K1130" s="710">
        <f t="shared" si="156"/>
        <v>274.2</v>
      </c>
      <c r="AE1130" s="724">
        <f t="shared" si="151"/>
        <v>0</v>
      </c>
    </row>
    <row r="1131" spans="6:31" ht="24" customHeight="1">
      <c r="F1131" s="710">
        <v>2</v>
      </c>
      <c r="G1131" s="708" t="s">
        <v>877</v>
      </c>
      <c r="H1131" s="697" t="s">
        <v>4993</v>
      </c>
      <c r="I1131" s="718">
        <v>56.4</v>
      </c>
      <c r="J1131" s="697" t="s">
        <v>877</v>
      </c>
      <c r="K1131" s="710">
        <f t="shared" si="156"/>
        <v>112.8</v>
      </c>
      <c r="AE1131" s="724">
        <f t="shared" si="151"/>
        <v>0</v>
      </c>
    </row>
    <row r="1132" spans="6:31" ht="24" customHeight="1">
      <c r="F1132" s="710">
        <v>1</v>
      </c>
      <c r="G1132" s="708" t="s">
        <v>877</v>
      </c>
      <c r="H1132" s="800" t="s">
        <v>4333</v>
      </c>
      <c r="I1132" s="800">
        <v>63.2</v>
      </c>
      <c r="J1132" s="697" t="s">
        <v>877</v>
      </c>
      <c r="K1132" s="710">
        <f t="shared" si="156"/>
        <v>63.2</v>
      </c>
      <c r="AE1132" s="724">
        <f t="shared" si="151"/>
        <v>0</v>
      </c>
    </row>
    <row r="1133" spans="6:31" ht="24" customHeight="1">
      <c r="F1133" s="710">
        <v>2.52</v>
      </c>
      <c r="G1133" s="708" t="s">
        <v>615</v>
      </c>
      <c r="H1133" s="697" t="s">
        <v>1738</v>
      </c>
      <c r="I1133" s="710">
        <f>K1164</f>
        <v>172.13</v>
      </c>
      <c r="J1133" s="697" t="s">
        <v>615</v>
      </c>
      <c r="K1133" s="710">
        <f t="shared" si="156"/>
        <v>433.77</v>
      </c>
      <c r="AE1133" s="724">
        <f t="shared" si="151"/>
        <v>0</v>
      </c>
    </row>
    <row r="1134" spans="6:31" ht="24" customHeight="1">
      <c r="H1134" s="697" t="s">
        <v>1434</v>
      </c>
      <c r="I1134" s="698" t="s">
        <v>450</v>
      </c>
      <c r="K1134" s="710">
        <v>0.21</v>
      </c>
      <c r="AE1134" s="724">
        <f t="shared" si="151"/>
        <v>0</v>
      </c>
    </row>
    <row r="1135" spans="6:31" ht="24" customHeight="1">
      <c r="K1135" s="705" t="s">
        <v>1609</v>
      </c>
      <c r="AE1135" s="724">
        <f t="shared" si="151"/>
        <v>0</v>
      </c>
    </row>
    <row r="1136" spans="6:31" ht="24" customHeight="1">
      <c r="H1136" s="698" t="s">
        <v>1435</v>
      </c>
      <c r="K1136" s="710">
        <f>SUM(K1124:K1134)</f>
        <v>8451.77</v>
      </c>
      <c r="M1136" s="821" t="s">
        <v>3630</v>
      </c>
      <c r="N1136" s="821"/>
      <c r="O1136" s="821"/>
      <c r="P1136" s="821"/>
      <c r="Q1136" s="821"/>
      <c r="R1136" s="821"/>
      <c r="S1136" s="821"/>
      <c r="AE1136" s="724">
        <f t="shared" si="151"/>
        <v>0</v>
      </c>
    </row>
    <row r="1137" spans="6:31" ht="24" customHeight="1">
      <c r="G1137" s="708" t="s">
        <v>987</v>
      </c>
      <c r="K1137" s="705" t="s">
        <v>1609</v>
      </c>
      <c r="O1137" s="705" t="s">
        <v>1609</v>
      </c>
      <c r="Q1137" s="702"/>
      <c r="AE1137" s="724">
        <f t="shared" si="151"/>
        <v>0</v>
      </c>
    </row>
    <row r="1138" spans="6:31" ht="24" customHeight="1">
      <c r="H1138" s="711" t="s">
        <v>556</v>
      </c>
      <c r="K1138" s="709">
        <f>K1136/2.52</f>
        <v>3353.88</v>
      </c>
      <c r="N1138" s="703">
        <v>0.45300000000000001</v>
      </c>
      <c r="O1138" s="697" t="s">
        <v>1431</v>
      </c>
      <c r="P1138" s="710">
        <f>C70</f>
        <v>1679.5</v>
      </c>
      <c r="Q1138" s="697" t="s">
        <v>878</v>
      </c>
      <c r="R1138" s="710">
        <f>P1138*N1138</f>
        <v>760.81</v>
      </c>
      <c r="AE1138" s="724">
        <f t="shared" si="151"/>
        <v>0</v>
      </c>
    </row>
    <row r="1139" spans="6:31" ht="24" customHeight="1">
      <c r="K1139" s="705" t="s">
        <v>2080</v>
      </c>
      <c r="N1139" s="703">
        <v>0.30199999999999999</v>
      </c>
      <c r="O1139" s="697" t="s">
        <v>3631</v>
      </c>
      <c r="P1139" s="710">
        <f>C68</f>
        <v>1224.5</v>
      </c>
      <c r="Q1139" s="697" t="str">
        <f>Q1138</f>
        <v>CUM</v>
      </c>
      <c r="R1139" s="710">
        <f t="shared" ref="R1139:R1144" si="157">P1139*N1139</f>
        <v>369.8</v>
      </c>
      <c r="AE1139" s="724">
        <f t="shared" si="151"/>
        <v>0</v>
      </c>
    </row>
    <row r="1140" spans="6:31" ht="24" customHeight="1">
      <c r="G1140" s="708" t="s">
        <v>2276</v>
      </c>
      <c r="H1140" s="697" t="s">
        <v>184</v>
      </c>
      <c r="N1140" s="699">
        <v>0.44</v>
      </c>
      <c r="O1140" s="1165" t="s">
        <v>5354</v>
      </c>
      <c r="P1140" s="710">
        <f>C75</f>
        <v>1511.1</v>
      </c>
      <c r="Q1140" s="697" t="s">
        <v>878</v>
      </c>
      <c r="R1140" s="710">
        <f t="shared" si="157"/>
        <v>664.88</v>
      </c>
      <c r="AE1140" s="724">
        <f t="shared" si="151"/>
        <v>0</v>
      </c>
    </row>
    <row r="1141" spans="6:31" ht="24" customHeight="1">
      <c r="H1141" s="705" t="s">
        <v>1609</v>
      </c>
      <c r="I1141" s="705" t="s">
        <v>1609</v>
      </c>
      <c r="N1141" s="699">
        <v>0.37</v>
      </c>
      <c r="O1141" s="697" t="s">
        <v>390</v>
      </c>
      <c r="P1141" s="710">
        <f>I805</f>
        <v>5960</v>
      </c>
      <c r="Q1141" s="697" t="s">
        <v>530</v>
      </c>
      <c r="R1141" s="710">
        <f t="shared" si="157"/>
        <v>2205.1999999999998</v>
      </c>
      <c r="AE1141" s="724">
        <f t="shared" si="151"/>
        <v>0</v>
      </c>
    </row>
    <row r="1142" spans="6:31" ht="24" customHeight="1">
      <c r="F1142" s="710">
        <v>0.77</v>
      </c>
      <c r="G1142" s="708" t="s">
        <v>185</v>
      </c>
      <c r="H1142" s="697" t="s">
        <v>186</v>
      </c>
      <c r="I1142" s="710">
        <f>C191</f>
        <v>268.60000000000002</v>
      </c>
      <c r="J1142" s="697" t="s">
        <v>185</v>
      </c>
      <c r="K1142" s="710">
        <f>(F1142*I1142)</f>
        <v>206.82</v>
      </c>
      <c r="N1142" s="699">
        <v>0.35</v>
      </c>
      <c r="O1142" s="697" t="s">
        <v>466</v>
      </c>
      <c r="P1142" s="710">
        <f>C9</f>
        <v>804</v>
      </c>
      <c r="Q1142" s="697" t="s">
        <v>877</v>
      </c>
      <c r="R1142" s="710">
        <f t="shared" si="157"/>
        <v>281.39999999999998</v>
      </c>
      <c r="AE1142" s="724">
        <f t="shared" si="151"/>
        <v>0</v>
      </c>
    </row>
    <row r="1143" spans="6:31" ht="24" customHeight="1">
      <c r="F1143" s="710">
        <v>0.61</v>
      </c>
      <c r="G1143" s="708" t="s">
        <v>185</v>
      </c>
      <c r="H1143" s="697" t="s">
        <v>187</v>
      </c>
      <c r="I1143" s="710">
        <f>C190</f>
        <v>25</v>
      </c>
      <c r="J1143" s="697" t="s">
        <v>185</v>
      </c>
      <c r="K1143" s="710">
        <f>(F1143*I1143)</f>
        <v>15.25</v>
      </c>
      <c r="N1143" s="699">
        <v>2.12</v>
      </c>
      <c r="O1143" s="697" t="s">
        <v>348</v>
      </c>
      <c r="P1143" s="710">
        <f>C10</f>
        <v>562</v>
      </c>
      <c r="Q1143" s="697" t="s">
        <v>877</v>
      </c>
      <c r="R1143" s="710">
        <f t="shared" si="157"/>
        <v>1191.44</v>
      </c>
      <c r="AE1143" s="724">
        <f t="shared" si="151"/>
        <v>0</v>
      </c>
    </row>
    <row r="1144" spans="6:31" ht="24" customHeight="1">
      <c r="F1144" s="710">
        <v>0.7</v>
      </c>
      <c r="G1144" s="708" t="s">
        <v>564</v>
      </c>
      <c r="H1144" s="697" t="s">
        <v>1536</v>
      </c>
      <c r="I1144" s="710">
        <f>C12</f>
        <v>688</v>
      </c>
      <c r="J1144" s="697" t="s">
        <v>1741</v>
      </c>
      <c r="K1144" s="710">
        <f>(F1144*I1144)</f>
        <v>481.6</v>
      </c>
      <c r="N1144" s="699">
        <v>3.53</v>
      </c>
      <c r="O1144" s="697" t="s">
        <v>1241</v>
      </c>
      <c r="P1144" s="710">
        <f>C11</f>
        <v>461</v>
      </c>
      <c r="Q1144" s="697" t="s">
        <v>877</v>
      </c>
      <c r="R1144" s="710">
        <f t="shared" si="157"/>
        <v>1627.33</v>
      </c>
      <c r="AE1144" s="724">
        <f t="shared" si="151"/>
        <v>0</v>
      </c>
    </row>
    <row r="1145" spans="6:31" ht="24" customHeight="1">
      <c r="F1145" s="710"/>
      <c r="G1145" s="708"/>
      <c r="H1145" s="697"/>
      <c r="I1145" s="710"/>
      <c r="J1145" s="697"/>
      <c r="K1145" s="710"/>
      <c r="O1145" s="697" t="s">
        <v>46</v>
      </c>
      <c r="P1145" s="710"/>
      <c r="Q1145" s="702"/>
      <c r="R1145" s="805">
        <f>K816</f>
        <v>81.3</v>
      </c>
      <c r="AE1145" s="724"/>
    </row>
    <row r="1146" spans="6:31" ht="24" customHeight="1">
      <c r="F1146" s="710">
        <v>0.7</v>
      </c>
      <c r="G1146" s="708" t="s">
        <v>564</v>
      </c>
      <c r="H1146" s="697" t="s">
        <v>887</v>
      </c>
      <c r="I1146" s="710">
        <f>C10</f>
        <v>562</v>
      </c>
      <c r="J1146" s="697" t="s">
        <v>1741</v>
      </c>
      <c r="K1146" s="710">
        <f>(F1146*I1146)</f>
        <v>393.4</v>
      </c>
      <c r="M1146" s="810" t="s">
        <v>663</v>
      </c>
      <c r="O1146" s="699" t="s">
        <v>3526</v>
      </c>
      <c r="P1146" s="785">
        <f>V1131</f>
        <v>0</v>
      </c>
      <c r="R1146" s="699">
        <v>270</v>
      </c>
      <c r="AE1146" s="724">
        <f t="shared" si="151"/>
        <v>0</v>
      </c>
    </row>
    <row r="1147" spans="6:31" ht="43.5" customHeight="1">
      <c r="G1147" s="708" t="s">
        <v>450</v>
      </c>
      <c r="H1147" s="697" t="s">
        <v>1199</v>
      </c>
      <c r="J1147" s="697" t="s">
        <v>450</v>
      </c>
      <c r="K1147" s="710">
        <v>1.5</v>
      </c>
      <c r="M1147" s="810" t="s">
        <v>663</v>
      </c>
      <c r="O1147" s="699" t="s">
        <v>3527</v>
      </c>
      <c r="P1147" s="785">
        <f>V1132</f>
        <v>0</v>
      </c>
      <c r="R1147" s="699">
        <v>150</v>
      </c>
      <c r="AE1147" s="724">
        <f t="shared" si="151"/>
        <v>0</v>
      </c>
    </row>
    <row r="1148" spans="6:31" ht="24" customHeight="1">
      <c r="K1148" s="705" t="s">
        <v>1609</v>
      </c>
      <c r="M1148" s="810" t="s">
        <v>663</v>
      </c>
      <c r="O1148" s="699" t="s">
        <v>2296</v>
      </c>
      <c r="P1148" s="785">
        <f>V1133</f>
        <v>0</v>
      </c>
      <c r="R1148" s="699">
        <v>0.35</v>
      </c>
      <c r="AE1148" s="724">
        <f t="shared" si="151"/>
        <v>0</v>
      </c>
    </row>
    <row r="1149" spans="6:31" ht="24" customHeight="1">
      <c r="H1149" s="698" t="s">
        <v>1461</v>
      </c>
      <c r="K1149" s="710">
        <f>SUM(K1142:K1147)</f>
        <v>1098.57</v>
      </c>
      <c r="Q1149" s="702"/>
      <c r="R1149" s="699">
        <f>SUM(R1138:R1148)</f>
        <v>7602.51</v>
      </c>
      <c r="AE1149" s="724">
        <f t="shared" si="151"/>
        <v>0</v>
      </c>
    </row>
    <row r="1150" spans="6:31" ht="24" customHeight="1">
      <c r="K1150" s="705" t="s">
        <v>1609</v>
      </c>
      <c r="X1150" s="758">
        <f>SUM(X1138:X1149)</f>
        <v>0</v>
      </c>
      <c r="AE1150" s="724">
        <f t="shared" si="151"/>
        <v>0</v>
      </c>
    </row>
    <row r="1151" spans="6:31" ht="24" customHeight="1">
      <c r="H1151" s="711" t="s">
        <v>556</v>
      </c>
      <c r="K1151" s="709">
        <f>(K1149/10)</f>
        <v>109.86</v>
      </c>
      <c r="AE1151" s="724">
        <f t="shared" si="151"/>
        <v>0</v>
      </c>
    </row>
    <row r="1152" spans="6:31" ht="24" customHeight="1">
      <c r="K1152" s="705" t="s">
        <v>2080</v>
      </c>
      <c r="Q1152" s="702"/>
      <c r="R1152" s="805"/>
      <c r="AE1152" s="724">
        <f t="shared" si="151"/>
        <v>0</v>
      </c>
    </row>
    <row r="1153" spans="6:31" ht="24" customHeight="1">
      <c r="O1153" s="699" t="s">
        <v>3632</v>
      </c>
      <c r="Q1153" s="702"/>
      <c r="R1153" s="710">
        <f>SUM(R1149:R1152)</f>
        <v>7602.51</v>
      </c>
      <c r="AE1153" s="724">
        <f t="shared" si="151"/>
        <v>0</v>
      </c>
    </row>
    <row r="1154" spans="6:31" ht="24" customHeight="1">
      <c r="F1154" s="697" t="s">
        <v>987</v>
      </c>
      <c r="G1154" s="708" t="s">
        <v>2276</v>
      </c>
      <c r="H1154" s="697" t="s">
        <v>1462</v>
      </c>
      <c r="Q1154" s="702"/>
      <c r="R1154" s="705" t="s">
        <v>1609</v>
      </c>
      <c r="AE1154" s="724">
        <f t="shared" ref="AE1154:AE1222" si="158">AG1154</f>
        <v>0</v>
      </c>
    </row>
    <row r="1155" spans="6:31" ht="24" customHeight="1">
      <c r="H1155" s="705" t="s">
        <v>1609</v>
      </c>
      <c r="I1155" s="705" t="s">
        <v>1609</v>
      </c>
      <c r="O1155" s="697" t="s">
        <v>386</v>
      </c>
      <c r="Q1155" s="702"/>
      <c r="R1155" s="709">
        <f>R1153+C20</f>
        <v>7710.98</v>
      </c>
      <c r="S1155" s="703">
        <f>C20</f>
        <v>108.47</v>
      </c>
      <c r="T1155" s="703">
        <f>C21</f>
        <v>213.68</v>
      </c>
      <c r="AE1155" s="724">
        <f t="shared" si="158"/>
        <v>0</v>
      </c>
    </row>
    <row r="1156" spans="6:31" ht="24" customHeight="1">
      <c r="F1156" s="710">
        <v>1.2</v>
      </c>
      <c r="G1156" s="708" t="s">
        <v>185</v>
      </c>
      <c r="H1156" s="697" t="s">
        <v>4994</v>
      </c>
      <c r="I1156" s="710">
        <f>C191</f>
        <v>268.60000000000002</v>
      </c>
      <c r="J1156" s="697" t="s">
        <v>185</v>
      </c>
      <c r="K1156" s="710">
        <f>(F1156*I1156)</f>
        <v>322.32</v>
      </c>
      <c r="O1156" s="697" t="s">
        <v>388</v>
      </c>
      <c r="Q1156" s="702"/>
      <c r="R1156" s="709">
        <f>R1155+C21</f>
        <v>7924.66</v>
      </c>
      <c r="S1156" s="703">
        <f>R1153-5363.9</f>
        <v>2238.61</v>
      </c>
      <c r="AE1156" s="724">
        <f t="shared" si="158"/>
        <v>0</v>
      </c>
    </row>
    <row r="1157" spans="6:31" ht="24" customHeight="1">
      <c r="F1157" s="710">
        <v>0.9</v>
      </c>
      <c r="G1157" s="708" t="s">
        <v>185</v>
      </c>
      <c r="H1157" s="697" t="s">
        <v>187</v>
      </c>
      <c r="I1157" s="710">
        <f>C190</f>
        <v>25</v>
      </c>
      <c r="J1157" s="697" t="s">
        <v>185</v>
      </c>
      <c r="K1157" s="710">
        <f>(F1157*I1157)</f>
        <v>22.5</v>
      </c>
      <c r="O1157" s="697" t="s">
        <v>2257</v>
      </c>
      <c r="Q1157" s="702"/>
      <c r="R1157" s="709">
        <f>R1156+C21</f>
        <v>8138.34</v>
      </c>
      <c r="AE1157" s="724">
        <f t="shared" si="158"/>
        <v>0</v>
      </c>
    </row>
    <row r="1158" spans="6:31" ht="24" customHeight="1">
      <c r="F1158" s="710">
        <v>1.1000000000000001</v>
      </c>
      <c r="G1158" s="708" t="s">
        <v>564</v>
      </c>
      <c r="H1158" s="697" t="s">
        <v>1536</v>
      </c>
      <c r="I1158" s="710">
        <f>C12</f>
        <v>688</v>
      </c>
      <c r="J1158" s="697" t="s">
        <v>1741</v>
      </c>
      <c r="K1158" s="710">
        <f>(F1158*I1158)</f>
        <v>756.8</v>
      </c>
      <c r="O1158" s="697" t="s">
        <v>380</v>
      </c>
      <c r="Q1158" s="702"/>
      <c r="R1158" s="709">
        <f>R1157+C21</f>
        <v>8352.02</v>
      </c>
      <c r="AE1158" s="724">
        <f t="shared" si="158"/>
        <v>0</v>
      </c>
    </row>
    <row r="1159" spans="6:31" ht="24" customHeight="1">
      <c r="F1159" s="710">
        <v>1.1000000000000001</v>
      </c>
      <c r="G1159" s="708" t="s">
        <v>564</v>
      </c>
      <c r="H1159" s="697" t="s">
        <v>887</v>
      </c>
      <c r="I1159" s="710">
        <f>C10</f>
        <v>562</v>
      </c>
      <c r="J1159" s="697" t="s">
        <v>1741</v>
      </c>
      <c r="K1159" s="710">
        <f>(F1159*I1159)</f>
        <v>618.20000000000005</v>
      </c>
      <c r="O1159" s="697" t="s">
        <v>1554</v>
      </c>
      <c r="Q1159" s="702"/>
      <c r="R1159" s="709">
        <f>R1158+C21</f>
        <v>8565.7000000000007</v>
      </c>
      <c r="AE1159" s="724">
        <f t="shared" si="158"/>
        <v>0</v>
      </c>
    </row>
    <row r="1160" spans="6:31" ht="24" customHeight="1">
      <c r="G1160" s="708" t="s">
        <v>450</v>
      </c>
      <c r="H1160" s="697" t="s">
        <v>1199</v>
      </c>
      <c r="J1160" s="697" t="s">
        <v>450</v>
      </c>
      <c r="K1160" s="710">
        <v>1.5</v>
      </c>
      <c r="O1160" s="697" t="s">
        <v>3612</v>
      </c>
      <c r="R1160" s="709">
        <f>R1159+C21</f>
        <v>8779.3799999999992</v>
      </c>
      <c r="AE1160" s="724">
        <f t="shared" si="158"/>
        <v>0</v>
      </c>
    </row>
    <row r="1161" spans="6:31" ht="24" customHeight="1">
      <c r="K1161" s="705" t="s">
        <v>1609</v>
      </c>
      <c r="O1161" s="697" t="s">
        <v>3613</v>
      </c>
      <c r="R1161" s="709">
        <f>R1160+C21</f>
        <v>8993.06</v>
      </c>
      <c r="AE1161" s="724">
        <f t="shared" si="158"/>
        <v>0</v>
      </c>
    </row>
    <row r="1162" spans="6:31" ht="24" customHeight="1">
      <c r="H1162" s="698" t="s">
        <v>1461</v>
      </c>
      <c r="K1162" s="710">
        <f>SUM(K1156:K1160)</f>
        <v>1721.32</v>
      </c>
      <c r="O1162" s="697" t="s">
        <v>3614</v>
      </c>
      <c r="R1162" s="709">
        <f>R1161+C21</f>
        <v>9206.74</v>
      </c>
      <c r="AE1162" s="724">
        <f t="shared" si="158"/>
        <v>0</v>
      </c>
    </row>
    <row r="1163" spans="6:31" ht="24" customHeight="1">
      <c r="K1163" s="705" t="s">
        <v>1609</v>
      </c>
      <c r="O1163" s="697" t="s">
        <v>3615</v>
      </c>
      <c r="R1163" s="709">
        <f>R1162+C21</f>
        <v>9420.42</v>
      </c>
      <c r="AE1163" s="724">
        <f t="shared" si="158"/>
        <v>0</v>
      </c>
    </row>
    <row r="1164" spans="6:31" ht="24" customHeight="1">
      <c r="H1164" s="711" t="s">
        <v>556</v>
      </c>
      <c r="K1164" s="709">
        <f>(K1162/10)</f>
        <v>172.13</v>
      </c>
      <c r="O1164" s="697" t="s">
        <v>3633</v>
      </c>
      <c r="R1164" s="709">
        <f>R1163+C21</f>
        <v>9634.1</v>
      </c>
      <c r="AE1164" s="724">
        <f t="shared" si="158"/>
        <v>0</v>
      </c>
    </row>
    <row r="1165" spans="6:31" ht="24" customHeight="1">
      <c r="K1165" s="705" t="s">
        <v>2080</v>
      </c>
      <c r="O1165" s="699" t="s">
        <v>3634</v>
      </c>
      <c r="R1165" s="709">
        <f>R1164+C21</f>
        <v>9847.7800000000007</v>
      </c>
      <c r="AE1165" s="724">
        <f t="shared" si="158"/>
        <v>0</v>
      </c>
    </row>
    <row r="1166" spans="6:31" ht="24" customHeight="1">
      <c r="R1166" s="709">
        <f>R1165+C21</f>
        <v>10061.459999999999</v>
      </c>
      <c r="AE1166" s="724">
        <f t="shared" si="158"/>
        <v>0</v>
      </c>
    </row>
    <row r="1167" spans="6:31" ht="24" customHeight="1">
      <c r="F1167" s="765">
        <v>23.3</v>
      </c>
      <c r="H1167" s="780" t="s">
        <v>2312</v>
      </c>
      <c r="I1167" s="780" t="s">
        <v>4323</v>
      </c>
      <c r="K1167" s="841">
        <v>52</v>
      </c>
      <c r="R1167" s="709">
        <f>R1166+C21</f>
        <v>10275.14</v>
      </c>
      <c r="S1167" s="699"/>
      <c r="AE1167" s="724">
        <f t="shared" si="158"/>
        <v>0</v>
      </c>
    </row>
    <row r="1168" spans="6:31" ht="24" customHeight="1">
      <c r="M1168" s="703"/>
      <c r="O1168" s="758" t="s">
        <v>3528</v>
      </c>
      <c r="R1168" s="709">
        <f>R1167+C21</f>
        <v>10488.82</v>
      </c>
      <c r="S1168" s="699"/>
      <c r="AE1168" s="724">
        <f t="shared" si="158"/>
        <v>0</v>
      </c>
    </row>
    <row r="1169" spans="6:36" ht="24" customHeight="1">
      <c r="M1169" s="703">
        <v>0.443</v>
      </c>
      <c r="N1169" s="699" t="s">
        <v>1361</v>
      </c>
      <c r="O1169" s="699" t="s">
        <v>3521</v>
      </c>
      <c r="P1169" s="699">
        <f t="shared" ref="P1169:P1175" si="159">P1138</f>
        <v>1679.5</v>
      </c>
      <c r="R1169" s="699">
        <f>P1169*M1169</f>
        <v>744.02</v>
      </c>
      <c r="S1169" s="699"/>
      <c r="AE1169" s="724">
        <f t="shared" si="158"/>
        <v>0</v>
      </c>
    </row>
    <row r="1170" spans="6:36" ht="24" customHeight="1">
      <c r="F1170" s="698" t="s">
        <v>1463</v>
      </c>
      <c r="G1170" s="708" t="s">
        <v>2276</v>
      </c>
      <c r="H1170" s="697" t="s">
        <v>5238</v>
      </c>
      <c r="M1170" s="703">
        <v>0.29499999999999998</v>
      </c>
      <c r="N1170" s="699" t="s">
        <v>1361</v>
      </c>
      <c r="O1170" s="699" t="s">
        <v>3522</v>
      </c>
      <c r="P1170" s="699">
        <f t="shared" si="159"/>
        <v>1224.5</v>
      </c>
      <c r="R1170" s="699">
        <f t="shared" ref="R1170:R1176" si="160">P1170*M1170</f>
        <v>361.23</v>
      </c>
      <c r="S1170" s="699"/>
      <c r="AE1170" s="724">
        <f t="shared" si="158"/>
        <v>0</v>
      </c>
    </row>
    <row r="1171" spans="6:36" ht="24" customHeight="1">
      <c r="H1171" s="697" t="s">
        <v>1464</v>
      </c>
      <c r="M1171" s="703">
        <v>0.43</v>
      </c>
      <c r="N1171" s="699" t="s">
        <v>1361</v>
      </c>
      <c r="O1171" s="699" t="s">
        <v>5354</v>
      </c>
      <c r="P1171" s="699">
        <f t="shared" si="159"/>
        <v>1511.1</v>
      </c>
      <c r="R1171" s="699">
        <f t="shared" si="160"/>
        <v>649.77</v>
      </c>
      <c r="S1171" s="699"/>
      <c r="AE1171" s="724">
        <f t="shared" si="158"/>
        <v>0</v>
      </c>
    </row>
    <row r="1172" spans="6:36" ht="24" customHeight="1">
      <c r="H1172" s="705" t="s">
        <v>1609</v>
      </c>
      <c r="I1172" s="705" t="s">
        <v>1609</v>
      </c>
      <c r="M1172" s="703">
        <v>0.39</v>
      </c>
      <c r="N1172" s="699" t="s">
        <v>530</v>
      </c>
      <c r="O1172" s="699" t="s">
        <v>390</v>
      </c>
      <c r="P1172" s="699">
        <f t="shared" si="159"/>
        <v>5960</v>
      </c>
      <c r="R1172" s="699">
        <f t="shared" si="160"/>
        <v>2324.4</v>
      </c>
      <c r="S1172" s="699"/>
      <c r="AE1172" s="724">
        <f t="shared" si="158"/>
        <v>0</v>
      </c>
    </row>
    <row r="1173" spans="6:36" ht="24" customHeight="1">
      <c r="F1173" s="776">
        <v>0.53339999999999999</v>
      </c>
      <c r="G1173" s="708" t="s">
        <v>2308</v>
      </c>
      <c r="H1173" s="769" t="s">
        <v>2121</v>
      </c>
      <c r="I1173" s="737">
        <v>208.8</v>
      </c>
      <c r="J1173" s="697" t="s">
        <v>2308</v>
      </c>
      <c r="K1173" s="710">
        <f>(F1173*I1173)</f>
        <v>111.37</v>
      </c>
      <c r="M1173" s="703">
        <v>0.35</v>
      </c>
      <c r="N1173" s="699" t="s">
        <v>1452</v>
      </c>
      <c r="O1173" s="699" t="s">
        <v>466</v>
      </c>
      <c r="P1173" s="699">
        <f t="shared" si="159"/>
        <v>804</v>
      </c>
      <c r="Q1173" s="699">
        <f>D1171</f>
        <v>0</v>
      </c>
      <c r="R1173" s="699">
        <f t="shared" si="160"/>
        <v>281.39999999999998</v>
      </c>
      <c r="S1173" s="699"/>
      <c r="AE1173" s="724">
        <f t="shared" si="158"/>
        <v>0</v>
      </c>
    </row>
    <row r="1174" spans="6:36" ht="24" customHeight="1">
      <c r="F1174" s="710">
        <v>4.24</v>
      </c>
      <c r="G1174" s="708" t="s">
        <v>835</v>
      </c>
      <c r="H1174" s="842" t="s">
        <v>4324</v>
      </c>
      <c r="I1174" s="737">
        <v>35.61</v>
      </c>
      <c r="J1174" s="697" t="s">
        <v>835</v>
      </c>
      <c r="K1174" s="710">
        <f>(F1174*I1174)</f>
        <v>150.99</v>
      </c>
      <c r="M1174" s="703">
        <v>2.12</v>
      </c>
      <c r="N1174" s="699" t="s">
        <v>1452</v>
      </c>
      <c r="O1174" s="699" t="s">
        <v>3523</v>
      </c>
      <c r="P1174" s="699">
        <f t="shared" si="159"/>
        <v>562</v>
      </c>
      <c r="R1174" s="699">
        <f t="shared" si="160"/>
        <v>1191.44</v>
      </c>
      <c r="S1174" s="699"/>
      <c r="AE1174" s="724">
        <f t="shared" si="158"/>
        <v>0</v>
      </c>
    </row>
    <row r="1175" spans="6:36" ht="24" customHeight="1">
      <c r="F1175" s="710">
        <v>16</v>
      </c>
      <c r="G1175" s="708" t="s">
        <v>564</v>
      </c>
      <c r="H1175" s="842" t="s">
        <v>4325</v>
      </c>
      <c r="I1175" s="737">
        <v>1</v>
      </c>
      <c r="J1175" s="697" t="s">
        <v>1418</v>
      </c>
      <c r="K1175" s="710">
        <f>(F1175*I1175)</f>
        <v>16</v>
      </c>
      <c r="M1175" s="703">
        <v>3.53</v>
      </c>
      <c r="N1175" s="699" t="s">
        <v>1452</v>
      </c>
      <c r="O1175" s="699" t="s">
        <v>3524</v>
      </c>
      <c r="P1175" s="699">
        <f t="shared" si="159"/>
        <v>461</v>
      </c>
      <c r="R1175" s="699">
        <f t="shared" si="160"/>
        <v>1627.33</v>
      </c>
      <c r="S1175" s="699"/>
      <c r="AE1175" s="724">
        <f t="shared" si="158"/>
        <v>0</v>
      </c>
    </row>
    <row r="1176" spans="6:36" ht="24" customHeight="1">
      <c r="F1176" s="776">
        <v>0.53339999999999999</v>
      </c>
      <c r="G1176" s="708" t="s">
        <v>2308</v>
      </c>
      <c r="H1176" s="697" t="s">
        <v>713</v>
      </c>
      <c r="I1176" s="710">
        <f>0.25/1.08*D14</f>
        <v>186.11</v>
      </c>
      <c r="J1176" s="697" t="s">
        <v>2308</v>
      </c>
      <c r="K1176" s="710">
        <f>(F1176*I1176)</f>
        <v>99.27</v>
      </c>
      <c r="M1176" s="703">
        <v>1</v>
      </c>
      <c r="N1176" s="699" t="s">
        <v>1361</v>
      </c>
      <c r="O1176" s="699" t="s">
        <v>3525</v>
      </c>
      <c r="P1176" s="699">
        <f>R1145</f>
        <v>81.3</v>
      </c>
      <c r="R1176" s="699">
        <f t="shared" si="160"/>
        <v>81.3</v>
      </c>
      <c r="S1176" s="699"/>
      <c r="AE1176" s="724">
        <f t="shared" si="158"/>
        <v>0</v>
      </c>
    </row>
    <row r="1177" spans="6:36" ht="24" customHeight="1">
      <c r="G1177" s="708" t="s">
        <v>450</v>
      </c>
      <c r="H1177" s="697" t="s">
        <v>2296</v>
      </c>
      <c r="J1177" s="697" t="s">
        <v>450</v>
      </c>
      <c r="K1177" s="710"/>
      <c r="M1177" s="810" t="s">
        <v>663</v>
      </c>
      <c r="O1177" s="699" t="s">
        <v>3526</v>
      </c>
      <c r="P1177" s="810" t="s">
        <v>663</v>
      </c>
      <c r="R1177" s="699">
        <v>270</v>
      </c>
      <c r="S1177" s="699"/>
      <c r="AE1177" s="724">
        <f t="shared" si="158"/>
        <v>0</v>
      </c>
    </row>
    <row r="1178" spans="6:36" ht="24" customHeight="1">
      <c r="H1178" s="697" t="s">
        <v>2297</v>
      </c>
      <c r="M1178" s="810" t="s">
        <v>663</v>
      </c>
      <c r="O1178" s="699" t="s">
        <v>3527</v>
      </c>
      <c r="P1178" s="810" t="s">
        <v>663</v>
      </c>
      <c r="R1178" s="699">
        <v>150</v>
      </c>
      <c r="S1178" s="699"/>
      <c r="AE1178" s="724">
        <f t="shared" si="158"/>
        <v>0</v>
      </c>
    </row>
    <row r="1179" spans="6:36" ht="24" customHeight="1">
      <c r="K1179" s="705" t="s">
        <v>1609</v>
      </c>
      <c r="M1179" s="810" t="s">
        <v>663</v>
      </c>
      <c r="O1179" s="699" t="s">
        <v>2296</v>
      </c>
      <c r="P1179" s="810" t="s">
        <v>663</v>
      </c>
      <c r="R1179" s="699">
        <v>0.45</v>
      </c>
      <c r="S1179" s="699">
        <f>C20</f>
        <v>108.47</v>
      </c>
      <c r="T1179" s="699">
        <f>C21</f>
        <v>213.68</v>
      </c>
      <c r="AE1179" s="724" t="str">
        <f t="shared" si="158"/>
        <v>|</v>
      </c>
      <c r="AG1179" s="697" t="s">
        <v>2284</v>
      </c>
    </row>
    <row r="1180" spans="6:36" ht="24" customHeight="1">
      <c r="H1180" s="698" t="s">
        <v>1719</v>
      </c>
      <c r="K1180" s="710">
        <f>SUM(K1173:K1177)</f>
        <v>377.63</v>
      </c>
      <c r="M1180" s="703"/>
      <c r="O1180" s="699" t="s">
        <v>3637</v>
      </c>
      <c r="R1180" s="758">
        <f>SUM(R1169:R1179)</f>
        <v>7681.34</v>
      </c>
      <c r="S1180" s="699"/>
      <c r="AE1180" s="724" t="str">
        <f t="shared" si="158"/>
        <v>|</v>
      </c>
      <c r="AG1180" s="697" t="s">
        <v>2284</v>
      </c>
    </row>
    <row r="1181" spans="6:36" ht="24" customHeight="1">
      <c r="K1181" s="705" t="s">
        <v>1609</v>
      </c>
      <c r="M1181" s="703"/>
      <c r="O1181" s="699" t="s">
        <v>386</v>
      </c>
      <c r="R1181" s="699">
        <f>R1180+C20</f>
        <v>7789.81</v>
      </c>
      <c r="AE1181" s="724" t="str">
        <f t="shared" si="158"/>
        <v>|</v>
      </c>
      <c r="AG1181" s="697" t="s">
        <v>2284</v>
      </c>
    </row>
    <row r="1182" spans="6:36" ht="24" customHeight="1">
      <c r="H1182" s="698" t="s">
        <v>1720</v>
      </c>
      <c r="K1182" s="709">
        <f>ROUND(K1180/0.5334,1)+0.1</f>
        <v>708.1</v>
      </c>
      <c r="R1182" s="699">
        <f>R1181+T1179</f>
        <v>8003.49</v>
      </c>
      <c r="AE1182" s="724" t="str">
        <f t="shared" si="158"/>
        <v>|</v>
      </c>
      <c r="AG1182" s="697" t="s">
        <v>2284</v>
      </c>
    </row>
    <row r="1183" spans="6:36" ht="24" customHeight="1">
      <c r="F1183" s="697" t="s">
        <v>987</v>
      </c>
      <c r="K1183" s="705" t="s">
        <v>2080</v>
      </c>
      <c r="Y1183" s="765">
        <v>15.1</v>
      </c>
      <c r="Z1183" s="708" t="s">
        <v>1782</v>
      </c>
      <c r="AA1183" s="701" t="s">
        <v>4342</v>
      </c>
      <c r="AC1183" s="704"/>
      <c r="AE1183" s="724" t="str">
        <f t="shared" si="158"/>
        <v>C.</v>
      </c>
      <c r="AF1183" s="765">
        <v>15.1</v>
      </c>
      <c r="AG1183" s="708" t="s">
        <v>1782</v>
      </c>
      <c r="AH1183" s="843" t="s">
        <v>4341</v>
      </c>
      <c r="AJ1183" s="704"/>
    </row>
    <row r="1184" spans="6:36" ht="24" customHeight="1">
      <c r="F1184" s="697" t="s">
        <v>987</v>
      </c>
      <c r="G1184" s="708" t="s">
        <v>987</v>
      </c>
      <c r="H1184" s="697" t="s">
        <v>987</v>
      </c>
      <c r="Z1184" s="700"/>
      <c r="AA1184" s="697" t="s">
        <v>2306</v>
      </c>
      <c r="AC1184" s="704"/>
      <c r="AE1184" s="724">
        <f t="shared" si="158"/>
        <v>0</v>
      </c>
      <c r="AG1184" s="700"/>
      <c r="AH1184" s="697" t="s">
        <v>2306</v>
      </c>
      <c r="AJ1184" s="704"/>
    </row>
    <row r="1185" spans="6:37" ht="53.25" customHeight="1">
      <c r="F1185" s="698" t="s">
        <v>1823</v>
      </c>
      <c r="G1185" s="708" t="s">
        <v>2276</v>
      </c>
      <c r="H1185" s="697" t="s">
        <v>1514</v>
      </c>
      <c r="Y1185" s="710">
        <v>10</v>
      </c>
      <c r="Z1185" s="708" t="s">
        <v>2308</v>
      </c>
      <c r="AA1185" s="762" t="s">
        <v>5161</v>
      </c>
      <c r="AB1185" s="718">
        <v>1720</v>
      </c>
      <c r="AC1185" s="698" t="s">
        <v>2308</v>
      </c>
      <c r="AD1185" s="710">
        <f>(Y1185*AB1185)</f>
        <v>17200</v>
      </c>
      <c r="AE1185" s="724" t="str">
        <f t="shared" si="158"/>
        <v>Sqm</v>
      </c>
      <c r="AF1185" s="710">
        <v>10</v>
      </c>
      <c r="AG1185" s="708" t="s">
        <v>2308</v>
      </c>
      <c r="AH1185" s="762" t="s">
        <v>5166</v>
      </c>
      <c r="AI1185" s="718">
        <v>852</v>
      </c>
      <c r="AJ1185" s="698" t="s">
        <v>2308</v>
      </c>
      <c r="AK1185" s="710">
        <f>(AF1185*AI1185)</f>
        <v>8520</v>
      </c>
    </row>
    <row r="1186" spans="6:37" ht="24" customHeight="1">
      <c r="H1186" s="697" t="s">
        <v>161</v>
      </c>
      <c r="Y1186" s="710">
        <v>0.12</v>
      </c>
      <c r="Z1186" s="708" t="s">
        <v>878</v>
      </c>
      <c r="AA1186" s="697" t="s">
        <v>793</v>
      </c>
      <c r="AB1186" s="731">
        <f>P1330</f>
        <v>4471.8999999999996</v>
      </c>
      <c r="AC1186" s="698" t="s">
        <v>878</v>
      </c>
      <c r="AD1186" s="710">
        <f>(Y1186*AB1186)</f>
        <v>536.63</v>
      </c>
      <c r="AE1186" s="724" t="str">
        <f t="shared" si="158"/>
        <v>CUM</v>
      </c>
      <c r="AF1186" s="710">
        <v>0.12</v>
      </c>
      <c r="AG1186" s="708" t="s">
        <v>878</v>
      </c>
      <c r="AH1186" s="697" t="s">
        <v>793</v>
      </c>
      <c r="AI1186" s="718">
        <f>AB1186</f>
        <v>4471.8999999999996</v>
      </c>
      <c r="AJ1186" s="698" t="s">
        <v>878</v>
      </c>
      <c r="AK1186" s="710">
        <f>(AF1186*AI1186)</f>
        <v>536.63</v>
      </c>
    </row>
    <row r="1187" spans="6:37" ht="24" customHeight="1">
      <c r="H1187" s="705" t="s">
        <v>1609</v>
      </c>
      <c r="Y1187" s="710">
        <v>1</v>
      </c>
      <c r="Z1187" s="708" t="s">
        <v>564</v>
      </c>
      <c r="AA1187" s="697" t="s">
        <v>565</v>
      </c>
      <c r="AB1187" s="731">
        <f>P1331</f>
        <v>861</v>
      </c>
      <c r="AC1187" s="698" t="s">
        <v>1418</v>
      </c>
      <c r="AD1187" s="710">
        <f>(Y1187*AB1187)</f>
        <v>861</v>
      </c>
      <c r="AE1187" s="724" t="str">
        <f t="shared" si="158"/>
        <v>No.</v>
      </c>
      <c r="AF1187" s="710">
        <v>1</v>
      </c>
      <c r="AG1187" s="708" t="s">
        <v>564</v>
      </c>
      <c r="AH1187" s="697" t="s">
        <v>565</v>
      </c>
      <c r="AI1187" s="718">
        <f>AB1187</f>
        <v>861</v>
      </c>
      <c r="AJ1187" s="698" t="s">
        <v>1418</v>
      </c>
      <c r="AK1187" s="710">
        <f>(AF1187*AI1187)</f>
        <v>861</v>
      </c>
    </row>
    <row r="1188" spans="6:37" ht="24" customHeight="1">
      <c r="F1188" s="710">
        <v>1</v>
      </c>
      <c r="G1188" s="708" t="s">
        <v>1670</v>
      </c>
      <c r="H1188" s="697" t="s">
        <v>4995</v>
      </c>
      <c r="I1188" s="844">
        <v>62.1</v>
      </c>
      <c r="J1188" s="697" t="s">
        <v>1670</v>
      </c>
      <c r="K1188" s="709">
        <f>(F1188*I1188)</f>
        <v>62.1</v>
      </c>
      <c r="Y1188" s="710">
        <v>1</v>
      </c>
      <c r="Z1188" s="708" t="s">
        <v>564</v>
      </c>
      <c r="AA1188" s="697" t="s">
        <v>4805</v>
      </c>
      <c r="AB1188" s="731">
        <f>P1332</f>
        <v>562</v>
      </c>
      <c r="AC1188" s="698" t="s">
        <v>1418</v>
      </c>
      <c r="AD1188" s="710">
        <f>(Y1188*AB1188)</f>
        <v>562</v>
      </c>
      <c r="AE1188" s="724" t="str">
        <f t="shared" si="158"/>
        <v>No.</v>
      </c>
      <c r="AF1188" s="710">
        <v>1</v>
      </c>
      <c r="AG1188" s="708" t="s">
        <v>564</v>
      </c>
      <c r="AH1188" s="697" t="s">
        <v>4806</v>
      </c>
      <c r="AI1188" s="718">
        <f>AB1188</f>
        <v>562</v>
      </c>
      <c r="AJ1188" s="698" t="s">
        <v>1418</v>
      </c>
      <c r="AK1188" s="710">
        <f>(AF1188*AI1188)</f>
        <v>562</v>
      </c>
    </row>
    <row r="1189" spans="6:37" ht="24" customHeight="1">
      <c r="K1189" s="705" t="s">
        <v>2080</v>
      </c>
      <c r="Y1189" s="710"/>
      <c r="Z1189" s="708" t="s">
        <v>450</v>
      </c>
      <c r="AA1189" s="697" t="s">
        <v>61</v>
      </c>
      <c r="AC1189" s="698" t="s">
        <v>450</v>
      </c>
      <c r="AD1189" s="710">
        <v>0.33</v>
      </c>
      <c r="AF1189" s="710"/>
      <c r="AG1189" s="708" t="s">
        <v>450</v>
      </c>
      <c r="AH1189" s="697" t="s">
        <v>61</v>
      </c>
      <c r="AJ1189" s="698" t="s">
        <v>450</v>
      </c>
      <c r="AK1189" s="710">
        <v>0.33</v>
      </c>
    </row>
    <row r="1190" spans="6:37" ht="24" customHeight="1">
      <c r="F1190" s="698">
        <v>39</v>
      </c>
      <c r="H1190" s="769" t="s">
        <v>4996</v>
      </c>
      <c r="I1190" s="718">
        <v>62.6</v>
      </c>
      <c r="J1190" s="697" t="s">
        <v>1670</v>
      </c>
      <c r="K1190" s="845">
        <f>I1190</f>
        <v>62.6</v>
      </c>
      <c r="Y1190" s="710"/>
      <c r="Z1190" s="700"/>
      <c r="AA1190" s="697" t="s">
        <v>941</v>
      </c>
      <c r="AD1190" s="704"/>
      <c r="AE1190" s="705" t="s">
        <v>1609</v>
      </c>
      <c r="AF1190" s="710"/>
      <c r="AG1190" s="700"/>
      <c r="AH1190" s="697" t="s">
        <v>941</v>
      </c>
      <c r="AK1190" s="704"/>
    </row>
    <row r="1191" spans="6:37" ht="24" customHeight="1">
      <c r="F1191" s="698" t="s">
        <v>446</v>
      </c>
      <c r="G1191" s="708" t="s">
        <v>2276</v>
      </c>
      <c r="H1191" s="697" t="s">
        <v>4326</v>
      </c>
      <c r="I1191" s="697" t="s">
        <v>987</v>
      </c>
      <c r="J1191" s="697" t="s">
        <v>1741</v>
      </c>
      <c r="K1191" s="846">
        <v>9.6</v>
      </c>
      <c r="Y1191" s="710"/>
      <c r="Z1191" s="700"/>
      <c r="AA1191" s="698" t="s">
        <v>407</v>
      </c>
      <c r="AC1191" s="704"/>
      <c r="AD1191" s="710">
        <f>SUM(AD1185:AD1190)</f>
        <v>19159.96</v>
      </c>
      <c r="AE1191" s="710">
        <f>SUM(AE1185:AE1189)</f>
        <v>0</v>
      </c>
      <c r="AF1191" s="710"/>
      <c r="AG1191" s="700"/>
      <c r="AH1191" s="698" t="s">
        <v>407</v>
      </c>
      <c r="AJ1191" s="704"/>
      <c r="AK1191" s="710">
        <f>SUM(AK1185:AK1190)</f>
        <v>10479.959999999999</v>
      </c>
    </row>
    <row r="1192" spans="6:37" ht="24" customHeight="1">
      <c r="H1192" s="697" t="s">
        <v>262</v>
      </c>
      <c r="K1192" s="705" t="s">
        <v>2080</v>
      </c>
      <c r="Z1192" s="700"/>
      <c r="AC1192" s="704"/>
      <c r="AD1192" s="705" t="s">
        <v>1609</v>
      </c>
      <c r="AE1192" s="705" t="s">
        <v>1609</v>
      </c>
      <c r="AG1192" s="700"/>
      <c r="AJ1192" s="704"/>
      <c r="AK1192" s="705" t="s">
        <v>1609</v>
      </c>
    </row>
    <row r="1193" spans="6:37" ht="24" customHeight="1">
      <c r="Z1193" s="700"/>
      <c r="AA1193" s="698" t="s">
        <v>411</v>
      </c>
      <c r="AD1193" s="709">
        <f>AD1191/10</f>
        <v>1916</v>
      </c>
      <c r="AG1193" s="700"/>
      <c r="AH1193" s="698" t="s">
        <v>411</v>
      </c>
      <c r="AK1193" s="709">
        <f>AK1191/10</f>
        <v>1048</v>
      </c>
    </row>
    <row r="1194" spans="6:37" ht="24" customHeight="1">
      <c r="F1194" s="698" t="s">
        <v>228</v>
      </c>
      <c r="G1194" s="708" t="s">
        <v>2276</v>
      </c>
      <c r="H1194" s="697" t="s">
        <v>1947</v>
      </c>
      <c r="Z1194" s="700"/>
      <c r="AA1194" s="697" t="s">
        <v>386</v>
      </c>
      <c r="AC1194" s="704">
        <f>C20*0.02</f>
        <v>2.17</v>
      </c>
      <c r="AD1194" s="710">
        <f>AD1193+AC1194</f>
        <v>1918.17</v>
      </c>
      <c r="AG1194" s="700"/>
      <c r="AH1194" s="697" t="s">
        <v>386</v>
      </c>
      <c r="AJ1194" s="704">
        <f>C20*0.01</f>
        <v>1.08</v>
      </c>
      <c r="AK1194" s="710">
        <f>AK1193+AJ1194</f>
        <v>1049.08</v>
      </c>
    </row>
    <row r="1195" spans="6:37" ht="24" customHeight="1">
      <c r="H1195" s="697" t="s">
        <v>943</v>
      </c>
      <c r="Z1195" s="700"/>
      <c r="AA1195" s="697" t="s">
        <v>388</v>
      </c>
      <c r="AC1195" s="704">
        <f>C21*0.02</f>
        <v>4.2699999999999996</v>
      </c>
      <c r="AD1195" s="710">
        <f>AD1194+AC1195</f>
        <v>1922.44</v>
      </c>
      <c r="AG1195" s="700"/>
      <c r="AH1195" s="697" t="s">
        <v>388</v>
      </c>
      <c r="AJ1195" s="704">
        <f>C21*0.01</f>
        <v>2.14</v>
      </c>
      <c r="AK1195" s="710">
        <f>AK1194+AJ1195</f>
        <v>1051.22</v>
      </c>
    </row>
    <row r="1196" spans="6:37" ht="24" customHeight="1">
      <c r="H1196" s="705" t="s">
        <v>1609</v>
      </c>
      <c r="Z1196" s="700"/>
      <c r="AA1196" s="697" t="s">
        <v>2257</v>
      </c>
      <c r="AC1196" s="704">
        <f t="shared" ref="AC1196:AC1205" si="161">AC1195</f>
        <v>4.2699999999999996</v>
      </c>
      <c r="AD1196" s="710">
        <f t="shared" ref="AD1196:AD1205" si="162">+AD1195+AC1196</f>
        <v>1926.71</v>
      </c>
      <c r="AG1196" s="700"/>
      <c r="AH1196" s="697" t="s">
        <v>2257</v>
      </c>
      <c r="AJ1196" s="704">
        <f>C22*0.01</f>
        <v>2.14</v>
      </c>
      <c r="AK1196" s="710">
        <f t="shared" ref="AK1196:AK1203" si="163">+AK1195+AJ1196</f>
        <v>1053.3599999999999</v>
      </c>
    </row>
    <row r="1197" spans="6:37" ht="24" customHeight="1">
      <c r="F1197" s="710">
        <v>0.22</v>
      </c>
      <c r="G1197" s="708" t="s">
        <v>878</v>
      </c>
      <c r="H1197" s="697" t="s">
        <v>1327</v>
      </c>
      <c r="I1197" s="710">
        <f>K37</f>
        <v>3756.7</v>
      </c>
      <c r="J1197" s="697" t="s">
        <v>878</v>
      </c>
      <c r="K1197" s="710">
        <f>(F1197*I1197)</f>
        <v>826.47</v>
      </c>
      <c r="Z1197" s="700"/>
      <c r="AA1197" s="697" t="s">
        <v>380</v>
      </c>
      <c r="AC1197" s="704">
        <f t="shared" si="161"/>
        <v>4.2699999999999996</v>
      </c>
      <c r="AD1197" s="710">
        <f t="shared" si="162"/>
        <v>1930.98</v>
      </c>
      <c r="AG1197" s="700"/>
      <c r="AH1197" s="697" t="s">
        <v>380</v>
      </c>
      <c r="AJ1197" s="704">
        <v>1.95</v>
      </c>
      <c r="AK1197" s="710">
        <f t="shared" si="163"/>
        <v>1055.31</v>
      </c>
    </row>
    <row r="1198" spans="6:37" ht="24" customHeight="1">
      <c r="F1198" s="710">
        <v>2.2000000000000002</v>
      </c>
      <c r="G1198" s="708" t="s">
        <v>778</v>
      </c>
      <c r="H1198" s="697" t="s">
        <v>2034</v>
      </c>
      <c r="I1198" s="710">
        <f>(C8)</f>
        <v>861</v>
      </c>
      <c r="J1198" s="697" t="s">
        <v>778</v>
      </c>
      <c r="K1198" s="710">
        <f>(F1198*I1198)</f>
        <v>1894.2</v>
      </c>
      <c r="Z1198" s="700"/>
      <c r="AA1198" s="697" t="s">
        <v>1384</v>
      </c>
      <c r="AC1198" s="704">
        <f t="shared" si="161"/>
        <v>4.2699999999999996</v>
      </c>
      <c r="AD1198" s="710">
        <f t="shared" si="162"/>
        <v>1935.25</v>
      </c>
      <c r="AG1198" s="700"/>
      <c r="AH1198" s="697" t="s">
        <v>1384</v>
      </c>
      <c r="AJ1198" s="704">
        <v>1.95</v>
      </c>
      <c r="AK1198" s="710">
        <f t="shared" si="163"/>
        <v>1057.26</v>
      </c>
    </row>
    <row r="1199" spans="6:37" ht="24" customHeight="1">
      <c r="F1199" s="710">
        <v>0.5</v>
      </c>
      <c r="G1199" s="708" t="s">
        <v>778</v>
      </c>
      <c r="H1199" s="697" t="s">
        <v>944</v>
      </c>
      <c r="I1199" s="710">
        <f>(C10)</f>
        <v>562</v>
      </c>
      <c r="J1199" s="697" t="s">
        <v>778</v>
      </c>
      <c r="K1199" s="710">
        <f>(F1199*I1199)</f>
        <v>281</v>
      </c>
      <c r="Z1199" s="700"/>
      <c r="AA1199" s="699">
        <v>5</v>
      </c>
      <c r="AC1199" s="704">
        <f t="shared" si="161"/>
        <v>4.2699999999999996</v>
      </c>
      <c r="AD1199" s="710">
        <f t="shared" si="162"/>
        <v>1939.52</v>
      </c>
      <c r="AE1199" s="724">
        <f t="shared" si="158"/>
        <v>0</v>
      </c>
      <c r="AG1199" s="700"/>
      <c r="AH1199" s="699">
        <v>5</v>
      </c>
      <c r="AJ1199" s="704">
        <f>AC1199</f>
        <v>4.2699999999999996</v>
      </c>
      <c r="AK1199" s="710">
        <f t="shared" si="163"/>
        <v>1061.53</v>
      </c>
    </row>
    <row r="1200" spans="6:37" ht="24" customHeight="1">
      <c r="F1200" s="710">
        <v>3.2</v>
      </c>
      <c r="G1200" s="708" t="s">
        <v>778</v>
      </c>
      <c r="H1200" s="697" t="s">
        <v>321</v>
      </c>
      <c r="I1200" s="710">
        <f>(C11)</f>
        <v>461</v>
      </c>
      <c r="J1200" s="697" t="s">
        <v>778</v>
      </c>
      <c r="K1200" s="710">
        <f>(F1200*I1200)</f>
        <v>1475.2</v>
      </c>
      <c r="AA1200" s="699">
        <v>6</v>
      </c>
      <c r="AC1200" s="704">
        <f t="shared" si="161"/>
        <v>4.2699999999999996</v>
      </c>
      <c r="AD1200" s="710">
        <f t="shared" si="162"/>
        <v>1943.79</v>
      </c>
      <c r="AE1200" s="724">
        <f t="shared" si="158"/>
        <v>0</v>
      </c>
      <c r="AH1200" s="699">
        <v>6</v>
      </c>
      <c r="AJ1200" s="704">
        <f>AC1200</f>
        <v>4.2699999999999996</v>
      </c>
      <c r="AK1200" s="710">
        <f t="shared" si="163"/>
        <v>1065.8</v>
      </c>
    </row>
    <row r="1201" spans="6:37" ht="24" customHeight="1">
      <c r="F1201" s="710"/>
      <c r="G1201" s="708"/>
      <c r="H1201" s="697"/>
      <c r="I1201" s="710"/>
      <c r="J1201" s="697"/>
      <c r="K1201" s="710"/>
      <c r="AA1201" s="699">
        <v>7</v>
      </c>
      <c r="AC1201" s="704">
        <f t="shared" si="161"/>
        <v>4.2699999999999996</v>
      </c>
      <c r="AD1201" s="710">
        <f t="shared" si="162"/>
        <v>1948.06</v>
      </c>
      <c r="AE1201" s="724"/>
      <c r="AH1201" s="699">
        <v>7</v>
      </c>
      <c r="AJ1201" s="704">
        <f>AC1201</f>
        <v>4.2699999999999996</v>
      </c>
      <c r="AK1201" s="710">
        <f t="shared" si="163"/>
        <v>1070.07</v>
      </c>
    </row>
    <row r="1202" spans="6:37" ht="24" customHeight="1">
      <c r="F1202" s="710"/>
      <c r="G1202" s="708"/>
      <c r="H1202" s="697"/>
      <c r="I1202" s="710"/>
      <c r="J1202" s="697"/>
      <c r="K1202" s="710"/>
      <c r="AA1202" s="699">
        <v>8</v>
      </c>
      <c r="AC1202" s="704">
        <f t="shared" si="161"/>
        <v>4.2699999999999996</v>
      </c>
      <c r="AD1202" s="710">
        <f t="shared" si="162"/>
        <v>1952.33</v>
      </c>
      <c r="AE1202" s="724"/>
      <c r="AH1202" s="699">
        <v>8</v>
      </c>
      <c r="AJ1202" s="704">
        <f>AC1202</f>
        <v>4.2699999999999996</v>
      </c>
      <c r="AK1202" s="710">
        <f t="shared" si="163"/>
        <v>1074.3399999999999</v>
      </c>
    </row>
    <row r="1203" spans="6:37" ht="24" customHeight="1">
      <c r="F1203" s="710"/>
      <c r="G1203" s="708"/>
      <c r="H1203" s="697"/>
      <c r="I1203" s="710"/>
      <c r="J1203" s="697"/>
      <c r="K1203" s="710"/>
      <c r="AA1203" s="699">
        <v>9</v>
      </c>
      <c r="AC1203" s="704">
        <f t="shared" si="161"/>
        <v>4.2699999999999996</v>
      </c>
      <c r="AD1203" s="710">
        <f t="shared" si="162"/>
        <v>1956.6</v>
      </c>
      <c r="AE1203" s="724"/>
      <c r="AF1203" s="699" t="s">
        <v>4788</v>
      </c>
      <c r="AH1203" s="699">
        <v>9</v>
      </c>
      <c r="AJ1203" s="704">
        <f>AC1203</f>
        <v>4.2699999999999996</v>
      </c>
      <c r="AK1203" s="710">
        <f t="shared" si="163"/>
        <v>1078.6099999999999</v>
      </c>
    </row>
    <row r="1204" spans="6:37" ht="24" customHeight="1">
      <c r="F1204" s="710"/>
      <c r="G1204" s="708"/>
      <c r="H1204" s="697"/>
      <c r="I1204" s="710"/>
      <c r="J1204" s="697"/>
      <c r="K1204" s="710"/>
      <c r="AA1204" s="699">
        <v>10</v>
      </c>
      <c r="AC1204" s="704">
        <f t="shared" si="161"/>
        <v>4.2699999999999996</v>
      </c>
      <c r="AD1204" s="710">
        <f t="shared" si="162"/>
        <v>1960.87</v>
      </c>
      <c r="AE1204" s="724"/>
      <c r="AG1204" s="697"/>
    </row>
    <row r="1205" spans="6:37" ht="24" customHeight="1">
      <c r="F1205" s="710"/>
      <c r="G1205" s="708"/>
      <c r="H1205" s="697"/>
      <c r="I1205" s="710"/>
      <c r="J1205" s="697"/>
      <c r="K1205" s="710"/>
      <c r="AA1205" s="699">
        <v>11</v>
      </c>
      <c r="AC1205" s="704">
        <f t="shared" si="161"/>
        <v>4.2699999999999996</v>
      </c>
      <c r="AD1205" s="710">
        <f t="shared" si="162"/>
        <v>1965.14</v>
      </c>
      <c r="AE1205" s="724"/>
      <c r="AG1205" s="697"/>
    </row>
    <row r="1206" spans="6:37" ht="24" customHeight="1">
      <c r="G1206" s="708" t="s">
        <v>450</v>
      </c>
      <c r="H1206" s="697" t="s">
        <v>451</v>
      </c>
      <c r="I1206" s="697" t="s">
        <v>987</v>
      </c>
      <c r="J1206" s="697" t="s">
        <v>450</v>
      </c>
      <c r="K1206" s="710">
        <v>0</v>
      </c>
      <c r="N1206" s="700"/>
      <c r="Q1206" s="704"/>
      <c r="Y1206" s="753">
        <v>29.5</v>
      </c>
      <c r="Z1206" s="708" t="s">
        <v>2276</v>
      </c>
      <c r="AA1206" s="701" t="s">
        <v>3790</v>
      </c>
      <c r="AE1206" s="724" t="str">
        <f t="shared" si="158"/>
        <v>|</v>
      </c>
      <c r="AG1206" s="697" t="s">
        <v>2284</v>
      </c>
    </row>
    <row r="1207" spans="6:37" ht="24" customHeight="1">
      <c r="K1207" s="705" t="s">
        <v>1609</v>
      </c>
      <c r="N1207" s="700"/>
      <c r="Q1207" s="704"/>
      <c r="Z1207" s="700"/>
      <c r="AA1207" s="701" t="s">
        <v>3867</v>
      </c>
      <c r="AE1207" s="724" t="str">
        <f t="shared" si="158"/>
        <v>|</v>
      </c>
      <c r="AG1207" s="697" t="s">
        <v>2284</v>
      </c>
    </row>
    <row r="1208" spans="6:37" ht="24" customHeight="1">
      <c r="H1208" s="697" t="s">
        <v>442</v>
      </c>
      <c r="K1208" s="710">
        <f>SUM(K1197:K1206)</f>
        <v>4476.87</v>
      </c>
      <c r="N1208" s="700"/>
      <c r="Q1208" s="704"/>
      <c r="Z1208" s="700"/>
      <c r="AA1208" s="697"/>
      <c r="AE1208" s="724" t="str">
        <f t="shared" si="158"/>
        <v>|</v>
      </c>
      <c r="AG1208" s="697" t="s">
        <v>2284</v>
      </c>
    </row>
    <row r="1209" spans="6:37" ht="36.75" customHeight="1">
      <c r="F1209" s="699" t="s">
        <v>987</v>
      </c>
      <c r="K1209" s="705" t="s">
        <v>1609</v>
      </c>
      <c r="N1209" s="700"/>
      <c r="O1209" s="847" t="s">
        <v>1549</v>
      </c>
      <c r="Q1209" s="704"/>
      <c r="Z1209" s="700"/>
      <c r="AA1209" s="705" t="s">
        <v>1609</v>
      </c>
      <c r="AB1209" s="705" t="s">
        <v>1609</v>
      </c>
      <c r="AC1209" s="702">
        <f>54.96*10.764</f>
        <v>591.59</v>
      </c>
      <c r="AE1209" s="724" t="str">
        <f t="shared" si="158"/>
        <v>|</v>
      </c>
      <c r="AG1209" s="697" t="s">
        <v>2284</v>
      </c>
    </row>
    <row r="1210" spans="6:37" ht="30" customHeight="1">
      <c r="H1210" s="711" t="s">
        <v>556</v>
      </c>
      <c r="K1210" s="709">
        <f>(K1208/10)</f>
        <v>447.69</v>
      </c>
      <c r="N1210" s="700"/>
      <c r="Q1210" s="704"/>
      <c r="Y1210" s="710">
        <v>10</v>
      </c>
      <c r="Z1210" s="708" t="s">
        <v>615</v>
      </c>
      <c r="AA1210" s="766" t="s">
        <v>5162</v>
      </c>
      <c r="AB1210" s="718">
        <v>1448</v>
      </c>
      <c r="AC1210" s="697" t="s">
        <v>615</v>
      </c>
      <c r="AD1210" s="710">
        <f>(Y1210*AB1210)</f>
        <v>14480</v>
      </c>
      <c r="AE1210" s="724" t="str">
        <f t="shared" si="158"/>
        <v>|</v>
      </c>
      <c r="AG1210" s="697" t="s">
        <v>2284</v>
      </c>
    </row>
    <row r="1211" spans="6:37" ht="24" customHeight="1">
      <c r="K1211" s="705" t="s">
        <v>2080</v>
      </c>
      <c r="N1211" s="700"/>
      <c r="Q1211" s="704"/>
      <c r="S1211" s="848" t="s">
        <v>3530</v>
      </c>
      <c r="Y1211" s="710">
        <v>0.21</v>
      </c>
      <c r="Z1211" s="708" t="s">
        <v>878</v>
      </c>
      <c r="AA1211" s="697" t="s">
        <v>1901</v>
      </c>
      <c r="AB1211" s="710">
        <f t="shared" ref="AB1211:AB1223" si="164">AB1239</f>
        <v>4471.8999999999996</v>
      </c>
      <c r="AC1211" s="697" t="s">
        <v>878</v>
      </c>
      <c r="AD1211" s="710">
        <f>(Y1211*AB1211)</f>
        <v>939.1</v>
      </c>
      <c r="AE1211" s="724" t="str">
        <f t="shared" si="158"/>
        <v>|</v>
      </c>
      <c r="AG1211" s="697" t="s">
        <v>2284</v>
      </c>
    </row>
    <row r="1212" spans="6:37" ht="24" customHeight="1">
      <c r="F1212" s="698" t="s">
        <v>945</v>
      </c>
      <c r="G1212" s="708" t="s">
        <v>2276</v>
      </c>
      <c r="H1212" s="697" t="s">
        <v>1869</v>
      </c>
      <c r="M1212" s="710">
        <v>10</v>
      </c>
      <c r="N1212" s="708" t="s">
        <v>615</v>
      </c>
      <c r="O1212" s="769" t="s">
        <v>5239</v>
      </c>
      <c r="P1212" s="849">
        <v>628</v>
      </c>
      <c r="Q1212" s="698" t="s">
        <v>615</v>
      </c>
      <c r="R1212" s="710">
        <f>M1212*P1212</f>
        <v>6280</v>
      </c>
      <c r="S1212" s="703">
        <v>694.02</v>
      </c>
      <c r="T1212" s="699">
        <f>S1212*M1212</f>
        <v>6940.2</v>
      </c>
      <c r="Z1212" s="700"/>
      <c r="AA1212" s="697" t="s">
        <v>1902</v>
      </c>
      <c r="AB1212" s="710" t="str">
        <f t="shared" si="164"/>
        <v xml:space="preserve"> </v>
      </c>
      <c r="AC1212" s="702"/>
      <c r="AD1212" s="697" t="s">
        <v>987</v>
      </c>
      <c r="AE1212" s="724" t="str">
        <f t="shared" si="158"/>
        <v>|</v>
      </c>
      <c r="AG1212" s="697" t="s">
        <v>2284</v>
      </c>
    </row>
    <row r="1213" spans="6:37" ht="24" customHeight="1">
      <c r="H1213" s="697" t="s">
        <v>1897</v>
      </c>
      <c r="M1213" s="710">
        <v>0.21</v>
      </c>
      <c r="N1213" s="708" t="s">
        <v>878</v>
      </c>
      <c r="O1213" s="697" t="s">
        <v>1901</v>
      </c>
      <c r="P1213" s="710">
        <f>I1217</f>
        <v>4471.8999999999996</v>
      </c>
      <c r="Q1213" s="698" t="s">
        <v>878</v>
      </c>
      <c r="R1213" s="710">
        <f t="shared" ref="R1213:R1222" si="165">(M1213*P1213)</f>
        <v>939.1</v>
      </c>
      <c r="T1213" s="699">
        <f>R1213</f>
        <v>939.1</v>
      </c>
      <c r="Y1213" s="710">
        <v>1.1000000000000001</v>
      </c>
      <c r="Z1213" s="708" t="s">
        <v>778</v>
      </c>
      <c r="AA1213" s="697" t="s">
        <v>2034</v>
      </c>
      <c r="AB1213" s="710">
        <f t="shared" si="164"/>
        <v>861</v>
      </c>
      <c r="AC1213" s="697" t="s">
        <v>778</v>
      </c>
      <c r="AD1213" s="710">
        <f>(Y1213*AB1213)</f>
        <v>947.1</v>
      </c>
      <c r="AE1213" s="724" t="str">
        <f t="shared" si="158"/>
        <v>|</v>
      </c>
      <c r="AG1213" s="697" t="s">
        <v>2284</v>
      </c>
    </row>
    <row r="1214" spans="6:37" ht="24" customHeight="1">
      <c r="H1214" s="705" t="s">
        <v>1609</v>
      </c>
      <c r="M1214" s="710">
        <v>1.1000000000000001</v>
      </c>
      <c r="N1214" s="708" t="s">
        <v>778</v>
      </c>
      <c r="O1214" s="697" t="s">
        <v>2034</v>
      </c>
      <c r="P1214" s="710">
        <f>I1219</f>
        <v>861</v>
      </c>
      <c r="Q1214" s="698" t="s">
        <v>778</v>
      </c>
      <c r="R1214" s="710">
        <f t="shared" si="165"/>
        <v>947.1</v>
      </c>
      <c r="T1214" s="699">
        <f t="shared" ref="T1214:T1222" si="166">R1214</f>
        <v>947.1</v>
      </c>
      <c r="Y1214" s="710">
        <v>1.1000000000000001</v>
      </c>
      <c r="Z1214" s="708" t="s">
        <v>778</v>
      </c>
      <c r="AA1214" s="697" t="s">
        <v>1737</v>
      </c>
      <c r="AB1214" s="710">
        <f t="shared" si="164"/>
        <v>804</v>
      </c>
      <c r="AC1214" s="697" t="s">
        <v>778</v>
      </c>
      <c r="AD1214" s="710">
        <f>(Y1214*AB1214)</f>
        <v>884.4</v>
      </c>
      <c r="AE1214" s="724" t="str">
        <f t="shared" si="158"/>
        <v>|</v>
      </c>
      <c r="AG1214" s="697" t="s">
        <v>2284</v>
      </c>
    </row>
    <row r="1215" spans="6:37" ht="24" customHeight="1">
      <c r="F1215" s="710">
        <v>160</v>
      </c>
      <c r="G1215" s="708" t="s">
        <v>1898</v>
      </c>
      <c r="H1215" s="697" t="s">
        <v>1899</v>
      </c>
      <c r="I1215" s="710">
        <f>(C134)</f>
        <v>11790</v>
      </c>
      <c r="J1215" s="697" t="s">
        <v>1503</v>
      </c>
      <c r="K1215" s="710">
        <f>(F1215*I1215)/1000</f>
        <v>1886.4</v>
      </c>
      <c r="M1215" s="710">
        <v>1.1000000000000001</v>
      </c>
      <c r="N1215" s="708" t="s">
        <v>778</v>
      </c>
      <c r="O1215" s="697" t="s">
        <v>1737</v>
      </c>
      <c r="P1215" s="710">
        <f>I1220</f>
        <v>804</v>
      </c>
      <c r="Q1215" s="698" t="s">
        <v>778</v>
      </c>
      <c r="R1215" s="710">
        <f t="shared" si="165"/>
        <v>884.4</v>
      </c>
      <c r="T1215" s="699">
        <f t="shared" si="166"/>
        <v>884.4</v>
      </c>
      <c r="Y1215" s="710">
        <v>2.2000000000000002</v>
      </c>
      <c r="Z1215" s="708" t="s">
        <v>778</v>
      </c>
      <c r="AA1215" s="697" t="s">
        <v>1927</v>
      </c>
      <c r="AB1215" s="710">
        <f t="shared" si="164"/>
        <v>562</v>
      </c>
      <c r="AC1215" s="697" t="s">
        <v>778</v>
      </c>
      <c r="AD1215" s="710">
        <f>(Y1215*AB1215)</f>
        <v>1236.4000000000001</v>
      </c>
      <c r="AE1215" s="724" t="str">
        <f t="shared" si="158"/>
        <v>|</v>
      </c>
      <c r="AG1215" s="697" t="s">
        <v>2284</v>
      </c>
    </row>
    <row r="1216" spans="6:37" ht="24" customHeight="1">
      <c r="H1216" s="697" t="s">
        <v>1900</v>
      </c>
      <c r="I1216" s="697" t="s">
        <v>987</v>
      </c>
      <c r="K1216" s="697" t="s">
        <v>987</v>
      </c>
      <c r="M1216" s="710">
        <v>2.2000000000000002</v>
      </c>
      <c r="N1216" s="708" t="s">
        <v>778</v>
      </c>
      <c r="O1216" s="697" t="s">
        <v>1927</v>
      </c>
      <c r="P1216" s="710">
        <f>I1221</f>
        <v>562</v>
      </c>
      <c r="Q1216" s="698" t="s">
        <v>778</v>
      </c>
      <c r="R1216" s="710">
        <f t="shared" si="165"/>
        <v>1236.4000000000001</v>
      </c>
      <c r="T1216" s="699">
        <f t="shared" si="166"/>
        <v>1236.4000000000001</v>
      </c>
      <c r="Y1216" s="710">
        <v>2.2000000000000002</v>
      </c>
      <c r="Z1216" s="708" t="s">
        <v>778</v>
      </c>
      <c r="AA1216" s="697" t="s">
        <v>321</v>
      </c>
      <c r="AB1216" s="710">
        <f t="shared" si="164"/>
        <v>461</v>
      </c>
      <c r="AC1216" s="697" t="s">
        <v>778</v>
      </c>
      <c r="AD1216" s="710">
        <f>(Y1216*AB1216)</f>
        <v>1014.2</v>
      </c>
      <c r="AE1216" s="724" t="str">
        <f t="shared" si="158"/>
        <v>|</v>
      </c>
      <c r="AG1216" s="697" t="s">
        <v>2284</v>
      </c>
    </row>
    <row r="1217" spans="6:33" ht="24" customHeight="1">
      <c r="F1217" s="710">
        <v>0.21</v>
      </c>
      <c r="G1217" s="708" t="s">
        <v>878</v>
      </c>
      <c r="H1217" s="697" t="s">
        <v>1901</v>
      </c>
      <c r="I1217" s="710">
        <f>(K30)</f>
        <v>4471.8999999999996</v>
      </c>
      <c r="J1217" s="697" t="s">
        <v>878</v>
      </c>
      <c r="K1217" s="710">
        <f>(F1217*I1217)</f>
        <v>939.1</v>
      </c>
      <c r="M1217" s="710">
        <v>2.2000000000000002</v>
      </c>
      <c r="N1217" s="708" t="s">
        <v>778</v>
      </c>
      <c r="O1217" s="697" t="s">
        <v>321</v>
      </c>
      <c r="P1217" s="710">
        <f>I1222</f>
        <v>461</v>
      </c>
      <c r="Q1217" s="698" t="s">
        <v>778</v>
      </c>
      <c r="R1217" s="710">
        <f t="shared" si="165"/>
        <v>1014.2</v>
      </c>
      <c r="T1217" s="699">
        <f t="shared" si="166"/>
        <v>1014.2</v>
      </c>
      <c r="Y1217" s="740">
        <v>20</v>
      </c>
      <c r="Z1217" s="708" t="s">
        <v>1670</v>
      </c>
      <c r="AA1217" s="697" t="s">
        <v>871</v>
      </c>
      <c r="AB1217" s="710">
        <f t="shared" si="164"/>
        <v>5960</v>
      </c>
      <c r="AC1217" s="697" t="s">
        <v>870</v>
      </c>
      <c r="AD1217" s="710">
        <f>(Y1217*AB1217)/1000</f>
        <v>119.2</v>
      </c>
      <c r="AE1217" s="724" t="str">
        <f t="shared" si="158"/>
        <v>|</v>
      </c>
      <c r="AG1217" s="697" t="s">
        <v>2284</v>
      </c>
    </row>
    <row r="1218" spans="6:33" ht="24" customHeight="1">
      <c r="H1218" s="697" t="s">
        <v>1902</v>
      </c>
      <c r="I1218" s="697" t="s">
        <v>987</v>
      </c>
      <c r="K1218" s="697" t="s">
        <v>987</v>
      </c>
      <c r="M1218" s="740">
        <v>20</v>
      </c>
      <c r="N1218" s="708" t="s">
        <v>1670</v>
      </c>
      <c r="O1218" s="697" t="s">
        <v>871</v>
      </c>
      <c r="P1218" s="710">
        <f>I1223</f>
        <v>5960</v>
      </c>
      <c r="Q1218" s="698" t="s">
        <v>870</v>
      </c>
      <c r="R1218" s="710">
        <f>(M1218*P1218)/1000</f>
        <v>119.2</v>
      </c>
      <c r="T1218" s="699">
        <f t="shared" si="166"/>
        <v>119.2</v>
      </c>
      <c r="Y1218" s="740">
        <v>2</v>
      </c>
      <c r="Z1218" s="708" t="s">
        <v>1670</v>
      </c>
      <c r="AA1218" s="697" t="s">
        <v>2107</v>
      </c>
      <c r="AB1218" s="710">
        <f t="shared" si="164"/>
        <v>36.1</v>
      </c>
      <c r="AC1218" s="697" t="s">
        <v>1670</v>
      </c>
      <c r="AD1218" s="710">
        <f>(Y1218*AB1218)</f>
        <v>72.2</v>
      </c>
      <c r="AE1218" s="724" t="str">
        <f t="shared" si="158"/>
        <v>|</v>
      </c>
      <c r="AG1218" s="697" t="s">
        <v>2284</v>
      </c>
    </row>
    <row r="1219" spans="6:33" ht="24" customHeight="1">
      <c r="F1219" s="710">
        <v>1.1000000000000001</v>
      </c>
      <c r="G1219" s="708" t="s">
        <v>778</v>
      </c>
      <c r="H1219" s="697" t="s">
        <v>2034</v>
      </c>
      <c r="I1219" s="710">
        <f>(C8)</f>
        <v>861</v>
      </c>
      <c r="J1219" s="697" t="s">
        <v>778</v>
      </c>
      <c r="K1219" s="710">
        <f>(F1219*I1219)</f>
        <v>947.1</v>
      </c>
      <c r="M1219" s="740">
        <v>2</v>
      </c>
      <c r="N1219" s="708" t="s">
        <v>1670</v>
      </c>
      <c r="O1219" s="769" t="s">
        <v>1114</v>
      </c>
      <c r="P1219" s="710">
        <f>C605</f>
        <v>24.7</v>
      </c>
      <c r="Q1219" s="698" t="s">
        <v>1670</v>
      </c>
      <c r="R1219" s="710">
        <f t="shared" si="165"/>
        <v>49.4</v>
      </c>
      <c r="T1219" s="699">
        <f t="shared" si="166"/>
        <v>49.4</v>
      </c>
      <c r="Y1219" s="710">
        <v>1.6</v>
      </c>
      <c r="Z1219" s="708" t="s">
        <v>778</v>
      </c>
      <c r="AA1219" s="697" t="s">
        <v>1737</v>
      </c>
      <c r="AB1219" s="710">
        <f t="shared" si="164"/>
        <v>804</v>
      </c>
      <c r="AC1219" s="697" t="s">
        <v>778</v>
      </c>
      <c r="AD1219" s="710">
        <f>(Y1219*AB1219)</f>
        <v>1286.4000000000001</v>
      </c>
      <c r="AE1219" s="724" t="str">
        <f t="shared" si="158"/>
        <v>|</v>
      </c>
      <c r="AG1219" s="697" t="s">
        <v>2284</v>
      </c>
    </row>
    <row r="1220" spans="6:33" ht="24" customHeight="1">
      <c r="F1220" s="710">
        <v>1.1000000000000001</v>
      </c>
      <c r="G1220" s="708" t="s">
        <v>778</v>
      </c>
      <c r="H1220" s="697" t="s">
        <v>1737</v>
      </c>
      <c r="I1220" s="710">
        <f>(C9)</f>
        <v>804</v>
      </c>
      <c r="J1220" s="697" t="s">
        <v>778</v>
      </c>
      <c r="K1220" s="710">
        <f>(F1220*I1220)</f>
        <v>884.4</v>
      </c>
      <c r="M1220" s="710">
        <v>1.6</v>
      </c>
      <c r="N1220" s="708" t="s">
        <v>778</v>
      </c>
      <c r="O1220" s="697" t="s">
        <v>1737</v>
      </c>
      <c r="P1220" s="710">
        <f>P1215</f>
        <v>804</v>
      </c>
      <c r="Q1220" s="698" t="s">
        <v>778</v>
      </c>
      <c r="R1220" s="710">
        <f t="shared" si="165"/>
        <v>1286.4000000000001</v>
      </c>
      <c r="T1220" s="699">
        <f t="shared" si="166"/>
        <v>1286.4000000000001</v>
      </c>
      <c r="Y1220" s="710">
        <v>0.5</v>
      </c>
      <c r="Z1220" s="708" t="s">
        <v>778</v>
      </c>
      <c r="AA1220" s="697" t="s">
        <v>1927</v>
      </c>
      <c r="AB1220" s="710">
        <f t="shared" si="164"/>
        <v>562</v>
      </c>
      <c r="AC1220" s="697" t="s">
        <v>778</v>
      </c>
      <c r="AD1220" s="710">
        <f>(Y1220*AB1220)</f>
        <v>281</v>
      </c>
      <c r="AE1220" s="724" t="str">
        <f t="shared" si="158"/>
        <v>|</v>
      </c>
      <c r="AG1220" s="697" t="s">
        <v>2284</v>
      </c>
    </row>
    <row r="1221" spans="6:33" ht="24" customHeight="1">
      <c r="F1221" s="710">
        <v>2.2000000000000002</v>
      </c>
      <c r="G1221" s="708" t="s">
        <v>778</v>
      </c>
      <c r="H1221" s="697" t="s">
        <v>1927</v>
      </c>
      <c r="I1221" s="710">
        <f>(C10)</f>
        <v>562</v>
      </c>
      <c r="J1221" s="697" t="s">
        <v>778</v>
      </c>
      <c r="K1221" s="710">
        <f>(F1221*I1221)</f>
        <v>1236.4000000000001</v>
      </c>
      <c r="M1221" s="710">
        <v>0.5</v>
      </c>
      <c r="N1221" s="708" t="s">
        <v>778</v>
      </c>
      <c r="O1221" s="697" t="s">
        <v>1927</v>
      </c>
      <c r="P1221" s="710">
        <f>P1216</f>
        <v>562</v>
      </c>
      <c r="Q1221" s="698" t="s">
        <v>778</v>
      </c>
      <c r="R1221" s="710">
        <f t="shared" si="165"/>
        <v>281</v>
      </c>
      <c r="T1221" s="699">
        <f t="shared" si="166"/>
        <v>281</v>
      </c>
      <c r="Y1221" s="710">
        <v>1.1000000000000001</v>
      </c>
      <c r="Z1221" s="708" t="s">
        <v>778</v>
      </c>
      <c r="AA1221" s="697" t="s">
        <v>321</v>
      </c>
      <c r="AB1221" s="710">
        <f t="shared" si="164"/>
        <v>461</v>
      </c>
      <c r="AC1221" s="697" t="s">
        <v>778</v>
      </c>
      <c r="AD1221" s="710">
        <f>(Y1221*AB1221)</f>
        <v>507.1</v>
      </c>
      <c r="AE1221" s="724" t="str">
        <f t="shared" si="158"/>
        <v>|</v>
      </c>
      <c r="AG1221" s="697" t="s">
        <v>2284</v>
      </c>
    </row>
    <row r="1222" spans="6:33" ht="24" customHeight="1">
      <c r="F1222" s="710">
        <v>2.2000000000000002</v>
      </c>
      <c r="G1222" s="708" t="s">
        <v>778</v>
      </c>
      <c r="H1222" s="697" t="s">
        <v>321</v>
      </c>
      <c r="I1222" s="710">
        <f>(C11)</f>
        <v>461</v>
      </c>
      <c r="J1222" s="697" t="s">
        <v>778</v>
      </c>
      <c r="K1222" s="710">
        <f>(F1222*I1222)</f>
        <v>1014.2</v>
      </c>
      <c r="M1222" s="710">
        <v>1.1000000000000001</v>
      </c>
      <c r="N1222" s="708" t="s">
        <v>778</v>
      </c>
      <c r="O1222" s="697" t="s">
        <v>321</v>
      </c>
      <c r="P1222" s="710">
        <f>P1217</f>
        <v>461</v>
      </c>
      <c r="Q1222" s="698" t="s">
        <v>778</v>
      </c>
      <c r="R1222" s="710">
        <f t="shared" si="165"/>
        <v>507.1</v>
      </c>
      <c r="T1222" s="699">
        <f t="shared" si="166"/>
        <v>507.1</v>
      </c>
      <c r="Z1222" s="708" t="s">
        <v>450</v>
      </c>
      <c r="AA1222" s="697" t="s">
        <v>451</v>
      </c>
      <c r="AB1222" s="710">
        <f t="shared" si="164"/>
        <v>0</v>
      </c>
      <c r="AC1222" s="697" t="s">
        <v>450</v>
      </c>
      <c r="AD1222" s="710">
        <v>0</v>
      </c>
      <c r="AE1222" s="724" t="str">
        <f t="shared" si="158"/>
        <v>|</v>
      </c>
      <c r="AG1222" s="697" t="s">
        <v>2284</v>
      </c>
    </row>
    <row r="1223" spans="6:33" ht="24" customHeight="1">
      <c r="F1223" s="740">
        <v>22</v>
      </c>
      <c r="G1223" s="708" t="s">
        <v>1670</v>
      </c>
      <c r="H1223" s="697" t="s">
        <v>871</v>
      </c>
      <c r="I1223" s="710">
        <f>(C64)</f>
        <v>5960</v>
      </c>
      <c r="J1223" s="697" t="s">
        <v>870</v>
      </c>
      <c r="K1223" s="710">
        <f>(F1223*I1223)/1000</f>
        <v>131.12</v>
      </c>
      <c r="N1223" s="708" t="s">
        <v>450</v>
      </c>
      <c r="O1223" s="697" t="s">
        <v>451</v>
      </c>
      <c r="Q1223" s="698" t="s">
        <v>450</v>
      </c>
      <c r="R1223" s="710">
        <v>4.5999999999999996</v>
      </c>
      <c r="S1223" s="703">
        <f>3.27-0.52</f>
        <v>2.75</v>
      </c>
      <c r="T1223" s="699">
        <v>2.74</v>
      </c>
      <c r="Z1223" s="700"/>
      <c r="AB1223" s="710">
        <f t="shared" si="164"/>
        <v>0</v>
      </c>
      <c r="AC1223" s="702"/>
      <c r="AD1223" s="705" t="s">
        <v>1609</v>
      </c>
      <c r="AE1223" s="724" t="str">
        <f t="shared" ref="AE1223:AE1286" si="167">AG1223</f>
        <v>|</v>
      </c>
      <c r="AG1223" s="697" t="s">
        <v>2284</v>
      </c>
    </row>
    <row r="1224" spans="6:33" ht="24" customHeight="1">
      <c r="F1224" s="710">
        <v>1.6</v>
      </c>
      <c r="G1224" s="708" t="s">
        <v>778</v>
      </c>
      <c r="H1224" s="697" t="s">
        <v>1737</v>
      </c>
      <c r="I1224" s="710">
        <f>(C9)</f>
        <v>804</v>
      </c>
      <c r="J1224" s="697" t="s">
        <v>778</v>
      </c>
      <c r="K1224" s="710">
        <f>(F1224*I1224)</f>
        <v>1286.4000000000001</v>
      </c>
      <c r="N1224" s="700"/>
      <c r="Q1224" s="704"/>
      <c r="R1224" s="705" t="s">
        <v>1609</v>
      </c>
      <c r="Z1224" s="700"/>
      <c r="AA1224" s="697" t="s">
        <v>442</v>
      </c>
      <c r="AC1224" s="702"/>
      <c r="AD1224" s="710">
        <f>SUM(AD1210:AD1222)</f>
        <v>21767.1</v>
      </c>
      <c r="AE1224" s="724" t="str">
        <f t="shared" si="167"/>
        <v>|::</v>
      </c>
      <c r="AG1224" s="697" t="s">
        <v>322</v>
      </c>
    </row>
    <row r="1225" spans="6:33" ht="24" customHeight="1">
      <c r="F1225" s="710">
        <v>0.5</v>
      </c>
      <c r="G1225" s="708" t="s">
        <v>778</v>
      </c>
      <c r="H1225" s="697" t="s">
        <v>1927</v>
      </c>
      <c r="I1225" s="710">
        <f>(C10)</f>
        <v>562</v>
      </c>
      <c r="J1225" s="697" t="s">
        <v>778</v>
      </c>
      <c r="K1225" s="710">
        <f>(F1225*I1225)</f>
        <v>281</v>
      </c>
      <c r="N1225" s="700"/>
      <c r="O1225" s="697" t="s">
        <v>442</v>
      </c>
      <c r="Q1225" s="704"/>
      <c r="R1225" s="710">
        <f>SUM(R1212:R1223)</f>
        <v>13548.9</v>
      </c>
      <c r="T1225" s="710">
        <f>SUM(T1212:T1224)</f>
        <v>14207.24</v>
      </c>
      <c r="Z1225" s="700"/>
      <c r="AC1225" s="702"/>
      <c r="AD1225" s="705" t="s">
        <v>1609</v>
      </c>
      <c r="AE1225" s="724">
        <f t="shared" si="167"/>
        <v>0</v>
      </c>
    </row>
    <row r="1226" spans="6:33" ht="24" customHeight="1">
      <c r="F1226" s="710">
        <v>1.1000000000000001</v>
      </c>
      <c r="G1226" s="708" t="s">
        <v>778</v>
      </c>
      <c r="H1226" s="697" t="s">
        <v>321</v>
      </c>
      <c r="I1226" s="710">
        <f>(C11)</f>
        <v>461</v>
      </c>
      <c r="J1226" s="697" t="s">
        <v>778</v>
      </c>
      <c r="K1226" s="710">
        <f>(F1226*I1226)</f>
        <v>507.1</v>
      </c>
      <c r="N1226" s="700"/>
      <c r="Q1226" s="704"/>
      <c r="R1226" s="705" t="s">
        <v>1609</v>
      </c>
      <c r="Z1226" s="700"/>
      <c r="AA1226" s="711" t="s">
        <v>556</v>
      </c>
      <c r="AC1226" s="702"/>
      <c r="AD1226" s="709">
        <f>(AD1224/10)</f>
        <v>2176.71</v>
      </c>
      <c r="AE1226" s="724">
        <f t="shared" si="167"/>
        <v>0</v>
      </c>
    </row>
    <row r="1227" spans="6:33" ht="24" customHeight="1">
      <c r="F1227" s="697" t="s">
        <v>248</v>
      </c>
      <c r="H1227" s="697" t="s">
        <v>1903</v>
      </c>
      <c r="I1227" s="697" t="s">
        <v>987</v>
      </c>
      <c r="K1227" s="697" t="s">
        <v>987</v>
      </c>
      <c r="N1227" s="700"/>
      <c r="O1227" s="701" t="s">
        <v>556</v>
      </c>
      <c r="Q1227" s="704"/>
      <c r="R1227" s="709">
        <f>(R1225/10)</f>
        <v>1354.89</v>
      </c>
      <c r="S1227" s="703">
        <f>R1227-975.62</f>
        <v>379.27</v>
      </c>
      <c r="T1227" s="709">
        <f>(T1225/10)</f>
        <v>1420.72</v>
      </c>
      <c r="Z1227" s="700"/>
      <c r="AC1227" s="702"/>
      <c r="AD1227" s="705" t="s">
        <v>2080</v>
      </c>
      <c r="AE1227" s="724" t="str">
        <f t="shared" si="167"/>
        <v>|</v>
      </c>
      <c r="AG1227" s="697" t="s">
        <v>2284</v>
      </c>
    </row>
    <row r="1228" spans="6:33" ht="24" customHeight="1">
      <c r="F1228" s="710">
        <v>1</v>
      </c>
      <c r="G1228" s="708" t="s">
        <v>450</v>
      </c>
      <c r="H1228" s="697" t="s">
        <v>1904</v>
      </c>
      <c r="I1228" s="710">
        <f>(C54)</f>
        <v>35</v>
      </c>
      <c r="J1228" s="697" t="s">
        <v>450</v>
      </c>
      <c r="K1228" s="710">
        <f>(F1228*I1228)</f>
        <v>35</v>
      </c>
      <c r="N1228" s="700"/>
      <c r="O1228" s="847" t="s">
        <v>3930</v>
      </c>
      <c r="P1228" s="758"/>
      <c r="Q1228" s="704"/>
      <c r="AE1228" s="724" t="str">
        <f t="shared" si="167"/>
        <v>|</v>
      </c>
      <c r="AG1228" s="697" t="s">
        <v>2284</v>
      </c>
    </row>
    <row r="1229" spans="6:33" ht="24" customHeight="1">
      <c r="F1229" s="710">
        <v>1</v>
      </c>
      <c r="G1229" s="708" t="s">
        <v>450</v>
      </c>
      <c r="H1229" s="697" t="s">
        <v>1905</v>
      </c>
      <c r="I1229" s="710">
        <f>(C55)</f>
        <v>11.8</v>
      </c>
      <c r="J1229" s="697" t="s">
        <v>450</v>
      </c>
      <c r="K1229" s="710">
        <f>(F1229*I1229)</f>
        <v>11.8</v>
      </c>
      <c r="N1229" s="700"/>
      <c r="Q1229" s="704"/>
      <c r="AE1229" s="724" t="str">
        <f t="shared" si="167"/>
        <v>|</v>
      </c>
      <c r="AG1229" s="697" t="s">
        <v>2284</v>
      </c>
    </row>
    <row r="1230" spans="6:33" ht="24" customHeight="1">
      <c r="F1230" s="710">
        <v>1</v>
      </c>
      <c r="G1230" s="708" t="s">
        <v>450</v>
      </c>
      <c r="H1230" s="697" t="s">
        <v>179</v>
      </c>
      <c r="I1230" s="710">
        <f>(C26)</f>
        <v>85.6</v>
      </c>
      <c r="J1230" s="697" t="s">
        <v>450</v>
      </c>
      <c r="K1230" s="710">
        <f>(F1230*I1230)</f>
        <v>85.6</v>
      </c>
      <c r="M1230" s="850"/>
      <c r="N1230" s="851"/>
      <c r="O1230" s="850"/>
      <c r="P1230" s="850"/>
      <c r="Q1230" s="704"/>
      <c r="AE1230" s="724" t="str">
        <f t="shared" si="167"/>
        <v>|</v>
      </c>
      <c r="AG1230" s="697" t="s">
        <v>2284</v>
      </c>
    </row>
    <row r="1231" spans="6:33" ht="24" customHeight="1">
      <c r="F1231" s="710">
        <v>1.1000000000000001</v>
      </c>
      <c r="G1231" s="708" t="s">
        <v>778</v>
      </c>
      <c r="H1231" s="697" t="s">
        <v>865</v>
      </c>
      <c r="I1231" s="710">
        <f>(C27)</f>
        <v>663</v>
      </c>
      <c r="J1231" s="697" t="s">
        <v>778</v>
      </c>
      <c r="K1231" s="710">
        <f>(F1231*I1231)</f>
        <v>729.3</v>
      </c>
      <c r="M1231" s="710">
        <v>10</v>
      </c>
      <c r="N1231" s="708" t="s">
        <v>615</v>
      </c>
      <c r="O1231" s="697" t="s">
        <v>5132</v>
      </c>
      <c r="P1231" s="718">
        <v>633</v>
      </c>
      <c r="Q1231" s="698" t="s">
        <v>615</v>
      </c>
      <c r="R1231" s="710">
        <f>M1231*P1231</f>
        <v>6330</v>
      </c>
      <c r="T1231" s="700"/>
      <c r="U1231" s="847" t="s">
        <v>3957</v>
      </c>
      <c r="W1231" s="704"/>
      <c r="AE1231" s="724" t="str">
        <f t="shared" si="167"/>
        <v>|</v>
      </c>
      <c r="AG1231" s="697" t="s">
        <v>2284</v>
      </c>
    </row>
    <row r="1232" spans="6:33" ht="24" customHeight="1">
      <c r="F1232" s="710">
        <v>2.2000000000000002</v>
      </c>
      <c r="G1232" s="708" t="s">
        <v>778</v>
      </c>
      <c r="H1232" s="697" t="s">
        <v>866</v>
      </c>
      <c r="I1232" s="710">
        <f>(C11)</f>
        <v>461</v>
      </c>
      <c r="J1232" s="697" t="s">
        <v>778</v>
      </c>
      <c r="K1232" s="710">
        <f>(F1232*I1232)</f>
        <v>1014.2</v>
      </c>
      <c r="M1232" s="710">
        <v>0.21</v>
      </c>
      <c r="N1232" s="708" t="s">
        <v>878</v>
      </c>
      <c r="O1232" s="697" t="s">
        <v>1901</v>
      </c>
      <c r="P1232" s="710">
        <f>P1255</f>
        <v>4471.8999999999996</v>
      </c>
      <c r="Q1232" s="698" t="s">
        <v>878</v>
      </c>
      <c r="R1232" s="710">
        <f>(M1232*P1232)</f>
        <v>939.1</v>
      </c>
      <c r="T1232" s="700"/>
      <c r="W1232" s="704"/>
      <c r="AE1232" s="724" t="str">
        <f t="shared" si="167"/>
        <v>|</v>
      </c>
      <c r="AG1232" s="697" t="s">
        <v>2284</v>
      </c>
    </row>
    <row r="1233" spans="6:33" ht="24" customHeight="1">
      <c r="G1233" s="708" t="s">
        <v>450</v>
      </c>
      <c r="H1233" s="697" t="s">
        <v>451</v>
      </c>
      <c r="J1233" s="697" t="s">
        <v>450</v>
      </c>
      <c r="K1233" s="710">
        <v>0</v>
      </c>
      <c r="M1233" s="710">
        <v>1.1000000000000001</v>
      </c>
      <c r="N1233" s="708" t="s">
        <v>778</v>
      </c>
      <c r="O1233" s="697" t="s">
        <v>2034</v>
      </c>
      <c r="P1233" s="710">
        <f t="shared" ref="P1233:P1241" si="168">P1256</f>
        <v>861</v>
      </c>
      <c r="Q1233" s="698" t="s">
        <v>778</v>
      </c>
      <c r="R1233" s="710">
        <f>(M1233*P1233)</f>
        <v>947.1</v>
      </c>
      <c r="T1233" s="700"/>
      <c r="W1233" s="704"/>
      <c r="AE1233" s="724" t="str">
        <f t="shared" si="167"/>
        <v>|</v>
      </c>
      <c r="AG1233" s="697" t="s">
        <v>2284</v>
      </c>
    </row>
    <row r="1234" spans="6:33" ht="24" customHeight="1">
      <c r="K1234" s="705" t="s">
        <v>1609</v>
      </c>
      <c r="M1234" s="710">
        <v>1.1000000000000001</v>
      </c>
      <c r="N1234" s="708" t="s">
        <v>778</v>
      </c>
      <c r="O1234" s="697" t="s">
        <v>1737</v>
      </c>
      <c r="P1234" s="710">
        <f t="shared" si="168"/>
        <v>804</v>
      </c>
      <c r="Q1234" s="698" t="s">
        <v>778</v>
      </c>
      <c r="R1234" s="710">
        <f>(M1234*P1234)</f>
        <v>884.4</v>
      </c>
      <c r="S1234" s="740">
        <v>10</v>
      </c>
      <c r="T1234" s="708" t="s">
        <v>615</v>
      </c>
      <c r="U1234" s="697" t="s">
        <v>3958</v>
      </c>
      <c r="V1234" s="817">
        <v>700</v>
      </c>
      <c r="W1234" s="698" t="s">
        <v>615</v>
      </c>
      <c r="X1234" s="710">
        <f>S1234*V1234</f>
        <v>7000</v>
      </c>
      <c r="Y1234" s="753">
        <v>29.5</v>
      </c>
      <c r="Z1234" s="708" t="s">
        <v>2276</v>
      </c>
      <c r="AA1234" s="701" t="s">
        <v>3841</v>
      </c>
      <c r="AE1234" s="724" t="str">
        <f t="shared" si="167"/>
        <v>|</v>
      </c>
      <c r="AG1234" s="697" t="s">
        <v>2284</v>
      </c>
    </row>
    <row r="1235" spans="6:33" ht="24" customHeight="1">
      <c r="H1235" s="697" t="s">
        <v>442</v>
      </c>
      <c r="K1235" s="710">
        <f>SUM(K1215:K1233)</f>
        <v>10989.12</v>
      </c>
      <c r="M1235" s="710">
        <v>2.2000000000000002</v>
      </c>
      <c r="N1235" s="708" t="s">
        <v>778</v>
      </c>
      <c r="O1235" s="697" t="s">
        <v>1927</v>
      </c>
      <c r="P1235" s="710">
        <f t="shared" si="168"/>
        <v>562</v>
      </c>
      <c r="Q1235" s="698" t="s">
        <v>778</v>
      </c>
      <c r="R1235" s="710">
        <f>(M1235*P1235)</f>
        <v>1236.4000000000001</v>
      </c>
      <c r="S1235" s="740">
        <v>0.21</v>
      </c>
      <c r="T1235" s="708" t="s">
        <v>878</v>
      </c>
      <c r="U1235" s="697" t="s">
        <v>1901</v>
      </c>
      <c r="V1235" s="710">
        <f t="shared" ref="V1235:V1244" si="169">P1255</f>
        <v>4471.8999999999996</v>
      </c>
      <c r="W1235" s="698" t="s">
        <v>878</v>
      </c>
      <c r="X1235" s="710">
        <f>(S1235*V1235)</f>
        <v>939.1</v>
      </c>
      <c r="Z1235" s="700"/>
      <c r="AA1235" s="697"/>
      <c r="AE1235" s="724" t="str">
        <f t="shared" si="167"/>
        <v>|</v>
      </c>
      <c r="AG1235" s="697" t="s">
        <v>2284</v>
      </c>
    </row>
    <row r="1236" spans="6:33" ht="24" customHeight="1">
      <c r="K1236" s="705" t="s">
        <v>1609</v>
      </c>
      <c r="M1236" s="710">
        <v>2.2000000000000002</v>
      </c>
      <c r="N1236" s="708" t="s">
        <v>778</v>
      </c>
      <c r="O1236" s="697" t="s">
        <v>321</v>
      </c>
      <c r="P1236" s="710">
        <f t="shared" si="168"/>
        <v>461</v>
      </c>
      <c r="Q1236" s="698" t="s">
        <v>778</v>
      </c>
      <c r="R1236" s="710">
        <f>(M1236*P1236)</f>
        <v>1014.2</v>
      </c>
      <c r="S1236" s="740">
        <v>1.1000000000000001</v>
      </c>
      <c r="T1236" s="708" t="s">
        <v>778</v>
      </c>
      <c r="U1236" s="697" t="s">
        <v>2034</v>
      </c>
      <c r="V1236" s="710">
        <f t="shared" si="169"/>
        <v>861</v>
      </c>
      <c r="W1236" s="698" t="s">
        <v>778</v>
      </c>
      <c r="X1236" s="710">
        <f>(S1236*V1236)</f>
        <v>947.1</v>
      </c>
      <c r="Z1236" s="700"/>
      <c r="AA1236" s="697"/>
      <c r="AE1236" s="724" t="str">
        <f t="shared" si="167"/>
        <v>|</v>
      </c>
      <c r="AG1236" s="697" t="s">
        <v>2284</v>
      </c>
    </row>
    <row r="1237" spans="6:33" ht="24" customHeight="1">
      <c r="F1237" s="697" t="s">
        <v>987</v>
      </c>
      <c r="M1237" s="740">
        <v>20</v>
      </c>
      <c r="N1237" s="708" t="s">
        <v>1670</v>
      </c>
      <c r="O1237" s="697" t="s">
        <v>871</v>
      </c>
      <c r="P1237" s="710">
        <f t="shared" si="168"/>
        <v>5960</v>
      </c>
      <c r="Q1237" s="698" t="s">
        <v>870</v>
      </c>
      <c r="R1237" s="710">
        <f>(M1237*P1237)/1000</f>
        <v>119.2</v>
      </c>
      <c r="S1237" s="740">
        <v>1.1000000000000001</v>
      </c>
      <c r="T1237" s="708" t="s">
        <v>778</v>
      </c>
      <c r="U1237" s="697" t="s">
        <v>1737</v>
      </c>
      <c r="V1237" s="710">
        <f t="shared" si="169"/>
        <v>804</v>
      </c>
      <c r="W1237" s="698" t="s">
        <v>778</v>
      </c>
      <c r="X1237" s="710">
        <f>(S1237*V1237)</f>
        <v>884.4</v>
      </c>
      <c r="Z1237" s="700"/>
      <c r="AA1237" s="705" t="s">
        <v>1609</v>
      </c>
      <c r="AB1237" s="705" t="s">
        <v>1609</v>
      </c>
      <c r="AC1237" s="702"/>
      <c r="AE1237" s="724" t="str">
        <f t="shared" si="167"/>
        <v>|</v>
      </c>
      <c r="AG1237" s="697" t="s">
        <v>2284</v>
      </c>
    </row>
    <row r="1238" spans="6:33" ht="45.75" customHeight="1">
      <c r="H1238" s="711" t="s">
        <v>556</v>
      </c>
      <c r="K1238" s="709">
        <f>(K1235/10)</f>
        <v>1098.9100000000001</v>
      </c>
      <c r="M1238" s="740">
        <v>2</v>
      </c>
      <c r="N1238" s="708" t="s">
        <v>1670</v>
      </c>
      <c r="O1238" s="697" t="s">
        <v>1550</v>
      </c>
      <c r="P1238" s="710">
        <f t="shared" si="168"/>
        <v>36.1</v>
      </c>
      <c r="Q1238" s="698" t="s">
        <v>1670</v>
      </c>
      <c r="R1238" s="710">
        <f>(M1238*P1238)</f>
        <v>72.2</v>
      </c>
      <c r="S1238" s="740">
        <v>2.2000000000000002</v>
      </c>
      <c r="T1238" s="708" t="s">
        <v>778</v>
      </c>
      <c r="U1238" s="697" t="s">
        <v>1927</v>
      </c>
      <c r="V1238" s="710">
        <f t="shared" si="169"/>
        <v>562</v>
      </c>
      <c r="W1238" s="698" t="s">
        <v>778</v>
      </c>
      <c r="X1238" s="710">
        <f>(S1238*V1238)</f>
        <v>1236.4000000000001</v>
      </c>
      <c r="Y1238" s="710">
        <v>10</v>
      </c>
      <c r="Z1238" s="708" t="s">
        <v>615</v>
      </c>
      <c r="AA1238" s="766" t="s">
        <v>5163</v>
      </c>
      <c r="AB1238" s="718">
        <v>763</v>
      </c>
      <c r="AC1238" s="697" t="s">
        <v>615</v>
      </c>
      <c r="AD1238" s="710">
        <f>(Y1238*AB1238)</f>
        <v>7630</v>
      </c>
      <c r="AE1238" s="724" t="str">
        <f t="shared" si="167"/>
        <v>|</v>
      </c>
      <c r="AG1238" s="697" t="s">
        <v>2284</v>
      </c>
    </row>
    <row r="1239" spans="6:33" ht="24" customHeight="1">
      <c r="F1239" s="697" t="s">
        <v>987</v>
      </c>
      <c r="M1239" s="710">
        <v>1.6</v>
      </c>
      <c r="N1239" s="708" t="s">
        <v>778</v>
      </c>
      <c r="O1239" s="697" t="s">
        <v>1737</v>
      </c>
      <c r="P1239" s="710">
        <f t="shared" si="168"/>
        <v>804</v>
      </c>
      <c r="Q1239" s="698" t="s">
        <v>778</v>
      </c>
      <c r="R1239" s="710">
        <f>(M1239*P1239)</f>
        <v>1286.4000000000001</v>
      </c>
      <c r="S1239" s="740">
        <v>2.2000000000000002</v>
      </c>
      <c r="T1239" s="708" t="s">
        <v>778</v>
      </c>
      <c r="U1239" s="697" t="s">
        <v>321</v>
      </c>
      <c r="V1239" s="710">
        <f t="shared" si="169"/>
        <v>461</v>
      </c>
      <c r="W1239" s="698" t="s">
        <v>778</v>
      </c>
      <c r="X1239" s="710">
        <f>(S1239*V1239)</f>
        <v>1014.2</v>
      </c>
      <c r="Y1239" s="710">
        <v>0.21</v>
      </c>
      <c r="Z1239" s="708" t="s">
        <v>878</v>
      </c>
      <c r="AA1239" s="697" t="s">
        <v>1901</v>
      </c>
      <c r="AB1239" s="710">
        <f>V1235</f>
        <v>4471.8999999999996</v>
      </c>
      <c r="AC1239" s="697" t="s">
        <v>878</v>
      </c>
      <c r="AD1239" s="710">
        <f>(Y1239*AB1239)</f>
        <v>939.1</v>
      </c>
      <c r="AE1239" s="724" t="str">
        <f t="shared" si="167"/>
        <v>|</v>
      </c>
      <c r="AG1239" s="697" t="s">
        <v>2284</v>
      </c>
    </row>
    <row r="1240" spans="6:33" ht="24" customHeight="1">
      <c r="K1240" s="705" t="s">
        <v>2080</v>
      </c>
      <c r="M1240" s="710">
        <v>0.5</v>
      </c>
      <c r="N1240" s="708" t="s">
        <v>778</v>
      </c>
      <c r="O1240" s="697" t="s">
        <v>1927</v>
      </c>
      <c r="P1240" s="710">
        <f t="shared" si="168"/>
        <v>562</v>
      </c>
      <c r="Q1240" s="698" t="s">
        <v>778</v>
      </c>
      <c r="R1240" s="710">
        <f>(M1240*P1240)</f>
        <v>281</v>
      </c>
      <c r="S1240" s="740">
        <v>20</v>
      </c>
      <c r="T1240" s="708" t="s">
        <v>1670</v>
      </c>
      <c r="U1240" s="697" t="s">
        <v>871</v>
      </c>
      <c r="V1240" s="710">
        <f t="shared" si="169"/>
        <v>5960</v>
      </c>
      <c r="W1240" s="698" t="s">
        <v>870</v>
      </c>
      <c r="X1240" s="710">
        <f>(S1240*V1240)/1000</f>
        <v>119.2</v>
      </c>
      <c r="Z1240" s="700"/>
      <c r="AA1240" s="697" t="s">
        <v>1902</v>
      </c>
      <c r="AB1240" s="697" t="s">
        <v>987</v>
      </c>
      <c r="AC1240" s="702"/>
      <c r="AD1240" s="697" t="s">
        <v>987</v>
      </c>
      <c r="AE1240" s="724" t="str">
        <f t="shared" si="167"/>
        <v>|</v>
      </c>
      <c r="AG1240" s="697" t="s">
        <v>2284</v>
      </c>
    </row>
    <row r="1241" spans="6:33" ht="24" customHeight="1">
      <c r="F1241" s="753">
        <v>29.5</v>
      </c>
      <c r="G1241" s="708" t="s">
        <v>2276</v>
      </c>
      <c r="H1241" s="697" t="s">
        <v>1838</v>
      </c>
      <c r="M1241" s="710">
        <v>1.1000000000000001</v>
      </c>
      <c r="N1241" s="708" t="s">
        <v>778</v>
      </c>
      <c r="O1241" s="697" t="s">
        <v>321</v>
      </c>
      <c r="P1241" s="710">
        <f t="shared" si="168"/>
        <v>461</v>
      </c>
      <c r="Q1241" s="698" t="s">
        <v>778</v>
      </c>
      <c r="R1241" s="710">
        <f>(M1241*P1241)</f>
        <v>507.1</v>
      </c>
      <c r="S1241" s="740">
        <v>2</v>
      </c>
      <c r="T1241" s="708" t="s">
        <v>1670</v>
      </c>
      <c r="U1241" s="697" t="s">
        <v>1550</v>
      </c>
      <c r="V1241" s="710">
        <f t="shared" si="169"/>
        <v>36.1</v>
      </c>
      <c r="W1241" s="698" t="s">
        <v>1670</v>
      </c>
      <c r="X1241" s="710">
        <f>(S1241*V1241)</f>
        <v>72.2</v>
      </c>
      <c r="Y1241" s="710">
        <v>1.1000000000000001</v>
      </c>
      <c r="Z1241" s="708" t="s">
        <v>778</v>
      </c>
      <c r="AA1241" s="697" t="s">
        <v>2034</v>
      </c>
      <c r="AB1241" s="710">
        <f>V1236</f>
        <v>861</v>
      </c>
      <c r="AC1241" s="697" t="s">
        <v>778</v>
      </c>
      <c r="AD1241" s="710">
        <f>(Y1241*AB1241)</f>
        <v>947.1</v>
      </c>
      <c r="AE1241" s="724" t="str">
        <f t="shared" si="167"/>
        <v>|</v>
      </c>
      <c r="AG1241" s="697" t="s">
        <v>2284</v>
      </c>
    </row>
    <row r="1242" spans="6:33" ht="24" customHeight="1">
      <c r="H1242" s="697" t="s">
        <v>867</v>
      </c>
      <c r="N1242" s="708" t="s">
        <v>450</v>
      </c>
      <c r="O1242" s="697" t="s">
        <v>451</v>
      </c>
      <c r="Q1242" s="698" t="s">
        <v>450</v>
      </c>
      <c r="R1242" s="710">
        <v>0</v>
      </c>
      <c r="S1242" s="740">
        <v>1.6</v>
      </c>
      <c r="T1242" s="708" t="s">
        <v>778</v>
      </c>
      <c r="U1242" s="697" t="s">
        <v>1737</v>
      </c>
      <c r="V1242" s="710">
        <f t="shared" si="169"/>
        <v>804</v>
      </c>
      <c r="W1242" s="698" t="s">
        <v>778</v>
      </c>
      <c r="X1242" s="710">
        <f>(S1242*V1242)</f>
        <v>1286.4000000000001</v>
      </c>
      <c r="Y1242" s="710">
        <v>1.1000000000000001</v>
      </c>
      <c r="Z1242" s="708" t="s">
        <v>778</v>
      </c>
      <c r="AA1242" s="697" t="s">
        <v>1737</v>
      </c>
      <c r="AB1242" s="710">
        <f>V1237</f>
        <v>804</v>
      </c>
      <c r="AC1242" s="697" t="s">
        <v>778</v>
      </c>
      <c r="AD1242" s="710">
        <f>(Y1242*AB1242)</f>
        <v>884.4</v>
      </c>
      <c r="AE1242" s="724" t="str">
        <f t="shared" si="167"/>
        <v>|</v>
      </c>
      <c r="AG1242" s="697" t="s">
        <v>2284</v>
      </c>
    </row>
    <row r="1243" spans="6:33" ht="24" customHeight="1">
      <c r="H1243" s="697" t="s">
        <v>1961</v>
      </c>
      <c r="N1243" s="700"/>
      <c r="Q1243" s="704"/>
      <c r="R1243" s="705"/>
      <c r="S1243" s="740">
        <v>0.5</v>
      </c>
      <c r="T1243" s="708" t="s">
        <v>778</v>
      </c>
      <c r="U1243" s="697" t="s">
        <v>1927</v>
      </c>
      <c r="V1243" s="710">
        <f t="shared" si="169"/>
        <v>562</v>
      </c>
      <c r="W1243" s="698" t="s">
        <v>778</v>
      </c>
      <c r="X1243" s="710">
        <f>(S1243*V1243)</f>
        <v>281</v>
      </c>
      <c r="Y1243" s="710">
        <v>2.2000000000000002</v>
      </c>
      <c r="Z1243" s="708" t="s">
        <v>778</v>
      </c>
      <c r="AA1243" s="697" t="s">
        <v>1927</v>
      </c>
      <c r="AB1243" s="710">
        <f>V1238</f>
        <v>562</v>
      </c>
      <c r="AC1243" s="697" t="s">
        <v>778</v>
      </c>
      <c r="AD1243" s="710">
        <f>(Y1243*AB1243)</f>
        <v>1236.4000000000001</v>
      </c>
      <c r="AE1243" s="724" t="str">
        <f t="shared" si="167"/>
        <v>|</v>
      </c>
      <c r="AG1243" s="697" t="s">
        <v>2284</v>
      </c>
    </row>
    <row r="1244" spans="6:33" ht="24" customHeight="1">
      <c r="H1244" s="705" t="s">
        <v>1609</v>
      </c>
      <c r="I1244" s="705" t="s">
        <v>1609</v>
      </c>
      <c r="N1244" s="700"/>
      <c r="O1244" s="697" t="s">
        <v>442</v>
      </c>
      <c r="Q1244" s="704"/>
      <c r="R1244" s="710">
        <f>SUM(R1231:R1242)</f>
        <v>13617.1</v>
      </c>
      <c r="S1244" s="740">
        <v>1.1000000000000001</v>
      </c>
      <c r="T1244" s="708" t="s">
        <v>778</v>
      </c>
      <c r="U1244" s="697" t="s">
        <v>321</v>
      </c>
      <c r="V1244" s="710">
        <f t="shared" si="169"/>
        <v>461</v>
      </c>
      <c r="W1244" s="698" t="s">
        <v>778</v>
      </c>
      <c r="X1244" s="710">
        <f>(S1244*V1244)</f>
        <v>507.1</v>
      </c>
      <c r="Y1244" s="710">
        <v>2.2000000000000002</v>
      </c>
      <c r="Z1244" s="708" t="s">
        <v>778</v>
      </c>
      <c r="AA1244" s="697" t="s">
        <v>321</v>
      </c>
      <c r="AB1244" s="710">
        <f>V1239</f>
        <v>461</v>
      </c>
      <c r="AC1244" s="697" t="s">
        <v>778</v>
      </c>
      <c r="AD1244" s="710">
        <f>(Y1244*AB1244)</f>
        <v>1014.2</v>
      </c>
      <c r="AE1244" s="724" t="str">
        <f t="shared" si="167"/>
        <v>|</v>
      </c>
      <c r="AG1244" s="697" t="s">
        <v>2284</v>
      </c>
    </row>
    <row r="1245" spans="6:33" ht="24" customHeight="1">
      <c r="F1245" s="710">
        <v>10</v>
      </c>
      <c r="G1245" s="708" t="s">
        <v>615</v>
      </c>
      <c r="H1245" s="697" t="s">
        <v>1962</v>
      </c>
      <c r="I1245" s="710">
        <f>C598</f>
        <v>363.34</v>
      </c>
      <c r="J1245" s="697" t="s">
        <v>615</v>
      </c>
      <c r="K1245" s="710">
        <f>(F1245*I1245)</f>
        <v>3633.4</v>
      </c>
      <c r="N1245" s="700"/>
      <c r="Q1245" s="704"/>
      <c r="R1245" s="705" t="s">
        <v>1609</v>
      </c>
      <c r="T1245" s="708" t="s">
        <v>450</v>
      </c>
      <c r="U1245" s="697" t="s">
        <v>451</v>
      </c>
      <c r="W1245" s="698" t="s">
        <v>450</v>
      </c>
      <c r="X1245" s="710">
        <v>0.18</v>
      </c>
      <c r="Y1245" s="740">
        <v>20</v>
      </c>
      <c r="Z1245" s="708" t="s">
        <v>1670</v>
      </c>
      <c r="AA1245" s="697" t="s">
        <v>871</v>
      </c>
      <c r="AB1245" s="710">
        <f>V1240</f>
        <v>5960</v>
      </c>
      <c r="AC1245" s="697" t="s">
        <v>870</v>
      </c>
      <c r="AD1245" s="710">
        <f>(Y1245*AB1245)/1000</f>
        <v>119.2</v>
      </c>
      <c r="AE1245" s="724" t="str">
        <f t="shared" si="167"/>
        <v>|</v>
      </c>
      <c r="AG1245" s="697" t="s">
        <v>2284</v>
      </c>
    </row>
    <row r="1246" spans="6:33" ht="24" customHeight="1">
      <c r="F1246" s="710">
        <v>0.21</v>
      </c>
      <c r="G1246" s="708" t="s">
        <v>878</v>
      </c>
      <c r="H1246" s="697" t="s">
        <v>1901</v>
      </c>
      <c r="I1246" s="710">
        <f>(K30)</f>
        <v>4471.8999999999996</v>
      </c>
      <c r="J1246" s="697" t="s">
        <v>878</v>
      </c>
      <c r="K1246" s="710">
        <f>(F1246*I1246)</f>
        <v>939.1</v>
      </c>
      <c r="N1246" s="700"/>
      <c r="O1246" s="701" t="s">
        <v>556</v>
      </c>
      <c r="Q1246" s="704"/>
      <c r="R1246" s="709">
        <f>(R1244/10)</f>
        <v>1361.71</v>
      </c>
      <c r="T1246" s="700"/>
      <c r="W1246" s="704"/>
      <c r="X1246" s="705" t="s">
        <v>1609</v>
      </c>
      <c r="Y1246" s="740">
        <v>2</v>
      </c>
      <c r="Z1246" s="708" t="s">
        <v>1670</v>
      </c>
      <c r="AA1246" s="697" t="s">
        <v>2107</v>
      </c>
      <c r="AB1246" s="737">
        <v>36.1</v>
      </c>
      <c r="AC1246" s="697" t="s">
        <v>1670</v>
      </c>
      <c r="AD1246" s="710">
        <f>(Y1246*AB1246)</f>
        <v>72.2</v>
      </c>
      <c r="AE1246" s="724">
        <f t="shared" si="167"/>
        <v>0</v>
      </c>
    </row>
    <row r="1247" spans="6:33" ht="24" customHeight="1">
      <c r="H1247" s="697" t="s">
        <v>1902</v>
      </c>
      <c r="I1247" s="697" t="s">
        <v>987</v>
      </c>
      <c r="K1247" s="697" t="s">
        <v>987</v>
      </c>
      <c r="N1247" s="700"/>
      <c r="Q1247" s="704"/>
      <c r="R1247" s="705"/>
      <c r="T1247" s="700"/>
      <c r="U1247" s="697" t="s">
        <v>442</v>
      </c>
      <c r="W1247" s="704"/>
      <c r="X1247" s="710">
        <f>SUM(X1234:X1245)</f>
        <v>14287.28</v>
      </c>
      <c r="Y1247" s="710">
        <v>1.6</v>
      </c>
      <c r="Z1247" s="708" t="s">
        <v>778</v>
      </c>
      <c r="AA1247" s="697" t="s">
        <v>1737</v>
      </c>
      <c r="AB1247" s="710">
        <f>V1242</f>
        <v>804</v>
      </c>
      <c r="AC1247" s="697" t="s">
        <v>778</v>
      </c>
      <c r="AD1247" s="710">
        <f>(Y1247*AB1247)</f>
        <v>1286.4000000000001</v>
      </c>
      <c r="AE1247" s="724" t="str">
        <f t="shared" si="167"/>
        <v>|</v>
      </c>
      <c r="AG1247" s="697" t="s">
        <v>2284</v>
      </c>
    </row>
    <row r="1248" spans="6:33" ht="24" customHeight="1">
      <c r="F1248" s="710">
        <v>1.1000000000000001</v>
      </c>
      <c r="G1248" s="708" t="s">
        <v>778</v>
      </c>
      <c r="H1248" s="697" t="s">
        <v>2034</v>
      </c>
      <c r="I1248" s="710">
        <f>(C8)</f>
        <v>861</v>
      </c>
      <c r="J1248" s="697" t="s">
        <v>778</v>
      </c>
      <c r="K1248" s="710">
        <f>(F1248*I1248)</f>
        <v>947.1</v>
      </c>
      <c r="N1248" s="700"/>
      <c r="Q1248" s="704"/>
      <c r="R1248" s="705"/>
      <c r="T1248" s="700"/>
      <c r="W1248" s="704"/>
      <c r="X1248" s="705" t="s">
        <v>1609</v>
      </c>
      <c r="Y1248" s="710">
        <v>0.5</v>
      </c>
      <c r="Z1248" s="708" t="s">
        <v>778</v>
      </c>
      <c r="AA1248" s="697" t="s">
        <v>1927</v>
      </c>
      <c r="AB1248" s="710">
        <f>V1243</f>
        <v>562</v>
      </c>
      <c r="AC1248" s="697" t="s">
        <v>778</v>
      </c>
      <c r="AD1248" s="710">
        <f>(Y1248*AB1248)</f>
        <v>281</v>
      </c>
      <c r="AE1248" s="724">
        <f t="shared" si="167"/>
        <v>0</v>
      </c>
    </row>
    <row r="1249" spans="6:33" ht="24" customHeight="1">
      <c r="F1249" s="710">
        <v>1.1000000000000001</v>
      </c>
      <c r="G1249" s="708" t="s">
        <v>778</v>
      </c>
      <c r="H1249" s="697" t="s">
        <v>1737</v>
      </c>
      <c r="I1249" s="710">
        <f>(C9)</f>
        <v>804</v>
      </c>
      <c r="J1249" s="697" t="s">
        <v>778</v>
      </c>
      <c r="K1249" s="710">
        <f>(F1249*I1249)</f>
        <v>884.4</v>
      </c>
      <c r="N1249" s="700"/>
      <c r="Q1249" s="704"/>
      <c r="R1249" s="705"/>
      <c r="T1249" s="700"/>
      <c r="U1249" s="701" t="s">
        <v>556</v>
      </c>
      <c r="W1249" s="704"/>
      <c r="X1249" s="709">
        <f>(X1247/10)</f>
        <v>1428.73</v>
      </c>
      <c r="Y1249" s="710">
        <v>1.1000000000000001</v>
      </c>
      <c r="Z1249" s="708" t="s">
        <v>778</v>
      </c>
      <c r="AA1249" s="697" t="s">
        <v>321</v>
      </c>
      <c r="AB1249" s="710">
        <f>V1244</f>
        <v>461</v>
      </c>
      <c r="AC1249" s="697" t="s">
        <v>778</v>
      </c>
      <c r="AD1249" s="710">
        <f>(Y1249*AB1249)</f>
        <v>507.1</v>
      </c>
      <c r="AE1249" s="724" t="str">
        <f t="shared" si="167"/>
        <v>|</v>
      </c>
      <c r="AG1249" s="697" t="s">
        <v>2284</v>
      </c>
    </row>
    <row r="1250" spans="6:33" ht="24" customHeight="1">
      <c r="F1250" s="710">
        <v>2.2000000000000002</v>
      </c>
      <c r="G1250" s="708" t="s">
        <v>778</v>
      </c>
      <c r="H1250" s="697" t="s">
        <v>1927</v>
      </c>
      <c r="I1250" s="710">
        <f>(C10)</f>
        <v>562</v>
      </c>
      <c r="J1250" s="697" t="s">
        <v>778</v>
      </c>
      <c r="K1250" s="710">
        <f>(F1250*I1250)</f>
        <v>1236.4000000000001</v>
      </c>
      <c r="N1250" s="700"/>
      <c r="Q1250" s="704"/>
      <c r="R1250" s="705"/>
      <c r="Z1250" s="708" t="s">
        <v>450</v>
      </c>
      <c r="AA1250" s="697" t="s">
        <v>451</v>
      </c>
      <c r="AB1250" s="710">
        <f>V1245</f>
        <v>0</v>
      </c>
      <c r="AC1250" s="697" t="s">
        <v>450</v>
      </c>
      <c r="AD1250" s="710">
        <v>0</v>
      </c>
      <c r="AE1250" s="724" t="str">
        <f t="shared" si="167"/>
        <v>|</v>
      </c>
      <c r="AG1250" s="697" t="s">
        <v>2284</v>
      </c>
    </row>
    <row r="1251" spans="6:33" ht="24" customHeight="1">
      <c r="F1251" s="710">
        <v>2.2000000000000002</v>
      </c>
      <c r="G1251" s="708" t="s">
        <v>778</v>
      </c>
      <c r="H1251" s="697" t="s">
        <v>321</v>
      </c>
      <c r="I1251" s="710">
        <f>(C11)</f>
        <v>461</v>
      </c>
      <c r="J1251" s="697" t="s">
        <v>778</v>
      </c>
      <c r="K1251" s="710">
        <f>(F1251*I1251)</f>
        <v>1014.2</v>
      </c>
      <c r="M1251" s="852"/>
      <c r="N1251" s="853"/>
      <c r="O1251" s="854" t="s">
        <v>3661</v>
      </c>
      <c r="P1251" s="852"/>
      <c r="Q1251" s="855" t="s">
        <v>3911</v>
      </c>
      <c r="R1251" s="852"/>
      <c r="Z1251" s="700"/>
      <c r="AC1251" s="702"/>
      <c r="AD1251" s="705" t="s">
        <v>1609</v>
      </c>
      <c r="AE1251" s="724" t="str">
        <f t="shared" si="167"/>
        <v>|</v>
      </c>
      <c r="AG1251" s="697" t="s">
        <v>2284</v>
      </c>
    </row>
    <row r="1252" spans="6:33" ht="24" customHeight="1">
      <c r="F1252" s="740">
        <v>20</v>
      </c>
      <c r="G1252" s="708" t="s">
        <v>1670</v>
      </c>
      <c r="H1252" s="697" t="s">
        <v>871</v>
      </c>
      <c r="I1252" s="710">
        <f>(C64)</f>
        <v>5960</v>
      </c>
      <c r="J1252" s="697" t="s">
        <v>870</v>
      </c>
      <c r="K1252" s="710">
        <f>(F1252*I1252)/1000</f>
        <v>119.2</v>
      </c>
      <c r="M1252" s="852"/>
      <c r="N1252" s="853"/>
      <c r="O1252" s="852"/>
      <c r="P1252" s="852"/>
      <c r="Q1252" s="855"/>
      <c r="R1252" s="852"/>
      <c r="Z1252" s="700"/>
      <c r="AA1252" s="697" t="s">
        <v>442</v>
      </c>
      <c r="AC1252" s="702"/>
      <c r="AD1252" s="710">
        <f>SUM(AD1238:AD1250)</f>
        <v>14917.1</v>
      </c>
      <c r="AE1252" s="724" t="str">
        <f t="shared" si="167"/>
        <v>|</v>
      </c>
      <c r="AG1252" s="697" t="s">
        <v>2284</v>
      </c>
    </row>
    <row r="1253" spans="6:33" ht="24" customHeight="1">
      <c r="F1253" s="740">
        <v>2</v>
      </c>
      <c r="G1253" s="708" t="s">
        <v>1670</v>
      </c>
      <c r="H1253" s="746" t="s">
        <v>4327</v>
      </c>
      <c r="I1253" s="800">
        <v>36.1</v>
      </c>
      <c r="J1253" s="697" t="s">
        <v>1670</v>
      </c>
      <c r="K1253" s="710">
        <f>(F1253*I1253)</f>
        <v>72.2</v>
      </c>
      <c r="M1253" s="856"/>
      <c r="N1253" s="857"/>
      <c r="O1253" s="856"/>
      <c r="P1253" s="856"/>
      <c r="Q1253" s="855"/>
      <c r="R1253" s="852"/>
      <c r="Z1253" s="700"/>
      <c r="AC1253" s="702"/>
      <c r="AD1253" s="705" t="s">
        <v>1609</v>
      </c>
      <c r="AE1253" s="724" t="str">
        <f t="shared" si="167"/>
        <v>|</v>
      </c>
      <c r="AG1253" s="697" t="s">
        <v>2284</v>
      </c>
    </row>
    <row r="1254" spans="6:33" ht="24" customHeight="1">
      <c r="F1254" s="710">
        <v>1.6</v>
      </c>
      <c r="G1254" s="708" t="s">
        <v>778</v>
      </c>
      <c r="H1254" s="697" t="s">
        <v>1737</v>
      </c>
      <c r="I1254" s="710">
        <f>(C9)</f>
        <v>804</v>
      </c>
      <c r="J1254" s="697" t="s">
        <v>778</v>
      </c>
      <c r="K1254" s="710">
        <f>(F1254*I1254)</f>
        <v>1286.4000000000001</v>
      </c>
      <c r="M1254" s="858">
        <v>10</v>
      </c>
      <c r="N1254" s="859" t="s">
        <v>615</v>
      </c>
      <c r="O1254" s="860" t="s">
        <v>5240</v>
      </c>
      <c r="P1254" s="861">
        <v>421.3</v>
      </c>
      <c r="Q1254" s="862" t="s">
        <v>615</v>
      </c>
      <c r="R1254" s="863">
        <f>M1254*P1254</f>
        <v>4213</v>
      </c>
      <c r="Z1254" s="700"/>
      <c r="AA1254" s="711" t="s">
        <v>556</v>
      </c>
      <c r="AC1254" s="702"/>
      <c r="AD1254" s="709">
        <f>(AD1252/10)</f>
        <v>1491.71</v>
      </c>
      <c r="AE1254" s="864" t="s">
        <v>3559</v>
      </c>
      <c r="AG1254" s="697" t="s">
        <v>2284</v>
      </c>
    </row>
    <row r="1255" spans="6:33" ht="24" customHeight="1">
      <c r="F1255" s="710">
        <v>0.5</v>
      </c>
      <c r="G1255" s="708" t="s">
        <v>778</v>
      </c>
      <c r="H1255" s="697" t="s">
        <v>1927</v>
      </c>
      <c r="I1255" s="710">
        <f>(C10)</f>
        <v>562</v>
      </c>
      <c r="J1255" s="697" t="s">
        <v>778</v>
      </c>
      <c r="K1255" s="710">
        <f>(F1255*I1255)</f>
        <v>281</v>
      </c>
      <c r="M1255" s="863">
        <v>0.21</v>
      </c>
      <c r="N1255" s="865" t="s">
        <v>878</v>
      </c>
      <c r="O1255" s="866" t="s">
        <v>1901</v>
      </c>
      <c r="P1255" s="863">
        <f t="shared" ref="P1255:P1260" si="170">P1213</f>
        <v>4471.8999999999996</v>
      </c>
      <c r="Q1255" s="862" t="s">
        <v>878</v>
      </c>
      <c r="R1255" s="863">
        <f t="shared" ref="R1255:R1264" si="171">(M1255*P1255)</f>
        <v>939.1</v>
      </c>
      <c r="Z1255" s="700"/>
      <c r="AC1255" s="702"/>
      <c r="AD1255" s="705" t="s">
        <v>2080</v>
      </c>
      <c r="AE1255" s="724" t="str">
        <f t="shared" si="167"/>
        <v>|</v>
      </c>
      <c r="AG1255" s="697" t="s">
        <v>2284</v>
      </c>
    </row>
    <row r="1256" spans="6:33" ht="24" customHeight="1">
      <c r="F1256" s="710">
        <v>1.1000000000000001</v>
      </c>
      <c r="G1256" s="708" t="s">
        <v>778</v>
      </c>
      <c r="H1256" s="697" t="s">
        <v>321</v>
      </c>
      <c r="I1256" s="710">
        <f>(C11)</f>
        <v>461</v>
      </c>
      <c r="J1256" s="697" t="s">
        <v>778</v>
      </c>
      <c r="K1256" s="710">
        <f>(F1256*I1256)</f>
        <v>507.1</v>
      </c>
      <c r="M1256" s="863">
        <v>1.1000000000000001</v>
      </c>
      <c r="N1256" s="865" t="s">
        <v>778</v>
      </c>
      <c r="O1256" s="866" t="s">
        <v>2034</v>
      </c>
      <c r="P1256" s="863">
        <f t="shared" si="170"/>
        <v>861</v>
      </c>
      <c r="Q1256" s="862" t="s">
        <v>778</v>
      </c>
      <c r="R1256" s="863">
        <f t="shared" si="171"/>
        <v>947.1</v>
      </c>
      <c r="Y1256" s="753">
        <v>29.4</v>
      </c>
      <c r="Z1256" s="708" t="s">
        <v>2276</v>
      </c>
      <c r="AA1256" s="697" t="s">
        <v>3561</v>
      </c>
      <c r="AE1256" s="724" t="str">
        <f t="shared" si="167"/>
        <v>|</v>
      </c>
      <c r="AG1256" s="697" t="s">
        <v>2284</v>
      </c>
    </row>
    <row r="1257" spans="6:33" ht="24" customHeight="1">
      <c r="G1257" s="708" t="s">
        <v>450</v>
      </c>
      <c r="H1257" s="697" t="s">
        <v>451</v>
      </c>
      <c r="J1257" s="697" t="s">
        <v>450</v>
      </c>
      <c r="K1257" s="710">
        <v>0</v>
      </c>
      <c r="M1257" s="863">
        <v>1.1000000000000001</v>
      </c>
      <c r="N1257" s="865" t="s">
        <v>778</v>
      </c>
      <c r="O1257" s="866" t="s">
        <v>1737</v>
      </c>
      <c r="P1257" s="863">
        <f t="shared" si="170"/>
        <v>804</v>
      </c>
      <c r="Q1257" s="862" t="s">
        <v>778</v>
      </c>
      <c r="R1257" s="863">
        <f t="shared" si="171"/>
        <v>884.4</v>
      </c>
      <c r="Z1257" s="700"/>
      <c r="AA1257" s="697" t="s">
        <v>3562</v>
      </c>
      <c r="AE1257" s="724" t="str">
        <f t="shared" si="167"/>
        <v>|</v>
      </c>
      <c r="AG1257" s="697" t="s">
        <v>2284</v>
      </c>
    </row>
    <row r="1258" spans="6:33" ht="24" customHeight="1">
      <c r="K1258" s="705" t="s">
        <v>1609</v>
      </c>
      <c r="M1258" s="863">
        <v>2.2000000000000002</v>
      </c>
      <c r="N1258" s="865" t="s">
        <v>778</v>
      </c>
      <c r="O1258" s="866" t="s">
        <v>1927</v>
      </c>
      <c r="P1258" s="863">
        <f t="shared" si="170"/>
        <v>562</v>
      </c>
      <c r="Q1258" s="862" t="s">
        <v>778</v>
      </c>
      <c r="R1258" s="863">
        <f t="shared" si="171"/>
        <v>1236.4000000000001</v>
      </c>
      <c r="Z1258" s="700"/>
      <c r="AA1258" s="705" t="s">
        <v>1609</v>
      </c>
      <c r="AE1258" s="724" t="str">
        <f t="shared" si="167"/>
        <v>|</v>
      </c>
      <c r="AG1258" s="697" t="s">
        <v>2284</v>
      </c>
    </row>
    <row r="1259" spans="6:33" ht="24" customHeight="1">
      <c r="H1259" s="697" t="s">
        <v>442</v>
      </c>
      <c r="K1259" s="710">
        <f>SUM(K1245:K1257)</f>
        <v>10920.5</v>
      </c>
      <c r="M1259" s="863">
        <v>2.2000000000000002</v>
      </c>
      <c r="N1259" s="865" t="s">
        <v>778</v>
      </c>
      <c r="O1259" s="866" t="s">
        <v>321</v>
      </c>
      <c r="P1259" s="863">
        <f t="shared" si="170"/>
        <v>461</v>
      </c>
      <c r="Q1259" s="862" t="s">
        <v>778</v>
      </c>
      <c r="R1259" s="863">
        <f t="shared" si="171"/>
        <v>1014.2</v>
      </c>
      <c r="Y1259" s="710">
        <v>1.86</v>
      </c>
      <c r="Z1259" s="708" t="s">
        <v>615</v>
      </c>
      <c r="AA1259" s="697" t="s">
        <v>3563</v>
      </c>
      <c r="AB1259" s="710">
        <f>AB1238</f>
        <v>763</v>
      </c>
      <c r="AC1259" s="697" t="str">
        <f>J1266</f>
        <v>SQM</v>
      </c>
      <c r="AD1259" s="710">
        <f t="shared" ref="AD1259:AD1264" si="172">(Y1259*AB1259)</f>
        <v>1419.18</v>
      </c>
      <c r="AE1259" s="724" t="str">
        <f t="shared" si="167"/>
        <v>|</v>
      </c>
      <c r="AG1259" s="697" t="s">
        <v>2284</v>
      </c>
    </row>
    <row r="1260" spans="6:33" ht="24" customHeight="1">
      <c r="K1260" s="705" t="s">
        <v>1609</v>
      </c>
      <c r="M1260" s="867">
        <v>20</v>
      </c>
      <c r="N1260" s="865" t="s">
        <v>1670</v>
      </c>
      <c r="O1260" s="866" t="s">
        <v>871</v>
      </c>
      <c r="P1260" s="863">
        <f t="shared" si="170"/>
        <v>5960</v>
      </c>
      <c r="Q1260" s="862" t="s">
        <v>870</v>
      </c>
      <c r="R1260" s="863">
        <f>(M1260*P1260)/1000</f>
        <v>119.2</v>
      </c>
      <c r="Y1260" s="710">
        <v>0.4</v>
      </c>
      <c r="Z1260" s="708" t="s">
        <v>1670</v>
      </c>
      <c r="AA1260" s="697" t="s">
        <v>2107</v>
      </c>
      <c r="AB1260" s="779">
        <f>AB1246</f>
        <v>36.1</v>
      </c>
      <c r="AC1260" s="697" t="str">
        <f>J1267</f>
        <v>Kg</v>
      </c>
      <c r="AD1260" s="710">
        <f t="shared" si="172"/>
        <v>14.44</v>
      </c>
      <c r="AE1260" s="724">
        <f t="shared" si="167"/>
        <v>0</v>
      </c>
    </row>
    <row r="1261" spans="6:33" ht="24" customHeight="1">
      <c r="H1261" s="711" t="s">
        <v>556</v>
      </c>
      <c r="K1261" s="709">
        <f>(K1259/10)</f>
        <v>1092.05</v>
      </c>
      <c r="M1261" s="867">
        <v>2</v>
      </c>
      <c r="N1261" s="865" t="s">
        <v>1670</v>
      </c>
      <c r="O1261" s="866" t="s">
        <v>1550</v>
      </c>
      <c r="P1261" s="863">
        <f>I1253</f>
        <v>36.1</v>
      </c>
      <c r="Q1261" s="862" t="s">
        <v>1670</v>
      </c>
      <c r="R1261" s="863">
        <f t="shared" si="171"/>
        <v>72.2</v>
      </c>
      <c r="Y1261" s="710">
        <v>0.02</v>
      </c>
      <c r="Z1261" s="708" t="s">
        <v>878</v>
      </c>
      <c r="AA1261" s="697" t="s">
        <v>417</v>
      </c>
      <c r="AB1261" s="710">
        <f>I1268</f>
        <v>5902.3</v>
      </c>
      <c r="AC1261" s="697" t="str">
        <f>J1268</f>
        <v>CUM</v>
      </c>
      <c r="AD1261" s="710">
        <f t="shared" si="172"/>
        <v>118.05</v>
      </c>
      <c r="AE1261" s="724">
        <f t="shared" si="167"/>
        <v>0</v>
      </c>
    </row>
    <row r="1262" spans="6:33" ht="24" customHeight="1">
      <c r="K1262" s="705" t="s">
        <v>2080</v>
      </c>
      <c r="M1262" s="863">
        <v>1.6</v>
      </c>
      <c r="N1262" s="865" t="s">
        <v>778</v>
      </c>
      <c r="O1262" s="866" t="s">
        <v>1737</v>
      </c>
      <c r="P1262" s="863">
        <f>P1220</f>
        <v>804</v>
      </c>
      <c r="Q1262" s="862" t="s">
        <v>778</v>
      </c>
      <c r="R1262" s="863">
        <f t="shared" si="171"/>
        <v>1286.4000000000001</v>
      </c>
      <c r="Y1262" s="710">
        <v>1</v>
      </c>
      <c r="Z1262" s="708" t="s">
        <v>778</v>
      </c>
      <c r="AA1262" s="697" t="s">
        <v>2034</v>
      </c>
      <c r="AB1262" s="710">
        <f>I1269</f>
        <v>861</v>
      </c>
      <c r="AC1262" s="697" t="str">
        <f>J1269</f>
        <v>NO</v>
      </c>
      <c r="AD1262" s="710">
        <f t="shared" si="172"/>
        <v>861</v>
      </c>
      <c r="AE1262" s="724" t="str">
        <f t="shared" si="167"/>
        <v xml:space="preserve"> </v>
      </c>
      <c r="AG1262" s="697" t="s">
        <v>987</v>
      </c>
    </row>
    <row r="1263" spans="6:33" ht="24" customHeight="1">
      <c r="F1263" s="753">
        <v>29.4</v>
      </c>
      <c r="G1263" s="708" t="s">
        <v>2276</v>
      </c>
      <c r="H1263" s="697" t="s">
        <v>1109</v>
      </c>
      <c r="M1263" s="863">
        <v>0.5</v>
      </c>
      <c r="N1263" s="865" t="s">
        <v>778</v>
      </c>
      <c r="O1263" s="866" t="s">
        <v>1927</v>
      </c>
      <c r="P1263" s="863">
        <f>P1221</f>
        <v>562</v>
      </c>
      <c r="Q1263" s="862" t="s">
        <v>778</v>
      </c>
      <c r="R1263" s="863">
        <f t="shared" si="171"/>
        <v>281</v>
      </c>
      <c r="Y1263" s="710">
        <v>1</v>
      </c>
      <c r="Z1263" s="708" t="s">
        <v>778</v>
      </c>
      <c r="AA1263" s="697" t="s">
        <v>1713</v>
      </c>
      <c r="AB1263" s="710">
        <f>I1270</f>
        <v>562</v>
      </c>
      <c r="AC1263" s="697" t="str">
        <f>J1270</f>
        <v>NO</v>
      </c>
      <c r="AD1263" s="710">
        <f t="shared" si="172"/>
        <v>562</v>
      </c>
      <c r="AE1263" s="724">
        <f t="shared" si="167"/>
        <v>0</v>
      </c>
    </row>
    <row r="1264" spans="6:33" ht="24" customHeight="1">
      <c r="H1264" s="697" t="s">
        <v>1110</v>
      </c>
      <c r="M1264" s="863">
        <v>1.1000000000000001</v>
      </c>
      <c r="N1264" s="865" t="s">
        <v>778</v>
      </c>
      <c r="O1264" s="866" t="s">
        <v>321</v>
      </c>
      <c r="P1264" s="863">
        <f>P1222</f>
        <v>461</v>
      </c>
      <c r="Q1264" s="862" t="s">
        <v>778</v>
      </c>
      <c r="R1264" s="863">
        <f t="shared" si="171"/>
        <v>507.1</v>
      </c>
      <c r="Z1264" s="708" t="s">
        <v>450</v>
      </c>
      <c r="AA1264" s="697" t="s">
        <v>451</v>
      </c>
      <c r="AC1264" s="697" t="s">
        <v>450</v>
      </c>
      <c r="AD1264" s="710">
        <f t="shared" si="172"/>
        <v>0</v>
      </c>
      <c r="AE1264" s="724">
        <f t="shared" si="167"/>
        <v>0</v>
      </c>
    </row>
    <row r="1265" spans="6:31" ht="24" customHeight="1">
      <c r="H1265" s="705" t="s">
        <v>1609</v>
      </c>
      <c r="M1265" s="852"/>
      <c r="N1265" s="865" t="s">
        <v>450</v>
      </c>
      <c r="O1265" s="866" t="s">
        <v>451</v>
      </c>
      <c r="P1265" s="852"/>
      <c r="Q1265" s="862" t="s">
        <v>450</v>
      </c>
      <c r="R1265" s="863">
        <v>0</v>
      </c>
      <c r="Z1265" s="700"/>
      <c r="AC1265" s="702"/>
      <c r="AD1265" s="705" t="s">
        <v>1609</v>
      </c>
      <c r="AE1265" s="724">
        <f t="shared" si="167"/>
        <v>0</v>
      </c>
    </row>
    <row r="1266" spans="6:31" ht="24" customHeight="1">
      <c r="F1266" s="710">
        <v>1.86</v>
      </c>
      <c r="G1266" s="708" t="s">
        <v>615</v>
      </c>
      <c r="H1266" s="697" t="s">
        <v>1111</v>
      </c>
      <c r="I1266" s="710">
        <f>C599</f>
        <v>400</v>
      </c>
      <c r="J1266" s="697" t="s">
        <v>615</v>
      </c>
      <c r="K1266" s="710">
        <f>(F1266*I1266)</f>
        <v>744</v>
      </c>
      <c r="M1266" s="852"/>
      <c r="N1266" s="853"/>
      <c r="O1266" s="852"/>
      <c r="P1266" s="852"/>
      <c r="Q1266" s="855"/>
      <c r="R1266" s="868"/>
      <c r="Z1266" s="700"/>
      <c r="AA1266" s="697" t="s">
        <v>1714</v>
      </c>
      <c r="AC1266" s="702"/>
      <c r="AD1266" s="710">
        <f>SUM(AD1259:AD1264)</f>
        <v>2974.67</v>
      </c>
      <c r="AE1266" s="724">
        <f t="shared" si="167"/>
        <v>0</v>
      </c>
    </row>
    <row r="1267" spans="6:31" ht="24" customHeight="1">
      <c r="F1267" s="710">
        <v>0.4</v>
      </c>
      <c r="G1267" s="708" t="s">
        <v>1670</v>
      </c>
      <c r="H1267" s="697" t="s">
        <v>2107</v>
      </c>
      <c r="I1267" s="816">
        <f>I1253</f>
        <v>36.1</v>
      </c>
      <c r="J1267" s="697" t="s">
        <v>1670</v>
      </c>
      <c r="K1267" s="710">
        <f>(F1267*I1267)</f>
        <v>14.44</v>
      </c>
      <c r="M1267" s="852"/>
      <c r="N1267" s="853"/>
      <c r="O1267" s="866" t="s">
        <v>442</v>
      </c>
      <c r="P1267" s="852"/>
      <c r="Q1267" s="855"/>
      <c r="R1267" s="863">
        <f>SUM(R1254:R1265)</f>
        <v>11500.1</v>
      </c>
      <c r="Z1267" s="700"/>
      <c r="AC1267" s="702"/>
      <c r="AD1267" s="705" t="s">
        <v>1609</v>
      </c>
      <c r="AE1267" s="724">
        <f t="shared" si="167"/>
        <v>0</v>
      </c>
    </row>
    <row r="1268" spans="6:31" ht="24" customHeight="1">
      <c r="F1268" s="710">
        <v>0.02</v>
      </c>
      <c r="G1268" s="708" t="s">
        <v>878</v>
      </c>
      <c r="H1268" s="697" t="s">
        <v>417</v>
      </c>
      <c r="I1268" s="710">
        <f>K21</f>
        <v>5902.3</v>
      </c>
      <c r="J1268" s="697" t="s">
        <v>878</v>
      </c>
      <c r="K1268" s="710">
        <f>(F1268*I1268)</f>
        <v>118.05</v>
      </c>
      <c r="M1268" s="852"/>
      <c r="N1268" s="853"/>
      <c r="O1268" s="852"/>
      <c r="P1268" s="852"/>
      <c r="Q1268" s="855"/>
      <c r="R1268" s="868" t="s">
        <v>1609</v>
      </c>
      <c r="Z1268" s="700"/>
      <c r="AA1268" s="711" t="s">
        <v>556</v>
      </c>
      <c r="AC1268" s="702"/>
      <c r="AD1268" s="709">
        <f>(AD1266/1.86)</f>
        <v>1599.28</v>
      </c>
      <c r="AE1268" s="724">
        <f t="shared" si="167"/>
        <v>0</v>
      </c>
    </row>
    <row r="1269" spans="6:31" ht="24" customHeight="1">
      <c r="F1269" s="710">
        <v>1</v>
      </c>
      <c r="G1269" s="708" t="s">
        <v>778</v>
      </c>
      <c r="H1269" s="697" t="s">
        <v>2034</v>
      </c>
      <c r="I1269" s="710">
        <f>C8</f>
        <v>861</v>
      </c>
      <c r="J1269" s="697" t="s">
        <v>778</v>
      </c>
      <c r="K1269" s="710">
        <f>(F1269*I1269)</f>
        <v>861</v>
      </c>
      <c r="M1269" s="852"/>
      <c r="N1269" s="853"/>
      <c r="O1269" s="869" t="s">
        <v>556</v>
      </c>
      <c r="P1269" s="852"/>
      <c r="Q1269" s="855"/>
      <c r="R1269" s="870">
        <f>(R1267/10)</f>
        <v>1150.01</v>
      </c>
      <c r="Z1269" s="700"/>
      <c r="AC1269" s="702"/>
      <c r="AD1269" s="705" t="s">
        <v>2080</v>
      </c>
      <c r="AE1269" s="724">
        <f t="shared" si="167"/>
        <v>0</v>
      </c>
    </row>
    <row r="1270" spans="6:31" ht="24" customHeight="1">
      <c r="F1270" s="710">
        <v>1</v>
      </c>
      <c r="G1270" s="708" t="s">
        <v>778</v>
      </c>
      <c r="H1270" s="697" t="s">
        <v>1713</v>
      </c>
      <c r="I1270" s="710">
        <f>C10</f>
        <v>562</v>
      </c>
      <c r="J1270" s="697" t="s">
        <v>778</v>
      </c>
      <c r="K1270" s="710">
        <f>(F1270*I1270)</f>
        <v>562</v>
      </c>
      <c r="S1270" s="753">
        <v>29.5</v>
      </c>
      <c r="T1270" s="708" t="s">
        <v>2276</v>
      </c>
      <c r="U1270" s="697" t="s">
        <v>5241</v>
      </c>
      <c r="W1270" s="702"/>
      <c r="AE1270" s="724">
        <f t="shared" si="167"/>
        <v>0</v>
      </c>
    </row>
    <row r="1271" spans="6:31" ht="24" customHeight="1">
      <c r="G1271" s="708" t="s">
        <v>450</v>
      </c>
      <c r="H1271" s="697" t="s">
        <v>451</v>
      </c>
      <c r="J1271" s="697" t="s">
        <v>450</v>
      </c>
      <c r="K1271" s="710"/>
      <c r="S1271" s="699"/>
      <c r="T1271" s="700"/>
      <c r="U1271" s="697"/>
      <c r="W1271" s="702"/>
      <c r="AE1271" s="724">
        <f t="shared" si="167"/>
        <v>0</v>
      </c>
    </row>
    <row r="1272" spans="6:31" ht="24" customHeight="1">
      <c r="K1272" s="705" t="s">
        <v>1609</v>
      </c>
      <c r="S1272" s="699"/>
      <c r="T1272" s="700"/>
      <c r="U1272" s="697"/>
      <c r="W1272" s="702"/>
      <c r="AC1272" s="702"/>
      <c r="AE1272" s="724">
        <f t="shared" si="167"/>
        <v>0</v>
      </c>
    </row>
    <row r="1273" spans="6:31" ht="24" customHeight="1">
      <c r="H1273" s="697" t="s">
        <v>1714</v>
      </c>
      <c r="K1273" s="710">
        <f>SUM(K1266:K1271)</f>
        <v>2299.4899999999998</v>
      </c>
      <c r="S1273" s="699"/>
      <c r="T1273" s="700"/>
      <c r="U1273" s="705" t="s">
        <v>1609</v>
      </c>
      <c r="V1273" s="705" t="s">
        <v>1609</v>
      </c>
      <c r="W1273" s="702"/>
      <c r="AC1273" s="702"/>
      <c r="AE1273" s="724">
        <f t="shared" si="167"/>
        <v>0</v>
      </c>
    </row>
    <row r="1274" spans="6:31" ht="40.5" customHeight="1">
      <c r="K1274" s="705" t="s">
        <v>1609</v>
      </c>
      <c r="S1274" s="710">
        <v>10</v>
      </c>
      <c r="T1274" s="708" t="s">
        <v>615</v>
      </c>
      <c r="U1274" s="766" t="s">
        <v>3649</v>
      </c>
      <c r="V1274" s="737">
        <v>538.21</v>
      </c>
      <c r="W1274" s="697" t="s">
        <v>615</v>
      </c>
      <c r="X1274" s="710">
        <f>(S1274*V1274)</f>
        <v>5382.1</v>
      </c>
      <c r="AC1274" s="702"/>
      <c r="AE1274" s="724">
        <f t="shared" si="167"/>
        <v>0</v>
      </c>
    </row>
    <row r="1275" spans="6:31" ht="24" customHeight="1">
      <c r="H1275" s="711" t="s">
        <v>556</v>
      </c>
      <c r="K1275" s="709">
        <f>(K1273/1.86)</f>
        <v>1236.28</v>
      </c>
      <c r="S1275" s="710">
        <v>0.21</v>
      </c>
      <c r="T1275" s="708" t="s">
        <v>878</v>
      </c>
      <c r="U1275" s="697" t="s">
        <v>1901</v>
      </c>
      <c r="V1275" s="710">
        <f t="shared" ref="V1275:V1285" si="173">I1246</f>
        <v>4471.8999999999996</v>
      </c>
      <c r="W1275" s="697" t="s">
        <v>878</v>
      </c>
      <c r="X1275" s="710">
        <f>(S1275*V1275)</f>
        <v>939.1</v>
      </c>
      <c r="AE1275" s="724">
        <f t="shared" si="167"/>
        <v>0</v>
      </c>
    </row>
    <row r="1276" spans="6:31" ht="24" customHeight="1">
      <c r="K1276" s="705" t="s">
        <v>2080</v>
      </c>
      <c r="S1276" s="699"/>
      <c r="T1276" s="700"/>
      <c r="U1276" s="697" t="s">
        <v>1902</v>
      </c>
      <c r="V1276" s="710" t="str">
        <f t="shared" si="173"/>
        <v xml:space="preserve"> </v>
      </c>
      <c r="W1276" s="702"/>
      <c r="X1276" s="697" t="s">
        <v>987</v>
      </c>
      <c r="AE1276" s="724">
        <f t="shared" si="167"/>
        <v>0</v>
      </c>
    </row>
    <row r="1277" spans="6:31" ht="24" customHeight="1">
      <c r="F1277" s="753"/>
      <c r="G1277" s="708" t="s">
        <v>2276</v>
      </c>
      <c r="H1277" s="697" t="s">
        <v>5242</v>
      </c>
      <c r="S1277" s="710">
        <v>1.1000000000000001</v>
      </c>
      <c r="T1277" s="708" t="s">
        <v>778</v>
      </c>
      <c r="U1277" s="697" t="s">
        <v>2034</v>
      </c>
      <c r="V1277" s="710">
        <f t="shared" si="173"/>
        <v>861</v>
      </c>
      <c r="W1277" s="697" t="s">
        <v>778</v>
      </c>
      <c r="X1277" s="710">
        <f>(S1277*V1277)</f>
        <v>947.1</v>
      </c>
      <c r="AE1277" s="724">
        <f t="shared" si="167"/>
        <v>0</v>
      </c>
    </row>
    <row r="1278" spans="6:31" ht="24" customHeight="1">
      <c r="H1278" s="697"/>
      <c r="S1278" s="710">
        <v>1.1000000000000001</v>
      </c>
      <c r="T1278" s="708" t="s">
        <v>778</v>
      </c>
      <c r="U1278" s="697" t="s">
        <v>1737</v>
      </c>
      <c r="V1278" s="710">
        <f t="shared" si="173"/>
        <v>804</v>
      </c>
      <c r="W1278" s="697" t="s">
        <v>778</v>
      </c>
      <c r="X1278" s="710">
        <f>(S1278*V1278)</f>
        <v>884.4</v>
      </c>
      <c r="AE1278" s="724">
        <f t="shared" si="167"/>
        <v>0</v>
      </c>
    </row>
    <row r="1279" spans="6:31" ht="24" customHeight="1">
      <c r="H1279" s="705" t="s">
        <v>1609</v>
      </c>
      <c r="S1279" s="710">
        <v>2.2000000000000002</v>
      </c>
      <c r="T1279" s="708" t="s">
        <v>778</v>
      </c>
      <c r="U1279" s="697" t="s">
        <v>1927</v>
      </c>
      <c r="V1279" s="710">
        <f t="shared" si="173"/>
        <v>562</v>
      </c>
      <c r="W1279" s="697" t="s">
        <v>778</v>
      </c>
      <c r="X1279" s="710">
        <f>(S1279*V1279)</f>
        <v>1236.4000000000001</v>
      </c>
      <c r="AE1279" s="724">
        <f t="shared" si="167"/>
        <v>0</v>
      </c>
    </row>
    <row r="1280" spans="6:31" ht="24" customHeight="1">
      <c r="F1280" s="710">
        <v>1.86</v>
      </c>
      <c r="G1280" s="708" t="s">
        <v>615</v>
      </c>
      <c r="H1280" s="697" t="s">
        <v>3650</v>
      </c>
      <c r="I1280" s="737">
        <v>699.4</v>
      </c>
      <c r="J1280" s="697" t="s">
        <v>615</v>
      </c>
      <c r="K1280" s="710">
        <f>(F1280*I1280)</f>
        <v>1300.8800000000001</v>
      </c>
      <c r="S1280" s="710">
        <v>2.2000000000000002</v>
      </c>
      <c r="T1280" s="708" t="s">
        <v>778</v>
      </c>
      <c r="U1280" s="697" t="s">
        <v>321</v>
      </c>
      <c r="V1280" s="710">
        <f t="shared" si="173"/>
        <v>461</v>
      </c>
      <c r="W1280" s="697" t="s">
        <v>778</v>
      </c>
      <c r="X1280" s="710">
        <f>(S1280*V1280)</f>
        <v>1014.2</v>
      </c>
      <c r="AE1280" s="724">
        <f t="shared" si="167"/>
        <v>0</v>
      </c>
    </row>
    <row r="1281" spans="6:31" ht="24" customHeight="1">
      <c r="F1281" s="710">
        <v>0.4</v>
      </c>
      <c r="G1281" s="708" t="s">
        <v>1670</v>
      </c>
      <c r="H1281" s="697" t="s">
        <v>390</v>
      </c>
      <c r="I1281" s="871">
        <f>C64</f>
        <v>5960</v>
      </c>
      <c r="J1281" s="697" t="s">
        <v>1670</v>
      </c>
      <c r="K1281" s="710">
        <f>(F1281*I1281)</f>
        <v>2384</v>
      </c>
      <c r="S1281" s="740">
        <v>20</v>
      </c>
      <c r="T1281" s="708" t="s">
        <v>1670</v>
      </c>
      <c r="U1281" s="697" t="s">
        <v>871</v>
      </c>
      <c r="V1281" s="710">
        <f t="shared" si="173"/>
        <v>5960</v>
      </c>
      <c r="W1281" s="697" t="s">
        <v>870</v>
      </c>
      <c r="X1281" s="710">
        <f>(S1281*V1281)/1000</f>
        <v>119.2</v>
      </c>
      <c r="AE1281" s="724">
        <f t="shared" si="167"/>
        <v>0</v>
      </c>
    </row>
    <row r="1282" spans="6:31" ht="24" customHeight="1">
      <c r="F1282" s="710">
        <v>0.02</v>
      </c>
      <c r="G1282" s="708" t="s">
        <v>878</v>
      </c>
      <c r="H1282" s="697" t="s">
        <v>417</v>
      </c>
      <c r="I1282" s="710">
        <f>I1268</f>
        <v>5902.3</v>
      </c>
      <c r="J1282" s="697" t="s">
        <v>878</v>
      </c>
      <c r="K1282" s="710">
        <f>(F1282*I1282)</f>
        <v>118.05</v>
      </c>
      <c r="S1282" s="740">
        <v>2</v>
      </c>
      <c r="T1282" s="708" t="s">
        <v>1670</v>
      </c>
      <c r="U1282" s="697" t="s">
        <v>2107</v>
      </c>
      <c r="V1282" s="710">
        <f t="shared" si="173"/>
        <v>36.1</v>
      </c>
      <c r="W1282" s="697" t="s">
        <v>1670</v>
      </c>
      <c r="X1282" s="710">
        <f>(S1282*V1282)</f>
        <v>72.2</v>
      </c>
      <c r="AE1282" s="724">
        <f t="shared" si="167"/>
        <v>0</v>
      </c>
    </row>
    <row r="1283" spans="6:31" ht="24" customHeight="1">
      <c r="F1283" s="710">
        <v>1</v>
      </c>
      <c r="G1283" s="708" t="s">
        <v>778</v>
      </c>
      <c r="H1283" s="697" t="s">
        <v>2034</v>
      </c>
      <c r="I1283" s="710">
        <f>I1269</f>
        <v>861</v>
      </c>
      <c r="J1283" s="697" t="s">
        <v>778</v>
      </c>
      <c r="K1283" s="710">
        <f>(F1283*I1283)</f>
        <v>861</v>
      </c>
      <c r="S1283" s="710">
        <v>1.6</v>
      </c>
      <c r="T1283" s="708" t="s">
        <v>778</v>
      </c>
      <c r="U1283" s="697" t="s">
        <v>1737</v>
      </c>
      <c r="V1283" s="710">
        <f t="shared" si="173"/>
        <v>804</v>
      </c>
      <c r="W1283" s="697" t="s">
        <v>778</v>
      </c>
      <c r="X1283" s="710">
        <f>(S1283*V1283)</f>
        <v>1286.4000000000001</v>
      </c>
      <c r="AE1283" s="724">
        <f t="shared" si="167"/>
        <v>0</v>
      </c>
    </row>
    <row r="1284" spans="6:31" ht="24" customHeight="1">
      <c r="F1284" s="710">
        <v>1</v>
      </c>
      <c r="G1284" s="708" t="s">
        <v>778</v>
      </c>
      <c r="H1284" s="697" t="s">
        <v>1713</v>
      </c>
      <c r="I1284" s="710">
        <f>I1270</f>
        <v>562</v>
      </c>
      <c r="J1284" s="697" t="s">
        <v>778</v>
      </c>
      <c r="K1284" s="710">
        <f>(F1284*I1284)</f>
        <v>562</v>
      </c>
      <c r="S1284" s="710">
        <v>0.5</v>
      </c>
      <c r="T1284" s="708" t="s">
        <v>778</v>
      </c>
      <c r="U1284" s="697" t="s">
        <v>1927</v>
      </c>
      <c r="V1284" s="710">
        <f t="shared" si="173"/>
        <v>562</v>
      </c>
      <c r="W1284" s="697" t="s">
        <v>778</v>
      </c>
      <c r="X1284" s="710">
        <f>(S1284*V1284)</f>
        <v>281</v>
      </c>
      <c r="AE1284" s="724">
        <f t="shared" si="167"/>
        <v>0</v>
      </c>
    </row>
    <row r="1285" spans="6:31" ht="24" customHeight="1">
      <c r="G1285" s="708" t="s">
        <v>450</v>
      </c>
      <c r="H1285" s="697" t="s">
        <v>451</v>
      </c>
      <c r="J1285" s="697" t="s">
        <v>450</v>
      </c>
      <c r="K1285" s="710"/>
      <c r="S1285" s="710">
        <v>1.1000000000000001</v>
      </c>
      <c r="T1285" s="708" t="s">
        <v>778</v>
      </c>
      <c r="U1285" s="697" t="s">
        <v>321</v>
      </c>
      <c r="V1285" s="710">
        <f t="shared" si="173"/>
        <v>461</v>
      </c>
      <c r="W1285" s="697" t="s">
        <v>778</v>
      </c>
      <c r="X1285" s="710">
        <f>(S1285*V1285)</f>
        <v>507.1</v>
      </c>
      <c r="AE1285" s="724">
        <f t="shared" si="167"/>
        <v>0</v>
      </c>
    </row>
    <row r="1286" spans="6:31" ht="24" customHeight="1">
      <c r="K1286" s="705" t="s">
        <v>1609</v>
      </c>
      <c r="S1286" s="699"/>
      <c r="T1286" s="708" t="s">
        <v>450</v>
      </c>
      <c r="U1286" s="697" t="s">
        <v>451</v>
      </c>
      <c r="W1286" s="697" t="s">
        <v>450</v>
      </c>
      <c r="X1286" s="710">
        <v>0</v>
      </c>
      <c r="AE1286" s="724">
        <f t="shared" si="167"/>
        <v>0</v>
      </c>
    </row>
    <row r="1287" spans="6:31" ht="24" customHeight="1">
      <c r="H1287" s="697" t="s">
        <v>1714</v>
      </c>
      <c r="K1287" s="710">
        <f>SUM(K1280:K1285)</f>
        <v>5225.93</v>
      </c>
      <c r="S1287" s="699"/>
      <c r="T1287" s="700"/>
      <c r="W1287" s="702"/>
      <c r="X1287" s="705" t="s">
        <v>1609</v>
      </c>
      <c r="AE1287" s="724">
        <f t="shared" ref="AE1287:AE1350" si="174">AG1287</f>
        <v>0</v>
      </c>
    </row>
    <row r="1288" spans="6:31" ht="24" customHeight="1">
      <c r="K1288" s="705" t="s">
        <v>1609</v>
      </c>
      <c r="S1288" s="699"/>
      <c r="T1288" s="700"/>
      <c r="U1288" s="697" t="s">
        <v>442</v>
      </c>
      <c r="W1288" s="702"/>
      <c r="X1288" s="710">
        <f>SUM(X1274:X1286)</f>
        <v>12669.2</v>
      </c>
      <c r="AE1288" s="724">
        <f t="shared" si="174"/>
        <v>0</v>
      </c>
    </row>
    <row r="1289" spans="6:31" ht="24" customHeight="1">
      <c r="H1289" s="711" t="s">
        <v>556</v>
      </c>
      <c r="K1289" s="709">
        <f>(K1287/1.86)</f>
        <v>2809.64</v>
      </c>
      <c r="S1289" s="699"/>
      <c r="T1289" s="700"/>
      <c r="W1289" s="702"/>
      <c r="X1289" s="705" t="s">
        <v>1609</v>
      </c>
      <c r="AE1289" s="724">
        <f t="shared" si="174"/>
        <v>0</v>
      </c>
    </row>
    <row r="1290" spans="6:31" ht="24" customHeight="1">
      <c r="K1290" s="705" t="s">
        <v>2080</v>
      </c>
      <c r="U1290" s="711" t="s">
        <v>556</v>
      </c>
      <c r="W1290" s="702"/>
      <c r="X1290" s="709">
        <f>(X1288/10)</f>
        <v>1266.92</v>
      </c>
      <c r="AE1290" s="724">
        <f t="shared" si="174"/>
        <v>0</v>
      </c>
    </row>
    <row r="1291" spans="6:31" ht="24" customHeight="1">
      <c r="K1291" s="705"/>
      <c r="W1291" s="702"/>
      <c r="X1291" s="705" t="s">
        <v>2080</v>
      </c>
      <c r="AE1291" s="724">
        <f t="shared" si="174"/>
        <v>0</v>
      </c>
    </row>
    <row r="1292" spans="6:31" ht="24" customHeight="1">
      <c r="K1292" s="705"/>
      <c r="AE1292" s="724">
        <f t="shared" si="174"/>
        <v>0</v>
      </c>
    </row>
    <row r="1293" spans="6:31" ht="24" customHeight="1">
      <c r="K1293" s="705"/>
      <c r="M1293" s="698"/>
      <c r="N1293" s="708" t="s">
        <v>2276</v>
      </c>
      <c r="O1293" s="697" t="s">
        <v>5243</v>
      </c>
      <c r="Q1293" s="704"/>
      <c r="S1293" s="765">
        <v>15.1</v>
      </c>
      <c r="T1293" s="708" t="s">
        <v>1782</v>
      </c>
      <c r="U1293" s="697" t="s">
        <v>5244</v>
      </c>
      <c r="W1293" s="704"/>
      <c r="AE1293" s="724">
        <f t="shared" si="174"/>
        <v>0</v>
      </c>
    </row>
    <row r="1294" spans="6:31" ht="24" customHeight="1">
      <c r="K1294" s="705"/>
      <c r="N1294" s="700"/>
      <c r="O1294" s="697" t="s">
        <v>1546</v>
      </c>
      <c r="Q1294" s="704"/>
      <c r="S1294" s="699"/>
      <c r="T1294" s="700"/>
      <c r="U1294" s="697" t="s">
        <v>2306</v>
      </c>
      <c r="W1294" s="704"/>
      <c r="AE1294" s="724">
        <f t="shared" si="174"/>
        <v>0</v>
      </c>
    </row>
    <row r="1295" spans="6:31" ht="24" customHeight="1">
      <c r="F1295" s="698" t="s">
        <v>210</v>
      </c>
      <c r="G1295" s="708" t="s">
        <v>2276</v>
      </c>
      <c r="H1295" s="697" t="s">
        <v>1947</v>
      </c>
      <c r="N1295" s="700"/>
      <c r="O1295" s="701" t="s">
        <v>5245</v>
      </c>
      <c r="Q1295" s="704"/>
      <c r="S1295" s="710">
        <v>10</v>
      </c>
      <c r="T1295" s="708" t="s">
        <v>2308</v>
      </c>
      <c r="U1295" s="697" t="s">
        <v>5246</v>
      </c>
      <c r="V1295" s="718">
        <v>1610</v>
      </c>
      <c r="W1295" s="698" t="s">
        <v>2308</v>
      </c>
      <c r="X1295" s="710">
        <f t="shared" ref="X1295:X1301" si="175">(S1295*V1295)</f>
        <v>16100</v>
      </c>
      <c r="AE1295" s="724">
        <f t="shared" si="174"/>
        <v>0</v>
      </c>
    </row>
    <row r="1296" spans="6:31" ht="24" customHeight="1">
      <c r="H1296" s="697" t="s">
        <v>2258</v>
      </c>
      <c r="N1296" s="700"/>
      <c r="O1296" s="705" t="s">
        <v>1609</v>
      </c>
      <c r="Q1296" s="704"/>
      <c r="S1296" s="710">
        <v>0.21</v>
      </c>
      <c r="T1296" s="708" t="s">
        <v>878</v>
      </c>
      <c r="U1296" s="697" t="s">
        <v>793</v>
      </c>
      <c r="V1296" s="805">
        <f>P1330</f>
        <v>4471.8999999999996</v>
      </c>
      <c r="W1296" s="698" t="s">
        <v>878</v>
      </c>
      <c r="X1296" s="710">
        <f t="shared" si="175"/>
        <v>939.1</v>
      </c>
      <c r="AE1296" s="724">
        <f t="shared" si="174"/>
        <v>0</v>
      </c>
    </row>
    <row r="1297" spans="6:31" ht="24" customHeight="1">
      <c r="H1297" s="1165" t="s">
        <v>5372</v>
      </c>
      <c r="M1297" s="710">
        <v>3.2</v>
      </c>
      <c r="N1297" s="708" t="s">
        <v>1670</v>
      </c>
      <c r="O1297" s="769" t="s">
        <v>1216</v>
      </c>
      <c r="P1297" s="737">
        <v>225</v>
      </c>
      <c r="Q1297" s="698" t="s">
        <v>1670</v>
      </c>
      <c r="R1297" s="710">
        <f>(M1297*P1297)</f>
        <v>720</v>
      </c>
      <c r="S1297" s="710">
        <v>1.1000000000000001</v>
      </c>
      <c r="T1297" s="708" t="s">
        <v>564</v>
      </c>
      <c r="U1297" s="697" t="s">
        <v>565</v>
      </c>
      <c r="V1297" s="805">
        <f>P1331</f>
        <v>861</v>
      </c>
      <c r="W1297" s="698" t="s">
        <v>1418</v>
      </c>
      <c r="X1297" s="710">
        <f t="shared" si="175"/>
        <v>947.1</v>
      </c>
      <c r="AE1297" s="724">
        <f t="shared" si="174"/>
        <v>0</v>
      </c>
    </row>
    <row r="1298" spans="6:31" ht="24" customHeight="1">
      <c r="H1298" s="697" t="s">
        <v>5247</v>
      </c>
      <c r="M1298" s="710">
        <v>0.98</v>
      </c>
      <c r="N1298" s="708" t="s">
        <v>1256</v>
      </c>
      <c r="O1298" s="697" t="s">
        <v>3932</v>
      </c>
      <c r="P1298" s="710">
        <f>P1317</f>
        <v>146.1</v>
      </c>
      <c r="Q1298" s="698" t="s">
        <v>1256</v>
      </c>
      <c r="R1298" s="710">
        <f t="shared" ref="R1298:R1303" si="176">(M1298*P1298)</f>
        <v>143.18</v>
      </c>
      <c r="S1298" s="710">
        <v>1.1000000000000001</v>
      </c>
      <c r="T1298" s="708" t="s">
        <v>564</v>
      </c>
      <c r="U1298" s="697" t="s">
        <v>3658</v>
      </c>
      <c r="V1298" s="805">
        <f>P1257</f>
        <v>804</v>
      </c>
      <c r="W1298" s="698" t="s">
        <v>1418</v>
      </c>
      <c r="X1298" s="710">
        <f t="shared" si="175"/>
        <v>884.4</v>
      </c>
      <c r="AE1298" s="724">
        <f t="shared" si="174"/>
        <v>0</v>
      </c>
    </row>
    <row r="1299" spans="6:31" ht="24" customHeight="1">
      <c r="H1299" s="705" t="s">
        <v>1609</v>
      </c>
      <c r="M1299" s="710">
        <v>0.5</v>
      </c>
      <c r="N1299" s="708" t="s">
        <v>778</v>
      </c>
      <c r="O1299" s="697" t="s">
        <v>1197</v>
      </c>
      <c r="P1299" s="710">
        <f>AE11</f>
        <v>688</v>
      </c>
      <c r="Q1299" s="708" t="s">
        <v>778</v>
      </c>
      <c r="R1299" s="710">
        <f t="shared" si="176"/>
        <v>344</v>
      </c>
      <c r="S1299" s="710">
        <v>2.2000000000000002</v>
      </c>
      <c r="T1299" s="708" t="s">
        <v>564</v>
      </c>
      <c r="U1299" s="697" t="s">
        <v>832</v>
      </c>
      <c r="V1299" s="805">
        <f>P1332</f>
        <v>562</v>
      </c>
      <c r="W1299" s="698" t="s">
        <v>1418</v>
      </c>
      <c r="X1299" s="710">
        <f t="shared" si="175"/>
        <v>1236.4000000000001</v>
      </c>
      <c r="AE1299" s="724">
        <f t="shared" si="174"/>
        <v>0</v>
      </c>
    </row>
    <row r="1300" spans="6:31" ht="24" customHeight="1">
      <c r="F1300" s="710">
        <v>0.24</v>
      </c>
      <c r="G1300" s="708" t="s">
        <v>878</v>
      </c>
      <c r="H1300" s="697" t="s">
        <v>1716</v>
      </c>
      <c r="I1300" s="710">
        <f>(C67)</f>
        <v>991.83</v>
      </c>
      <c r="J1300" s="697" t="s">
        <v>878</v>
      </c>
      <c r="K1300" s="710">
        <f>(F1300*I1300)</f>
        <v>238.04</v>
      </c>
      <c r="M1300" s="710">
        <v>0.7</v>
      </c>
      <c r="N1300" s="708" t="s">
        <v>778</v>
      </c>
      <c r="O1300" s="697" t="s">
        <v>1217</v>
      </c>
      <c r="P1300" s="710">
        <f>AE12</f>
        <v>666</v>
      </c>
      <c r="Q1300" s="708" t="s">
        <v>778</v>
      </c>
      <c r="R1300" s="710">
        <f t="shared" si="176"/>
        <v>466.2</v>
      </c>
      <c r="S1300" s="710">
        <v>2.2000000000000002</v>
      </c>
      <c r="T1300" s="708" t="s">
        <v>564</v>
      </c>
      <c r="U1300" s="697" t="s">
        <v>3656</v>
      </c>
      <c r="V1300" s="805">
        <f>P1302</f>
        <v>461</v>
      </c>
      <c r="W1300" s="698" t="s">
        <v>1418</v>
      </c>
      <c r="X1300" s="710">
        <f t="shared" si="175"/>
        <v>1014.2</v>
      </c>
      <c r="AE1300" s="724">
        <f t="shared" si="174"/>
        <v>0</v>
      </c>
    </row>
    <row r="1301" spans="6:31" ht="24" customHeight="1">
      <c r="F1301" s="740">
        <v>0.11700000000000001</v>
      </c>
      <c r="G1301" s="708" t="s">
        <v>870</v>
      </c>
      <c r="H1301" s="697" t="s">
        <v>871</v>
      </c>
      <c r="I1301" s="710">
        <f>(C64)</f>
        <v>5960</v>
      </c>
      <c r="J1301" s="697" t="s">
        <v>870</v>
      </c>
      <c r="K1301" s="710">
        <f>(F1301*I1301)</f>
        <v>697.32</v>
      </c>
      <c r="M1301" s="710">
        <v>0.5</v>
      </c>
      <c r="N1301" s="708" t="s">
        <v>778</v>
      </c>
      <c r="O1301" s="697" t="s">
        <v>1927</v>
      </c>
      <c r="P1301" s="710">
        <f>I1303</f>
        <v>562</v>
      </c>
      <c r="Q1301" s="708" t="s">
        <v>778</v>
      </c>
      <c r="R1301" s="710">
        <f t="shared" si="176"/>
        <v>281</v>
      </c>
      <c r="S1301" s="710">
        <v>10</v>
      </c>
      <c r="T1301" s="708" t="s">
        <v>450</v>
      </c>
      <c r="U1301" s="697" t="s">
        <v>3657</v>
      </c>
      <c r="V1301" s="805">
        <v>153.47</v>
      </c>
      <c r="W1301" s="698" t="s">
        <v>450</v>
      </c>
      <c r="X1301" s="710">
        <f t="shared" si="175"/>
        <v>1534.7</v>
      </c>
      <c r="AE1301" s="724">
        <f t="shared" si="174"/>
        <v>0</v>
      </c>
    </row>
    <row r="1302" spans="6:31" ht="24" customHeight="1">
      <c r="F1302" s="710">
        <v>0.5</v>
      </c>
      <c r="G1302" s="708" t="s">
        <v>778</v>
      </c>
      <c r="H1302" s="697" t="s">
        <v>2034</v>
      </c>
      <c r="I1302" s="710">
        <f>(C8)</f>
        <v>861</v>
      </c>
      <c r="J1302" s="697" t="s">
        <v>778</v>
      </c>
      <c r="K1302" s="710">
        <f>(F1302*I1302)</f>
        <v>430.5</v>
      </c>
      <c r="M1302" s="710">
        <v>0.8</v>
      </c>
      <c r="N1302" s="708" t="s">
        <v>778</v>
      </c>
      <c r="O1302" s="697" t="s">
        <v>321</v>
      </c>
      <c r="P1302" s="710">
        <f>I1304</f>
        <v>461</v>
      </c>
      <c r="Q1302" s="708" t="s">
        <v>778</v>
      </c>
      <c r="R1302" s="710">
        <f t="shared" si="176"/>
        <v>368.8</v>
      </c>
      <c r="S1302" s="699"/>
      <c r="T1302" s="700"/>
      <c r="U1302" s="697"/>
      <c r="V1302" s="805">
        <f>P1334</f>
        <v>0</v>
      </c>
      <c r="W1302" s="704"/>
      <c r="X1302" s="705" t="s">
        <v>1609</v>
      </c>
      <c r="AE1302" s="724">
        <f t="shared" si="174"/>
        <v>0</v>
      </c>
    </row>
    <row r="1303" spans="6:31" ht="24" customHeight="1">
      <c r="F1303" s="710">
        <v>1.1000000000000001</v>
      </c>
      <c r="G1303" s="708" t="s">
        <v>778</v>
      </c>
      <c r="H1303" s="697" t="s">
        <v>944</v>
      </c>
      <c r="I1303" s="710">
        <f>(C10)</f>
        <v>562</v>
      </c>
      <c r="J1303" s="697" t="s">
        <v>778</v>
      </c>
      <c r="K1303" s="710">
        <f>(F1303*I1303)</f>
        <v>618.20000000000005</v>
      </c>
      <c r="M1303" s="710">
        <v>10</v>
      </c>
      <c r="N1303" s="708" t="s">
        <v>2308</v>
      </c>
      <c r="O1303" s="697" t="s">
        <v>3920</v>
      </c>
      <c r="P1303" s="710">
        <f>C457</f>
        <v>3.83</v>
      </c>
      <c r="Q1303" s="708" t="s">
        <v>2308</v>
      </c>
      <c r="R1303" s="710">
        <f t="shared" si="176"/>
        <v>38.299999999999997</v>
      </c>
      <c r="S1303" s="699"/>
      <c r="T1303" s="700"/>
      <c r="U1303" s="698" t="s">
        <v>407</v>
      </c>
      <c r="V1303" s="805"/>
      <c r="W1303" s="704"/>
      <c r="X1303" s="710">
        <f>SUM(X1295:X1301)</f>
        <v>22655.9</v>
      </c>
      <c r="AE1303" s="724">
        <f t="shared" si="174"/>
        <v>0</v>
      </c>
    </row>
    <row r="1304" spans="6:31" ht="24" customHeight="1">
      <c r="F1304" s="710">
        <v>4.3</v>
      </c>
      <c r="G1304" s="708" t="s">
        <v>778</v>
      </c>
      <c r="H1304" s="697" t="s">
        <v>321</v>
      </c>
      <c r="I1304" s="710">
        <f>(C11)</f>
        <v>461</v>
      </c>
      <c r="J1304" s="697" t="s">
        <v>778</v>
      </c>
      <c r="K1304" s="710">
        <f>(F1304*I1304)</f>
        <v>1982.3</v>
      </c>
      <c r="N1304" s="708" t="s">
        <v>450</v>
      </c>
      <c r="O1304" s="697" t="s">
        <v>1199</v>
      </c>
      <c r="P1304" s="697" t="s">
        <v>987</v>
      </c>
      <c r="Q1304" s="698" t="s">
        <v>450</v>
      </c>
      <c r="R1304" s="710">
        <v>0</v>
      </c>
      <c r="S1304" s="699"/>
      <c r="T1304" s="700"/>
      <c r="W1304" s="704"/>
      <c r="X1304" s="705" t="s">
        <v>1609</v>
      </c>
      <c r="AE1304" s="724">
        <f t="shared" si="174"/>
        <v>0</v>
      </c>
    </row>
    <row r="1305" spans="6:31" ht="24" customHeight="1">
      <c r="G1305" s="708" t="s">
        <v>450</v>
      </c>
      <c r="H1305" s="697" t="s">
        <v>451</v>
      </c>
      <c r="J1305" s="697" t="s">
        <v>450</v>
      </c>
      <c r="K1305" s="710">
        <v>0</v>
      </c>
      <c r="N1305" s="700"/>
      <c r="Q1305" s="704"/>
      <c r="R1305" s="705" t="s">
        <v>1609</v>
      </c>
      <c r="S1305" s="699"/>
      <c r="T1305" s="700"/>
      <c r="U1305" s="698" t="s">
        <v>411</v>
      </c>
      <c r="W1305" s="704"/>
      <c r="X1305" s="709">
        <f>X1303/10</f>
        <v>2265.59</v>
      </c>
      <c r="AE1305" s="724">
        <f t="shared" si="174"/>
        <v>0</v>
      </c>
    </row>
    <row r="1306" spans="6:31" ht="24" customHeight="1">
      <c r="K1306" s="705" t="s">
        <v>1609</v>
      </c>
      <c r="N1306" s="700"/>
      <c r="O1306" s="697" t="s">
        <v>442</v>
      </c>
      <c r="Q1306" s="704"/>
      <c r="R1306" s="710">
        <f>SUM(R1297:R1304)</f>
        <v>2361.48</v>
      </c>
      <c r="S1306" s="699"/>
      <c r="T1306" s="700"/>
      <c r="U1306" s="697" t="s">
        <v>386</v>
      </c>
      <c r="W1306" s="704">
        <f>X1310+Y1305</f>
        <v>2267.81</v>
      </c>
      <c r="X1306" s="710">
        <f>X1305+Y1303</f>
        <v>2265.59</v>
      </c>
      <c r="AE1306" s="724">
        <f t="shared" si="174"/>
        <v>0</v>
      </c>
    </row>
    <row r="1307" spans="6:31" ht="24" customHeight="1">
      <c r="H1307" s="697" t="s">
        <v>442</v>
      </c>
      <c r="K1307" s="710">
        <f>SUM(K1300:K1305)</f>
        <v>3966.36</v>
      </c>
      <c r="N1307" s="700"/>
      <c r="Q1307" s="704"/>
      <c r="R1307" s="705" t="s">
        <v>1609</v>
      </c>
      <c r="S1307" s="699"/>
      <c r="T1307" s="700"/>
      <c r="U1307" s="697" t="s">
        <v>388</v>
      </c>
      <c r="W1307" s="704">
        <f>W1306+Y1305</f>
        <v>2267.81</v>
      </c>
      <c r="X1307" s="710">
        <f>X1306+1.11</f>
        <v>2266.6999999999998</v>
      </c>
      <c r="AE1307" s="724">
        <f t="shared" si="174"/>
        <v>0</v>
      </c>
    </row>
    <row r="1308" spans="6:31" ht="24" customHeight="1">
      <c r="K1308" s="705" t="s">
        <v>1609</v>
      </c>
      <c r="N1308" s="700"/>
      <c r="O1308" s="701" t="s">
        <v>556</v>
      </c>
      <c r="Q1308" s="704"/>
      <c r="R1308" s="709">
        <f>(R1306/10)</f>
        <v>236.15</v>
      </c>
      <c r="S1308" s="699"/>
      <c r="T1308" s="700"/>
      <c r="U1308" s="697" t="s">
        <v>2257</v>
      </c>
      <c r="W1308" s="704"/>
      <c r="X1308" s="710">
        <f>X1307+1.11</f>
        <v>2267.81</v>
      </c>
      <c r="AE1308" s="724">
        <f t="shared" si="174"/>
        <v>0</v>
      </c>
    </row>
    <row r="1309" spans="6:31" ht="24" customHeight="1">
      <c r="H1309" s="711" t="s">
        <v>556</v>
      </c>
      <c r="K1309" s="709">
        <f>(K1307/10)</f>
        <v>396.64</v>
      </c>
      <c r="M1309" s="697" t="s">
        <v>987</v>
      </c>
      <c r="N1309" s="700"/>
      <c r="Q1309" s="704"/>
      <c r="S1309" s="699"/>
      <c r="T1309" s="700"/>
      <c r="U1309" s="697" t="s">
        <v>380</v>
      </c>
      <c r="W1309" s="704"/>
      <c r="X1309" s="710">
        <f>X1308+Y1305</f>
        <v>2267.81</v>
      </c>
      <c r="AE1309" s="724">
        <f t="shared" si="174"/>
        <v>0</v>
      </c>
    </row>
    <row r="1310" spans="6:31" ht="24" customHeight="1">
      <c r="F1310" s="697" t="s">
        <v>987</v>
      </c>
      <c r="N1310" s="700"/>
      <c r="Q1310" s="704"/>
      <c r="R1310" s="705" t="s">
        <v>2080</v>
      </c>
      <c r="S1310" s="699"/>
      <c r="T1310" s="700"/>
      <c r="U1310" s="697" t="s">
        <v>1384</v>
      </c>
      <c r="W1310" s="704"/>
      <c r="X1310" s="710">
        <f>X1309+Y1305</f>
        <v>2267.81</v>
      </c>
      <c r="AE1310" s="724">
        <f t="shared" si="174"/>
        <v>0</v>
      </c>
    </row>
    <row r="1311" spans="6:31" ht="24" customHeight="1">
      <c r="K1311" s="705" t="s">
        <v>2080</v>
      </c>
      <c r="N1311" s="700"/>
      <c r="Q1311" s="704"/>
      <c r="S1311" s="699"/>
      <c r="T1311" s="700"/>
      <c r="W1311" s="704"/>
      <c r="AE1311" s="724">
        <f t="shared" si="174"/>
        <v>0</v>
      </c>
    </row>
    <row r="1312" spans="6:31" ht="24" customHeight="1">
      <c r="F1312" s="698" t="s">
        <v>1963</v>
      </c>
      <c r="G1312" s="708" t="s">
        <v>2276</v>
      </c>
      <c r="H1312" s="701" t="s">
        <v>5248</v>
      </c>
      <c r="M1312" s="698" t="s">
        <v>1394</v>
      </c>
      <c r="N1312" s="708" t="s">
        <v>2276</v>
      </c>
      <c r="O1312" s="697" t="s">
        <v>5249</v>
      </c>
      <c r="Q1312" s="704"/>
      <c r="AE1312" s="724">
        <f t="shared" si="174"/>
        <v>0</v>
      </c>
    </row>
    <row r="1313" spans="6:31" ht="24" customHeight="1">
      <c r="H1313" s="697" t="s">
        <v>1964</v>
      </c>
      <c r="N1313" s="700"/>
      <c r="O1313" s="697" t="s">
        <v>1546</v>
      </c>
      <c r="Q1313" s="704"/>
      <c r="S1313" s="765">
        <v>15.1</v>
      </c>
      <c r="T1313" s="708" t="s">
        <v>1782</v>
      </c>
      <c r="U1313" s="697" t="s">
        <v>5250</v>
      </c>
      <c r="W1313" s="704"/>
      <c r="AE1313" s="724">
        <f t="shared" si="174"/>
        <v>0</v>
      </c>
    </row>
    <row r="1314" spans="6:31" ht="24" customHeight="1">
      <c r="H1314" s="697" t="s">
        <v>1965</v>
      </c>
      <c r="N1314" s="700"/>
      <c r="O1314" s="701" t="s">
        <v>1218</v>
      </c>
      <c r="Q1314" s="704"/>
      <c r="S1314" s="699"/>
      <c r="T1314" s="700"/>
      <c r="U1314" s="697" t="s">
        <v>2306</v>
      </c>
      <c r="W1314" s="704"/>
      <c r="AE1314" s="724">
        <f t="shared" si="174"/>
        <v>0</v>
      </c>
    </row>
    <row r="1315" spans="6:31" ht="24" customHeight="1">
      <c r="H1315" s="697" t="s">
        <v>765</v>
      </c>
      <c r="N1315" s="700"/>
      <c r="O1315" s="705" t="s">
        <v>1609</v>
      </c>
      <c r="Q1315" s="704"/>
      <c r="S1315" s="710">
        <v>10</v>
      </c>
      <c r="T1315" s="708" t="s">
        <v>2308</v>
      </c>
      <c r="U1315" s="697" t="s">
        <v>5251</v>
      </c>
      <c r="V1315" s="718">
        <f>AB1185</f>
        <v>1720</v>
      </c>
      <c r="W1315" s="698" t="s">
        <v>2308</v>
      </c>
      <c r="X1315" s="710">
        <f>(S1315*V1315)</f>
        <v>17200</v>
      </c>
      <c r="AE1315" s="724">
        <f t="shared" si="174"/>
        <v>0</v>
      </c>
    </row>
    <row r="1316" spans="6:31" ht="24" customHeight="1">
      <c r="H1316" s="697" t="s">
        <v>757</v>
      </c>
      <c r="M1316" s="710">
        <v>1.4</v>
      </c>
      <c r="N1316" s="708" t="s">
        <v>1256</v>
      </c>
      <c r="O1316" s="872" t="s">
        <v>5118</v>
      </c>
      <c r="P1316" s="849">
        <v>292.7</v>
      </c>
      <c r="Q1316" s="698" t="s">
        <v>1256</v>
      </c>
      <c r="R1316" s="710">
        <f>P1316*M1316</f>
        <v>409.78</v>
      </c>
      <c r="S1316" s="710">
        <v>0.21</v>
      </c>
      <c r="T1316" s="708" t="s">
        <v>878</v>
      </c>
      <c r="U1316" s="697" t="s">
        <v>793</v>
      </c>
      <c r="V1316" s="805">
        <f>V1296</f>
        <v>4471.8999999999996</v>
      </c>
      <c r="W1316" s="698" t="s">
        <v>878</v>
      </c>
      <c r="X1316" s="710">
        <f t="shared" ref="X1316:X1321" si="177">(S1316*V1316)</f>
        <v>939.1</v>
      </c>
      <c r="AE1316" s="724">
        <f t="shared" si="174"/>
        <v>0</v>
      </c>
    </row>
    <row r="1317" spans="6:31" ht="24" customHeight="1">
      <c r="H1317" s="705" t="s">
        <v>1609</v>
      </c>
      <c r="M1317" s="710">
        <v>0.98</v>
      </c>
      <c r="N1317" s="708" t="s">
        <v>1256</v>
      </c>
      <c r="O1317" s="769" t="s">
        <v>5119</v>
      </c>
      <c r="P1317" s="710">
        <f>C193</f>
        <v>146.1</v>
      </c>
      <c r="Q1317" s="698" t="s">
        <v>1256</v>
      </c>
      <c r="R1317" s="710">
        <f>(M1317*P1317)</f>
        <v>143.18</v>
      </c>
      <c r="S1317" s="710">
        <v>1.1000000000000001</v>
      </c>
      <c r="T1317" s="708" t="s">
        <v>564</v>
      </c>
      <c r="U1317" s="697" t="s">
        <v>565</v>
      </c>
      <c r="V1317" s="718">
        <f t="shared" ref="V1317:V1322" si="178">V1297</f>
        <v>861</v>
      </c>
      <c r="W1317" s="698" t="s">
        <v>1418</v>
      </c>
      <c r="X1317" s="710">
        <f t="shared" si="177"/>
        <v>947.1</v>
      </c>
      <c r="AE1317" s="724">
        <f t="shared" si="174"/>
        <v>0</v>
      </c>
    </row>
    <row r="1318" spans="6:31" ht="24" customHeight="1">
      <c r="F1318" s="710">
        <v>12.8</v>
      </c>
      <c r="G1318" s="708" t="s">
        <v>878</v>
      </c>
      <c r="H1318" s="697" t="s">
        <v>758</v>
      </c>
      <c r="I1318" s="710">
        <f>(C79)</f>
        <v>954.02</v>
      </c>
      <c r="J1318" s="697" t="s">
        <v>878</v>
      </c>
      <c r="K1318" s="710">
        <f>(F1318*I1318)</f>
        <v>12211.46</v>
      </c>
      <c r="M1318" s="710">
        <v>2.2000000000000002</v>
      </c>
      <c r="N1318" s="708" t="s">
        <v>778</v>
      </c>
      <c r="O1318" s="697" t="s">
        <v>1197</v>
      </c>
      <c r="P1318" s="710">
        <f>P1299</f>
        <v>688</v>
      </c>
      <c r="Q1318" s="698" t="s">
        <v>778</v>
      </c>
      <c r="R1318" s="710">
        <f>(M1318*P1318)</f>
        <v>1513.6</v>
      </c>
      <c r="S1318" s="710">
        <v>1.1000000000000001</v>
      </c>
      <c r="T1318" s="708" t="s">
        <v>564</v>
      </c>
      <c r="U1318" s="697" t="s">
        <v>3658</v>
      </c>
      <c r="V1318" s="718">
        <f t="shared" si="178"/>
        <v>804</v>
      </c>
      <c r="W1318" s="698" t="s">
        <v>1418</v>
      </c>
      <c r="X1318" s="710">
        <f t="shared" si="177"/>
        <v>884.4</v>
      </c>
      <c r="AE1318" s="724">
        <f t="shared" si="174"/>
        <v>0</v>
      </c>
    </row>
    <row r="1319" spans="6:31" ht="24" customHeight="1">
      <c r="F1319" s="710">
        <v>5</v>
      </c>
      <c r="G1319" s="708" t="s">
        <v>878</v>
      </c>
      <c r="H1319" s="697" t="s">
        <v>759</v>
      </c>
      <c r="I1319" s="710">
        <f>(C82)</f>
        <v>974</v>
      </c>
      <c r="J1319" s="697" t="s">
        <v>878</v>
      </c>
      <c r="K1319" s="710">
        <f>(F1319*I1319)</f>
        <v>4870</v>
      </c>
      <c r="N1319" s="708" t="s">
        <v>450</v>
      </c>
      <c r="O1319" s="697" t="s">
        <v>1199</v>
      </c>
      <c r="P1319" s="697" t="s">
        <v>987</v>
      </c>
      <c r="Q1319" s="698" t="s">
        <v>450</v>
      </c>
      <c r="R1319" s="710">
        <v>2.5499999999999998</v>
      </c>
      <c r="S1319" s="710">
        <v>2.2000000000000002</v>
      </c>
      <c r="T1319" s="708" t="s">
        <v>564</v>
      </c>
      <c r="U1319" s="697" t="s">
        <v>832</v>
      </c>
      <c r="V1319" s="718">
        <f t="shared" si="178"/>
        <v>562</v>
      </c>
      <c r="W1319" s="698" t="s">
        <v>1418</v>
      </c>
      <c r="X1319" s="710">
        <f t="shared" si="177"/>
        <v>1236.4000000000001</v>
      </c>
      <c r="AE1319" s="724">
        <f t="shared" si="174"/>
        <v>0</v>
      </c>
    </row>
    <row r="1320" spans="6:31" ht="24" customHeight="1">
      <c r="F1320" s="710">
        <v>1.8</v>
      </c>
      <c r="G1320" s="708" t="s">
        <v>778</v>
      </c>
      <c r="H1320" s="697" t="s">
        <v>2034</v>
      </c>
      <c r="I1320" s="710">
        <f>(C8)</f>
        <v>861</v>
      </c>
      <c r="J1320" s="697" t="s">
        <v>778</v>
      </c>
      <c r="K1320" s="710">
        <f>(F1320*I1320)</f>
        <v>1549.8</v>
      </c>
      <c r="N1320" s="700"/>
      <c r="Q1320" s="704"/>
      <c r="R1320" s="705"/>
      <c r="S1320" s="710">
        <v>2.2000000000000002</v>
      </c>
      <c r="T1320" s="708" t="s">
        <v>564</v>
      </c>
      <c r="U1320" s="697" t="s">
        <v>3656</v>
      </c>
      <c r="V1320" s="718">
        <f t="shared" si="178"/>
        <v>461</v>
      </c>
      <c r="W1320" s="698" t="s">
        <v>1418</v>
      </c>
      <c r="X1320" s="710">
        <f t="shared" si="177"/>
        <v>1014.2</v>
      </c>
      <c r="AE1320" s="724">
        <f t="shared" si="174"/>
        <v>0</v>
      </c>
    </row>
    <row r="1321" spans="6:31" ht="24" customHeight="1">
      <c r="F1321" s="710">
        <v>17.7</v>
      </c>
      <c r="G1321" s="708" t="s">
        <v>778</v>
      </c>
      <c r="H1321" s="697" t="s">
        <v>944</v>
      </c>
      <c r="I1321" s="710">
        <f>(C10)</f>
        <v>562</v>
      </c>
      <c r="J1321" s="697" t="s">
        <v>778</v>
      </c>
      <c r="K1321" s="710">
        <f>(F1321*I1321)</f>
        <v>9947.4</v>
      </c>
      <c r="N1321" s="700"/>
      <c r="O1321" s="697" t="s">
        <v>442</v>
      </c>
      <c r="Q1321" s="704"/>
      <c r="R1321" s="710">
        <f>SUM(R1316:R1319)</f>
        <v>2069.11</v>
      </c>
      <c r="S1321" s="710">
        <v>10</v>
      </c>
      <c r="T1321" s="708" t="s">
        <v>450</v>
      </c>
      <c r="U1321" s="697" t="s">
        <v>3657</v>
      </c>
      <c r="V1321" s="718">
        <f t="shared" si="178"/>
        <v>153.47</v>
      </c>
      <c r="W1321" s="698" t="s">
        <v>450</v>
      </c>
      <c r="X1321" s="710">
        <f t="shared" si="177"/>
        <v>1534.7</v>
      </c>
      <c r="AE1321" s="724">
        <f t="shared" si="174"/>
        <v>0</v>
      </c>
    </row>
    <row r="1322" spans="6:31" ht="24" customHeight="1">
      <c r="F1322" s="710">
        <v>14.1</v>
      </c>
      <c r="G1322" s="708" t="s">
        <v>778</v>
      </c>
      <c r="H1322" s="697" t="s">
        <v>321</v>
      </c>
      <c r="I1322" s="710">
        <f>(C11)</f>
        <v>461</v>
      </c>
      <c r="J1322" s="697" t="s">
        <v>778</v>
      </c>
      <c r="K1322" s="710">
        <f>(F1322*I1322)</f>
        <v>6500.1</v>
      </c>
      <c r="N1322" s="700"/>
      <c r="Q1322" s="704"/>
      <c r="R1322" s="705" t="s">
        <v>1609</v>
      </c>
      <c r="S1322" s="699"/>
      <c r="T1322" s="700"/>
      <c r="U1322" s="697"/>
      <c r="V1322" s="718">
        <f t="shared" si="178"/>
        <v>0</v>
      </c>
      <c r="W1322" s="704"/>
      <c r="X1322" s="705" t="s">
        <v>1609</v>
      </c>
      <c r="AE1322" s="724">
        <f t="shared" si="174"/>
        <v>0</v>
      </c>
    </row>
    <row r="1323" spans="6:31" ht="24" customHeight="1">
      <c r="G1323" s="708" t="s">
        <v>450</v>
      </c>
      <c r="H1323" s="697" t="s">
        <v>451</v>
      </c>
      <c r="J1323" s="697" t="s">
        <v>450</v>
      </c>
      <c r="K1323" s="710">
        <v>0</v>
      </c>
      <c r="N1323" s="700"/>
      <c r="O1323" s="697" t="s">
        <v>556</v>
      </c>
      <c r="Q1323" s="704"/>
      <c r="R1323" s="709">
        <f>(R1321/10)</f>
        <v>206.91</v>
      </c>
      <c r="S1323" s="699">
        <f>R1323-157</f>
        <v>49.91</v>
      </c>
      <c r="T1323" s="700"/>
      <c r="U1323" s="698" t="s">
        <v>407</v>
      </c>
      <c r="W1323" s="704"/>
      <c r="X1323" s="710">
        <f>SUM(X1315:X1321)</f>
        <v>23755.9</v>
      </c>
      <c r="AE1323" s="724">
        <f t="shared" si="174"/>
        <v>0</v>
      </c>
    </row>
    <row r="1324" spans="6:31" ht="24" customHeight="1">
      <c r="K1324" s="705" t="s">
        <v>1609</v>
      </c>
      <c r="M1324" s="697" t="s">
        <v>987</v>
      </c>
      <c r="N1324" s="700"/>
      <c r="Q1324" s="704"/>
      <c r="S1324" s="699"/>
      <c r="T1324" s="700"/>
      <c r="W1324" s="704"/>
      <c r="X1324" s="705" t="s">
        <v>1609</v>
      </c>
      <c r="AE1324" s="724">
        <f t="shared" si="174"/>
        <v>0</v>
      </c>
    </row>
    <row r="1325" spans="6:31" ht="24" customHeight="1">
      <c r="H1325" s="697" t="s">
        <v>620</v>
      </c>
      <c r="K1325" s="710">
        <f>SUM(K1318:K1324)</f>
        <v>35078.76</v>
      </c>
      <c r="N1325" s="700"/>
      <c r="Q1325" s="704"/>
      <c r="R1325" s="705" t="s">
        <v>2080</v>
      </c>
      <c r="S1325" s="699"/>
      <c r="T1325" s="700"/>
      <c r="U1325" s="698" t="s">
        <v>411</v>
      </c>
      <c r="W1325" s="704"/>
      <c r="X1325" s="709">
        <f>X1323/10</f>
        <v>2375.59</v>
      </c>
      <c r="AE1325" s="724">
        <f t="shared" si="174"/>
        <v>0</v>
      </c>
    </row>
    <row r="1326" spans="6:31" ht="24" customHeight="1">
      <c r="K1326" s="705" t="s">
        <v>1609</v>
      </c>
      <c r="N1326" s="700"/>
      <c r="Q1326" s="704"/>
      <c r="AE1326" s="724">
        <f t="shared" si="174"/>
        <v>0</v>
      </c>
    </row>
    <row r="1327" spans="6:31" ht="24" customHeight="1">
      <c r="H1327" s="711" t="s">
        <v>782</v>
      </c>
      <c r="K1327" s="709">
        <f>(K1325/10)</f>
        <v>3507.88</v>
      </c>
      <c r="M1327" s="765">
        <v>15.1</v>
      </c>
      <c r="N1327" s="708" t="s">
        <v>1782</v>
      </c>
      <c r="O1327" s="697" t="s">
        <v>5250</v>
      </c>
      <c r="Q1327" s="704"/>
      <c r="T1327" s="701" t="s">
        <v>3888</v>
      </c>
      <c r="AE1327" s="724">
        <f t="shared" si="174"/>
        <v>0</v>
      </c>
    </row>
    <row r="1328" spans="6:31" ht="24" customHeight="1">
      <c r="K1328" s="705" t="s">
        <v>2080</v>
      </c>
      <c r="N1328" s="700"/>
      <c r="O1328" s="697" t="s">
        <v>2306</v>
      </c>
      <c r="Q1328" s="704"/>
      <c r="S1328" s="710">
        <v>10</v>
      </c>
      <c r="T1328" s="708" t="s">
        <v>615</v>
      </c>
      <c r="U1328" s="697" t="s">
        <v>5152</v>
      </c>
      <c r="V1328" s="718">
        <v>487</v>
      </c>
      <c r="W1328" s="697" t="s">
        <v>615</v>
      </c>
      <c r="X1328" s="710">
        <f>(S1328*V1328)</f>
        <v>4870</v>
      </c>
      <c r="Z1328" s="699">
        <v>9</v>
      </c>
      <c r="AA1328" s="699" t="s">
        <v>3698</v>
      </c>
      <c r="AB1328" s="699">
        <f>AC41</f>
        <v>1066.5</v>
      </c>
      <c r="AC1328" s="699">
        <f>AB1328*Z1328</f>
        <v>9598.5</v>
      </c>
      <c r="AE1328" s="724">
        <f t="shared" si="174"/>
        <v>0</v>
      </c>
    </row>
    <row r="1329" spans="6:31" ht="38.25" customHeight="1">
      <c r="M1329" s="710">
        <v>10</v>
      </c>
      <c r="N1329" s="708" t="s">
        <v>2308</v>
      </c>
      <c r="O1329" s="873" t="s">
        <v>5252</v>
      </c>
      <c r="P1329" s="718">
        <v>1610</v>
      </c>
      <c r="Q1329" s="698" t="s">
        <v>2308</v>
      </c>
      <c r="R1329" s="710">
        <f>(M1329*P1329)</f>
        <v>16100</v>
      </c>
      <c r="S1329" s="710">
        <v>0.21</v>
      </c>
      <c r="T1329" s="708" t="s">
        <v>878</v>
      </c>
      <c r="U1329" s="697" t="s">
        <v>1901</v>
      </c>
      <c r="V1329" s="710">
        <f>P1330</f>
        <v>4471.8999999999996</v>
      </c>
      <c r="W1329" s="697" t="s">
        <v>878</v>
      </c>
      <c r="X1329" s="710">
        <f>(S1329*V1329)</f>
        <v>939.1</v>
      </c>
      <c r="Z1329" s="699">
        <v>4.5</v>
      </c>
      <c r="AA1329" s="697" t="s">
        <v>417</v>
      </c>
      <c r="AB1329" s="699">
        <f>K21</f>
        <v>5902.3</v>
      </c>
      <c r="AC1329" s="699">
        <f>AB1329*Z1329</f>
        <v>26560.35</v>
      </c>
      <c r="AE1329" s="724">
        <f t="shared" si="174"/>
        <v>0</v>
      </c>
    </row>
    <row r="1330" spans="6:31" ht="24" customHeight="1">
      <c r="G1330" s="708" t="s">
        <v>681</v>
      </c>
      <c r="H1330" s="697" t="s">
        <v>760</v>
      </c>
      <c r="M1330" s="710">
        <v>0.12</v>
      </c>
      <c r="N1330" s="708" t="s">
        <v>878</v>
      </c>
      <c r="O1330" s="697" t="s">
        <v>793</v>
      </c>
      <c r="P1330" s="710">
        <f>K30</f>
        <v>4471.8999999999996</v>
      </c>
      <c r="Q1330" s="698" t="s">
        <v>878</v>
      </c>
      <c r="R1330" s="710">
        <f>(M1330*P1330)</f>
        <v>536.63</v>
      </c>
      <c r="S1330" s="699">
        <v>10</v>
      </c>
      <c r="T1330" s="700"/>
      <c r="U1330" s="697" t="s">
        <v>3889</v>
      </c>
      <c r="V1330" s="805">
        <f>K1341</f>
        <v>273.58</v>
      </c>
      <c r="W1330" s="702"/>
      <c r="X1330" s="710">
        <f>(S1330*V1330)</f>
        <v>2735.8</v>
      </c>
      <c r="Z1330" s="699">
        <v>1.8</v>
      </c>
      <c r="AA1330" s="697" t="s">
        <v>1737</v>
      </c>
      <c r="AB1330" s="699">
        <f>V1332</f>
        <v>804</v>
      </c>
      <c r="AC1330" s="699">
        <f>AB1330*Z1330</f>
        <v>1447.2</v>
      </c>
      <c r="AE1330" s="724">
        <f t="shared" si="174"/>
        <v>0</v>
      </c>
    </row>
    <row r="1331" spans="6:31" ht="31.5" customHeight="1">
      <c r="H1331" s="697" t="s">
        <v>761</v>
      </c>
      <c r="M1331" s="710">
        <v>1</v>
      </c>
      <c r="N1331" s="708" t="s">
        <v>564</v>
      </c>
      <c r="O1331" s="697" t="s">
        <v>565</v>
      </c>
      <c r="P1331" s="710">
        <f>I1302</f>
        <v>861</v>
      </c>
      <c r="Q1331" s="698" t="s">
        <v>1418</v>
      </c>
      <c r="R1331" s="710">
        <f>(M1331*P1331)</f>
        <v>861</v>
      </c>
      <c r="S1331" s="710">
        <v>1.1000000000000001</v>
      </c>
      <c r="T1331" s="874" t="s">
        <v>778</v>
      </c>
      <c r="U1331" s="697" t="s">
        <v>2034</v>
      </c>
      <c r="V1331" s="710">
        <f>AE7</f>
        <v>861</v>
      </c>
      <c r="W1331" s="698" t="s">
        <v>778</v>
      </c>
      <c r="X1331" s="710">
        <f t="shared" ref="X1331:X1338" si="179">S1331*V1331</f>
        <v>947.1</v>
      </c>
      <c r="Z1331" s="699">
        <v>17.7</v>
      </c>
      <c r="AA1331" s="697" t="s">
        <v>1927</v>
      </c>
      <c r="AB1331" s="699">
        <f>V1333</f>
        <v>562</v>
      </c>
      <c r="AC1331" s="699">
        <f>AB1331*Z1331</f>
        <v>9947.4</v>
      </c>
      <c r="AE1331" s="724">
        <f t="shared" si="174"/>
        <v>0</v>
      </c>
    </row>
    <row r="1332" spans="6:31" ht="38.25" customHeight="1">
      <c r="H1332" s="705" t="s">
        <v>1609</v>
      </c>
      <c r="L1332" s="699">
        <f>SUM(K1352:K1357)</f>
        <v>7179.94</v>
      </c>
      <c r="M1332" s="710">
        <v>1</v>
      </c>
      <c r="N1332" s="708" t="s">
        <v>564</v>
      </c>
      <c r="O1332" s="697" t="s">
        <v>832</v>
      </c>
      <c r="P1332" s="710">
        <f>I1303</f>
        <v>562</v>
      </c>
      <c r="Q1332" s="698" t="s">
        <v>1418</v>
      </c>
      <c r="R1332" s="710">
        <f>(M1332*P1332)</f>
        <v>562</v>
      </c>
      <c r="S1332" s="710">
        <v>2.1</v>
      </c>
      <c r="T1332" s="874" t="s">
        <v>778</v>
      </c>
      <c r="U1332" s="697" t="s">
        <v>1737</v>
      </c>
      <c r="V1332" s="710">
        <f>AE8</f>
        <v>804</v>
      </c>
      <c r="W1332" s="698" t="s">
        <v>778</v>
      </c>
      <c r="X1332" s="710">
        <f t="shared" si="179"/>
        <v>1688.4</v>
      </c>
      <c r="Z1332" s="699">
        <v>14.1</v>
      </c>
      <c r="AA1332" s="697" t="s">
        <v>321</v>
      </c>
      <c r="AB1332" s="699">
        <f>V1334</f>
        <v>461</v>
      </c>
      <c r="AC1332" s="699">
        <f>AB1332*Z1332</f>
        <v>6500.1</v>
      </c>
      <c r="AE1332" s="724">
        <f t="shared" si="174"/>
        <v>0</v>
      </c>
    </row>
    <row r="1333" spans="6:31" ht="24" customHeight="1">
      <c r="F1333" s="710">
        <v>0.04</v>
      </c>
      <c r="G1333" s="708" t="s">
        <v>878</v>
      </c>
      <c r="H1333" s="697" t="s">
        <v>762</v>
      </c>
      <c r="I1333" s="710">
        <f>(K30)</f>
        <v>4471.8999999999996</v>
      </c>
      <c r="J1333" s="697" t="s">
        <v>878</v>
      </c>
      <c r="K1333" s="710">
        <f>(F1333*I1333)</f>
        <v>178.88</v>
      </c>
      <c r="N1333" s="708" t="s">
        <v>450</v>
      </c>
      <c r="O1333" s="697" t="s">
        <v>61</v>
      </c>
      <c r="Q1333" s="698" t="s">
        <v>450</v>
      </c>
      <c r="R1333" s="710">
        <v>0.33</v>
      </c>
      <c r="S1333" s="710">
        <v>2.2000000000000002</v>
      </c>
      <c r="T1333" s="874" t="s">
        <v>778</v>
      </c>
      <c r="U1333" s="697" t="s">
        <v>1927</v>
      </c>
      <c r="V1333" s="710">
        <f>AE9</f>
        <v>562</v>
      </c>
      <c r="W1333" s="698" t="s">
        <v>778</v>
      </c>
      <c r="X1333" s="710">
        <f t="shared" si="179"/>
        <v>1236.4000000000001</v>
      </c>
      <c r="AC1333" s="699">
        <f>SUM(AC1328:AC1332)</f>
        <v>54053.55</v>
      </c>
      <c r="AE1333" s="724">
        <f t="shared" si="174"/>
        <v>0</v>
      </c>
    </row>
    <row r="1334" spans="6:31" ht="24" customHeight="1">
      <c r="F1334" s="710">
        <v>2.2000000000000002</v>
      </c>
      <c r="G1334" s="708" t="s">
        <v>778</v>
      </c>
      <c r="H1334" s="697" t="s">
        <v>1737</v>
      </c>
      <c r="I1334" s="710">
        <f>(C9)</f>
        <v>804</v>
      </c>
      <c r="J1334" s="697" t="s">
        <v>778</v>
      </c>
      <c r="K1334" s="710">
        <f>(F1334*I1334)</f>
        <v>1768.8</v>
      </c>
      <c r="L1334" s="699">
        <f>SUM(K1352:K1357)</f>
        <v>7179.94</v>
      </c>
      <c r="N1334" s="700"/>
      <c r="O1334" s="697" t="s">
        <v>941</v>
      </c>
      <c r="Q1334" s="704"/>
      <c r="R1334" s="705" t="s">
        <v>1609</v>
      </c>
      <c r="S1334" s="710">
        <v>1.1000000000000001</v>
      </c>
      <c r="T1334" s="874" t="s">
        <v>778</v>
      </c>
      <c r="U1334" s="697" t="s">
        <v>321</v>
      </c>
      <c r="V1334" s="710">
        <f>AE10</f>
        <v>461</v>
      </c>
      <c r="W1334" s="698" t="s">
        <v>778</v>
      </c>
      <c r="X1334" s="710">
        <f t="shared" si="179"/>
        <v>507.1</v>
      </c>
      <c r="AC1334" s="699">
        <f>AC1333/10</f>
        <v>5405.36</v>
      </c>
      <c r="AE1334" s="724">
        <f t="shared" si="174"/>
        <v>0</v>
      </c>
    </row>
    <row r="1335" spans="6:31" ht="24" customHeight="1">
      <c r="F1335" s="710">
        <v>0.5</v>
      </c>
      <c r="G1335" s="708" t="s">
        <v>778</v>
      </c>
      <c r="H1335" s="697" t="s">
        <v>1927</v>
      </c>
      <c r="I1335" s="710">
        <f>(C10)</f>
        <v>562</v>
      </c>
      <c r="J1335" s="697" t="s">
        <v>778</v>
      </c>
      <c r="K1335" s="710">
        <f>(F1335*I1335)</f>
        <v>281</v>
      </c>
      <c r="N1335" s="700"/>
      <c r="O1335" s="698" t="s">
        <v>407</v>
      </c>
      <c r="Q1335" s="704"/>
      <c r="R1335" s="710">
        <f>SUM(R1329:R1333)</f>
        <v>18059.96</v>
      </c>
      <c r="S1335" s="740">
        <v>6.5</v>
      </c>
      <c r="T1335" s="874" t="s">
        <v>1670</v>
      </c>
      <c r="U1335" s="697" t="s">
        <v>3699</v>
      </c>
      <c r="V1335" s="710">
        <v>17.18</v>
      </c>
      <c r="W1335" s="698" t="s">
        <v>870</v>
      </c>
      <c r="X1335" s="710">
        <f t="shared" si="179"/>
        <v>111.67</v>
      </c>
      <c r="AE1335" s="724">
        <f t="shared" si="174"/>
        <v>0</v>
      </c>
    </row>
    <row r="1336" spans="6:31" ht="24" customHeight="1">
      <c r="F1336" s="710">
        <v>1.1000000000000001</v>
      </c>
      <c r="G1336" s="708" t="s">
        <v>778</v>
      </c>
      <c r="H1336" s="697" t="s">
        <v>321</v>
      </c>
      <c r="I1336" s="710">
        <f>(C11)</f>
        <v>461</v>
      </c>
      <c r="J1336" s="697" t="s">
        <v>778</v>
      </c>
      <c r="K1336" s="710">
        <f>(F1336*I1336)</f>
        <v>507.1</v>
      </c>
      <c r="N1336" s="700"/>
      <c r="Q1336" s="704"/>
      <c r="R1336" s="705" t="s">
        <v>1609</v>
      </c>
      <c r="S1336" s="740">
        <v>3</v>
      </c>
      <c r="T1336" s="874" t="s">
        <v>1670</v>
      </c>
      <c r="U1336" s="697" t="s">
        <v>3781</v>
      </c>
      <c r="V1336" s="710">
        <f>C607</f>
        <v>27</v>
      </c>
      <c r="W1336" s="698" t="s">
        <v>1670</v>
      </c>
      <c r="X1336" s="710">
        <f t="shared" si="179"/>
        <v>81</v>
      </c>
      <c r="AE1336" s="724">
        <f t="shared" si="174"/>
        <v>0</v>
      </c>
    </row>
    <row r="1337" spans="6:31" ht="24" customHeight="1">
      <c r="G1337" s="708" t="s">
        <v>450</v>
      </c>
      <c r="H1337" s="697" t="s">
        <v>451</v>
      </c>
      <c r="J1337" s="697" t="s">
        <v>450</v>
      </c>
      <c r="K1337" s="710">
        <v>0</v>
      </c>
      <c r="N1337" s="700"/>
      <c r="O1337" s="698" t="s">
        <v>411</v>
      </c>
      <c r="Q1337" s="704"/>
      <c r="R1337" s="709">
        <f>R1335/10</f>
        <v>1806</v>
      </c>
      <c r="S1337" s="710">
        <v>2.15</v>
      </c>
      <c r="T1337" s="874" t="s">
        <v>778</v>
      </c>
      <c r="U1337" s="697" t="s">
        <v>3700</v>
      </c>
      <c r="V1337" s="710">
        <v>45.8</v>
      </c>
      <c r="W1337" s="698" t="s">
        <v>778</v>
      </c>
      <c r="X1337" s="710">
        <f t="shared" si="179"/>
        <v>98.47</v>
      </c>
      <c r="AE1337" s="724">
        <f t="shared" si="174"/>
        <v>0</v>
      </c>
    </row>
    <row r="1338" spans="6:31" ht="24" customHeight="1">
      <c r="K1338" s="705" t="s">
        <v>1609</v>
      </c>
      <c r="N1338" s="700"/>
      <c r="O1338" s="697" t="s">
        <v>386</v>
      </c>
      <c r="Q1338" s="704">
        <f>R1342+S1299</f>
        <v>1815.03</v>
      </c>
      <c r="R1338" s="710">
        <f>R1337+S1296</f>
        <v>1806.21</v>
      </c>
      <c r="S1338" s="710">
        <v>0.4</v>
      </c>
      <c r="T1338" s="874" t="s">
        <v>778</v>
      </c>
      <c r="U1338" s="697" t="s">
        <v>3791</v>
      </c>
      <c r="V1338" s="710">
        <f>AC1334</f>
        <v>5405.36</v>
      </c>
      <c r="W1338" s="698" t="s">
        <v>778</v>
      </c>
      <c r="X1338" s="710">
        <f t="shared" si="179"/>
        <v>2162.14</v>
      </c>
      <c r="AE1338" s="724">
        <f t="shared" si="174"/>
        <v>0</v>
      </c>
    </row>
    <row r="1339" spans="6:31" ht="24" customHeight="1">
      <c r="H1339" s="697" t="s">
        <v>442</v>
      </c>
      <c r="K1339" s="710">
        <f>SUM(K1333:K1337)</f>
        <v>2735.78</v>
      </c>
      <c r="N1339" s="700"/>
      <c r="O1339" s="697" t="s">
        <v>388</v>
      </c>
      <c r="Q1339" s="704">
        <f>Q1338+S1299</f>
        <v>1817.23</v>
      </c>
      <c r="R1339" s="710">
        <f>R1338+1.11</f>
        <v>1807.32</v>
      </c>
      <c r="S1339" s="710"/>
      <c r="T1339" s="874"/>
      <c r="U1339" s="697"/>
      <c r="V1339" s="710"/>
      <c r="W1339" s="698" t="s">
        <v>778</v>
      </c>
      <c r="X1339" s="710">
        <f>(S1339*V1339)</f>
        <v>0</v>
      </c>
      <c r="AE1339" s="724">
        <f t="shared" si="174"/>
        <v>0</v>
      </c>
    </row>
    <row r="1340" spans="6:31" ht="24" customHeight="1">
      <c r="K1340" s="705" t="s">
        <v>1609</v>
      </c>
      <c r="N1340" s="700"/>
      <c r="O1340" s="697" t="s">
        <v>2257</v>
      </c>
      <c r="Q1340" s="704"/>
      <c r="R1340" s="710">
        <f>R1339+1.11</f>
        <v>1808.43</v>
      </c>
      <c r="S1340" s="699"/>
      <c r="T1340" s="874" t="s">
        <v>450</v>
      </c>
      <c r="U1340" s="697" t="s">
        <v>451</v>
      </c>
      <c r="V1340" s="710"/>
      <c r="W1340" s="698" t="s">
        <v>450</v>
      </c>
      <c r="X1340" s="710">
        <v>0.39</v>
      </c>
      <c r="AE1340" s="724">
        <f t="shared" si="174"/>
        <v>0</v>
      </c>
    </row>
    <row r="1341" spans="6:31" ht="24" customHeight="1">
      <c r="H1341" s="711" t="s">
        <v>556</v>
      </c>
      <c r="K1341" s="709">
        <f>(K1339/10)</f>
        <v>273.58</v>
      </c>
      <c r="N1341" s="700"/>
      <c r="O1341" s="697" t="s">
        <v>380</v>
      </c>
      <c r="Q1341" s="704"/>
      <c r="R1341" s="710">
        <f>R1340+S1299</f>
        <v>1810.63</v>
      </c>
      <c r="S1341" s="699"/>
      <c r="T1341" s="875"/>
      <c r="W1341" s="704"/>
      <c r="X1341" s="705" t="s">
        <v>1609</v>
      </c>
      <c r="AE1341" s="724">
        <f t="shared" si="174"/>
        <v>0</v>
      </c>
    </row>
    <row r="1342" spans="6:31" ht="24" customHeight="1">
      <c r="K1342" s="705" t="s">
        <v>2080</v>
      </c>
      <c r="N1342" s="700"/>
      <c r="O1342" s="697" t="s">
        <v>1384</v>
      </c>
      <c r="Q1342" s="704"/>
      <c r="R1342" s="710">
        <f>R1341+S1299</f>
        <v>1812.83</v>
      </c>
      <c r="S1342" s="699"/>
      <c r="T1342" s="875"/>
      <c r="U1342" s="697" t="s">
        <v>442</v>
      </c>
      <c r="W1342" s="704"/>
      <c r="X1342" s="710">
        <f>SUM(X1328:X1341)</f>
        <v>15377.57</v>
      </c>
      <c r="Y1342" s="699">
        <f>15091</f>
        <v>15091</v>
      </c>
      <c r="AE1342" s="724">
        <f t="shared" si="174"/>
        <v>0</v>
      </c>
    </row>
    <row r="1343" spans="6:31" ht="24" customHeight="1">
      <c r="N1343" s="700"/>
      <c r="Q1343" s="704"/>
      <c r="S1343" s="699"/>
      <c r="T1343" s="875"/>
      <c r="W1343" s="704"/>
      <c r="X1343" s="705" t="s">
        <v>1609</v>
      </c>
      <c r="Y1343" s="699">
        <f>Y1342-X1342</f>
        <v>-286.57</v>
      </c>
      <c r="AE1343" s="724">
        <f t="shared" si="174"/>
        <v>0</v>
      </c>
    </row>
    <row r="1344" spans="6:31" ht="24" customHeight="1">
      <c r="F1344" s="753">
        <v>32.1</v>
      </c>
      <c r="G1344" s="708" t="s">
        <v>2276</v>
      </c>
      <c r="H1344" s="697" t="s">
        <v>763</v>
      </c>
      <c r="N1344" s="700"/>
      <c r="Q1344" s="702"/>
      <c r="S1344" s="699"/>
      <c r="T1344" s="875"/>
      <c r="U1344" s="697" t="s">
        <v>556</v>
      </c>
      <c r="W1344" s="704"/>
      <c r="X1344" s="709">
        <f>(X1342/10)</f>
        <v>1537.76</v>
      </c>
      <c r="Y1344" s="699">
        <f>0.8-0.77</f>
        <v>0.03</v>
      </c>
      <c r="AE1344" s="724">
        <f t="shared" si="174"/>
        <v>0</v>
      </c>
    </row>
    <row r="1345" spans="6:31" ht="24" customHeight="1">
      <c r="H1345" s="697" t="s">
        <v>1505</v>
      </c>
      <c r="N1345" s="700"/>
      <c r="Q1345" s="702"/>
      <c r="S1345" s="699"/>
      <c r="T1345" s="875"/>
      <c r="W1345" s="704"/>
      <c r="X1345" s="705" t="s">
        <v>2080</v>
      </c>
      <c r="AE1345" s="724">
        <f t="shared" si="174"/>
        <v>0</v>
      </c>
    </row>
    <row r="1346" spans="6:31" ht="24" customHeight="1">
      <c r="H1346" s="697" t="s">
        <v>689</v>
      </c>
      <c r="N1346" s="700"/>
      <c r="Q1346" s="702"/>
      <c r="AE1346" s="724">
        <f t="shared" si="174"/>
        <v>0</v>
      </c>
    </row>
    <row r="1347" spans="6:31" ht="24" customHeight="1">
      <c r="H1347" s="697" t="s">
        <v>1992</v>
      </c>
      <c r="N1347" s="700"/>
      <c r="Q1347" s="702"/>
      <c r="Y1347" s="776">
        <v>3.02</v>
      </c>
      <c r="Z1347" s="708" t="s">
        <v>922</v>
      </c>
      <c r="AA1347" s="697" t="s">
        <v>1879</v>
      </c>
      <c r="AB1347" s="710">
        <f t="shared" ref="AB1347:AB1358" si="180">V1349</f>
        <v>301</v>
      </c>
      <c r="AC1347" s="708" t="s">
        <v>922</v>
      </c>
      <c r="AD1347" s="710">
        <f t="shared" ref="AD1347:AD1358" si="181">AB1347*Y1347</f>
        <v>909.02</v>
      </c>
      <c r="AE1347" s="724">
        <f t="shared" si="174"/>
        <v>0</v>
      </c>
    </row>
    <row r="1348" spans="6:31" ht="24" customHeight="1">
      <c r="H1348" s="697" t="s">
        <v>1312</v>
      </c>
      <c r="N1348" s="700"/>
      <c r="O1348" s="699" t="s">
        <v>1219</v>
      </c>
      <c r="Q1348" s="704"/>
      <c r="T1348" s="700"/>
      <c r="U1348" s="847" t="s">
        <v>3540</v>
      </c>
      <c r="W1348" s="702"/>
      <c r="Y1348" s="776">
        <v>2.19</v>
      </c>
      <c r="Z1348" s="708" t="s">
        <v>922</v>
      </c>
      <c r="AA1348" s="697" t="s">
        <v>1879</v>
      </c>
      <c r="AB1348" s="710">
        <f t="shared" si="180"/>
        <v>301</v>
      </c>
      <c r="AC1348" s="708" t="s">
        <v>922</v>
      </c>
      <c r="AD1348" s="710">
        <f t="shared" si="181"/>
        <v>659.19</v>
      </c>
      <c r="AE1348" s="724">
        <f t="shared" si="174"/>
        <v>0</v>
      </c>
    </row>
    <row r="1349" spans="6:31" ht="24" customHeight="1">
      <c r="H1349" s="705" t="s">
        <v>1609</v>
      </c>
      <c r="N1349" s="700"/>
      <c r="Q1349" s="704"/>
      <c r="S1349" s="740">
        <v>3.72</v>
      </c>
      <c r="T1349" s="708" t="s">
        <v>922</v>
      </c>
      <c r="U1349" s="697" t="s">
        <v>1879</v>
      </c>
      <c r="V1349" s="710">
        <f>P1388</f>
        <v>301</v>
      </c>
      <c r="W1349" s="708" t="s">
        <v>922</v>
      </c>
      <c r="X1349" s="710">
        <f>V1349*S1349</f>
        <v>1119.72</v>
      </c>
      <c r="Y1349" s="776">
        <v>4.96</v>
      </c>
      <c r="Z1349" s="708" t="s">
        <v>922</v>
      </c>
      <c r="AA1349" s="697" t="s">
        <v>1879</v>
      </c>
      <c r="AB1349" s="710">
        <f t="shared" si="180"/>
        <v>301</v>
      </c>
      <c r="AC1349" s="708" t="s">
        <v>922</v>
      </c>
      <c r="AD1349" s="710">
        <f t="shared" si="181"/>
        <v>1492.96</v>
      </c>
      <c r="AE1349" s="724">
        <f t="shared" si="174"/>
        <v>0</v>
      </c>
    </row>
    <row r="1350" spans="6:31" ht="24" customHeight="1">
      <c r="F1350" s="710">
        <v>190</v>
      </c>
      <c r="G1350" s="708" t="s">
        <v>1898</v>
      </c>
      <c r="H1350" s="697" t="s">
        <v>3935</v>
      </c>
      <c r="I1350" s="710">
        <f>(C80)</f>
        <v>16106</v>
      </c>
      <c r="J1350" s="697" t="s">
        <v>1503</v>
      </c>
      <c r="K1350" s="710">
        <f>(F1350*I1350)/1000</f>
        <v>3060.14</v>
      </c>
      <c r="M1350" s="699">
        <v>70</v>
      </c>
      <c r="N1350" s="700" t="s">
        <v>835</v>
      </c>
      <c r="O1350" s="876" t="s">
        <v>5133</v>
      </c>
      <c r="P1350" s="744">
        <v>33</v>
      </c>
      <c r="Q1350" s="704" t="s">
        <v>835</v>
      </c>
      <c r="R1350" s="699">
        <f>P1350*M1350</f>
        <v>2310</v>
      </c>
      <c r="S1350" s="740">
        <v>3.87</v>
      </c>
      <c r="T1350" s="708" t="s">
        <v>922</v>
      </c>
      <c r="U1350" s="697" t="s">
        <v>1879</v>
      </c>
      <c r="V1350" s="710">
        <f t="shared" ref="V1350:V1360" si="182">P1389</f>
        <v>301</v>
      </c>
      <c r="W1350" s="708" t="s">
        <v>922</v>
      </c>
      <c r="X1350" s="710">
        <f t="shared" ref="X1350:X1360" si="183">V1350*S1350</f>
        <v>1164.8699999999999</v>
      </c>
      <c r="Y1350" s="776">
        <v>0.85</v>
      </c>
      <c r="Z1350" s="708" t="s">
        <v>922</v>
      </c>
      <c r="AA1350" s="697" t="s">
        <v>1879</v>
      </c>
      <c r="AB1350" s="710">
        <f t="shared" si="180"/>
        <v>301</v>
      </c>
      <c r="AC1350" s="708" t="s">
        <v>922</v>
      </c>
      <c r="AD1350" s="710">
        <f t="shared" si="181"/>
        <v>255.85</v>
      </c>
      <c r="AE1350" s="724">
        <f t="shared" si="174"/>
        <v>0</v>
      </c>
    </row>
    <row r="1351" spans="6:31" ht="24" customHeight="1">
      <c r="F1351" s="710">
        <v>0.12</v>
      </c>
      <c r="G1351" s="708" t="s">
        <v>878</v>
      </c>
      <c r="H1351" s="697" t="s">
        <v>1901</v>
      </c>
      <c r="I1351" s="710">
        <f>(K30)</f>
        <v>4471.8999999999996</v>
      </c>
      <c r="J1351" s="697" t="s">
        <v>878</v>
      </c>
      <c r="K1351" s="708">
        <f t="shared" ref="K1351:K1357" si="184">(F1351*I1351)</f>
        <v>536.63</v>
      </c>
      <c r="N1351" s="700"/>
      <c r="Q1351" s="704"/>
      <c r="S1351" s="740">
        <v>7.46</v>
      </c>
      <c r="T1351" s="708" t="s">
        <v>922</v>
      </c>
      <c r="U1351" s="697" t="s">
        <v>1879</v>
      </c>
      <c r="V1351" s="710">
        <f t="shared" si="182"/>
        <v>301</v>
      </c>
      <c r="W1351" s="708" t="s">
        <v>922</v>
      </c>
      <c r="X1351" s="710">
        <f t="shared" si="183"/>
        <v>2245.46</v>
      </c>
      <c r="Y1351" s="776">
        <v>0.73199999999999998</v>
      </c>
      <c r="Z1351" s="708" t="s">
        <v>236</v>
      </c>
      <c r="AA1351" s="697" t="s">
        <v>1880</v>
      </c>
      <c r="AB1351" s="710">
        <f>V1353</f>
        <v>303.89999999999998</v>
      </c>
      <c r="AC1351" s="708" t="s">
        <v>236</v>
      </c>
      <c r="AD1351" s="710">
        <f t="shared" si="181"/>
        <v>222.45</v>
      </c>
      <c r="AE1351" s="724">
        <f t="shared" ref="AE1351:AE1414" si="185">AG1351</f>
        <v>0</v>
      </c>
    </row>
    <row r="1352" spans="6:31" ht="24" customHeight="1">
      <c r="F1352" s="710">
        <v>10</v>
      </c>
      <c r="G1352" s="708" t="s">
        <v>615</v>
      </c>
      <c r="H1352" s="697" t="s">
        <v>1314</v>
      </c>
      <c r="I1352" s="710">
        <f>(K1341)</f>
        <v>273.58</v>
      </c>
      <c r="J1352" s="697" t="s">
        <v>615</v>
      </c>
      <c r="K1352" s="708">
        <f t="shared" si="184"/>
        <v>2735.8</v>
      </c>
      <c r="M1352" s="699">
        <v>0.3</v>
      </c>
      <c r="N1352" s="700" t="s">
        <v>2176</v>
      </c>
      <c r="O1352" s="876" t="s">
        <v>5134</v>
      </c>
      <c r="P1352" s="744">
        <v>17600</v>
      </c>
      <c r="Q1352" s="704" t="s">
        <v>2176</v>
      </c>
      <c r="R1352" s="699">
        <f>P1352*M1352</f>
        <v>5280</v>
      </c>
      <c r="S1352" s="740">
        <v>1.28</v>
      </c>
      <c r="T1352" s="708" t="s">
        <v>922</v>
      </c>
      <c r="U1352" s="697" t="s">
        <v>1879</v>
      </c>
      <c r="V1352" s="710">
        <f t="shared" si="182"/>
        <v>301</v>
      </c>
      <c r="W1352" s="708" t="s">
        <v>922</v>
      </c>
      <c r="X1352" s="710">
        <f t="shared" si="183"/>
        <v>385.28</v>
      </c>
      <c r="Y1352" s="776">
        <v>6.8719999999999999</v>
      </c>
      <c r="Z1352" s="708" t="s">
        <v>835</v>
      </c>
      <c r="AA1352" s="697" t="s">
        <v>1881</v>
      </c>
      <c r="AB1352" s="710">
        <f t="shared" si="180"/>
        <v>28.8</v>
      </c>
      <c r="AC1352" s="708" t="s">
        <v>835</v>
      </c>
      <c r="AD1352" s="710">
        <f t="shared" si="181"/>
        <v>197.91</v>
      </c>
      <c r="AE1352" s="724">
        <f t="shared" si="185"/>
        <v>0</v>
      </c>
    </row>
    <row r="1353" spans="6:31" ht="24" customHeight="1">
      <c r="F1353" s="740">
        <v>1.54</v>
      </c>
      <c r="G1353" s="708" t="s">
        <v>1670</v>
      </c>
      <c r="H1353" s="697" t="s">
        <v>976</v>
      </c>
      <c r="I1353" s="710">
        <f>C650</f>
        <v>42.3</v>
      </c>
      <c r="J1353" s="697" t="s">
        <v>1670</v>
      </c>
      <c r="K1353" s="710">
        <f t="shared" si="184"/>
        <v>65.14</v>
      </c>
      <c r="N1353" s="700"/>
      <c r="Q1353" s="704"/>
      <c r="S1353" s="740">
        <v>1.107</v>
      </c>
      <c r="T1353" s="708" t="s">
        <v>236</v>
      </c>
      <c r="U1353" s="697" t="s">
        <v>1880</v>
      </c>
      <c r="V1353" s="710">
        <f t="shared" si="182"/>
        <v>303.89999999999998</v>
      </c>
      <c r="W1353" s="708" t="s">
        <v>236</v>
      </c>
      <c r="X1353" s="710">
        <f t="shared" si="183"/>
        <v>336.42</v>
      </c>
      <c r="Y1353" s="776">
        <v>8</v>
      </c>
      <c r="Z1353" s="708" t="s">
        <v>778</v>
      </c>
      <c r="AA1353" s="697" t="s">
        <v>1882</v>
      </c>
      <c r="AB1353" s="710">
        <f t="shared" si="180"/>
        <v>66.599999999999994</v>
      </c>
      <c r="AC1353" s="708" t="s">
        <v>778</v>
      </c>
      <c r="AD1353" s="710">
        <f t="shared" si="181"/>
        <v>532.79999999999995</v>
      </c>
      <c r="AE1353" s="724">
        <f t="shared" si="185"/>
        <v>0</v>
      </c>
    </row>
    <row r="1354" spans="6:31" ht="24" customHeight="1">
      <c r="F1354" s="710">
        <v>1.1000000000000001</v>
      </c>
      <c r="G1354" s="708" t="s">
        <v>778</v>
      </c>
      <c r="H1354" s="697" t="s">
        <v>2034</v>
      </c>
      <c r="I1354" s="710">
        <f>(C8)</f>
        <v>861</v>
      </c>
      <c r="J1354" s="697" t="s">
        <v>778</v>
      </c>
      <c r="K1354" s="710">
        <f t="shared" si="184"/>
        <v>947.1</v>
      </c>
      <c r="N1354" s="700"/>
      <c r="O1354" s="699" t="s">
        <v>1220</v>
      </c>
      <c r="Q1354" s="704"/>
      <c r="R1354" s="699">
        <f>SUM(R1350:R1352)</f>
        <v>7590</v>
      </c>
      <c r="S1354" s="740">
        <v>10.343999999999999</v>
      </c>
      <c r="T1354" s="708" t="s">
        <v>835</v>
      </c>
      <c r="U1354" s="697" t="s">
        <v>1881</v>
      </c>
      <c r="V1354" s="710">
        <f t="shared" si="182"/>
        <v>28.8</v>
      </c>
      <c r="W1354" s="708" t="s">
        <v>835</v>
      </c>
      <c r="X1354" s="710">
        <f t="shared" si="183"/>
        <v>297.91000000000003</v>
      </c>
      <c r="Y1354" s="776">
        <v>4</v>
      </c>
      <c r="Z1354" s="708" t="s">
        <v>778</v>
      </c>
      <c r="AA1354" s="697" t="s">
        <v>1883</v>
      </c>
      <c r="AB1354" s="710">
        <f t="shared" si="180"/>
        <v>53.4</v>
      </c>
      <c r="AC1354" s="708" t="s">
        <v>778</v>
      </c>
      <c r="AD1354" s="710">
        <f t="shared" si="181"/>
        <v>213.6</v>
      </c>
      <c r="AE1354" s="724">
        <f t="shared" si="185"/>
        <v>0</v>
      </c>
    </row>
    <row r="1355" spans="6:31" ht="24" customHeight="1">
      <c r="F1355" s="710">
        <v>2.1</v>
      </c>
      <c r="G1355" s="708" t="s">
        <v>778</v>
      </c>
      <c r="H1355" s="697" t="s">
        <v>1737</v>
      </c>
      <c r="I1355" s="710">
        <f>(C9)</f>
        <v>804</v>
      </c>
      <c r="J1355" s="697" t="s">
        <v>778</v>
      </c>
      <c r="K1355" s="710">
        <f t="shared" si="184"/>
        <v>1688.4</v>
      </c>
      <c r="N1355" s="700"/>
      <c r="O1355" s="877" t="s">
        <v>1221</v>
      </c>
      <c r="Q1355" s="704"/>
      <c r="R1355" s="758">
        <f>R1354/10</f>
        <v>759</v>
      </c>
      <c r="S1355" s="740">
        <v>12</v>
      </c>
      <c r="T1355" s="708" t="s">
        <v>778</v>
      </c>
      <c r="U1355" s="697" t="s">
        <v>4124</v>
      </c>
      <c r="V1355" s="710">
        <f t="shared" si="182"/>
        <v>66.599999999999994</v>
      </c>
      <c r="W1355" s="708" t="s">
        <v>778</v>
      </c>
      <c r="X1355" s="710">
        <f t="shared" si="183"/>
        <v>799.2</v>
      </c>
      <c r="Y1355" s="776">
        <v>4</v>
      </c>
      <c r="Z1355" s="708" t="s">
        <v>778</v>
      </c>
      <c r="AA1355" s="697" t="s">
        <v>1884</v>
      </c>
      <c r="AB1355" s="710">
        <f t="shared" si="180"/>
        <v>30</v>
      </c>
      <c r="AC1355" s="708" t="s">
        <v>778</v>
      </c>
      <c r="AD1355" s="710">
        <f t="shared" si="181"/>
        <v>120</v>
      </c>
      <c r="AE1355" s="724">
        <f t="shared" si="185"/>
        <v>0</v>
      </c>
    </row>
    <row r="1356" spans="6:31" ht="24" customHeight="1">
      <c r="F1356" s="710">
        <v>2.2000000000000002</v>
      </c>
      <c r="G1356" s="708" t="s">
        <v>778</v>
      </c>
      <c r="H1356" s="697" t="s">
        <v>1927</v>
      </c>
      <c r="I1356" s="710">
        <f>(C10)</f>
        <v>562</v>
      </c>
      <c r="J1356" s="697" t="s">
        <v>778</v>
      </c>
      <c r="K1356" s="710">
        <f t="shared" si="184"/>
        <v>1236.4000000000001</v>
      </c>
      <c r="N1356" s="700"/>
      <c r="Q1356" s="704"/>
      <c r="S1356" s="740">
        <v>6</v>
      </c>
      <c r="T1356" s="708" t="s">
        <v>778</v>
      </c>
      <c r="U1356" s="697" t="s">
        <v>1883</v>
      </c>
      <c r="V1356" s="710">
        <f t="shared" si="182"/>
        <v>53.4</v>
      </c>
      <c r="W1356" s="708" t="s">
        <v>778</v>
      </c>
      <c r="X1356" s="710">
        <f t="shared" si="183"/>
        <v>320.39999999999998</v>
      </c>
      <c r="Y1356" s="776">
        <v>4</v>
      </c>
      <c r="Z1356" s="708" t="s">
        <v>778</v>
      </c>
      <c r="AA1356" s="697" t="s">
        <v>1885</v>
      </c>
      <c r="AB1356" s="710">
        <f t="shared" si="180"/>
        <v>20</v>
      </c>
      <c r="AC1356" s="708" t="s">
        <v>778</v>
      </c>
      <c r="AD1356" s="710">
        <f t="shared" si="181"/>
        <v>80</v>
      </c>
      <c r="AE1356" s="724">
        <f t="shared" si="185"/>
        <v>0</v>
      </c>
    </row>
    <row r="1357" spans="6:31" ht="24" customHeight="1">
      <c r="F1357" s="710">
        <v>1.1000000000000001</v>
      </c>
      <c r="G1357" s="708" t="s">
        <v>778</v>
      </c>
      <c r="H1357" s="697" t="s">
        <v>321</v>
      </c>
      <c r="I1357" s="710">
        <f>(C11)</f>
        <v>461</v>
      </c>
      <c r="J1357" s="697" t="s">
        <v>778</v>
      </c>
      <c r="K1357" s="710">
        <f t="shared" si="184"/>
        <v>507.1</v>
      </c>
      <c r="M1357" s="699">
        <v>2</v>
      </c>
      <c r="N1357" s="700" t="s">
        <v>1452</v>
      </c>
      <c r="O1357" s="699" t="s">
        <v>348</v>
      </c>
      <c r="P1357" s="699">
        <f>C10</f>
        <v>562</v>
      </c>
      <c r="Q1357" s="704" t="s">
        <v>1739</v>
      </c>
      <c r="R1357" s="699">
        <f>P1357*M1357</f>
        <v>1124</v>
      </c>
      <c r="S1357" s="740">
        <v>6</v>
      </c>
      <c r="T1357" s="708" t="s">
        <v>778</v>
      </c>
      <c r="U1357" s="697" t="s">
        <v>1884</v>
      </c>
      <c r="V1357" s="710">
        <f t="shared" si="182"/>
        <v>30</v>
      </c>
      <c r="W1357" s="708" t="s">
        <v>778</v>
      </c>
      <c r="X1357" s="710">
        <f t="shared" si="183"/>
        <v>180</v>
      </c>
      <c r="Y1357" s="776">
        <v>4</v>
      </c>
      <c r="Z1357" s="708" t="s">
        <v>778</v>
      </c>
      <c r="AA1357" s="697" t="s">
        <v>1886</v>
      </c>
      <c r="AB1357" s="710">
        <f t="shared" si="180"/>
        <v>15</v>
      </c>
      <c r="AC1357" s="708" t="s">
        <v>778</v>
      </c>
      <c r="AD1357" s="710">
        <f t="shared" si="181"/>
        <v>60</v>
      </c>
      <c r="AE1357" s="724">
        <f t="shared" si="185"/>
        <v>0</v>
      </c>
    </row>
    <row r="1358" spans="6:31" ht="24" customHeight="1">
      <c r="G1358" s="708" t="s">
        <v>450</v>
      </c>
      <c r="H1358" s="697" t="s">
        <v>451</v>
      </c>
      <c r="J1358" s="697" t="s">
        <v>450</v>
      </c>
      <c r="K1358" s="710">
        <v>0</v>
      </c>
      <c r="N1358" s="700"/>
      <c r="Q1358" s="704"/>
      <c r="S1358" s="740">
        <v>6</v>
      </c>
      <c r="T1358" s="708" t="s">
        <v>778</v>
      </c>
      <c r="U1358" s="697" t="s">
        <v>1885</v>
      </c>
      <c r="V1358" s="710">
        <f t="shared" si="182"/>
        <v>20</v>
      </c>
      <c r="W1358" s="708" t="s">
        <v>778</v>
      </c>
      <c r="X1358" s="710">
        <f t="shared" si="183"/>
        <v>120</v>
      </c>
      <c r="Y1358" s="776">
        <v>0.94499999999999995</v>
      </c>
      <c r="Z1358" s="708" t="s">
        <v>2308</v>
      </c>
      <c r="AA1358" s="697" t="s">
        <v>1887</v>
      </c>
      <c r="AB1358" s="710">
        <f t="shared" si="180"/>
        <v>1724</v>
      </c>
      <c r="AC1358" s="708" t="s">
        <v>2308</v>
      </c>
      <c r="AD1358" s="710">
        <f t="shared" si="181"/>
        <v>1629.18</v>
      </c>
      <c r="AE1358" s="724">
        <f t="shared" si="185"/>
        <v>0</v>
      </c>
    </row>
    <row r="1359" spans="6:31" ht="24" customHeight="1">
      <c r="K1359" s="705" t="s">
        <v>1609</v>
      </c>
      <c r="N1359" s="700"/>
      <c r="O1359" s="699" t="s">
        <v>1222</v>
      </c>
      <c r="P1359" s="699" t="s">
        <v>663</v>
      </c>
      <c r="Q1359" s="704"/>
      <c r="R1359" s="699">
        <v>11.5</v>
      </c>
      <c r="S1359" s="740">
        <v>4</v>
      </c>
      <c r="T1359" s="708" t="s">
        <v>778</v>
      </c>
      <c r="U1359" s="697" t="s">
        <v>1886</v>
      </c>
      <c r="V1359" s="710">
        <f t="shared" si="182"/>
        <v>15</v>
      </c>
      <c r="W1359" s="708" t="s">
        <v>778</v>
      </c>
      <c r="X1359" s="710">
        <f t="shared" si="183"/>
        <v>60</v>
      </c>
      <c r="Z1359" s="700"/>
      <c r="AA1359" s="697" t="s">
        <v>1888</v>
      </c>
      <c r="AC1359" s="704"/>
      <c r="AD1359" s="710">
        <v>0.81</v>
      </c>
      <c r="AE1359" s="724">
        <f t="shared" si="185"/>
        <v>0</v>
      </c>
    </row>
    <row r="1360" spans="6:31" ht="24" customHeight="1">
      <c r="H1360" s="697" t="s">
        <v>442</v>
      </c>
      <c r="K1360" s="710">
        <f>SUM(K1350:K1358)</f>
        <v>10776.71</v>
      </c>
      <c r="N1360" s="700"/>
      <c r="O1360" s="877" t="s">
        <v>1223</v>
      </c>
      <c r="Q1360" s="704"/>
      <c r="R1360" s="699">
        <f>SUM(R1355:R1359)</f>
        <v>1894.5</v>
      </c>
      <c r="S1360" s="740">
        <v>1.4179999999999999</v>
      </c>
      <c r="T1360" s="708" t="s">
        <v>2308</v>
      </c>
      <c r="U1360" s="697" t="s">
        <v>1887</v>
      </c>
      <c r="V1360" s="710">
        <f t="shared" si="182"/>
        <v>1724</v>
      </c>
      <c r="W1360" s="708" t="s">
        <v>2308</v>
      </c>
      <c r="X1360" s="710">
        <f t="shared" si="183"/>
        <v>2444.63</v>
      </c>
      <c r="AA1360" s="707" t="s">
        <v>3594</v>
      </c>
      <c r="AD1360" s="709">
        <f>SUM(AD1347:AD1359)</f>
        <v>6373.77</v>
      </c>
      <c r="AE1360" s="724">
        <f t="shared" si="185"/>
        <v>0</v>
      </c>
    </row>
    <row r="1361" spans="6:31" ht="24" customHeight="1">
      <c r="K1361" s="705" t="s">
        <v>1609</v>
      </c>
      <c r="N1361" s="700"/>
      <c r="Q1361" s="704"/>
      <c r="T1361" s="700"/>
      <c r="U1361" s="697" t="s">
        <v>1888</v>
      </c>
      <c r="W1361" s="704"/>
      <c r="X1361" s="710"/>
      <c r="AE1361" s="724">
        <f t="shared" si="185"/>
        <v>0</v>
      </c>
    </row>
    <row r="1362" spans="6:31" ht="24" customHeight="1">
      <c r="H1362" s="711" t="s">
        <v>556</v>
      </c>
      <c r="K1362" s="709">
        <f>(K1360/10)</f>
        <v>1077.67</v>
      </c>
      <c r="N1362" s="700"/>
      <c r="O1362" s="877" t="s">
        <v>1224</v>
      </c>
      <c r="Q1362" s="704"/>
      <c r="R1362" s="758">
        <f>R1360/6</f>
        <v>315.75</v>
      </c>
      <c r="U1362" s="707" t="s">
        <v>3594</v>
      </c>
      <c r="X1362" s="709">
        <f>SUM(X1349:X1361)</f>
        <v>9473.89</v>
      </c>
      <c r="AE1362" s="724">
        <f t="shared" si="185"/>
        <v>0</v>
      </c>
    </row>
    <row r="1363" spans="6:31" ht="24" customHeight="1">
      <c r="K1363" s="705" t="s">
        <v>2080</v>
      </c>
      <c r="N1363" s="700"/>
      <c r="Q1363" s="704"/>
      <c r="Z1363" s="700"/>
      <c r="AA1363" s="847" t="s">
        <v>3536</v>
      </c>
      <c r="AC1363" s="702"/>
      <c r="AE1363" s="724">
        <f t="shared" si="185"/>
        <v>0</v>
      </c>
    </row>
    <row r="1364" spans="6:31" ht="24" customHeight="1">
      <c r="K1364" s="705"/>
      <c r="N1364" s="700"/>
      <c r="Q1364" s="702"/>
      <c r="Y1364" s="776">
        <v>3.72</v>
      </c>
      <c r="Z1364" s="708" t="s">
        <v>922</v>
      </c>
      <c r="AA1364" s="697" t="s">
        <v>1879</v>
      </c>
      <c r="AB1364" s="710">
        <f>AB1347</f>
        <v>301</v>
      </c>
      <c r="AC1364" s="708" t="s">
        <v>922</v>
      </c>
      <c r="AD1364" s="710">
        <f t="shared" ref="AD1364:AD1375" si="186">AB1364*Y1364</f>
        <v>1119.72</v>
      </c>
      <c r="AE1364" s="724">
        <f t="shared" si="185"/>
        <v>0</v>
      </c>
    </row>
    <row r="1365" spans="6:31" ht="24" customHeight="1">
      <c r="K1365" s="705"/>
      <c r="M1365" s="753">
        <v>29.5</v>
      </c>
      <c r="N1365" s="708" t="s">
        <v>2276</v>
      </c>
      <c r="O1365" s="697" t="s">
        <v>1225</v>
      </c>
      <c r="Q1365" s="704"/>
      <c r="T1365" s="700"/>
      <c r="U1365" s="847" t="s">
        <v>3535</v>
      </c>
      <c r="W1365" s="702"/>
      <c r="Y1365" s="776">
        <v>2.69</v>
      </c>
      <c r="Z1365" s="708" t="s">
        <v>922</v>
      </c>
      <c r="AA1365" s="697" t="s">
        <v>1879</v>
      </c>
      <c r="AB1365" s="710">
        <f t="shared" ref="AB1365:AB1375" si="187">AB1348</f>
        <v>301</v>
      </c>
      <c r="AC1365" s="708" t="s">
        <v>922</v>
      </c>
      <c r="AD1365" s="710">
        <f t="shared" si="186"/>
        <v>809.69</v>
      </c>
      <c r="AE1365" s="724">
        <f t="shared" si="185"/>
        <v>0</v>
      </c>
    </row>
    <row r="1366" spans="6:31" ht="24" customHeight="1">
      <c r="F1366" s="753">
        <v>32.200000000000003</v>
      </c>
      <c r="G1366" s="708" t="s">
        <v>2276</v>
      </c>
      <c r="H1366" s="697" t="s">
        <v>763</v>
      </c>
      <c r="K1366" s="705"/>
      <c r="N1366" s="700"/>
      <c r="O1366" s="697" t="s">
        <v>867</v>
      </c>
      <c r="Q1366" s="704"/>
      <c r="S1366" s="740">
        <v>3.49</v>
      </c>
      <c r="T1366" s="708" t="s">
        <v>922</v>
      </c>
      <c r="U1366" s="697" t="s">
        <v>1879</v>
      </c>
      <c r="V1366" s="710">
        <f>P1405</f>
        <v>301</v>
      </c>
      <c r="W1366" s="708" t="s">
        <v>922</v>
      </c>
      <c r="X1366" s="710">
        <f>V1366*S1366</f>
        <v>1050.49</v>
      </c>
      <c r="Y1366" s="776">
        <v>6.15</v>
      </c>
      <c r="Z1366" s="708" t="s">
        <v>922</v>
      </c>
      <c r="AA1366" s="697" t="s">
        <v>1879</v>
      </c>
      <c r="AB1366" s="710">
        <f t="shared" si="187"/>
        <v>301</v>
      </c>
      <c r="AC1366" s="708" t="s">
        <v>922</v>
      </c>
      <c r="AD1366" s="710">
        <f t="shared" si="186"/>
        <v>1851.15</v>
      </c>
      <c r="AE1366" s="724">
        <f t="shared" si="185"/>
        <v>0</v>
      </c>
    </row>
    <row r="1367" spans="6:31" ht="24" customHeight="1">
      <c r="H1367" s="697" t="s">
        <v>1505</v>
      </c>
      <c r="K1367" s="705"/>
      <c r="N1367" s="700"/>
      <c r="O1367" s="697" t="s">
        <v>1961</v>
      </c>
      <c r="Q1367" s="704"/>
      <c r="S1367" s="740">
        <v>2.5299999999999998</v>
      </c>
      <c r="T1367" s="708" t="s">
        <v>922</v>
      </c>
      <c r="U1367" s="697" t="s">
        <v>1879</v>
      </c>
      <c r="V1367" s="710">
        <f t="shared" ref="V1367:V1377" si="188">P1406</f>
        <v>301</v>
      </c>
      <c r="W1367" s="708" t="s">
        <v>922</v>
      </c>
      <c r="X1367" s="710">
        <f t="shared" ref="X1367:X1377" si="189">V1367*S1367</f>
        <v>761.53</v>
      </c>
      <c r="Y1367" s="776">
        <v>1.07</v>
      </c>
      <c r="Z1367" s="708" t="s">
        <v>922</v>
      </c>
      <c r="AA1367" s="697" t="s">
        <v>1879</v>
      </c>
      <c r="AB1367" s="710">
        <f t="shared" si="187"/>
        <v>301</v>
      </c>
      <c r="AC1367" s="708" t="s">
        <v>922</v>
      </c>
      <c r="AD1367" s="710">
        <f t="shared" si="186"/>
        <v>322.07</v>
      </c>
      <c r="AE1367" s="724">
        <f t="shared" si="185"/>
        <v>0</v>
      </c>
    </row>
    <row r="1368" spans="6:31" ht="24" customHeight="1">
      <c r="H1368" s="697" t="s">
        <v>689</v>
      </c>
      <c r="K1368" s="705"/>
      <c r="N1368" s="700"/>
      <c r="O1368" s="705" t="s">
        <v>1609</v>
      </c>
      <c r="P1368" s="705" t="s">
        <v>1609</v>
      </c>
      <c r="Q1368" s="704"/>
      <c r="R1368" s="710"/>
      <c r="S1368" s="740">
        <v>5.75</v>
      </c>
      <c r="T1368" s="708" t="s">
        <v>922</v>
      </c>
      <c r="U1368" s="697" t="s">
        <v>1879</v>
      </c>
      <c r="V1368" s="710">
        <f t="shared" si="188"/>
        <v>301</v>
      </c>
      <c r="W1368" s="708" t="s">
        <v>922</v>
      </c>
      <c r="X1368" s="710">
        <f t="shared" si="189"/>
        <v>1730.75</v>
      </c>
      <c r="Y1368" s="776">
        <v>1.153</v>
      </c>
      <c r="Z1368" s="708" t="s">
        <v>236</v>
      </c>
      <c r="AA1368" s="697" t="s">
        <v>1880</v>
      </c>
      <c r="AB1368" s="710">
        <f t="shared" si="187"/>
        <v>303.89999999999998</v>
      </c>
      <c r="AC1368" s="708" t="s">
        <v>236</v>
      </c>
      <c r="AD1368" s="710">
        <f t="shared" si="186"/>
        <v>350.4</v>
      </c>
      <c r="AE1368" s="724">
        <f t="shared" si="185"/>
        <v>0</v>
      </c>
    </row>
    <row r="1369" spans="6:31" ht="24" customHeight="1">
      <c r="H1369" s="697" t="s">
        <v>1992</v>
      </c>
      <c r="K1369" s="705"/>
      <c r="M1369" s="710">
        <v>10</v>
      </c>
      <c r="N1369" s="708" t="s">
        <v>615</v>
      </c>
      <c r="O1369" s="697" t="s">
        <v>1226</v>
      </c>
      <c r="P1369" s="805">
        <f>P1329</f>
        <v>1610</v>
      </c>
      <c r="Q1369" s="698" t="s">
        <v>615</v>
      </c>
      <c r="R1369" s="710">
        <f>M1369*P1369</f>
        <v>16100</v>
      </c>
      <c r="S1369" s="740">
        <v>1</v>
      </c>
      <c r="T1369" s="708" t="s">
        <v>922</v>
      </c>
      <c r="U1369" s="697" t="s">
        <v>1879</v>
      </c>
      <c r="V1369" s="710">
        <f t="shared" si="188"/>
        <v>301</v>
      </c>
      <c r="W1369" s="708" t="s">
        <v>922</v>
      </c>
      <c r="X1369" s="710">
        <f t="shared" si="189"/>
        <v>301</v>
      </c>
      <c r="Y1369" s="776">
        <v>8.6720000000000006</v>
      </c>
      <c r="Z1369" s="708" t="s">
        <v>835</v>
      </c>
      <c r="AA1369" s="697" t="s">
        <v>1881</v>
      </c>
      <c r="AB1369" s="710">
        <f t="shared" si="187"/>
        <v>28.8</v>
      </c>
      <c r="AC1369" s="708" t="s">
        <v>835</v>
      </c>
      <c r="AD1369" s="710">
        <f t="shared" si="186"/>
        <v>249.75</v>
      </c>
      <c r="AE1369" s="724">
        <f t="shared" si="185"/>
        <v>0</v>
      </c>
    </row>
    <row r="1370" spans="6:31" ht="24" customHeight="1">
      <c r="H1370" s="697" t="s">
        <v>1312</v>
      </c>
      <c r="K1370" s="705"/>
      <c r="M1370" s="710">
        <v>0.21</v>
      </c>
      <c r="N1370" s="708" t="s">
        <v>878</v>
      </c>
      <c r="O1370" s="697" t="s">
        <v>1901</v>
      </c>
      <c r="P1370" s="710">
        <f>P1330</f>
        <v>4471.8999999999996</v>
      </c>
      <c r="Q1370" s="698" t="s">
        <v>878</v>
      </c>
      <c r="R1370" s="710">
        <f>(M1370*P1370)</f>
        <v>939.1</v>
      </c>
      <c r="S1370" s="740">
        <v>0.96699999999999997</v>
      </c>
      <c r="T1370" s="708" t="s">
        <v>236</v>
      </c>
      <c r="U1370" s="697" t="s">
        <v>1880</v>
      </c>
      <c r="V1370" s="710">
        <f t="shared" si="188"/>
        <v>303.89999999999998</v>
      </c>
      <c r="W1370" s="708" t="s">
        <v>236</v>
      </c>
      <c r="X1370" s="710">
        <f t="shared" si="189"/>
        <v>293.87</v>
      </c>
      <c r="Y1370" s="776">
        <v>8</v>
      </c>
      <c r="Z1370" s="708" t="s">
        <v>778</v>
      </c>
      <c r="AA1370" s="697" t="s">
        <v>1882</v>
      </c>
      <c r="AB1370" s="710">
        <f t="shared" si="187"/>
        <v>66.599999999999994</v>
      </c>
      <c r="AC1370" s="708" t="s">
        <v>778</v>
      </c>
      <c r="AD1370" s="710">
        <f t="shared" si="186"/>
        <v>532.79999999999995</v>
      </c>
      <c r="AE1370" s="724">
        <f t="shared" si="185"/>
        <v>0</v>
      </c>
    </row>
    <row r="1371" spans="6:31" ht="24" customHeight="1">
      <c r="H1371" s="705" t="s">
        <v>1609</v>
      </c>
      <c r="K1371" s="705"/>
      <c r="N1371" s="700"/>
      <c r="O1371" s="697" t="s">
        <v>1902</v>
      </c>
      <c r="P1371" s="697" t="s">
        <v>987</v>
      </c>
      <c r="Q1371" s="704"/>
      <c r="R1371" s="697" t="s">
        <v>987</v>
      </c>
      <c r="S1371" s="740">
        <v>8.0719999999999992</v>
      </c>
      <c r="T1371" s="708" t="s">
        <v>835</v>
      </c>
      <c r="U1371" s="697" t="s">
        <v>1881</v>
      </c>
      <c r="V1371" s="710">
        <f t="shared" si="188"/>
        <v>28.8</v>
      </c>
      <c r="W1371" s="708" t="s">
        <v>835</v>
      </c>
      <c r="X1371" s="710">
        <f t="shared" si="189"/>
        <v>232.47</v>
      </c>
      <c r="Y1371" s="776">
        <v>4</v>
      </c>
      <c r="Z1371" s="708" t="s">
        <v>778</v>
      </c>
      <c r="AA1371" s="697" t="s">
        <v>1883</v>
      </c>
      <c r="AB1371" s="710">
        <f t="shared" si="187"/>
        <v>53.4</v>
      </c>
      <c r="AC1371" s="708" t="s">
        <v>778</v>
      </c>
      <c r="AD1371" s="710">
        <f t="shared" si="186"/>
        <v>213.6</v>
      </c>
      <c r="AE1371" s="724">
        <f t="shared" si="185"/>
        <v>0</v>
      </c>
    </row>
    <row r="1372" spans="6:31" ht="24" customHeight="1">
      <c r="F1372" s="710">
        <v>190</v>
      </c>
      <c r="G1372" s="708" t="s">
        <v>1898</v>
      </c>
      <c r="H1372" s="697" t="s">
        <v>1590</v>
      </c>
      <c r="I1372" s="780">
        <f>E80</f>
        <v>8710</v>
      </c>
      <c r="J1372" s="697" t="s">
        <v>1503</v>
      </c>
      <c r="K1372" s="710">
        <f>(F1372*I1372)/1000</f>
        <v>1654.9</v>
      </c>
      <c r="M1372" s="710">
        <v>1.1000000000000001</v>
      </c>
      <c r="N1372" s="708" t="s">
        <v>778</v>
      </c>
      <c r="O1372" s="697" t="s">
        <v>2034</v>
      </c>
      <c r="P1372" s="710">
        <f>AE7</f>
        <v>861</v>
      </c>
      <c r="Q1372" s="698" t="s">
        <v>778</v>
      </c>
      <c r="R1372" s="710">
        <f>(M1372*P1372)</f>
        <v>947.1</v>
      </c>
      <c r="S1372" s="740">
        <v>8</v>
      </c>
      <c r="T1372" s="708" t="s">
        <v>778</v>
      </c>
      <c r="U1372" s="697" t="s">
        <v>1882</v>
      </c>
      <c r="V1372" s="710">
        <f t="shared" si="188"/>
        <v>66.599999999999994</v>
      </c>
      <c r="W1372" s="708" t="s">
        <v>778</v>
      </c>
      <c r="X1372" s="710">
        <f t="shared" si="189"/>
        <v>532.79999999999995</v>
      </c>
      <c r="Y1372" s="776">
        <v>4</v>
      </c>
      <c r="Z1372" s="708" t="s">
        <v>778</v>
      </c>
      <c r="AA1372" s="697" t="s">
        <v>1884</v>
      </c>
      <c r="AB1372" s="710">
        <f t="shared" si="187"/>
        <v>30</v>
      </c>
      <c r="AC1372" s="708" t="s">
        <v>778</v>
      </c>
      <c r="AD1372" s="710">
        <f t="shared" si="186"/>
        <v>120</v>
      </c>
      <c r="AE1372" s="724">
        <f t="shared" si="185"/>
        <v>0</v>
      </c>
    </row>
    <row r="1373" spans="6:31" ht="24" customHeight="1">
      <c r="F1373" s="710">
        <v>0.12</v>
      </c>
      <c r="G1373" s="708" t="s">
        <v>878</v>
      </c>
      <c r="H1373" s="697" t="s">
        <v>1901</v>
      </c>
      <c r="I1373" s="699">
        <f>K30</f>
        <v>4471.8999999999996</v>
      </c>
      <c r="J1373" s="697" t="s">
        <v>878</v>
      </c>
      <c r="K1373" s="710">
        <f t="shared" ref="K1373:K1379" si="190">(F1373*I1373)</f>
        <v>536.63</v>
      </c>
      <c r="M1373" s="710">
        <v>1.1000000000000001</v>
      </c>
      <c r="N1373" s="708" t="s">
        <v>778</v>
      </c>
      <c r="O1373" s="697" t="s">
        <v>1737</v>
      </c>
      <c r="P1373" s="710">
        <f>AE8</f>
        <v>804</v>
      </c>
      <c r="Q1373" s="698" t="s">
        <v>778</v>
      </c>
      <c r="R1373" s="710">
        <f>(M1373*P1373)</f>
        <v>884.4</v>
      </c>
      <c r="S1373" s="740">
        <v>4</v>
      </c>
      <c r="T1373" s="708" t="s">
        <v>778</v>
      </c>
      <c r="U1373" s="697" t="s">
        <v>1883</v>
      </c>
      <c r="V1373" s="710">
        <f t="shared" si="188"/>
        <v>53.4</v>
      </c>
      <c r="W1373" s="708" t="s">
        <v>778</v>
      </c>
      <c r="X1373" s="710">
        <f t="shared" si="189"/>
        <v>213.6</v>
      </c>
      <c r="Y1373" s="776">
        <v>4</v>
      </c>
      <c r="Z1373" s="708" t="s">
        <v>778</v>
      </c>
      <c r="AA1373" s="697" t="s">
        <v>1885</v>
      </c>
      <c r="AB1373" s="710">
        <f t="shared" si="187"/>
        <v>20</v>
      </c>
      <c r="AC1373" s="708" t="s">
        <v>778</v>
      </c>
      <c r="AD1373" s="710">
        <f t="shared" si="186"/>
        <v>80</v>
      </c>
      <c r="AE1373" s="724">
        <f t="shared" si="185"/>
        <v>0</v>
      </c>
    </row>
    <row r="1374" spans="6:31" ht="24" customHeight="1">
      <c r="F1374" s="710">
        <v>10</v>
      </c>
      <c r="G1374" s="708" t="s">
        <v>615</v>
      </c>
      <c r="H1374" s="697" t="s">
        <v>1314</v>
      </c>
      <c r="I1374" s="699">
        <f>K1341</f>
        <v>273.58</v>
      </c>
      <c r="J1374" s="697" t="s">
        <v>615</v>
      </c>
      <c r="K1374" s="710">
        <f t="shared" si="190"/>
        <v>2735.8</v>
      </c>
      <c r="M1374" s="710">
        <v>2.2000000000000002</v>
      </c>
      <c r="N1374" s="708" t="s">
        <v>778</v>
      </c>
      <c r="O1374" s="697" t="s">
        <v>1927</v>
      </c>
      <c r="P1374" s="710">
        <f>AE9</f>
        <v>562</v>
      </c>
      <c r="Q1374" s="698" t="s">
        <v>778</v>
      </c>
      <c r="R1374" s="710">
        <f>(M1374*P1374)</f>
        <v>1236.4000000000001</v>
      </c>
      <c r="S1374" s="740">
        <v>4</v>
      </c>
      <c r="T1374" s="708" t="s">
        <v>778</v>
      </c>
      <c r="U1374" s="697" t="s">
        <v>1884</v>
      </c>
      <c r="V1374" s="710">
        <f t="shared" si="188"/>
        <v>30</v>
      </c>
      <c r="W1374" s="708" t="s">
        <v>778</v>
      </c>
      <c r="X1374" s="710">
        <f t="shared" si="189"/>
        <v>120</v>
      </c>
      <c r="Y1374" s="776">
        <v>4</v>
      </c>
      <c r="Z1374" s="708" t="s">
        <v>778</v>
      </c>
      <c r="AA1374" s="697" t="s">
        <v>1886</v>
      </c>
      <c r="AB1374" s="710">
        <f t="shared" si="187"/>
        <v>15</v>
      </c>
      <c r="AC1374" s="708" t="s">
        <v>778</v>
      </c>
      <c r="AD1374" s="710">
        <f t="shared" si="186"/>
        <v>60</v>
      </c>
      <c r="AE1374" s="724">
        <f t="shared" si="185"/>
        <v>0</v>
      </c>
    </row>
    <row r="1375" spans="6:31" ht="24" customHeight="1">
      <c r="F1375" s="710">
        <v>5.8</v>
      </c>
      <c r="G1375" s="708" t="s">
        <v>1670</v>
      </c>
      <c r="H1375" s="697" t="s">
        <v>976</v>
      </c>
      <c r="I1375" s="699">
        <f>C650</f>
        <v>42.3</v>
      </c>
      <c r="J1375" s="697" t="s">
        <v>1670</v>
      </c>
      <c r="K1375" s="710">
        <f t="shared" si="190"/>
        <v>245.34</v>
      </c>
      <c r="M1375" s="710">
        <v>2.2000000000000002</v>
      </c>
      <c r="N1375" s="708" t="s">
        <v>778</v>
      </c>
      <c r="O1375" s="697" t="s">
        <v>321</v>
      </c>
      <c r="P1375" s="710">
        <f>AE10</f>
        <v>461</v>
      </c>
      <c r="Q1375" s="698" t="s">
        <v>778</v>
      </c>
      <c r="R1375" s="710">
        <f>(M1375*P1375)</f>
        <v>1014.2</v>
      </c>
      <c r="S1375" s="740">
        <v>4</v>
      </c>
      <c r="T1375" s="708" t="s">
        <v>778</v>
      </c>
      <c r="U1375" s="697" t="s">
        <v>1885</v>
      </c>
      <c r="V1375" s="710">
        <f t="shared" si="188"/>
        <v>20</v>
      </c>
      <c r="W1375" s="708" t="s">
        <v>778</v>
      </c>
      <c r="X1375" s="710">
        <f t="shared" si="189"/>
        <v>80</v>
      </c>
      <c r="Y1375" s="776">
        <v>1.42</v>
      </c>
      <c r="Z1375" s="708" t="s">
        <v>2308</v>
      </c>
      <c r="AA1375" s="697" t="s">
        <v>1887</v>
      </c>
      <c r="AB1375" s="710">
        <f t="shared" si="187"/>
        <v>1724</v>
      </c>
      <c r="AC1375" s="708" t="s">
        <v>2308</v>
      </c>
      <c r="AD1375" s="710">
        <f t="shared" si="186"/>
        <v>2448.08</v>
      </c>
      <c r="AE1375" s="724">
        <f t="shared" si="185"/>
        <v>0</v>
      </c>
    </row>
    <row r="1376" spans="6:31" ht="24" customHeight="1">
      <c r="F1376" s="710">
        <v>1.1000000000000001</v>
      </c>
      <c r="G1376" s="708" t="s">
        <v>778</v>
      </c>
      <c r="H1376" s="697" t="s">
        <v>2034</v>
      </c>
      <c r="I1376" s="699">
        <f>C8</f>
        <v>861</v>
      </c>
      <c r="J1376" s="697" t="s">
        <v>778</v>
      </c>
      <c r="K1376" s="710">
        <f t="shared" si="190"/>
        <v>947.1</v>
      </c>
      <c r="M1376" s="740">
        <v>20</v>
      </c>
      <c r="N1376" s="708" t="s">
        <v>1670</v>
      </c>
      <c r="O1376" s="697" t="s">
        <v>871</v>
      </c>
      <c r="P1376" s="710">
        <f>AC29</f>
        <v>5960</v>
      </c>
      <c r="Q1376" s="698" t="s">
        <v>870</v>
      </c>
      <c r="R1376" s="710">
        <f>(M1376*P1376)/1000</f>
        <v>119.2</v>
      </c>
      <c r="S1376" s="740">
        <v>4</v>
      </c>
      <c r="T1376" s="708" t="s">
        <v>778</v>
      </c>
      <c r="U1376" s="697" t="s">
        <v>1886</v>
      </c>
      <c r="V1376" s="710">
        <f t="shared" si="188"/>
        <v>15</v>
      </c>
      <c r="W1376" s="708" t="s">
        <v>778</v>
      </c>
      <c r="X1376" s="710">
        <f t="shared" si="189"/>
        <v>60</v>
      </c>
      <c r="Z1376" s="700"/>
      <c r="AA1376" s="697" t="s">
        <v>1888</v>
      </c>
      <c r="AC1376" s="704"/>
      <c r="AD1376" s="710">
        <v>0.85</v>
      </c>
      <c r="AE1376" s="724">
        <f t="shared" si="185"/>
        <v>0</v>
      </c>
    </row>
    <row r="1377" spans="6:31" ht="24" customHeight="1">
      <c r="F1377" s="710">
        <v>2.1</v>
      </c>
      <c r="G1377" s="708" t="s">
        <v>778</v>
      </c>
      <c r="H1377" s="697" t="s">
        <v>1737</v>
      </c>
      <c r="I1377" s="699">
        <f>C9</f>
        <v>804</v>
      </c>
      <c r="J1377" s="697" t="s">
        <v>778</v>
      </c>
      <c r="K1377" s="710">
        <f t="shared" si="190"/>
        <v>1688.4</v>
      </c>
      <c r="M1377" s="740">
        <v>2</v>
      </c>
      <c r="N1377" s="708" t="s">
        <v>1670</v>
      </c>
      <c r="O1377" s="697" t="s">
        <v>2107</v>
      </c>
      <c r="P1377" s="797">
        <f>P1261</f>
        <v>36.1</v>
      </c>
      <c r="Q1377" s="698" t="s">
        <v>1670</v>
      </c>
      <c r="R1377" s="710">
        <f>(M1377*P1377)</f>
        <v>72.2</v>
      </c>
      <c r="S1377" s="740">
        <v>1.2150000000000001</v>
      </c>
      <c r="T1377" s="708" t="s">
        <v>2308</v>
      </c>
      <c r="U1377" s="697" t="s">
        <v>1887</v>
      </c>
      <c r="V1377" s="710">
        <f t="shared" si="188"/>
        <v>1724</v>
      </c>
      <c r="W1377" s="708" t="s">
        <v>2308</v>
      </c>
      <c r="X1377" s="710">
        <f t="shared" si="189"/>
        <v>2094.66</v>
      </c>
      <c r="AA1377" s="707" t="s">
        <v>3594</v>
      </c>
      <c r="AD1377" s="709">
        <f>SUM(AD1364:AD1376)</f>
        <v>8158.11</v>
      </c>
      <c r="AE1377" s="724">
        <f t="shared" si="185"/>
        <v>0</v>
      </c>
    </row>
    <row r="1378" spans="6:31" ht="24" customHeight="1">
      <c r="F1378" s="710">
        <v>2.2000000000000002</v>
      </c>
      <c r="G1378" s="708" t="s">
        <v>778</v>
      </c>
      <c r="H1378" s="697" t="s">
        <v>1927</v>
      </c>
      <c r="I1378" s="699">
        <f>C10</f>
        <v>562</v>
      </c>
      <c r="J1378" s="697" t="s">
        <v>778</v>
      </c>
      <c r="K1378" s="710">
        <f t="shared" si="190"/>
        <v>1236.4000000000001</v>
      </c>
      <c r="M1378" s="710">
        <v>1.6</v>
      </c>
      <c r="N1378" s="708" t="s">
        <v>778</v>
      </c>
      <c r="O1378" s="697" t="s">
        <v>1737</v>
      </c>
      <c r="P1378" s="710">
        <f>P1262</f>
        <v>804</v>
      </c>
      <c r="Q1378" s="698" t="s">
        <v>778</v>
      </c>
      <c r="R1378" s="710">
        <f>(M1378*P1378)</f>
        <v>1286.4000000000001</v>
      </c>
      <c r="T1378" s="700"/>
      <c r="U1378" s="697" t="s">
        <v>1888</v>
      </c>
      <c r="W1378" s="704"/>
      <c r="X1378" s="710">
        <v>0.23</v>
      </c>
      <c r="AE1378" s="724">
        <f t="shared" si="185"/>
        <v>0</v>
      </c>
    </row>
    <row r="1379" spans="6:31" ht="24" customHeight="1">
      <c r="F1379" s="710">
        <v>1.1000000000000001</v>
      </c>
      <c r="G1379" s="708" t="s">
        <v>778</v>
      </c>
      <c r="H1379" s="697" t="s">
        <v>321</v>
      </c>
      <c r="I1379" s="699">
        <f>C11</f>
        <v>461</v>
      </c>
      <c r="J1379" s="697" t="s">
        <v>778</v>
      </c>
      <c r="K1379" s="710">
        <f t="shared" si="190"/>
        <v>507.1</v>
      </c>
      <c r="M1379" s="710">
        <v>0.5</v>
      </c>
      <c r="N1379" s="708" t="s">
        <v>778</v>
      </c>
      <c r="O1379" s="697" t="s">
        <v>1927</v>
      </c>
      <c r="P1379" s="710">
        <f>P1263</f>
        <v>562</v>
      </c>
      <c r="Q1379" s="698" t="s">
        <v>778</v>
      </c>
      <c r="R1379" s="710">
        <f>(M1379*P1379)</f>
        <v>281</v>
      </c>
      <c r="U1379" s="707" t="s">
        <v>3594</v>
      </c>
      <c r="X1379" s="709">
        <f>SUM(X1366:X1378)</f>
        <v>7471.4</v>
      </c>
      <c r="AE1379" s="724">
        <f t="shared" si="185"/>
        <v>0</v>
      </c>
    </row>
    <row r="1380" spans="6:31" ht="24" customHeight="1">
      <c r="G1380" s="708" t="s">
        <v>450</v>
      </c>
      <c r="H1380" s="697" t="s">
        <v>451</v>
      </c>
      <c r="J1380" s="697" t="s">
        <v>450</v>
      </c>
      <c r="K1380" s="710">
        <v>0</v>
      </c>
      <c r="M1380" s="710">
        <v>1.1000000000000001</v>
      </c>
      <c r="N1380" s="708" t="s">
        <v>778</v>
      </c>
      <c r="O1380" s="697" t="s">
        <v>321</v>
      </c>
      <c r="P1380" s="710">
        <f>P1264</f>
        <v>461</v>
      </c>
      <c r="Q1380" s="698" t="s">
        <v>778</v>
      </c>
      <c r="R1380" s="710">
        <f>(M1380*P1380)</f>
        <v>507.1</v>
      </c>
      <c r="Z1380" s="700"/>
      <c r="AA1380" s="847" t="s">
        <v>3537</v>
      </c>
      <c r="AC1380" s="702"/>
      <c r="AE1380" s="724">
        <f t="shared" si="185"/>
        <v>0</v>
      </c>
    </row>
    <row r="1381" spans="6:31" ht="24" customHeight="1">
      <c r="K1381" s="705" t="s">
        <v>1609</v>
      </c>
      <c r="N1381" s="708" t="s">
        <v>450</v>
      </c>
      <c r="O1381" s="697" t="s">
        <v>451</v>
      </c>
      <c r="P1381" s="710"/>
      <c r="Q1381" s="698" t="s">
        <v>450</v>
      </c>
      <c r="R1381" s="710">
        <v>0.28000000000000003</v>
      </c>
      <c r="Y1381" s="776">
        <v>2.87</v>
      </c>
      <c r="Z1381" s="708" t="s">
        <v>922</v>
      </c>
      <c r="AA1381" s="697" t="s">
        <v>1879</v>
      </c>
      <c r="AB1381" s="710">
        <f>AB1364</f>
        <v>301</v>
      </c>
      <c r="AC1381" s="708" t="s">
        <v>922</v>
      </c>
      <c r="AD1381" s="710">
        <f t="shared" ref="AD1381:AD1392" si="191">AB1381*Y1381</f>
        <v>863.87</v>
      </c>
      <c r="AE1381" s="724">
        <f t="shared" si="185"/>
        <v>0</v>
      </c>
    </row>
    <row r="1382" spans="6:31" ht="24" customHeight="1">
      <c r="H1382" s="697" t="s">
        <v>442</v>
      </c>
      <c r="K1382" s="710">
        <f>SUM(K1372:K1380)</f>
        <v>9551.67</v>
      </c>
      <c r="N1382" s="700"/>
      <c r="Q1382" s="704"/>
      <c r="R1382" s="705" t="s">
        <v>1609</v>
      </c>
      <c r="T1382" s="700"/>
      <c r="U1382" s="847" t="s">
        <v>3544</v>
      </c>
      <c r="W1382" s="702"/>
      <c r="Y1382" s="776">
        <v>0.56000000000000005</v>
      </c>
      <c r="Z1382" s="708" t="s">
        <v>922</v>
      </c>
      <c r="AA1382" s="697" t="s">
        <v>1879</v>
      </c>
      <c r="AB1382" s="710">
        <f t="shared" ref="AB1382:AB1392" si="192">AB1365</f>
        <v>301</v>
      </c>
      <c r="AC1382" s="708" t="s">
        <v>922</v>
      </c>
      <c r="AD1382" s="710">
        <f t="shared" si="191"/>
        <v>168.56</v>
      </c>
      <c r="AE1382" s="724">
        <f t="shared" si="185"/>
        <v>0</v>
      </c>
    </row>
    <row r="1383" spans="6:31" ht="24" customHeight="1">
      <c r="K1383" s="705" t="s">
        <v>1609</v>
      </c>
      <c r="N1383" s="700"/>
      <c r="O1383" s="697" t="s">
        <v>442</v>
      </c>
      <c r="Q1383" s="704"/>
      <c r="R1383" s="710">
        <f>SUM(R1369:R1381)</f>
        <v>23387.38</v>
      </c>
      <c r="S1383" s="740">
        <v>4.88</v>
      </c>
      <c r="T1383" s="708" t="s">
        <v>922</v>
      </c>
      <c r="U1383" s="697" t="s">
        <v>1879</v>
      </c>
      <c r="V1383" s="710">
        <f>V1366</f>
        <v>301</v>
      </c>
      <c r="W1383" s="708" t="s">
        <v>922</v>
      </c>
      <c r="X1383" s="710">
        <f>V1383*S1383</f>
        <v>1468.88</v>
      </c>
      <c r="Y1383" s="776">
        <v>2.98</v>
      </c>
      <c r="Z1383" s="708" t="s">
        <v>922</v>
      </c>
      <c r="AA1383" s="697" t="s">
        <v>1879</v>
      </c>
      <c r="AB1383" s="710">
        <f t="shared" si="192"/>
        <v>301</v>
      </c>
      <c r="AC1383" s="708" t="s">
        <v>922</v>
      </c>
      <c r="AD1383" s="710">
        <f t="shared" si="191"/>
        <v>896.98</v>
      </c>
      <c r="AE1383" s="724">
        <f t="shared" si="185"/>
        <v>0</v>
      </c>
    </row>
    <row r="1384" spans="6:31" ht="24" customHeight="1">
      <c r="H1384" s="711" t="s">
        <v>556</v>
      </c>
      <c r="K1384" s="709">
        <f>(K1382/10)</f>
        <v>955.17</v>
      </c>
      <c r="N1384" s="700"/>
      <c r="Q1384" s="704"/>
      <c r="R1384" s="705" t="s">
        <v>1609</v>
      </c>
      <c r="S1384" s="740">
        <v>6.57</v>
      </c>
      <c r="T1384" s="708" t="s">
        <v>922</v>
      </c>
      <c r="U1384" s="697" t="s">
        <v>1879</v>
      </c>
      <c r="V1384" s="710">
        <f t="shared" ref="V1384:V1394" si="193">V1367</f>
        <v>301</v>
      </c>
      <c r="W1384" s="708" t="s">
        <v>922</v>
      </c>
      <c r="X1384" s="710">
        <f t="shared" ref="X1384:X1394" si="194">V1384*S1384</f>
        <v>1977.57</v>
      </c>
      <c r="Y1384" s="776">
        <v>0.52</v>
      </c>
      <c r="Z1384" s="708" t="s">
        <v>922</v>
      </c>
      <c r="AA1384" s="697" t="s">
        <v>1879</v>
      </c>
      <c r="AB1384" s="710">
        <f t="shared" si="192"/>
        <v>301</v>
      </c>
      <c r="AC1384" s="708" t="s">
        <v>922</v>
      </c>
      <c r="AD1384" s="710">
        <f t="shared" si="191"/>
        <v>156.52000000000001</v>
      </c>
      <c r="AE1384" s="724">
        <f t="shared" si="185"/>
        <v>0</v>
      </c>
    </row>
    <row r="1385" spans="6:31" ht="24" customHeight="1">
      <c r="K1385" s="705" t="s">
        <v>2080</v>
      </c>
      <c r="N1385" s="700"/>
      <c r="O1385" s="697" t="s">
        <v>556</v>
      </c>
      <c r="Q1385" s="704"/>
      <c r="R1385" s="710">
        <f>(R1383/10)</f>
        <v>2338.7399999999998</v>
      </c>
      <c r="S1385" s="740">
        <v>11.56</v>
      </c>
      <c r="T1385" s="708" t="s">
        <v>922</v>
      </c>
      <c r="U1385" s="697" t="s">
        <v>1879</v>
      </c>
      <c r="V1385" s="710">
        <f t="shared" si="193"/>
        <v>301</v>
      </c>
      <c r="W1385" s="708" t="s">
        <v>922</v>
      </c>
      <c r="X1385" s="710">
        <f t="shared" si="194"/>
        <v>3479.56</v>
      </c>
      <c r="Y1385" s="776">
        <v>0.53300000000000003</v>
      </c>
      <c r="Z1385" s="708" t="s">
        <v>236</v>
      </c>
      <c r="AA1385" s="697" t="s">
        <v>1880</v>
      </c>
      <c r="AB1385" s="710">
        <f t="shared" si="192"/>
        <v>303.89999999999998</v>
      </c>
      <c r="AC1385" s="708" t="s">
        <v>236</v>
      </c>
      <c r="AD1385" s="710">
        <f t="shared" si="191"/>
        <v>161.97999999999999</v>
      </c>
      <c r="AE1385" s="724">
        <f t="shared" si="185"/>
        <v>0</v>
      </c>
    </row>
    <row r="1386" spans="6:31" ht="24" customHeight="1">
      <c r="K1386" s="705"/>
      <c r="N1386" s="700"/>
      <c r="Q1386" s="704"/>
      <c r="R1386" s="705" t="s">
        <v>2080</v>
      </c>
      <c r="S1386" s="740">
        <v>2.0099999999999998</v>
      </c>
      <c r="T1386" s="708" t="s">
        <v>922</v>
      </c>
      <c r="U1386" s="697" t="s">
        <v>1879</v>
      </c>
      <c r="V1386" s="710">
        <f t="shared" si="193"/>
        <v>301</v>
      </c>
      <c r="W1386" s="708" t="s">
        <v>922</v>
      </c>
      <c r="X1386" s="710">
        <f t="shared" si="194"/>
        <v>605.01</v>
      </c>
      <c r="Y1386" s="776">
        <v>4.1959999999999997</v>
      </c>
      <c r="Z1386" s="708" t="s">
        <v>835</v>
      </c>
      <c r="AA1386" s="697" t="s">
        <v>1881</v>
      </c>
      <c r="AB1386" s="710">
        <f t="shared" si="192"/>
        <v>28.8</v>
      </c>
      <c r="AC1386" s="708" t="s">
        <v>835</v>
      </c>
      <c r="AD1386" s="710">
        <f t="shared" si="191"/>
        <v>120.84</v>
      </c>
      <c r="AE1386" s="724">
        <f t="shared" si="185"/>
        <v>0</v>
      </c>
    </row>
    <row r="1387" spans="6:31" ht="24" customHeight="1">
      <c r="F1387" s="698" t="s">
        <v>1315</v>
      </c>
      <c r="G1387" s="708" t="s">
        <v>2276</v>
      </c>
      <c r="H1387" s="697" t="s">
        <v>6</v>
      </c>
      <c r="N1387" s="700"/>
      <c r="O1387" s="847" t="s">
        <v>3539</v>
      </c>
      <c r="Q1387" s="702"/>
      <c r="S1387" s="740">
        <v>1.96</v>
      </c>
      <c r="T1387" s="708" t="s">
        <v>236</v>
      </c>
      <c r="U1387" s="697" t="s">
        <v>1880</v>
      </c>
      <c r="V1387" s="710">
        <f t="shared" si="193"/>
        <v>303.89999999999998</v>
      </c>
      <c r="W1387" s="708" t="s">
        <v>236</v>
      </c>
      <c r="X1387" s="710">
        <f t="shared" si="194"/>
        <v>595.64</v>
      </c>
      <c r="Y1387" s="776">
        <v>4</v>
      </c>
      <c r="Z1387" s="708" t="s">
        <v>778</v>
      </c>
      <c r="AA1387" s="697" t="s">
        <v>1882</v>
      </c>
      <c r="AB1387" s="710">
        <f t="shared" si="192"/>
        <v>66.599999999999994</v>
      </c>
      <c r="AC1387" s="708" t="s">
        <v>778</v>
      </c>
      <c r="AD1387" s="710">
        <f t="shared" si="191"/>
        <v>266.39999999999998</v>
      </c>
      <c r="AE1387" s="724">
        <f t="shared" si="185"/>
        <v>0</v>
      </c>
    </row>
    <row r="1388" spans="6:31" ht="24" customHeight="1">
      <c r="H1388" s="705" t="s">
        <v>1609</v>
      </c>
      <c r="M1388" s="776">
        <v>4.1849999999999996</v>
      </c>
      <c r="N1388" s="708" t="s">
        <v>922</v>
      </c>
      <c r="O1388" s="769" t="s">
        <v>5135</v>
      </c>
      <c r="P1388" s="718">
        <v>301</v>
      </c>
      <c r="Q1388" s="708" t="s">
        <v>922</v>
      </c>
      <c r="R1388" s="710">
        <f>P1388*M1388</f>
        <v>1259.69</v>
      </c>
      <c r="S1388" s="740">
        <v>16.224</v>
      </c>
      <c r="T1388" s="708" t="s">
        <v>835</v>
      </c>
      <c r="U1388" s="697" t="s">
        <v>1881</v>
      </c>
      <c r="V1388" s="710">
        <f t="shared" si="193"/>
        <v>28.8</v>
      </c>
      <c r="W1388" s="708" t="s">
        <v>835</v>
      </c>
      <c r="X1388" s="710">
        <f t="shared" si="194"/>
        <v>467.25</v>
      </c>
      <c r="Y1388" s="776">
        <v>2</v>
      </c>
      <c r="Z1388" s="708" t="s">
        <v>778</v>
      </c>
      <c r="AA1388" s="697" t="s">
        <v>1883</v>
      </c>
      <c r="AB1388" s="710">
        <f t="shared" si="192"/>
        <v>53.4</v>
      </c>
      <c r="AC1388" s="708" t="s">
        <v>778</v>
      </c>
      <c r="AD1388" s="710">
        <f t="shared" si="191"/>
        <v>106.8</v>
      </c>
      <c r="AE1388" s="724">
        <f t="shared" si="185"/>
        <v>0</v>
      </c>
    </row>
    <row r="1389" spans="6:31" ht="24" customHeight="1">
      <c r="F1389" s="710">
        <v>0.14000000000000001</v>
      </c>
      <c r="G1389" s="708" t="s">
        <v>878</v>
      </c>
      <c r="H1389" s="697" t="s">
        <v>1650</v>
      </c>
      <c r="I1389" s="710">
        <f>(K46)</f>
        <v>3327.58</v>
      </c>
      <c r="J1389" s="697" t="s">
        <v>878</v>
      </c>
      <c r="K1389" s="710">
        <f>(F1389*I1389)</f>
        <v>465.86</v>
      </c>
      <c r="M1389" s="776">
        <v>4.55</v>
      </c>
      <c r="N1389" s="708" t="s">
        <v>922</v>
      </c>
      <c r="O1389" s="697" t="s">
        <v>1879</v>
      </c>
      <c r="P1389" s="710">
        <f>P1388</f>
        <v>301</v>
      </c>
      <c r="Q1389" s="708" t="s">
        <v>922</v>
      </c>
      <c r="R1389" s="710">
        <f t="shared" ref="R1389:R1399" si="195">P1389*M1389</f>
        <v>1369.55</v>
      </c>
      <c r="S1389" s="740">
        <v>16</v>
      </c>
      <c r="T1389" s="708" t="s">
        <v>778</v>
      </c>
      <c r="U1389" s="697" t="s">
        <v>1882</v>
      </c>
      <c r="V1389" s="710">
        <f t="shared" si="193"/>
        <v>66.599999999999994</v>
      </c>
      <c r="W1389" s="708" t="s">
        <v>778</v>
      </c>
      <c r="X1389" s="710">
        <f t="shared" si="194"/>
        <v>1065.5999999999999</v>
      </c>
      <c r="Y1389" s="776">
        <v>2</v>
      </c>
      <c r="Z1389" s="708" t="s">
        <v>778</v>
      </c>
      <c r="AA1389" s="697" t="s">
        <v>1884</v>
      </c>
      <c r="AB1389" s="710">
        <f t="shared" si="192"/>
        <v>30</v>
      </c>
      <c r="AC1389" s="708" t="s">
        <v>778</v>
      </c>
      <c r="AD1389" s="710">
        <f t="shared" si="191"/>
        <v>60</v>
      </c>
      <c r="AE1389" s="724">
        <f t="shared" si="185"/>
        <v>0</v>
      </c>
    </row>
    <row r="1390" spans="6:31" ht="24" customHeight="1">
      <c r="F1390" s="710">
        <v>1.1000000000000001</v>
      </c>
      <c r="G1390" s="708" t="s">
        <v>877</v>
      </c>
      <c r="H1390" s="697" t="s">
        <v>2034</v>
      </c>
      <c r="I1390" s="710">
        <f>(C8)</f>
        <v>861</v>
      </c>
      <c r="J1390" s="697" t="s">
        <v>877</v>
      </c>
      <c r="K1390" s="710">
        <f>(F1390*I1390)</f>
        <v>947.1</v>
      </c>
      <c r="M1390" s="776">
        <v>8.66</v>
      </c>
      <c r="N1390" s="708" t="s">
        <v>922</v>
      </c>
      <c r="O1390" s="697" t="s">
        <v>1879</v>
      </c>
      <c r="P1390" s="710">
        <f>P1388</f>
        <v>301</v>
      </c>
      <c r="Q1390" s="708" t="s">
        <v>922</v>
      </c>
      <c r="R1390" s="710">
        <f t="shared" si="195"/>
        <v>2606.66</v>
      </c>
      <c r="S1390" s="740">
        <v>8</v>
      </c>
      <c r="T1390" s="708" t="s">
        <v>778</v>
      </c>
      <c r="U1390" s="697" t="s">
        <v>1883</v>
      </c>
      <c r="V1390" s="710">
        <f t="shared" si="193"/>
        <v>53.4</v>
      </c>
      <c r="W1390" s="708" t="s">
        <v>778</v>
      </c>
      <c r="X1390" s="710">
        <f t="shared" si="194"/>
        <v>427.2</v>
      </c>
      <c r="Y1390" s="776">
        <v>2</v>
      </c>
      <c r="Z1390" s="708" t="s">
        <v>778</v>
      </c>
      <c r="AA1390" s="697" t="s">
        <v>1885</v>
      </c>
      <c r="AB1390" s="710">
        <f t="shared" si="192"/>
        <v>20</v>
      </c>
      <c r="AC1390" s="708" t="s">
        <v>778</v>
      </c>
      <c r="AD1390" s="710">
        <f t="shared" si="191"/>
        <v>40</v>
      </c>
      <c r="AE1390" s="724">
        <f t="shared" si="185"/>
        <v>0</v>
      </c>
    </row>
    <row r="1391" spans="6:31" ht="24" customHeight="1">
      <c r="F1391" s="710">
        <v>0.5</v>
      </c>
      <c r="G1391" s="708" t="s">
        <v>877</v>
      </c>
      <c r="H1391" s="697" t="s">
        <v>1927</v>
      </c>
      <c r="I1391" s="710">
        <f>(C10)</f>
        <v>562</v>
      </c>
      <c r="J1391" s="697" t="s">
        <v>877</v>
      </c>
      <c r="K1391" s="710">
        <f>(F1391*I1391)</f>
        <v>281</v>
      </c>
      <c r="M1391" s="776">
        <v>1.51</v>
      </c>
      <c r="N1391" s="708" t="s">
        <v>922</v>
      </c>
      <c r="O1391" s="697" t="s">
        <v>1879</v>
      </c>
      <c r="P1391" s="710">
        <f>P1388</f>
        <v>301</v>
      </c>
      <c r="Q1391" s="708" t="s">
        <v>922</v>
      </c>
      <c r="R1391" s="710">
        <f t="shared" si="195"/>
        <v>454.51</v>
      </c>
      <c r="S1391" s="740">
        <v>8</v>
      </c>
      <c r="T1391" s="708" t="s">
        <v>778</v>
      </c>
      <c r="U1391" s="697" t="s">
        <v>1884</v>
      </c>
      <c r="V1391" s="710">
        <f t="shared" si="193"/>
        <v>30</v>
      </c>
      <c r="W1391" s="708" t="s">
        <v>778</v>
      </c>
      <c r="X1391" s="710">
        <f t="shared" si="194"/>
        <v>240</v>
      </c>
      <c r="Y1391" s="776">
        <v>4</v>
      </c>
      <c r="Z1391" s="708" t="s">
        <v>778</v>
      </c>
      <c r="AA1391" s="697" t="s">
        <v>1886</v>
      </c>
      <c r="AB1391" s="710">
        <f t="shared" si="192"/>
        <v>15</v>
      </c>
      <c r="AC1391" s="708" t="s">
        <v>778</v>
      </c>
      <c r="AD1391" s="710">
        <f t="shared" si="191"/>
        <v>60</v>
      </c>
      <c r="AE1391" s="724">
        <f t="shared" si="185"/>
        <v>0</v>
      </c>
    </row>
    <row r="1392" spans="6:31" ht="24" customHeight="1">
      <c r="F1392" s="710">
        <v>1.1000000000000001</v>
      </c>
      <c r="G1392" s="708" t="s">
        <v>877</v>
      </c>
      <c r="H1392" s="697" t="s">
        <v>321</v>
      </c>
      <c r="I1392" s="710">
        <f>(C11)</f>
        <v>461</v>
      </c>
      <c r="J1392" s="697" t="s">
        <v>877</v>
      </c>
      <c r="K1392" s="710">
        <f>(F1392*I1392)</f>
        <v>507.1</v>
      </c>
      <c r="M1392" s="776">
        <v>1.462</v>
      </c>
      <c r="N1392" s="708" t="s">
        <v>236</v>
      </c>
      <c r="O1392" s="769" t="s">
        <v>1880</v>
      </c>
      <c r="P1392" s="718">
        <v>303.89999999999998</v>
      </c>
      <c r="Q1392" s="708" t="s">
        <v>236</v>
      </c>
      <c r="R1392" s="710">
        <f t="shared" si="195"/>
        <v>444.3</v>
      </c>
      <c r="S1392" s="740">
        <v>8</v>
      </c>
      <c r="T1392" s="708" t="s">
        <v>778</v>
      </c>
      <c r="U1392" s="697" t="s">
        <v>1885</v>
      </c>
      <c r="V1392" s="710">
        <f t="shared" si="193"/>
        <v>20</v>
      </c>
      <c r="W1392" s="708" t="s">
        <v>778</v>
      </c>
      <c r="X1392" s="710">
        <f t="shared" si="194"/>
        <v>160</v>
      </c>
      <c r="Y1392" s="776">
        <v>0.67500000000000004</v>
      </c>
      <c r="Z1392" s="708" t="s">
        <v>2308</v>
      </c>
      <c r="AA1392" s="697" t="s">
        <v>1887</v>
      </c>
      <c r="AB1392" s="710">
        <f t="shared" si="192"/>
        <v>1724</v>
      </c>
      <c r="AC1392" s="708" t="s">
        <v>2308</v>
      </c>
      <c r="AD1392" s="710">
        <f t="shared" si="191"/>
        <v>1163.7</v>
      </c>
      <c r="AE1392" s="724">
        <f t="shared" si="185"/>
        <v>0</v>
      </c>
    </row>
    <row r="1393" spans="6:31" ht="24" customHeight="1">
      <c r="G1393" s="708" t="s">
        <v>450</v>
      </c>
      <c r="H1393" s="697" t="s">
        <v>451</v>
      </c>
      <c r="I1393" s="697" t="s">
        <v>987</v>
      </c>
      <c r="J1393" s="697" t="s">
        <v>450</v>
      </c>
      <c r="K1393" s="710">
        <v>0</v>
      </c>
      <c r="M1393" s="776">
        <v>12.144</v>
      </c>
      <c r="N1393" s="708" t="s">
        <v>835</v>
      </c>
      <c r="O1393" s="769" t="s">
        <v>4760</v>
      </c>
      <c r="P1393" s="718">
        <v>28.8</v>
      </c>
      <c r="Q1393" s="708" t="s">
        <v>835</v>
      </c>
      <c r="R1393" s="710">
        <f t="shared" si="195"/>
        <v>349.75</v>
      </c>
      <c r="S1393" s="740">
        <v>4</v>
      </c>
      <c r="T1393" s="708" t="s">
        <v>778</v>
      </c>
      <c r="U1393" s="697" t="s">
        <v>1886</v>
      </c>
      <c r="V1393" s="710">
        <f t="shared" si="193"/>
        <v>15</v>
      </c>
      <c r="W1393" s="708" t="s">
        <v>778</v>
      </c>
      <c r="X1393" s="710">
        <f t="shared" si="194"/>
        <v>60</v>
      </c>
      <c r="Z1393" s="700"/>
      <c r="AA1393" s="697" t="s">
        <v>1888</v>
      </c>
      <c r="AC1393" s="704"/>
      <c r="AD1393" s="710">
        <v>0.39</v>
      </c>
      <c r="AE1393" s="724">
        <f t="shared" si="185"/>
        <v>0</v>
      </c>
    </row>
    <row r="1394" spans="6:31" ht="24" customHeight="1">
      <c r="K1394" s="705" t="s">
        <v>1609</v>
      </c>
      <c r="M1394" s="776">
        <v>12</v>
      </c>
      <c r="N1394" s="708" t="s">
        <v>778</v>
      </c>
      <c r="O1394" s="769" t="s">
        <v>4761</v>
      </c>
      <c r="P1394" s="718">
        <v>66.599999999999994</v>
      </c>
      <c r="Q1394" s="708" t="s">
        <v>778</v>
      </c>
      <c r="R1394" s="710">
        <f t="shared" si="195"/>
        <v>799.2</v>
      </c>
      <c r="S1394" s="740">
        <v>2.4300000000000002</v>
      </c>
      <c r="T1394" s="708" t="s">
        <v>2308</v>
      </c>
      <c r="U1394" s="697" t="s">
        <v>1887</v>
      </c>
      <c r="V1394" s="710">
        <f t="shared" si="193"/>
        <v>1724</v>
      </c>
      <c r="W1394" s="708" t="s">
        <v>2308</v>
      </c>
      <c r="X1394" s="710">
        <f t="shared" si="194"/>
        <v>4189.32</v>
      </c>
      <c r="AA1394" s="707" t="s">
        <v>3594</v>
      </c>
      <c r="AD1394" s="709">
        <f>SUM(AD1381:AD1393)</f>
        <v>4066.04</v>
      </c>
      <c r="AE1394" s="724">
        <f t="shared" si="185"/>
        <v>0</v>
      </c>
    </row>
    <row r="1395" spans="6:31" ht="24" customHeight="1">
      <c r="H1395" s="697" t="s">
        <v>442</v>
      </c>
      <c r="K1395" s="710">
        <f>SUM(K1389:K1393)</f>
        <v>2201.06</v>
      </c>
      <c r="M1395" s="776">
        <v>6</v>
      </c>
      <c r="N1395" s="708" t="s">
        <v>778</v>
      </c>
      <c r="O1395" s="769" t="s">
        <v>4379</v>
      </c>
      <c r="P1395" s="710">
        <f>P1091</f>
        <v>53.4</v>
      </c>
      <c r="Q1395" s="708" t="s">
        <v>778</v>
      </c>
      <c r="R1395" s="710">
        <f t="shared" si="195"/>
        <v>320.39999999999998</v>
      </c>
      <c r="T1395" s="700"/>
      <c r="U1395" s="697" t="s">
        <v>1888</v>
      </c>
      <c r="W1395" s="704"/>
      <c r="X1395" s="710"/>
      <c r="AE1395" s="724">
        <f t="shared" si="185"/>
        <v>0</v>
      </c>
    </row>
    <row r="1396" spans="6:31" ht="24" customHeight="1">
      <c r="K1396" s="705" t="s">
        <v>1609</v>
      </c>
      <c r="M1396" s="776">
        <v>6</v>
      </c>
      <c r="N1396" s="708" t="s">
        <v>778</v>
      </c>
      <c r="O1396" s="697" t="s">
        <v>3592</v>
      </c>
      <c r="P1396" s="797">
        <v>30</v>
      </c>
      <c r="Q1396" s="708" t="s">
        <v>778</v>
      </c>
      <c r="R1396" s="710">
        <f t="shared" si="195"/>
        <v>180</v>
      </c>
      <c r="U1396" s="707" t="s">
        <v>3594</v>
      </c>
      <c r="X1396" s="709">
        <f>SUM(X1383:X1395)</f>
        <v>14736.03</v>
      </c>
      <c r="Z1396" s="700"/>
      <c r="AA1396" s="847" t="s">
        <v>3542</v>
      </c>
      <c r="AC1396" s="702"/>
      <c r="AE1396" s="724">
        <f t="shared" si="185"/>
        <v>0</v>
      </c>
    </row>
    <row r="1397" spans="6:31" ht="24" customHeight="1">
      <c r="H1397" s="711" t="s">
        <v>556</v>
      </c>
      <c r="K1397" s="709">
        <f>(K1395/10)</f>
        <v>220.11</v>
      </c>
      <c r="M1397" s="776">
        <v>6</v>
      </c>
      <c r="N1397" s="708" t="s">
        <v>778</v>
      </c>
      <c r="O1397" s="697" t="s">
        <v>1885</v>
      </c>
      <c r="P1397" s="737">
        <v>20</v>
      </c>
      <c r="Q1397" s="708" t="s">
        <v>778</v>
      </c>
      <c r="R1397" s="710">
        <f t="shared" si="195"/>
        <v>120</v>
      </c>
      <c r="Y1397" s="776">
        <v>2.33</v>
      </c>
      <c r="Z1397" s="708" t="s">
        <v>922</v>
      </c>
      <c r="AA1397" s="697" t="s">
        <v>1879</v>
      </c>
      <c r="AB1397" s="710">
        <f t="shared" ref="AB1397:AB1408" si="196">V1399</f>
        <v>301</v>
      </c>
      <c r="AC1397" s="708" t="s">
        <v>922</v>
      </c>
      <c r="AD1397" s="710">
        <f t="shared" ref="AD1397:AD1408" si="197">AB1397*Y1397</f>
        <v>701.33</v>
      </c>
      <c r="AE1397" s="724">
        <f t="shared" si="185"/>
        <v>0</v>
      </c>
    </row>
    <row r="1398" spans="6:31" ht="24" customHeight="1">
      <c r="F1398" s="697" t="s">
        <v>987</v>
      </c>
      <c r="M1398" s="776">
        <v>4</v>
      </c>
      <c r="N1398" s="708" t="s">
        <v>778</v>
      </c>
      <c r="O1398" s="697" t="s">
        <v>1886</v>
      </c>
      <c r="P1398" s="737">
        <v>15</v>
      </c>
      <c r="Q1398" s="708" t="s">
        <v>778</v>
      </c>
      <c r="R1398" s="710">
        <f t="shared" si="195"/>
        <v>60</v>
      </c>
      <c r="T1398" s="700"/>
      <c r="U1398" s="847" t="s">
        <v>3543</v>
      </c>
      <c r="W1398" s="702"/>
      <c r="Y1398" s="776">
        <v>0.67</v>
      </c>
      <c r="Z1398" s="708" t="s">
        <v>922</v>
      </c>
      <c r="AA1398" s="697" t="s">
        <v>1879</v>
      </c>
      <c r="AB1398" s="710">
        <f t="shared" si="196"/>
        <v>301</v>
      </c>
      <c r="AC1398" s="708" t="s">
        <v>922</v>
      </c>
      <c r="AD1398" s="710">
        <f t="shared" si="197"/>
        <v>201.67</v>
      </c>
      <c r="AE1398" s="724">
        <f t="shared" si="185"/>
        <v>0</v>
      </c>
    </row>
    <row r="1399" spans="6:31" ht="24" customHeight="1">
      <c r="K1399" s="705" t="s">
        <v>2080</v>
      </c>
      <c r="M1399" s="776">
        <v>1.823</v>
      </c>
      <c r="N1399" s="708" t="s">
        <v>2308</v>
      </c>
      <c r="O1399" s="697" t="s">
        <v>1887</v>
      </c>
      <c r="P1399" s="699">
        <f>ROUND(AE15+AE9+(AE18*0.5),2)</f>
        <v>1724</v>
      </c>
      <c r="Q1399" s="708" t="s">
        <v>2308</v>
      </c>
      <c r="R1399" s="710">
        <f t="shared" si="195"/>
        <v>3142.85</v>
      </c>
      <c r="S1399" s="740">
        <f>8*0.775</f>
        <v>6.2</v>
      </c>
      <c r="T1399" s="708" t="s">
        <v>922</v>
      </c>
      <c r="U1399" s="697" t="s">
        <v>1879</v>
      </c>
      <c r="V1399" s="710">
        <f>V1383</f>
        <v>301</v>
      </c>
      <c r="W1399" s="708" t="s">
        <v>922</v>
      </c>
      <c r="X1399" s="710">
        <f>V1399*S1399</f>
        <v>1866.2</v>
      </c>
      <c r="Y1399" s="776">
        <v>2.65</v>
      </c>
      <c r="Z1399" s="708" t="s">
        <v>922</v>
      </c>
      <c r="AA1399" s="697" t="s">
        <v>1879</v>
      </c>
      <c r="AB1399" s="710">
        <f t="shared" si="196"/>
        <v>301</v>
      </c>
      <c r="AC1399" s="708" t="s">
        <v>922</v>
      </c>
      <c r="AD1399" s="710">
        <f t="shared" si="197"/>
        <v>797.65</v>
      </c>
      <c r="AE1399" s="724">
        <f t="shared" si="185"/>
        <v>0</v>
      </c>
    </row>
    <row r="1400" spans="6:31" ht="24" customHeight="1">
      <c r="F1400" s="698" t="s">
        <v>7</v>
      </c>
      <c r="G1400" s="708" t="s">
        <v>2276</v>
      </c>
      <c r="H1400" s="697" t="s">
        <v>8</v>
      </c>
      <c r="N1400" s="700"/>
      <c r="O1400" s="697" t="s">
        <v>1888</v>
      </c>
      <c r="Q1400" s="704"/>
      <c r="R1400" s="710">
        <v>0.51</v>
      </c>
      <c r="S1400" s="740">
        <f>8.4*1.123</f>
        <v>9.4329999999999998</v>
      </c>
      <c r="T1400" s="708" t="s">
        <v>922</v>
      </c>
      <c r="U1400" s="697" t="s">
        <v>1879</v>
      </c>
      <c r="V1400" s="710">
        <f t="shared" ref="V1400:V1410" si="198">V1384</f>
        <v>301</v>
      </c>
      <c r="W1400" s="708" t="s">
        <v>922</v>
      </c>
      <c r="X1400" s="710">
        <f t="shared" ref="X1400:X1410" si="199">V1400*S1400</f>
        <v>2839.33</v>
      </c>
      <c r="Y1400" s="776">
        <v>0.46</v>
      </c>
      <c r="Z1400" s="708" t="s">
        <v>922</v>
      </c>
      <c r="AA1400" s="697" t="s">
        <v>1879</v>
      </c>
      <c r="AB1400" s="710">
        <f t="shared" si="196"/>
        <v>301</v>
      </c>
      <c r="AC1400" s="708" t="s">
        <v>922</v>
      </c>
      <c r="AD1400" s="710">
        <f t="shared" si="197"/>
        <v>138.46</v>
      </c>
      <c r="AE1400" s="724">
        <f t="shared" si="185"/>
        <v>0</v>
      </c>
    </row>
    <row r="1401" spans="6:31" ht="24" customHeight="1">
      <c r="H1401" s="705" t="s">
        <v>1609</v>
      </c>
      <c r="L1401" s="699">
        <f>5.85*1.123</f>
        <v>6.57</v>
      </c>
      <c r="R1401" s="709">
        <f>SUM(R1388:R1400)</f>
        <v>11107.42</v>
      </c>
      <c r="S1401" s="740">
        <f>24.24*0.663</f>
        <v>16.071000000000002</v>
      </c>
      <c r="T1401" s="708" t="s">
        <v>922</v>
      </c>
      <c r="U1401" s="697" t="s">
        <v>1879</v>
      </c>
      <c r="V1401" s="710">
        <f t="shared" si="198"/>
        <v>301</v>
      </c>
      <c r="W1401" s="708" t="s">
        <v>922</v>
      </c>
      <c r="X1401" s="710">
        <f t="shared" si="199"/>
        <v>4837.37</v>
      </c>
      <c r="Y1401" s="776">
        <v>0.41699999999999998</v>
      </c>
      <c r="Z1401" s="708" t="s">
        <v>236</v>
      </c>
      <c r="AA1401" s="697" t="s">
        <v>1880</v>
      </c>
      <c r="AB1401" s="710">
        <f t="shared" si="196"/>
        <v>303.89999999999998</v>
      </c>
      <c r="AC1401" s="708" t="s">
        <v>236</v>
      </c>
      <c r="AD1401" s="710">
        <f t="shared" si="197"/>
        <v>126.73</v>
      </c>
      <c r="AE1401" s="724">
        <f t="shared" si="185"/>
        <v>0</v>
      </c>
    </row>
    <row r="1402" spans="6:31" ht="24" customHeight="1">
      <c r="F1402" s="710">
        <v>0.14000000000000001</v>
      </c>
      <c r="G1402" s="708" t="s">
        <v>878</v>
      </c>
      <c r="H1402" s="697" t="s">
        <v>1327</v>
      </c>
      <c r="I1402" s="710">
        <f>(K37)</f>
        <v>3756.7</v>
      </c>
      <c r="J1402" s="697" t="s">
        <v>878</v>
      </c>
      <c r="K1402" s="710">
        <f>(F1402*I1402)</f>
        <v>525.94000000000005</v>
      </c>
      <c r="O1402" s="750"/>
      <c r="S1402" s="740">
        <f>23.02*0.124</f>
        <v>2.8540000000000001</v>
      </c>
      <c r="T1402" s="708" t="s">
        <v>922</v>
      </c>
      <c r="U1402" s="697" t="s">
        <v>1879</v>
      </c>
      <c r="V1402" s="710">
        <f t="shared" si="198"/>
        <v>301</v>
      </c>
      <c r="W1402" s="708" t="s">
        <v>922</v>
      </c>
      <c r="X1402" s="710">
        <f t="shared" si="199"/>
        <v>859.05</v>
      </c>
      <c r="Y1402" s="776">
        <v>3.6960000000000002</v>
      </c>
      <c r="Z1402" s="708" t="s">
        <v>835</v>
      </c>
      <c r="AA1402" s="697" t="s">
        <v>1881</v>
      </c>
      <c r="AB1402" s="710">
        <f t="shared" si="196"/>
        <v>28.8</v>
      </c>
      <c r="AC1402" s="708" t="s">
        <v>835</v>
      </c>
      <c r="AD1402" s="710">
        <f t="shared" si="197"/>
        <v>106.44</v>
      </c>
      <c r="AE1402" s="724">
        <f t="shared" si="185"/>
        <v>0</v>
      </c>
    </row>
    <row r="1403" spans="6:31" ht="24" customHeight="1">
      <c r="F1403" s="710">
        <v>1.1000000000000001</v>
      </c>
      <c r="G1403" s="708" t="s">
        <v>877</v>
      </c>
      <c r="H1403" s="697" t="s">
        <v>2034</v>
      </c>
      <c r="I1403" s="710">
        <f>(C8)</f>
        <v>861</v>
      </c>
      <c r="J1403" s="697" t="s">
        <v>877</v>
      </c>
      <c r="K1403" s="710">
        <f>(F1403*I1403)</f>
        <v>947.1</v>
      </c>
      <c r="S1403" s="740">
        <f>3.31</f>
        <v>3.31</v>
      </c>
      <c r="T1403" s="708" t="s">
        <v>236</v>
      </c>
      <c r="U1403" s="697" t="s">
        <v>1880</v>
      </c>
      <c r="V1403" s="710">
        <f t="shared" si="198"/>
        <v>303.89999999999998</v>
      </c>
      <c r="W1403" s="708" t="s">
        <v>236</v>
      </c>
      <c r="X1403" s="710">
        <f t="shared" si="199"/>
        <v>1005.91</v>
      </c>
      <c r="Y1403" s="776">
        <v>4</v>
      </c>
      <c r="Z1403" s="708" t="s">
        <v>778</v>
      </c>
      <c r="AA1403" s="697" t="s">
        <v>1882</v>
      </c>
      <c r="AB1403" s="710">
        <f t="shared" si="196"/>
        <v>66.599999999999994</v>
      </c>
      <c r="AC1403" s="708" t="s">
        <v>778</v>
      </c>
      <c r="AD1403" s="710">
        <f t="shared" si="197"/>
        <v>266.39999999999998</v>
      </c>
      <c r="AE1403" s="724">
        <f t="shared" si="185"/>
        <v>0</v>
      </c>
    </row>
    <row r="1404" spans="6:31" ht="24" customHeight="1">
      <c r="F1404" s="710">
        <v>0.5</v>
      </c>
      <c r="G1404" s="708" t="s">
        <v>877</v>
      </c>
      <c r="H1404" s="697" t="s">
        <v>1927</v>
      </c>
      <c r="I1404" s="710">
        <f>(C10)</f>
        <v>562</v>
      </c>
      <c r="J1404" s="697" t="s">
        <v>877</v>
      </c>
      <c r="K1404" s="710">
        <f>(F1404*I1404)</f>
        <v>281</v>
      </c>
      <c r="N1404" s="700"/>
      <c r="O1404" s="847" t="s">
        <v>3534</v>
      </c>
      <c r="Q1404" s="702"/>
      <c r="S1404" s="740">
        <v>23.02</v>
      </c>
      <c r="T1404" s="708" t="s">
        <v>835</v>
      </c>
      <c r="U1404" s="697" t="s">
        <v>1881</v>
      </c>
      <c r="V1404" s="710">
        <f t="shared" si="198"/>
        <v>28.8</v>
      </c>
      <c r="W1404" s="708" t="s">
        <v>835</v>
      </c>
      <c r="X1404" s="710">
        <f t="shared" si="199"/>
        <v>662.98</v>
      </c>
      <c r="Y1404" s="776">
        <v>2</v>
      </c>
      <c r="Z1404" s="708" t="s">
        <v>778</v>
      </c>
      <c r="AA1404" s="697" t="s">
        <v>1883</v>
      </c>
      <c r="AB1404" s="710">
        <f t="shared" si="196"/>
        <v>53.4</v>
      </c>
      <c r="AC1404" s="708" t="s">
        <v>778</v>
      </c>
      <c r="AD1404" s="710">
        <f t="shared" si="197"/>
        <v>106.8</v>
      </c>
      <c r="AE1404" s="724">
        <f t="shared" si="185"/>
        <v>0</v>
      </c>
    </row>
    <row r="1405" spans="6:31" ht="24" customHeight="1">
      <c r="F1405" s="710">
        <v>1.1000000000000001</v>
      </c>
      <c r="G1405" s="708" t="s">
        <v>877</v>
      </c>
      <c r="H1405" s="697" t="s">
        <v>321</v>
      </c>
      <c r="I1405" s="710">
        <f>(C11)</f>
        <v>461</v>
      </c>
      <c r="J1405" s="697" t="s">
        <v>877</v>
      </c>
      <c r="K1405" s="710">
        <f>(F1405*I1405)</f>
        <v>507.1</v>
      </c>
      <c r="M1405" s="776">
        <v>3.95</v>
      </c>
      <c r="N1405" s="708" t="s">
        <v>922</v>
      </c>
      <c r="O1405" s="769" t="s">
        <v>4377</v>
      </c>
      <c r="P1405" s="710">
        <f>P1388</f>
        <v>301</v>
      </c>
      <c r="Q1405" s="708" t="s">
        <v>922</v>
      </c>
      <c r="R1405" s="710">
        <f>P1405*M1405</f>
        <v>1188.95</v>
      </c>
      <c r="S1405" s="740">
        <v>16</v>
      </c>
      <c r="T1405" s="708" t="s">
        <v>778</v>
      </c>
      <c r="U1405" s="697" t="s">
        <v>1882</v>
      </c>
      <c r="V1405" s="710">
        <f t="shared" si="198"/>
        <v>66.599999999999994</v>
      </c>
      <c r="W1405" s="708" t="s">
        <v>778</v>
      </c>
      <c r="X1405" s="710">
        <f t="shared" si="199"/>
        <v>1065.5999999999999</v>
      </c>
      <c r="Y1405" s="776">
        <v>2</v>
      </c>
      <c r="Z1405" s="708" t="s">
        <v>778</v>
      </c>
      <c r="AA1405" s="697" t="s">
        <v>1884</v>
      </c>
      <c r="AB1405" s="710">
        <f t="shared" si="196"/>
        <v>30</v>
      </c>
      <c r="AC1405" s="708" t="s">
        <v>778</v>
      </c>
      <c r="AD1405" s="710">
        <f t="shared" si="197"/>
        <v>60</v>
      </c>
      <c r="AE1405" s="724">
        <f t="shared" si="185"/>
        <v>0</v>
      </c>
    </row>
    <row r="1406" spans="6:31" ht="24" customHeight="1">
      <c r="G1406" s="708" t="s">
        <v>450</v>
      </c>
      <c r="H1406" s="697" t="s">
        <v>451</v>
      </c>
      <c r="I1406" s="697" t="s">
        <v>987</v>
      </c>
      <c r="J1406" s="697" t="s">
        <v>450</v>
      </c>
      <c r="K1406" s="710">
        <v>0</v>
      </c>
      <c r="M1406" s="776">
        <v>2.86</v>
      </c>
      <c r="N1406" s="708" t="s">
        <v>922</v>
      </c>
      <c r="O1406" s="697" t="s">
        <v>1879</v>
      </c>
      <c r="P1406" s="710">
        <f t="shared" ref="P1406:P1416" si="200">P1389</f>
        <v>301</v>
      </c>
      <c r="Q1406" s="708" t="s">
        <v>922</v>
      </c>
      <c r="R1406" s="710">
        <f t="shared" ref="R1406:R1416" si="201">P1406*M1406</f>
        <v>860.86</v>
      </c>
      <c r="S1406" s="740">
        <v>8</v>
      </c>
      <c r="T1406" s="708" t="s">
        <v>778</v>
      </c>
      <c r="U1406" s="697" t="s">
        <v>1883</v>
      </c>
      <c r="V1406" s="710">
        <f t="shared" si="198"/>
        <v>53.4</v>
      </c>
      <c r="W1406" s="708" t="s">
        <v>778</v>
      </c>
      <c r="X1406" s="710">
        <f t="shared" si="199"/>
        <v>427.2</v>
      </c>
      <c r="Y1406" s="776">
        <v>2</v>
      </c>
      <c r="Z1406" s="708" t="s">
        <v>778</v>
      </c>
      <c r="AA1406" s="697" t="s">
        <v>1885</v>
      </c>
      <c r="AB1406" s="710">
        <f t="shared" si="196"/>
        <v>20</v>
      </c>
      <c r="AC1406" s="708" t="s">
        <v>778</v>
      </c>
      <c r="AD1406" s="710">
        <f t="shared" si="197"/>
        <v>40</v>
      </c>
      <c r="AE1406" s="724">
        <f t="shared" si="185"/>
        <v>0</v>
      </c>
    </row>
    <row r="1407" spans="6:31" ht="24" customHeight="1">
      <c r="G1407" s="708"/>
      <c r="H1407" s="697"/>
      <c r="I1407" s="697"/>
      <c r="J1407" s="697"/>
      <c r="K1407" s="710"/>
      <c r="M1407" s="776">
        <v>6.55</v>
      </c>
      <c r="N1407" s="708" t="s">
        <v>922</v>
      </c>
      <c r="O1407" s="697" t="s">
        <v>1879</v>
      </c>
      <c r="P1407" s="710">
        <f t="shared" si="200"/>
        <v>301</v>
      </c>
      <c r="Q1407" s="708" t="s">
        <v>922</v>
      </c>
      <c r="R1407" s="710">
        <f t="shared" si="201"/>
        <v>1971.55</v>
      </c>
      <c r="S1407" s="740">
        <v>8</v>
      </c>
      <c r="T1407" s="708" t="s">
        <v>778</v>
      </c>
      <c r="U1407" s="697" t="s">
        <v>1884</v>
      </c>
      <c r="V1407" s="710">
        <f t="shared" si="198"/>
        <v>30</v>
      </c>
      <c r="W1407" s="708" t="s">
        <v>778</v>
      </c>
      <c r="X1407" s="710">
        <f t="shared" si="199"/>
        <v>240</v>
      </c>
      <c r="Y1407" s="776">
        <v>2</v>
      </c>
      <c r="Z1407" s="708" t="s">
        <v>778</v>
      </c>
      <c r="AA1407" s="697" t="s">
        <v>1886</v>
      </c>
      <c r="AB1407" s="710">
        <f t="shared" si="196"/>
        <v>15</v>
      </c>
      <c r="AC1407" s="708" t="s">
        <v>778</v>
      </c>
      <c r="AD1407" s="710">
        <f t="shared" si="197"/>
        <v>30</v>
      </c>
      <c r="AE1407" s="724">
        <f t="shared" si="185"/>
        <v>0</v>
      </c>
    </row>
    <row r="1408" spans="6:31" ht="24" customHeight="1">
      <c r="K1408" s="705" t="s">
        <v>1609</v>
      </c>
      <c r="M1408" s="776">
        <v>1.1499999999999999</v>
      </c>
      <c r="N1408" s="708" t="s">
        <v>922</v>
      </c>
      <c r="O1408" s="697" t="s">
        <v>1879</v>
      </c>
      <c r="P1408" s="710">
        <f t="shared" si="200"/>
        <v>301</v>
      </c>
      <c r="Q1408" s="708" t="s">
        <v>922</v>
      </c>
      <c r="R1408" s="710">
        <f t="shared" si="201"/>
        <v>346.15</v>
      </c>
      <c r="S1408" s="740">
        <v>8</v>
      </c>
      <c r="T1408" s="708" t="s">
        <v>778</v>
      </c>
      <c r="U1408" s="697" t="s">
        <v>1885</v>
      </c>
      <c r="V1408" s="710">
        <f t="shared" si="198"/>
        <v>20</v>
      </c>
      <c r="W1408" s="708" t="s">
        <v>778</v>
      </c>
      <c r="X1408" s="710">
        <f t="shared" si="199"/>
        <v>160</v>
      </c>
      <c r="Y1408" s="776">
        <v>0.54</v>
      </c>
      <c r="Z1408" s="708" t="s">
        <v>2308</v>
      </c>
      <c r="AA1408" s="697" t="s">
        <v>1887</v>
      </c>
      <c r="AB1408" s="710">
        <f t="shared" si="196"/>
        <v>1724</v>
      </c>
      <c r="AC1408" s="708" t="s">
        <v>2308</v>
      </c>
      <c r="AD1408" s="710">
        <f t="shared" si="197"/>
        <v>930.96</v>
      </c>
      <c r="AE1408" s="724">
        <f t="shared" si="185"/>
        <v>0</v>
      </c>
    </row>
    <row r="1409" spans="6:31" ht="24" customHeight="1">
      <c r="H1409" s="697" t="s">
        <v>442</v>
      </c>
      <c r="K1409" s="710">
        <f>SUM(K1402:K1406)</f>
        <v>2261.14</v>
      </c>
      <c r="L1409" s="699">
        <f>SUM(K1430:K1433)</f>
        <v>2361.27</v>
      </c>
      <c r="M1409" s="776">
        <v>1.3380000000000001</v>
      </c>
      <c r="N1409" s="708" t="s">
        <v>236</v>
      </c>
      <c r="O1409" s="697" t="s">
        <v>1880</v>
      </c>
      <c r="P1409" s="710">
        <f t="shared" si="200"/>
        <v>303.89999999999998</v>
      </c>
      <c r="Q1409" s="708" t="s">
        <v>236</v>
      </c>
      <c r="R1409" s="710">
        <f t="shared" si="201"/>
        <v>406.62</v>
      </c>
      <c r="S1409" s="740">
        <v>4</v>
      </c>
      <c r="T1409" s="708" t="s">
        <v>778</v>
      </c>
      <c r="U1409" s="697" t="s">
        <v>1886</v>
      </c>
      <c r="V1409" s="710">
        <f t="shared" si="198"/>
        <v>15</v>
      </c>
      <c r="W1409" s="708" t="s">
        <v>778</v>
      </c>
      <c r="X1409" s="710">
        <f t="shared" si="199"/>
        <v>60</v>
      </c>
      <c r="Z1409" s="700"/>
      <c r="AA1409" s="697" t="s">
        <v>1888</v>
      </c>
      <c r="AC1409" s="704"/>
      <c r="AD1409" s="710">
        <v>0.7</v>
      </c>
      <c r="AE1409" s="724">
        <f t="shared" si="185"/>
        <v>0</v>
      </c>
    </row>
    <row r="1410" spans="6:31" ht="24" customHeight="1">
      <c r="K1410" s="705" t="s">
        <v>1609</v>
      </c>
      <c r="M1410" s="776">
        <v>9.2720000000000002</v>
      </c>
      <c r="N1410" s="708" t="s">
        <v>835</v>
      </c>
      <c r="O1410" s="769" t="s">
        <v>4380</v>
      </c>
      <c r="P1410" s="710">
        <f t="shared" si="200"/>
        <v>28.8</v>
      </c>
      <c r="Q1410" s="708" t="s">
        <v>835</v>
      </c>
      <c r="R1410" s="710">
        <f t="shared" si="201"/>
        <v>267.02999999999997</v>
      </c>
      <c r="S1410" s="740">
        <v>3.96</v>
      </c>
      <c r="T1410" s="708" t="s">
        <v>2308</v>
      </c>
      <c r="U1410" s="697" t="s">
        <v>1887</v>
      </c>
      <c r="V1410" s="710">
        <f t="shared" si="198"/>
        <v>1724</v>
      </c>
      <c r="W1410" s="708" t="s">
        <v>2308</v>
      </c>
      <c r="X1410" s="710">
        <f t="shared" si="199"/>
        <v>6827.04</v>
      </c>
      <c r="AA1410" s="707" t="s">
        <v>3594</v>
      </c>
      <c r="AD1410" s="709">
        <f>SUM(AD1397:AD1409)</f>
        <v>3507.14</v>
      </c>
      <c r="AE1410" s="724">
        <f t="shared" si="185"/>
        <v>0</v>
      </c>
    </row>
    <row r="1411" spans="6:31" ht="24" customHeight="1">
      <c r="H1411" s="711" t="s">
        <v>556</v>
      </c>
      <c r="K1411" s="709">
        <f>(K1409/10)</f>
        <v>226.11</v>
      </c>
      <c r="M1411" s="776">
        <v>8</v>
      </c>
      <c r="N1411" s="708" t="s">
        <v>778</v>
      </c>
      <c r="O1411" s="769" t="s">
        <v>4378</v>
      </c>
      <c r="P1411" s="710">
        <f t="shared" si="200"/>
        <v>66.599999999999994</v>
      </c>
      <c r="Q1411" s="708" t="s">
        <v>778</v>
      </c>
      <c r="R1411" s="710">
        <f t="shared" si="201"/>
        <v>532.79999999999995</v>
      </c>
      <c r="T1411" s="700"/>
      <c r="U1411" s="697" t="s">
        <v>1888</v>
      </c>
      <c r="W1411" s="704"/>
      <c r="X1411" s="710">
        <v>0.09</v>
      </c>
      <c r="AE1411" s="724">
        <f t="shared" si="185"/>
        <v>0</v>
      </c>
    </row>
    <row r="1412" spans="6:31" ht="24" customHeight="1">
      <c r="K1412" s="705" t="s">
        <v>2080</v>
      </c>
      <c r="M1412" s="776">
        <v>4</v>
      </c>
      <c r="N1412" s="708" t="s">
        <v>778</v>
      </c>
      <c r="O1412" s="769" t="s">
        <v>4379</v>
      </c>
      <c r="P1412" s="710">
        <f t="shared" si="200"/>
        <v>53.4</v>
      </c>
      <c r="Q1412" s="708" t="s">
        <v>778</v>
      </c>
      <c r="R1412" s="710">
        <f t="shared" si="201"/>
        <v>213.6</v>
      </c>
      <c r="U1412" s="707" t="s">
        <v>3594</v>
      </c>
      <c r="X1412" s="709">
        <f>SUM(X1399:X1411)</f>
        <v>20850.77</v>
      </c>
      <c r="AE1412" s="724">
        <f t="shared" si="185"/>
        <v>0</v>
      </c>
    </row>
    <row r="1413" spans="6:31" ht="24" customHeight="1">
      <c r="F1413" s="698" t="s">
        <v>9</v>
      </c>
      <c r="G1413" s="708" t="s">
        <v>2276</v>
      </c>
      <c r="H1413" s="697" t="s">
        <v>10</v>
      </c>
      <c r="M1413" s="776">
        <v>4</v>
      </c>
      <c r="N1413" s="708" t="s">
        <v>778</v>
      </c>
      <c r="O1413" s="697" t="s">
        <v>1884</v>
      </c>
      <c r="P1413" s="710">
        <f t="shared" si="200"/>
        <v>30</v>
      </c>
      <c r="Q1413" s="708" t="s">
        <v>778</v>
      </c>
      <c r="R1413" s="710">
        <f t="shared" si="201"/>
        <v>120</v>
      </c>
      <c r="Z1413" s="700"/>
      <c r="AA1413" s="847" t="s">
        <v>3533</v>
      </c>
      <c r="AC1413" s="702"/>
      <c r="AE1413" s="724">
        <f t="shared" si="185"/>
        <v>0</v>
      </c>
    </row>
    <row r="1414" spans="6:31" ht="24" customHeight="1">
      <c r="H1414" s="705" t="s">
        <v>1609</v>
      </c>
      <c r="M1414" s="776">
        <v>4</v>
      </c>
      <c r="N1414" s="708" t="s">
        <v>778</v>
      </c>
      <c r="O1414" s="697" t="s">
        <v>1885</v>
      </c>
      <c r="P1414" s="710">
        <f t="shared" si="200"/>
        <v>20</v>
      </c>
      <c r="Q1414" s="708" t="s">
        <v>778</v>
      </c>
      <c r="R1414" s="710">
        <f t="shared" si="201"/>
        <v>80</v>
      </c>
      <c r="Y1414" s="776">
        <f>4.2*0.775</f>
        <v>3.2549999999999999</v>
      </c>
      <c r="Z1414" s="708" t="s">
        <v>922</v>
      </c>
      <c r="AA1414" s="697" t="s">
        <v>1879</v>
      </c>
      <c r="AB1414" s="710">
        <f>AB1397</f>
        <v>301</v>
      </c>
      <c r="AC1414" s="708" t="s">
        <v>922</v>
      </c>
      <c r="AD1414" s="710">
        <f t="shared" ref="AD1414:AD1425" si="202">AB1414*Y1414</f>
        <v>979.76</v>
      </c>
      <c r="AE1414" s="724">
        <f t="shared" si="185"/>
        <v>0</v>
      </c>
    </row>
    <row r="1415" spans="6:31" ht="24" customHeight="1">
      <c r="F1415" s="710">
        <v>0.1</v>
      </c>
      <c r="G1415" s="708" t="s">
        <v>878</v>
      </c>
      <c r="H1415" s="697" t="s">
        <v>1373</v>
      </c>
      <c r="I1415" s="710">
        <f>(K30)</f>
        <v>4471.8999999999996</v>
      </c>
      <c r="J1415" s="697" t="s">
        <v>878</v>
      </c>
      <c r="K1415" s="710">
        <f>(F1415*I1415)</f>
        <v>447.19</v>
      </c>
      <c r="M1415" s="776">
        <v>4</v>
      </c>
      <c r="N1415" s="708" t="s">
        <v>778</v>
      </c>
      <c r="O1415" s="697" t="s">
        <v>1886</v>
      </c>
      <c r="P1415" s="710">
        <f t="shared" si="200"/>
        <v>15</v>
      </c>
      <c r="Q1415" s="708" t="s">
        <v>778</v>
      </c>
      <c r="R1415" s="710">
        <f t="shared" si="201"/>
        <v>60</v>
      </c>
      <c r="U1415" s="758" t="s">
        <v>3595</v>
      </c>
      <c r="Y1415" s="776">
        <v>2.3580000000000001</v>
      </c>
      <c r="Z1415" s="708" t="s">
        <v>922</v>
      </c>
      <c r="AA1415" s="697" t="s">
        <v>1879</v>
      </c>
      <c r="AB1415" s="710">
        <f t="shared" ref="AB1415:AB1425" si="203">AB1398</f>
        <v>301</v>
      </c>
      <c r="AC1415" s="708" t="s">
        <v>922</v>
      </c>
      <c r="AD1415" s="710">
        <f t="shared" si="202"/>
        <v>709.76</v>
      </c>
      <c r="AE1415" s="724">
        <f t="shared" ref="AE1415:AE1478" si="204">AG1415</f>
        <v>0</v>
      </c>
    </row>
    <row r="1416" spans="6:31" ht="24" customHeight="1">
      <c r="F1416" s="710">
        <v>1.1000000000000001</v>
      </c>
      <c r="G1416" s="708" t="s">
        <v>877</v>
      </c>
      <c r="H1416" s="697" t="s">
        <v>2034</v>
      </c>
      <c r="I1416" s="710">
        <f>(C8)</f>
        <v>861</v>
      </c>
      <c r="J1416" s="697" t="s">
        <v>877</v>
      </c>
      <c r="K1416" s="710">
        <f>(F1416*I1416)</f>
        <v>947.1</v>
      </c>
      <c r="L1416" s="699">
        <f>M1455+M1456+M1457</f>
        <v>11.74</v>
      </c>
      <c r="M1416" s="776">
        <v>1.62</v>
      </c>
      <c r="N1416" s="708" t="s">
        <v>2308</v>
      </c>
      <c r="O1416" s="697" t="s">
        <v>1887</v>
      </c>
      <c r="P1416" s="710">
        <f t="shared" si="200"/>
        <v>1724</v>
      </c>
      <c r="Q1416" s="708" t="s">
        <v>2308</v>
      </c>
      <c r="R1416" s="710">
        <f t="shared" si="201"/>
        <v>2792.88</v>
      </c>
      <c r="S1416" s="740">
        <v>4.42</v>
      </c>
      <c r="T1416" s="708" t="s">
        <v>922</v>
      </c>
      <c r="U1416" s="697" t="s">
        <v>1879</v>
      </c>
      <c r="V1416" s="710">
        <f>P1455</f>
        <v>301</v>
      </c>
      <c r="W1416" s="708" t="s">
        <v>922</v>
      </c>
      <c r="X1416" s="724">
        <f>V1416*S1416</f>
        <v>1330.42</v>
      </c>
      <c r="Y1416" s="776">
        <f>8.08*0.663</f>
        <v>5.3570000000000002</v>
      </c>
      <c r="Z1416" s="708" t="s">
        <v>922</v>
      </c>
      <c r="AA1416" s="697" t="s">
        <v>1879</v>
      </c>
      <c r="AB1416" s="710">
        <f t="shared" si="203"/>
        <v>301</v>
      </c>
      <c r="AC1416" s="708" t="s">
        <v>922</v>
      </c>
      <c r="AD1416" s="710">
        <f t="shared" si="202"/>
        <v>1612.46</v>
      </c>
      <c r="AE1416" s="724">
        <f t="shared" si="204"/>
        <v>0</v>
      </c>
    </row>
    <row r="1417" spans="6:31" ht="24" customHeight="1">
      <c r="F1417" s="710">
        <v>1.1000000000000001</v>
      </c>
      <c r="G1417" s="708" t="s">
        <v>877</v>
      </c>
      <c r="H1417" s="697" t="s">
        <v>1927</v>
      </c>
      <c r="I1417" s="710">
        <f>(C10)</f>
        <v>562</v>
      </c>
      <c r="J1417" s="697" t="s">
        <v>877</v>
      </c>
      <c r="K1417" s="710">
        <f>(F1417*I1417)</f>
        <v>618.20000000000005</v>
      </c>
      <c r="N1417" s="700"/>
      <c r="O1417" s="697" t="s">
        <v>1888</v>
      </c>
      <c r="Q1417" s="704"/>
      <c r="R1417" s="710">
        <v>0.25</v>
      </c>
      <c r="S1417" s="740">
        <v>4.72</v>
      </c>
      <c r="T1417" s="708" t="s">
        <v>922</v>
      </c>
      <c r="U1417" s="697" t="s">
        <v>1879</v>
      </c>
      <c r="V1417" s="710">
        <f>P1456</f>
        <v>301</v>
      </c>
      <c r="W1417" s="708" t="s">
        <v>922</v>
      </c>
      <c r="X1417" s="724">
        <f t="shared" ref="X1417:X1427" si="205">V1417*S1417</f>
        <v>1420.72</v>
      </c>
      <c r="Y1417" s="776">
        <v>0.92600000000000005</v>
      </c>
      <c r="Z1417" s="708" t="s">
        <v>922</v>
      </c>
      <c r="AA1417" s="697" t="s">
        <v>1879</v>
      </c>
      <c r="AB1417" s="710">
        <f t="shared" si="203"/>
        <v>301</v>
      </c>
      <c r="AC1417" s="708" t="s">
        <v>922</v>
      </c>
      <c r="AD1417" s="710">
        <f t="shared" si="202"/>
        <v>278.73</v>
      </c>
      <c r="AE1417" s="724">
        <f t="shared" si="204"/>
        <v>0</v>
      </c>
    </row>
    <row r="1418" spans="6:31" ht="24" customHeight="1">
      <c r="F1418" s="710">
        <v>1.1000000000000001</v>
      </c>
      <c r="G1418" s="708" t="s">
        <v>877</v>
      </c>
      <c r="H1418" s="697" t="s">
        <v>321</v>
      </c>
      <c r="I1418" s="710">
        <f>(C11)</f>
        <v>461</v>
      </c>
      <c r="J1418" s="697" t="s">
        <v>877</v>
      </c>
      <c r="K1418" s="710">
        <f>(F1418*I1418)</f>
        <v>507.1</v>
      </c>
      <c r="R1418" s="709">
        <f>SUM(R1405:R1417)</f>
        <v>8840.69</v>
      </c>
      <c r="S1418" s="740">
        <v>9.06</v>
      </c>
      <c r="T1418" s="708" t="s">
        <v>922</v>
      </c>
      <c r="U1418" s="697" t="s">
        <v>1879</v>
      </c>
      <c r="V1418" s="710">
        <f>P1457</f>
        <v>301</v>
      </c>
      <c r="W1418" s="708" t="s">
        <v>922</v>
      </c>
      <c r="X1418" s="724">
        <f t="shared" si="205"/>
        <v>2727.06</v>
      </c>
      <c r="Y1418" s="776">
        <v>0.85</v>
      </c>
      <c r="Z1418" s="708" t="s">
        <v>236</v>
      </c>
      <c r="AA1418" s="697" t="s">
        <v>1880</v>
      </c>
      <c r="AB1418" s="710">
        <f t="shared" si="203"/>
        <v>303.89999999999998</v>
      </c>
      <c r="AC1418" s="708" t="s">
        <v>236</v>
      </c>
      <c r="AD1418" s="710">
        <f t="shared" si="202"/>
        <v>258.32</v>
      </c>
      <c r="AE1418" s="724">
        <f t="shared" si="204"/>
        <v>0</v>
      </c>
    </row>
    <row r="1419" spans="6:31" ht="24" customHeight="1">
      <c r="G1419" s="708" t="s">
        <v>450</v>
      </c>
      <c r="H1419" s="697" t="s">
        <v>451</v>
      </c>
      <c r="I1419" s="697" t="s">
        <v>987</v>
      </c>
      <c r="J1419" s="697" t="s">
        <v>450</v>
      </c>
      <c r="K1419" s="710">
        <v>0</v>
      </c>
      <c r="M1419" s="710"/>
      <c r="N1419" s="708"/>
      <c r="O1419" s="697"/>
      <c r="P1419" s="710"/>
      <c r="Q1419" s="698"/>
      <c r="R1419" s="710"/>
      <c r="S1419" s="740">
        <v>1.58</v>
      </c>
      <c r="T1419" s="708" t="s">
        <v>922</v>
      </c>
      <c r="U1419" s="697" t="s">
        <v>1879</v>
      </c>
      <c r="V1419" s="710">
        <f>P1458</f>
        <v>301</v>
      </c>
      <c r="W1419" s="708" t="s">
        <v>922</v>
      </c>
      <c r="X1419" s="724">
        <f t="shared" si="205"/>
        <v>475.58</v>
      </c>
      <c r="Y1419" s="776">
        <v>7.4720000000000004</v>
      </c>
      <c r="Z1419" s="708" t="s">
        <v>835</v>
      </c>
      <c r="AA1419" s="697" t="s">
        <v>1881</v>
      </c>
      <c r="AB1419" s="710">
        <f t="shared" si="203"/>
        <v>28.8</v>
      </c>
      <c r="AC1419" s="708" t="s">
        <v>835</v>
      </c>
      <c r="AD1419" s="710">
        <f t="shared" si="202"/>
        <v>215.19</v>
      </c>
      <c r="AE1419" s="724">
        <f t="shared" si="204"/>
        <v>0</v>
      </c>
    </row>
    <row r="1420" spans="6:31" ht="24" customHeight="1">
      <c r="K1420" s="705" t="s">
        <v>1609</v>
      </c>
      <c r="M1420" s="710"/>
      <c r="N1420" s="708"/>
      <c r="O1420" s="697"/>
      <c r="P1420" s="710"/>
      <c r="Q1420" s="698"/>
      <c r="R1420" s="710"/>
      <c r="S1420" s="740">
        <v>1.65</v>
      </c>
      <c r="T1420" s="708" t="s">
        <v>236</v>
      </c>
      <c r="U1420" s="697" t="s">
        <v>1880</v>
      </c>
      <c r="V1420" s="710">
        <f>P1426</f>
        <v>303.89999999999998</v>
      </c>
      <c r="W1420" s="708" t="s">
        <v>236</v>
      </c>
      <c r="X1420" s="724">
        <f t="shared" si="205"/>
        <v>501.44</v>
      </c>
      <c r="Y1420" s="776">
        <v>8</v>
      </c>
      <c r="Z1420" s="708" t="s">
        <v>778</v>
      </c>
      <c r="AA1420" s="697" t="s">
        <v>1882</v>
      </c>
      <c r="AB1420" s="710">
        <f t="shared" si="203"/>
        <v>66.599999999999994</v>
      </c>
      <c r="AC1420" s="708" t="s">
        <v>778</v>
      </c>
      <c r="AD1420" s="710">
        <f t="shared" si="202"/>
        <v>532.79999999999995</v>
      </c>
      <c r="AE1420" s="724">
        <f t="shared" si="204"/>
        <v>0</v>
      </c>
    </row>
    <row r="1421" spans="6:31" ht="24" customHeight="1">
      <c r="H1421" s="697" t="s">
        <v>442</v>
      </c>
      <c r="K1421" s="710">
        <f>SUM(K1415:K1419)</f>
        <v>2519.59</v>
      </c>
      <c r="N1421" s="700"/>
      <c r="O1421" s="847" t="s">
        <v>3538</v>
      </c>
      <c r="Q1421" s="702"/>
      <c r="S1421" s="740">
        <v>12.74</v>
      </c>
      <c r="T1421" s="708" t="s">
        <v>835</v>
      </c>
      <c r="U1421" s="697" t="s">
        <v>1881</v>
      </c>
      <c r="V1421" s="710">
        <f>P1460</f>
        <v>28.8</v>
      </c>
      <c r="W1421" s="708" t="s">
        <v>835</v>
      </c>
      <c r="X1421" s="724">
        <f t="shared" si="205"/>
        <v>366.91</v>
      </c>
      <c r="Y1421" s="776">
        <v>4</v>
      </c>
      <c r="Z1421" s="708" t="s">
        <v>778</v>
      </c>
      <c r="AA1421" s="697" t="s">
        <v>1883</v>
      </c>
      <c r="AB1421" s="710">
        <f t="shared" si="203"/>
        <v>53.4</v>
      </c>
      <c r="AC1421" s="708" t="s">
        <v>778</v>
      </c>
      <c r="AD1421" s="710">
        <f t="shared" si="202"/>
        <v>213.6</v>
      </c>
      <c r="AE1421" s="724">
        <f t="shared" si="204"/>
        <v>0</v>
      </c>
    </row>
    <row r="1422" spans="6:31" ht="24" customHeight="1">
      <c r="H1422" s="704"/>
      <c r="K1422" s="705" t="s">
        <v>1609</v>
      </c>
      <c r="M1422" s="776">
        <v>2.79</v>
      </c>
      <c r="N1422" s="708" t="s">
        <v>922</v>
      </c>
      <c r="O1422" s="769" t="s">
        <v>4377</v>
      </c>
      <c r="P1422" s="710">
        <f>P1405</f>
        <v>301</v>
      </c>
      <c r="Q1422" s="708" t="s">
        <v>922</v>
      </c>
      <c r="R1422" s="710">
        <f>P1422*M1422</f>
        <v>839.79</v>
      </c>
      <c r="S1422" s="740">
        <v>12</v>
      </c>
      <c r="T1422" s="708" t="s">
        <v>778</v>
      </c>
      <c r="U1422" s="697" t="s">
        <v>1882</v>
      </c>
      <c r="V1422" s="710">
        <f>P1461</f>
        <v>66.599999999999994</v>
      </c>
      <c r="W1422" s="708" t="s">
        <v>778</v>
      </c>
      <c r="X1422" s="724">
        <f t="shared" si="205"/>
        <v>799.2</v>
      </c>
      <c r="Y1422" s="776">
        <v>4</v>
      </c>
      <c r="Z1422" s="708" t="s">
        <v>778</v>
      </c>
      <c r="AA1422" s="697" t="s">
        <v>1884</v>
      </c>
      <c r="AB1422" s="710">
        <f t="shared" si="203"/>
        <v>30</v>
      </c>
      <c r="AC1422" s="708" t="s">
        <v>778</v>
      </c>
      <c r="AD1422" s="710">
        <f t="shared" si="202"/>
        <v>120</v>
      </c>
      <c r="AE1422" s="724">
        <f t="shared" si="204"/>
        <v>0</v>
      </c>
    </row>
    <row r="1423" spans="6:31" ht="24" customHeight="1">
      <c r="H1423" s="711" t="s">
        <v>556</v>
      </c>
      <c r="I1423" s="758"/>
      <c r="J1423" s="759"/>
      <c r="K1423" s="709">
        <f>(K1421/10)</f>
        <v>251.96</v>
      </c>
      <c r="M1423" s="776">
        <v>0.5</v>
      </c>
      <c r="N1423" s="708" t="s">
        <v>922</v>
      </c>
      <c r="O1423" s="697" t="s">
        <v>1879</v>
      </c>
      <c r="P1423" s="710">
        <f t="shared" ref="P1423:P1433" si="206">P1406</f>
        <v>301</v>
      </c>
      <c r="Q1423" s="708" t="s">
        <v>922</v>
      </c>
      <c r="R1423" s="710">
        <f t="shared" ref="R1423:R1433" si="207">P1423*M1423</f>
        <v>150.5</v>
      </c>
      <c r="S1423" s="740">
        <v>6</v>
      </c>
      <c r="T1423" s="708" t="s">
        <v>778</v>
      </c>
      <c r="U1423" s="697" t="s">
        <v>1883</v>
      </c>
      <c r="V1423" s="710">
        <f>P1462</f>
        <v>53.4</v>
      </c>
      <c r="W1423" s="708" t="s">
        <v>778</v>
      </c>
      <c r="X1423" s="724">
        <f t="shared" si="205"/>
        <v>320.39999999999998</v>
      </c>
      <c r="Y1423" s="776">
        <v>4</v>
      </c>
      <c r="Z1423" s="708" t="s">
        <v>778</v>
      </c>
      <c r="AA1423" s="697" t="s">
        <v>1885</v>
      </c>
      <c r="AB1423" s="710">
        <f t="shared" si="203"/>
        <v>20</v>
      </c>
      <c r="AC1423" s="708" t="s">
        <v>778</v>
      </c>
      <c r="AD1423" s="710">
        <f t="shared" si="202"/>
        <v>80</v>
      </c>
      <c r="AE1423" s="724">
        <f t="shared" si="204"/>
        <v>0</v>
      </c>
    </row>
    <row r="1424" spans="6:31" ht="24" customHeight="1">
      <c r="K1424" s="705" t="s">
        <v>2080</v>
      </c>
      <c r="M1424" s="776">
        <v>2.85</v>
      </c>
      <c r="N1424" s="708" t="s">
        <v>922</v>
      </c>
      <c r="O1424" s="697" t="s">
        <v>1879</v>
      </c>
      <c r="P1424" s="710">
        <f t="shared" si="206"/>
        <v>301</v>
      </c>
      <c r="Q1424" s="708" t="s">
        <v>922</v>
      </c>
      <c r="R1424" s="710">
        <f t="shared" si="207"/>
        <v>857.85</v>
      </c>
      <c r="S1424" s="740">
        <v>6</v>
      </c>
      <c r="T1424" s="708" t="s">
        <v>778</v>
      </c>
      <c r="U1424" s="697" t="s">
        <v>1884</v>
      </c>
      <c r="V1424" s="737">
        <v>30</v>
      </c>
      <c r="W1424" s="708" t="s">
        <v>778</v>
      </c>
      <c r="X1424" s="724">
        <f t="shared" si="205"/>
        <v>180</v>
      </c>
      <c r="Y1424" s="776">
        <v>4</v>
      </c>
      <c r="Z1424" s="708" t="s">
        <v>778</v>
      </c>
      <c r="AA1424" s="697" t="s">
        <v>1886</v>
      </c>
      <c r="AB1424" s="710">
        <f t="shared" si="203"/>
        <v>15</v>
      </c>
      <c r="AC1424" s="708" t="s">
        <v>778</v>
      </c>
      <c r="AD1424" s="710">
        <f t="shared" si="202"/>
        <v>60</v>
      </c>
      <c r="AE1424" s="724">
        <f t="shared" si="204"/>
        <v>0</v>
      </c>
    </row>
    <row r="1425" spans="6:31" ht="24" customHeight="1">
      <c r="M1425" s="776">
        <v>0.5</v>
      </c>
      <c r="N1425" s="708" t="s">
        <v>922</v>
      </c>
      <c r="O1425" s="697" t="s">
        <v>1879</v>
      </c>
      <c r="P1425" s="710">
        <f t="shared" si="206"/>
        <v>301</v>
      </c>
      <c r="Q1425" s="708" t="s">
        <v>922</v>
      </c>
      <c r="R1425" s="710">
        <f t="shared" si="207"/>
        <v>150.5</v>
      </c>
      <c r="S1425" s="740">
        <v>6</v>
      </c>
      <c r="T1425" s="708" t="s">
        <v>778</v>
      </c>
      <c r="U1425" s="697" t="s">
        <v>1885</v>
      </c>
      <c r="V1425" s="737">
        <v>20</v>
      </c>
      <c r="W1425" s="708" t="s">
        <v>778</v>
      </c>
      <c r="X1425" s="724">
        <f t="shared" si="205"/>
        <v>120</v>
      </c>
      <c r="Y1425" s="776">
        <v>1.08</v>
      </c>
      <c r="Z1425" s="708" t="s">
        <v>2308</v>
      </c>
      <c r="AA1425" s="697" t="s">
        <v>1887</v>
      </c>
      <c r="AB1425" s="710">
        <f t="shared" si="203"/>
        <v>1724</v>
      </c>
      <c r="AC1425" s="708" t="s">
        <v>2308</v>
      </c>
      <c r="AD1425" s="710">
        <f t="shared" si="202"/>
        <v>1861.92</v>
      </c>
      <c r="AE1425" s="724">
        <f t="shared" si="204"/>
        <v>0</v>
      </c>
    </row>
    <row r="1426" spans="6:31" ht="24" customHeight="1">
      <c r="G1426" s="708" t="s">
        <v>2276</v>
      </c>
      <c r="H1426" s="697" t="s">
        <v>851</v>
      </c>
      <c r="M1426" s="776">
        <v>0.47099999999999997</v>
      </c>
      <c r="N1426" s="708" t="s">
        <v>236</v>
      </c>
      <c r="O1426" s="697" t="s">
        <v>1880</v>
      </c>
      <c r="P1426" s="737">
        <f t="shared" si="206"/>
        <v>303.89999999999998</v>
      </c>
      <c r="Q1426" s="708" t="s">
        <v>236</v>
      </c>
      <c r="R1426" s="710">
        <f t="shared" si="207"/>
        <v>143.13999999999999</v>
      </c>
      <c r="S1426" s="740">
        <v>4</v>
      </c>
      <c r="T1426" s="708" t="s">
        <v>778</v>
      </c>
      <c r="U1426" s="697" t="s">
        <v>1886</v>
      </c>
      <c r="V1426" s="737">
        <v>15</v>
      </c>
      <c r="W1426" s="708" t="s">
        <v>778</v>
      </c>
      <c r="X1426" s="724">
        <f t="shared" si="205"/>
        <v>60</v>
      </c>
      <c r="Z1426" s="700"/>
      <c r="AA1426" s="697" t="s">
        <v>1888</v>
      </c>
      <c r="AC1426" s="704"/>
      <c r="AD1426" s="710">
        <v>0.96</v>
      </c>
      <c r="AE1426" s="724">
        <f t="shared" si="204"/>
        <v>0</v>
      </c>
    </row>
    <row r="1427" spans="6:31" ht="24" customHeight="1">
      <c r="H1427" s="697" t="s">
        <v>852</v>
      </c>
      <c r="M1427" s="776">
        <v>3.996</v>
      </c>
      <c r="N1427" s="708" t="s">
        <v>835</v>
      </c>
      <c r="O1427" s="769" t="s">
        <v>4380</v>
      </c>
      <c r="P1427" s="710">
        <f t="shared" si="206"/>
        <v>28.8</v>
      </c>
      <c r="Q1427" s="708" t="s">
        <v>835</v>
      </c>
      <c r="R1427" s="710">
        <f t="shared" si="207"/>
        <v>115.08</v>
      </c>
      <c r="S1427" s="740">
        <f>1.5*1.35</f>
        <v>2.0249999999999999</v>
      </c>
      <c r="T1427" s="708" t="s">
        <v>2308</v>
      </c>
      <c r="U1427" s="697" t="s">
        <v>1887</v>
      </c>
      <c r="V1427" s="710">
        <f>P1466</f>
        <v>1724</v>
      </c>
      <c r="W1427" s="708" t="s">
        <v>2308</v>
      </c>
      <c r="X1427" s="710">
        <f t="shared" si="205"/>
        <v>3491.1</v>
      </c>
      <c r="AA1427" s="707" t="s">
        <v>3594</v>
      </c>
      <c r="AD1427" s="709">
        <f>SUM(AD1414:AD1426)</f>
        <v>6923.5</v>
      </c>
      <c r="AE1427" s="724">
        <f t="shared" si="204"/>
        <v>0</v>
      </c>
    </row>
    <row r="1428" spans="6:31" ht="24" customHeight="1">
      <c r="H1428" s="697" t="s">
        <v>853</v>
      </c>
      <c r="M1428" s="776">
        <v>4</v>
      </c>
      <c r="N1428" s="708" t="s">
        <v>778</v>
      </c>
      <c r="O1428" s="769" t="s">
        <v>4378</v>
      </c>
      <c r="P1428" s="710">
        <f t="shared" si="206"/>
        <v>66.599999999999994</v>
      </c>
      <c r="Q1428" s="708" t="s">
        <v>778</v>
      </c>
      <c r="R1428" s="710">
        <f t="shared" si="207"/>
        <v>266.39999999999998</v>
      </c>
      <c r="T1428" s="700"/>
      <c r="U1428" s="697" t="s">
        <v>1888</v>
      </c>
      <c r="W1428" s="704"/>
      <c r="X1428" s="710">
        <v>0.31</v>
      </c>
      <c r="AE1428" s="724">
        <f t="shared" si="204"/>
        <v>0</v>
      </c>
    </row>
    <row r="1429" spans="6:31" ht="24" customHeight="1">
      <c r="H1429" s="705" t="s">
        <v>1609</v>
      </c>
      <c r="M1429" s="776">
        <v>2</v>
      </c>
      <c r="N1429" s="708" t="s">
        <v>778</v>
      </c>
      <c r="O1429" s="769" t="s">
        <v>4379</v>
      </c>
      <c r="P1429" s="710">
        <f t="shared" si="206"/>
        <v>53.4</v>
      </c>
      <c r="Q1429" s="708" t="s">
        <v>778</v>
      </c>
      <c r="R1429" s="710">
        <f t="shared" si="207"/>
        <v>106.8</v>
      </c>
      <c r="U1429" s="707" t="s">
        <v>3594</v>
      </c>
      <c r="X1429" s="709">
        <f>SUM(X1416:X1428)</f>
        <v>11793.14</v>
      </c>
      <c r="AE1429" s="724">
        <f t="shared" si="204"/>
        <v>0</v>
      </c>
    </row>
    <row r="1430" spans="6:31" ht="24" customHeight="1">
      <c r="F1430" s="710">
        <v>0.14000000000000001</v>
      </c>
      <c r="G1430" s="708" t="s">
        <v>878</v>
      </c>
      <c r="H1430" s="697" t="s">
        <v>1373</v>
      </c>
      <c r="I1430" s="710">
        <f>(K30)</f>
        <v>4471.8999999999996</v>
      </c>
      <c r="J1430" s="697" t="s">
        <v>878</v>
      </c>
      <c r="K1430" s="710">
        <f>(F1430*I1430)</f>
        <v>626.07000000000005</v>
      </c>
      <c r="M1430" s="776">
        <v>2</v>
      </c>
      <c r="N1430" s="708" t="s">
        <v>778</v>
      </c>
      <c r="O1430" s="697" t="s">
        <v>1884</v>
      </c>
      <c r="P1430" s="710">
        <f t="shared" si="206"/>
        <v>30</v>
      </c>
      <c r="Q1430" s="708" t="s">
        <v>778</v>
      </c>
      <c r="R1430" s="710">
        <f t="shared" si="207"/>
        <v>60</v>
      </c>
      <c r="U1430" s="699">
        <f>2.025</f>
        <v>2.0299999999999998</v>
      </c>
      <c r="Y1430" s="703"/>
      <c r="Z1430" s="700"/>
      <c r="AA1430" s="847" t="s">
        <v>3560</v>
      </c>
      <c r="AB1430" s="839" t="s">
        <v>2384</v>
      </c>
      <c r="AC1430" s="839"/>
      <c r="AD1430" s="839"/>
      <c r="AE1430" s="724">
        <f t="shared" si="204"/>
        <v>0</v>
      </c>
    </row>
    <row r="1431" spans="6:31" ht="24" customHeight="1">
      <c r="F1431" s="710">
        <v>1.1000000000000001</v>
      </c>
      <c r="G1431" s="708" t="s">
        <v>877</v>
      </c>
      <c r="H1431" s="697" t="s">
        <v>2034</v>
      </c>
      <c r="I1431" s="710">
        <f>(C8)</f>
        <v>861</v>
      </c>
      <c r="J1431" s="697" t="s">
        <v>877</v>
      </c>
      <c r="K1431" s="710">
        <f>(F1431*I1431)</f>
        <v>947.1</v>
      </c>
      <c r="M1431" s="776">
        <v>2</v>
      </c>
      <c r="N1431" s="708" t="s">
        <v>778</v>
      </c>
      <c r="O1431" s="697" t="s">
        <v>1885</v>
      </c>
      <c r="P1431" s="710">
        <f t="shared" si="206"/>
        <v>20</v>
      </c>
      <c r="Q1431" s="708" t="s">
        <v>778</v>
      </c>
      <c r="R1431" s="710">
        <f t="shared" si="207"/>
        <v>40</v>
      </c>
      <c r="Y1431" s="740">
        <v>4.21</v>
      </c>
      <c r="Z1431" s="708" t="s">
        <v>922</v>
      </c>
      <c r="AA1431" s="697" t="s">
        <v>1879</v>
      </c>
      <c r="AB1431" s="710">
        <f>V1433</f>
        <v>301</v>
      </c>
      <c r="AC1431" s="708" t="s">
        <v>922</v>
      </c>
      <c r="AD1431" s="710">
        <f>AB1431*Y1431</f>
        <v>1267.21</v>
      </c>
      <c r="AE1431" s="724">
        <f t="shared" si="204"/>
        <v>0</v>
      </c>
    </row>
    <row r="1432" spans="6:31" ht="24" customHeight="1">
      <c r="F1432" s="710">
        <v>0.5</v>
      </c>
      <c r="G1432" s="708" t="s">
        <v>877</v>
      </c>
      <c r="H1432" s="697" t="s">
        <v>1927</v>
      </c>
      <c r="I1432" s="710">
        <f>(C10)</f>
        <v>562</v>
      </c>
      <c r="J1432" s="697" t="s">
        <v>877</v>
      </c>
      <c r="K1432" s="710">
        <f>(F1432*I1432)</f>
        <v>281</v>
      </c>
      <c r="M1432" s="776">
        <v>4</v>
      </c>
      <c r="N1432" s="708" t="s">
        <v>778</v>
      </c>
      <c r="O1432" s="697" t="s">
        <v>1886</v>
      </c>
      <c r="P1432" s="710">
        <f t="shared" si="206"/>
        <v>15</v>
      </c>
      <c r="Q1432" s="708" t="s">
        <v>778</v>
      </c>
      <c r="R1432" s="710">
        <f t="shared" si="207"/>
        <v>60</v>
      </c>
      <c r="T1432" s="700"/>
      <c r="U1432" s="847" t="s">
        <v>3782</v>
      </c>
      <c r="V1432" s="839" t="s">
        <v>2384</v>
      </c>
      <c r="W1432" s="839"/>
      <c r="X1432" s="839"/>
      <c r="Y1432" s="740">
        <v>0.40500000000000003</v>
      </c>
      <c r="Z1432" s="708" t="s">
        <v>236</v>
      </c>
      <c r="AA1432" s="697" t="s">
        <v>1880</v>
      </c>
      <c r="AB1432" s="710">
        <f>V1434</f>
        <v>303.89999999999998</v>
      </c>
      <c r="AC1432" s="708" t="s">
        <v>922</v>
      </c>
      <c r="AD1432" s="710">
        <f>AB1432*Y1432</f>
        <v>123.08</v>
      </c>
      <c r="AE1432" s="724">
        <f t="shared" si="204"/>
        <v>0</v>
      </c>
    </row>
    <row r="1433" spans="6:31" ht="24" customHeight="1">
      <c r="F1433" s="710">
        <v>1.1000000000000001</v>
      </c>
      <c r="G1433" s="708" t="s">
        <v>877</v>
      </c>
      <c r="H1433" s="697" t="s">
        <v>321</v>
      </c>
      <c r="I1433" s="710">
        <f>(C11)</f>
        <v>461</v>
      </c>
      <c r="J1433" s="697" t="s">
        <v>877</v>
      </c>
      <c r="K1433" s="710">
        <f>(F1433*I1433)</f>
        <v>507.1</v>
      </c>
      <c r="M1433" s="776">
        <v>0.60799999999999998</v>
      </c>
      <c r="N1433" s="708" t="s">
        <v>2308</v>
      </c>
      <c r="O1433" s="697" t="s">
        <v>1887</v>
      </c>
      <c r="P1433" s="710">
        <f t="shared" si="206"/>
        <v>1724</v>
      </c>
      <c r="Q1433" s="708" t="s">
        <v>2308</v>
      </c>
      <c r="R1433" s="710">
        <f t="shared" si="207"/>
        <v>1048.19</v>
      </c>
      <c r="S1433" s="740">
        <v>3.7389999999999999</v>
      </c>
      <c r="T1433" s="708" t="s">
        <v>922</v>
      </c>
      <c r="U1433" s="697" t="s">
        <v>1879</v>
      </c>
      <c r="V1433" s="710">
        <f>P1472</f>
        <v>301</v>
      </c>
      <c r="W1433" s="708" t="s">
        <v>922</v>
      </c>
      <c r="X1433" s="710">
        <f>V1433*S1433</f>
        <v>1125.44</v>
      </c>
      <c r="Y1433" s="740">
        <v>0.40500000000000003</v>
      </c>
      <c r="Z1433" s="708" t="s">
        <v>236</v>
      </c>
      <c r="AA1433" s="697" t="s">
        <v>1887</v>
      </c>
      <c r="AB1433" s="710">
        <f>V1435</f>
        <v>1724</v>
      </c>
      <c r="AC1433" s="708" t="s">
        <v>922</v>
      </c>
      <c r="AD1433" s="710">
        <f>AB1433*Y1433</f>
        <v>698.22</v>
      </c>
      <c r="AE1433" s="724">
        <f t="shared" si="204"/>
        <v>0</v>
      </c>
    </row>
    <row r="1434" spans="6:31" ht="24" customHeight="1">
      <c r="F1434" s="710">
        <v>2</v>
      </c>
      <c r="G1434" s="708" t="s">
        <v>1670</v>
      </c>
      <c r="H1434" s="697" t="s">
        <v>854</v>
      </c>
      <c r="I1434" s="710">
        <f>(C650)</f>
        <v>42.3</v>
      </c>
      <c r="J1434" s="697" t="s">
        <v>1670</v>
      </c>
      <c r="K1434" s="710">
        <f>(F1434*I1434)</f>
        <v>84.6</v>
      </c>
      <c r="N1434" s="700"/>
      <c r="O1434" s="697" t="s">
        <v>1888</v>
      </c>
      <c r="Q1434" s="704"/>
      <c r="R1434" s="710">
        <v>0.57999999999999996</v>
      </c>
      <c r="S1434" s="740">
        <v>0.36</v>
      </c>
      <c r="T1434" s="708" t="s">
        <v>236</v>
      </c>
      <c r="U1434" s="697" t="s">
        <v>1880</v>
      </c>
      <c r="V1434" s="710">
        <f>P1473</f>
        <v>303.89999999999998</v>
      </c>
      <c r="W1434" s="708" t="s">
        <v>922</v>
      </c>
      <c r="X1434" s="710">
        <f>V1434*S1434</f>
        <v>109.4</v>
      </c>
      <c r="Y1434" s="740"/>
      <c r="Z1434" s="708"/>
      <c r="AA1434" s="697"/>
      <c r="AB1434" s="710"/>
      <c r="AC1434" s="708"/>
      <c r="AD1434" s="710">
        <f>SUM(AD1431:AD1433)</f>
        <v>2088.5100000000002</v>
      </c>
      <c r="AE1434" s="724">
        <f t="shared" si="204"/>
        <v>0</v>
      </c>
    </row>
    <row r="1435" spans="6:31" ht="24" customHeight="1">
      <c r="G1435" s="708" t="s">
        <v>450</v>
      </c>
      <c r="H1435" s="697" t="s">
        <v>451</v>
      </c>
      <c r="I1435" s="697" t="s">
        <v>987</v>
      </c>
      <c r="J1435" s="697" t="s">
        <v>450</v>
      </c>
      <c r="K1435" s="710">
        <v>0</v>
      </c>
      <c r="R1435" s="709">
        <f>SUM(R1422:R1434)</f>
        <v>3838.83</v>
      </c>
      <c r="S1435" s="740">
        <v>0.36</v>
      </c>
      <c r="T1435" s="708" t="s">
        <v>236</v>
      </c>
      <c r="U1435" s="697" t="s">
        <v>1887</v>
      </c>
      <c r="V1435" s="710">
        <f>P1474</f>
        <v>1724</v>
      </c>
      <c r="W1435" s="708" t="s">
        <v>922</v>
      </c>
      <c r="X1435" s="710">
        <f>V1435*S1435</f>
        <v>620.64</v>
      </c>
      <c r="Y1435" s="740"/>
      <c r="Z1435" s="708"/>
      <c r="AA1435" s="707" t="s">
        <v>3593</v>
      </c>
      <c r="AB1435" s="710"/>
      <c r="AC1435" s="708"/>
      <c r="AD1435" s="709">
        <f>AD1434/Y1433</f>
        <v>5156.8100000000004</v>
      </c>
      <c r="AE1435" s="724">
        <f t="shared" si="204"/>
        <v>0</v>
      </c>
    </row>
    <row r="1436" spans="6:31" ht="24" customHeight="1">
      <c r="K1436" s="705" t="s">
        <v>1609</v>
      </c>
      <c r="M1436" s="710"/>
      <c r="N1436" s="708"/>
      <c r="O1436" s="697"/>
      <c r="P1436" s="710"/>
      <c r="Q1436" s="698"/>
      <c r="R1436" s="710"/>
      <c r="S1436" s="740"/>
      <c r="T1436" s="708"/>
      <c r="U1436" s="697"/>
      <c r="V1436" s="710"/>
      <c r="W1436" s="708"/>
      <c r="X1436" s="710">
        <f>SUM(X1433:X1435)</f>
        <v>1855.48</v>
      </c>
      <c r="AE1436" s="724">
        <f t="shared" si="204"/>
        <v>0</v>
      </c>
    </row>
    <row r="1437" spans="6:31" ht="24" customHeight="1">
      <c r="F1437" s="697" t="s">
        <v>987</v>
      </c>
      <c r="H1437" s="697" t="s">
        <v>442</v>
      </c>
      <c r="K1437" s="710">
        <f>SUM(K1430:K1435)</f>
        <v>2445.87</v>
      </c>
      <c r="N1437" s="700"/>
      <c r="O1437" s="847" t="s">
        <v>3545</v>
      </c>
      <c r="Q1437" s="702"/>
      <c r="S1437" s="740"/>
      <c r="T1437" s="708"/>
      <c r="U1437" s="707" t="s">
        <v>3593</v>
      </c>
      <c r="V1437" s="710"/>
      <c r="W1437" s="708"/>
      <c r="X1437" s="709">
        <f>X1436/S1435</f>
        <v>5154.1099999999997</v>
      </c>
      <c r="AE1437" s="724">
        <f t="shared" si="204"/>
        <v>0</v>
      </c>
    </row>
    <row r="1438" spans="6:31" ht="24" customHeight="1">
      <c r="H1438" s="758"/>
      <c r="I1438" s="758"/>
      <c r="J1438" s="759"/>
      <c r="K1438" s="761" t="s">
        <v>1609</v>
      </c>
      <c r="M1438" s="776">
        <v>5.35</v>
      </c>
      <c r="N1438" s="708" t="s">
        <v>922</v>
      </c>
      <c r="O1438" s="769" t="s">
        <v>4377</v>
      </c>
      <c r="P1438" s="710">
        <f>P1422</f>
        <v>301</v>
      </c>
      <c r="Q1438" s="708" t="s">
        <v>922</v>
      </c>
      <c r="R1438" s="710">
        <f>P1438*M1438</f>
        <v>1610.35</v>
      </c>
      <c r="AE1438" s="724">
        <f t="shared" si="204"/>
        <v>0</v>
      </c>
    </row>
    <row r="1439" spans="6:31" ht="24" customHeight="1">
      <c r="H1439" s="711" t="s">
        <v>556</v>
      </c>
      <c r="I1439" s="758"/>
      <c r="J1439" s="759"/>
      <c r="K1439" s="709">
        <f>(K1437/10)</f>
        <v>244.59</v>
      </c>
      <c r="M1439" s="776">
        <v>7.58</v>
      </c>
      <c r="N1439" s="708" t="s">
        <v>922</v>
      </c>
      <c r="O1439" s="697" t="s">
        <v>1879</v>
      </c>
      <c r="P1439" s="710">
        <f t="shared" ref="P1439:P1449" si="208">P1423</f>
        <v>301</v>
      </c>
      <c r="Q1439" s="708" t="s">
        <v>922</v>
      </c>
      <c r="R1439" s="710">
        <f t="shared" ref="R1439:R1449" si="209">P1439*M1439</f>
        <v>2281.58</v>
      </c>
      <c r="T1439" s="700"/>
      <c r="U1439" s="847" t="s">
        <v>3783</v>
      </c>
      <c r="V1439" s="839" t="s">
        <v>2384</v>
      </c>
      <c r="W1439" s="702"/>
      <c r="AE1439" s="724">
        <f t="shared" si="204"/>
        <v>0</v>
      </c>
    </row>
    <row r="1440" spans="6:31" ht="24" customHeight="1">
      <c r="K1440" s="705" t="s">
        <v>2080</v>
      </c>
      <c r="M1440" s="776">
        <v>13.15</v>
      </c>
      <c r="N1440" s="708" t="s">
        <v>922</v>
      </c>
      <c r="O1440" s="697" t="s">
        <v>1879</v>
      </c>
      <c r="P1440" s="710">
        <f t="shared" si="208"/>
        <v>301</v>
      </c>
      <c r="Q1440" s="708" t="s">
        <v>922</v>
      </c>
      <c r="R1440" s="710">
        <f t="shared" si="209"/>
        <v>3958.15</v>
      </c>
      <c r="S1440" s="740">
        <v>4.21</v>
      </c>
      <c r="T1440" s="708" t="s">
        <v>922</v>
      </c>
      <c r="U1440" s="697" t="s">
        <v>1879</v>
      </c>
      <c r="V1440" s="710">
        <f>P1479</f>
        <v>301</v>
      </c>
      <c r="W1440" s="708" t="s">
        <v>922</v>
      </c>
      <c r="X1440" s="710">
        <f>V1440*S1440</f>
        <v>1267.21</v>
      </c>
      <c r="AE1440" s="724">
        <f t="shared" si="204"/>
        <v>0</v>
      </c>
    </row>
    <row r="1441" spans="6:31" ht="24" customHeight="1">
      <c r="H1441" s="697" t="s">
        <v>987</v>
      </c>
      <c r="M1441" s="776">
        <v>2.31</v>
      </c>
      <c r="N1441" s="708" t="s">
        <v>922</v>
      </c>
      <c r="O1441" s="697" t="s">
        <v>1879</v>
      </c>
      <c r="P1441" s="710">
        <f t="shared" si="208"/>
        <v>301</v>
      </c>
      <c r="Q1441" s="708" t="s">
        <v>922</v>
      </c>
      <c r="R1441" s="710">
        <f t="shared" si="209"/>
        <v>695.31</v>
      </c>
      <c r="S1441" s="740">
        <v>0.45</v>
      </c>
      <c r="T1441" s="708" t="s">
        <v>236</v>
      </c>
      <c r="U1441" s="697" t="s">
        <v>1880</v>
      </c>
      <c r="V1441" s="710">
        <f>P1480</f>
        <v>303.89999999999998</v>
      </c>
      <c r="W1441" s="708" t="s">
        <v>922</v>
      </c>
      <c r="X1441" s="710">
        <f>V1441*S1441</f>
        <v>136.76</v>
      </c>
      <c r="AE1441" s="724">
        <f t="shared" si="204"/>
        <v>0</v>
      </c>
    </row>
    <row r="1442" spans="6:31" ht="24" customHeight="1">
      <c r="M1442" s="776">
        <v>2.44</v>
      </c>
      <c r="N1442" s="708" t="s">
        <v>236</v>
      </c>
      <c r="O1442" s="697" t="s">
        <v>1880</v>
      </c>
      <c r="P1442" s="737">
        <f t="shared" si="208"/>
        <v>303.89999999999998</v>
      </c>
      <c r="Q1442" s="708" t="s">
        <v>236</v>
      </c>
      <c r="R1442" s="710">
        <f t="shared" si="209"/>
        <v>741.52</v>
      </c>
      <c r="S1442" s="740">
        <v>0.45</v>
      </c>
      <c r="T1442" s="708" t="s">
        <v>236</v>
      </c>
      <c r="U1442" s="697" t="s">
        <v>1887</v>
      </c>
      <c r="V1442" s="710">
        <f>P1481</f>
        <v>1724</v>
      </c>
      <c r="W1442" s="708" t="s">
        <v>922</v>
      </c>
      <c r="X1442" s="710">
        <f>V1442*S1442</f>
        <v>775.8</v>
      </c>
      <c r="AE1442" s="724">
        <f t="shared" si="204"/>
        <v>0</v>
      </c>
    </row>
    <row r="1443" spans="6:31" ht="24" customHeight="1">
      <c r="F1443" s="698" t="s">
        <v>855</v>
      </c>
      <c r="G1443" s="708" t="s">
        <v>2276</v>
      </c>
      <c r="H1443" s="697" t="s">
        <v>856</v>
      </c>
      <c r="M1443" s="776">
        <v>18.62</v>
      </c>
      <c r="N1443" s="708" t="s">
        <v>835</v>
      </c>
      <c r="O1443" s="769" t="s">
        <v>4380</v>
      </c>
      <c r="P1443" s="710">
        <f t="shared" si="208"/>
        <v>28.8</v>
      </c>
      <c r="Q1443" s="708" t="s">
        <v>835</v>
      </c>
      <c r="R1443" s="710">
        <f t="shared" si="209"/>
        <v>536.26</v>
      </c>
      <c r="S1443" s="740">
        <f>R1482-2967</f>
        <v>786.29</v>
      </c>
      <c r="T1443" s="708"/>
      <c r="U1443" s="697"/>
      <c r="V1443" s="710"/>
      <c r="W1443" s="708"/>
      <c r="X1443" s="710">
        <f>SUM(X1440:X1442)</f>
        <v>2179.77</v>
      </c>
      <c r="AE1443" s="724">
        <f t="shared" si="204"/>
        <v>0</v>
      </c>
    </row>
    <row r="1444" spans="6:31" ht="24" customHeight="1">
      <c r="H1444" s="697" t="s">
        <v>1380</v>
      </c>
      <c r="M1444" s="776">
        <v>16</v>
      </c>
      <c r="N1444" s="708" t="s">
        <v>778</v>
      </c>
      <c r="O1444" s="769" t="s">
        <v>4378</v>
      </c>
      <c r="P1444" s="710">
        <f t="shared" si="208"/>
        <v>66.599999999999994</v>
      </c>
      <c r="Q1444" s="708" t="s">
        <v>778</v>
      </c>
      <c r="R1444" s="710">
        <f t="shared" si="209"/>
        <v>1065.5999999999999</v>
      </c>
      <c r="S1444" s="740"/>
      <c r="T1444" s="708"/>
      <c r="U1444" s="707" t="s">
        <v>3593</v>
      </c>
      <c r="V1444" s="710"/>
      <c r="W1444" s="708"/>
      <c r="X1444" s="709">
        <f>X1443/S1442</f>
        <v>4843.93</v>
      </c>
      <c r="Y1444" s="703"/>
      <c r="Z1444" s="700"/>
      <c r="AA1444" s="847" t="s">
        <v>3532</v>
      </c>
      <c r="AC1444" s="702"/>
      <c r="AE1444" s="724">
        <f t="shared" si="204"/>
        <v>0</v>
      </c>
    </row>
    <row r="1445" spans="6:31" ht="24" customHeight="1">
      <c r="H1445" s="697" t="s">
        <v>1381</v>
      </c>
      <c r="M1445" s="776">
        <v>8</v>
      </c>
      <c r="N1445" s="708" t="s">
        <v>778</v>
      </c>
      <c r="O1445" s="769" t="s">
        <v>4379</v>
      </c>
      <c r="P1445" s="710">
        <f t="shared" si="208"/>
        <v>53.4</v>
      </c>
      <c r="Q1445" s="708" t="s">
        <v>778</v>
      </c>
      <c r="R1445" s="710">
        <f t="shared" si="209"/>
        <v>427.2</v>
      </c>
      <c r="Y1445" s="740">
        <v>3.26</v>
      </c>
      <c r="Z1445" s="708" t="s">
        <v>922</v>
      </c>
      <c r="AA1445" s="697" t="s">
        <v>1879</v>
      </c>
      <c r="AB1445" s="710">
        <f t="shared" ref="AB1445:AB1456" si="210">V1447</f>
        <v>301</v>
      </c>
      <c r="AC1445" s="708" t="s">
        <v>922</v>
      </c>
      <c r="AD1445" s="710">
        <f t="shared" ref="AD1445:AD1456" si="211">AB1445*Y1445</f>
        <v>981.26</v>
      </c>
      <c r="AE1445" s="724">
        <f t="shared" si="204"/>
        <v>0</v>
      </c>
    </row>
    <row r="1446" spans="6:31" ht="24" customHeight="1">
      <c r="H1446" s="697" t="s">
        <v>704</v>
      </c>
      <c r="M1446" s="776">
        <v>8</v>
      </c>
      <c r="N1446" s="708" t="s">
        <v>778</v>
      </c>
      <c r="O1446" s="697" t="s">
        <v>1884</v>
      </c>
      <c r="P1446" s="710">
        <f t="shared" si="208"/>
        <v>30</v>
      </c>
      <c r="Q1446" s="708" t="s">
        <v>778</v>
      </c>
      <c r="R1446" s="710">
        <f t="shared" si="209"/>
        <v>240</v>
      </c>
      <c r="T1446" s="700"/>
      <c r="U1446" s="847" t="s">
        <v>3531</v>
      </c>
      <c r="W1446" s="702"/>
      <c r="Y1446" s="740">
        <v>0.84</v>
      </c>
      <c r="Z1446" s="708" t="s">
        <v>922</v>
      </c>
      <c r="AA1446" s="697" t="s">
        <v>1879</v>
      </c>
      <c r="AB1446" s="710">
        <f t="shared" si="210"/>
        <v>301</v>
      </c>
      <c r="AC1446" s="708" t="s">
        <v>922</v>
      </c>
      <c r="AD1446" s="710">
        <f t="shared" si="211"/>
        <v>252.84</v>
      </c>
      <c r="AE1446" s="724">
        <f t="shared" si="204"/>
        <v>0</v>
      </c>
    </row>
    <row r="1447" spans="6:31" ht="24" customHeight="1">
      <c r="H1447" s="705" t="s">
        <v>1609</v>
      </c>
      <c r="I1447" s="705" t="s">
        <v>1609</v>
      </c>
      <c r="M1447" s="776">
        <v>8</v>
      </c>
      <c r="N1447" s="708" t="s">
        <v>778</v>
      </c>
      <c r="O1447" s="697" t="s">
        <v>1885</v>
      </c>
      <c r="P1447" s="710">
        <f t="shared" si="208"/>
        <v>20</v>
      </c>
      <c r="Q1447" s="708" t="s">
        <v>778</v>
      </c>
      <c r="R1447" s="710">
        <f t="shared" si="209"/>
        <v>160</v>
      </c>
      <c r="S1447" s="740">
        <v>3.49</v>
      </c>
      <c r="T1447" s="708" t="s">
        <v>922</v>
      </c>
      <c r="U1447" s="697" t="s">
        <v>1879</v>
      </c>
      <c r="V1447" s="710">
        <f>P1486</f>
        <v>301</v>
      </c>
      <c r="W1447" s="708" t="s">
        <v>922</v>
      </c>
      <c r="X1447" s="710">
        <f>V1447*S1447</f>
        <v>1050.49</v>
      </c>
      <c r="Y1447" s="740">
        <v>3.65</v>
      </c>
      <c r="Z1447" s="708" t="s">
        <v>922</v>
      </c>
      <c r="AA1447" s="697" t="s">
        <v>1879</v>
      </c>
      <c r="AB1447" s="710">
        <f t="shared" si="210"/>
        <v>301</v>
      </c>
      <c r="AC1447" s="708" t="s">
        <v>922</v>
      </c>
      <c r="AD1447" s="710">
        <f t="shared" si="211"/>
        <v>1098.6500000000001</v>
      </c>
      <c r="AE1447" s="724">
        <f t="shared" si="204"/>
        <v>0</v>
      </c>
    </row>
    <row r="1448" spans="6:31" ht="24" customHeight="1">
      <c r="G1448" s="708" t="s">
        <v>1932</v>
      </c>
      <c r="H1448" s="697" t="s">
        <v>705</v>
      </c>
      <c r="M1448" s="776">
        <v>4</v>
      </c>
      <c r="N1448" s="708" t="s">
        <v>778</v>
      </c>
      <c r="O1448" s="697" t="s">
        <v>1886</v>
      </c>
      <c r="P1448" s="710">
        <f t="shared" si="208"/>
        <v>15</v>
      </c>
      <c r="Q1448" s="708" t="s">
        <v>778</v>
      </c>
      <c r="R1448" s="710">
        <f t="shared" si="209"/>
        <v>60</v>
      </c>
      <c r="S1448" s="740">
        <v>2.5299999999999998</v>
      </c>
      <c r="T1448" s="708" t="s">
        <v>922</v>
      </c>
      <c r="U1448" s="697" t="s">
        <v>1879</v>
      </c>
      <c r="V1448" s="710">
        <f t="shared" ref="V1448:V1458" si="212">P1487</f>
        <v>301</v>
      </c>
      <c r="W1448" s="708" t="s">
        <v>922</v>
      </c>
      <c r="X1448" s="710">
        <f t="shared" ref="X1448:X1458" si="213">V1448*S1448</f>
        <v>761.53</v>
      </c>
      <c r="Y1448" s="740">
        <v>0.64</v>
      </c>
      <c r="Z1448" s="708" t="s">
        <v>922</v>
      </c>
      <c r="AA1448" s="697" t="s">
        <v>1879</v>
      </c>
      <c r="AB1448" s="710">
        <f t="shared" si="210"/>
        <v>301</v>
      </c>
      <c r="AC1448" s="708" t="s">
        <v>922</v>
      </c>
      <c r="AD1448" s="710">
        <f t="shared" si="211"/>
        <v>192.64</v>
      </c>
      <c r="AE1448" s="724">
        <f t="shared" si="204"/>
        <v>0</v>
      </c>
    </row>
    <row r="1449" spans="6:31" ht="24" customHeight="1">
      <c r="G1449" s="708" t="s">
        <v>1609</v>
      </c>
      <c r="H1449" s="705" t="s">
        <v>1609</v>
      </c>
      <c r="M1449" s="776">
        <f>1.8*1.65</f>
        <v>2.97</v>
      </c>
      <c r="N1449" s="708" t="s">
        <v>2308</v>
      </c>
      <c r="O1449" s="697" t="s">
        <v>1887</v>
      </c>
      <c r="P1449" s="710">
        <f t="shared" si="208"/>
        <v>1724</v>
      </c>
      <c r="Q1449" s="708" t="s">
        <v>2308</v>
      </c>
      <c r="R1449" s="710">
        <f t="shared" si="209"/>
        <v>5120.28</v>
      </c>
      <c r="S1449" s="740">
        <v>5.7549999999999999</v>
      </c>
      <c r="T1449" s="708" t="s">
        <v>922</v>
      </c>
      <c r="U1449" s="697" t="s">
        <v>1879</v>
      </c>
      <c r="V1449" s="710">
        <f t="shared" si="212"/>
        <v>301</v>
      </c>
      <c r="W1449" s="708" t="s">
        <v>922</v>
      </c>
      <c r="X1449" s="710">
        <f t="shared" si="213"/>
        <v>1732.26</v>
      </c>
      <c r="Y1449" s="740">
        <v>0.84099999999999997</v>
      </c>
      <c r="Z1449" s="708" t="s">
        <v>236</v>
      </c>
      <c r="AA1449" s="697" t="s">
        <v>1880</v>
      </c>
      <c r="AB1449" s="710">
        <f t="shared" si="210"/>
        <v>303.89999999999998</v>
      </c>
      <c r="AC1449" s="708" t="s">
        <v>236</v>
      </c>
      <c r="AD1449" s="710">
        <f t="shared" si="211"/>
        <v>255.58</v>
      </c>
      <c r="AE1449" s="724">
        <f t="shared" si="204"/>
        <v>0</v>
      </c>
    </row>
    <row r="1450" spans="6:31" ht="24" customHeight="1">
      <c r="F1450" s="776">
        <v>1.4E-2</v>
      </c>
      <c r="G1450" s="708" t="s">
        <v>2176</v>
      </c>
      <c r="H1450" s="697" t="s">
        <v>706</v>
      </c>
      <c r="I1450" s="710">
        <f>K46</f>
        <v>3327.58</v>
      </c>
      <c r="J1450" s="697" t="s">
        <v>2176</v>
      </c>
      <c r="K1450" s="710">
        <f>(F1450*I1450)</f>
        <v>46.59</v>
      </c>
      <c r="N1450" s="700"/>
      <c r="O1450" s="697" t="s">
        <v>1888</v>
      </c>
      <c r="Q1450" s="704"/>
      <c r="R1450" s="710">
        <v>0.78</v>
      </c>
      <c r="S1450" s="740">
        <v>1.0009999999999999</v>
      </c>
      <c r="T1450" s="708" t="s">
        <v>922</v>
      </c>
      <c r="U1450" s="697" t="s">
        <v>1879</v>
      </c>
      <c r="V1450" s="710">
        <f t="shared" si="212"/>
        <v>301</v>
      </c>
      <c r="W1450" s="708" t="s">
        <v>922</v>
      </c>
      <c r="X1450" s="710">
        <f t="shared" si="213"/>
        <v>301.3</v>
      </c>
      <c r="Y1450" s="740">
        <v>5.1959999999999997</v>
      </c>
      <c r="Z1450" s="708" t="s">
        <v>835</v>
      </c>
      <c r="AA1450" s="697" t="s">
        <v>1881</v>
      </c>
      <c r="AB1450" s="710">
        <f t="shared" si="210"/>
        <v>28.8</v>
      </c>
      <c r="AC1450" s="708" t="s">
        <v>835</v>
      </c>
      <c r="AD1450" s="710">
        <f t="shared" si="211"/>
        <v>149.63999999999999</v>
      </c>
      <c r="AE1450" s="724">
        <f t="shared" si="204"/>
        <v>0</v>
      </c>
    </row>
    <row r="1451" spans="6:31" ht="24" customHeight="1">
      <c r="F1451" s="710">
        <v>0.3</v>
      </c>
      <c r="G1451" s="708" t="s">
        <v>564</v>
      </c>
      <c r="H1451" s="697" t="s">
        <v>707</v>
      </c>
      <c r="I1451" s="710">
        <f>C8</f>
        <v>861</v>
      </c>
      <c r="J1451" s="697" t="s">
        <v>564</v>
      </c>
      <c r="K1451" s="710">
        <f>(F1451*I1451)</f>
        <v>258.3</v>
      </c>
      <c r="R1451" s="709">
        <f>SUM(R1438:R1450)</f>
        <v>16897.03</v>
      </c>
      <c r="S1451" s="740">
        <f>1.012</f>
        <v>1.012</v>
      </c>
      <c r="T1451" s="708" t="s">
        <v>236</v>
      </c>
      <c r="U1451" s="697" t="s">
        <v>1880</v>
      </c>
      <c r="V1451" s="710">
        <f t="shared" si="212"/>
        <v>303.89999999999998</v>
      </c>
      <c r="W1451" s="708" t="s">
        <v>236</v>
      </c>
      <c r="X1451" s="710">
        <f t="shared" si="213"/>
        <v>307.55</v>
      </c>
      <c r="Y1451" s="740">
        <v>4</v>
      </c>
      <c r="Z1451" s="708" t="s">
        <v>778</v>
      </c>
      <c r="AA1451" s="697" t="s">
        <v>1882</v>
      </c>
      <c r="AB1451" s="710">
        <f t="shared" si="210"/>
        <v>66.599999999999994</v>
      </c>
      <c r="AC1451" s="708" t="s">
        <v>778</v>
      </c>
      <c r="AD1451" s="710">
        <f t="shared" si="211"/>
        <v>266.39999999999998</v>
      </c>
      <c r="AE1451" s="724">
        <f t="shared" si="204"/>
        <v>0</v>
      </c>
    </row>
    <row r="1452" spans="6:31" ht="24" customHeight="1">
      <c r="F1452" s="710">
        <v>0.3</v>
      </c>
      <c r="G1452" s="708" t="s">
        <v>564</v>
      </c>
      <c r="H1452" s="697" t="s">
        <v>832</v>
      </c>
      <c r="I1452" s="710">
        <f>C10</f>
        <v>562</v>
      </c>
      <c r="J1452" s="697" t="s">
        <v>564</v>
      </c>
      <c r="K1452" s="710">
        <f>(F1452*I1452)</f>
        <v>168.6</v>
      </c>
      <c r="R1452" s="699">
        <f>R1451/M1449</f>
        <v>5689.24</v>
      </c>
      <c r="S1452" s="740" t="s">
        <v>2308</v>
      </c>
      <c r="T1452" s="708" t="s">
        <v>835</v>
      </c>
      <c r="U1452" s="697" t="s">
        <v>1881</v>
      </c>
      <c r="V1452" s="710">
        <f t="shared" si="212"/>
        <v>28.8</v>
      </c>
      <c r="W1452" s="708" t="s">
        <v>835</v>
      </c>
      <c r="X1452" s="710">
        <f t="shared" si="213"/>
        <v>0</v>
      </c>
      <c r="Y1452" s="740">
        <v>2</v>
      </c>
      <c r="Z1452" s="708" t="s">
        <v>778</v>
      </c>
      <c r="AA1452" s="697" t="s">
        <v>1883</v>
      </c>
      <c r="AB1452" s="710">
        <f t="shared" si="210"/>
        <v>53.4</v>
      </c>
      <c r="AC1452" s="708" t="s">
        <v>778</v>
      </c>
      <c r="AD1452" s="710">
        <f t="shared" si="211"/>
        <v>106.8</v>
      </c>
      <c r="AE1452" s="724">
        <f t="shared" si="204"/>
        <v>0</v>
      </c>
    </row>
    <row r="1453" spans="6:31" ht="24" customHeight="1">
      <c r="G1453" s="708" t="s">
        <v>450</v>
      </c>
      <c r="H1453" s="697" t="s">
        <v>2296</v>
      </c>
      <c r="J1453" s="697" t="s">
        <v>450</v>
      </c>
      <c r="K1453" s="699">
        <v>0</v>
      </c>
      <c r="S1453" s="740">
        <v>8</v>
      </c>
      <c r="T1453" s="708" t="s">
        <v>778</v>
      </c>
      <c r="U1453" s="697" t="s">
        <v>1882</v>
      </c>
      <c r="V1453" s="710">
        <f t="shared" si="212"/>
        <v>66.599999999999994</v>
      </c>
      <c r="W1453" s="708" t="s">
        <v>778</v>
      </c>
      <c r="X1453" s="710">
        <f t="shared" si="213"/>
        <v>532.79999999999995</v>
      </c>
      <c r="Y1453" s="740">
        <v>2</v>
      </c>
      <c r="Z1453" s="708" t="s">
        <v>778</v>
      </c>
      <c r="AA1453" s="697" t="s">
        <v>1884</v>
      </c>
      <c r="AB1453" s="710">
        <f t="shared" si="210"/>
        <v>30</v>
      </c>
      <c r="AC1453" s="708" t="s">
        <v>778</v>
      </c>
      <c r="AD1453" s="710">
        <f t="shared" si="211"/>
        <v>60</v>
      </c>
      <c r="AE1453" s="724">
        <f t="shared" si="204"/>
        <v>0</v>
      </c>
    </row>
    <row r="1454" spans="6:31" ht="24" customHeight="1">
      <c r="K1454" s="705" t="s">
        <v>1609</v>
      </c>
      <c r="N1454" s="700"/>
      <c r="O1454" s="847" t="s">
        <v>2881</v>
      </c>
      <c r="Q1454" s="702"/>
      <c r="S1454" s="740">
        <v>4</v>
      </c>
      <c r="T1454" s="708" t="s">
        <v>778</v>
      </c>
      <c r="U1454" s="697" t="s">
        <v>1883</v>
      </c>
      <c r="V1454" s="710">
        <f t="shared" si="212"/>
        <v>53.4</v>
      </c>
      <c r="W1454" s="708" t="s">
        <v>778</v>
      </c>
      <c r="X1454" s="710">
        <f t="shared" si="213"/>
        <v>213.6</v>
      </c>
      <c r="Y1454" s="740">
        <v>2</v>
      </c>
      <c r="Z1454" s="708" t="s">
        <v>778</v>
      </c>
      <c r="AA1454" s="697" t="s">
        <v>1885</v>
      </c>
      <c r="AB1454" s="710">
        <f t="shared" si="210"/>
        <v>20</v>
      </c>
      <c r="AC1454" s="708" t="s">
        <v>778</v>
      </c>
      <c r="AD1454" s="710">
        <f t="shared" si="211"/>
        <v>40</v>
      </c>
      <c r="AE1454" s="724">
        <f t="shared" si="204"/>
        <v>0</v>
      </c>
    </row>
    <row r="1455" spans="6:31" ht="24" customHeight="1">
      <c r="H1455" s="698" t="s">
        <v>708</v>
      </c>
      <c r="K1455" s="710">
        <f>SUM(K1450:K1453)</f>
        <v>473.49</v>
      </c>
      <c r="M1455" s="776">
        <v>10.75</v>
      </c>
      <c r="N1455" s="708" t="s">
        <v>922</v>
      </c>
      <c r="O1455" s="769" t="s">
        <v>4377</v>
      </c>
      <c r="P1455" s="710">
        <f>P1438</f>
        <v>301</v>
      </c>
      <c r="Q1455" s="708" t="s">
        <v>922</v>
      </c>
      <c r="R1455" s="710">
        <f>P1455*M1455</f>
        <v>3235.75</v>
      </c>
      <c r="S1455" s="740">
        <v>4</v>
      </c>
      <c r="T1455" s="708" t="s">
        <v>778</v>
      </c>
      <c r="U1455" s="697" t="s">
        <v>1884</v>
      </c>
      <c r="V1455" s="710">
        <f t="shared" si="212"/>
        <v>30</v>
      </c>
      <c r="W1455" s="708" t="s">
        <v>778</v>
      </c>
      <c r="X1455" s="710">
        <f t="shared" si="213"/>
        <v>120</v>
      </c>
      <c r="Y1455" s="740">
        <v>4</v>
      </c>
      <c r="Z1455" s="708" t="s">
        <v>778</v>
      </c>
      <c r="AA1455" s="697" t="s">
        <v>1886</v>
      </c>
      <c r="AB1455" s="710">
        <f t="shared" si="210"/>
        <v>15</v>
      </c>
      <c r="AC1455" s="708" t="s">
        <v>778</v>
      </c>
      <c r="AD1455" s="710">
        <f t="shared" si="211"/>
        <v>60</v>
      </c>
      <c r="AE1455" s="724">
        <f t="shared" si="204"/>
        <v>0</v>
      </c>
    </row>
    <row r="1456" spans="6:31" ht="24" customHeight="1">
      <c r="K1456" s="705" t="s">
        <v>1609</v>
      </c>
      <c r="M1456" s="776">
        <v>0.99199999999999999</v>
      </c>
      <c r="N1456" s="708" t="s">
        <v>922</v>
      </c>
      <c r="O1456" s="697" t="s">
        <v>1879</v>
      </c>
      <c r="P1456" s="710">
        <f t="shared" ref="P1456:P1466" si="214">P1439</f>
        <v>301</v>
      </c>
      <c r="Q1456" s="708" t="s">
        <v>922</v>
      </c>
      <c r="R1456" s="710">
        <f t="shared" ref="R1456:R1466" si="215">P1456*M1456</f>
        <v>298.58999999999997</v>
      </c>
      <c r="S1456" s="740">
        <v>4</v>
      </c>
      <c r="T1456" s="708" t="s">
        <v>778</v>
      </c>
      <c r="U1456" s="697" t="s">
        <v>1885</v>
      </c>
      <c r="V1456" s="710">
        <f t="shared" si="212"/>
        <v>20</v>
      </c>
      <c r="W1456" s="708" t="s">
        <v>778</v>
      </c>
      <c r="X1456" s="710">
        <f t="shared" si="213"/>
        <v>80</v>
      </c>
      <c r="Y1456" s="740">
        <v>1.01</v>
      </c>
      <c r="Z1456" s="708" t="s">
        <v>2308</v>
      </c>
      <c r="AA1456" s="697" t="s">
        <v>1887</v>
      </c>
      <c r="AB1456" s="710">
        <f t="shared" si="210"/>
        <v>1724</v>
      </c>
      <c r="AC1456" s="708" t="s">
        <v>2308</v>
      </c>
      <c r="AD1456" s="710">
        <f t="shared" si="211"/>
        <v>1741.24</v>
      </c>
      <c r="AE1456" s="724">
        <f t="shared" si="204"/>
        <v>0</v>
      </c>
    </row>
    <row r="1457" spans="6:31" ht="24" customHeight="1">
      <c r="H1457" s="711" t="s">
        <v>709</v>
      </c>
      <c r="I1457" s="758"/>
      <c r="J1457" s="759"/>
      <c r="K1457" s="709">
        <f>K1455/6.77</f>
        <v>69.94</v>
      </c>
      <c r="M1457" s="776">
        <v>0</v>
      </c>
      <c r="N1457" s="708" t="s">
        <v>922</v>
      </c>
      <c r="O1457" s="697" t="s">
        <v>1879</v>
      </c>
      <c r="P1457" s="710">
        <f t="shared" si="214"/>
        <v>301</v>
      </c>
      <c r="Q1457" s="708" t="s">
        <v>922</v>
      </c>
      <c r="R1457" s="710">
        <f t="shared" si="215"/>
        <v>0</v>
      </c>
      <c r="S1457" s="740">
        <v>4</v>
      </c>
      <c r="T1457" s="708" t="s">
        <v>778</v>
      </c>
      <c r="U1457" s="697" t="s">
        <v>1886</v>
      </c>
      <c r="V1457" s="710">
        <f t="shared" si="212"/>
        <v>15</v>
      </c>
      <c r="W1457" s="708" t="s">
        <v>778</v>
      </c>
      <c r="X1457" s="710">
        <f t="shared" si="213"/>
        <v>60</v>
      </c>
      <c r="Y1457" s="703"/>
      <c r="Z1457" s="700"/>
      <c r="AA1457" s="697" t="s">
        <v>1888</v>
      </c>
      <c r="AC1457" s="704"/>
      <c r="AD1457" s="710">
        <v>0.84</v>
      </c>
      <c r="AE1457" s="724">
        <f t="shared" si="204"/>
        <v>0</v>
      </c>
    </row>
    <row r="1458" spans="6:31" ht="24" customHeight="1">
      <c r="F1458" s="697" t="s">
        <v>987</v>
      </c>
      <c r="M1458" s="776">
        <v>0</v>
      </c>
      <c r="N1458" s="708" t="s">
        <v>922</v>
      </c>
      <c r="O1458" s="697" t="s">
        <v>1879</v>
      </c>
      <c r="P1458" s="710">
        <f t="shared" si="214"/>
        <v>301</v>
      </c>
      <c r="Q1458" s="708" t="s">
        <v>922</v>
      </c>
      <c r="R1458" s="710">
        <f t="shared" si="215"/>
        <v>0</v>
      </c>
      <c r="S1458" s="740">
        <v>1.26</v>
      </c>
      <c r="T1458" s="708" t="s">
        <v>2308</v>
      </c>
      <c r="U1458" s="697" t="s">
        <v>1887</v>
      </c>
      <c r="V1458" s="710">
        <f t="shared" si="212"/>
        <v>1724</v>
      </c>
      <c r="W1458" s="708" t="s">
        <v>2308</v>
      </c>
      <c r="X1458" s="710">
        <f t="shared" si="213"/>
        <v>2172.2399999999998</v>
      </c>
      <c r="Y1458" s="703"/>
      <c r="AA1458" s="707" t="s">
        <v>3594</v>
      </c>
      <c r="AD1458" s="709">
        <f>SUM(AD1445:AD1457)</f>
        <v>5205.8900000000003</v>
      </c>
      <c r="AE1458" s="724">
        <f t="shared" si="204"/>
        <v>0</v>
      </c>
    </row>
    <row r="1459" spans="6:31" ht="24" customHeight="1">
      <c r="K1459" s="705" t="s">
        <v>2080</v>
      </c>
      <c r="M1459" s="776">
        <v>1.89</v>
      </c>
      <c r="N1459" s="708" t="s">
        <v>236</v>
      </c>
      <c r="O1459" s="697" t="s">
        <v>1880</v>
      </c>
      <c r="P1459" s="737">
        <f t="shared" si="214"/>
        <v>303.89999999999998</v>
      </c>
      <c r="Q1459" s="708" t="s">
        <v>236</v>
      </c>
      <c r="R1459" s="710">
        <f t="shared" si="215"/>
        <v>574.37</v>
      </c>
      <c r="T1459" s="700"/>
      <c r="U1459" s="697" t="s">
        <v>1888</v>
      </c>
      <c r="W1459" s="704"/>
      <c r="X1459" s="710">
        <v>0.14000000000000001</v>
      </c>
      <c r="AE1459" s="724">
        <f t="shared" si="204"/>
        <v>0</v>
      </c>
    </row>
    <row r="1460" spans="6:31" ht="24" customHeight="1">
      <c r="G1460" s="708" t="s">
        <v>522</v>
      </c>
      <c r="H1460" s="697" t="s">
        <v>710</v>
      </c>
      <c r="M1460" s="776">
        <v>8</v>
      </c>
      <c r="N1460" s="708" t="s">
        <v>835</v>
      </c>
      <c r="O1460" s="769" t="s">
        <v>4380</v>
      </c>
      <c r="P1460" s="710">
        <f t="shared" si="214"/>
        <v>28.8</v>
      </c>
      <c r="Q1460" s="708" t="s">
        <v>835</v>
      </c>
      <c r="R1460" s="710">
        <f t="shared" si="215"/>
        <v>230.4</v>
      </c>
      <c r="U1460" s="707" t="s">
        <v>3594</v>
      </c>
      <c r="X1460" s="709">
        <f>SUM(X1447:X1459)</f>
        <v>7331.91</v>
      </c>
      <c r="AE1460" s="724">
        <f t="shared" si="204"/>
        <v>0</v>
      </c>
    </row>
    <row r="1461" spans="6:31" ht="24" customHeight="1">
      <c r="G1461" s="708" t="s">
        <v>1609</v>
      </c>
      <c r="H1461" s="705" t="s">
        <v>1609</v>
      </c>
      <c r="M1461" s="776">
        <v>0</v>
      </c>
      <c r="N1461" s="708" t="s">
        <v>778</v>
      </c>
      <c r="O1461" s="769" t="s">
        <v>4378</v>
      </c>
      <c r="P1461" s="710">
        <f t="shared" si="214"/>
        <v>66.599999999999994</v>
      </c>
      <c r="Q1461" s="708" t="s">
        <v>778</v>
      </c>
      <c r="R1461" s="710">
        <f t="shared" si="215"/>
        <v>0</v>
      </c>
      <c r="AE1461" s="724">
        <f t="shared" si="204"/>
        <v>0</v>
      </c>
    </row>
    <row r="1462" spans="6:31" ht="24" customHeight="1">
      <c r="F1462" s="776">
        <v>7.0000000000000001E-3</v>
      </c>
      <c r="G1462" s="708" t="s">
        <v>2176</v>
      </c>
      <c r="H1462" s="697" t="s">
        <v>706</v>
      </c>
      <c r="I1462" s="710">
        <f>K46</f>
        <v>3327.58</v>
      </c>
      <c r="J1462" s="697" t="s">
        <v>2176</v>
      </c>
      <c r="K1462" s="710">
        <f>(F1462*I1462)</f>
        <v>23.29</v>
      </c>
      <c r="M1462" s="776">
        <v>0</v>
      </c>
      <c r="N1462" s="708" t="s">
        <v>778</v>
      </c>
      <c r="O1462" s="769" t="s">
        <v>4379</v>
      </c>
      <c r="P1462" s="710">
        <f t="shared" si="214"/>
        <v>53.4</v>
      </c>
      <c r="Q1462" s="708" t="s">
        <v>778</v>
      </c>
      <c r="R1462" s="710">
        <f t="shared" si="215"/>
        <v>0</v>
      </c>
      <c r="AE1462" s="724">
        <f t="shared" si="204"/>
        <v>0</v>
      </c>
    </row>
    <row r="1463" spans="6:31" ht="24" customHeight="1">
      <c r="F1463" s="710">
        <v>0.2</v>
      </c>
      <c r="G1463" s="708" t="s">
        <v>564</v>
      </c>
      <c r="H1463" s="697" t="s">
        <v>707</v>
      </c>
      <c r="I1463" s="710">
        <f>C8</f>
        <v>861</v>
      </c>
      <c r="J1463" s="697" t="s">
        <v>564</v>
      </c>
      <c r="K1463" s="710">
        <f>(F1463*I1463)</f>
        <v>172.2</v>
      </c>
      <c r="M1463" s="776">
        <v>0</v>
      </c>
      <c r="N1463" s="708" t="s">
        <v>778</v>
      </c>
      <c r="O1463" s="697" t="s">
        <v>1884</v>
      </c>
      <c r="P1463" s="710">
        <f t="shared" si="214"/>
        <v>30</v>
      </c>
      <c r="Q1463" s="708" t="s">
        <v>778</v>
      </c>
      <c r="R1463" s="710">
        <f t="shared" si="215"/>
        <v>0</v>
      </c>
      <c r="T1463" s="700"/>
      <c r="U1463" s="847" t="s">
        <v>2383</v>
      </c>
      <c r="V1463" s="839" t="s">
        <v>2384</v>
      </c>
      <c r="W1463" s="702"/>
      <c r="AE1463" s="724">
        <f t="shared" si="204"/>
        <v>0</v>
      </c>
    </row>
    <row r="1464" spans="6:31" ht="24" customHeight="1">
      <c r="F1464" s="710">
        <v>0.2</v>
      </c>
      <c r="G1464" s="708" t="s">
        <v>564</v>
      </c>
      <c r="H1464" s="697" t="s">
        <v>832</v>
      </c>
      <c r="I1464" s="710">
        <f>C10</f>
        <v>562</v>
      </c>
      <c r="J1464" s="697" t="s">
        <v>564</v>
      </c>
      <c r="K1464" s="710">
        <f>(F1464*I1464)</f>
        <v>112.4</v>
      </c>
      <c r="M1464" s="776">
        <v>0</v>
      </c>
      <c r="N1464" s="708" t="s">
        <v>778</v>
      </c>
      <c r="O1464" s="697" t="s">
        <v>1885</v>
      </c>
      <c r="P1464" s="710">
        <f t="shared" si="214"/>
        <v>20</v>
      </c>
      <c r="Q1464" s="708" t="s">
        <v>778</v>
      </c>
      <c r="R1464" s="710">
        <f t="shared" si="215"/>
        <v>0</v>
      </c>
      <c r="S1464" s="740">
        <v>6.81</v>
      </c>
      <c r="T1464" s="708" t="s">
        <v>922</v>
      </c>
      <c r="U1464" s="697" t="s">
        <v>1879</v>
      </c>
      <c r="V1464" s="710">
        <f>V1440</f>
        <v>301</v>
      </c>
      <c r="W1464" s="708" t="s">
        <v>922</v>
      </c>
      <c r="X1464" s="710">
        <f>V1464*S1464</f>
        <v>2049.81</v>
      </c>
      <c r="AE1464" s="724">
        <f t="shared" si="204"/>
        <v>0</v>
      </c>
    </row>
    <row r="1465" spans="6:31" ht="24" customHeight="1">
      <c r="H1465" s="697" t="s">
        <v>2296</v>
      </c>
      <c r="K1465" s="699">
        <v>0</v>
      </c>
      <c r="M1465" s="776">
        <v>0</v>
      </c>
      <c r="N1465" s="708" t="s">
        <v>778</v>
      </c>
      <c r="O1465" s="697" t="s">
        <v>1886</v>
      </c>
      <c r="P1465" s="710">
        <f t="shared" si="214"/>
        <v>15</v>
      </c>
      <c r="Q1465" s="708" t="s">
        <v>778</v>
      </c>
      <c r="R1465" s="710">
        <f t="shared" si="215"/>
        <v>0</v>
      </c>
      <c r="S1465" s="740">
        <v>0.77100000000000002</v>
      </c>
      <c r="T1465" s="708" t="s">
        <v>236</v>
      </c>
      <c r="U1465" s="697" t="s">
        <v>1880</v>
      </c>
      <c r="V1465" s="710">
        <f>V1441</f>
        <v>303.89999999999998</v>
      </c>
      <c r="W1465" s="708" t="s">
        <v>922</v>
      </c>
      <c r="X1465" s="710">
        <f>V1465*S1465</f>
        <v>234.31</v>
      </c>
      <c r="AE1465" s="724">
        <f t="shared" si="204"/>
        <v>0</v>
      </c>
    </row>
    <row r="1466" spans="6:31" ht="24" customHeight="1">
      <c r="K1466" s="705" t="s">
        <v>1609</v>
      </c>
      <c r="M1466" s="776">
        <v>1.89</v>
      </c>
      <c r="N1466" s="708" t="s">
        <v>2308</v>
      </c>
      <c r="O1466" s="697" t="s">
        <v>1887</v>
      </c>
      <c r="P1466" s="710">
        <f t="shared" si="214"/>
        <v>1724</v>
      </c>
      <c r="Q1466" s="708" t="s">
        <v>2308</v>
      </c>
      <c r="R1466" s="710">
        <f t="shared" si="215"/>
        <v>3258.36</v>
      </c>
      <c r="S1466" s="740">
        <v>0.77100000000000002</v>
      </c>
      <c r="T1466" s="708" t="s">
        <v>236</v>
      </c>
      <c r="U1466" s="697" t="s">
        <v>1887</v>
      </c>
      <c r="V1466" s="710">
        <f>V1442</f>
        <v>1724</v>
      </c>
      <c r="W1466" s="708" t="s">
        <v>922</v>
      </c>
      <c r="X1466" s="710">
        <f>V1466*S1466</f>
        <v>1329.2</v>
      </c>
      <c r="AE1466" s="724">
        <f t="shared" si="204"/>
        <v>0</v>
      </c>
    </row>
    <row r="1467" spans="6:31" ht="24" customHeight="1">
      <c r="H1467" s="698" t="s">
        <v>708</v>
      </c>
      <c r="K1467" s="710">
        <f>SUM(K1462:K1465)</f>
        <v>307.89</v>
      </c>
      <c r="N1467" s="700"/>
      <c r="O1467" s="697" t="s">
        <v>1888</v>
      </c>
      <c r="Q1467" s="704"/>
      <c r="R1467" s="710">
        <v>0.28000000000000003</v>
      </c>
      <c r="S1467" s="740"/>
      <c r="T1467" s="708"/>
      <c r="U1467" s="697"/>
      <c r="V1467" s="710"/>
      <c r="W1467" s="708"/>
      <c r="X1467" s="710">
        <f>SUM(X1464:X1466)</f>
        <v>3613.32</v>
      </c>
      <c r="AE1467" s="724">
        <f t="shared" si="204"/>
        <v>0</v>
      </c>
    </row>
    <row r="1468" spans="6:31" ht="24" customHeight="1">
      <c r="K1468" s="705" t="s">
        <v>1609</v>
      </c>
      <c r="R1468" s="709">
        <f>SUM(R1455:R1467)</f>
        <v>7597.75</v>
      </c>
      <c r="S1468" s="740"/>
      <c r="T1468" s="708"/>
      <c r="U1468" s="707" t="s">
        <v>3593</v>
      </c>
      <c r="V1468" s="710"/>
      <c r="W1468" s="708"/>
      <c r="X1468" s="709">
        <f>X1467/S1466</f>
        <v>4686.54</v>
      </c>
      <c r="AE1468" s="724">
        <f t="shared" si="204"/>
        <v>0</v>
      </c>
    </row>
    <row r="1469" spans="6:31" ht="24" customHeight="1">
      <c r="H1469" s="711" t="s">
        <v>709</v>
      </c>
      <c r="I1469" s="758"/>
      <c r="J1469" s="759"/>
      <c r="K1469" s="709">
        <f>K1467/6.77</f>
        <v>45.48</v>
      </c>
      <c r="AE1469" s="724">
        <f t="shared" si="204"/>
        <v>0</v>
      </c>
    </row>
    <row r="1470" spans="6:31" ht="24" customHeight="1">
      <c r="K1470" s="705" t="s">
        <v>2080</v>
      </c>
      <c r="AE1470" s="724">
        <f t="shared" si="204"/>
        <v>0</v>
      </c>
    </row>
    <row r="1471" spans="6:31" ht="24" customHeight="1">
      <c r="K1471" s="705"/>
      <c r="N1471" s="700"/>
      <c r="O1471" s="847" t="s">
        <v>2882</v>
      </c>
      <c r="P1471" s="1869" t="s">
        <v>2384</v>
      </c>
      <c r="Q1471" s="1869"/>
      <c r="R1471" s="1869"/>
      <c r="S1471" s="1871"/>
      <c r="T1471" s="1871"/>
      <c r="U1471" s="1871"/>
      <c r="V1471" s="878"/>
      <c r="W1471" s="878"/>
      <c r="AE1471" s="724">
        <f t="shared" si="204"/>
        <v>0</v>
      </c>
    </row>
    <row r="1472" spans="6:31" ht="24" customHeight="1">
      <c r="K1472" s="705"/>
      <c r="M1472" s="776">
        <v>4.67</v>
      </c>
      <c r="N1472" s="708" t="s">
        <v>922</v>
      </c>
      <c r="O1472" s="769" t="s">
        <v>4377</v>
      </c>
      <c r="P1472" s="710">
        <f>P1455</f>
        <v>301</v>
      </c>
      <c r="Q1472" s="708" t="s">
        <v>922</v>
      </c>
      <c r="R1472" s="710">
        <f>P1472*M1472</f>
        <v>1405.67</v>
      </c>
      <c r="S1472" s="776"/>
      <c r="T1472" s="708"/>
      <c r="U1472" s="697"/>
      <c r="V1472" s="710"/>
      <c r="W1472" s="708"/>
      <c r="X1472" s="710"/>
      <c r="AE1472" s="724">
        <f t="shared" si="204"/>
        <v>0</v>
      </c>
    </row>
    <row r="1473" spans="6:31" ht="24" customHeight="1">
      <c r="G1473" s="708" t="s">
        <v>317</v>
      </c>
      <c r="H1473" s="697" t="s">
        <v>949</v>
      </c>
      <c r="K1473" s="705"/>
      <c r="M1473" s="776">
        <v>0.54</v>
      </c>
      <c r="N1473" s="708" t="s">
        <v>236</v>
      </c>
      <c r="O1473" s="697" t="s">
        <v>1880</v>
      </c>
      <c r="P1473" s="737">
        <f>P1459</f>
        <v>303.89999999999998</v>
      </c>
      <c r="Q1473" s="708" t="s">
        <v>922</v>
      </c>
      <c r="R1473" s="710">
        <f>P1473*M1473</f>
        <v>164.11</v>
      </c>
      <c r="S1473" s="776"/>
      <c r="T1473" s="708"/>
      <c r="U1473" s="697"/>
      <c r="V1473" s="710"/>
      <c r="W1473" s="708"/>
      <c r="X1473" s="710"/>
      <c r="AE1473" s="724">
        <f t="shared" si="204"/>
        <v>0</v>
      </c>
    </row>
    <row r="1474" spans="6:31" ht="24" customHeight="1">
      <c r="G1474" s="708" t="s">
        <v>1609</v>
      </c>
      <c r="H1474" s="705" t="s">
        <v>1609</v>
      </c>
      <c r="K1474" s="705"/>
      <c r="M1474" s="776">
        <v>0.54</v>
      </c>
      <c r="N1474" s="708" t="s">
        <v>236</v>
      </c>
      <c r="O1474" s="697" t="s">
        <v>1887</v>
      </c>
      <c r="P1474" s="710">
        <f>P1466</f>
        <v>1724</v>
      </c>
      <c r="Q1474" s="708" t="s">
        <v>922</v>
      </c>
      <c r="R1474" s="710">
        <f>P1474*M1474</f>
        <v>930.96</v>
      </c>
      <c r="S1474" s="776"/>
      <c r="T1474" s="708"/>
      <c r="U1474" s="697"/>
      <c r="V1474" s="710"/>
      <c r="W1474" s="708"/>
      <c r="X1474" s="710"/>
      <c r="AE1474" s="724">
        <f t="shared" si="204"/>
        <v>0</v>
      </c>
    </row>
    <row r="1475" spans="6:31" ht="24" customHeight="1">
      <c r="F1475" s="776">
        <v>4.7000000000000002E-3</v>
      </c>
      <c r="G1475" s="708" t="s">
        <v>2176</v>
      </c>
      <c r="H1475" s="697" t="s">
        <v>706</v>
      </c>
      <c r="I1475" s="699">
        <f>K46</f>
        <v>3327.58</v>
      </c>
      <c r="J1475" s="697" t="s">
        <v>2176</v>
      </c>
      <c r="K1475" s="710">
        <f>(F1475*I1475)</f>
        <v>15.64</v>
      </c>
      <c r="M1475" s="776"/>
      <c r="N1475" s="708"/>
      <c r="O1475" s="697"/>
      <c r="P1475" s="710"/>
      <c r="Q1475" s="708"/>
      <c r="R1475" s="710">
        <f>SUM(R1472:R1474)</f>
        <v>2500.7399999999998</v>
      </c>
      <c r="S1475" s="776"/>
      <c r="T1475" s="708"/>
      <c r="U1475" s="697"/>
      <c r="V1475" s="879"/>
      <c r="W1475" s="880"/>
      <c r="X1475" s="710"/>
      <c r="AE1475" s="724">
        <f t="shared" si="204"/>
        <v>0</v>
      </c>
    </row>
    <row r="1476" spans="6:31" ht="24" customHeight="1">
      <c r="F1476" s="710">
        <v>0.15</v>
      </c>
      <c r="G1476" s="708" t="s">
        <v>564</v>
      </c>
      <c r="H1476" s="697" t="s">
        <v>707</v>
      </c>
      <c r="I1476" s="699">
        <f>C8</f>
        <v>861</v>
      </c>
      <c r="J1476" s="697" t="s">
        <v>564</v>
      </c>
      <c r="K1476" s="710">
        <f>(F1476*I1476)</f>
        <v>129.15</v>
      </c>
      <c r="M1476" s="776"/>
      <c r="N1476" s="708"/>
      <c r="O1476" s="707" t="s">
        <v>3593</v>
      </c>
      <c r="P1476" s="710"/>
      <c r="Q1476" s="708"/>
      <c r="R1476" s="709">
        <f>R1475/M1474</f>
        <v>4631</v>
      </c>
      <c r="S1476" s="776"/>
      <c r="T1476" s="708"/>
      <c r="U1476" s="697"/>
      <c r="V1476" s="710"/>
      <c r="W1476" s="708"/>
      <c r="X1476" s="709"/>
      <c r="AE1476" s="724">
        <f t="shared" si="204"/>
        <v>0</v>
      </c>
    </row>
    <row r="1477" spans="6:31" ht="24" customHeight="1">
      <c r="F1477" s="710">
        <v>0.15</v>
      </c>
      <c r="G1477" s="708" t="s">
        <v>564</v>
      </c>
      <c r="H1477" s="697" t="s">
        <v>832</v>
      </c>
      <c r="I1477" s="699">
        <f>C10</f>
        <v>562</v>
      </c>
      <c r="J1477" s="697" t="s">
        <v>564</v>
      </c>
      <c r="K1477" s="710">
        <f>(F1477*I1477)</f>
        <v>84.3</v>
      </c>
      <c r="M1477" s="776"/>
      <c r="N1477" s="708"/>
      <c r="O1477" s="697"/>
      <c r="P1477" s="710"/>
      <c r="Q1477" s="708"/>
      <c r="R1477" s="710"/>
      <c r="AE1477" s="724">
        <f t="shared" si="204"/>
        <v>0</v>
      </c>
    </row>
    <row r="1478" spans="6:31" ht="24" customHeight="1">
      <c r="H1478" s="697" t="s">
        <v>2296</v>
      </c>
      <c r="K1478" s="699">
        <v>0</v>
      </c>
      <c r="N1478" s="700"/>
      <c r="O1478" s="847" t="s">
        <v>2883</v>
      </c>
      <c r="P1478" s="839" t="s">
        <v>2384</v>
      </c>
      <c r="Q1478" s="702"/>
      <c r="AE1478" s="724">
        <f t="shared" si="204"/>
        <v>0</v>
      </c>
    </row>
    <row r="1479" spans="6:31" ht="24" customHeight="1">
      <c r="K1479" s="705" t="s">
        <v>1609</v>
      </c>
      <c r="M1479" s="776">
        <v>7.01</v>
      </c>
      <c r="N1479" s="708" t="s">
        <v>922</v>
      </c>
      <c r="O1479" s="769" t="s">
        <v>4377</v>
      </c>
      <c r="P1479" s="710">
        <f>P1472</f>
        <v>301</v>
      </c>
      <c r="Q1479" s="708" t="s">
        <v>922</v>
      </c>
      <c r="R1479" s="710">
        <f>P1479*M1479</f>
        <v>2110.0100000000002</v>
      </c>
      <c r="S1479" s="703">
        <f>0.3028*0.3028</f>
        <v>9.1999999999999998E-2</v>
      </c>
      <c r="T1479" s="699">
        <f>60*S1479</f>
        <v>5.52</v>
      </c>
      <c r="U1479" s="699">
        <f>4.58/10</f>
        <v>0.46</v>
      </c>
      <c r="AE1479" s="724">
        <f t="shared" ref="AE1479:AE1542" si="216">AG1479</f>
        <v>0</v>
      </c>
    </row>
    <row r="1480" spans="6:31" ht="24" customHeight="1">
      <c r="H1480" s="698" t="s">
        <v>708</v>
      </c>
      <c r="K1480" s="710">
        <f>SUM(K1475:K1478)</f>
        <v>229.09</v>
      </c>
      <c r="M1480" s="776">
        <v>0.81</v>
      </c>
      <c r="N1480" s="708" t="s">
        <v>236</v>
      </c>
      <c r="O1480" s="697" t="s">
        <v>1880</v>
      </c>
      <c r="P1480" s="737">
        <f>P1473</f>
        <v>303.89999999999998</v>
      </c>
      <c r="Q1480" s="708" t="s">
        <v>922</v>
      </c>
      <c r="R1480" s="710">
        <f>P1480*M1480</f>
        <v>246.16</v>
      </c>
      <c r="AE1480" s="724">
        <f t="shared" si="216"/>
        <v>0</v>
      </c>
    </row>
    <row r="1481" spans="6:31" ht="24" customHeight="1">
      <c r="K1481" s="705" t="s">
        <v>1609</v>
      </c>
      <c r="M1481" s="776">
        <v>0.81</v>
      </c>
      <c r="N1481" s="708" t="s">
        <v>236</v>
      </c>
      <c r="O1481" s="697" t="s">
        <v>1887</v>
      </c>
      <c r="P1481" s="710">
        <f>P1474</f>
        <v>1724</v>
      </c>
      <c r="Q1481" s="708" t="s">
        <v>922</v>
      </c>
      <c r="R1481" s="710">
        <f>P1481*M1481</f>
        <v>1396.44</v>
      </c>
      <c r="AE1481" s="724">
        <f t="shared" si="216"/>
        <v>0</v>
      </c>
    </row>
    <row r="1482" spans="6:31" ht="24" customHeight="1">
      <c r="H1482" s="711" t="s">
        <v>709</v>
      </c>
      <c r="I1482" s="758"/>
      <c r="J1482" s="759"/>
      <c r="K1482" s="709">
        <f>K1480/6.77</f>
        <v>33.840000000000003</v>
      </c>
      <c r="M1482" s="776"/>
      <c r="N1482" s="708"/>
      <c r="O1482" s="697"/>
      <c r="P1482" s="710"/>
      <c r="Q1482" s="708"/>
      <c r="R1482" s="710">
        <f>SUM(R1479:R1481)+0.68</f>
        <v>3753.29</v>
      </c>
      <c r="AE1482" s="724">
        <f t="shared" si="216"/>
        <v>0</v>
      </c>
    </row>
    <row r="1483" spans="6:31" ht="24" customHeight="1">
      <c r="K1483" s="705" t="s">
        <v>2080</v>
      </c>
      <c r="M1483" s="776"/>
      <c r="N1483" s="708"/>
      <c r="O1483" s="707" t="s">
        <v>3593</v>
      </c>
      <c r="P1483" s="710"/>
      <c r="Q1483" s="708"/>
      <c r="R1483" s="709">
        <f>R1482/M1481</f>
        <v>4633.6899999999996</v>
      </c>
      <c r="AE1483" s="724">
        <f t="shared" si="216"/>
        <v>0</v>
      </c>
    </row>
    <row r="1484" spans="6:31" ht="24" customHeight="1">
      <c r="K1484" s="705"/>
      <c r="N1484" s="700"/>
      <c r="O1484" s="697"/>
      <c r="Q1484" s="704"/>
      <c r="R1484" s="710"/>
      <c r="AE1484" s="724">
        <f t="shared" si="216"/>
        <v>0</v>
      </c>
    </row>
    <row r="1485" spans="6:31" ht="24" customHeight="1">
      <c r="F1485" s="753">
        <v>37.1</v>
      </c>
      <c r="G1485" s="708" t="s">
        <v>2276</v>
      </c>
      <c r="H1485" s="697" t="s">
        <v>395</v>
      </c>
      <c r="N1485" s="700"/>
      <c r="O1485" s="847" t="s">
        <v>3541</v>
      </c>
      <c r="Q1485" s="702"/>
      <c r="AE1485" s="724">
        <f t="shared" si="216"/>
        <v>0</v>
      </c>
    </row>
    <row r="1486" spans="6:31" ht="24" customHeight="1">
      <c r="H1486" s="705" t="s">
        <v>1609</v>
      </c>
      <c r="M1486" s="776">
        <v>4.42</v>
      </c>
      <c r="N1486" s="708" t="s">
        <v>922</v>
      </c>
      <c r="O1486" s="769" t="s">
        <v>4377</v>
      </c>
      <c r="P1486" s="710">
        <f>P1455</f>
        <v>301</v>
      </c>
      <c r="Q1486" s="708" t="s">
        <v>922</v>
      </c>
      <c r="R1486" s="710">
        <f>P1486*M1486</f>
        <v>1330.42</v>
      </c>
      <c r="AE1486" s="724">
        <f t="shared" si="216"/>
        <v>0</v>
      </c>
    </row>
    <row r="1487" spans="6:31" ht="24" customHeight="1">
      <c r="F1487" s="710">
        <v>0.09</v>
      </c>
      <c r="G1487" s="708" t="s">
        <v>878</v>
      </c>
      <c r="H1487" s="697" t="s">
        <v>2029</v>
      </c>
      <c r="I1487" s="710">
        <f>(C81)</f>
        <v>1322</v>
      </c>
      <c r="J1487" s="697" t="s">
        <v>878</v>
      </c>
      <c r="K1487" s="710">
        <f>(F1487*I1487)</f>
        <v>118.98</v>
      </c>
      <c r="M1487" s="776">
        <v>4.72</v>
      </c>
      <c r="N1487" s="708" t="s">
        <v>922</v>
      </c>
      <c r="O1487" s="769" t="s">
        <v>4377</v>
      </c>
      <c r="P1487" s="710">
        <f t="shared" ref="P1487:P1497" si="217">P1456</f>
        <v>301</v>
      </c>
      <c r="Q1487" s="708" t="s">
        <v>922</v>
      </c>
      <c r="R1487" s="710">
        <f t="shared" ref="R1487:R1497" si="218">P1487*M1487</f>
        <v>1420.72</v>
      </c>
      <c r="AE1487" s="724">
        <f t="shared" si="216"/>
        <v>0</v>
      </c>
    </row>
    <row r="1488" spans="6:31" ht="24" customHeight="1">
      <c r="F1488" s="710">
        <v>2.2000000000000002</v>
      </c>
      <c r="G1488" s="708" t="s">
        <v>877</v>
      </c>
      <c r="H1488" s="697" t="s">
        <v>1737</v>
      </c>
      <c r="I1488" s="710">
        <f>(C9)</f>
        <v>804</v>
      </c>
      <c r="J1488" s="697" t="s">
        <v>877</v>
      </c>
      <c r="K1488" s="710">
        <f>(F1488*I1488)</f>
        <v>1768.8</v>
      </c>
      <c r="M1488" s="776">
        <v>9.06</v>
      </c>
      <c r="N1488" s="708" t="s">
        <v>922</v>
      </c>
      <c r="O1488" s="697" t="s">
        <v>1879</v>
      </c>
      <c r="P1488" s="710">
        <f t="shared" si="217"/>
        <v>301</v>
      </c>
      <c r="Q1488" s="708" t="s">
        <v>922</v>
      </c>
      <c r="R1488" s="710">
        <f t="shared" si="218"/>
        <v>2727.06</v>
      </c>
      <c r="AE1488" s="724">
        <f t="shared" si="216"/>
        <v>0</v>
      </c>
    </row>
    <row r="1489" spans="6:31" ht="24" customHeight="1">
      <c r="F1489" s="710">
        <v>0.5</v>
      </c>
      <c r="G1489" s="708" t="s">
        <v>877</v>
      </c>
      <c r="H1489" s="697" t="s">
        <v>1927</v>
      </c>
      <c r="I1489" s="710">
        <f>(C10)</f>
        <v>562</v>
      </c>
      <c r="J1489" s="697" t="s">
        <v>877</v>
      </c>
      <c r="K1489" s="710">
        <f>(F1489*I1489)</f>
        <v>281</v>
      </c>
      <c r="M1489" s="776">
        <v>1.58</v>
      </c>
      <c r="N1489" s="708" t="s">
        <v>922</v>
      </c>
      <c r="O1489" s="697" t="s">
        <v>1879</v>
      </c>
      <c r="P1489" s="710">
        <f t="shared" si="217"/>
        <v>301</v>
      </c>
      <c r="Q1489" s="708" t="s">
        <v>922</v>
      </c>
      <c r="R1489" s="710">
        <f t="shared" si="218"/>
        <v>475.58</v>
      </c>
      <c r="AE1489" s="724">
        <f t="shared" si="216"/>
        <v>0</v>
      </c>
    </row>
    <row r="1490" spans="6:31" ht="24" customHeight="1">
      <c r="F1490" s="710">
        <v>3.8</v>
      </c>
      <c r="G1490" s="708" t="s">
        <v>877</v>
      </c>
      <c r="H1490" s="697" t="s">
        <v>321</v>
      </c>
      <c r="I1490" s="710">
        <f>(C11)</f>
        <v>461</v>
      </c>
      <c r="J1490" s="697" t="s">
        <v>877</v>
      </c>
      <c r="K1490" s="710">
        <f>(F1490*I1490)</f>
        <v>1751.8</v>
      </c>
      <c r="M1490" s="776">
        <v>1.65</v>
      </c>
      <c r="N1490" s="708" t="s">
        <v>236</v>
      </c>
      <c r="O1490" s="697" t="s">
        <v>1880</v>
      </c>
      <c r="P1490" s="710">
        <f t="shared" si="217"/>
        <v>303.89999999999998</v>
      </c>
      <c r="Q1490" s="708" t="s">
        <v>236</v>
      </c>
      <c r="R1490" s="710">
        <f t="shared" si="218"/>
        <v>501.44</v>
      </c>
      <c r="AE1490" s="724">
        <f t="shared" si="216"/>
        <v>0</v>
      </c>
    </row>
    <row r="1491" spans="6:31" ht="24" customHeight="1">
      <c r="G1491" s="708" t="s">
        <v>450</v>
      </c>
      <c r="H1491" s="697" t="s">
        <v>506</v>
      </c>
      <c r="I1491" s="697" t="s">
        <v>987</v>
      </c>
      <c r="J1491" s="697" t="s">
        <v>450</v>
      </c>
      <c r="K1491" s="710">
        <v>1.5</v>
      </c>
      <c r="M1491" s="776">
        <v>12.74</v>
      </c>
      <c r="N1491" s="708" t="s">
        <v>835</v>
      </c>
      <c r="O1491" s="697" t="str">
        <f>O1460</f>
        <v>rubber beeding P-41/64</v>
      </c>
      <c r="P1491" s="710">
        <f t="shared" si="217"/>
        <v>28.8</v>
      </c>
      <c r="Q1491" s="708" t="s">
        <v>835</v>
      </c>
      <c r="R1491" s="710">
        <f t="shared" si="218"/>
        <v>366.91</v>
      </c>
      <c r="AE1491" s="724">
        <f t="shared" si="216"/>
        <v>0</v>
      </c>
    </row>
    <row r="1492" spans="6:31" ht="24" customHeight="1">
      <c r="K1492" s="705" t="s">
        <v>1609</v>
      </c>
      <c r="M1492" s="776">
        <v>12</v>
      </c>
      <c r="N1492" s="708" t="s">
        <v>778</v>
      </c>
      <c r="O1492" s="697" t="str">
        <f>O1461</f>
        <v>hinges 75mm x 30 mm P-41/77 b</v>
      </c>
      <c r="P1492" s="710">
        <f t="shared" si="217"/>
        <v>66.599999999999994</v>
      </c>
      <c r="Q1492" s="708" t="s">
        <v>778</v>
      </c>
      <c r="R1492" s="710">
        <f t="shared" si="218"/>
        <v>799.2</v>
      </c>
      <c r="AE1492" s="724">
        <f t="shared" si="216"/>
        <v>0</v>
      </c>
    </row>
    <row r="1493" spans="6:31" ht="24" customHeight="1">
      <c r="H1493" s="697" t="s">
        <v>1863</v>
      </c>
      <c r="K1493" s="710">
        <f>SUM(K1486:K1491)</f>
        <v>3922.08</v>
      </c>
      <c r="M1493" s="776">
        <v>6</v>
      </c>
      <c r="N1493" s="708" t="s">
        <v>778</v>
      </c>
      <c r="O1493" s="697" t="str">
        <f>O1462</f>
        <v>handle 150 mm long p-42 /80b</v>
      </c>
      <c r="P1493" s="710">
        <f t="shared" si="217"/>
        <v>53.4</v>
      </c>
      <c r="Q1493" s="708" t="s">
        <v>778</v>
      </c>
      <c r="R1493" s="710">
        <f t="shared" si="218"/>
        <v>320.39999999999998</v>
      </c>
      <c r="AE1493" s="724">
        <f t="shared" si="216"/>
        <v>0</v>
      </c>
    </row>
    <row r="1494" spans="6:31" ht="24" customHeight="1">
      <c r="K1494" s="705" t="s">
        <v>1609</v>
      </c>
      <c r="M1494" s="776">
        <v>6</v>
      </c>
      <c r="N1494" s="708" t="s">
        <v>778</v>
      </c>
      <c r="O1494" s="697" t="s">
        <v>1884</v>
      </c>
      <c r="P1494" s="710">
        <f t="shared" si="217"/>
        <v>30</v>
      </c>
      <c r="Q1494" s="708" t="s">
        <v>778</v>
      </c>
      <c r="R1494" s="710">
        <f t="shared" si="218"/>
        <v>180</v>
      </c>
      <c r="AE1494" s="724">
        <f t="shared" si="216"/>
        <v>0</v>
      </c>
    </row>
    <row r="1495" spans="6:31" ht="24" customHeight="1">
      <c r="H1495" s="711" t="s">
        <v>556</v>
      </c>
      <c r="I1495" s="758"/>
      <c r="J1495" s="759"/>
      <c r="K1495" s="709">
        <f>(K1493/100)</f>
        <v>39.22</v>
      </c>
      <c r="M1495" s="776">
        <v>6</v>
      </c>
      <c r="N1495" s="708" t="s">
        <v>778</v>
      </c>
      <c r="O1495" s="697" t="s">
        <v>1885</v>
      </c>
      <c r="P1495" s="710">
        <f t="shared" si="217"/>
        <v>20</v>
      </c>
      <c r="Q1495" s="708" t="s">
        <v>778</v>
      </c>
      <c r="R1495" s="710">
        <f t="shared" si="218"/>
        <v>120</v>
      </c>
      <c r="AE1495" s="724">
        <f t="shared" si="216"/>
        <v>0</v>
      </c>
    </row>
    <row r="1496" spans="6:31" ht="24" customHeight="1">
      <c r="K1496" s="705" t="s">
        <v>2080</v>
      </c>
      <c r="M1496" s="776">
        <v>4</v>
      </c>
      <c r="N1496" s="708" t="s">
        <v>778</v>
      </c>
      <c r="O1496" s="697" t="s">
        <v>1886</v>
      </c>
      <c r="P1496" s="710">
        <f t="shared" si="217"/>
        <v>15</v>
      </c>
      <c r="Q1496" s="708" t="s">
        <v>778</v>
      </c>
      <c r="R1496" s="710">
        <f t="shared" si="218"/>
        <v>60</v>
      </c>
      <c r="AE1496" s="724">
        <f t="shared" si="216"/>
        <v>0</v>
      </c>
    </row>
    <row r="1497" spans="6:31" ht="24" customHeight="1">
      <c r="F1497" s="698" t="s">
        <v>857</v>
      </c>
      <c r="G1497" s="708" t="s">
        <v>2276</v>
      </c>
      <c r="H1497" s="697" t="s">
        <v>1012</v>
      </c>
      <c r="M1497" s="776">
        <f>1.5*1.35</f>
        <v>2.0249999999999999</v>
      </c>
      <c r="N1497" s="708" t="s">
        <v>2308</v>
      </c>
      <c r="O1497" s="697" t="s">
        <v>1887</v>
      </c>
      <c r="P1497" s="710">
        <f t="shared" si="217"/>
        <v>1724</v>
      </c>
      <c r="Q1497" s="708" t="s">
        <v>2308</v>
      </c>
      <c r="R1497" s="710">
        <f t="shared" si="218"/>
        <v>3491.1</v>
      </c>
      <c r="AE1497" s="724">
        <f t="shared" si="216"/>
        <v>0</v>
      </c>
    </row>
    <row r="1498" spans="6:31" ht="24" customHeight="1">
      <c r="H1498" s="697" t="s">
        <v>1013</v>
      </c>
      <c r="N1498" s="700"/>
      <c r="O1498" s="697" t="s">
        <v>1888</v>
      </c>
      <c r="Q1498" s="704"/>
      <c r="R1498" s="710">
        <v>0.31</v>
      </c>
      <c r="AE1498" s="724">
        <f t="shared" si="216"/>
        <v>0</v>
      </c>
    </row>
    <row r="1499" spans="6:31" ht="24" customHeight="1">
      <c r="H1499" s="697" t="s">
        <v>1014</v>
      </c>
      <c r="R1499" s="709">
        <f>SUM(R1486:R1498)</f>
        <v>11793.14</v>
      </c>
      <c r="AE1499" s="724">
        <f t="shared" si="216"/>
        <v>0</v>
      </c>
    </row>
    <row r="1500" spans="6:31" ht="24" customHeight="1">
      <c r="H1500" s="697" t="s">
        <v>30</v>
      </c>
      <c r="AE1500" s="724">
        <f t="shared" si="216"/>
        <v>0</v>
      </c>
    </row>
    <row r="1501" spans="6:31" ht="24" customHeight="1">
      <c r="H1501" s="705" t="s">
        <v>1609</v>
      </c>
      <c r="AE1501" s="724">
        <f t="shared" si="216"/>
        <v>0</v>
      </c>
    </row>
    <row r="1502" spans="6:31" ht="24" customHeight="1">
      <c r="F1502" s="710">
        <v>4.8</v>
      </c>
      <c r="G1502" s="708" t="s">
        <v>1670</v>
      </c>
      <c r="H1502" s="697" t="s">
        <v>441</v>
      </c>
      <c r="I1502" s="710">
        <f>(C268)</f>
        <v>49.4</v>
      </c>
      <c r="J1502" s="697" t="s">
        <v>1670</v>
      </c>
      <c r="K1502" s="710">
        <f>(F1502*I1502)</f>
        <v>237.12</v>
      </c>
      <c r="AE1502" s="724">
        <f t="shared" si="216"/>
        <v>0</v>
      </c>
    </row>
    <row r="1503" spans="6:31" ht="24" customHeight="1">
      <c r="F1503" s="710">
        <v>0.75</v>
      </c>
      <c r="G1503" s="708" t="s">
        <v>877</v>
      </c>
      <c r="H1503" s="697" t="s">
        <v>31</v>
      </c>
      <c r="I1503" s="710">
        <f>(C12)</f>
        <v>688</v>
      </c>
      <c r="J1503" s="697" t="s">
        <v>877</v>
      </c>
      <c r="K1503" s="710">
        <f>(F1503*I1503)</f>
        <v>516</v>
      </c>
      <c r="AE1503" s="724">
        <f t="shared" si="216"/>
        <v>0</v>
      </c>
    </row>
    <row r="1504" spans="6:31" ht="24" customHeight="1">
      <c r="F1504" s="710">
        <v>0.75</v>
      </c>
      <c r="G1504" s="708" t="s">
        <v>877</v>
      </c>
      <c r="H1504" s="697" t="s">
        <v>944</v>
      </c>
      <c r="I1504" s="710">
        <f>(C10)</f>
        <v>562</v>
      </c>
      <c r="J1504" s="697" t="s">
        <v>877</v>
      </c>
      <c r="K1504" s="710">
        <f>(F1504*I1504)</f>
        <v>421.5</v>
      </c>
      <c r="AE1504" s="724">
        <f t="shared" si="216"/>
        <v>0</v>
      </c>
    </row>
    <row r="1505" spans="6:31" ht="24" customHeight="1">
      <c r="F1505" s="710">
        <v>1.2</v>
      </c>
      <c r="G1505" s="708" t="s">
        <v>877</v>
      </c>
      <c r="H1505" s="697" t="s">
        <v>321</v>
      </c>
      <c r="I1505" s="710">
        <f>(C11)</f>
        <v>461</v>
      </c>
      <c r="J1505" s="697" t="s">
        <v>877</v>
      </c>
      <c r="K1505" s="710">
        <f>(F1505*I1505)</f>
        <v>553.20000000000005</v>
      </c>
      <c r="AE1505" s="724">
        <f t="shared" si="216"/>
        <v>0</v>
      </c>
    </row>
    <row r="1506" spans="6:31" ht="24" customHeight="1">
      <c r="G1506" s="708" t="s">
        <v>450</v>
      </c>
      <c r="H1506" s="697" t="s">
        <v>1861</v>
      </c>
      <c r="I1506" s="697" t="s">
        <v>987</v>
      </c>
      <c r="J1506" s="697" t="s">
        <v>450</v>
      </c>
      <c r="K1506" s="710">
        <v>1.5</v>
      </c>
      <c r="AE1506" s="724">
        <f t="shared" si="216"/>
        <v>0</v>
      </c>
    </row>
    <row r="1507" spans="6:31" ht="24" customHeight="1">
      <c r="K1507" s="705" t="s">
        <v>1609</v>
      </c>
      <c r="AE1507" s="724">
        <f t="shared" si="216"/>
        <v>0</v>
      </c>
    </row>
    <row r="1508" spans="6:31" ht="24" customHeight="1">
      <c r="H1508" s="697" t="s">
        <v>442</v>
      </c>
      <c r="K1508" s="710">
        <f>SUM(K1502:K1506)</f>
        <v>1729.32</v>
      </c>
      <c r="AE1508" s="724">
        <f t="shared" si="216"/>
        <v>0</v>
      </c>
    </row>
    <row r="1509" spans="6:31" ht="24" customHeight="1">
      <c r="K1509" s="705" t="s">
        <v>1609</v>
      </c>
      <c r="AE1509" s="724">
        <f t="shared" si="216"/>
        <v>0</v>
      </c>
    </row>
    <row r="1510" spans="6:31" ht="24" customHeight="1">
      <c r="H1510" s="711" t="s">
        <v>556</v>
      </c>
      <c r="I1510" s="758"/>
      <c r="J1510" s="759"/>
      <c r="K1510" s="709">
        <f>(K1508/10)</f>
        <v>172.93</v>
      </c>
      <c r="AE1510" s="724">
        <f t="shared" si="216"/>
        <v>0</v>
      </c>
    </row>
    <row r="1511" spans="6:31" ht="24" customHeight="1">
      <c r="K1511" s="705" t="s">
        <v>2080</v>
      </c>
      <c r="AE1511" s="724">
        <f t="shared" si="216"/>
        <v>0</v>
      </c>
    </row>
    <row r="1512" spans="6:31" ht="24" customHeight="1">
      <c r="F1512" s="698" t="s">
        <v>32</v>
      </c>
      <c r="G1512" s="708" t="s">
        <v>2276</v>
      </c>
      <c r="H1512" s="698" t="s">
        <v>1993</v>
      </c>
      <c r="AE1512" s="724">
        <f t="shared" si="216"/>
        <v>0</v>
      </c>
    </row>
    <row r="1513" spans="6:31" ht="24" customHeight="1">
      <c r="H1513" s="698" t="s">
        <v>34</v>
      </c>
      <c r="M1513" s="698"/>
      <c r="N1513" s="708" t="s">
        <v>2276</v>
      </c>
      <c r="O1513" s="697" t="s">
        <v>2014</v>
      </c>
      <c r="Q1513" s="702"/>
      <c r="AE1513" s="724">
        <f t="shared" si="216"/>
        <v>0</v>
      </c>
    </row>
    <row r="1514" spans="6:31" ht="24" customHeight="1">
      <c r="F1514" s="710">
        <v>3.08</v>
      </c>
      <c r="G1514" s="708" t="s">
        <v>1390</v>
      </c>
      <c r="H1514" s="697" t="s">
        <v>33</v>
      </c>
      <c r="I1514" s="710">
        <f>E268</f>
        <v>155</v>
      </c>
      <c r="J1514" s="697" t="s">
        <v>1390</v>
      </c>
      <c r="K1514" s="710">
        <f>(F1514*I1514)</f>
        <v>477.4</v>
      </c>
      <c r="N1514" s="700"/>
      <c r="O1514" s="697" t="s">
        <v>1013</v>
      </c>
      <c r="Q1514" s="702"/>
      <c r="AE1514" s="724">
        <f t="shared" si="216"/>
        <v>0</v>
      </c>
    </row>
    <row r="1515" spans="6:31" ht="24" customHeight="1">
      <c r="F1515" s="710">
        <v>0.5</v>
      </c>
      <c r="G1515" s="708" t="s">
        <v>564</v>
      </c>
      <c r="H1515" s="697" t="s">
        <v>1391</v>
      </c>
      <c r="I1515" s="710">
        <f>C12</f>
        <v>688</v>
      </c>
      <c r="J1515" s="697" t="s">
        <v>564</v>
      </c>
      <c r="K1515" s="710">
        <f>(F1515*I1515)</f>
        <v>344</v>
      </c>
      <c r="N1515" s="700"/>
      <c r="O1515" s="697" t="s">
        <v>1014</v>
      </c>
      <c r="Q1515" s="702"/>
      <c r="AE1515" s="724">
        <f t="shared" si="216"/>
        <v>0</v>
      </c>
    </row>
    <row r="1516" spans="6:31" ht="24" customHeight="1">
      <c r="F1516" s="710">
        <v>0.5</v>
      </c>
      <c r="G1516" s="708" t="s">
        <v>564</v>
      </c>
      <c r="H1516" s="697" t="s">
        <v>832</v>
      </c>
      <c r="I1516" s="710">
        <f>C10</f>
        <v>562</v>
      </c>
      <c r="J1516" s="697" t="s">
        <v>564</v>
      </c>
      <c r="K1516" s="710">
        <f>(F1516*I1516)</f>
        <v>281</v>
      </c>
      <c r="N1516" s="700"/>
      <c r="O1516" s="697" t="s">
        <v>30</v>
      </c>
      <c r="Q1516" s="702"/>
      <c r="AE1516" s="724">
        <f t="shared" si="216"/>
        <v>0</v>
      </c>
    </row>
    <row r="1517" spans="6:31" ht="24" customHeight="1">
      <c r="F1517" s="710">
        <v>0.8</v>
      </c>
      <c r="G1517" s="708" t="s">
        <v>564</v>
      </c>
      <c r="H1517" s="697" t="s">
        <v>1392</v>
      </c>
      <c r="I1517" s="710">
        <f>C11</f>
        <v>461</v>
      </c>
      <c r="J1517" s="697" t="s">
        <v>564</v>
      </c>
      <c r="K1517" s="710">
        <f>(F1517*I1517)</f>
        <v>368.8</v>
      </c>
      <c r="N1517" s="700"/>
      <c r="O1517" s="705" t="s">
        <v>1609</v>
      </c>
      <c r="Q1517" s="702"/>
      <c r="AE1517" s="724">
        <f t="shared" si="216"/>
        <v>0</v>
      </c>
    </row>
    <row r="1518" spans="6:31" ht="24" customHeight="1">
      <c r="G1518" s="708" t="s">
        <v>450</v>
      </c>
      <c r="H1518" s="697" t="s">
        <v>1861</v>
      </c>
      <c r="J1518" s="697" t="s">
        <v>450</v>
      </c>
      <c r="K1518" s="710">
        <v>1.5</v>
      </c>
      <c r="M1518" s="710">
        <v>2.1800000000000002</v>
      </c>
      <c r="N1518" s="708" t="s">
        <v>1670</v>
      </c>
      <c r="O1518" s="697" t="s">
        <v>2015</v>
      </c>
      <c r="P1518" s="710">
        <v>70</v>
      </c>
      <c r="Q1518" s="697" t="s">
        <v>1670</v>
      </c>
      <c r="R1518" s="710">
        <f>M1518*P1518</f>
        <v>152.6</v>
      </c>
      <c r="AE1518" s="724">
        <f t="shared" si="216"/>
        <v>0</v>
      </c>
    </row>
    <row r="1519" spans="6:31" ht="24" customHeight="1">
      <c r="M1519" s="710">
        <v>0.75</v>
      </c>
      <c r="N1519" s="708" t="s">
        <v>877</v>
      </c>
      <c r="O1519" s="697" t="s">
        <v>31</v>
      </c>
      <c r="P1519" s="710">
        <f>C12</f>
        <v>688</v>
      </c>
      <c r="Q1519" s="697" t="s">
        <v>877</v>
      </c>
      <c r="R1519" s="710">
        <f>M1519*P1519</f>
        <v>516</v>
      </c>
      <c r="AE1519" s="724">
        <f t="shared" si="216"/>
        <v>0</v>
      </c>
    </row>
    <row r="1520" spans="6:31" ht="24" customHeight="1">
      <c r="K1520" s="705" t="s">
        <v>1609</v>
      </c>
      <c r="M1520" s="710">
        <v>0.75</v>
      </c>
      <c r="N1520" s="708" t="s">
        <v>877</v>
      </c>
      <c r="O1520" s="697" t="s">
        <v>944</v>
      </c>
      <c r="P1520" s="710">
        <f>C10</f>
        <v>562</v>
      </c>
      <c r="Q1520" s="697" t="s">
        <v>877</v>
      </c>
      <c r="R1520" s="710">
        <f>M1520*P1520</f>
        <v>421.5</v>
      </c>
      <c r="AE1520" s="724">
        <f t="shared" si="216"/>
        <v>0</v>
      </c>
    </row>
    <row r="1521" spans="6:31" ht="24" customHeight="1">
      <c r="H1521" s="698" t="s">
        <v>1393</v>
      </c>
      <c r="K1521" s="710">
        <f>SUM(K1514:K1518)</f>
        <v>1472.7</v>
      </c>
      <c r="M1521" s="710">
        <v>1.2</v>
      </c>
      <c r="N1521" s="708" t="s">
        <v>877</v>
      </c>
      <c r="O1521" s="697" t="s">
        <v>321</v>
      </c>
      <c r="P1521" s="710">
        <f>C11</f>
        <v>461</v>
      </c>
      <c r="Q1521" s="697" t="s">
        <v>877</v>
      </c>
      <c r="R1521" s="710">
        <f>M1521*P1521</f>
        <v>553.20000000000005</v>
      </c>
      <c r="AE1521" s="724">
        <f t="shared" si="216"/>
        <v>0</v>
      </c>
    </row>
    <row r="1522" spans="6:31" ht="24" customHeight="1">
      <c r="K1522" s="705" t="s">
        <v>1609</v>
      </c>
      <c r="N1522" s="708" t="s">
        <v>450</v>
      </c>
      <c r="O1522" s="697" t="s">
        <v>1861</v>
      </c>
      <c r="P1522" s="697" t="s">
        <v>987</v>
      </c>
      <c r="Q1522" s="697" t="s">
        <v>450</v>
      </c>
      <c r="R1522" s="710">
        <v>1.5</v>
      </c>
      <c r="AE1522" s="724">
        <f t="shared" si="216"/>
        <v>0</v>
      </c>
    </row>
    <row r="1523" spans="6:31" ht="24" customHeight="1">
      <c r="F1523" s="697" t="s">
        <v>987</v>
      </c>
      <c r="G1523" s="708" t="s">
        <v>987</v>
      </c>
      <c r="H1523" s="711" t="s">
        <v>1720</v>
      </c>
      <c r="I1523" s="701" t="s">
        <v>987</v>
      </c>
      <c r="J1523" s="701" t="s">
        <v>987</v>
      </c>
      <c r="K1523" s="709">
        <f>K1521/10</f>
        <v>147.27000000000001</v>
      </c>
      <c r="N1523" s="700"/>
      <c r="Q1523" s="702"/>
      <c r="R1523" s="705" t="s">
        <v>1609</v>
      </c>
      <c r="AE1523" s="724">
        <f t="shared" si="216"/>
        <v>0</v>
      </c>
    </row>
    <row r="1524" spans="6:31" ht="24" customHeight="1">
      <c r="K1524" s="705" t="s">
        <v>2080</v>
      </c>
      <c r="N1524" s="700"/>
      <c r="O1524" s="697" t="s">
        <v>442</v>
      </c>
      <c r="Q1524" s="702"/>
      <c r="R1524" s="710">
        <f>SUM(R1518:R1522)</f>
        <v>1644.8</v>
      </c>
      <c r="AE1524" s="724">
        <f t="shared" si="216"/>
        <v>0</v>
      </c>
    </row>
    <row r="1525" spans="6:31" ht="24" customHeight="1">
      <c r="F1525" s="698" t="s">
        <v>1394</v>
      </c>
      <c r="G1525" s="708" t="s">
        <v>2276</v>
      </c>
      <c r="H1525" s="697" t="s">
        <v>494</v>
      </c>
      <c r="N1525" s="700"/>
      <c r="Q1525" s="702"/>
      <c r="R1525" s="705" t="s">
        <v>1609</v>
      </c>
      <c r="AE1525" s="724">
        <f t="shared" si="216"/>
        <v>0</v>
      </c>
    </row>
    <row r="1526" spans="6:31" ht="24" customHeight="1">
      <c r="H1526" s="697" t="s">
        <v>1396</v>
      </c>
      <c r="N1526" s="700"/>
      <c r="O1526" s="697" t="s">
        <v>556</v>
      </c>
      <c r="Q1526" s="702"/>
      <c r="R1526" s="710">
        <f>(R1524/10)</f>
        <v>164.48</v>
      </c>
      <c r="AE1526" s="724">
        <f t="shared" si="216"/>
        <v>0</v>
      </c>
    </row>
    <row r="1527" spans="6:31" ht="24" customHeight="1">
      <c r="H1527" s="697" t="s">
        <v>1994</v>
      </c>
      <c r="N1527" s="700"/>
      <c r="Q1527" s="702"/>
      <c r="R1527" s="705" t="s">
        <v>2080</v>
      </c>
      <c r="AE1527" s="724">
        <f t="shared" si="216"/>
        <v>0</v>
      </c>
    </row>
    <row r="1528" spans="6:31" ht="24" customHeight="1">
      <c r="H1528" s="705" t="s">
        <v>1609</v>
      </c>
      <c r="L1528" s="881"/>
      <c r="M1528" s="882"/>
      <c r="N1528" s="1864" t="s">
        <v>4500</v>
      </c>
      <c r="O1528" s="1864"/>
      <c r="P1528" s="1864"/>
      <c r="Q1528" s="1864"/>
      <c r="R1528" s="1864"/>
      <c r="AE1528" s="724">
        <f t="shared" si="216"/>
        <v>0</v>
      </c>
    </row>
    <row r="1529" spans="6:31" ht="24" customHeight="1">
      <c r="F1529" s="710">
        <v>1.44</v>
      </c>
      <c r="G1529" s="708" t="s">
        <v>1256</v>
      </c>
      <c r="H1529" s="697" t="s">
        <v>1196</v>
      </c>
      <c r="I1529" s="710">
        <f>(C193)</f>
        <v>146.1</v>
      </c>
      <c r="J1529" s="697" t="s">
        <v>1256</v>
      </c>
      <c r="K1529" s="710">
        <f>(F1529*I1529)</f>
        <v>210.38</v>
      </c>
      <c r="L1529" s="883"/>
      <c r="M1529" s="884"/>
      <c r="N1529" s="885"/>
      <c r="O1529" s="886" t="s">
        <v>4501</v>
      </c>
      <c r="P1529" s="887"/>
      <c r="Q1529" s="885"/>
      <c r="R1529" s="887"/>
      <c r="AE1529" s="724">
        <f t="shared" si="216"/>
        <v>0</v>
      </c>
    </row>
    <row r="1530" spans="6:31" ht="24" customHeight="1">
      <c r="F1530" s="710">
        <v>0.7</v>
      </c>
      <c r="G1530" s="708" t="s">
        <v>778</v>
      </c>
      <c r="H1530" s="697" t="s">
        <v>1197</v>
      </c>
      <c r="I1530" s="710">
        <f>(C12)</f>
        <v>688</v>
      </c>
      <c r="J1530" s="697" t="s">
        <v>778</v>
      </c>
      <c r="K1530" s="710">
        <f>(F1530*I1530)</f>
        <v>481.6</v>
      </c>
      <c r="L1530" s="883"/>
      <c r="M1530" s="884"/>
      <c r="N1530" s="885"/>
      <c r="O1530" s="888"/>
      <c r="P1530" s="887"/>
      <c r="Q1530" s="885"/>
      <c r="R1530" s="887"/>
      <c r="AE1530" s="724">
        <f t="shared" si="216"/>
        <v>0</v>
      </c>
    </row>
    <row r="1531" spans="6:31" ht="24" customHeight="1">
      <c r="F1531" s="710">
        <v>2.5499999999999998</v>
      </c>
      <c r="G1531" s="708" t="s">
        <v>1256</v>
      </c>
      <c r="H1531" s="697" t="s">
        <v>1198</v>
      </c>
      <c r="I1531" s="710">
        <f>(C192)</f>
        <v>236.6</v>
      </c>
      <c r="J1531" s="697" t="s">
        <v>1256</v>
      </c>
      <c r="K1531" s="710">
        <f>(F1531*I1531)</f>
        <v>603.33000000000004</v>
      </c>
      <c r="L1531" s="883"/>
      <c r="M1531" s="884"/>
      <c r="N1531" s="885"/>
      <c r="O1531" s="888"/>
      <c r="P1531" s="887"/>
      <c r="Q1531" s="885"/>
      <c r="R1531" s="887"/>
      <c r="AE1531" s="724">
        <f t="shared" si="216"/>
        <v>0</v>
      </c>
    </row>
    <row r="1532" spans="6:31" ht="24" customHeight="1">
      <c r="F1532" s="710">
        <v>1.2</v>
      </c>
      <c r="G1532" s="708" t="s">
        <v>778</v>
      </c>
      <c r="H1532" s="697" t="s">
        <v>1197</v>
      </c>
      <c r="I1532" s="710">
        <f>(C12)</f>
        <v>688</v>
      </c>
      <c r="J1532" s="697" t="s">
        <v>778</v>
      </c>
      <c r="K1532" s="710">
        <f>(F1532*I1532)</f>
        <v>825.6</v>
      </c>
      <c r="L1532" s="883"/>
      <c r="M1532" s="884">
        <v>19.13</v>
      </c>
      <c r="N1532" s="885" t="s">
        <v>922</v>
      </c>
      <c r="O1532" s="888" t="s">
        <v>3989</v>
      </c>
      <c r="P1532" s="887">
        <f>P1486</f>
        <v>301</v>
      </c>
      <c r="Q1532" s="885" t="s">
        <v>922</v>
      </c>
      <c r="R1532" s="887">
        <f>P1532*M1532</f>
        <v>5758.13</v>
      </c>
      <c r="AE1532" s="724">
        <f t="shared" si="216"/>
        <v>0</v>
      </c>
    </row>
    <row r="1533" spans="6:31" ht="24" customHeight="1">
      <c r="G1533" s="708" t="s">
        <v>450</v>
      </c>
      <c r="H1533" s="697" t="s">
        <v>1199</v>
      </c>
      <c r="I1533" s="697" t="s">
        <v>987</v>
      </c>
      <c r="J1533" s="697" t="s">
        <v>450</v>
      </c>
      <c r="K1533" s="710">
        <v>1.5</v>
      </c>
      <c r="L1533" s="883"/>
      <c r="M1533" s="884">
        <v>2.97</v>
      </c>
      <c r="N1533" s="885" t="s">
        <v>236</v>
      </c>
      <c r="O1533" s="888" t="s">
        <v>3973</v>
      </c>
      <c r="P1533" s="887">
        <f>P1490</f>
        <v>303.89999999999998</v>
      </c>
      <c r="Q1533" s="885" t="s">
        <v>236</v>
      </c>
      <c r="R1533" s="887">
        <f t="shared" ref="R1533:R1538" si="219">P1533*M1533</f>
        <v>902.58</v>
      </c>
      <c r="AE1533" s="724">
        <f t="shared" si="216"/>
        <v>0</v>
      </c>
    </row>
    <row r="1534" spans="6:31" ht="24" customHeight="1">
      <c r="K1534" s="705" t="s">
        <v>1609</v>
      </c>
      <c r="L1534" s="883"/>
      <c r="M1534" s="884">
        <v>15.3</v>
      </c>
      <c r="N1534" s="885" t="s">
        <v>835</v>
      </c>
      <c r="O1534" s="888" t="s">
        <v>3972</v>
      </c>
      <c r="P1534" s="887">
        <f>P1491</f>
        <v>28.8</v>
      </c>
      <c r="Q1534" s="885" t="s">
        <v>835</v>
      </c>
      <c r="R1534" s="887">
        <f t="shared" si="219"/>
        <v>440.64</v>
      </c>
      <c r="AE1534" s="724">
        <f t="shared" si="216"/>
        <v>0</v>
      </c>
    </row>
    <row r="1535" spans="6:31" ht="24" customHeight="1">
      <c r="H1535" s="697" t="s">
        <v>442</v>
      </c>
      <c r="K1535" s="710">
        <f>SUM(K1529:K1533)</f>
        <v>2122.41</v>
      </c>
      <c r="L1535" s="883"/>
      <c r="M1535" s="884">
        <v>3</v>
      </c>
      <c r="N1535" s="885" t="s">
        <v>3981</v>
      </c>
      <c r="O1535" s="888" t="s">
        <v>3995</v>
      </c>
      <c r="P1535" s="887">
        <f>I4006</f>
        <v>350</v>
      </c>
      <c r="Q1535" s="885" t="s">
        <v>778</v>
      </c>
      <c r="R1535" s="887">
        <f t="shared" si="219"/>
        <v>1050</v>
      </c>
      <c r="AE1535" s="724">
        <f t="shared" si="216"/>
        <v>0</v>
      </c>
    </row>
    <row r="1536" spans="6:31" ht="24" customHeight="1">
      <c r="K1536" s="705" t="s">
        <v>1609</v>
      </c>
      <c r="L1536" s="883"/>
      <c r="M1536" s="884">
        <v>3</v>
      </c>
      <c r="N1536" s="885" t="s">
        <v>778</v>
      </c>
      <c r="O1536" s="888" t="s">
        <v>3974</v>
      </c>
      <c r="P1536" s="887">
        <f>I4007</f>
        <v>53.4</v>
      </c>
      <c r="Q1536" s="885" t="s">
        <v>778</v>
      </c>
      <c r="R1536" s="887">
        <f t="shared" si="219"/>
        <v>160.19999999999999</v>
      </c>
      <c r="AE1536" s="724">
        <f t="shared" si="216"/>
        <v>0</v>
      </c>
    </row>
    <row r="1537" spans="6:31" ht="24" customHeight="1">
      <c r="H1537" s="711" t="s">
        <v>556</v>
      </c>
      <c r="I1537" s="758"/>
      <c r="J1537" s="759"/>
      <c r="K1537" s="709">
        <f>(K1535/10)</f>
        <v>212.24</v>
      </c>
      <c r="L1537" s="883"/>
      <c r="M1537" s="884">
        <v>6</v>
      </c>
      <c r="N1537" s="885" t="s">
        <v>778</v>
      </c>
      <c r="O1537" s="888" t="s">
        <v>3976</v>
      </c>
      <c r="P1537" s="887">
        <f>I3992</f>
        <v>15</v>
      </c>
      <c r="Q1537" s="885" t="s">
        <v>778</v>
      </c>
      <c r="R1537" s="887">
        <f t="shared" si="219"/>
        <v>90</v>
      </c>
      <c r="AE1537" s="724">
        <f t="shared" si="216"/>
        <v>0</v>
      </c>
    </row>
    <row r="1538" spans="6:31" ht="24" customHeight="1">
      <c r="F1538" s="697" t="s">
        <v>987</v>
      </c>
      <c r="L1538" s="883"/>
      <c r="M1538" s="884">
        <v>2.97</v>
      </c>
      <c r="N1538" s="885" t="s">
        <v>2308</v>
      </c>
      <c r="O1538" s="888" t="s">
        <v>3977</v>
      </c>
      <c r="P1538" s="887">
        <f>R1549</f>
        <v>1724</v>
      </c>
      <c r="Q1538" s="885" t="s">
        <v>2308</v>
      </c>
      <c r="R1538" s="887">
        <f t="shared" si="219"/>
        <v>5120.28</v>
      </c>
      <c r="AE1538" s="724">
        <f t="shared" si="216"/>
        <v>0</v>
      </c>
    </row>
    <row r="1539" spans="6:31" ht="24" customHeight="1">
      <c r="K1539" s="705" t="s">
        <v>2080</v>
      </c>
      <c r="L1539" s="883"/>
      <c r="M1539" s="884"/>
      <c r="N1539" s="885"/>
      <c r="O1539" s="888" t="s">
        <v>2296</v>
      </c>
      <c r="P1539" s="882"/>
      <c r="Q1539" s="889"/>
      <c r="R1539" s="887">
        <v>3.5</v>
      </c>
      <c r="AE1539" s="724">
        <f t="shared" si="216"/>
        <v>0</v>
      </c>
    </row>
    <row r="1540" spans="6:31" ht="24" customHeight="1">
      <c r="F1540" s="733">
        <v>41</v>
      </c>
      <c r="G1540" s="708" t="s">
        <v>2276</v>
      </c>
      <c r="H1540" s="697" t="s">
        <v>1395</v>
      </c>
      <c r="L1540" s="883"/>
      <c r="M1540" s="882"/>
      <c r="N1540" s="890"/>
      <c r="O1540" s="697" t="s">
        <v>4502</v>
      </c>
      <c r="P1540" s="882"/>
      <c r="Q1540" s="882"/>
      <c r="R1540" s="891">
        <f>SUM(R1532:R1539)</f>
        <v>13525.33</v>
      </c>
      <c r="AE1540" s="724">
        <f t="shared" si="216"/>
        <v>0</v>
      </c>
    </row>
    <row r="1541" spans="6:31" ht="24" customHeight="1">
      <c r="H1541" s="697" t="s">
        <v>1063</v>
      </c>
      <c r="L1541" s="892"/>
      <c r="M1541" s="882"/>
      <c r="N1541" s="882"/>
      <c r="AE1541" s="724">
        <f t="shared" si="216"/>
        <v>0</v>
      </c>
    </row>
    <row r="1542" spans="6:31" ht="24" customHeight="1">
      <c r="H1542" s="697" t="s">
        <v>1255</v>
      </c>
      <c r="L1542" s="881"/>
      <c r="M1542" s="882"/>
      <c r="N1542" s="882"/>
      <c r="O1542" s="697" t="s">
        <v>556</v>
      </c>
      <c r="P1542" s="882"/>
      <c r="Q1542" s="882"/>
      <c r="R1542" s="893">
        <f>R1540/2.97</f>
        <v>4553.9799999999996</v>
      </c>
      <c r="S1542" s="703">
        <f>R1542-3740</f>
        <v>813.98</v>
      </c>
      <c r="AE1542" s="724">
        <f t="shared" si="216"/>
        <v>0</v>
      </c>
    </row>
    <row r="1543" spans="6:31" ht="24" customHeight="1">
      <c r="H1543" s="705" t="s">
        <v>1609</v>
      </c>
      <c r="L1543" s="883"/>
      <c r="M1543" s="882"/>
      <c r="N1543" s="882"/>
      <c r="O1543" s="894"/>
      <c r="P1543" s="882"/>
      <c r="Q1543" s="882"/>
      <c r="R1543" s="882"/>
      <c r="AE1543" s="724">
        <f t="shared" ref="AE1543:AE1606" si="220">AG1543</f>
        <v>0</v>
      </c>
    </row>
    <row r="1544" spans="6:31" ht="24" customHeight="1">
      <c r="F1544" s="710">
        <v>2.2200000000000002</v>
      </c>
      <c r="G1544" s="708" t="s">
        <v>1256</v>
      </c>
      <c r="H1544" s="697" t="s">
        <v>1198</v>
      </c>
      <c r="I1544" s="710">
        <f>(C204)</f>
        <v>225.4</v>
      </c>
      <c r="J1544" s="697" t="s">
        <v>1256</v>
      </c>
      <c r="K1544" s="710">
        <f>(F1544*I1544)</f>
        <v>500.39</v>
      </c>
      <c r="L1544" s="883"/>
      <c r="M1544" s="887">
        <v>1</v>
      </c>
      <c r="N1544" s="885" t="s">
        <v>877</v>
      </c>
      <c r="O1544" s="888" t="s">
        <v>5253</v>
      </c>
      <c r="P1544" s="887">
        <f>AE15</f>
        <v>760</v>
      </c>
      <c r="Q1544" s="888" t="s">
        <v>877</v>
      </c>
      <c r="R1544" s="887">
        <f>P1544*M1544</f>
        <v>760</v>
      </c>
      <c r="AE1544" s="724">
        <f t="shared" si="220"/>
        <v>0</v>
      </c>
    </row>
    <row r="1545" spans="6:31" ht="24" customHeight="1">
      <c r="F1545" s="710">
        <v>1.1000000000000001</v>
      </c>
      <c r="G1545" s="708" t="s">
        <v>778</v>
      </c>
      <c r="H1545" s="697" t="s">
        <v>1197</v>
      </c>
      <c r="I1545" s="710">
        <f>(C12)</f>
        <v>688</v>
      </c>
      <c r="J1545" s="697" t="s">
        <v>778</v>
      </c>
      <c r="K1545" s="710">
        <f>(F1545*I1545)</f>
        <v>756.8</v>
      </c>
      <c r="L1545" s="883"/>
      <c r="M1545" s="887">
        <v>1</v>
      </c>
      <c r="N1545" s="885" t="s">
        <v>877</v>
      </c>
      <c r="O1545" s="888" t="s">
        <v>5254</v>
      </c>
      <c r="P1545" s="887">
        <f>AE9</f>
        <v>562</v>
      </c>
      <c r="Q1545" s="888" t="s">
        <v>877</v>
      </c>
      <c r="R1545" s="887">
        <f>P1545*M1545</f>
        <v>562</v>
      </c>
      <c r="AE1545" s="724">
        <f t="shared" si="220"/>
        <v>0</v>
      </c>
    </row>
    <row r="1546" spans="6:31" ht="24" customHeight="1">
      <c r="G1546" s="708" t="s">
        <v>450</v>
      </c>
      <c r="H1546" s="697" t="s">
        <v>1199</v>
      </c>
      <c r="I1546" s="697" t="s">
        <v>987</v>
      </c>
      <c r="J1546" s="697" t="s">
        <v>450</v>
      </c>
      <c r="K1546" s="710">
        <v>1.5</v>
      </c>
      <c r="L1546" s="883"/>
      <c r="M1546" s="887">
        <v>0.5</v>
      </c>
      <c r="N1546" s="885" t="s">
        <v>877</v>
      </c>
      <c r="O1546" s="888" t="s">
        <v>5255</v>
      </c>
      <c r="P1546" s="887">
        <f>AE18</f>
        <v>804</v>
      </c>
      <c r="Q1546" s="888" t="s">
        <v>877</v>
      </c>
      <c r="R1546" s="887">
        <f>P1546*M1546</f>
        <v>402</v>
      </c>
      <c r="AE1546" s="724">
        <f t="shared" si="220"/>
        <v>0</v>
      </c>
    </row>
    <row r="1547" spans="6:31" ht="24" customHeight="1">
      <c r="K1547" s="705" t="s">
        <v>1609</v>
      </c>
      <c r="L1547" s="883"/>
      <c r="M1547" s="882"/>
      <c r="N1547" s="890"/>
      <c r="O1547" s="882"/>
      <c r="P1547" s="882"/>
      <c r="Q1547" s="895"/>
      <c r="R1547" s="887"/>
      <c r="AE1547" s="724">
        <f t="shared" si="220"/>
        <v>0</v>
      </c>
    </row>
    <row r="1548" spans="6:31" ht="24" customHeight="1">
      <c r="H1548" s="697" t="s">
        <v>442</v>
      </c>
      <c r="K1548" s="710">
        <f>SUM(K1544:K1546)</f>
        <v>1258.69</v>
      </c>
      <c r="L1548" s="883"/>
      <c r="M1548" s="882"/>
      <c r="N1548" s="890"/>
      <c r="O1548" s="888" t="s">
        <v>3986</v>
      </c>
      <c r="P1548" s="882"/>
      <c r="Q1548" s="895"/>
      <c r="R1548" s="896" t="s">
        <v>1609</v>
      </c>
      <c r="AE1548" s="724">
        <f t="shared" si="220"/>
        <v>0</v>
      </c>
    </row>
    <row r="1549" spans="6:31" ht="24" customHeight="1">
      <c r="K1549" s="705" t="s">
        <v>1609</v>
      </c>
      <c r="L1549" s="883"/>
      <c r="M1549" s="882"/>
      <c r="N1549" s="890"/>
      <c r="O1549" s="882"/>
      <c r="P1549" s="882"/>
      <c r="Q1549" s="895"/>
      <c r="R1549" s="891">
        <f>SUM(R1544:R1548)</f>
        <v>1724</v>
      </c>
      <c r="AE1549" s="724">
        <f t="shared" si="220"/>
        <v>0</v>
      </c>
    </row>
    <row r="1550" spans="6:31" ht="24" customHeight="1">
      <c r="H1550" s="711" t="s">
        <v>556</v>
      </c>
      <c r="I1550" s="758"/>
      <c r="J1550" s="759"/>
      <c r="K1550" s="709">
        <f>(K1548/10)</f>
        <v>125.87</v>
      </c>
      <c r="L1550" s="883"/>
      <c r="AE1550" s="724">
        <f t="shared" si="220"/>
        <v>0</v>
      </c>
    </row>
    <row r="1551" spans="6:31" ht="24" customHeight="1">
      <c r="H1551" s="697"/>
      <c r="K1551" s="710"/>
      <c r="L1551" s="883"/>
      <c r="AE1551" s="724">
        <f t="shared" si="220"/>
        <v>0</v>
      </c>
    </row>
    <row r="1552" spans="6:31" ht="24" customHeight="1">
      <c r="H1552" s="697"/>
      <c r="K1552" s="710"/>
      <c r="L1552" s="883"/>
      <c r="AE1552" s="724">
        <f t="shared" si="220"/>
        <v>0</v>
      </c>
    </row>
    <row r="1553" spans="6:31" ht="24" customHeight="1">
      <c r="F1553" s="897">
        <v>238</v>
      </c>
      <c r="G1553" s="898" t="s">
        <v>2276</v>
      </c>
      <c r="H1553" s="899" t="s">
        <v>590</v>
      </c>
      <c r="I1553" s="900"/>
      <c r="J1553" s="901"/>
      <c r="K1553" s="900"/>
      <c r="L1553" s="883"/>
      <c r="AE1553" s="724">
        <f t="shared" si="220"/>
        <v>0</v>
      </c>
    </row>
    <row r="1554" spans="6:31" ht="24" customHeight="1">
      <c r="F1554" s="902"/>
      <c r="G1554" s="903"/>
      <c r="H1554" s="904" t="s">
        <v>1995</v>
      </c>
      <c r="I1554" s="905"/>
      <c r="J1554" s="906"/>
      <c r="K1554" s="905"/>
      <c r="L1554" s="892"/>
      <c r="AE1554" s="724">
        <f t="shared" si="220"/>
        <v>0</v>
      </c>
    </row>
    <row r="1555" spans="6:31" ht="24" customHeight="1">
      <c r="F1555" s="902"/>
      <c r="G1555" s="903"/>
      <c r="H1555" s="907" t="s">
        <v>1609</v>
      </c>
      <c r="I1555" s="905"/>
      <c r="J1555" s="906"/>
      <c r="K1555" s="905"/>
      <c r="AE1555" s="724">
        <f t="shared" si="220"/>
        <v>0</v>
      </c>
    </row>
    <row r="1556" spans="6:31" ht="24" customHeight="1">
      <c r="F1556" s="908">
        <v>20</v>
      </c>
      <c r="G1556" s="909" t="s">
        <v>1256</v>
      </c>
      <c r="H1556" s="904" t="s">
        <v>5256</v>
      </c>
      <c r="I1556" s="910">
        <f>D37</f>
        <v>116.2</v>
      </c>
      <c r="J1556" s="904" t="s">
        <v>1256</v>
      </c>
      <c r="K1556" s="911">
        <f>(F1556*I1556)</f>
        <v>2324</v>
      </c>
      <c r="AE1556" s="724">
        <f t="shared" si="220"/>
        <v>0</v>
      </c>
    </row>
    <row r="1557" spans="6:31" ht="24" customHeight="1">
      <c r="F1557" s="902"/>
      <c r="G1557" s="903"/>
      <c r="H1557" s="904" t="s">
        <v>592</v>
      </c>
      <c r="I1557" s="905"/>
      <c r="J1557" s="906"/>
      <c r="K1557" s="904" t="s">
        <v>987</v>
      </c>
      <c r="AE1557" s="724">
        <f t="shared" si="220"/>
        <v>0</v>
      </c>
    </row>
    <row r="1558" spans="6:31" ht="24" customHeight="1">
      <c r="F1558" s="908">
        <v>50</v>
      </c>
      <c r="G1558" s="909" t="s">
        <v>1670</v>
      </c>
      <c r="H1558" s="904" t="s">
        <v>871</v>
      </c>
      <c r="I1558" s="911">
        <f>C64/1000</f>
        <v>5.96</v>
      </c>
      <c r="J1558" s="904" t="s">
        <v>1670</v>
      </c>
      <c r="K1558" s="911">
        <f>(F1558*I1558)</f>
        <v>298</v>
      </c>
      <c r="AE1558" s="724">
        <f t="shared" si="220"/>
        <v>0</v>
      </c>
    </row>
    <row r="1559" spans="6:31" ht="24" customHeight="1">
      <c r="F1559" s="908">
        <v>1</v>
      </c>
      <c r="G1559" s="909" t="s">
        <v>450</v>
      </c>
      <c r="H1559" s="904" t="s">
        <v>593</v>
      </c>
      <c r="I1559" s="912">
        <v>75</v>
      </c>
      <c r="J1559" s="904" t="s">
        <v>450</v>
      </c>
      <c r="K1559" s="911">
        <f>(F1559*I1559)</f>
        <v>75</v>
      </c>
      <c r="AE1559" s="724">
        <f t="shared" si="220"/>
        <v>0</v>
      </c>
    </row>
    <row r="1560" spans="6:31" ht="24" customHeight="1">
      <c r="F1560" s="908">
        <v>1</v>
      </c>
      <c r="G1560" s="909" t="s">
        <v>450</v>
      </c>
      <c r="H1560" s="904" t="s">
        <v>594</v>
      </c>
      <c r="I1560" s="911">
        <f>C36</f>
        <v>40</v>
      </c>
      <c r="J1560" s="904" t="s">
        <v>450</v>
      </c>
      <c r="K1560" s="911">
        <f>(F1560*I1560)</f>
        <v>40</v>
      </c>
      <c r="AE1560" s="724">
        <f t="shared" si="220"/>
        <v>0</v>
      </c>
    </row>
    <row r="1561" spans="6:31" ht="24" customHeight="1">
      <c r="F1561" s="908">
        <v>2.5</v>
      </c>
      <c r="G1561" s="909" t="s">
        <v>450</v>
      </c>
      <c r="H1561" s="904" t="s">
        <v>595</v>
      </c>
      <c r="I1561" s="911">
        <f>D12</f>
        <v>666</v>
      </c>
      <c r="J1561" s="904" t="s">
        <v>450</v>
      </c>
      <c r="K1561" s="911">
        <f>(F1561*I1561)</f>
        <v>1665</v>
      </c>
      <c r="AE1561" s="724">
        <f t="shared" si="220"/>
        <v>0</v>
      </c>
    </row>
    <row r="1562" spans="6:31" ht="24" customHeight="1">
      <c r="F1562" s="902"/>
      <c r="G1562" s="909" t="s">
        <v>450</v>
      </c>
      <c r="H1562" s="904" t="s">
        <v>507</v>
      </c>
      <c r="I1562" s="905"/>
      <c r="J1562" s="904" t="s">
        <v>450</v>
      </c>
      <c r="K1562" s="913">
        <v>1.5</v>
      </c>
      <c r="AE1562" s="724">
        <f t="shared" si="220"/>
        <v>0</v>
      </c>
    </row>
    <row r="1563" spans="6:31" ht="24" customHeight="1">
      <c r="F1563" s="902"/>
      <c r="G1563" s="903"/>
      <c r="H1563" s="905"/>
      <c r="I1563" s="905"/>
      <c r="J1563" s="906"/>
      <c r="K1563" s="907" t="s">
        <v>1609</v>
      </c>
      <c r="AE1563" s="724">
        <f t="shared" si="220"/>
        <v>0</v>
      </c>
    </row>
    <row r="1564" spans="6:31" ht="24" customHeight="1">
      <c r="F1564" s="902"/>
      <c r="G1564" s="903"/>
      <c r="H1564" s="914" t="s">
        <v>596</v>
      </c>
      <c r="I1564" s="915"/>
      <c r="J1564" s="916"/>
      <c r="K1564" s="917">
        <f>SUM(K1556:K1562)</f>
        <v>4403.5</v>
      </c>
      <c r="AE1564" s="724">
        <f t="shared" si="220"/>
        <v>0</v>
      </c>
    </row>
    <row r="1565" spans="6:31" ht="24" customHeight="1">
      <c r="F1565" s="902"/>
      <c r="G1565" s="903"/>
      <c r="H1565" s="904"/>
      <c r="I1565" s="905"/>
      <c r="J1565" s="906"/>
      <c r="K1565" s="907" t="s">
        <v>1609</v>
      </c>
      <c r="AE1565" s="724">
        <f t="shared" si="220"/>
        <v>0</v>
      </c>
    </row>
    <row r="1566" spans="6:31" ht="24" customHeight="1">
      <c r="F1566" s="918"/>
      <c r="G1566" s="919"/>
      <c r="H1566" s="920"/>
      <c r="I1566" s="920"/>
      <c r="J1566" s="921"/>
      <c r="K1566" s="922"/>
      <c r="AE1566" s="724">
        <f t="shared" si="220"/>
        <v>0</v>
      </c>
    </row>
    <row r="1567" spans="6:31" ht="24" customHeight="1">
      <c r="F1567" s="923" t="s">
        <v>1064</v>
      </c>
      <c r="G1567" s="898" t="s">
        <v>2276</v>
      </c>
      <c r="H1567" s="899" t="s">
        <v>555</v>
      </c>
      <c r="I1567" s="900"/>
      <c r="J1567" s="901"/>
      <c r="K1567" s="900"/>
      <c r="AE1567" s="724">
        <f t="shared" si="220"/>
        <v>0</v>
      </c>
    </row>
    <row r="1568" spans="6:31" ht="24" customHeight="1">
      <c r="F1568" s="902"/>
      <c r="G1568" s="903"/>
      <c r="H1568" s="904" t="s">
        <v>2158</v>
      </c>
      <c r="I1568" s="905"/>
      <c r="J1568" s="906"/>
      <c r="K1568" s="905"/>
      <c r="AE1568" s="724">
        <f t="shared" si="220"/>
        <v>0</v>
      </c>
    </row>
    <row r="1569" spans="6:31" ht="24" customHeight="1">
      <c r="F1569" s="902"/>
      <c r="G1569" s="903"/>
      <c r="H1569" s="907" t="s">
        <v>1609</v>
      </c>
      <c r="I1569" s="905"/>
      <c r="J1569" s="906"/>
      <c r="K1569" s="905"/>
      <c r="AE1569" s="724">
        <f t="shared" si="220"/>
        <v>0</v>
      </c>
    </row>
    <row r="1570" spans="6:31" ht="24" customHeight="1">
      <c r="F1570" s="908">
        <v>1</v>
      </c>
      <c r="G1570" s="909" t="s">
        <v>528</v>
      </c>
      <c r="H1570" s="904" t="s">
        <v>529</v>
      </c>
      <c r="I1570" s="911">
        <f>(C136)</f>
        <v>51750</v>
      </c>
      <c r="J1570" s="904" t="s">
        <v>530</v>
      </c>
      <c r="K1570" s="911">
        <f>(F1570*I1570)/10</f>
        <v>5175</v>
      </c>
      <c r="AE1570" s="724">
        <f t="shared" si="220"/>
        <v>0</v>
      </c>
    </row>
    <row r="1571" spans="6:31" ht="24" customHeight="1">
      <c r="F1571" s="924">
        <v>0.01</v>
      </c>
      <c r="G1571" s="909" t="s">
        <v>528</v>
      </c>
      <c r="H1571" s="904" t="s">
        <v>194</v>
      </c>
      <c r="I1571" s="911">
        <f>(C140)</f>
        <v>50300</v>
      </c>
      <c r="J1571" s="904" t="s">
        <v>530</v>
      </c>
      <c r="K1571" s="911">
        <f>(F1571*I1571)/10</f>
        <v>50.3</v>
      </c>
      <c r="AE1571" s="724">
        <f t="shared" si="220"/>
        <v>0</v>
      </c>
    </row>
    <row r="1572" spans="6:31" ht="24" customHeight="1">
      <c r="F1572" s="924">
        <v>3.5</v>
      </c>
      <c r="G1572" s="909" t="s">
        <v>778</v>
      </c>
      <c r="H1572" s="904" t="s">
        <v>531</v>
      </c>
      <c r="I1572" s="911">
        <f>AE36</f>
        <v>724</v>
      </c>
      <c r="J1572" s="904" t="s">
        <v>1418</v>
      </c>
      <c r="K1572" s="911">
        <f>(F1572*I1572)</f>
        <v>2534</v>
      </c>
      <c r="AE1572" s="724">
        <f t="shared" si="220"/>
        <v>0</v>
      </c>
    </row>
    <row r="1573" spans="6:31" ht="24" customHeight="1">
      <c r="F1573" s="908">
        <v>1.3</v>
      </c>
      <c r="G1573" s="909" t="s">
        <v>1670</v>
      </c>
      <c r="H1573" s="904" t="s">
        <v>532</v>
      </c>
      <c r="I1573" s="911">
        <f>C64/1000</f>
        <v>5.96</v>
      </c>
      <c r="J1573" s="904" t="s">
        <v>1670</v>
      </c>
      <c r="K1573" s="911">
        <f>(F1573*I1573)</f>
        <v>7.75</v>
      </c>
      <c r="AE1573" s="724">
        <f t="shared" si="220"/>
        <v>0</v>
      </c>
    </row>
    <row r="1574" spans="6:31" ht="24" customHeight="1">
      <c r="F1574" s="908">
        <v>0.25</v>
      </c>
      <c r="G1574" s="909" t="s">
        <v>778</v>
      </c>
      <c r="H1574" s="904" t="s">
        <v>533</v>
      </c>
      <c r="I1574" s="911">
        <f>D12</f>
        <v>666</v>
      </c>
      <c r="J1574" s="904" t="s">
        <v>1418</v>
      </c>
      <c r="K1574" s="911">
        <f>(F1574*I1574)</f>
        <v>166.5</v>
      </c>
      <c r="AE1574" s="724">
        <f t="shared" si="220"/>
        <v>0</v>
      </c>
    </row>
    <row r="1575" spans="6:31" ht="24" customHeight="1">
      <c r="F1575" s="924"/>
      <c r="G1575" s="909" t="s">
        <v>450</v>
      </c>
      <c r="H1575" s="904" t="s">
        <v>451</v>
      </c>
      <c r="I1575" s="905"/>
      <c r="J1575" s="904" t="s">
        <v>450</v>
      </c>
      <c r="K1575" s="911">
        <f>(F1575*I1575)</f>
        <v>0</v>
      </c>
      <c r="AE1575" s="724">
        <f t="shared" si="220"/>
        <v>0</v>
      </c>
    </row>
    <row r="1576" spans="6:31" ht="24" customHeight="1">
      <c r="F1576" s="924"/>
      <c r="G1576" s="903"/>
      <c r="H1576" s="905"/>
      <c r="I1576" s="905"/>
      <c r="J1576" s="906"/>
      <c r="K1576" s="907" t="s">
        <v>1609</v>
      </c>
      <c r="AE1576" s="724">
        <f t="shared" si="220"/>
        <v>0</v>
      </c>
    </row>
    <row r="1577" spans="6:31" ht="24" customHeight="1">
      <c r="F1577" s="924"/>
      <c r="G1577" s="903"/>
      <c r="H1577" s="904" t="s">
        <v>534</v>
      </c>
      <c r="I1577" s="905"/>
      <c r="J1577" s="906"/>
      <c r="K1577" s="911">
        <f>SUM(K1570:K1575)</f>
        <v>7933.55</v>
      </c>
      <c r="AE1577" s="724">
        <f t="shared" si="220"/>
        <v>0</v>
      </c>
    </row>
    <row r="1578" spans="6:31" ht="24" customHeight="1">
      <c r="F1578" s="924"/>
      <c r="G1578" s="903"/>
      <c r="H1578" s="905"/>
      <c r="I1578" s="905"/>
      <c r="J1578" s="906"/>
      <c r="K1578" s="907" t="s">
        <v>1609</v>
      </c>
      <c r="AE1578" s="724">
        <f t="shared" si="220"/>
        <v>0</v>
      </c>
    </row>
    <row r="1579" spans="6:31" ht="24" customHeight="1">
      <c r="F1579" s="925"/>
      <c r="G1579" s="919"/>
      <c r="H1579" s="926" t="s">
        <v>535</v>
      </c>
      <c r="I1579" s="927"/>
      <c r="J1579" s="928"/>
      <c r="K1579" s="929">
        <f>(K1577*10)</f>
        <v>79335.5</v>
      </c>
      <c r="AE1579" s="724">
        <f t="shared" si="220"/>
        <v>0</v>
      </c>
    </row>
    <row r="1580" spans="6:31" ht="24" customHeight="1">
      <c r="F1580" s="740"/>
      <c r="K1580" s="705"/>
      <c r="AE1580" s="724">
        <f t="shared" si="220"/>
        <v>0</v>
      </c>
    </row>
    <row r="1581" spans="6:31" ht="24" customHeight="1">
      <c r="F1581" s="740"/>
      <c r="K1581" s="705"/>
      <c r="AE1581" s="724">
        <f t="shared" si="220"/>
        <v>0</v>
      </c>
    </row>
    <row r="1582" spans="6:31" ht="24" customHeight="1">
      <c r="F1582" s="740"/>
      <c r="H1582" s="758" t="s">
        <v>536</v>
      </c>
      <c r="K1582" s="705"/>
      <c r="AE1582" s="724">
        <f t="shared" si="220"/>
        <v>0</v>
      </c>
    </row>
    <row r="1583" spans="6:31" ht="24" customHeight="1">
      <c r="F1583" s="710">
        <v>1</v>
      </c>
      <c r="G1583" s="708" t="s">
        <v>528</v>
      </c>
      <c r="H1583" s="697" t="s">
        <v>537</v>
      </c>
      <c r="I1583" s="699">
        <f>C135</f>
        <v>51750</v>
      </c>
      <c r="J1583" s="697" t="s">
        <v>530</v>
      </c>
      <c r="K1583" s="710">
        <f>(F1583*I1583)/10</f>
        <v>5175</v>
      </c>
      <c r="AE1583" s="724">
        <f t="shared" si="220"/>
        <v>0</v>
      </c>
    </row>
    <row r="1584" spans="6:31" ht="24" customHeight="1">
      <c r="F1584" s="740">
        <v>0.01</v>
      </c>
      <c r="G1584" s="708" t="s">
        <v>528</v>
      </c>
      <c r="H1584" s="697" t="s">
        <v>194</v>
      </c>
      <c r="I1584" s="699">
        <f>C140</f>
        <v>50300</v>
      </c>
      <c r="J1584" s="697" t="s">
        <v>530</v>
      </c>
      <c r="K1584" s="710">
        <f>(F1584*I1584)/10</f>
        <v>50.3</v>
      </c>
      <c r="AE1584" s="724">
        <f t="shared" si="220"/>
        <v>0</v>
      </c>
    </row>
    <row r="1585" spans="6:31" ht="24" customHeight="1">
      <c r="F1585" s="740">
        <v>3.5</v>
      </c>
      <c r="G1585" s="708" t="s">
        <v>778</v>
      </c>
      <c r="H1585" s="697" t="s">
        <v>531</v>
      </c>
      <c r="I1585" s="699">
        <f>I1572</f>
        <v>724</v>
      </c>
      <c r="J1585" s="697" t="s">
        <v>1418</v>
      </c>
      <c r="K1585" s="710">
        <f>(F1585*I1585)</f>
        <v>2534</v>
      </c>
      <c r="AE1585" s="724">
        <f t="shared" si="220"/>
        <v>0</v>
      </c>
    </row>
    <row r="1586" spans="6:31" ht="24" customHeight="1">
      <c r="F1586" s="710">
        <v>1.3</v>
      </c>
      <c r="G1586" s="708" t="s">
        <v>1670</v>
      </c>
      <c r="H1586" s="697" t="s">
        <v>532</v>
      </c>
      <c r="I1586" s="699">
        <f>C64/1000</f>
        <v>5.96</v>
      </c>
      <c r="J1586" s="697" t="s">
        <v>1670</v>
      </c>
      <c r="K1586" s="710">
        <f>(F1586*I1586)</f>
        <v>7.75</v>
      </c>
      <c r="AE1586" s="724">
        <f t="shared" si="220"/>
        <v>0</v>
      </c>
    </row>
    <row r="1587" spans="6:31" ht="24" customHeight="1">
      <c r="F1587" s="710">
        <v>0.25</v>
      </c>
      <c r="G1587" s="708" t="s">
        <v>778</v>
      </c>
      <c r="H1587" s="697" t="s">
        <v>533</v>
      </c>
      <c r="I1587" s="699">
        <f>D12</f>
        <v>666</v>
      </c>
      <c r="J1587" s="697" t="s">
        <v>1418</v>
      </c>
      <c r="K1587" s="710">
        <f>(F1587*I1587)</f>
        <v>166.5</v>
      </c>
      <c r="AE1587" s="724">
        <f t="shared" si="220"/>
        <v>0</v>
      </c>
    </row>
    <row r="1588" spans="6:31" ht="24" customHeight="1">
      <c r="F1588" s="740"/>
      <c r="G1588" s="708" t="s">
        <v>450</v>
      </c>
      <c r="H1588" s="697" t="s">
        <v>451</v>
      </c>
      <c r="J1588" s="697" t="s">
        <v>450</v>
      </c>
      <c r="K1588" s="710">
        <f>(F1588*I1588)</f>
        <v>0</v>
      </c>
      <c r="AE1588" s="724">
        <f t="shared" si="220"/>
        <v>0</v>
      </c>
    </row>
    <row r="1589" spans="6:31" ht="24" customHeight="1">
      <c r="F1589" s="740"/>
      <c r="K1589" s="705" t="s">
        <v>1609</v>
      </c>
      <c r="AE1589" s="724">
        <f t="shared" si="220"/>
        <v>0</v>
      </c>
    </row>
    <row r="1590" spans="6:31" ht="24" customHeight="1">
      <c r="F1590" s="740"/>
      <c r="H1590" s="697" t="s">
        <v>534</v>
      </c>
      <c r="K1590" s="710">
        <f>SUM(K1583:K1588)</f>
        <v>7933.55</v>
      </c>
      <c r="AE1590" s="724">
        <f t="shared" si="220"/>
        <v>0</v>
      </c>
    </row>
    <row r="1591" spans="6:31" ht="24" customHeight="1">
      <c r="F1591" s="740"/>
      <c r="K1591" s="705" t="s">
        <v>1609</v>
      </c>
      <c r="AE1591" s="724">
        <f t="shared" si="220"/>
        <v>0</v>
      </c>
    </row>
    <row r="1592" spans="6:31" ht="24" customHeight="1">
      <c r="F1592" s="740" t="s">
        <v>987</v>
      </c>
      <c r="H1592" s="711" t="s">
        <v>535</v>
      </c>
      <c r="I1592" s="758"/>
      <c r="J1592" s="759"/>
      <c r="K1592" s="709">
        <f>(K1590*10)</f>
        <v>79335.5</v>
      </c>
      <c r="AE1592" s="724">
        <f t="shared" si="220"/>
        <v>0</v>
      </c>
    </row>
    <row r="1593" spans="6:31" ht="24" customHeight="1">
      <c r="F1593" s="740"/>
      <c r="K1593" s="705" t="s">
        <v>2080</v>
      </c>
      <c r="AE1593" s="724">
        <f t="shared" si="220"/>
        <v>0</v>
      </c>
    </row>
    <row r="1594" spans="6:31" ht="24" customHeight="1">
      <c r="F1594" s="740"/>
      <c r="H1594" s="697" t="s">
        <v>987</v>
      </c>
      <c r="K1594" s="697" t="s">
        <v>987</v>
      </c>
      <c r="AE1594" s="724">
        <f t="shared" si="220"/>
        <v>0</v>
      </c>
    </row>
    <row r="1595" spans="6:31" ht="24" customHeight="1">
      <c r="F1595" s="754" t="s">
        <v>538</v>
      </c>
      <c r="G1595" s="708" t="s">
        <v>1932</v>
      </c>
      <c r="H1595" s="697" t="s">
        <v>555</v>
      </c>
      <c r="O1595" s="758" t="s">
        <v>3929</v>
      </c>
      <c r="AE1595" s="724">
        <f t="shared" si="220"/>
        <v>0</v>
      </c>
    </row>
    <row r="1596" spans="6:31" ht="24" customHeight="1">
      <c r="F1596" s="740"/>
      <c r="H1596" s="697" t="s">
        <v>539</v>
      </c>
      <c r="M1596" s="754" t="s">
        <v>538</v>
      </c>
      <c r="N1596" s="708" t="s">
        <v>1932</v>
      </c>
      <c r="O1596" s="697" t="s">
        <v>555</v>
      </c>
      <c r="Q1596" s="702"/>
      <c r="AE1596" s="724">
        <f t="shared" si="220"/>
        <v>0</v>
      </c>
    </row>
    <row r="1597" spans="6:31" ht="24" customHeight="1">
      <c r="F1597" s="740"/>
      <c r="H1597" s="705" t="s">
        <v>1609</v>
      </c>
      <c r="M1597" s="740"/>
      <c r="N1597" s="700"/>
      <c r="O1597" s="697" t="s">
        <v>539</v>
      </c>
      <c r="Q1597" s="702"/>
      <c r="AE1597" s="724">
        <f t="shared" si="220"/>
        <v>0</v>
      </c>
    </row>
    <row r="1598" spans="6:31" ht="24" customHeight="1">
      <c r="F1598" s="710">
        <v>1</v>
      </c>
      <c r="G1598" s="708" t="s">
        <v>528</v>
      </c>
      <c r="H1598" s="697" t="s">
        <v>529</v>
      </c>
      <c r="I1598" s="710">
        <f>(C136)</f>
        <v>51750</v>
      </c>
      <c r="J1598" s="697" t="s">
        <v>530</v>
      </c>
      <c r="K1598" s="710">
        <f>(F1598*I1598)/10</f>
        <v>5175</v>
      </c>
      <c r="L1598" s="699">
        <f>K1623+K1627</f>
        <v>393.42</v>
      </c>
      <c r="M1598" s="740"/>
      <c r="N1598" s="700"/>
      <c r="O1598" s="705" t="s">
        <v>1609</v>
      </c>
      <c r="Q1598" s="702"/>
      <c r="AE1598" s="724">
        <f t="shared" si="220"/>
        <v>0</v>
      </c>
    </row>
    <row r="1599" spans="6:31" ht="24" customHeight="1">
      <c r="F1599" s="740">
        <v>0.01</v>
      </c>
      <c r="G1599" s="708" t="s">
        <v>528</v>
      </c>
      <c r="H1599" s="697" t="s">
        <v>194</v>
      </c>
      <c r="I1599" s="710">
        <f>I1584</f>
        <v>50300</v>
      </c>
      <c r="J1599" s="697" t="s">
        <v>530</v>
      </c>
      <c r="K1599" s="710">
        <f>(F1599*I1599)/10</f>
        <v>50.3</v>
      </c>
      <c r="L1599" s="699">
        <f>L1598/3</f>
        <v>131.13999999999999</v>
      </c>
      <c r="M1599" s="710">
        <v>1</v>
      </c>
      <c r="N1599" s="708" t="s">
        <v>528</v>
      </c>
      <c r="O1599" s="697" t="s">
        <v>529</v>
      </c>
      <c r="P1599" s="710">
        <f>I1598</f>
        <v>51750</v>
      </c>
      <c r="Q1599" s="697" t="s">
        <v>530</v>
      </c>
      <c r="R1599" s="710">
        <f>(M1599*P1599)/10</f>
        <v>5175</v>
      </c>
      <c r="AE1599" s="724">
        <f t="shared" si="220"/>
        <v>0</v>
      </c>
    </row>
    <row r="1600" spans="6:31" ht="24" customHeight="1">
      <c r="F1600" s="740">
        <v>3.5</v>
      </c>
      <c r="G1600" s="708" t="s">
        <v>778</v>
      </c>
      <c r="H1600" s="697" t="s">
        <v>531</v>
      </c>
      <c r="I1600" s="710">
        <f>AE36</f>
        <v>724</v>
      </c>
      <c r="J1600" s="697" t="s">
        <v>778</v>
      </c>
      <c r="K1600" s="710">
        <f>(F1600*I1600)</f>
        <v>2534</v>
      </c>
      <c r="M1600" s="740">
        <v>0.01</v>
      </c>
      <c r="N1600" s="708" t="s">
        <v>528</v>
      </c>
      <c r="O1600" s="701" t="s">
        <v>4115</v>
      </c>
      <c r="P1600" s="846">
        <f>80000/112*100</f>
        <v>71428.570000000007</v>
      </c>
      <c r="Q1600" s="697" t="s">
        <v>530</v>
      </c>
      <c r="R1600" s="710">
        <f>(M1600*P1600)/10</f>
        <v>71.430000000000007</v>
      </c>
      <c r="AE1600" s="724">
        <f t="shared" si="220"/>
        <v>0</v>
      </c>
    </row>
    <row r="1601" spans="6:31" ht="24" customHeight="1">
      <c r="F1601" s="740"/>
      <c r="G1601" s="708" t="s">
        <v>450</v>
      </c>
      <c r="H1601" s="697" t="s">
        <v>451</v>
      </c>
      <c r="J1601" s="697" t="s">
        <v>450</v>
      </c>
      <c r="K1601" s="710">
        <v>0</v>
      </c>
      <c r="M1601" s="740">
        <v>3.5</v>
      </c>
      <c r="N1601" s="708" t="s">
        <v>778</v>
      </c>
      <c r="O1601" s="697" t="s">
        <v>531</v>
      </c>
      <c r="P1601" s="710">
        <f>I1600</f>
        <v>724</v>
      </c>
      <c r="Q1601" s="697" t="s">
        <v>778</v>
      </c>
      <c r="R1601" s="710">
        <f>(M1601*P1601)</f>
        <v>2534</v>
      </c>
      <c r="AE1601" s="724">
        <f t="shared" si="220"/>
        <v>0</v>
      </c>
    </row>
    <row r="1602" spans="6:31" ht="24" customHeight="1">
      <c r="K1602" s="705" t="s">
        <v>1609</v>
      </c>
      <c r="M1602" s="740"/>
      <c r="N1602" s="708" t="s">
        <v>450</v>
      </c>
      <c r="O1602" s="697" t="s">
        <v>451</v>
      </c>
      <c r="Q1602" s="697" t="s">
        <v>450</v>
      </c>
      <c r="R1602" s="710">
        <v>0</v>
      </c>
      <c r="AE1602" s="724">
        <f t="shared" si="220"/>
        <v>0</v>
      </c>
    </row>
    <row r="1603" spans="6:31" ht="24" customHeight="1">
      <c r="H1603" s="697" t="s">
        <v>534</v>
      </c>
      <c r="K1603" s="710">
        <f>SUM(K1598:K1601)</f>
        <v>7759.3</v>
      </c>
      <c r="N1603" s="700"/>
      <c r="Q1603" s="702"/>
      <c r="R1603" s="705" t="s">
        <v>1609</v>
      </c>
      <c r="AE1603" s="724">
        <f t="shared" si="220"/>
        <v>0</v>
      </c>
    </row>
    <row r="1604" spans="6:31" ht="24" customHeight="1">
      <c r="K1604" s="705" t="s">
        <v>1609</v>
      </c>
      <c r="N1604" s="700"/>
      <c r="O1604" s="697" t="s">
        <v>534</v>
      </c>
      <c r="Q1604" s="702"/>
      <c r="R1604" s="710">
        <f>SUM(R1599:R1602)</f>
        <v>7780.43</v>
      </c>
      <c r="AE1604" s="724">
        <f t="shared" si="220"/>
        <v>0</v>
      </c>
    </row>
    <row r="1605" spans="6:31" ht="24" customHeight="1">
      <c r="H1605" s="711" t="s">
        <v>535</v>
      </c>
      <c r="I1605" s="758"/>
      <c r="J1605" s="759"/>
      <c r="K1605" s="709">
        <f>(K1603*10)</f>
        <v>77593</v>
      </c>
      <c r="N1605" s="700"/>
      <c r="Q1605" s="702"/>
      <c r="R1605" s="705" t="s">
        <v>1609</v>
      </c>
      <c r="AE1605" s="724">
        <f t="shared" si="220"/>
        <v>0</v>
      </c>
    </row>
    <row r="1606" spans="6:31" ht="24" customHeight="1">
      <c r="H1606" s="697" t="s">
        <v>987</v>
      </c>
      <c r="K1606" s="697" t="s">
        <v>987</v>
      </c>
      <c r="N1606" s="700"/>
      <c r="O1606" s="711" t="s">
        <v>535</v>
      </c>
      <c r="P1606" s="758"/>
      <c r="Q1606" s="759"/>
      <c r="R1606" s="709">
        <f>(R1604*10)</f>
        <v>77804.3</v>
      </c>
      <c r="AE1606" s="724">
        <f t="shared" si="220"/>
        <v>0</v>
      </c>
    </row>
    <row r="1607" spans="6:31" ht="24" customHeight="1">
      <c r="G1607" s="700" t="s">
        <v>522</v>
      </c>
      <c r="H1607" s="697" t="s">
        <v>555</v>
      </c>
      <c r="K1607" s="697"/>
      <c r="AE1607" s="724">
        <f t="shared" ref="AE1607:AE1670" si="221">AG1607</f>
        <v>0</v>
      </c>
    </row>
    <row r="1608" spans="6:31" ht="24" customHeight="1">
      <c r="H1608" s="697" t="s">
        <v>1618</v>
      </c>
      <c r="K1608" s="697"/>
      <c r="N1608" s="700" t="s">
        <v>522</v>
      </c>
      <c r="O1608" s="697" t="s">
        <v>555</v>
      </c>
      <c r="Q1608" s="702"/>
      <c r="R1608" s="697"/>
      <c r="AE1608" s="724">
        <f t="shared" si="221"/>
        <v>0</v>
      </c>
    </row>
    <row r="1609" spans="6:31" ht="24" customHeight="1">
      <c r="F1609" s="740"/>
      <c r="H1609" s="705" t="s">
        <v>1609</v>
      </c>
      <c r="K1609" s="697"/>
      <c r="N1609" s="700"/>
      <c r="O1609" s="697" t="s">
        <v>1618</v>
      </c>
      <c r="Q1609" s="702"/>
      <c r="R1609" s="697"/>
      <c r="AE1609" s="724">
        <f t="shared" si="221"/>
        <v>0</v>
      </c>
    </row>
    <row r="1610" spans="6:31" ht="24" customHeight="1">
      <c r="F1610" s="710">
        <v>1</v>
      </c>
      <c r="G1610" s="708" t="s">
        <v>528</v>
      </c>
      <c r="H1610" s="697" t="s">
        <v>537</v>
      </c>
      <c r="I1610" s="699">
        <f>C135</f>
        <v>51750</v>
      </c>
      <c r="J1610" s="697" t="s">
        <v>530</v>
      </c>
      <c r="K1610" s="710">
        <f>(F1610*I1610)/10</f>
        <v>5175</v>
      </c>
      <c r="M1610" s="740"/>
      <c r="N1610" s="700"/>
      <c r="O1610" s="705" t="s">
        <v>1609</v>
      </c>
      <c r="Q1610" s="702"/>
      <c r="R1610" s="697"/>
      <c r="AE1610" s="724">
        <f t="shared" si="221"/>
        <v>0</v>
      </c>
    </row>
    <row r="1611" spans="6:31" ht="24" customHeight="1">
      <c r="F1611" s="740">
        <v>0.01</v>
      </c>
      <c r="G1611" s="708" t="s">
        <v>528</v>
      </c>
      <c r="H1611" s="697" t="s">
        <v>194</v>
      </c>
      <c r="I1611" s="699">
        <f>C140</f>
        <v>50300</v>
      </c>
      <c r="J1611" s="697" t="s">
        <v>530</v>
      </c>
      <c r="K1611" s="710">
        <f>(F1611*I1611)/10</f>
        <v>50.3</v>
      </c>
      <c r="M1611" s="710">
        <v>1</v>
      </c>
      <c r="N1611" s="708" t="s">
        <v>528</v>
      </c>
      <c r="O1611" s="697" t="s">
        <v>537</v>
      </c>
      <c r="P1611" s="699">
        <f>I1610</f>
        <v>51750</v>
      </c>
      <c r="Q1611" s="697" t="s">
        <v>530</v>
      </c>
      <c r="R1611" s="710">
        <f>(M1611*P1611)/10</f>
        <v>5175</v>
      </c>
      <c r="AE1611" s="724">
        <f t="shared" si="221"/>
        <v>0</v>
      </c>
    </row>
    <row r="1612" spans="6:31" ht="24" customHeight="1">
      <c r="F1612" s="740">
        <v>3.5</v>
      </c>
      <c r="G1612" s="708" t="s">
        <v>778</v>
      </c>
      <c r="H1612" s="697" t="s">
        <v>531</v>
      </c>
      <c r="I1612" s="699">
        <f>I1600</f>
        <v>724</v>
      </c>
      <c r="J1612" s="697" t="s">
        <v>778</v>
      </c>
      <c r="K1612" s="710">
        <f>(F1612*I1612)</f>
        <v>2534</v>
      </c>
      <c r="M1612" s="740">
        <v>0.01</v>
      </c>
      <c r="N1612" s="708" t="s">
        <v>528</v>
      </c>
      <c r="O1612" s="701" t="str">
        <f>O1600</f>
        <v>BINDING WIRE insulated with PVC as per circular</v>
      </c>
      <c r="P1612" s="699">
        <f>P1600</f>
        <v>71428.570000000007</v>
      </c>
      <c r="Q1612" s="697" t="s">
        <v>530</v>
      </c>
      <c r="R1612" s="710">
        <f>(M1612*P1612)/10</f>
        <v>71.430000000000007</v>
      </c>
      <c r="AE1612" s="724">
        <f t="shared" si="221"/>
        <v>0</v>
      </c>
    </row>
    <row r="1613" spans="6:31" ht="24" customHeight="1">
      <c r="F1613" s="740"/>
      <c r="G1613" s="708" t="s">
        <v>450</v>
      </c>
      <c r="H1613" s="697" t="s">
        <v>451</v>
      </c>
      <c r="J1613" s="697" t="s">
        <v>450</v>
      </c>
      <c r="K1613" s="710">
        <v>0</v>
      </c>
      <c r="M1613" s="740">
        <v>3.5</v>
      </c>
      <c r="N1613" s="708" t="s">
        <v>528</v>
      </c>
      <c r="O1613" s="697" t="s">
        <v>531</v>
      </c>
      <c r="P1613" s="699">
        <f>I1612</f>
        <v>724</v>
      </c>
      <c r="Q1613" s="697" t="s">
        <v>778</v>
      </c>
      <c r="R1613" s="710">
        <f>(M1613*P1613)</f>
        <v>2534</v>
      </c>
      <c r="AE1613" s="724">
        <f t="shared" si="221"/>
        <v>0</v>
      </c>
    </row>
    <row r="1614" spans="6:31" ht="24" customHeight="1">
      <c r="K1614" s="705" t="s">
        <v>1609</v>
      </c>
      <c r="M1614" s="740"/>
      <c r="N1614" s="708" t="s">
        <v>528</v>
      </c>
      <c r="O1614" s="697" t="s">
        <v>451</v>
      </c>
      <c r="Q1614" s="697" t="s">
        <v>450</v>
      </c>
      <c r="R1614" s="710">
        <v>0</v>
      </c>
      <c r="AE1614" s="724">
        <f t="shared" si="221"/>
        <v>0</v>
      </c>
    </row>
    <row r="1615" spans="6:31" ht="24" customHeight="1">
      <c r="H1615" s="697" t="s">
        <v>534</v>
      </c>
      <c r="K1615" s="710">
        <f>SUM(K1610:K1613)</f>
        <v>7759.3</v>
      </c>
      <c r="N1615" s="700"/>
      <c r="Q1615" s="702"/>
      <c r="R1615" s="705" t="s">
        <v>1609</v>
      </c>
      <c r="AE1615" s="724">
        <f t="shared" si="221"/>
        <v>0</v>
      </c>
    </row>
    <row r="1616" spans="6:31" ht="24" customHeight="1">
      <c r="K1616" s="705" t="s">
        <v>1609</v>
      </c>
      <c r="N1616" s="700"/>
      <c r="O1616" s="697" t="s">
        <v>534</v>
      </c>
      <c r="Q1616" s="702"/>
      <c r="R1616" s="710">
        <f>SUM(R1611:R1614)</f>
        <v>7780.43</v>
      </c>
      <c r="AE1616" s="724">
        <f t="shared" si="221"/>
        <v>0</v>
      </c>
    </row>
    <row r="1617" spans="6:31" ht="24" customHeight="1">
      <c r="H1617" s="711" t="s">
        <v>535</v>
      </c>
      <c r="I1617" s="758"/>
      <c r="J1617" s="759"/>
      <c r="K1617" s="709">
        <f>(K1615*10)</f>
        <v>77593</v>
      </c>
      <c r="N1617" s="700"/>
      <c r="Q1617" s="702"/>
      <c r="R1617" s="705" t="s">
        <v>1609</v>
      </c>
      <c r="AE1617" s="724">
        <f t="shared" si="221"/>
        <v>0</v>
      </c>
    </row>
    <row r="1618" spans="6:31" ht="24" customHeight="1">
      <c r="H1618" s="697" t="s">
        <v>987</v>
      </c>
      <c r="N1618" s="700"/>
      <c r="O1618" s="711" t="s">
        <v>535</v>
      </c>
      <c r="P1618" s="758"/>
      <c r="Q1618" s="759"/>
      <c r="R1618" s="709">
        <f>(R1616*10)</f>
        <v>77804.3</v>
      </c>
      <c r="AE1618" s="724">
        <f t="shared" si="221"/>
        <v>0</v>
      </c>
    </row>
    <row r="1619" spans="6:31" ht="24" customHeight="1">
      <c r="F1619" s="753">
        <v>44.1</v>
      </c>
      <c r="G1619" s="708" t="s">
        <v>2276</v>
      </c>
      <c r="H1619" s="697" t="s">
        <v>1619</v>
      </c>
      <c r="AE1619" s="724">
        <f t="shared" si="221"/>
        <v>0</v>
      </c>
    </row>
    <row r="1620" spans="6:31" ht="24" customHeight="1">
      <c r="H1620" s="697" t="s">
        <v>1620</v>
      </c>
      <c r="R1620" s="699" t="s">
        <v>248</v>
      </c>
      <c r="AE1620" s="724">
        <f t="shared" si="221"/>
        <v>0</v>
      </c>
    </row>
    <row r="1621" spans="6:31" ht="24" customHeight="1">
      <c r="H1621" s="697" t="s">
        <v>5257</v>
      </c>
      <c r="M1621" s="753">
        <v>44.1</v>
      </c>
      <c r="N1621" s="708" t="s">
        <v>2276</v>
      </c>
      <c r="O1621" s="697" t="s">
        <v>1619</v>
      </c>
      <c r="AE1621" s="724">
        <f t="shared" si="221"/>
        <v>0</v>
      </c>
    </row>
    <row r="1622" spans="6:31" ht="24" customHeight="1">
      <c r="H1622" s="705" t="s">
        <v>1609</v>
      </c>
      <c r="N1622" s="700"/>
      <c r="O1622" s="697" t="s">
        <v>1620</v>
      </c>
      <c r="AE1622" s="724">
        <f t="shared" si="221"/>
        <v>0</v>
      </c>
    </row>
    <row r="1623" spans="6:31" ht="24" customHeight="1">
      <c r="F1623" s="710">
        <v>3</v>
      </c>
      <c r="G1623" s="708" t="s">
        <v>1796</v>
      </c>
      <c r="H1623" s="697" t="s">
        <v>2071</v>
      </c>
      <c r="I1623" s="710">
        <f>D617</f>
        <v>120.54</v>
      </c>
      <c r="J1623" s="697" t="s">
        <v>1796</v>
      </c>
      <c r="K1623" s="710">
        <f t="shared" ref="K1623:K1628" si="222">(F1623*I1623)</f>
        <v>361.62</v>
      </c>
      <c r="N1623" s="700"/>
      <c r="O1623" s="697" t="s">
        <v>5257</v>
      </c>
      <c r="AE1623" s="724">
        <f t="shared" si="221"/>
        <v>0</v>
      </c>
    </row>
    <row r="1624" spans="6:31" ht="24" customHeight="1">
      <c r="F1624" s="710">
        <v>1</v>
      </c>
      <c r="G1624" s="708" t="s">
        <v>877</v>
      </c>
      <c r="H1624" s="697" t="s">
        <v>2126</v>
      </c>
      <c r="I1624" s="800">
        <f>(C620)</f>
        <v>76</v>
      </c>
      <c r="J1624" s="697" t="s">
        <v>877</v>
      </c>
      <c r="K1624" s="710">
        <f t="shared" si="222"/>
        <v>76</v>
      </c>
      <c r="N1624" s="700"/>
      <c r="O1624" s="705" t="s">
        <v>1609</v>
      </c>
      <c r="AE1624" s="724">
        <f t="shared" si="221"/>
        <v>0</v>
      </c>
    </row>
    <row r="1625" spans="6:31" ht="24" customHeight="1">
      <c r="F1625" s="710">
        <v>1</v>
      </c>
      <c r="G1625" s="708" t="s">
        <v>877</v>
      </c>
      <c r="H1625" s="697" t="s">
        <v>2127</v>
      </c>
      <c r="I1625" s="710">
        <f>(C623)</f>
        <v>79.5</v>
      </c>
      <c r="J1625" s="697" t="s">
        <v>877</v>
      </c>
      <c r="K1625" s="710">
        <f t="shared" si="222"/>
        <v>79.5</v>
      </c>
      <c r="M1625" s="710">
        <v>3</v>
      </c>
      <c r="N1625" s="708" t="s">
        <v>1796</v>
      </c>
      <c r="O1625" s="697" t="s">
        <v>2071</v>
      </c>
      <c r="P1625" s="699">
        <f>I1623</f>
        <v>120.54</v>
      </c>
      <c r="Q1625" s="699" t="str">
        <f>J1625</f>
        <v>NO.</v>
      </c>
      <c r="R1625" s="699">
        <f t="shared" ref="R1625:R1630" si="223">P1625*M1625</f>
        <v>361.62</v>
      </c>
      <c r="AE1625" s="724">
        <f t="shared" si="221"/>
        <v>0</v>
      </c>
    </row>
    <row r="1626" spans="6:31" ht="24" customHeight="1">
      <c r="F1626" s="710">
        <v>2</v>
      </c>
      <c r="G1626" s="708" t="s">
        <v>877</v>
      </c>
      <c r="H1626" s="697" t="s">
        <v>2128</v>
      </c>
      <c r="I1626" s="710">
        <f>C594</f>
        <v>21.4</v>
      </c>
      <c r="J1626" s="697" t="s">
        <v>877</v>
      </c>
      <c r="K1626" s="710">
        <f t="shared" si="222"/>
        <v>42.8</v>
      </c>
      <c r="M1626" s="710">
        <v>1</v>
      </c>
      <c r="N1626" s="708" t="s">
        <v>877</v>
      </c>
      <c r="O1626" s="697" t="s">
        <v>2126</v>
      </c>
      <c r="P1626" s="780">
        <v>76.78</v>
      </c>
      <c r="Q1626" s="699" t="str">
        <f>J1626</f>
        <v>NO.</v>
      </c>
      <c r="R1626" s="699">
        <f t="shared" si="223"/>
        <v>76.78</v>
      </c>
      <c r="AE1626" s="724">
        <f t="shared" si="221"/>
        <v>0</v>
      </c>
    </row>
    <row r="1627" spans="6:31" ht="24" customHeight="1">
      <c r="F1627" s="710">
        <v>1</v>
      </c>
      <c r="G1627" s="708" t="s">
        <v>877</v>
      </c>
      <c r="H1627" s="697" t="s">
        <v>2129</v>
      </c>
      <c r="I1627" s="710">
        <f>(C693)</f>
        <v>31.8</v>
      </c>
      <c r="J1627" s="697" t="s">
        <v>877</v>
      </c>
      <c r="K1627" s="710">
        <f t="shared" si="222"/>
        <v>31.8</v>
      </c>
      <c r="M1627" s="710">
        <v>1</v>
      </c>
      <c r="N1627" s="708" t="s">
        <v>877</v>
      </c>
      <c r="O1627" s="697" t="s">
        <v>2127</v>
      </c>
      <c r="P1627" s="699">
        <f>I1625</f>
        <v>79.5</v>
      </c>
      <c r="Q1627" s="699" t="str">
        <f>J1627</f>
        <v>NO.</v>
      </c>
      <c r="R1627" s="699">
        <f t="shared" si="223"/>
        <v>79.5</v>
      </c>
      <c r="AE1627" s="724">
        <f t="shared" si="221"/>
        <v>0</v>
      </c>
    </row>
    <row r="1628" spans="6:31" ht="24" customHeight="1">
      <c r="F1628" s="710">
        <v>0.5</v>
      </c>
      <c r="G1628" s="708" t="s">
        <v>877</v>
      </c>
      <c r="H1628" s="697" t="s">
        <v>2130</v>
      </c>
      <c r="I1628" s="710">
        <f>(C13)</f>
        <v>747</v>
      </c>
      <c r="J1628" s="697" t="s">
        <v>877</v>
      </c>
      <c r="K1628" s="710">
        <f t="shared" si="222"/>
        <v>373.5</v>
      </c>
      <c r="M1628" s="709">
        <v>2</v>
      </c>
      <c r="N1628" s="821" t="s">
        <v>1046</v>
      </c>
      <c r="O1628" s="930" t="s">
        <v>4328</v>
      </c>
      <c r="P1628" s="780">
        <v>12</v>
      </c>
      <c r="Q1628" s="699" t="str">
        <f>J1628</f>
        <v>NO.</v>
      </c>
      <c r="R1628" s="699">
        <f t="shared" si="223"/>
        <v>24</v>
      </c>
      <c r="AE1628" s="724">
        <f t="shared" si="221"/>
        <v>0</v>
      </c>
    </row>
    <row r="1629" spans="6:31" ht="24" customHeight="1">
      <c r="G1629" s="708" t="s">
        <v>450</v>
      </c>
      <c r="H1629" s="697" t="s">
        <v>611</v>
      </c>
      <c r="J1629" s="697" t="s">
        <v>450</v>
      </c>
      <c r="K1629" s="710"/>
      <c r="M1629" s="710">
        <v>1</v>
      </c>
      <c r="N1629" s="708" t="s">
        <v>1046</v>
      </c>
      <c r="O1629" s="697" t="s">
        <v>2129</v>
      </c>
      <c r="P1629" s="699">
        <f>I1627</f>
        <v>31.8</v>
      </c>
      <c r="Q1629" s="699" t="str">
        <f>J1629</f>
        <v>L.S</v>
      </c>
      <c r="R1629" s="699">
        <f t="shared" si="223"/>
        <v>31.8</v>
      </c>
      <c r="AE1629" s="724">
        <f t="shared" si="221"/>
        <v>0</v>
      </c>
    </row>
    <row r="1630" spans="6:31" ht="24" customHeight="1">
      <c r="H1630" s="697" t="s">
        <v>22</v>
      </c>
      <c r="M1630" s="710">
        <v>0.5</v>
      </c>
      <c r="N1630" s="708" t="s">
        <v>1046</v>
      </c>
      <c r="O1630" s="697" t="s">
        <v>2130</v>
      </c>
      <c r="P1630" s="699">
        <f>I1628</f>
        <v>747</v>
      </c>
      <c r="R1630" s="699">
        <f t="shared" si="223"/>
        <v>373.5</v>
      </c>
      <c r="AE1630" s="724">
        <f t="shared" si="221"/>
        <v>0</v>
      </c>
    </row>
    <row r="1631" spans="6:31" ht="24" customHeight="1">
      <c r="K1631" s="705" t="s">
        <v>1609</v>
      </c>
      <c r="N1631" s="708" t="s">
        <v>1046</v>
      </c>
      <c r="O1631" s="697" t="s">
        <v>611</v>
      </c>
      <c r="P1631" s="699">
        <f>I1631</f>
        <v>0</v>
      </c>
      <c r="AE1631" s="724">
        <f t="shared" si="221"/>
        <v>0</v>
      </c>
    </row>
    <row r="1632" spans="6:31" ht="24" customHeight="1">
      <c r="H1632" s="697" t="s">
        <v>1337</v>
      </c>
      <c r="K1632" s="710">
        <f>SUM(K1623:K1629)</f>
        <v>965.22</v>
      </c>
      <c r="O1632" s="697" t="s">
        <v>22</v>
      </c>
      <c r="R1632" s="699">
        <f>26.98+4.7</f>
        <v>31.68</v>
      </c>
      <c r="AE1632" s="724">
        <f t="shared" si="221"/>
        <v>0</v>
      </c>
    </row>
    <row r="1633" spans="6:31" ht="24" customHeight="1">
      <c r="F1633" s="697" t="s">
        <v>987</v>
      </c>
      <c r="AE1633" s="724">
        <f t="shared" si="221"/>
        <v>0</v>
      </c>
    </row>
    <row r="1634" spans="6:31" ht="24" customHeight="1">
      <c r="K1634" s="705" t="s">
        <v>1609</v>
      </c>
      <c r="O1634" s="697" t="s">
        <v>1337</v>
      </c>
      <c r="R1634" s="758">
        <f>SUM(R1625:R1633)</f>
        <v>978.88</v>
      </c>
      <c r="AE1634" s="724">
        <f t="shared" si="221"/>
        <v>0</v>
      </c>
    </row>
    <row r="1635" spans="6:31" ht="24" customHeight="1">
      <c r="H1635" s="711" t="s">
        <v>1567</v>
      </c>
      <c r="I1635" s="758"/>
      <c r="J1635" s="759"/>
      <c r="K1635" s="709">
        <f>(K1632/3)</f>
        <v>321.74</v>
      </c>
      <c r="AE1635" s="724">
        <f t="shared" si="221"/>
        <v>0</v>
      </c>
    </row>
    <row r="1636" spans="6:31" ht="24" customHeight="1">
      <c r="H1636" s="697"/>
      <c r="K1636" s="705" t="s">
        <v>2080</v>
      </c>
      <c r="N1636" s="700"/>
      <c r="Q1636" s="702"/>
      <c r="R1636" s="705" t="s">
        <v>1609</v>
      </c>
      <c r="AE1636" s="724">
        <f t="shared" si="221"/>
        <v>0</v>
      </c>
    </row>
    <row r="1637" spans="6:31" ht="24" customHeight="1">
      <c r="F1637" s="698" t="s">
        <v>1338</v>
      </c>
      <c r="H1637" s="697" t="s">
        <v>16</v>
      </c>
      <c r="N1637" s="700"/>
      <c r="O1637" s="711" t="s">
        <v>1567</v>
      </c>
      <c r="P1637" s="758"/>
      <c r="Q1637" s="759"/>
      <c r="R1637" s="709">
        <f>(R1634/3)</f>
        <v>326.29000000000002</v>
      </c>
      <c r="S1637" s="703">
        <f>310*3</f>
        <v>930</v>
      </c>
      <c r="T1637" s="699">
        <f>S1637-R1634</f>
        <v>-48.88</v>
      </c>
      <c r="AE1637" s="724">
        <f t="shared" si="221"/>
        <v>0</v>
      </c>
    </row>
    <row r="1638" spans="6:31" ht="24" customHeight="1">
      <c r="H1638" s="697" t="s">
        <v>17</v>
      </c>
      <c r="N1638" s="700"/>
      <c r="O1638" s="697"/>
      <c r="Q1638" s="702"/>
      <c r="R1638" s="705" t="s">
        <v>2080</v>
      </c>
      <c r="AE1638" s="724">
        <f t="shared" si="221"/>
        <v>0</v>
      </c>
    </row>
    <row r="1639" spans="6:31" ht="24" customHeight="1">
      <c r="H1639" s="697" t="s">
        <v>2061</v>
      </c>
      <c r="AE1639" s="724">
        <f t="shared" si="221"/>
        <v>0</v>
      </c>
    </row>
    <row r="1640" spans="6:31" ht="24" customHeight="1">
      <c r="H1640" s="705" t="s">
        <v>1609</v>
      </c>
      <c r="AE1640" s="724">
        <f t="shared" si="221"/>
        <v>0</v>
      </c>
    </row>
    <row r="1641" spans="6:31" ht="24" customHeight="1">
      <c r="F1641" s="710">
        <v>0.15</v>
      </c>
      <c r="G1641" s="708" t="s">
        <v>878</v>
      </c>
      <c r="H1641" s="697" t="s">
        <v>2062</v>
      </c>
      <c r="I1641" s="710">
        <f>(C67)</f>
        <v>991.83</v>
      </c>
      <c r="J1641" s="697" t="s">
        <v>878</v>
      </c>
      <c r="K1641" s="710">
        <f>(F1641*I1641)</f>
        <v>148.77000000000001</v>
      </c>
      <c r="AE1641" s="724">
        <f t="shared" si="221"/>
        <v>0</v>
      </c>
    </row>
    <row r="1642" spans="6:31" ht="24" customHeight="1">
      <c r="F1642" s="776">
        <v>8.6499999999999994E-2</v>
      </c>
      <c r="G1642" s="708" t="s">
        <v>870</v>
      </c>
      <c r="H1642" s="697" t="s">
        <v>871</v>
      </c>
      <c r="I1642" s="710">
        <f>(C64)</f>
        <v>5960</v>
      </c>
      <c r="J1642" s="697" t="s">
        <v>870</v>
      </c>
      <c r="K1642" s="710">
        <f>(F1642*I1642)</f>
        <v>515.54</v>
      </c>
      <c r="AE1642" s="724">
        <f t="shared" si="221"/>
        <v>0</v>
      </c>
    </row>
    <row r="1643" spans="6:31" ht="24" customHeight="1">
      <c r="F1643" s="710">
        <v>1.6</v>
      </c>
      <c r="G1643" s="708" t="s">
        <v>778</v>
      </c>
      <c r="H1643" s="697" t="s">
        <v>2034</v>
      </c>
      <c r="I1643" s="710">
        <f>(C8)</f>
        <v>861</v>
      </c>
      <c r="J1643" s="697" t="s">
        <v>778</v>
      </c>
      <c r="K1643" s="710">
        <f>(F1643*I1643)</f>
        <v>1377.6</v>
      </c>
      <c r="AE1643" s="724">
        <f t="shared" si="221"/>
        <v>0</v>
      </c>
    </row>
    <row r="1644" spans="6:31" ht="24" customHeight="1">
      <c r="F1644" s="710">
        <v>0.5</v>
      </c>
      <c r="G1644" s="708" t="s">
        <v>778</v>
      </c>
      <c r="H1644" s="697" t="s">
        <v>1927</v>
      </c>
      <c r="I1644" s="710">
        <f>(C10)</f>
        <v>562</v>
      </c>
      <c r="J1644" s="697" t="s">
        <v>778</v>
      </c>
      <c r="K1644" s="710">
        <f>(F1644*I1644)</f>
        <v>281</v>
      </c>
      <c r="AE1644" s="724">
        <f t="shared" si="221"/>
        <v>0</v>
      </c>
    </row>
    <row r="1645" spans="6:31" ht="24" customHeight="1">
      <c r="F1645" s="710">
        <v>1.1000000000000001</v>
      </c>
      <c r="G1645" s="708" t="s">
        <v>778</v>
      </c>
      <c r="H1645" s="697" t="s">
        <v>321</v>
      </c>
      <c r="I1645" s="710">
        <f>(C11)</f>
        <v>461</v>
      </c>
      <c r="J1645" s="697" t="s">
        <v>778</v>
      </c>
      <c r="K1645" s="710">
        <f>(F1645*I1645)</f>
        <v>507.1</v>
      </c>
      <c r="AE1645" s="724">
        <f t="shared" si="221"/>
        <v>0</v>
      </c>
    </row>
    <row r="1646" spans="6:31" ht="24" customHeight="1">
      <c r="G1646" s="708" t="s">
        <v>450</v>
      </c>
      <c r="H1646" s="697" t="s">
        <v>451</v>
      </c>
      <c r="I1646" s="697" t="s">
        <v>987</v>
      </c>
      <c r="J1646" s="697" t="s">
        <v>450</v>
      </c>
      <c r="K1646" s="710">
        <v>0</v>
      </c>
      <c r="AE1646" s="724">
        <f t="shared" si="221"/>
        <v>0</v>
      </c>
    </row>
    <row r="1647" spans="6:31" ht="24" customHeight="1">
      <c r="K1647" s="705" t="s">
        <v>1609</v>
      </c>
      <c r="AE1647" s="724">
        <f t="shared" si="221"/>
        <v>0</v>
      </c>
    </row>
    <row r="1648" spans="6:31" ht="24" customHeight="1">
      <c r="H1648" s="697" t="s">
        <v>442</v>
      </c>
      <c r="K1648" s="710">
        <f>SUM(K1641:K1646)</f>
        <v>2830.01</v>
      </c>
      <c r="AE1648" s="724">
        <f t="shared" si="221"/>
        <v>0</v>
      </c>
    </row>
    <row r="1649" spans="6:31" ht="24" customHeight="1">
      <c r="K1649" s="705" t="s">
        <v>1609</v>
      </c>
      <c r="AE1649" s="724">
        <f t="shared" si="221"/>
        <v>0</v>
      </c>
    </row>
    <row r="1650" spans="6:31" ht="24" customHeight="1">
      <c r="H1650" s="711" t="s">
        <v>556</v>
      </c>
      <c r="I1650" s="758"/>
      <c r="J1650" s="759"/>
      <c r="K1650" s="709">
        <f>(K1648/10)</f>
        <v>283</v>
      </c>
      <c r="AE1650" s="724">
        <f t="shared" si="221"/>
        <v>0</v>
      </c>
    </row>
    <row r="1651" spans="6:31" ht="24" customHeight="1">
      <c r="K1651" s="705" t="s">
        <v>2080</v>
      </c>
      <c r="AE1651" s="724">
        <f t="shared" si="221"/>
        <v>0</v>
      </c>
    </row>
    <row r="1652" spans="6:31" ht="24" customHeight="1">
      <c r="F1652" s="698" t="s">
        <v>2063</v>
      </c>
      <c r="G1652" s="708" t="s">
        <v>2276</v>
      </c>
      <c r="H1652" s="697" t="s">
        <v>2064</v>
      </c>
      <c r="AE1652" s="724">
        <f t="shared" si="221"/>
        <v>0</v>
      </c>
    </row>
    <row r="1653" spans="6:31" ht="24" customHeight="1">
      <c r="H1653" s="697" t="s">
        <v>1229</v>
      </c>
      <c r="AE1653" s="724">
        <f t="shared" si="221"/>
        <v>0</v>
      </c>
    </row>
    <row r="1654" spans="6:31" ht="24" customHeight="1">
      <c r="H1654" s="697" t="s">
        <v>1230</v>
      </c>
      <c r="J1654" s="697" t="s">
        <v>987</v>
      </c>
      <c r="AE1654" s="724">
        <f t="shared" si="221"/>
        <v>0</v>
      </c>
    </row>
    <row r="1655" spans="6:31" ht="24" customHeight="1">
      <c r="H1655" s="697" t="s">
        <v>1125</v>
      </c>
      <c r="AE1655" s="724">
        <f t="shared" si="221"/>
        <v>0</v>
      </c>
    </row>
    <row r="1656" spans="6:31" ht="24" customHeight="1">
      <c r="H1656" s="697" t="s">
        <v>1040</v>
      </c>
      <c r="AE1656" s="724">
        <f t="shared" si="221"/>
        <v>0</v>
      </c>
    </row>
    <row r="1657" spans="6:31" ht="24" customHeight="1">
      <c r="H1657" s="697" t="s">
        <v>1837</v>
      </c>
      <c r="AE1657" s="724">
        <f t="shared" si="221"/>
        <v>0</v>
      </c>
    </row>
    <row r="1658" spans="6:31" ht="24" customHeight="1">
      <c r="H1658" s="697" t="s">
        <v>278</v>
      </c>
      <c r="AE1658" s="724">
        <f t="shared" si="221"/>
        <v>0</v>
      </c>
    </row>
    <row r="1659" spans="6:31" ht="24" customHeight="1">
      <c r="H1659" s="697" t="s">
        <v>279</v>
      </c>
      <c r="AE1659" s="724">
        <f t="shared" si="221"/>
        <v>0</v>
      </c>
    </row>
    <row r="1660" spans="6:31" ht="24" customHeight="1">
      <c r="H1660" s="697" t="s">
        <v>280</v>
      </c>
      <c r="AE1660" s="724">
        <f t="shared" si="221"/>
        <v>0</v>
      </c>
    </row>
    <row r="1661" spans="6:31" ht="24" customHeight="1">
      <c r="H1661" s="705" t="s">
        <v>2080</v>
      </c>
      <c r="AE1661" s="724">
        <f t="shared" si="221"/>
        <v>0</v>
      </c>
    </row>
    <row r="1662" spans="6:31" ht="24" customHeight="1">
      <c r="AE1662" s="724">
        <f t="shared" si="221"/>
        <v>0</v>
      </c>
    </row>
    <row r="1663" spans="6:31" ht="24" customHeight="1">
      <c r="F1663" s="710">
        <v>1</v>
      </c>
      <c r="G1663" s="708" t="s">
        <v>835</v>
      </c>
      <c r="H1663" s="697" t="s">
        <v>3564</v>
      </c>
      <c r="I1663" s="816">
        <v>45.72</v>
      </c>
      <c r="J1663" s="697" t="s">
        <v>835</v>
      </c>
      <c r="K1663" s="710">
        <f>(F1663*I1663)</f>
        <v>45.72</v>
      </c>
      <c r="AE1663" s="724">
        <f t="shared" si="221"/>
        <v>0</v>
      </c>
    </row>
    <row r="1664" spans="6:31" ht="24" customHeight="1">
      <c r="F1664" s="710">
        <v>1</v>
      </c>
      <c r="G1664" s="708" t="s">
        <v>282</v>
      </c>
      <c r="H1664" s="697" t="s">
        <v>1173</v>
      </c>
      <c r="I1664" s="816">
        <v>5</v>
      </c>
      <c r="J1664" s="697" t="s">
        <v>282</v>
      </c>
      <c r="K1664" s="710">
        <f>(F1664*I1664)</f>
        <v>5</v>
      </c>
      <c r="AE1664" s="724">
        <f t="shared" si="221"/>
        <v>0</v>
      </c>
    </row>
    <row r="1665" spans="6:31" ht="24" customHeight="1">
      <c r="G1665" s="708" t="s">
        <v>450</v>
      </c>
      <c r="H1665" s="697" t="s">
        <v>508</v>
      </c>
      <c r="J1665" s="697" t="s">
        <v>450</v>
      </c>
      <c r="K1665" s="710">
        <v>7.28</v>
      </c>
      <c r="AE1665" s="724">
        <f t="shared" si="221"/>
        <v>0</v>
      </c>
    </row>
    <row r="1666" spans="6:31" ht="24" customHeight="1">
      <c r="K1666" s="705" t="s">
        <v>1609</v>
      </c>
      <c r="AE1666" s="724">
        <f t="shared" si="221"/>
        <v>0</v>
      </c>
    </row>
    <row r="1667" spans="6:31" ht="24" customHeight="1">
      <c r="H1667" s="698" t="s">
        <v>1664</v>
      </c>
      <c r="K1667" s="710">
        <f>SUM(K1663:K1665)</f>
        <v>58</v>
      </c>
      <c r="AE1667" s="724">
        <f t="shared" si="221"/>
        <v>0</v>
      </c>
    </row>
    <row r="1668" spans="6:31" ht="24" customHeight="1">
      <c r="K1668" s="705" t="s">
        <v>2080</v>
      </c>
      <c r="AE1668" s="724">
        <f t="shared" si="221"/>
        <v>0</v>
      </c>
    </row>
    <row r="1669" spans="6:31" ht="24" customHeight="1">
      <c r="F1669" s="698" t="s">
        <v>1665</v>
      </c>
      <c r="G1669" s="708" t="s">
        <v>2276</v>
      </c>
      <c r="H1669" s="697" t="s">
        <v>5258</v>
      </c>
      <c r="AE1669" s="724">
        <f t="shared" si="221"/>
        <v>0</v>
      </c>
    </row>
    <row r="1670" spans="6:31" ht="24" customHeight="1">
      <c r="H1670" s="697" t="s">
        <v>402</v>
      </c>
      <c r="AE1670" s="724">
        <f t="shared" si="221"/>
        <v>0</v>
      </c>
    </row>
    <row r="1671" spans="6:31" ht="24" customHeight="1">
      <c r="H1671" s="697" t="s">
        <v>403</v>
      </c>
      <c r="AE1671" s="724">
        <f t="shared" ref="AE1671:AE1692" si="224">AG1671</f>
        <v>0</v>
      </c>
    </row>
    <row r="1672" spans="6:31" ht="24" customHeight="1">
      <c r="H1672" s="697" t="s">
        <v>400</v>
      </c>
      <c r="AE1672" s="724">
        <f t="shared" si="224"/>
        <v>0</v>
      </c>
    </row>
    <row r="1673" spans="6:31" ht="24" customHeight="1">
      <c r="H1673" s="697" t="s">
        <v>1784</v>
      </c>
      <c r="AE1673" s="724">
        <f t="shared" si="224"/>
        <v>0</v>
      </c>
    </row>
    <row r="1674" spans="6:31" ht="24" customHeight="1">
      <c r="H1674" s="705" t="s">
        <v>1609</v>
      </c>
      <c r="I1674" s="705" t="s">
        <v>1609</v>
      </c>
      <c r="AE1674" s="724">
        <f t="shared" si="224"/>
        <v>0</v>
      </c>
    </row>
    <row r="1675" spans="6:31" ht="24" customHeight="1">
      <c r="F1675" s="710">
        <v>1</v>
      </c>
      <c r="G1675" s="708" t="s">
        <v>1785</v>
      </c>
      <c r="H1675" s="697" t="s">
        <v>1574</v>
      </c>
      <c r="I1675" s="816">
        <v>85</v>
      </c>
      <c r="J1675" s="697" t="s">
        <v>1418</v>
      </c>
      <c r="K1675" s="710">
        <f>(F1675*I1675)</f>
        <v>85</v>
      </c>
      <c r="AE1675" s="724">
        <f t="shared" si="224"/>
        <v>0</v>
      </c>
    </row>
    <row r="1676" spans="6:31" ht="24" customHeight="1">
      <c r="G1676" s="708" t="s">
        <v>450</v>
      </c>
      <c r="H1676" s="697" t="s">
        <v>1575</v>
      </c>
      <c r="J1676" s="697" t="s">
        <v>450</v>
      </c>
      <c r="K1676" s="710">
        <v>7.5</v>
      </c>
      <c r="AE1676" s="724">
        <f t="shared" si="224"/>
        <v>0</v>
      </c>
    </row>
    <row r="1677" spans="6:31" ht="24" customHeight="1">
      <c r="G1677" s="708" t="s">
        <v>450</v>
      </c>
      <c r="H1677" s="697" t="s">
        <v>629</v>
      </c>
      <c r="J1677" s="697" t="s">
        <v>450</v>
      </c>
      <c r="K1677" s="710">
        <f>1.75+0.75</f>
        <v>2.5</v>
      </c>
      <c r="AE1677" s="724">
        <f t="shared" si="224"/>
        <v>0</v>
      </c>
    </row>
    <row r="1678" spans="6:31" ht="24" customHeight="1">
      <c r="H1678" s="697" t="s">
        <v>630</v>
      </c>
      <c r="K1678" s="705" t="s">
        <v>1609</v>
      </c>
      <c r="AE1678" s="724">
        <f t="shared" si="224"/>
        <v>0</v>
      </c>
    </row>
    <row r="1679" spans="6:31" ht="24" customHeight="1">
      <c r="H1679" s="698" t="s">
        <v>1664</v>
      </c>
      <c r="K1679" s="710">
        <f>SUM(K1675:K1677)</f>
        <v>95</v>
      </c>
      <c r="AE1679" s="724">
        <f t="shared" si="224"/>
        <v>0</v>
      </c>
    </row>
    <row r="1680" spans="6:31" ht="24" customHeight="1">
      <c r="K1680" s="705" t="s">
        <v>2080</v>
      </c>
      <c r="AE1680" s="724">
        <f t="shared" si="224"/>
        <v>0</v>
      </c>
    </row>
    <row r="1681" spans="6:31" ht="24" customHeight="1">
      <c r="F1681" s="698" t="s">
        <v>631</v>
      </c>
      <c r="G1681" s="708" t="s">
        <v>2276</v>
      </c>
      <c r="H1681" s="697" t="s">
        <v>5259</v>
      </c>
      <c r="AE1681" s="724">
        <f t="shared" si="224"/>
        <v>0</v>
      </c>
    </row>
    <row r="1682" spans="6:31" ht="24" customHeight="1">
      <c r="H1682" s="697" t="s">
        <v>632</v>
      </c>
      <c r="K1682" s="697" t="s">
        <v>987</v>
      </c>
      <c r="AE1682" s="724">
        <f t="shared" si="224"/>
        <v>0</v>
      </c>
    </row>
    <row r="1683" spans="6:31" ht="24" customHeight="1">
      <c r="H1683" s="705" t="s">
        <v>1609</v>
      </c>
      <c r="AE1683" s="724">
        <f t="shared" si="224"/>
        <v>0</v>
      </c>
    </row>
    <row r="1684" spans="6:31" ht="24" customHeight="1">
      <c r="F1684" s="710">
        <v>1</v>
      </c>
      <c r="G1684" s="708" t="s">
        <v>1785</v>
      </c>
      <c r="H1684" s="697" t="s">
        <v>633</v>
      </c>
      <c r="I1684" s="816">
        <v>50</v>
      </c>
      <c r="J1684" s="697" t="s">
        <v>1418</v>
      </c>
      <c r="K1684" s="710">
        <f>(F1684*I1684)</f>
        <v>50</v>
      </c>
      <c r="AE1684" s="724">
        <f t="shared" si="224"/>
        <v>0</v>
      </c>
    </row>
    <row r="1685" spans="6:31" ht="24" customHeight="1">
      <c r="G1685" s="708" t="s">
        <v>450</v>
      </c>
      <c r="H1685" s="697" t="s">
        <v>634</v>
      </c>
      <c r="J1685" s="697" t="s">
        <v>450</v>
      </c>
      <c r="K1685" s="710">
        <v>5</v>
      </c>
      <c r="AE1685" s="724">
        <f t="shared" si="224"/>
        <v>0</v>
      </c>
    </row>
    <row r="1686" spans="6:31" ht="24" customHeight="1">
      <c r="K1686" s="705" t="s">
        <v>1609</v>
      </c>
      <c r="AE1686" s="724">
        <f t="shared" si="224"/>
        <v>0</v>
      </c>
    </row>
    <row r="1687" spans="6:31" ht="24" customHeight="1">
      <c r="H1687" s="698" t="s">
        <v>635</v>
      </c>
      <c r="K1687" s="710">
        <f>SUM(K1683:K1685)</f>
        <v>55</v>
      </c>
      <c r="AE1687" s="724">
        <f t="shared" si="224"/>
        <v>0</v>
      </c>
    </row>
    <row r="1688" spans="6:31" ht="24" customHeight="1">
      <c r="K1688" s="705" t="s">
        <v>2080</v>
      </c>
      <c r="AE1688" s="724">
        <f t="shared" si="224"/>
        <v>0</v>
      </c>
    </row>
    <row r="1689" spans="6:31" ht="24" customHeight="1">
      <c r="F1689" s="698" t="s">
        <v>2173</v>
      </c>
      <c r="G1689" s="708" t="s">
        <v>2276</v>
      </c>
      <c r="H1689" s="697" t="s">
        <v>5260</v>
      </c>
      <c r="AE1689" s="724">
        <f t="shared" si="224"/>
        <v>0</v>
      </c>
    </row>
    <row r="1690" spans="6:31" ht="24" customHeight="1">
      <c r="H1690" s="705" t="s">
        <v>1609</v>
      </c>
      <c r="I1690" s="705" t="s">
        <v>1609</v>
      </c>
      <c r="AE1690" s="724">
        <f t="shared" si="224"/>
        <v>0</v>
      </c>
    </row>
    <row r="1691" spans="6:31" ht="24" customHeight="1">
      <c r="F1691" s="710">
        <v>1</v>
      </c>
      <c r="G1691" s="708" t="s">
        <v>1785</v>
      </c>
      <c r="H1691" s="697" t="s">
        <v>2174</v>
      </c>
      <c r="I1691" s="816">
        <v>1.2</v>
      </c>
      <c r="J1691" s="697" t="s">
        <v>1418</v>
      </c>
      <c r="K1691" s="710">
        <f>(F1691*I1691)</f>
        <v>1.2</v>
      </c>
      <c r="AE1691" s="724">
        <f t="shared" si="224"/>
        <v>0</v>
      </c>
    </row>
    <row r="1692" spans="6:31" ht="24" customHeight="1">
      <c r="G1692" s="708" t="s">
        <v>450</v>
      </c>
      <c r="H1692" s="697" t="s">
        <v>634</v>
      </c>
      <c r="J1692" s="697" t="s">
        <v>450</v>
      </c>
      <c r="K1692" s="710">
        <f>K1691*0.25</f>
        <v>0.3</v>
      </c>
      <c r="AE1692" s="724">
        <f t="shared" si="224"/>
        <v>0</v>
      </c>
    </row>
    <row r="1693" spans="6:31" ht="24" customHeight="1">
      <c r="K1693" s="705" t="s">
        <v>1609</v>
      </c>
    </row>
    <row r="1694" spans="6:31" ht="24" customHeight="1">
      <c r="H1694" s="698" t="s">
        <v>635</v>
      </c>
      <c r="K1694" s="710">
        <f>SUM(K1689:K1692)</f>
        <v>1.5</v>
      </c>
    </row>
    <row r="1695" spans="6:31" ht="24" customHeight="1">
      <c r="F1695" s="697" t="s">
        <v>987</v>
      </c>
      <c r="K1695" s="705" t="s">
        <v>1609</v>
      </c>
    </row>
    <row r="1696" spans="6:31" ht="24" customHeight="1">
      <c r="F1696" s="753">
        <v>50.1</v>
      </c>
      <c r="G1696" s="708" t="s">
        <v>2276</v>
      </c>
      <c r="H1696" s="697" t="s">
        <v>2190</v>
      </c>
    </row>
    <row r="1697" spans="6:11" ht="24" customHeight="1">
      <c r="H1697" s="697" t="s">
        <v>14</v>
      </c>
    </row>
    <row r="1698" spans="6:11" ht="24" customHeight="1">
      <c r="H1698" s="697" t="s">
        <v>43</v>
      </c>
    </row>
    <row r="1699" spans="6:11" ht="24" customHeight="1">
      <c r="H1699" s="697" t="s">
        <v>44</v>
      </c>
    </row>
    <row r="1700" spans="6:11" ht="24" customHeight="1">
      <c r="H1700" s="697" t="s">
        <v>45</v>
      </c>
    </row>
    <row r="1701" spans="6:11" ht="24" customHeight="1">
      <c r="H1701" s="705" t="s">
        <v>1609</v>
      </c>
      <c r="I1701" s="705" t="s">
        <v>1609</v>
      </c>
    </row>
    <row r="1702" spans="6:11" ht="24" customHeight="1">
      <c r="F1702" s="710">
        <v>9</v>
      </c>
      <c r="G1702" s="708" t="s">
        <v>2176</v>
      </c>
      <c r="H1702" s="697" t="s">
        <v>1597</v>
      </c>
      <c r="I1702" s="710">
        <f>C70</f>
        <v>1679.5</v>
      </c>
      <c r="J1702" s="697" t="s">
        <v>2176</v>
      </c>
      <c r="K1702" s="710">
        <f>(F1702*I1702)</f>
        <v>15115.5</v>
      </c>
    </row>
    <row r="1703" spans="6:11" ht="24" customHeight="1">
      <c r="F1703" s="710">
        <v>4.5</v>
      </c>
      <c r="G1703" s="708" t="s">
        <v>2176</v>
      </c>
      <c r="H1703" s="697" t="s">
        <v>1598</v>
      </c>
      <c r="I1703" s="710">
        <f>K30</f>
        <v>4471.8999999999996</v>
      </c>
      <c r="J1703" s="697" t="s">
        <v>2176</v>
      </c>
      <c r="K1703" s="710">
        <f>(F1703*I1703)</f>
        <v>20123.55</v>
      </c>
    </row>
    <row r="1704" spans="6:11" ht="24" customHeight="1">
      <c r="F1704" s="710">
        <v>1.8</v>
      </c>
      <c r="G1704" s="708" t="s">
        <v>564</v>
      </c>
      <c r="H1704" s="697" t="s">
        <v>1599</v>
      </c>
      <c r="I1704" s="710">
        <f>C9</f>
        <v>804</v>
      </c>
      <c r="J1704" s="697" t="s">
        <v>1418</v>
      </c>
      <c r="K1704" s="710">
        <f>(F1704*I1704)</f>
        <v>1447.2</v>
      </c>
    </row>
    <row r="1705" spans="6:11" ht="24" customHeight="1">
      <c r="F1705" s="710">
        <v>17.7</v>
      </c>
      <c r="G1705" s="708" t="s">
        <v>564</v>
      </c>
      <c r="H1705" s="697" t="s">
        <v>832</v>
      </c>
      <c r="I1705" s="710">
        <f>C10</f>
        <v>562</v>
      </c>
      <c r="J1705" s="697" t="s">
        <v>1418</v>
      </c>
      <c r="K1705" s="710">
        <f>(F1705*I1705)</f>
        <v>9947.4</v>
      </c>
    </row>
    <row r="1706" spans="6:11" ht="24" customHeight="1">
      <c r="F1706" s="710">
        <v>14.1</v>
      </c>
      <c r="G1706" s="708" t="s">
        <v>564</v>
      </c>
      <c r="H1706" s="697" t="s">
        <v>1392</v>
      </c>
      <c r="I1706" s="710">
        <f>C11</f>
        <v>461</v>
      </c>
      <c r="J1706" s="697" t="s">
        <v>1418</v>
      </c>
      <c r="K1706" s="710">
        <f>(F1706*I1706)</f>
        <v>6500.1</v>
      </c>
    </row>
    <row r="1707" spans="6:11" ht="24" customHeight="1">
      <c r="K1707" s="705" t="s">
        <v>1609</v>
      </c>
    </row>
    <row r="1708" spans="6:11" ht="24" customHeight="1">
      <c r="H1708" s="698" t="s">
        <v>1600</v>
      </c>
      <c r="K1708" s="710">
        <f>SUM(K1702:K1706)</f>
        <v>53133.75</v>
      </c>
    </row>
    <row r="1709" spans="6:11" ht="24" customHeight="1">
      <c r="K1709" s="705" t="s">
        <v>1609</v>
      </c>
    </row>
    <row r="1710" spans="6:11" ht="24" customHeight="1">
      <c r="H1710" s="698" t="s">
        <v>1601</v>
      </c>
      <c r="K1710" s="709">
        <f>(K1708/10)</f>
        <v>5313.38</v>
      </c>
    </row>
    <row r="1711" spans="6:11" ht="24" customHeight="1">
      <c r="K1711" s="705" t="s">
        <v>2080</v>
      </c>
    </row>
    <row r="1713" spans="6:11" ht="24" customHeight="1">
      <c r="G1713" s="708" t="s">
        <v>681</v>
      </c>
      <c r="H1713" s="697" t="s">
        <v>1165</v>
      </c>
    </row>
    <row r="1714" spans="6:11" ht="24" customHeight="1">
      <c r="H1714" s="697" t="s">
        <v>5261</v>
      </c>
    </row>
    <row r="1715" spans="6:11" ht="24" customHeight="1">
      <c r="H1715" s="705" t="s">
        <v>1609</v>
      </c>
      <c r="I1715" s="705" t="s">
        <v>1609</v>
      </c>
    </row>
    <row r="1717" spans="6:11" ht="24" customHeight="1">
      <c r="F1717" s="740">
        <v>0.314</v>
      </c>
      <c r="G1717" s="708" t="s">
        <v>2176</v>
      </c>
      <c r="H1717" s="697" t="s">
        <v>443</v>
      </c>
      <c r="I1717" s="710">
        <f>K1710</f>
        <v>5313.38</v>
      </c>
      <c r="J1717" s="697" t="s">
        <v>2176</v>
      </c>
      <c r="K1717" s="710">
        <f>(F1717*I1717)</f>
        <v>1668.4</v>
      </c>
    </row>
    <row r="1718" spans="6:11" ht="24" customHeight="1">
      <c r="F1718" s="710">
        <v>18</v>
      </c>
      <c r="G1718" s="708" t="s">
        <v>564</v>
      </c>
      <c r="H1718" s="746" t="s">
        <v>4329</v>
      </c>
      <c r="I1718" s="800">
        <v>41.87</v>
      </c>
      <c r="J1718" s="697" t="s">
        <v>1418</v>
      </c>
      <c r="K1718" s="710">
        <f>(F1718*I1718)</f>
        <v>753.66</v>
      </c>
    </row>
    <row r="1719" spans="6:11" ht="24" customHeight="1">
      <c r="F1719" s="710">
        <v>18</v>
      </c>
      <c r="G1719" s="708" t="s">
        <v>564</v>
      </c>
      <c r="H1719" s="697" t="s">
        <v>541</v>
      </c>
      <c r="I1719" s="710">
        <v>1</v>
      </c>
      <c r="J1719" s="697" t="s">
        <v>1418</v>
      </c>
      <c r="K1719" s="710">
        <f>(F1719*I1719)</f>
        <v>18</v>
      </c>
    </row>
    <row r="1720" spans="6:11" ht="24" customHeight="1">
      <c r="F1720" s="710">
        <v>18</v>
      </c>
      <c r="G1720" s="708" t="s">
        <v>564</v>
      </c>
      <c r="H1720" s="697" t="s">
        <v>542</v>
      </c>
      <c r="I1720" s="710">
        <v>2</v>
      </c>
      <c r="J1720" s="697" t="s">
        <v>1418</v>
      </c>
      <c r="K1720" s="710">
        <f>(F1720*I1720)</f>
        <v>36</v>
      </c>
    </row>
    <row r="1721" spans="6:11" ht="24" customHeight="1">
      <c r="K1721" s="705" t="s">
        <v>1609</v>
      </c>
    </row>
    <row r="1722" spans="6:11" ht="24" customHeight="1">
      <c r="H1722" s="698" t="s">
        <v>1974</v>
      </c>
      <c r="K1722" s="710">
        <f>SUM(K1716:K1720)</f>
        <v>2476.06</v>
      </c>
    </row>
    <row r="1723" spans="6:11" ht="24" customHeight="1">
      <c r="K1723" s="705" t="s">
        <v>1609</v>
      </c>
    </row>
    <row r="1724" spans="6:11" ht="24" customHeight="1">
      <c r="H1724" s="698" t="s">
        <v>1975</v>
      </c>
      <c r="K1724" s="709">
        <f>(K1722/6.28)</f>
        <v>394.28</v>
      </c>
    </row>
    <row r="1725" spans="6:11" ht="24" customHeight="1">
      <c r="K1725" s="705" t="s">
        <v>2080</v>
      </c>
    </row>
    <row r="1726" spans="6:11" ht="24" customHeight="1">
      <c r="F1726" s="697" t="s">
        <v>987</v>
      </c>
      <c r="H1726" s="697" t="s">
        <v>739</v>
      </c>
    </row>
    <row r="1727" spans="6:11" ht="24" customHeight="1">
      <c r="H1727" s="705" t="s">
        <v>1609</v>
      </c>
    </row>
    <row r="1728" spans="6:11" ht="24" customHeight="1">
      <c r="F1728" s="740">
        <v>0.01</v>
      </c>
      <c r="G1728" s="708" t="s">
        <v>2176</v>
      </c>
      <c r="H1728" s="697" t="s">
        <v>443</v>
      </c>
      <c r="I1728" s="710">
        <f>K1710</f>
        <v>5313.38</v>
      </c>
      <c r="J1728" s="697" t="s">
        <v>2176</v>
      </c>
      <c r="K1728" s="710">
        <f>ROUND(F1728*I1728,2)</f>
        <v>53.13</v>
      </c>
    </row>
    <row r="1729" spans="6:11" ht="24" customHeight="1">
      <c r="F1729" s="710">
        <v>0.01</v>
      </c>
      <c r="G1729" s="708" t="s">
        <v>1361</v>
      </c>
      <c r="H1729" s="697" t="s">
        <v>740</v>
      </c>
      <c r="I1729" s="805" t="s">
        <v>663</v>
      </c>
      <c r="K1729" s="710">
        <v>1.2</v>
      </c>
    </row>
    <row r="1730" spans="6:11" ht="24" customHeight="1">
      <c r="I1730" s="785"/>
      <c r="K1730" s="705" t="s">
        <v>1609</v>
      </c>
    </row>
    <row r="1731" spans="6:11" ht="24" customHeight="1">
      <c r="H1731" s="698" t="s">
        <v>748</v>
      </c>
      <c r="K1731" s="710">
        <f>SUM(K1725:K1729)</f>
        <v>54.33</v>
      </c>
    </row>
    <row r="1732" spans="6:11" ht="24" customHeight="1">
      <c r="K1732" s="705" t="s">
        <v>1609</v>
      </c>
    </row>
    <row r="1733" spans="6:11" ht="24" customHeight="1">
      <c r="H1733" s="698" t="s">
        <v>2200</v>
      </c>
      <c r="K1733" s="710">
        <f>K1731/0.01</f>
        <v>5433</v>
      </c>
    </row>
    <row r="1734" spans="6:11" ht="24" customHeight="1">
      <c r="K1734" s="705" t="s">
        <v>2080</v>
      </c>
    </row>
    <row r="1735" spans="6:11" ht="24" customHeight="1">
      <c r="F1735" s="1216" t="s">
        <v>2201</v>
      </c>
      <c r="G1735" s="751" t="s">
        <v>681</v>
      </c>
      <c r="H1735" s="743" t="s">
        <v>1165</v>
      </c>
      <c r="I1735" s="750"/>
      <c r="J1735" s="1217"/>
      <c r="K1735" s="750"/>
    </row>
    <row r="1736" spans="6:11" ht="24" customHeight="1">
      <c r="F1736" s="750"/>
      <c r="G1736" s="1218"/>
      <c r="H1736" s="1219" t="s">
        <v>5262</v>
      </c>
      <c r="I1736" s="750"/>
      <c r="J1736" s="1217"/>
      <c r="K1736" s="750"/>
    </row>
    <row r="1737" spans="6:11" ht="24" customHeight="1">
      <c r="F1737" s="750"/>
      <c r="G1737" s="1218"/>
      <c r="H1737" s="1220" t="s">
        <v>1609</v>
      </c>
      <c r="I1737" s="1220" t="s">
        <v>1609</v>
      </c>
      <c r="J1737" s="1217"/>
      <c r="K1737" s="750"/>
    </row>
    <row r="1738" spans="6:11" ht="24" customHeight="1">
      <c r="F1738" s="1221">
        <v>0.40500000000000003</v>
      </c>
      <c r="G1738" s="751" t="s">
        <v>2176</v>
      </c>
      <c r="H1738" s="743" t="s">
        <v>443</v>
      </c>
      <c r="I1738" s="731">
        <f>K1733</f>
        <v>5433</v>
      </c>
      <c r="J1738" s="743" t="s">
        <v>2176</v>
      </c>
      <c r="K1738" s="731">
        <f>(F1738*I1738)</f>
        <v>2200.37</v>
      </c>
    </row>
    <row r="1739" spans="6:11" ht="24" customHeight="1">
      <c r="F1739" s="743" t="s">
        <v>987</v>
      </c>
      <c r="G1739" s="751" t="s">
        <v>987</v>
      </c>
      <c r="H1739" s="743" t="s">
        <v>1673</v>
      </c>
      <c r="I1739" s="1222" t="s">
        <v>663</v>
      </c>
      <c r="J1739" s="1217"/>
      <c r="K1739" s="743" t="s">
        <v>987</v>
      </c>
    </row>
    <row r="1740" spans="6:11" ht="24" customHeight="1">
      <c r="F1740" s="750"/>
      <c r="G1740" s="1218"/>
      <c r="H1740" s="750"/>
      <c r="I1740" s="750"/>
      <c r="J1740" s="1217"/>
      <c r="K1740" s="1220" t="s">
        <v>1609</v>
      </c>
    </row>
    <row r="1741" spans="6:11" ht="24" customHeight="1">
      <c r="F1741" s="750"/>
      <c r="G1741" s="1218"/>
      <c r="H1741" s="1216" t="s">
        <v>1674</v>
      </c>
      <c r="I1741" s="750"/>
      <c r="J1741" s="1217"/>
      <c r="K1741" s="731">
        <f>SUM(K1735:K1739)</f>
        <v>2200.37</v>
      </c>
    </row>
    <row r="1742" spans="6:11" ht="24" customHeight="1">
      <c r="F1742" s="750"/>
      <c r="G1742" s="1218"/>
      <c r="H1742" s="750"/>
      <c r="I1742" s="750"/>
      <c r="J1742" s="1217"/>
      <c r="K1742" s="1220" t="s">
        <v>1609</v>
      </c>
    </row>
    <row r="1743" spans="6:11" ht="24" customHeight="1">
      <c r="F1743" s="750"/>
      <c r="G1743" s="1218"/>
      <c r="H1743" s="1216" t="s">
        <v>1675</v>
      </c>
      <c r="I1743" s="750"/>
      <c r="J1743" s="1217"/>
      <c r="K1743" s="1223">
        <f>K1741/9</f>
        <v>244.49</v>
      </c>
    </row>
    <row r="1744" spans="6:11" ht="24" customHeight="1">
      <c r="F1744" s="750"/>
      <c r="G1744" s="1218"/>
      <c r="H1744" s="750"/>
      <c r="I1744" s="750"/>
      <c r="J1744" s="1217"/>
      <c r="K1744" s="1220" t="s">
        <v>2080</v>
      </c>
    </row>
    <row r="1745" spans="6:11" ht="24" customHeight="1">
      <c r="F1745" s="698" t="s">
        <v>1425</v>
      </c>
      <c r="H1745" s="697" t="s">
        <v>470</v>
      </c>
    </row>
    <row r="1746" spans="6:11" ht="24" customHeight="1">
      <c r="H1746" s="705" t="s">
        <v>1609</v>
      </c>
    </row>
    <row r="1747" spans="6:11" ht="24" customHeight="1">
      <c r="F1747" s="710">
        <v>4.32</v>
      </c>
      <c r="G1747" s="708" t="s">
        <v>878</v>
      </c>
      <c r="H1747" s="697" t="s">
        <v>357</v>
      </c>
      <c r="I1747" s="710">
        <f>C58</f>
        <v>96.6</v>
      </c>
      <c r="J1747" s="697" t="s">
        <v>878</v>
      </c>
      <c r="K1747" s="710">
        <f t="shared" ref="K1747:K1754" si="225">(F1747*I1747)</f>
        <v>417.31</v>
      </c>
    </row>
    <row r="1748" spans="6:11" ht="24" customHeight="1">
      <c r="F1748" s="710">
        <v>1.44</v>
      </c>
      <c r="G1748" s="708" t="s">
        <v>878</v>
      </c>
      <c r="H1748" s="697" t="s">
        <v>471</v>
      </c>
      <c r="I1748" s="816">
        <v>69.099999999999994</v>
      </c>
      <c r="J1748" s="697" t="s">
        <v>878</v>
      </c>
      <c r="K1748" s="710">
        <f t="shared" si="225"/>
        <v>99.5</v>
      </c>
    </row>
    <row r="1749" spans="6:11" ht="24" customHeight="1">
      <c r="F1749" s="710">
        <v>1.44</v>
      </c>
      <c r="G1749" s="708" t="s">
        <v>878</v>
      </c>
      <c r="H1749" s="697" t="s">
        <v>472</v>
      </c>
      <c r="I1749" s="710">
        <f>C33</f>
        <v>375.2</v>
      </c>
      <c r="J1749" s="697" t="s">
        <v>878</v>
      </c>
      <c r="K1749" s="710">
        <f t="shared" si="225"/>
        <v>540.29</v>
      </c>
    </row>
    <row r="1750" spans="6:11" ht="24" customHeight="1">
      <c r="F1750" s="710">
        <v>1.44</v>
      </c>
      <c r="G1750" s="708" t="s">
        <v>878</v>
      </c>
      <c r="H1750" s="1165" t="s">
        <v>5373</v>
      </c>
      <c r="I1750" s="710">
        <f>C75</f>
        <v>1511.1</v>
      </c>
      <c r="J1750" s="697" t="s">
        <v>878</v>
      </c>
      <c r="K1750" s="710">
        <f t="shared" si="225"/>
        <v>2175.98</v>
      </c>
    </row>
    <row r="1751" spans="6:11" ht="24" customHeight="1">
      <c r="F1751" s="710">
        <v>2.88</v>
      </c>
      <c r="G1751" s="708" t="s">
        <v>878</v>
      </c>
      <c r="H1751" s="697" t="s">
        <v>474</v>
      </c>
      <c r="I1751" s="800">
        <v>10</v>
      </c>
      <c r="J1751" s="697" t="s">
        <v>878</v>
      </c>
      <c r="K1751" s="710">
        <f t="shared" si="225"/>
        <v>28.8</v>
      </c>
    </row>
    <row r="1752" spans="6:11" ht="24" customHeight="1">
      <c r="F1752" s="710">
        <v>20</v>
      </c>
      <c r="G1752" s="708" t="s">
        <v>258</v>
      </c>
      <c r="H1752" s="697" t="s">
        <v>1649</v>
      </c>
      <c r="I1752" s="816">
        <v>46.1</v>
      </c>
      <c r="J1752" s="697" t="s">
        <v>258</v>
      </c>
      <c r="K1752" s="710">
        <f t="shared" si="225"/>
        <v>922</v>
      </c>
    </row>
    <row r="1753" spans="6:11" ht="24" customHeight="1">
      <c r="F1753" s="710">
        <v>42</v>
      </c>
      <c r="G1753" s="708" t="s">
        <v>2221</v>
      </c>
      <c r="H1753" s="697" t="s">
        <v>4997</v>
      </c>
      <c r="I1753" s="724">
        <v>17.5</v>
      </c>
      <c r="J1753" s="697" t="s">
        <v>2221</v>
      </c>
      <c r="K1753" s="710">
        <f t="shared" si="225"/>
        <v>735</v>
      </c>
    </row>
    <row r="1754" spans="6:11" ht="24" customHeight="1">
      <c r="F1754" s="710">
        <v>4.32</v>
      </c>
      <c r="G1754" s="708" t="s">
        <v>878</v>
      </c>
      <c r="H1754" s="697" t="s">
        <v>1641</v>
      </c>
      <c r="I1754" s="710">
        <f>C24</f>
        <v>33.6</v>
      </c>
      <c r="J1754" s="697" t="s">
        <v>878</v>
      </c>
      <c r="K1754" s="710">
        <f t="shared" si="225"/>
        <v>145.15</v>
      </c>
    </row>
    <row r="1755" spans="6:11" ht="24" customHeight="1">
      <c r="F1755" s="698" t="s">
        <v>741</v>
      </c>
      <c r="H1755" s="697" t="s">
        <v>1034</v>
      </c>
      <c r="K1755" s="710">
        <v>2000</v>
      </c>
    </row>
    <row r="1756" spans="6:11" ht="24" customHeight="1">
      <c r="K1756" s="705" t="s">
        <v>1609</v>
      </c>
    </row>
    <row r="1757" spans="6:11" ht="24" customHeight="1">
      <c r="H1757" s="697" t="s">
        <v>1035</v>
      </c>
      <c r="K1757" s="710">
        <f>SUM(K1747:K1755)</f>
        <v>7064.03</v>
      </c>
    </row>
    <row r="1758" spans="6:11" ht="24" customHeight="1">
      <c r="K1758" s="705" t="s">
        <v>1609</v>
      </c>
    </row>
    <row r="1759" spans="6:11" ht="24" customHeight="1">
      <c r="H1759" s="697" t="s">
        <v>1421</v>
      </c>
      <c r="K1759" s="709">
        <f>K1757/20</f>
        <v>353.2</v>
      </c>
    </row>
    <row r="1760" spans="6:11" ht="24" customHeight="1">
      <c r="K1760" s="705" t="s">
        <v>2080</v>
      </c>
    </row>
    <row r="1762" spans="6:12" ht="24" customHeight="1">
      <c r="F1762" s="698" t="s">
        <v>1036</v>
      </c>
      <c r="H1762" s="697" t="s">
        <v>1336</v>
      </c>
    </row>
    <row r="1763" spans="6:12" ht="24" customHeight="1">
      <c r="H1763" s="705" t="s">
        <v>1609</v>
      </c>
    </row>
    <row r="1764" spans="6:12" ht="24" customHeight="1">
      <c r="F1764" s="710">
        <v>0.1</v>
      </c>
      <c r="G1764" s="708" t="s">
        <v>878</v>
      </c>
      <c r="H1764" s="697" t="s">
        <v>357</v>
      </c>
      <c r="I1764" s="710">
        <f>K87</f>
        <v>193.2</v>
      </c>
      <c r="J1764" s="697" t="s">
        <v>878</v>
      </c>
      <c r="K1764" s="710">
        <f t="shared" ref="K1764:K1769" si="226">(F1764*I1764)</f>
        <v>19.32</v>
      </c>
    </row>
    <row r="1765" spans="6:12" ht="24" customHeight="1">
      <c r="F1765" s="710">
        <v>6.3</v>
      </c>
      <c r="G1765" s="708" t="s">
        <v>2221</v>
      </c>
      <c r="H1765" s="697" t="s">
        <v>4998</v>
      </c>
      <c r="I1765" s="724">
        <v>34.6</v>
      </c>
      <c r="J1765" s="697" t="s">
        <v>2221</v>
      </c>
      <c r="K1765" s="710">
        <f t="shared" si="226"/>
        <v>217.98</v>
      </c>
    </row>
    <row r="1766" spans="6:12" ht="24" customHeight="1">
      <c r="F1766" s="710">
        <v>6.3</v>
      </c>
      <c r="G1766" s="708" t="s">
        <v>2221</v>
      </c>
      <c r="H1766" s="697" t="s">
        <v>1156</v>
      </c>
      <c r="I1766" s="710">
        <f>I1753</f>
        <v>17.5</v>
      </c>
      <c r="J1766" s="697" t="s">
        <v>2221</v>
      </c>
      <c r="K1766" s="710">
        <f t="shared" si="226"/>
        <v>110.25</v>
      </c>
    </row>
    <row r="1767" spans="6:12" ht="24" customHeight="1">
      <c r="F1767" s="710">
        <v>3.15</v>
      </c>
      <c r="G1767" s="708" t="s">
        <v>236</v>
      </c>
      <c r="H1767" s="697" t="s">
        <v>642</v>
      </c>
      <c r="I1767" s="710">
        <f>C195</f>
        <v>36.299999999999997</v>
      </c>
      <c r="J1767" s="697" t="s">
        <v>236</v>
      </c>
      <c r="K1767" s="710">
        <f t="shared" si="226"/>
        <v>114.35</v>
      </c>
      <c r="L1767" s="699" t="s">
        <v>185</v>
      </c>
    </row>
    <row r="1768" spans="6:12" ht="24" customHeight="1">
      <c r="F1768" s="710">
        <v>0.25</v>
      </c>
      <c r="G1768" s="708" t="s">
        <v>1785</v>
      </c>
      <c r="H1768" s="697" t="s">
        <v>643</v>
      </c>
      <c r="I1768" s="710">
        <f>D14</f>
        <v>804</v>
      </c>
      <c r="J1768" s="697" t="s">
        <v>1785</v>
      </c>
      <c r="K1768" s="710">
        <f t="shared" si="226"/>
        <v>201</v>
      </c>
    </row>
    <row r="1769" spans="6:12" ht="24" customHeight="1">
      <c r="F1769" s="710">
        <v>0.2</v>
      </c>
      <c r="G1769" s="708" t="s">
        <v>1785</v>
      </c>
      <c r="H1769" s="697" t="s">
        <v>644</v>
      </c>
      <c r="I1769" s="710">
        <f>AE36</f>
        <v>724</v>
      </c>
      <c r="J1769" s="697" t="s">
        <v>1785</v>
      </c>
      <c r="K1769" s="710">
        <f t="shared" si="226"/>
        <v>144.80000000000001</v>
      </c>
    </row>
    <row r="1770" spans="6:12" ht="24" customHeight="1">
      <c r="H1770" s="697" t="s">
        <v>509</v>
      </c>
      <c r="I1770" s="697" t="s">
        <v>987</v>
      </c>
      <c r="J1770" s="697" t="s">
        <v>987</v>
      </c>
      <c r="K1770" s="710">
        <v>0</v>
      </c>
    </row>
    <row r="1771" spans="6:12" ht="24" customHeight="1">
      <c r="J1771" s="697" t="s">
        <v>987</v>
      </c>
      <c r="K1771" s="705" t="s">
        <v>1609</v>
      </c>
    </row>
    <row r="1772" spans="6:12" ht="24" customHeight="1">
      <c r="F1772" s="697" t="s">
        <v>987</v>
      </c>
      <c r="G1772" s="708" t="s">
        <v>987</v>
      </c>
      <c r="H1772" s="697" t="s">
        <v>1421</v>
      </c>
      <c r="K1772" s="709">
        <f>SUM(K1764:K1771)</f>
        <v>807.7</v>
      </c>
    </row>
    <row r="1773" spans="6:12" ht="24" customHeight="1">
      <c r="H1773" s="697" t="s">
        <v>987</v>
      </c>
      <c r="K1773" s="705" t="s">
        <v>1609</v>
      </c>
    </row>
    <row r="1774" spans="6:12" ht="24" customHeight="1">
      <c r="K1774" s="705"/>
    </row>
    <row r="1775" spans="6:12" ht="24" customHeight="1">
      <c r="F1775" s="698" t="s">
        <v>597</v>
      </c>
      <c r="H1775" s="697" t="s">
        <v>940</v>
      </c>
    </row>
    <row r="1776" spans="6:12" ht="24" customHeight="1">
      <c r="H1776" s="705" t="s">
        <v>1609</v>
      </c>
    </row>
    <row r="1777" spans="6:11" ht="24" customHeight="1">
      <c r="F1777" s="776">
        <v>0.48599999999999999</v>
      </c>
      <c r="G1777" s="708" t="s">
        <v>1361</v>
      </c>
      <c r="H1777" s="697" t="s">
        <v>357</v>
      </c>
      <c r="I1777" s="710">
        <f>C58</f>
        <v>96.6</v>
      </c>
      <c r="J1777" s="697" t="s">
        <v>1361</v>
      </c>
      <c r="K1777" s="710">
        <f t="shared" ref="K1777:K1783" si="227">(F1777*I1777)</f>
        <v>46.95</v>
      </c>
    </row>
    <row r="1778" spans="6:11" ht="24" customHeight="1">
      <c r="F1778" s="776">
        <v>0.48599999999999999</v>
      </c>
      <c r="G1778" s="708" t="s">
        <v>1361</v>
      </c>
      <c r="H1778" s="697" t="s">
        <v>358</v>
      </c>
      <c r="I1778" s="710">
        <f>K201</f>
        <v>4435.7299999999996</v>
      </c>
      <c r="J1778" s="697" t="s">
        <v>1361</v>
      </c>
      <c r="K1778" s="710">
        <f t="shared" si="227"/>
        <v>2155.7600000000002</v>
      </c>
    </row>
    <row r="1779" spans="6:11" ht="24" customHeight="1">
      <c r="F1779" s="710">
        <v>81.75</v>
      </c>
      <c r="G1779" s="708" t="s">
        <v>359</v>
      </c>
      <c r="H1779" s="697" t="s">
        <v>360</v>
      </c>
      <c r="I1779" s="710">
        <f>I742</f>
        <v>47.3</v>
      </c>
      <c r="J1779" s="697" t="s">
        <v>359</v>
      </c>
      <c r="K1779" s="710">
        <f t="shared" si="227"/>
        <v>3866.78</v>
      </c>
    </row>
    <row r="1780" spans="6:11" ht="24" customHeight="1">
      <c r="F1780" s="710">
        <v>7.2</v>
      </c>
      <c r="G1780" s="708" t="s">
        <v>359</v>
      </c>
      <c r="H1780" s="697" t="s">
        <v>361</v>
      </c>
      <c r="I1780" s="710">
        <f>I742</f>
        <v>47.3</v>
      </c>
      <c r="J1780" s="697" t="s">
        <v>359</v>
      </c>
      <c r="K1780" s="710">
        <f t="shared" si="227"/>
        <v>340.56</v>
      </c>
    </row>
    <row r="1781" spans="6:11" ht="24" customHeight="1">
      <c r="F1781" s="710">
        <v>43.68</v>
      </c>
      <c r="G1781" s="708" t="s">
        <v>359</v>
      </c>
      <c r="H1781" s="697" t="s">
        <v>1578</v>
      </c>
      <c r="I1781" s="710">
        <f>I740</f>
        <v>47.3</v>
      </c>
      <c r="J1781" s="697" t="s">
        <v>359</v>
      </c>
      <c r="K1781" s="710">
        <f t="shared" si="227"/>
        <v>2066.06</v>
      </c>
    </row>
    <row r="1782" spans="6:11" ht="24" customHeight="1">
      <c r="F1782" s="710">
        <v>132.63</v>
      </c>
      <c r="G1782" s="708" t="s">
        <v>359</v>
      </c>
      <c r="H1782" s="697" t="s">
        <v>1579</v>
      </c>
      <c r="I1782" s="710">
        <f>C35</f>
        <v>47.8</v>
      </c>
      <c r="J1782" s="697" t="s">
        <v>359</v>
      </c>
      <c r="K1782" s="710">
        <f t="shared" si="227"/>
        <v>6339.71</v>
      </c>
    </row>
    <row r="1783" spans="6:11" ht="24" customHeight="1">
      <c r="F1783" s="710">
        <v>2.2000000000000002</v>
      </c>
      <c r="G1783" s="708" t="s">
        <v>236</v>
      </c>
      <c r="H1783" s="697" t="s">
        <v>5263</v>
      </c>
      <c r="I1783" s="800">
        <v>970</v>
      </c>
      <c r="J1783" s="697" t="s">
        <v>236</v>
      </c>
      <c r="K1783" s="710">
        <f t="shared" si="227"/>
        <v>2134</v>
      </c>
    </row>
    <row r="1784" spans="6:11" ht="24" customHeight="1">
      <c r="F1784" s="805" t="s">
        <v>663</v>
      </c>
      <c r="H1784" s="697" t="s">
        <v>1580</v>
      </c>
      <c r="I1784" s="805" t="s">
        <v>663</v>
      </c>
      <c r="K1784" s="710">
        <v>250</v>
      </c>
    </row>
    <row r="1785" spans="6:11" ht="24" customHeight="1">
      <c r="F1785" s="805" t="s">
        <v>663</v>
      </c>
      <c r="H1785" s="697" t="s">
        <v>1420</v>
      </c>
      <c r="I1785" s="805" t="s">
        <v>663</v>
      </c>
      <c r="K1785" s="710">
        <v>20.47</v>
      </c>
    </row>
    <row r="1786" spans="6:11" ht="24" customHeight="1">
      <c r="K1786" s="705" t="s">
        <v>1609</v>
      </c>
    </row>
    <row r="1787" spans="6:11" ht="24" customHeight="1">
      <c r="K1787" s="710">
        <f>SUM(K1777:K1786)</f>
        <v>17220.29</v>
      </c>
    </row>
    <row r="1788" spans="6:11" ht="24" customHeight="1">
      <c r="K1788" s="705" t="s">
        <v>1609</v>
      </c>
    </row>
    <row r="1789" spans="6:11" ht="24" customHeight="1">
      <c r="K1789" s="705"/>
    </row>
    <row r="1790" spans="6:11" ht="24" customHeight="1">
      <c r="F1790" s="733">
        <v>86</v>
      </c>
      <c r="H1790" s="697" t="s">
        <v>2084</v>
      </c>
      <c r="K1790" s="737">
        <f>C803</f>
        <v>33.9</v>
      </c>
    </row>
    <row r="1791" spans="6:11" ht="24" customHeight="1">
      <c r="F1791" s="753"/>
      <c r="H1791" s="697"/>
      <c r="K1791" s="710"/>
    </row>
    <row r="1792" spans="6:11" ht="24" customHeight="1">
      <c r="F1792" s="698" t="s">
        <v>1676</v>
      </c>
      <c r="H1792" s="697" t="s">
        <v>4999</v>
      </c>
      <c r="K1792" s="736">
        <v>9.6</v>
      </c>
    </row>
    <row r="1793" spans="6:11" ht="24" customHeight="1">
      <c r="H1793" s="697" t="s">
        <v>2301</v>
      </c>
      <c r="K1793" s="699">
        <f>700*K1792</f>
        <v>6720</v>
      </c>
    </row>
    <row r="1794" spans="6:11" ht="24" customHeight="1">
      <c r="F1794" s="697" t="s">
        <v>987</v>
      </c>
      <c r="H1794" s="697" t="s">
        <v>2762</v>
      </c>
      <c r="K1794" s="699">
        <f>200*K1792</f>
        <v>1920</v>
      </c>
    </row>
    <row r="1795" spans="6:11" ht="24" customHeight="1">
      <c r="F1795" s="753"/>
      <c r="G1795" s="708" t="s">
        <v>2276</v>
      </c>
      <c r="H1795" s="697" t="s">
        <v>2072</v>
      </c>
    </row>
    <row r="1796" spans="6:11" ht="24" customHeight="1">
      <c r="H1796" s="697" t="s">
        <v>2302</v>
      </c>
    </row>
    <row r="1797" spans="6:11" ht="24" customHeight="1">
      <c r="H1797" s="697" t="s">
        <v>960</v>
      </c>
    </row>
    <row r="1798" spans="6:11" ht="24" customHeight="1">
      <c r="H1798" s="705" t="s">
        <v>1609</v>
      </c>
    </row>
    <row r="1799" spans="6:11" ht="24" customHeight="1">
      <c r="G1799" s="708" t="s">
        <v>2303</v>
      </c>
      <c r="H1799" s="697" t="s">
        <v>960</v>
      </c>
      <c r="K1799" s="697" t="s">
        <v>1473</v>
      </c>
    </row>
    <row r="1800" spans="6:11" ht="24" customHeight="1">
      <c r="H1800" s="705" t="s">
        <v>1609</v>
      </c>
      <c r="K1800" s="705" t="s">
        <v>2080</v>
      </c>
    </row>
    <row r="1801" spans="6:11" ht="24" customHeight="1">
      <c r="F1801" s="710">
        <v>30</v>
      </c>
      <c r="G1801" s="708" t="s">
        <v>1796</v>
      </c>
      <c r="H1801" s="697" t="s">
        <v>1689</v>
      </c>
      <c r="I1801" s="710">
        <f>(C658)</f>
        <v>9.1199999999999992</v>
      </c>
      <c r="J1801" s="697" t="s">
        <v>1796</v>
      </c>
      <c r="K1801" s="710">
        <f>(F1801*I1801)</f>
        <v>273.60000000000002</v>
      </c>
    </row>
    <row r="1802" spans="6:11" ht="24" customHeight="1">
      <c r="F1802" s="697" t="s">
        <v>987</v>
      </c>
      <c r="H1802" s="697" t="s">
        <v>1692</v>
      </c>
      <c r="I1802" s="697" t="s">
        <v>987</v>
      </c>
      <c r="K1802" s="697" t="s">
        <v>987</v>
      </c>
    </row>
    <row r="1803" spans="6:11" ht="24" customHeight="1">
      <c r="F1803" s="710">
        <v>8</v>
      </c>
      <c r="G1803" s="708" t="s">
        <v>877</v>
      </c>
      <c r="H1803" s="697" t="s">
        <v>2168</v>
      </c>
      <c r="I1803" s="710">
        <f>(C660)</f>
        <v>8.1</v>
      </c>
      <c r="J1803" s="697" t="s">
        <v>877</v>
      </c>
      <c r="K1803" s="710">
        <f t="shared" ref="K1803:K1809" si="228">(F1803*I1803)</f>
        <v>64.8</v>
      </c>
    </row>
    <row r="1804" spans="6:11" ht="24" customHeight="1">
      <c r="F1804" s="710">
        <v>8</v>
      </c>
      <c r="G1804" s="708" t="s">
        <v>877</v>
      </c>
      <c r="H1804" s="697" t="s">
        <v>468</v>
      </c>
      <c r="I1804" s="710">
        <f>(C669)</f>
        <v>11.5</v>
      </c>
      <c r="J1804" s="697" t="s">
        <v>877</v>
      </c>
      <c r="K1804" s="710">
        <f t="shared" si="228"/>
        <v>92</v>
      </c>
    </row>
    <row r="1805" spans="6:11" ht="24" customHeight="1">
      <c r="F1805" s="710">
        <v>3</v>
      </c>
      <c r="G1805" s="708" t="s">
        <v>877</v>
      </c>
      <c r="H1805" s="697" t="s">
        <v>1870</v>
      </c>
      <c r="I1805" s="710">
        <f>(C38)</f>
        <v>637</v>
      </c>
      <c r="J1805" s="697" t="s">
        <v>877</v>
      </c>
      <c r="K1805" s="710">
        <f t="shared" si="228"/>
        <v>1911</v>
      </c>
    </row>
    <row r="1806" spans="6:11" ht="24" customHeight="1">
      <c r="F1806" s="710">
        <v>1</v>
      </c>
      <c r="G1806" s="708" t="s">
        <v>877</v>
      </c>
      <c r="H1806" s="697" t="s">
        <v>1400</v>
      </c>
      <c r="I1806" s="710">
        <f>(C8)</f>
        <v>861</v>
      </c>
      <c r="J1806" s="697" t="s">
        <v>877</v>
      </c>
      <c r="K1806" s="710">
        <f t="shared" si="228"/>
        <v>861</v>
      </c>
    </row>
    <row r="1807" spans="6:11" ht="24" customHeight="1">
      <c r="F1807" s="710">
        <v>2</v>
      </c>
      <c r="G1807" s="708" t="s">
        <v>877</v>
      </c>
      <c r="H1807" s="697" t="s">
        <v>1927</v>
      </c>
      <c r="I1807" s="710">
        <f>(C10)</f>
        <v>562</v>
      </c>
      <c r="J1807" s="697" t="s">
        <v>877</v>
      </c>
      <c r="K1807" s="710">
        <f t="shared" si="228"/>
        <v>1124</v>
      </c>
    </row>
    <row r="1808" spans="6:11" ht="24" customHeight="1">
      <c r="F1808" s="710">
        <v>1</v>
      </c>
      <c r="G1808" s="708" t="s">
        <v>877</v>
      </c>
      <c r="H1808" s="697" t="s">
        <v>321</v>
      </c>
      <c r="I1808" s="710">
        <f>(C11)</f>
        <v>461</v>
      </c>
      <c r="J1808" s="697" t="s">
        <v>877</v>
      </c>
      <c r="K1808" s="710">
        <f t="shared" si="228"/>
        <v>461</v>
      </c>
    </row>
    <row r="1809" spans="6:11" ht="24" customHeight="1">
      <c r="F1809" s="710">
        <v>1</v>
      </c>
      <c r="G1809" s="708" t="s">
        <v>877</v>
      </c>
      <c r="H1809" s="697" t="s">
        <v>1401</v>
      </c>
      <c r="I1809" s="697">
        <v>5</v>
      </c>
      <c r="J1809" s="697" t="s">
        <v>1418</v>
      </c>
      <c r="K1809" s="710">
        <f t="shared" si="228"/>
        <v>5</v>
      </c>
    </row>
    <row r="1810" spans="6:11" ht="24" customHeight="1">
      <c r="H1810" s="697" t="s">
        <v>942</v>
      </c>
      <c r="I1810" s="697" t="s">
        <v>987</v>
      </c>
      <c r="K1810" s="697" t="s">
        <v>987</v>
      </c>
    </row>
    <row r="1811" spans="6:11" ht="24" customHeight="1">
      <c r="G1811" s="708" t="s">
        <v>450</v>
      </c>
      <c r="H1811" s="697" t="s">
        <v>451</v>
      </c>
      <c r="J1811" s="697" t="s">
        <v>450</v>
      </c>
      <c r="K1811" s="710">
        <v>0</v>
      </c>
    </row>
    <row r="1812" spans="6:11" ht="24" customHeight="1">
      <c r="K1812" s="705" t="s">
        <v>1609</v>
      </c>
    </row>
    <row r="1813" spans="6:11" ht="24" customHeight="1">
      <c r="H1813" s="697" t="s">
        <v>1875</v>
      </c>
      <c r="K1813" s="710">
        <f>SUM(K1801:K1811)</f>
        <v>4792.3999999999996</v>
      </c>
    </row>
    <row r="1814" spans="6:11" ht="24" customHeight="1">
      <c r="K1814" s="705" t="s">
        <v>1609</v>
      </c>
    </row>
    <row r="1815" spans="6:11" ht="24" customHeight="1">
      <c r="H1815" s="697" t="s">
        <v>1567</v>
      </c>
      <c r="K1815" s="710">
        <f>(K1813/30)</f>
        <v>159.75</v>
      </c>
    </row>
    <row r="1816" spans="6:11" ht="24" customHeight="1">
      <c r="K1816" s="705" t="s">
        <v>1609</v>
      </c>
    </row>
    <row r="1817" spans="6:11" ht="24" customHeight="1">
      <c r="G1817" s="708" t="s">
        <v>522</v>
      </c>
      <c r="H1817" s="697" t="s">
        <v>960</v>
      </c>
      <c r="K1817" s="697" t="s">
        <v>23</v>
      </c>
    </row>
    <row r="1818" spans="6:11" ht="24" customHeight="1">
      <c r="H1818" s="705" t="s">
        <v>1609</v>
      </c>
      <c r="K1818" s="705" t="s">
        <v>2080</v>
      </c>
    </row>
    <row r="1819" spans="6:11" ht="24" customHeight="1">
      <c r="F1819" s="710">
        <v>30</v>
      </c>
      <c r="G1819" s="708" t="s">
        <v>1796</v>
      </c>
      <c r="H1819" s="697" t="s">
        <v>1689</v>
      </c>
      <c r="I1819" s="710">
        <f>(C658)</f>
        <v>9.1199999999999992</v>
      </c>
      <c r="J1819" s="697" t="s">
        <v>1796</v>
      </c>
      <c r="K1819" s="710">
        <f>(F1819*I1819)</f>
        <v>273.60000000000002</v>
      </c>
    </row>
    <row r="1820" spans="6:11" ht="24" customHeight="1">
      <c r="F1820" s="697" t="s">
        <v>987</v>
      </c>
      <c r="H1820" s="697" t="s">
        <v>1692</v>
      </c>
      <c r="I1820" s="697" t="s">
        <v>987</v>
      </c>
      <c r="K1820" s="697" t="s">
        <v>987</v>
      </c>
    </row>
    <row r="1821" spans="6:11" ht="24" customHeight="1">
      <c r="F1821" s="710">
        <v>8</v>
      </c>
      <c r="G1821" s="708" t="s">
        <v>877</v>
      </c>
      <c r="H1821" s="697" t="s">
        <v>2168</v>
      </c>
      <c r="I1821" s="710">
        <f>(C660)</f>
        <v>8.1</v>
      </c>
      <c r="J1821" s="697" t="s">
        <v>877</v>
      </c>
      <c r="K1821" s="710">
        <f t="shared" ref="K1821:K1827" si="229">(F1821*I1821)</f>
        <v>64.8</v>
      </c>
    </row>
    <row r="1822" spans="6:11" ht="24" customHeight="1">
      <c r="F1822" s="710">
        <v>8</v>
      </c>
      <c r="G1822" s="708" t="s">
        <v>877</v>
      </c>
      <c r="H1822" s="697" t="s">
        <v>468</v>
      </c>
      <c r="I1822" s="710">
        <f>D669</f>
        <v>11.7</v>
      </c>
      <c r="J1822" s="697" t="s">
        <v>877</v>
      </c>
      <c r="K1822" s="710">
        <f t="shared" si="229"/>
        <v>93.6</v>
      </c>
    </row>
    <row r="1823" spans="6:11" ht="24" customHeight="1">
      <c r="F1823" s="710">
        <v>3</v>
      </c>
      <c r="G1823" s="708" t="s">
        <v>877</v>
      </c>
      <c r="H1823" s="697" t="s">
        <v>1870</v>
      </c>
      <c r="I1823" s="710">
        <f>(C38)</f>
        <v>637</v>
      </c>
      <c r="J1823" s="697" t="s">
        <v>877</v>
      </c>
      <c r="K1823" s="710">
        <f t="shared" si="229"/>
        <v>1911</v>
      </c>
    </row>
    <row r="1824" spans="6:11" ht="24" customHeight="1">
      <c r="F1824" s="710">
        <v>1</v>
      </c>
      <c r="G1824" s="708" t="s">
        <v>877</v>
      </c>
      <c r="H1824" s="697" t="s">
        <v>1400</v>
      </c>
      <c r="I1824" s="710">
        <f>(C8)</f>
        <v>861</v>
      </c>
      <c r="J1824" s="697" t="s">
        <v>877</v>
      </c>
      <c r="K1824" s="710">
        <f t="shared" si="229"/>
        <v>861</v>
      </c>
    </row>
    <row r="1825" spans="6:11" ht="24" customHeight="1">
      <c r="F1825" s="710">
        <v>2</v>
      </c>
      <c r="G1825" s="708" t="s">
        <v>877</v>
      </c>
      <c r="H1825" s="697" t="s">
        <v>1927</v>
      </c>
      <c r="I1825" s="710">
        <f>(C10)</f>
        <v>562</v>
      </c>
      <c r="J1825" s="697" t="s">
        <v>877</v>
      </c>
      <c r="K1825" s="710">
        <f t="shared" si="229"/>
        <v>1124</v>
      </c>
    </row>
    <row r="1826" spans="6:11" ht="24" customHeight="1">
      <c r="F1826" s="710">
        <v>1</v>
      </c>
      <c r="G1826" s="708" t="s">
        <v>877</v>
      </c>
      <c r="H1826" s="697" t="s">
        <v>321</v>
      </c>
      <c r="I1826" s="710">
        <f>(C11)</f>
        <v>461</v>
      </c>
      <c r="J1826" s="697" t="s">
        <v>877</v>
      </c>
      <c r="K1826" s="710">
        <f t="shared" si="229"/>
        <v>461</v>
      </c>
    </row>
    <row r="1827" spans="6:11" ht="24" customHeight="1">
      <c r="F1827" s="710">
        <v>1</v>
      </c>
      <c r="G1827" s="708" t="s">
        <v>877</v>
      </c>
      <c r="H1827" s="697" t="s">
        <v>1401</v>
      </c>
      <c r="I1827" s="697">
        <v>3</v>
      </c>
      <c r="J1827" s="697" t="s">
        <v>877</v>
      </c>
      <c r="K1827" s="710">
        <f t="shared" si="229"/>
        <v>3</v>
      </c>
    </row>
    <row r="1828" spans="6:11" ht="24" customHeight="1">
      <c r="H1828" s="697" t="s">
        <v>942</v>
      </c>
      <c r="I1828" s="697" t="s">
        <v>987</v>
      </c>
      <c r="K1828" s="697" t="s">
        <v>987</v>
      </c>
    </row>
    <row r="1829" spans="6:11" ht="24" customHeight="1">
      <c r="G1829" s="708" t="s">
        <v>450</v>
      </c>
      <c r="H1829" s="697" t="s">
        <v>451</v>
      </c>
      <c r="J1829" s="697" t="s">
        <v>450</v>
      </c>
      <c r="K1829" s="710">
        <v>0</v>
      </c>
    </row>
    <row r="1830" spans="6:11" ht="24" customHeight="1">
      <c r="K1830" s="705" t="s">
        <v>1609</v>
      </c>
    </row>
    <row r="1831" spans="6:11" ht="24" customHeight="1">
      <c r="H1831" s="697" t="s">
        <v>1875</v>
      </c>
      <c r="K1831" s="710">
        <f>SUM(K1819:K1829)</f>
        <v>4792</v>
      </c>
    </row>
    <row r="1832" spans="6:11" ht="24" customHeight="1">
      <c r="K1832" s="705" t="s">
        <v>1609</v>
      </c>
    </row>
    <row r="1833" spans="6:11" ht="24" customHeight="1">
      <c r="H1833" s="697" t="s">
        <v>1567</v>
      </c>
      <c r="K1833" s="710">
        <f>(K1831/30)</f>
        <v>159.72999999999999</v>
      </c>
    </row>
    <row r="1834" spans="6:11" ht="24" customHeight="1">
      <c r="K1834" s="705" t="s">
        <v>1609</v>
      </c>
    </row>
    <row r="1835" spans="6:11" ht="24" customHeight="1">
      <c r="G1835" s="708" t="s">
        <v>1932</v>
      </c>
      <c r="H1835" s="697" t="s">
        <v>960</v>
      </c>
      <c r="K1835" s="697" t="s">
        <v>24</v>
      </c>
    </row>
    <row r="1836" spans="6:11" ht="24" customHeight="1">
      <c r="H1836" s="705" t="s">
        <v>1609</v>
      </c>
      <c r="K1836" s="705" t="s">
        <v>2080</v>
      </c>
    </row>
    <row r="1837" spans="6:11" ht="24" customHeight="1">
      <c r="F1837" s="710">
        <v>30</v>
      </c>
      <c r="G1837" s="708" t="s">
        <v>1796</v>
      </c>
      <c r="H1837" s="697" t="s">
        <v>1689</v>
      </c>
      <c r="I1837" s="710">
        <f>(C658)</f>
        <v>9.1199999999999992</v>
      </c>
      <c r="J1837" s="697" t="s">
        <v>1796</v>
      </c>
      <c r="K1837" s="710">
        <f>(F1837*I1837)</f>
        <v>273.60000000000002</v>
      </c>
    </row>
    <row r="1838" spans="6:11" ht="24" customHeight="1">
      <c r="F1838" s="697" t="s">
        <v>987</v>
      </c>
      <c r="H1838" s="697" t="s">
        <v>1692</v>
      </c>
      <c r="I1838" s="697" t="s">
        <v>987</v>
      </c>
      <c r="K1838" s="697" t="s">
        <v>987</v>
      </c>
    </row>
    <row r="1839" spans="6:11" ht="24" customHeight="1">
      <c r="F1839" s="710">
        <v>8</v>
      </c>
      <c r="G1839" s="708" t="s">
        <v>877</v>
      </c>
      <c r="H1839" s="697" t="s">
        <v>2168</v>
      </c>
      <c r="I1839" s="710">
        <f>D660</f>
        <v>8.1</v>
      </c>
      <c r="J1839" s="697" t="s">
        <v>877</v>
      </c>
      <c r="K1839" s="710">
        <f t="shared" ref="K1839:K1845" si="230">(F1839*I1839)</f>
        <v>64.8</v>
      </c>
    </row>
    <row r="1840" spans="6:11" ht="24" customHeight="1">
      <c r="F1840" s="710">
        <v>8</v>
      </c>
      <c r="G1840" s="708" t="s">
        <v>877</v>
      </c>
      <c r="H1840" s="697" t="s">
        <v>468</v>
      </c>
      <c r="I1840" s="710">
        <f>C674</f>
        <v>32.700000000000003</v>
      </c>
      <c r="J1840" s="697" t="s">
        <v>877</v>
      </c>
      <c r="K1840" s="710">
        <f t="shared" si="230"/>
        <v>261.60000000000002</v>
      </c>
    </row>
    <row r="1841" spans="6:18" ht="24" customHeight="1">
      <c r="F1841" s="710">
        <v>3</v>
      </c>
      <c r="G1841" s="708" t="s">
        <v>877</v>
      </c>
      <c r="H1841" s="697" t="s">
        <v>1870</v>
      </c>
      <c r="I1841" s="710">
        <f>(C38)</f>
        <v>637</v>
      </c>
      <c r="J1841" s="697" t="s">
        <v>877</v>
      </c>
      <c r="K1841" s="710">
        <f t="shared" si="230"/>
        <v>1911</v>
      </c>
    </row>
    <row r="1842" spans="6:18" ht="24" customHeight="1">
      <c r="F1842" s="710">
        <v>1</v>
      </c>
      <c r="G1842" s="708" t="s">
        <v>877</v>
      </c>
      <c r="H1842" s="697" t="s">
        <v>1400</v>
      </c>
      <c r="I1842" s="710">
        <f>(C8)</f>
        <v>861</v>
      </c>
      <c r="J1842" s="697" t="s">
        <v>877</v>
      </c>
      <c r="K1842" s="710">
        <f t="shared" si="230"/>
        <v>861</v>
      </c>
    </row>
    <row r="1843" spans="6:18" ht="24" customHeight="1">
      <c r="F1843" s="710">
        <v>2</v>
      </c>
      <c r="G1843" s="708" t="s">
        <v>877</v>
      </c>
      <c r="H1843" s="697" t="s">
        <v>1927</v>
      </c>
      <c r="I1843" s="710">
        <f>(C10)</f>
        <v>562</v>
      </c>
      <c r="J1843" s="697" t="s">
        <v>877</v>
      </c>
      <c r="K1843" s="710">
        <f t="shared" si="230"/>
        <v>1124</v>
      </c>
    </row>
    <row r="1844" spans="6:18" ht="24" customHeight="1">
      <c r="F1844" s="710">
        <v>1</v>
      </c>
      <c r="G1844" s="708" t="s">
        <v>877</v>
      </c>
      <c r="H1844" s="697" t="s">
        <v>321</v>
      </c>
      <c r="I1844" s="710">
        <f>(C11)</f>
        <v>461</v>
      </c>
      <c r="J1844" s="697" t="s">
        <v>877</v>
      </c>
      <c r="K1844" s="710">
        <f t="shared" si="230"/>
        <v>461</v>
      </c>
    </row>
    <row r="1845" spans="6:18" ht="24" customHeight="1">
      <c r="F1845" s="710">
        <v>1</v>
      </c>
      <c r="G1845" s="708" t="s">
        <v>877</v>
      </c>
      <c r="H1845" s="697" t="s">
        <v>1401</v>
      </c>
      <c r="I1845" s="697">
        <v>5.26</v>
      </c>
      <c r="J1845" s="697" t="s">
        <v>877</v>
      </c>
      <c r="K1845" s="710">
        <f t="shared" si="230"/>
        <v>5.26</v>
      </c>
    </row>
    <row r="1846" spans="6:18" ht="24" customHeight="1">
      <c r="H1846" s="697" t="s">
        <v>942</v>
      </c>
      <c r="I1846" s="697" t="s">
        <v>987</v>
      </c>
      <c r="K1846" s="697" t="s">
        <v>987</v>
      </c>
    </row>
    <row r="1847" spans="6:18" ht="24" customHeight="1">
      <c r="G1847" s="708" t="s">
        <v>450</v>
      </c>
      <c r="H1847" s="697" t="s">
        <v>451</v>
      </c>
      <c r="J1847" s="697" t="s">
        <v>450</v>
      </c>
      <c r="K1847" s="710">
        <v>0</v>
      </c>
    </row>
    <row r="1848" spans="6:18" ht="24" customHeight="1">
      <c r="K1848" s="705" t="s">
        <v>1609</v>
      </c>
    </row>
    <row r="1849" spans="6:18" ht="24" customHeight="1">
      <c r="H1849" s="697" t="s">
        <v>1875</v>
      </c>
      <c r="K1849" s="710">
        <f>SUM(K1837:K1847)</f>
        <v>4962.26</v>
      </c>
    </row>
    <row r="1850" spans="6:18" ht="24" customHeight="1">
      <c r="K1850" s="705" t="s">
        <v>1609</v>
      </c>
    </row>
    <row r="1851" spans="6:18" ht="24" customHeight="1">
      <c r="H1851" s="697" t="s">
        <v>1567</v>
      </c>
      <c r="K1851" s="710">
        <f>(K1849/30)</f>
        <v>165.41</v>
      </c>
      <c r="N1851" s="708" t="s">
        <v>1932</v>
      </c>
      <c r="O1851" s="697" t="s">
        <v>960</v>
      </c>
      <c r="Q1851" s="702"/>
      <c r="R1851" s="697" t="s">
        <v>1749</v>
      </c>
    </row>
    <row r="1852" spans="6:18" ht="24" customHeight="1">
      <c r="K1852" s="705" t="s">
        <v>1609</v>
      </c>
      <c r="N1852" s="700"/>
      <c r="O1852" s="705" t="s">
        <v>1609</v>
      </c>
      <c r="Q1852" s="702"/>
      <c r="R1852" s="705" t="s">
        <v>2080</v>
      </c>
    </row>
    <row r="1853" spans="6:18" ht="24" customHeight="1">
      <c r="M1853" s="710">
        <v>30</v>
      </c>
      <c r="N1853" s="708" t="s">
        <v>1796</v>
      </c>
      <c r="O1853" s="697" t="s">
        <v>1689</v>
      </c>
      <c r="P1853" s="710">
        <f>I1837</f>
        <v>9.1199999999999992</v>
      </c>
      <c r="Q1853" s="697" t="s">
        <v>1796</v>
      </c>
      <c r="R1853" s="710">
        <f>(M1853*P1853)</f>
        <v>273.60000000000002</v>
      </c>
    </row>
    <row r="1854" spans="6:18" ht="24" customHeight="1">
      <c r="F1854" s="931">
        <v>52</v>
      </c>
      <c r="G1854" s="708" t="s">
        <v>2276</v>
      </c>
      <c r="H1854" s="697" t="s">
        <v>101</v>
      </c>
      <c r="M1854" s="697" t="s">
        <v>987</v>
      </c>
      <c r="N1854" s="700"/>
      <c r="O1854" s="697" t="s">
        <v>1692</v>
      </c>
      <c r="P1854" s="710" t="str">
        <f t="shared" ref="P1854:P1863" si="231">I1838</f>
        <v xml:space="preserve"> </v>
      </c>
      <c r="Q1854" s="702"/>
      <c r="R1854" s="697" t="s">
        <v>987</v>
      </c>
    </row>
    <row r="1855" spans="6:18" ht="24" customHeight="1">
      <c r="H1855" s="697" t="s">
        <v>2194</v>
      </c>
      <c r="M1855" s="710">
        <v>8</v>
      </c>
      <c r="N1855" s="708" t="s">
        <v>877</v>
      </c>
      <c r="O1855" s="769" t="s">
        <v>4381</v>
      </c>
      <c r="P1855" s="724">
        <v>11.7</v>
      </c>
      <c r="Q1855" s="697" t="s">
        <v>877</v>
      </c>
      <c r="R1855" s="710">
        <f t="shared" ref="R1855:R1860" si="232">(M1855*P1855)</f>
        <v>93.6</v>
      </c>
    </row>
    <row r="1856" spans="6:18" ht="24" customHeight="1">
      <c r="H1856" s="697" t="s">
        <v>2195</v>
      </c>
      <c r="M1856" s="710">
        <v>8</v>
      </c>
      <c r="N1856" s="708" t="s">
        <v>877</v>
      </c>
      <c r="O1856" s="769" t="s">
        <v>4382</v>
      </c>
      <c r="P1856" s="724">
        <v>32.700000000000003</v>
      </c>
      <c r="Q1856" s="697" t="s">
        <v>877</v>
      </c>
      <c r="R1856" s="710">
        <f t="shared" si="232"/>
        <v>261.60000000000002</v>
      </c>
    </row>
    <row r="1857" spans="6:18" ht="24" customHeight="1">
      <c r="H1857" s="697" t="s">
        <v>1426</v>
      </c>
      <c r="M1857" s="710">
        <v>3</v>
      </c>
      <c r="N1857" s="708" t="s">
        <v>877</v>
      </c>
      <c r="O1857" s="697" t="s">
        <v>1870</v>
      </c>
      <c r="P1857" s="710">
        <f t="shared" si="231"/>
        <v>637</v>
      </c>
      <c r="Q1857" s="697" t="s">
        <v>877</v>
      </c>
      <c r="R1857" s="710">
        <f t="shared" si="232"/>
        <v>1911</v>
      </c>
    </row>
    <row r="1858" spans="6:18" ht="24" customHeight="1">
      <c r="H1858" s="697" t="s">
        <v>1427</v>
      </c>
      <c r="M1858" s="710">
        <v>1</v>
      </c>
      <c r="N1858" s="708" t="s">
        <v>877</v>
      </c>
      <c r="O1858" s="697" t="s">
        <v>1400</v>
      </c>
      <c r="P1858" s="710">
        <f t="shared" si="231"/>
        <v>861</v>
      </c>
      <c r="Q1858" s="697" t="s">
        <v>877</v>
      </c>
      <c r="R1858" s="710">
        <f t="shared" si="232"/>
        <v>861</v>
      </c>
    </row>
    <row r="1859" spans="6:18" ht="24" customHeight="1">
      <c r="H1859" s="697" t="s">
        <v>1371</v>
      </c>
      <c r="M1859" s="710">
        <v>2</v>
      </c>
      <c r="N1859" s="708" t="s">
        <v>877</v>
      </c>
      <c r="O1859" s="697" t="s">
        <v>1927</v>
      </c>
      <c r="P1859" s="710">
        <f t="shared" si="231"/>
        <v>562</v>
      </c>
      <c r="Q1859" s="697" t="s">
        <v>877</v>
      </c>
      <c r="R1859" s="710">
        <f t="shared" si="232"/>
        <v>1124</v>
      </c>
    </row>
    <row r="1860" spans="6:18" ht="24" customHeight="1">
      <c r="H1860" s="697" t="s">
        <v>1372</v>
      </c>
      <c r="M1860" s="710">
        <v>1</v>
      </c>
      <c r="N1860" s="708" t="s">
        <v>877</v>
      </c>
      <c r="O1860" s="697" t="s">
        <v>321</v>
      </c>
      <c r="P1860" s="710">
        <f t="shared" si="231"/>
        <v>461</v>
      </c>
      <c r="Q1860" s="697" t="s">
        <v>877</v>
      </c>
      <c r="R1860" s="710">
        <f t="shared" si="232"/>
        <v>461</v>
      </c>
    </row>
    <row r="1861" spans="6:18" ht="24" customHeight="1">
      <c r="H1861" s="697" t="s">
        <v>716</v>
      </c>
      <c r="N1861" s="708" t="s">
        <v>450</v>
      </c>
      <c r="O1861" s="697" t="s">
        <v>1401</v>
      </c>
      <c r="P1861" s="710">
        <f t="shared" si="231"/>
        <v>5.26</v>
      </c>
      <c r="Q1861" s="697" t="s">
        <v>450</v>
      </c>
      <c r="R1861" s="710">
        <v>5</v>
      </c>
    </row>
    <row r="1862" spans="6:18" ht="24" customHeight="1">
      <c r="H1862" s="705" t="s">
        <v>2080</v>
      </c>
      <c r="I1862" s="705" t="s">
        <v>2080</v>
      </c>
      <c r="N1862" s="700"/>
      <c r="O1862" s="697" t="s">
        <v>942</v>
      </c>
      <c r="P1862" s="710" t="str">
        <f t="shared" si="231"/>
        <v xml:space="preserve"> </v>
      </c>
      <c r="Q1862" s="702"/>
      <c r="R1862" s="697" t="s">
        <v>987</v>
      </c>
    </row>
    <row r="1863" spans="6:18" ht="24" customHeight="1">
      <c r="G1863" s="708" t="s">
        <v>2276</v>
      </c>
      <c r="H1863" s="697" t="s">
        <v>927</v>
      </c>
      <c r="N1863" s="708" t="s">
        <v>450</v>
      </c>
      <c r="O1863" s="697" t="s">
        <v>451</v>
      </c>
      <c r="P1863" s="710">
        <f t="shared" si="231"/>
        <v>0</v>
      </c>
      <c r="Q1863" s="697" t="s">
        <v>450</v>
      </c>
      <c r="R1863" s="710">
        <v>0</v>
      </c>
    </row>
    <row r="1864" spans="6:18" ht="24" customHeight="1">
      <c r="H1864" s="697" t="s">
        <v>815</v>
      </c>
      <c r="N1864" s="700"/>
      <c r="Q1864" s="702"/>
      <c r="R1864" s="705" t="s">
        <v>1609</v>
      </c>
    </row>
    <row r="1865" spans="6:18" ht="24" customHeight="1">
      <c r="G1865" s="708" t="s">
        <v>317</v>
      </c>
      <c r="H1865" s="697" t="s">
        <v>816</v>
      </c>
      <c r="N1865" s="700"/>
      <c r="O1865" s="697" t="s">
        <v>1875</v>
      </c>
      <c r="Q1865" s="702"/>
      <c r="R1865" s="710">
        <f>SUM(R1853:R1863)</f>
        <v>4990.8</v>
      </c>
    </row>
    <row r="1866" spans="6:18" ht="24" customHeight="1">
      <c r="H1866" s="705" t="s">
        <v>1609</v>
      </c>
      <c r="N1866" s="700"/>
      <c r="Q1866" s="702"/>
      <c r="R1866" s="705" t="s">
        <v>1609</v>
      </c>
    </row>
    <row r="1867" spans="6:18" ht="24" customHeight="1">
      <c r="F1867" s="710">
        <v>1</v>
      </c>
      <c r="G1867" s="708" t="s">
        <v>835</v>
      </c>
      <c r="H1867" s="697" t="s">
        <v>624</v>
      </c>
      <c r="I1867" s="710">
        <f>C514</f>
        <v>26</v>
      </c>
      <c r="J1867" s="697" t="s">
        <v>835</v>
      </c>
      <c r="K1867" s="710">
        <f>(F1867*I1867)</f>
        <v>26</v>
      </c>
      <c r="N1867" s="700"/>
      <c r="O1867" s="697" t="s">
        <v>1567</v>
      </c>
      <c r="Q1867" s="702"/>
      <c r="R1867" s="710">
        <f>(R1865/30)</f>
        <v>166.36</v>
      </c>
    </row>
    <row r="1868" spans="6:18" ht="24" customHeight="1">
      <c r="F1868" s="710">
        <v>1</v>
      </c>
      <c r="G1868" s="708" t="s">
        <v>450</v>
      </c>
      <c r="H1868" s="697" t="s">
        <v>1826</v>
      </c>
      <c r="I1868" s="710">
        <f>I1867*0.7</f>
        <v>18.2</v>
      </c>
      <c r="J1868" s="697" t="s">
        <v>450</v>
      </c>
      <c r="K1868" s="710">
        <f>(F1868*I1868)</f>
        <v>18.2</v>
      </c>
      <c r="N1868" s="700"/>
      <c r="Q1868" s="702"/>
      <c r="R1868" s="705" t="s">
        <v>1609</v>
      </c>
    </row>
    <row r="1869" spans="6:18" ht="24" customHeight="1">
      <c r="F1869" s="710">
        <v>1</v>
      </c>
      <c r="G1869" s="708" t="s">
        <v>835</v>
      </c>
      <c r="H1869" s="697" t="s">
        <v>163</v>
      </c>
      <c r="I1869" s="710">
        <f>K1815</f>
        <v>159.75</v>
      </c>
      <c r="J1869" s="697" t="s">
        <v>835</v>
      </c>
      <c r="K1869" s="710">
        <f>(F1869*I1869)</f>
        <v>159.75</v>
      </c>
    </row>
    <row r="1870" spans="6:18" ht="24" customHeight="1">
      <c r="I1870" s="697" t="s">
        <v>987</v>
      </c>
      <c r="K1870" s="705" t="s">
        <v>1609</v>
      </c>
    </row>
    <row r="1871" spans="6:18" ht="24" customHeight="1">
      <c r="H1871" s="697" t="s">
        <v>377</v>
      </c>
      <c r="K1871" s="709">
        <f>SUM(K1867:K1869)</f>
        <v>203.95</v>
      </c>
    </row>
    <row r="1872" spans="6:18" ht="24" customHeight="1">
      <c r="H1872" s="697" t="s">
        <v>987</v>
      </c>
      <c r="I1872" s="697" t="s">
        <v>987</v>
      </c>
      <c r="K1872" s="705" t="s">
        <v>2080</v>
      </c>
      <c r="N1872" s="708" t="s">
        <v>1932</v>
      </c>
      <c r="O1872" s="697" t="s">
        <v>5136</v>
      </c>
      <c r="Q1872" s="702"/>
    </row>
    <row r="1873" spans="6:18" ht="24" customHeight="1">
      <c r="G1873" s="708" t="s">
        <v>522</v>
      </c>
      <c r="H1873" s="697" t="s">
        <v>750</v>
      </c>
      <c r="N1873" s="700"/>
      <c r="O1873" s="705" t="s">
        <v>1609</v>
      </c>
      <c r="Q1873" s="702"/>
    </row>
    <row r="1874" spans="6:18" ht="24" customHeight="1">
      <c r="H1874" s="705" t="s">
        <v>1609</v>
      </c>
      <c r="M1874" s="710">
        <v>1</v>
      </c>
      <c r="N1874" s="708" t="s">
        <v>835</v>
      </c>
      <c r="O1874" s="697" t="s">
        <v>2950</v>
      </c>
      <c r="P1874" s="710">
        <v>127.4</v>
      </c>
      <c r="Q1874" s="697" t="s">
        <v>835</v>
      </c>
      <c r="R1874" s="710">
        <f>(M1874*P1874)</f>
        <v>127.4</v>
      </c>
    </row>
    <row r="1875" spans="6:18" ht="24" customHeight="1">
      <c r="F1875" s="710">
        <v>1</v>
      </c>
      <c r="G1875" s="708" t="s">
        <v>835</v>
      </c>
      <c r="H1875" s="697" t="s">
        <v>751</v>
      </c>
      <c r="I1875" s="710">
        <f>C515</f>
        <v>35</v>
      </c>
      <c r="J1875" s="697" t="s">
        <v>835</v>
      </c>
      <c r="K1875" s="710">
        <f>(F1875*I1875)</f>
        <v>35</v>
      </c>
      <c r="M1875" s="710">
        <v>1</v>
      </c>
      <c r="N1875" s="708" t="s">
        <v>450</v>
      </c>
      <c r="O1875" s="697" t="s">
        <v>1697</v>
      </c>
      <c r="P1875" s="710">
        <f>P1874*0.2</f>
        <v>25.48</v>
      </c>
      <c r="Q1875" s="697" t="s">
        <v>450</v>
      </c>
      <c r="R1875" s="710">
        <f>(M1875*P1875)</f>
        <v>25.48</v>
      </c>
    </row>
    <row r="1876" spans="6:18" ht="24" customHeight="1">
      <c r="F1876" s="710">
        <v>1</v>
      </c>
      <c r="G1876" s="708" t="s">
        <v>450</v>
      </c>
      <c r="H1876" s="697" t="s">
        <v>902</v>
      </c>
      <c r="I1876" s="710">
        <f>I1875*0.4</f>
        <v>14</v>
      </c>
      <c r="J1876" s="697" t="s">
        <v>450</v>
      </c>
      <c r="K1876" s="710">
        <f>(F1876*I1876)</f>
        <v>14</v>
      </c>
      <c r="M1876" s="710">
        <v>1</v>
      </c>
      <c r="N1876" s="708" t="s">
        <v>835</v>
      </c>
      <c r="O1876" s="697" t="s">
        <v>163</v>
      </c>
      <c r="P1876" s="710">
        <f>R1867</f>
        <v>166.36</v>
      </c>
      <c r="Q1876" s="697" t="s">
        <v>835</v>
      </c>
      <c r="R1876" s="710">
        <f>(M1876*P1876)</f>
        <v>166.36</v>
      </c>
    </row>
    <row r="1877" spans="6:18" ht="24" customHeight="1">
      <c r="F1877" s="710">
        <v>1</v>
      </c>
      <c r="G1877" s="708" t="s">
        <v>835</v>
      </c>
      <c r="H1877" s="697" t="s">
        <v>163</v>
      </c>
      <c r="I1877" s="710">
        <f>K1833</f>
        <v>159.72999999999999</v>
      </c>
      <c r="J1877" s="697" t="s">
        <v>835</v>
      </c>
      <c r="K1877" s="710">
        <f>(F1877*I1877)</f>
        <v>159.72999999999999</v>
      </c>
      <c r="N1877" s="700"/>
      <c r="P1877" s="697" t="s">
        <v>987</v>
      </c>
      <c r="Q1877" s="702"/>
      <c r="R1877" s="705" t="s">
        <v>1609</v>
      </c>
    </row>
    <row r="1878" spans="6:18" ht="24" customHeight="1">
      <c r="I1878" s="697" t="s">
        <v>987</v>
      </c>
      <c r="K1878" s="705" t="s">
        <v>1609</v>
      </c>
      <c r="N1878" s="700"/>
      <c r="O1878" s="697" t="s">
        <v>377</v>
      </c>
      <c r="Q1878" s="702"/>
      <c r="R1878" s="709">
        <f>SUM(R1874:R1876)</f>
        <v>319.24</v>
      </c>
    </row>
    <row r="1879" spans="6:18" ht="24" customHeight="1">
      <c r="H1879" s="697" t="s">
        <v>377</v>
      </c>
      <c r="K1879" s="709">
        <f>SUM(K1875:K1877)</f>
        <v>208.73</v>
      </c>
      <c r="N1879" s="700"/>
      <c r="P1879" s="697" t="s">
        <v>987</v>
      </c>
      <c r="Q1879" s="702"/>
      <c r="R1879" s="705" t="s">
        <v>2080</v>
      </c>
    </row>
    <row r="1880" spans="6:18" ht="24" customHeight="1">
      <c r="I1880" s="697" t="s">
        <v>987</v>
      </c>
      <c r="K1880" s="705" t="s">
        <v>2080</v>
      </c>
    </row>
    <row r="1881" spans="6:18" ht="49.5" customHeight="1">
      <c r="G1881" s="708" t="s">
        <v>1932</v>
      </c>
      <c r="H1881" s="697" t="s">
        <v>375</v>
      </c>
    </row>
    <row r="1882" spans="6:18" ht="24" customHeight="1">
      <c r="H1882" s="705" t="s">
        <v>1609</v>
      </c>
      <c r="N1882" s="708" t="s">
        <v>1932</v>
      </c>
      <c r="O1882" s="697" t="s">
        <v>960</v>
      </c>
      <c r="Q1882" s="702"/>
      <c r="R1882" s="697" t="s">
        <v>3642</v>
      </c>
    </row>
    <row r="1883" spans="6:18" ht="24" customHeight="1">
      <c r="F1883" s="710">
        <v>1</v>
      </c>
      <c r="G1883" s="708" t="s">
        <v>835</v>
      </c>
      <c r="H1883" s="697" t="s">
        <v>1696</v>
      </c>
      <c r="I1883" s="710">
        <v>52</v>
      </c>
      <c r="J1883" s="697" t="s">
        <v>835</v>
      </c>
      <c r="K1883" s="710">
        <f>(F1883*I1883)</f>
        <v>52</v>
      </c>
      <c r="N1883" s="700"/>
      <c r="O1883" s="705" t="s">
        <v>1609</v>
      </c>
      <c r="Q1883" s="702"/>
      <c r="R1883" s="705" t="s">
        <v>2080</v>
      </c>
    </row>
    <row r="1884" spans="6:18" ht="24" customHeight="1">
      <c r="F1884" s="710">
        <v>1</v>
      </c>
      <c r="G1884" s="708" t="s">
        <v>450</v>
      </c>
      <c r="H1884" s="697" t="s">
        <v>1697</v>
      </c>
      <c r="I1884" s="710">
        <f>I1883*0.2</f>
        <v>10.4</v>
      </c>
      <c r="J1884" s="697" t="s">
        <v>450</v>
      </c>
      <c r="K1884" s="710">
        <f>(F1884*I1884)</f>
        <v>10.4</v>
      </c>
      <c r="M1884" s="710">
        <v>30</v>
      </c>
      <c r="N1884" s="708" t="s">
        <v>1796</v>
      </c>
      <c r="O1884" s="697" t="s">
        <v>5137</v>
      </c>
      <c r="P1884" s="710">
        <v>15.43</v>
      </c>
      <c r="Q1884" s="697" t="s">
        <v>1796</v>
      </c>
      <c r="R1884" s="710">
        <f>(M1884*P1884)</f>
        <v>462.9</v>
      </c>
    </row>
    <row r="1885" spans="6:18" ht="24" customHeight="1">
      <c r="F1885" s="710">
        <v>1</v>
      </c>
      <c r="G1885" s="708" t="s">
        <v>835</v>
      </c>
      <c r="H1885" s="697" t="s">
        <v>163</v>
      </c>
      <c r="I1885" s="710">
        <f>K1851</f>
        <v>165.41</v>
      </c>
      <c r="J1885" s="697" t="s">
        <v>835</v>
      </c>
      <c r="K1885" s="710">
        <f>(F1885*I1885)</f>
        <v>165.41</v>
      </c>
      <c r="M1885" s="697" t="s">
        <v>987</v>
      </c>
      <c r="N1885" s="700"/>
      <c r="O1885" s="697" t="s">
        <v>5138</v>
      </c>
      <c r="P1885" s="710" t="str">
        <f t="shared" ref="P1885:P1893" si="233">P1854</f>
        <v xml:space="preserve"> </v>
      </c>
      <c r="Q1885" s="702"/>
      <c r="R1885" s="697" t="s">
        <v>987</v>
      </c>
    </row>
    <row r="1886" spans="6:18" ht="24" customHeight="1">
      <c r="I1886" s="697" t="s">
        <v>987</v>
      </c>
      <c r="K1886" s="705" t="s">
        <v>1609</v>
      </c>
      <c r="M1886" s="710">
        <v>8</v>
      </c>
      <c r="N1886" s="708" t="s">
        <v>877</v>
      </c>
      <c r="O1886" s="697" t="s">
        <v>5139</v>
      </c>
      <c r="P1886" s="718">
        <v>15.8</v>
      </c>
      <c r="Q1886" s="697" t="s">
        <v>877</v>
      </c>
      <c r="R1886" s="710">
        <f t="shared" ref="R1886:R1891" si="234">(M1886*P1886)</f>
        <v>126.4</v>
      </c>
    </row>
    <row r="1887" spans="6:18" ht="24" customHeight="1">
      <c r="H1887" s="697" t="s">
        <v>377</v>
      </c>
      <c r="K1887" s="709">
        <f>SUM(K1883:K1885)</f>
        <v>227.81</v>
      </c>
      <c r="M1887" s="710">
        <v>8</v>
      </c>
      <c r="N1887" s="708" t="s">
        <v>877</v>
      </c>
      <c r="O1887" s="697" t="s">
        <v>5140</v>
      </c>
      <c r="P1887" s="718">
        <v>36.799999999999997</v>
      </c>
      <c r="Q1887" s="697" t="s">
        <v>877</v>
      </c>
      <c r="R1887" s="710">
        <f t="shared" si="234"/>
        <v>294.39999999999998</v>
      </c>
    </row>
    <row r="1888" spans="6:18" ht="36.75" customHeight="1">
      <c r="I1888" s="697" t="s">
        <v>987</v>
      </c>
      <c r="K1888" s="705" t="s">
        <v>2080</v>
      </c>
      <c r="M1888" s="710">
        <v>3</v>
      </c>
      <c r="N1888" s="708" t="s">
        <v>877</v>
      </c>
      <c r="O1888" s="697" t="s">
        <v>1870</v>
      </c>
      <c r="P1888" s="710">
        <f t="shared" si="233"/>
        <v>637</v>
      </c>
      <c r="Q1888" s="697" t="s">
        <v>877</v>
      </c>
      <c r="R1888" s="710">
        <f t="shared" si="234"/>
        <v>1911</v>
      </c>
    </row>
    <row r="1889" spans="6:18" ht="24" customHeight="1">
      <c r="I1889" s="697"/>
      <c r="K1889" s="705"/>
      <c r="M1889" s="710">
        <v>1</v>
      </c>
      <c r="N1889" s="708" t="s">
        <v>877</v>
      </c>
      <c r="O1889" s="697" t="s">
        <v>1400</v>
      </c>
      <c r="P1889" s="710">
        <f t="shared" si="233"/>
        <v>861</v>
      </c>
      <c r="Q1889" s="697" t="s">
        <v>877</v>
      </c>
      <c r="R1889" s="710">
        <f t="shared" si="234"/>
        <v>861</v>
      </c>
    </row>
    <row r="1890" spans="6:18" ht="24" customHeight="1">
      <c r="G1890" s="708" t="s">
        <v>1932</v>
      </c>
      <c r="H1890" s="697" t="s">
        <v>3639</v>
      </c>
      <c r="M1890" s="710">
        <v>2</v>
      </c>
      <c r="N1890" s="708" t="s">
        <v>877</v>
      </c>
      <c r="O1890" s="697" t="s">
        <v>1927</v>
      </c>
      <c r="P1890" s="710">
        <f t="shared" si="233"/>
        <v>562</v>
      </c>
      <c r="Q1890" s="697" t="s">
        <v>877</v>
      </c>
      <c r="R1890" s="710">
        <f t="shared" si="234"/>
        <v>1124</v>
      </c>
    </row>
    <row r="1891" spans="6:18" ht="24" customHeight="1">
      <c r="H1891" s="705" t="s">
        <v>1609</v>
      </c>
      <c r="M1891" s="710">
        <v>1</v>
      </c>
      <c r="N1891" s="708" t="s">
        <v>877</v>
      </c>
      <c r="O1891" s="697" t="s">
        <v>321</v>
      </c>
      <c r="P1891" s="710">
        <f t="shared" si="233"/>
        <v>461</v>
      </c>
      <c r="Q1891" s="697" t="s">
        <v>877</v>
      </c>
      <c r="R1891" s="710">
        <f t="shared" si="234"/>
        <v>461</v>
      </c>
    </row>
    <row r="1892" spans="6:18" ht="24" customHeight="1">
      <c r="F1892" s="710">
        <v>1</v>
      </c>
      <c r="G1892" s="708" t="s">
        <v>835</v>
      </c>
      <c r="H1892" s="697" t="s">
        <v>3640</v>
      </c>
      <c r="I1892" s="710">
        <f>C518</f>
        <v>82</v>
      </c>
      <c r="J1892" s="697" t="s">
        <v>835</v>
      </c>
      <c r="K1892" s="710">
        <f>(F1892*I1892)</f>
        <v>82</v>
      </c>
      <c r="N1892" s="708" t="s">
        <v>450</v>
      </c>
      <c r="O1892" s="697" t="s">
        <v>1401</v>
      </c>
      <c r="P1892" s="710">
        <f t="shared" si="233"/>
        <v>5.26</v>
      </c>
      <c r="Q1892" s="697" t="s">
        <v>450</v>
      </c>
      <c r="R1892" s="710">
        <v>5</v>
      </c>
    </row>
    <row r="1893" spans="6:18" ht="24" customHeight="1">
      <c r="F1893" s="710">
        <v>1</v>
      </c>
      <c r="G1893" s="708" t="s">
        <v>450</v>
      </c>
      <c r="H1893" s="697" t="s">
        <v>1697</v>
      </c>
      <c r="I1893" s="710">
        <f>I1892*0.2</f>
        <v>16.399999999999999</v>
      </c>
      <c r="J1893" s="697" t="s">
        <v>450</v>
      </c>
      <c r="K1893" s="710">
        <f>(F1893*I1893)</f>
        <v>16.399999999999999</v>
      </c>
      <c r="N1893" s="700"/>
      <c r="O1893" s="697" t="s">
        <v>942</v>
      </c>
      <c r="P1893" s="710" t="str">
        <f t="shared" si="233"/>
        <v xml:space="preserve"> </v>
      </c>
      <c r="Q1893" s="702"/>
      <c r="R1893" s="697" t="s">
        <v>987</v>
      </c>
    </row>
    <row r="1894" spans="6:18" ht="24" customHeight="1">
      <c r="F1894" s="710">
        <v>1</v>
      </c>
      <c r="G1894" s="708" t="s">
        <v>835</v>
      </c>
      <c r="H1894" s="697" t="s">
        <v>163</v>
      </c>
      <c r="I1894" s="710">
        <f>I1885</f>
        <v>165.41</v>
      </c>
      <c r="J1894" s="697" t="s">
        <v>835</v>
      </c>
      <c r="K1894" s="710">
        <f>(F1894*I1894)</f>
        <v>165.41</v>
      </c>
      <c r="N1894" s="708" t="s">
        <v>450</v>
      </c>
      <c r="O1894" s="697" t="s">
        <v>451</v>
      </c>
      <c r="P1894" s="710" t="str">
        <f>I1878</f>
        <v xml:space="preserve"> </v>
      </c>
      <c r="Q1894" s="697" t="s">
        <v>450</v>
      </c>
      <c r="R1894" s="710">
        <v>0</v>
      </c>
    </row>
    <row r="1895" spans="6:18" ht="24" customHeight="1">
      <c r="I1895" s="697" t="s">
        <v>987</v>
      </c>
      <c r="K1895" s="705" t="s">
        <v>1609</v>
      </c>
      <c r="N1895" s="700"/>
      <c r="Q1895" s="702"/>
      <c r="R1895" s="705" t="s">
        <v>1609</v>
      </c>
    </row>
    <row r="1896" spans="6:18" ht="24" customHeight="1">
      <c r="H1896" s="697" t="s">
        <v>377</v>
      </c>
      <c r="K1896" s="709">
        <f>SUM(K1892:K1894)</f>
        <v>263.81</v>
      </c>
      <c r="N1896" s="700"/>
      <c r="O1896" s="697" t="s">
        <v>1875</v>
      </c>
      <c r="Q1896" s="702"/>
      <c r="R1896" s="710">
        <f>SUM(R1884:R1894)</f>
        <v>5245.7</v>
      </c>
    </row>
    <row r="1897" spans="6:18" ht="24" customHeight="1">
      <c r="I1897" s="697" t="s">
        <v>987</v>
      </c>
      <c r="K1897" s="705" t="s">
        <v>2080</v>
      </c>
      <c r="N1897" s="700"/>
      <c r="Q1897" s="702"/>
      <c r="R1897" s="705" t="s">
        <v>1609</v>
      </c>
    </row>
    <row r="1898" spans="6:18" ht="24" customHeight="1">
      <c r="I1898" s="697"/>
      <c r="K1898" s="705"/>
      <c r="N1898" s="700"/>
      <c r="O1898" s="697" t="s">
        <v>1567</v>
      </c>
      <c r="Q1898" s="702"/>
      <c r="R1898" s="710">
        <f>(R1896/30)</f>
        <v>174.86</v>
      </c>
    </row>
    <row r="1899" spans="6:18" ht="39" customHeight="1">
      <c r="F1899" s="932">
        <v>52.1</v>
      </c>
      <c r="H1899" s="933" t="s">
        <v>2226</v>
      </c>
      <c r="I1899" s="697"/>
      <c r="K1899" s="705"/>
      <c r="N1899" s="700"/>
      <c r="Q1899" s="702"/>
      <c r="R1899" s="705" t="s">
        <v>1609</v>
      </c>
    </row>
    <row r="1900" spans="6:18" ht="24" customHeight="1">
      <c r="I1900" s="697"/>
      <c r="K1900" s="705"/>
    </row>
    <row r="1901" spans="6:18" ht="24" customHeight="1">
      <c r="F1901" s="698"/>
      <c r="G1901" s="708"/>
      <c r="H1901" s="697" t="s">
        <v>2072</v>
      </c>
      <c r="I1901" s="697"/>
      <c r="K1901" s="705"/>
    </row>
    <row r="1902" spans="6:18" ht="24" customHeight="1">
      <c r="G1902" s="708"/>
      <c r="H1902" s="697" t="s">
        <v>2227</v>
      </c>
      <c r="I1902" s="697"/>
      <c r="K1902" s="705"/>
    </row>
    <row r="1903" spans="6:18" ht="24" customHeight="1">
      <c r="H1903" s="705" t="s">
        <v>1609</v>
      </c>
      <c r="I1903" s="697"/>
      <c r="K1903" s="705"/>
      <c r="N1903" s="708" t="s">
        <v>1932</v>
      </c>
      <c r="O1903" s="697" t="s">
        <v>3639</v>
      </c>
      <c r="Q1903" s="702"/>
    </row>
    <row r="1904" spans="6:18" ht="24" customHeight="1">
      <c r="F1904" s="710">
        <v>30</v>
      </c>
      <c r="G1904" s="708" t="s">
        <v>1796</v>
      </c>
      <c r="H1904" s="697" t="s">
        <v>149</v>
      </c>
      <c r="I1904" s="805">
        <f>E658</f>
        <v>15.53</v>
      </c>
      <c r="J1904" s="697" t="s">
        <v>1796</v>
      </c>
      <c r="K1904" s="710">
        <f>(F1904*I1904)</f>
        <v>465.9</v>
      </c>
      <c r="N1904" s="700"/>
      <c r="O1904" s="705" t="s">
        <v>1609</v>
      </c>
      <c r="Q1904" s="702"/>
    </row>
    <row r="1905" spans="6:18" ht="24" customHeight="1">
      <c r="F1905" s="710">
        <v>8</v>
      </c>
      <c r="G1905" s="708" t="s">
        <v>877</v>
      </c>
      <c r="H1905" s="697" t="s">
        <v>2168</v>
      </c>
      <c r="I1905" s="805">
        <f>C660</f>
        <v>8.1</v>
      </c>
      <c r="J1905" s="697" t="s">
        <v>877</v>
      </c>
      <c r="K1905" s="710">
        <f t="shared" ref="K1905:K1910" si="235">(F1905*I1905)</f>
        <v>64.8</v>
      </c>
      <c r="M1905" s="710">
        <v>1</v>
      </c>
      <c r="N1905" s="708" t="s">
        <v>835</v>
      </c>
      <c r="O1905" s="697" t="s">
        <v>3641</v>
      </c>
      <c r="P1905" s="710">
        <v>96.6</v>
      </c>
      <c r="Q1905" s="697" t="s">
        <v>835</v>
      </c>
      <c r="R1905" s="710">
        <f>(M1905*P1905)</f>
        <v>96.6</v>
      </c>
    </row>
    <row r="1906" spans="6:18" ht="24" customHeight="1">
      <c r="F1906" s="710">
        <v>8</v>
      </c>
      <c r="G1906" s="708" t="s">
        <v>877</v>
      </c>
      <c r="H1906" s="697" t="s">
        <v>468</v>
      </c>
      <c r="I1906" s="805">
        <f>D669</f>
        <v>11.7</v>
      </c>
      <c r="J1906" s="697" t="s">
        <v>877</v>
      </c>
      <c r="K1906" s="710">
        <f t="shared" si="235"/>
        <v>93.6</v>
      </c>
      <c r="M1906" s="710">
        <v>1</v>
      </c>
      <c r="N1906" s="708" t="s">
        <v>450</v>
      </c>
      <c r="O1906" s="697" t="s">
        <v>1697</v>
      </c>
      <c r="P1906" s="710">
        <f>P1905*0.2</f>
        <v>19.32</v>
      </c>
      <c r="Q1906" s="697" t="s">
        <v>450</v>
      </c>
      <c r="R1906" s="710">
        <f>(M1906*P1906)</f>
        <v>19.32</v>
      </c>
    </row>
    <row r="1907" spans="6:18" ht="24" customHeight="1">
      <c r="F1907" s="710">
        <v>3</v>
      </c>
      <c r="G1907" s="708" t="s">
        <v>877</v>
      </c>
      <c r="H1907" s="697" t="s">
        <v>1870</v>
      </c>
      <c r="I1907" s="805">
        <f>C38</f>
        <v>637</v>
      </c>
      <c r="J1907" s="697" t="s">
        <v>877</v>
      </c>
      <c r="K1907" s="710">
        <f t="shared" si="235"/>
        <v>1911</v>
      </c>
      <c r="M1907" s="710">
        <v>1</v>
      </c>
      <c r="N1907" s="708" t="s">
        <v>835</v>
      </c>
      <c r="O1907" s="697" t="s">
        <v>163</v>
      </c>
      <c r="P1907" s="710">
        <f>R1898</f>
        <v>174.86</v>
      </c>
      <c r="Q1907" s="697" t="s">
        <v>835</v>
      </c>
      <c r="R1907" s="710">
        <f>(M1907*P1907)</f>
        <v>174.86</v>
      </c>
    </row>
    <row r="1908" spans="6:18" ht="24" customHeight="1">
      <c r="F1908" s="710">
        <v>1</v>
      </c>
      <c r="G1908" s="708" t="s">
        <v>877</v>
      </c>
      <c r="H1908" s="697" t="s">
        <v>1400</v>
      </c>
      <c r="I1908" s="805">
        <f>C8</f>
        <v>861</v>
      </c>
      <c r="J1908" s="697" t="s">
        <v>877</v>
      </c>
      <c r="K1908" s="710">
        <f t="shared" si="235"/>
        <v>861</v>
      </c>
      <c r="N1908" s="700"/>
      <c r="P1908" s="697" t="s">
        <v>987</v>
      </c>
      <c r="Q1908" s="702"/>
      <c r="R1908" s="705" t="s">
        <v>1609</v>
      </c>
    </row>
    <row r="1909" spans="6:18" ht="24" customHeight="1">
      <c r="F1909" s="710">
        <v>2</v>
      </c>
      <c r="G1909" s="708" t="s">
        <v>877</v>
      </c>
      <c r="H1909" s="697" t="s">
        <v>1927</v>
      </c>
      <c r="I1909" s="805">
        <f>C10</f>
        <v>562</v>
      </c>
      <c r="J1909" s="697" t="s">
        <v>877</v>
      </c>
      <c r="K1909" s="710">
        <f t="shared" si="235"/>
        <v>1124</v>
      </c>
      <c r="N1909" s="700"/>
      <c r="O1909" s="697" t="s">
        <v>377</v>
      </c>
      <c r="Q1909" s="702"/>
      <c r="R1909" s="709">
        <f>SUM(R1905:R1907)</f>
        <v>290.77999999999997</v>
      </c>
    </row>
    <row r="1910" spans="6:18" ht="24" customHeight="1">
      <c r="F1910" s="710">
        <v>1</v>
      </c>
      <c r="G1910" s="708" t="s">
        <v>877</v>
      </c>
      <c r="H1910" s="697" t="s">
        <v>321</v>
      </c>
      <c r="I1910" s="805">
        <f>C11</f>
        <v>461</v>
      </c>
      <c r="J1910" s="697" t="s">
        <v>877</v>
      </c>
      <c r="K1910" s="710">
        <f t="shared" si="235"/>
        <v>461</v>
      </c>
      <c r="N1910" s="700"/>
      <c r="P1910" s="697" t="s">
        <v>987</v>
      </c>
      <c r="Q1910" s="702"/>
      <c r="R1910" s="705" t="s">
        <v>2080</v>
      </c>
    </row>
    <row r="1911" spans="6:18" ht="24" customHeight="1">
      <c r="K1911" s="705" t="s">
        <v>1609</v>
      </c>
    </row>
    <row r="1912" spans="6:18" ht="24" customHeight="1">
      <c r="H1912" s="697" t="s">
        <v>1875</v>
      </c>
      <c r="K1912" s="710">
        <f>SUM(K1904:K1910)</f>
        <v>4981.3</v>
      </c>
    </row>
    <row r="1913" spans="6:18" ht="24" customHeight="1">
      <c r="K1913" s="705" t="s">
        <v>1609</v>
      </c>
    </row>
    <row r="1914" spans="6:18" ht="24" customHeight="1">
      <c r="H1914" s="697" t="s">
        <v>1567</v>
      </c>
      <c r="K1914" s="710">
        <f>(K1912/30)</f>
        <v>166.04</v>
      </c>
    </row>
    <row r="1915" spans="6:18" ht="24" customHeight="1">
      <c r="K1915" s="705" t="s">
        <v>1609</v>
      </c>
    </row>
    <row r="1916" spans="6:18" ht="24" customHeight="1">
      <c r="I1916" s="697"/>
      <c r="K1916" s="705"/>
    </row>
    <row r="1917" spans="6:18" ht="24" customHeight="1">
      <c r="H1917" s="699" t="s">
        <v>337</v>
      </c>
      <c r="I1917" s="697"/>
      <c r="K1917" s="705"/>
    </row>
    <row r="1918" spans="6:18" ht="24" customHeight="1">
      <c r="H1918" s="705" t="s">
        <v>1609</v>
      </c>
      <c r="I1918" s="697"/>
      <c r="K1918" s="705"/>
    </row>
    <row r="1919" spans="6:18" ht="24" customHeight="1">
      <c r="F1919" s="710">
        <v>1</v>
      </c>
      <c r="G1919" s="708" t="s">
        <v>835</v>
      </c>
      <c r="H1919" s="697" t="s">
        <v>338</v>
      </c>
      <c r="I1919" s="805">
        <f>E695</f>
        <v>98.6</v>
      </c>
      <c r="J1919" s="697" t="s">
        <v>835</v>
      </c>
      <c r="K1919" s="710">
        <f>(F1919*I1919)</f>
        <v>98.6</v>
      </c>
    </row>
    <row r="1920" spans="6:18" ht="24" customHeight="1">
      <c r="F1920" s="710">
        <v>1</v>
      </c>
      <c r="G1920" s="708" t="s">
        <v>450</v>
      </c>
      <c r="H1920" s="697" t="s">
        <v>339</v>
      </c>
      <c r="I1920" s="805">
        <f>I1919*0.2</f>
        <v>19.72</v>
      </c>
      <c r="J1920" s="697" t="s">
        <v>450</v>
      </c>
      <c r="K1920" s="710">
        <f>(F1920*I1920)</f>
        <v>19.72</v>
      </c>
    </row>
    <row r="1921" spans="6:11" ht="24" customHeight="1">
      <c r="F1921" s="710">
        <v>1</v>
      </c>
      <c r="G1921" s="708" t="s">
        <v>835</v>
      </c>
      <c r="H1921" s="697" t="s">
        <v>163</v>
      </c>
      <c r="I1921" s="805">
        <f>K1914</f>
        <v>166.04</v>
      </c>
      <c r="J1921" s="697" t="s">
        <v>835</v>
      </c>
      <c r="K1921" s="710">
        <f>(F1921*I1921)</f>
        <v>166.04</v>
      </c>
    </row>
    <row r="1922" spans="6:11" ht="36.75" customHeight="1">
      <c r="F1922" s="710"/>
      <c r="G1922" s="708"/>
      <c r="H1922" s="762" t="s">
        <v>1094</v>
      </c>
      <c r="I1922" s="805"/>
      <c r="J1922" s="697" t="s">
        <v>450</v>
      </c>
      <c r="K1922" s="710">
        <f>1.25+0.47</f>
        <v>1.72</v>
      </c>
    </row>
    <row r="1923" spans="6:11" ht="24" customHeight="1">
      <c r="I1923" s="697"/>
      <c r="K1923" s="705" t="s">
        <v>1609</v>
      </c>
    </row>
    <row r="1924" spans="6:11" ht="24" customHeight="1">
      <c r="H1924" s="697" t="s">
        <v>377</v>
      </c>
      <c r="I1924" s="697"/>
      <c r="K1924" s="709">
        <f>SUM(K1919:K1922)</f>
        <v>286.08</v>
      </c>
    </row>
    <row r="1925" spans="6:11" ht="24" customHeight="1">
      <c r="I1925" s="697"/>
      <c r="K1925" s="705" t="s">
        <v>2080</v>
      </c>
    </row>
    <row r="1926" spans="6:11" ht="24" customHeight="1">
      <c r="I1926" s="697"/>
      <c r="K1926" s="705"/>
    </row>
    <row r="1927" spans="6:11" ht="24" customHeight="1">
      <c r="I1927" s="697"/>
      <c r="K1927" s="705"/>
    </row>
    <row r="1928" spans="6:11" ht="24" customHeight="1">
      <c r="F1928" s="753">
        <v>53.1</v>
      </c>
      <c r="G1928" s="708" t="s">
        <v>2276</v>
      </c>
      <c r="H1928" s="697" t="s">
        <v>2244</v>
      </c>
    </row>
    <row r="1929" spans="6:11" ht="24" customHeight="1">
      <c r="H1929" s="701" t="s">
        <v>5264</v>
      </c>
    </row>
    <row r="1930" spans="6:11" ht="24" customHeight="1">
      <c r="H1930" s="697" t="s">
        <v>1160</v>
      </c>
    </row>
    <row r="1931" spans="6:11" ht="24" customHeight="1">
      <c r="H1931" s="697" t="s">
        <v>1161</v>
      </c>
    </row>
    <row r="1932" spans="6:11" ht="24" customHeight="1">
      <c r="H1932" s="705" t="s">
        <v>1609</v>
      </c>
    </row>
    <row r="1933" spans="6:11" ht="85.5" customHeight="1">
      <c r="F1933" s="934">
        <v>1</v>
      </c>
      <c r="G1933" s="934" t="s">
        <v>877</v>
      </c>
      <c r="H1933" s="762" t="s">
        <v>1602</v>
      </c>
      <c r="I1933" s="934">
        <v>1625</v>
      </c>
      <c r="J1933" s="935" t="s">
        <v>877</v>
      </c>
      <c r="K1933" s="934">
        <f>(F1933*I1933)</f>
        <v>1625</v>
      </c>
    </row>
    <row r="1934" spans="6:11" ht="24" customHeight="1">
      <c r="F1934" s="710"/>
      <c r="G1934" s="708"/>
      <c r="H1934" s="697"/>
      <c r="I1934" s="710"/>
      <c r="J1934" s="697"/>
      <c r="K1934" s="710"/>
    </row>
    <row r="1935" spans="6:11" ht="24" customHeight="1">
      <c r="F1935" s="710"/>
      <c r="G1935" s="708"/>
      <c r="H1935" s="697"/>
      <c r="I1935" s="710"/>
      <c r="J1935" s="698"/>
      <c r="K1935" s="710"/>
    </row>
    <row r="1936" spans="6:11" ht="24" customHeight="1">
      <c r="F1936" s="934">
        <v>1</v>
      </c>
      <c r="G1936" s="934" t="s">
        <v>877</v>
      </c>
      <c r="H1936" s="697" t="s">
        <v>4786</v>
      </c>
      <c r="I1936" s="936">
        <v>-167</v>
      </c>
      <c r="J1936" s="697" t="s">
        <v>877</v>
      </c>
      <c r="K1936" s="934">
        <f>(F1936*I1936)</f>
        <v>-167</v>
      </c>
    </row>
    <row r="1937" spans="6:22" ht="24" customHeight="1">
      <c r="F1937" s="710"/>
      <c r="G1937" s="708"/>
      <c r="H1937" s="697"/>
      <c r="I1937" s="710"/>
      <c r="J1937" s="698"/>
      <c r="K1937" s="710"/>
    </row>
    <row r="1938" spans="6:22" ht="24" customHeight="1">
      <c r="F1938" s="710">
        <v>1</v>
      </c>
      <c r="G1938" s="708" t="s">
        <v>877</v>
      </c>
      <c r="H1938" s="697" t="s">
        <v>2157</v>
      </c>
      <c r="I1938" s="937">
        <v>250</v>
      </c>
      <c r="J1938" s="697" t="s">
        <v>877</v>
      </c>
      <c r="K1938" s="938">
        <f>(F1938*I1938)</f>
        <v>250</v>
      </c>
    </row>
    <row r="1939" spans="6:22" ht="24" customHeight="1">
      <c r="F1939" s="710"/>
      <c r="G1939" s="708"/>
      <c r="H1939" s="697"/>
      <c r="I1939" s="710"/>
      <c r="J1939" s="697"/>
      <c r="K1939" s="710"/>
    </row>
    <row r="1940" spans="6:22" ht="24" customHeight="1">
      <c r="F1940" s="710">
        <v>0.5</v>
      </c>
      <c r="G1940" s="708" t="s">
        <v>877</v>
      </c>
      <c r="H1940" s="697" t="s">
        <v>2130</v>
      </c>
      <c r="I1940" s="710">
        <f>(C13)</f>
        <v>747</v>
      </c>
      <c r="J1940" s="697" t="s">
        <v>877</v>
      </c>
      <c r="K1940" s="710">
        <f>(F1940*I1940)</f>
        <v>373.5</v>
      </c>
      <c r="N1940" s="699">
        <f>7635</f>
        <v>7635</v>
      </c>
    </row>
    <row r="1941" spans="6:22" ht="24" customHeight="1">
      <c r="F1941" s="710">
        <v>1</v>
      </c>
      <c r="G1941" s="708" t="s">
        <v>877</v>
      </c>
      <c r="H1941" s="697" t="s">
        <v>1927</v>
      </c>
      <c r="I1941" s="710">
        <f>(C10)</f>
        <v>562</v>
      </c>
      <c r="J1941" s="697" t="s">
        <v>877</v>
      </c>
      <c r="K1941" s="710">
        <f>(F1941*I1941)</f>
        <v>562</v>
      </c>
      <c r="N1941" s="699">
        <f>N1940*4%</f>
        <v>305.39999999999998</v>
      </c>
    </row>
    <row r="1942" spans="6:22" ht="24" customHeight="1">
      <c r="F1942" s="710">
        <v>0.5</v>
      </c>
      <c r="G1942" s="708" t="s">
        <v>877</v>
      </c>
      <c r="H1942" s="697" t="s">
        <v>2034</v>
      </c>
      <c r="I1942" s="710">
        <f>(C8)</f>
        <v>861</v>
      </c>
      <c r="J1942" s="697" t="s">
        <v>877</v>
      </c>
      <c r="K1942" s="710">
        <f>(F1942*I1942)</f>
        <v>430.5</v>
      </c>
      <c r="N1942" s="699">
        <f>SUM(N1940:N1941)</f>
        <v>7940.4</v>
      </c>
    </row>
    <row r="1943" spans="6:22" ht="24" customHeight="1">
      <c r="G1943" s="708" t="s">
        <v>450</v>
      </c>
      <c r="H1943" s="697" t="s">
        <v>1162</v>
      </c>
      <c r="J1943" s="697" t="s">
        <v>450</v>
      </c>
      <c r="K1943" s="710">
        <v>0.82</v>
      </c>
    </row>
    <row r="1944" spans="6:22" ht="24" customHeight="1">
      <c r="K1944" s="705" t="s">
        <v>1609</v>
      </c>
    </row>
    <row r="1945" spans="6:22" ht="24" customHeight="1">
      <c r="H1945" s="697" t="s">
        <v>1776</v>
      </c>
      <c r="K1945" s="710">
        <f>SUM(K1933:K1943)</f>
        <v>3074.82</v>
      </c>
    </row>
    <row r="1946" spans="6:22" ht="24" customHeight="1">
      <c r="K1946" s="705" t="s">
        <v>1609</v>
      </c>
    </row>
    <row r="1947" spans="6:22" ht="24" customHeight="1">
      <c r="F1947" s="698" t="s">
        <v>1422</v>
      </c>
      <c r="H1947" s="697" t="s">
        <v>1423</v>
      </c>
      <c r="J1947" s="697" t="s">
        <v>1418</v>
      </c>
      <c r="K1947" s="939">
        <v>967.5</v>
      </c>
      <c r="V1947" s="697" t="s">
        <v>1473</v>
      </c>
    </row>
    <row r="1948" spans="6:22" ht="24" customHeight="1">
      <c r="H1948" s="697" t="s">
        <v>5000</v>
      </c>
      <c r="J1948" s="697" t="s">
        <v>1418</v>
      </c>
      <c r="K1948" s="940">
        <v>1846</v>
      </c>
    </row>
    <row r="1949" spans="6:22" ht="24" customHeight="1">
      <c r="F1949" s="698" t="s">
        <v>1424</v>
      </c>
      <c r="H1949" s="697" t="s">
        <v>1023</v>
      </c>
      <c r="J1949" s="697" t="s">
        <v>1418</v>
      </c>
      <c r="K1949" s="939">
        <v>30</v>
      </c>
    </row>
    <row r="1950" spans="6:22" ht="24" customHeight="1">
      <c r="F1950" s="698"/>
      <c r="H1950" s="697"/>
      <c r="K1950" s="697"/>
    </row>
    <row r="1951" spans="6:22" ht="24" customHeight="1">
      <c r="F1951" s="733">
        <v>54</v>
      </c>
      <c r="G1951" s="708" t="s">
        <v>2276</v>
      </c>
      <c r="H1951" s="697" t="s">
        <v>5001</v>
      </c>
      <c r="J1951" s="697" t="s">
        <v>1418</v>
      </c>
      <c r="K1951" s="941">
        <v>204</v>
      </c>
    </row>
    <row r="1952" spans="6:22" ht="24" customHeight="1">
      <c r="K1952" s="705" t="s">
        <v>2080</v>
      </c>
    </row>
    <row r="1954" spans="6:18" ht="24" customHeight="1">
      <c r="F1954" s="753">
        <v>54.1</v>
      </c>
      <c r="G1954" s="708" t="s">
        <v>2276</v>
      </c>
      <c r="H1954" s="697" t="s">
        <v>1313</v>
      </c>
      <c r="J1954" s="697" t="s">
        <v>1418</v>
      </c>
      <c r="K1954" s="816">
        <v>300</v>
      </c>
    </row>
    <row r="1955" spans="6:18" ht="24" customHeight="1">
      <c r="K1955" s="705" t="s">
        <v>2080</v>
      </c>
    </row>
    <row r="1957" spans="6:18" ht="24" customHeight="1">
      <c r="F1957" s="753">
        <v>54.2</v>
      </c>
      <c r="G1957" s="708" t="s">
        <v>2276</v>
      </c>
      <c r="H1957" s="697" t="s">
        <v>948</v>
      </c>
      <c r="J1957" s="697" t="s">
        <v>1418</v>
      </c>
      <c r="K1957" s="816">
        <v>250</v>
      </c>
    </row>
    <row r="1958" spans="6:18" ht="24" customHeight="1">
      <c r="K1958" s="705" t="s">
        <v>2080</v>
      </c>
    </row>
    <row r="1960" spans="6:18" ht="24" customHeight="1">
      <c r="F1960" s="698" t="s">
        <v>1158</v>
      </c>
      <c r="G1960" s="708" t="s">
        <v>2276</v>
      </c>
      <c r="H1960" s="697" t="s">
        <v>83</v>
      </c>
      <c r="M1960" s="698" t="s">
        <v>1158</v>
      </c>
      <c r="N1960" s="708" t="s">
        <v>2276</v>
      </c>
      <c r="O1960" s="697" t="s">
        <v>83</v>
      </c>
      <c r="Q1960" s="702"/>
    </row>
    <row r="1961" spans="6:18" ht="24" customHeight="1">
      <c r="H1961" s="697" t="s">
        <v>1120</v>
      </c>
      <c r="N1961" s="700"/>
      <c r="O1961" s="697" t="s">
        <v>1120</v>
      </c>
      <c r="Q1961" s="702"/>
    </row>
    <row r="1962" spans="6:18" ht="24" customHeight="1">
      <c r="H1962" s="697" t="s">
        <v>1121</v>
      </c>
      <c r="N1962" s="700"/>
      <c r="O1962" s="697" t="s">
        <v>1121</v>
      </c>
      <c r="Q1962" s="702"/>
    </row>
    <row r="1963" spans="6:18" ht="24" customHeight="1">
      <c r="H1963" s="697" t="s">
        <v>1122</v>
      </c>
      <c r="N1963" s="700"/>
      <c r="O1963" s="697" t="s">
        <v>1122</v>
      </c>
      <c r="Q1963" s="702"/>
    </row>
    <row r="1964" spans="6:18" ht="24" customHeight="1">
      <c r="H1964" s="705" t="s">
        <v>1609</v>
      </c>
      <c r="N1964" s="700"/>
      <c r="O1964" s="705" t="s">
        <v>1609</v>
      </c>
      <c r="Q1964" s="702"/>
    </row>
    <row r="1965" spans="6:18" ht="24" customHeight="1">
      <c r="F1965" s="710">
        <v>1</v>
      </c>
      <c r="G1965" s="708" t="s">
        <v>877</v>
      </c>
      <c r="H1965" s="697" t="s">
        <v>718</v>
      </c>
      <c r="I1965" s="710">
        <f>(C198)</f>
        <v>1190</v>
      </c>
      <c r="J1965" s="697" t="s">
        <v>877</v>
      </c>
      <c r="K1965" s="710">
        <f t="shared" ref="K1965:K1971" si="236">(F1965*I1965)</f>
        <v>1190</v>
      </c>
      <c r="M1965" s="710">
        <v>1</v>
      </c>
      <c r="N1965" s="708" t="s">
        <v>877</v>
      </c>
      <c r="O1965" s="697" t="s">
        <v>718</v>
      </c>
      <c r="P1965" s="710">
        <f>I1965</f>
        <v>1190</v>
      </c>
      <c r="Q1965" s="697" t="s">
        <v>877</v>
      </c>
      <c r="R1965" s="710">
        <f t="shared" ref="R1965:R1971" si="237">(M1965*P1965)</f>
        <v>1190</v>
      </c>
    </row>
    <row r="1966" spans="6:18" ht="24" customHeight="1">
      <c r="F1966" s="710">
        <v>0.65</v>
      </c>
      <c r="G1966" s="708" t="s">
        <v>878</v>
      </c>
      <c r="H1966" s="697" t="s">
        <v>249</v>
      </c>
      <c r="I1966" s="710">
        <f>(C58*2)</f>
        <v>193.2</v>
      </c>
      <c r="J1966" s="697" t="s">
        <v>878</v>
      </c>
      <c r="K1966" s="710">
        <f t="shared" si="236"/>
        <v>125.58</v>
      </c>
      <c r="M1966" s="710">
        <v>0.65</v>
      </c>
      <c r="N1966" s="708" t="s">
        <v>878</v>
      </c>
      <c r="O1966" s="697" t="s">
        <v>249</v>
      </c>
      <c r="P1966" s="710">
        <f t="shared" ref="P1966:P1972" si="238">I1966</f>
        <v>193.2</v>
      </c>
      <c r="Q1966" s="697" t="s">
        <v>878</v>
      </c>
      <c r="R1966" s="710">
        <f t="shared" si="237"/>
        <v>125.58</v>
      </c>
    </row>
    <row r="1967" spans="6:18" ht="24" customHeight="1">
      <c r="F1967" s="710">
        <v>0.56999999999999995</v>
      </c>
      <c r="G1967" s="708" t="s">
        <v>878</v>
      </c>
      <c r="H1967" s="697" t="s">
        <v>250</v>
      </c>
      <c r="I1967" s="710">
        <f>(C24)</f>
        <v>33.6</v>
      </c>
      <c r="J1967" s="697" t="s">
        <v>878</v>
      </c>
      <c r="K1967" s="710">
        <f t="shared" si="236"/>
        <v>19.149999999999999</v>
      </c>
      <c r="M1967" s="710">
        <v>0.56999999999999995</v>
      </c>
      <c r="N1967" s="708" t="s">
        <v>878</v>
      </c>
      <c r="O1967" s="697" t="s">
        <v>250</v>
      </c>
      <c r="P1967" s="710">
        <f t="shared" si="238"/>
        <v>33.6</v>
      </c>
      <c r="Q1967" s="697" t="s">
        <v>878</v>
      </c>
      <c r="R1967" s="710">
        <f t="shared" si="237"/>
        <v>19.149999999999999</v>
      </c>
    </row>
    <row r="1968" spans="6:18" ht="24" customHeight="1">
      <c r="F1968" s="740">
        <v>8.1000000000000003E-2</v>
      </c>
      <c r="G1968" s="708" t="s">
        <v>878</v>
      </c>
      <c r="H1968" s="697" t="s">
        <v>251</v>
      </c>
      <c r="I1968" s="710">
        <f>(R44)</f>
        <v>3640.02</v>
      </c>
      <c r="J1968" s="697" t="s">
        <v>878</v>
      </c>
      <c r="K1968" s="710">
        <f t="shared" si="236"/>
        <v>294.83999999999997</v>
      </c>
      <c r="M1968" s="740">
        <v>8.1000000000000003E-2</v>
      </c>
      <c r="N1968" s="708" t="s">
        <v>878</v>
      </c>
      <c r="O1968" s="697" t="s">
        <v>251</v>
      </c>
      <c r="P1968" s="710">
        <f t="shared" si="238"/>
        <v>3640.02</v>
      </c>
      <c r="Q1968" s="697" t="s">
        <v>878</v>
      </c>
      <c r="R1968" s="710">
        <f t="shared" si="237"/>
        <v>294.83999999999997</v>
      </c>
    </row>
    <row r="1969" spans="6:18" ht="24" customHeight="1">
      <c r="F1969" s="710">
        <v>1</v>
      </c>
      <c r="G1969" s="708" t="s">
        <v>877</v>
      </c>
      <c r="H1969" s="697" t="s">
        <v>2130</v>
      </c>
      <c r="I1969" s="710">
        <f>(C13)</f>
        <v>747</v>
      </c>
      <c r="J1969" s="697" t="s">
        <v>877</v>
      </c>
      <c r="K1969" s="710">
        <f t="shared" si="236"/>
        <v>747</v>
      </c>
      <c r="M1969" s="710">
        <v>1</v>
      </c>
      <c r="N1969" s="708" t="s">
        <v>877</v>
      </c>
      <c r="O1969" s="697" t="s">
        <v>2130</v>
      </c>
      <c r="P1969" s="710">
        <f t="shared" si="238"/>
        <v>747</v>
      </c>
      <c r="Q1969" s="697" t="s">
        <v>877</v>
      </c>
      <c r="R1969" s="710">
        <f t="shared" si="237"/>
        <v>747</v>
      </c>
    </row>
    <row r="1970" spans="6:18" ht="24" customHeight="1">
      <c r="F1970" s="710">
        <v>0.5</v>
      </c>
      <c r="G1970" s="708" t="s">
        <v>877</v>
      </c>
      <c r="H1970" s="697" t="s">
        <v>1737</v>
      </c>
      <c r="I1970" s="710">
        <f>(C9)</f>
        <v>804</v>
      </c>
      <c r="J1970" s="697" t="s">
        <v>877</v>
      </c>
      <c r="K1970" s="710">
        <f t="shared" si="236"/>
        <v>402</v>
      </c>
      <c r="M1970" s="710">
        <v>0.5</v>
      </c>
      <c r="N1970" s="708" t="s">
        <v>877</v>
      </c>
      <c r="O1970" s="697" t="s">
        <v>1737</v>
      </c>
      <c r="P1970" s="710">
        <f t="shared" si="238"/>
        <v>804</v>
      </c>
      <c r="Q1970" s="697" t="s">
        <v>877</v>
      </c>
      <c r="R1970" s="710">
        <f t="shared" si="237"/>
        <v>402</v>
      </c>
    </row>
    <row r="1971" spans="6:18" ht="24" customHeight="1">
      <c r="F1971" s="710">
        <v>0.5</v>
      </c>
      <c r="G1971" s="708" t="s">
        <v>877</v>
      </c>
      <c r="H1971" s="697" t="s">
        <v>1927</v>
      </c>
      <c r="I1971" s="710">
        <f>(C10)</f>
        <v>562</v>
      </c>
      <c r="J1971" s="697" t="s">
        <v>877</v>
      </c>
      <c r="K1971" s="710">
        <f t="shared" si="236"/>
        <v>281</v>
      </c>
      <c r="M1971" s="710">
        <v>0.5</v>
      </c>
      <c r="N1971" s="708" t="s">
        <v>877</v>
      </c>
      <c r="O1971" s="697" t="s">
        <v>1927</v>
      </c>
      <c r="P1971" s="710">
        <f t="shared" si="238"/>
        <v>562</v>
      </c>
      <c r="Q1971" s="697" t="s">
        <v>877</v>
      </c>
      <c r="R1971" s="710">
        <f t="shared" si="237"/>
        <v>281</v>
      </c>
    </row>
    <row r="1972" spans="6:18" ht="24" customHeight="1">
      <c r="G1972" s="708" t="s">
        <v>450</v>
      </c>
      <c r="H1972" s="697" t="s">
        <v>451</v>
      </c>
      <c r="I1972" s="697" t="s">
        <v>987</v>
      </c>
      <c r="J1972" s="697" t="s">
        <v>450</v>
      </c>
      <c r="K1972" s="710">
        <v>1.25</v>
      </c>
      <c r="N1972" s="708"/>
      <c r="O1972" s="701" t="s">
        <v>4334</v>
      </c>
      <c r="P1972" s="710" t="str">
        <f t="shared" si="238"/>
        <v xml:space="preserve"> </v>
      </c>
      <c r="Q1972" s="697"/>
      <c r="R1972" s="942">
        <v>-164</v>
      </c>
    </row>
    <row r="1973" spans="6:18" ht="24" customHeight="1">
      <c r="K1973" s="705" t="s">
        <v>1609</v>
      </c>
      <c r="O1973" s="701" t="s">
        <v>4335</v>
      </c>
      <c r="P1973" s="710"/>
      <c r="Q1973" s="697"/>
      <c r="R1973" s="942">
        <v>134.1</v>
      </c>
    </row>
    <row r="1974" spans="6:18" ht="24" customHeight="1" thickBot="1">
      <c r="H1974" s="697" t="s">
        <v>1776</v>
      </c>
      <c r="K1974" s="710">
        <f>SUM(K1965:K1972)</f>
        <v>3060.82</v>
      </c>
      <c r="N1974" s="700" t="s">
        <v>663</v>
      </c>
      <c r="O1974" s="701" t="s">
        <v>2296</v>
      </c>
      <c r="Q1974" s="702"/>
      <c r="R1974" s="710">
        <v>0.39</v>
      </c>
    </row>
    <row r="1975" spans="6:18" ht="24" customHeight="1" thickTop="1">
      <c r="K1975" s="705" t="s">
        <v>2080</v>
      </c>
      <c r="N1975" s="700"/>
      <c r="O1975" s="697" t="s">
        <v>1776</v>
      </c>
      <c r="Q1975" s="702"/>
      <c r="R1975" s="943">
        <f>SUM(R1965:R1974)</f>
        <v>3030.06</v>
      </c>
    </row>
    <row r="1976" spans="6:18" ht="24" customHeight="1" thickBot="1">
      <c r="G1976" s="708" t="s">
        <v>987</v>
      </c>
      <c r="H1976" s="697" t="s">
        <v>987</v>
      </c>
      <c r="K1976" s="697" t="s">
        <v>987</v>
      </c>
      <c r="N1976" s="700"/>
      <c r="Q1976" s="702"/>
      <c r="R1976" s="944"/>
    </row>
    <row r="1977" spans="6:18" ht="24" customHeight="1" thickTop="1">
      <c r="J1977" s="697" t="s">
        <v>987</v>
      </c>
      <c r="K1977" s="697" t="s">
        <v>987</v>
      </c>
    </row>
    <row r="1978" spans="6:18" ht="24" customHeight="1">
      <c r="F1978" s="698" t="s">
        <v>252</v>
      </c>
      <c r="G1978" s="708" t="s">
        <v>2276</v>
      </c>
      <c r="H1978" s="697" t="s">
        <v>83</v>
      </c>
      <c r="M1978" s="698" t="s">
        <v>252</v>
      </c>
      <c r="N1978" s="708" t="s">
        <v>2276</v>
      </c>
      <c r="O1978" s="697" t="s">
        <v>83</v>
      </c>
      <c r="Q1978" s="702"/>
    </row>
    <row r="1979" spans="6:18" ht="24" customHeight="1">
      <c r="H1979" s="697" t="s">
        <v>1120</v>
      </c>
      <c r="N1979" s="700"/>
      <c r="O1979" s="697" t="s">
        <v>1120</v>
      </c>
      <c r="Q1979" s="702"/>
    </row>
    <row r="1980" spans="6:18" ht="24" customHeight="1">
      <c r="H1980" s="697" t="s">
        <v>1121</v>
      </c>
      <c r="N1980" s="700"/>
      <c r="O1980" s="697" t="s">
        <v>1121</v>
      </c>
      <c r="Q1980" s="702"/>
    </row>
    <row r="1981" spans="6:18" ht="24" customHeight="1">
      <c r="H1981" s="697" t="s">
        <v>253</v>
      </c>
      <c r="N1981" s="700"/>
      <c r="O1981" s="697" t="s">
        <v>253</v>
      </c>
      <c r="Q1981" s="702"/>
    </row>
    <row r="1982" spans="6:18" ht="24" customHeight="1">
      <c r="H1982" s="705" t="s">
        <v>1609</v>
      </c>
      <c r="N1982" s="700"/>
      <c r="O1982" s="705" t="s">
        <v>1609</v>
      </c>
      <c r="Q1982" s="702"/>
    </row>
    <row r="1983" spans="6:18" ht="24" customHeight="1">
      <c r="F1983" s="710">
        <v>1</v>
      </c>
      <c r="G1983" s="708" t="s">
        <v>877</v>
      </c>
      <c r="H1983" s="697" t="s">
        <v>718</v>
      </c>
      <c r="I1983" s="710">
        <f>(C198)</f>
        <v>1190</v>
      </c>
      <c r="J1983" s="697" t="s">
        <v>877</v>
      </c>
      <c r="K1983" s="710">
        <f>(F1983*I1983)</f>
        <v>1190</v>
      </c>
      <c r="M1983" s="710">
        <v>1</v>
      </c>
      <c r="N1983" s="708" t="s">
        <v>877</v>
      </c>
      <c r="O1983" s="697" t="s">
        <v>718</v>
      </c>
      <c r="P1983" s="710">
        <f>I1983</f>
        <v>1190</v>
      </c>
      <c r="Q1983" s="697" t="s">
        <v>877</v>
      </c>
      <c r="R1983" s="710">
        <f>(M1983*P1983)</f>
        <v>1190</v>
      </c>
    </row>
    <row r="1984" spans="6:18" ht="24" customHeight="1">
      <c r="F1984" s="740">
        <v>0.40500000000000003</v>
      </c>
      <c r="G1984" s="708" t="s">
        <v>878</v>
      </c>
      <c r="H1984" s="697" t="s">
        <v>2241</v>
      </c>
      <c r="I1984" s="710">
        <f>(K1327)</f>
        <v>3507.88</v>
      </c>
      <c r="J1984" s="697" t="s">
        <v>878</v>
      </c>
      <c r="K1984" s="710">
        <f>(F1984*I1984)</f>
        <v>1420.69</v>
      </c>
      <c r="M1984" s="740">
        <v>0.40500000000000003</v>
      </c>
      <c r="N1984" s="708" t="s">
        <v>878</v>
      </c>
      <c r="O1984" s="697" t="s">
        <v>2241</v>
      </c>
      <c r="P1984" s="710">
        <f t="shared" ref="P1984:P1993" si="239">I1984</f>
        <v>3507.88</v>
      </c>
      <c r="Q1984" s="697" t="s">
        <v>878</v>
      </c>
      <c r="R1984" s="710">
        <f>(M1984*P1984)</f>
        <v>1420.69</v>
      </c>
    </row>
    <row r="1985" spans="6:19" ht="24" customHeight="1">
      <c r="H1985" s="697" t="s">
        <v>1115</v>
      </c>
      <c r="I1985" s="697" t="s">
        <v>987</v>
      </c>
      <c r="K1985" s="697" t="s">
        <v>987</v>
      </c>
      <c r="N1985" s="700"/>
      <c r="O1985" s="697" t="s">
        <v>1115</v>
      </c>
      <c r="P1985" s="710" t="str">
        <f t="shared" si="239"/>
        <v xml:space="preserve"> </v>
      </c>
      <c r="Q1985" s="702"/>
      <c r="R1985" s="697" t="s">
        <v>987</v>
      </c>
    </row>
    <row r="1986" spans="6:19" ht="24" customHeight="1">
      <c r="F1986" s="710">
        <v>1.89</v>
      </c>
      <c r="G1986" s="708" t="s">
        <v>615</v>
      </c>
      <c r="H1986" s="697" t="s">
        <v>264</v>
      </c>
      <c r="I1986" s="710">
        <f>(K1439)</f>
        <v>244.59</v>
      </c>
      <c r="J1986" s="697" t="s">
        <v>615</v>
      </c>
      <c r="K1986" s="710">
        <f>(F1986*I1986)</f>
        <v>462.28</v>
      </c>
      <c r="M1986" s="710">
        <v>1.89</v>
      </c>
      <c r="N1986" s="708" t="s">
        <v>615</v>
      </c>
      <c r="O1986" s="697" t="s">
        <v>264</v>
      </c>
      <c r="P1986" s="710">
        <f t="shared" si="239"/>
        <v>244.59</v>
      </c>
      <c r="Q1986" s="697" t="s">
        <v>615</v>
      </c>
      <c r="R1986" s="710">
        <f>(M1986*P1986)</f>
        <v>462.28</v>
      </c>
    </row>
    <row r="1987" spans="6:19" ht="24" customHeight="1">
      <c r="H1987" s="697" t="s">
        <v>265</v>
      </c>
      <c r="I1987" s="697" t="s">
        <v>987</v>
      </c>
      <c r="K1987" s="697" t="s">
        <v>987</v>
      </c>
      <c r="N1987" s="700"/>
      <c r="O1987" s="697" t="s">
        <v>265</v>
      </c>
      <c r="P1987" s="710" t="str">
        <f t="shared" si="239"/>
        <v xml:space="preserve"> </v>
      </c>
      <c r="Q1987" s="702"/>
      <c r="R1987" s="697" t="s">
        <v>987</v>
      </c>
    </row>
    <row r="1988" spans="6:19" ht="24" customHeight="1">
      <c r="F1988" s="740">
        <v>8.1000000000000003E-2</v>
      </c>
      <c r="G1988" s="708" t="s">
        <v>878</v>
      </c>
      <c r="H1988" s="697" t="s">
        <v>266</v>
      </c>
      <c r="I1988" s="710">
        <f>(R44)</f>
        <v>3640.02</v>
      </c>
      <c r="J1988" s="697" t="s">
        <v>878</v>
      </c>
      <c r="K1988" s="710">
        <f>(F1988*I1988)</f>
        <v>294.83999999999997</v>
      </c>
      <c r="M1988" s="740">
        <v>8.1000000000000003E-2</v>
      </c>
      <c r="N1988" s="708" t="s">
        <v>878</v>
      </c>
      <c r="O1988" s="697" t="s">
        <v>266</v>
      </c>
      <c r="P1988" s="710">
        <f t="shared" si="239"/>
        <v>3640.02</v>
      </c>
      <c r="Q1988" s="697" t="s">
        <v>878</v>
      </c>
      <c r="R1988" s="710">
        <f>(M1988*P1988)</f>
        <v>294.83999999999997</v>
      </c>
    </row>
    <row r="1989" spans="6:19" ht="24" customHeight="1">
      <c r="H1989" s="697" t="s">
        <v>267</v>
      </c>
      <c r="N1989" s="700"/>
      <c r="O1989" s="697" t="s">
        <v>267</v>
      </c>
      <c r="P1989" s="710"/>
      <c r="Q1989" s="702"/>
    </row>
    <row r="1990" spans="6:19" ht="24" customHeight="1">
      <c r="F1990" s="710">
        <v>1</v>
      </c>
      <c r="G1990" s="708" t="s">
        <v>778</v>
      </c>
      <c r="H1990" s="697" t="s">
        <v>2130</v>
      </c>
      <c r="I1990" s="710">
        <f>(C13)</f>
        <v>747</v>
      </c>
      <c r="J1990" s="697" t="s">
        <v>778</v>
      </c>
      <c r="K1990" s="710">
        <f>(F1990*I1990)</f>
        <v>747</v>
      </c>
      <c r="M1990" s="710">
        <v>1</v>
      </c>
      <c r="N1990" s="708" t="s">
        <v>778</v>
      </c>
      <c r="O1990" s="697" t="s">
        <v>2130</v>
      </c>
      <c r="P1990" s="710">
        <f t="shared" si="239"/>
        <v>747</v>
      </c>
      <c r="Q1990" s="697" t="s">
        <v>778</v>
      </c>
      <c r="R1990" s="710">
        <f>(M1990*P1990)</f>
        <v>747</v>
      </c>
    </row>
    <row r="1991" spans="6:19" ht="24" customHeight="1">
      <c r="F1991" s="710">
        <v>0.5</v>
      </c>
      <c r="G1991" s="708" t="s">
        <v>877</v>
      </c>
      <c r="H1991" s="697" t="s">
        <v>1737</v>
      </c>
      <c r="I1991" s="710">
        <f>(C9)</f>
        <v>804</v>
      </c>
      <c r="J1991" s="697" t="s">
        <v>877</v>
      </c>
      <c r="K1991" s="710">
        <f>(F1991*I1991)</f>
        <v>402</v>
      </c>
      <c r="M1991" s="710">
        <v>0.5</v>
      </c>
      <c r="N1991" s="708" t="s">
        <v>877</v>
      </c>
      <c r="O1991" s="697" t="s">
        <v>1737</v>
      </c>
      <c r="P1991" s="710">
        <f t="shared" si="239"/>
        <v>804</v>
      </c>
      <c r="Q1991" s="697" t="s">
        <v>877</v>
      </c>
      <c r="R1991" s="942">
        <f>(M1991*P1991)</f>
        <v>402</v>
      </c>
    </row>
    <row r="1992" spans="6:19" ht="24" customHeight="1">
      <c r="F1992" s="710">
        <v>0.5</v>
      </c>
      <c r="G1992" s="708" t="s">
        <v>877</v>
      </c>
      <c r="H1992" s="697" t="s">
        <v>1927</v>
      </c>
      <c r="I1992" s="710">
        <f>(C10)</f>
        <v>562</v>
      </c>
      <c r="J1992" s="697" t="s">
        <v>877</v>
      </c>
      <c r="K1992" s="710">
        <f>(F1992*I1992)</f>
        <v>281</v>
      </c>
      <c r="M1992" s="710">
        <v>0.5</v>
      </c>
      <c r="N1992" s="708" t="s">
        <v>877</v>
      </c>
      <c r="O1992" s="697" t="s">
        <v>1927</v>
      </c>
      <c r="P1992" s="710">
        <f t="shared" si="239"/>
        <v>562</v>
      </c>
      <c r="Q1992" s="697" t="s">
        <v>877</v>
      </c>
      <c r="R1992" s="942">
        <f>(M1992*P1992)</f>
        <v>281</v>
      </c>
    </row>
    <row r="1993" spans="6:19" ht="24" customHeight="1">
      <c r="G1993" s="708" t="s">
        <v>450</v>
      </c>
      <c r="H1993" s="697" t="s">
        <v>451</v>
      </c>
      <c r="I1993" s="697" t="s">
        <v>987</v>
      </c>
      <c r="J1993" s="697" t="s">
        <v>450</v>
      </c>
      <c r="K1993" s="710">
        <v>1.03</v>
      </c>
      <c r="N1993" s="708"/>
      <c r="O1993" s="701" t="s">
        <v>4334</v>
      </c>
      <c r="P1993" s="710" t="str">
        <f t="shared" si="239"/>
        <v xml:space="preserve"> </v>
      </c>
      <c r="Q1993" s="697"/>
      <c r="R1993" s="942">
        <v>-164</v>
      </c>
    </row>
    <row r="1994" spans="6:19" ht="24" customHeight="1">
      <c r="H1994" s="697" t="s">
        <v>987</v>
      </c>
      <c r="K1994" s="705" t="s">
        <v>1609</v>
      </c>
      <c r="O1994" s="701" t="s">
        <v>4335</v>
      </c>
      <c r="P1994" s="710"/>
      <c r="Q1994" s="697"/>
      <c r="R1994" s="942">
        <v>134.1</v>
      </c>
    </row>
    <row r="1995" spans="6:19" ht="24" customHeight="1" thickBot="1">
      <c r="H1995" s="697" t="s">
        <v>1776</v>
      </c>
      <c r="K1995" s="710">
        <f>SUM(K1983:K1993)</f>
        <v>4798.84</v>
      </c>
      <c r="N1995" s="700" t="s">
        <v>663</v>
      </c>
      <c r="O1995" s="701" t="s">
        <v>2296</v>
      </c>
      <c r="Q1995" s="702"/>
      <c r="R1995" s="942">
        <v>0.47</v>
      </c>
    </row>
    <row r="1996" spans="6:19" ht="24" customHeight="1" thickTop="1">
      <c r="K1996" s="705" t="s">
        <v>2080</v>
      </c>
      <c r="N1996" s="700"/>
      <c r="O1996" s="697" t="s">
        <v>1776</v>
      </c>
      <c r="Q1996" s="702"/>
      <c r="R1996" s="943">
        <f>SUM(R1983:R1995)</f>
        <v>4768.38</v>
      </c>
    </row>
    <row r="1997" spans="6:19" ht="24" customHeight="1" thickBot="1">
      <c r="G1997" s="708" t="s">
        <v>987</v>
      </c>
      <c r="H1997" s="697" t="s">
        <v>987</v>
      </c>
      <c r="K1997" s="697" t="s">
        <v>987</v>
      </c>
      <c r="N1997" s="700"/>
      <c r="Q1997" s="702"/>
      <c r="R1997" s="944"/>
    </row>
    <row r="1998" spans="6:19" ht="24" customHeight="1" thickTop="1">
      <c r="F1998" s="733">
        <v>57</v>
      </c>
      <c r="G1998" s="708" t="s">
        <v>2276</v>
      </c>
      <c r="H1998" s="697" t="s">
        <v>5265</v>
      </c>
    </row>
    <row r="1999" spans="6:19" ht="24" customHeight="1">
      <c r="H1999" s="697" t="s">
        <v>204</v>
      </c>
      <c r="M1999" s="733">
        <v>57</v>
      </c>
      <c r="N1999" s="708" t="s">
        <v>2276</v>
      </c>
      <c r="O1999" s="697" t="s">
        <v>5265</v>
      </c>
      <c r="Q1999" s="702"/>
      <c r="S1999" s="699"/>
    </row>
    <row r="2000" spans="6:19" ht="24" customHeight="1">
      <c r="H2000" s="697" t="s">
        <v>1797</v>
      </c>
      <c r="N2000" s="700"/>
      <c r="O2000" s="697" t="s">
        <v>204</v>
      </c>
      <c r="Q2000" s="702"/>
      <c r="S2000" s="699"/>
    </row>
    <row r="2001" spans="6:19" ht="24" customHeight="1">
      <c r="H2001" s="705" t="s">
        <v>1609</v>
      </c>
      <c r="N2001" s="700"/>
      <c r="O2001" s="697" t="s">
        <v>1797</v>
      </c>
      <c r="Q2001" s="702"/>
      <c r="S2001" s="699"/>
    </row>
    <row r="2002" spans="6:19" ht="60.75" customHeight="1">
      <c r="F2002" s="934">
        <v>1</v>
      </c>
      <c r="G2002" s="934" t="s">
        <v>792</v>
      </c>
      <c r="H2002" s="766" t="s">
        <v>4224</v>
      </c>
      <c r="I2002" s="934">
        <f>C610</f>
        <v>3060</v>
      </c>
      <c r="J2002" s="935" t="s">
        <v>792</v>
      </c>
      <c r="K2002" s="934">
        <f>(F2002*I2002)</f>
        <v>3060</v>
      </c>
      <c r="N2002" s="700"/>
      <c r="O2002" s="705" t="s">
        <v>1609</v>
      </c>
      <c r="Q2002" s="702"/>
      <c r="S2002" s="699"/>
    </row>
    <row r="2003" spans="6:19" ht="48.75" customHeight="1">
      <c r="F2003" s="710"/>
      <c r="G2003" s="708"/>
      <c r="H2003" s="701" t="s">
        <v>1179</v>
      </c>
      <c r="I2003" s="710"/>
      <c r="J2003" s="697"/>
      <c r="K2003" s="710"/>
      <c r="M2003" s="934">
        <v>1</v>
      </c>
      <c r="N2003" s="934" t="s">
        <v>792</v>
      </c>
      <c r="O2003" s="766" t="s">
        <v>1140</v>
      </c>
      <c r="P2003" s="934">
        <f>I2002</f>
        <v>3060</v>
      </c>
      <c r="Q2003" s="935" t="s">
        <v>792</v>
      </c>
      <c r="R2003" s="934">
        <f>(M2003*P2003)</f>
        <v>3060</v>
      </c>
      <c r="S2003" s="699"/>
    </row>
    <row r="2004" spans="6:19" ht="36" customHeight="1">
      <c r="F2004" s="710">
        <v>1</v>
      </c>
      <c r="G2004" s="708" t="s">
        <v>877</v>
      </c>
      <c r="H2004" s="697" t="s">
        <v>2034</v>
      </c>
      <c r="I2004" s="710">
        <f>(C8)</f>
        <v>861</v>
      </c>
      <c r="J2004" s="697" t="s">
        <v>877</v>
      </c>
      <c r="K2004" s="710">
        <f>(F2004*I2004)</f>
        <v>861</v>
      </c>
      <c r="M2004" s="710"/>
      <c r="N2004" s="708"/>
      <c r="O2004" s="701" t="s">
        <v>1179</v>
      </c>
      <c r="P2004" s="710"/>
      <c r="Q2004" s="697"/>
      <c r="R2004" s="710"/>
      <c r="S2004" s="699"/>
    </row>
    <row r="2005" spans="6:19" ht="24" customHeight="1">
      <c r="F2005" s="710">
        <v>2</v>
      </c>
      <c r="G2005" s="708" t="s">
        <v>877</v>
      </c>
      <c r="H2005" s="697" t="s">
        <v>2130</v>
      </c>
      <c r="I2005" s="710">
        <f>(C13)</f>
        <v>747</v>
      </c>
      <c r="J2005" s="697" t="s">
        <v>877</v>
      </c>
      <c r="K2005" s="710">
        <f>(F2005*I2005)</f>
        <v>1494</v>
      </c>
      <c r="M2005" s="710">
        <v>1</v>
      </c>
      <c r="N2005" s="708" t="s">
        <v>877</v>
      </c>
      <c r="O2005" s="697" t="s">
        <v>2034</v>
      </c>
      <c r="P2005" s="710">
        <f t="shared" ref="P2005:P2010" si="240">I2004</f>
        <v>861</v>
      </c>
      <c r="Q2005" s="697" t="s">
        <v>877</v>
      </c>
      <c r="R2005" s="710">
        <f>(M2005*P2005)</f>
        <v>861</v>
      </c>
      <c r="S2005" s="699"/>
    </row>
    <row r="2006" spans="6:19" ht="24" customHeight="1">
      <c r="F2006" s="710">
        <v>1</v>
      </c>
      <c r="G2006" s="708" t="s">
        <v>877</v>
      </c>
      <c r="H2006" s="697" t="s">
        <v>321</v>
      </c>
      <c r="I2006" s="710">
        <f>(C11)</f>
        <v>461</v>
      </c>
      <c r="J2006" s="697" t="s">
        <v>877</v>
      </c>
      <c r="K2006" s="710">
        <f>(F2006*I2006)</f>
        <v>461</v>
      </c>
      <c r="M2006" s="710">
        <v>2</v>
      </c>
      <c r="N2006" s="708" t="s">
        <v>877</v>
      </c>
      <c r="O2006" s="697" t="s">
        <v>2130</v>
      </c>
      <c r="P2006" s="710">
        <f t="shared" si="240"/>
        <v>747</v>
      </c>
      <c r="Q2006" s="697" t="s">
        <v>877</v>
      </c>
      <c r="R2006" s="710">
        <f>(M2006*P2006)</f>
        <v>1494</v>
      </c>
      <c r="S2006" s="699"/>
    </row>
    <row r="2007" spans="6:19" ht="24" customHeight="1">
      <c r="F2007" s="710"/>
      <c r="G2007" s="708"/>
      <c r="H2007" s="701" t="s">
        <v>719</v>
      </c>
      <c r="I2007" s="710"/>
      <c r="J2007" s="697"/>
      <c r="K2007" s="710"/>
      <c r="M2007" s="710">
        <v>1</v>
      </c>
      <c r="N2007" s="708" t="s">
        <v>877</v>
      </c>
      <c r="O2007" s="697" t="s">
        <v>321</v>
      </c>
      <c r="P2007" s="710">
        <f t="shared" si="240"/>
        <v>461</v>
      </c>
      <c r="Q2007" s="697" t="s">
        <v>877</v>
      </c>
      <c r="R2007" s="710">
        <f>(M2007*P2007)</f>
        <v>461</v>
      </c>
      <c r="S2007" s="699"/>
    </row>
    <row r="2008" spans="6:19" ht="24" customHeight="1">
      <c r="F2008" s="710">
        <v>0.5</v>
      </c>
      <c r="G2008" s="708" t="s">
        <v>877</v>
      </c>
      <c r="H2008" s="697" t="s">
        <v>2130</v>
      </c>
      <c r="I2008" s="710">
        <f>(C13)</f>
        <v>747</v>
      </c>
      <c r="J2008" s="697" t="s">
        <v>877</v>
      </c>
      <c r="K2008" s="710">
        <f>(F2008*I2008)</f>
        <v>373.5</v>
      </c>
      <c r="M2008" s="710"/>
      <c r="N2008" s="708"/>
      <c r="O2008" s="701" t="s">
        <v>719</v>
      </c>
      <c r="P2008" s="710"/>
      <c r="Q2008" s="697"/>
      <c r="R2008" s="710"/>
      <c r="S2008" s="699"/>
    </row>
    <row r="2009" spans="6:19" ht="24" customHeight="1">
      <c r="F2009" s="710">
        <v>0.5</v>
      </c>
      <c r="G2009" s="708" t="s">
        <v>877</v>
      </c>
      <c r="H2009" s="697" t="s">
        <v>1927</v>
      </c>
      <c r="I2009" s="710">
        <f>(C10)</f>
        <v>562</v>
      </c>
      <c r="J2009" s="697" t="s">
        <v>877</v>
      </c>
      <c r="K2009" s="710">
        <f>(F2009*I2009)</f>
        <v>281</v>
      </c>
      <c r="M2009" s="710">
        <v>0.5</v>
      </c>
      <c r="N2009" s="708" t="s">
        <v>877</v>
      </c>
      <c r="O2009" s="697" t="s">
        <v>2130</v>
      </c>
      <c r="P2009" s="710">
        <f t="shared" si="240"/>
        <v>747</v>
      </c>
      <c r="Q2009" s="697" t="s">
        <v>877</v>
      </c>
      <c r="R2009" s="710">
        <f>(M2009*P2009)</f>
        <v>373.5</v>
      </c>
      <c r="S2009" s="699"/>
    </row>
    <row r="2010" spans="6:19" ht="24" customHeight="1">
      <c r="G2010" s="708" t="s">
        <v>450</v>
      </c>
      <c r="H2010" s="697" t="s">
        <v>451</v>
      </c>
      <c r="J2010" s="697" t="s">
        <v>450</v>
      </c>
      <c r="K2010" s="710">
        <v>0.7</v>
      </c>
      <c r="M2010" s="710">
        <v>0.5</v>
      </c>
      <c r="N2010" s="708" t="s">
        <v>877</v>
      </c>
      <c r="O2010" s="697" t="s">
        <v>1927</v>
      </c>
      <c r="P2010" s="710">
        <f t="shared" si="240"/>
        <v>562</v>
      </c>
      <c r="Q2010" s="697" t="s">
        <v>877</v>
      </c>
      <c r="R2010" s="710">
        <f>(M2010*P2010)</f>
        <v>281</v>
      </c>
      <c r="S2010" s="699"/>
    </row>
    <row r="2011" spans="6:19" ht="24" customHeight="1">
      <c r="K2011" s="705" t="s">
        <v>1609</v>
      </c>
      <c r="M2011" s="710"/>
      <c r="N2011" s="708"/>
      <c r="O2011" s="701" t="s">
        <v>4334</v>
      </c>
      <c r="P2011" s="710">
        <f>I2011</f>
        <v>0</v>
      </c>
      <c r="Q2011" s="697"/>
      <c r="R2011" s="737">
        <v>-164</v>
      </c>
      <c r="S2011" s="699"/>
    </row>
    <row r="2012" spans="6:19" ht="24" customHeight="1">
      <c r="H2012" s="697" t="s">
        <v>1776</v>
      </c>
      <c r="K2012" s="710">
        <f>SUM(K2002:K2010)</f>
        <v>6531.2</v>
      </c>
      <c r="M2012" s="710"/>
      <c r="N2012" s="708"/>
      <c r="O2012" s="701" t="s">
        <v>4335</v>
      </c>
      <c r="P2012" s="710"/>
      <c r="Q2012" s="697"/>
      <c r="R2012" s="737">
        <v>134.1</v>
      </c>
      <c r="S2012" s="699"/>
    </row>
    <row r="2013" spans="6:19" ht="24" customHeight="1">
      <c r="F2013" s="697" t="s">
        <v>987</v>
      </c>
      <c r="N2013" s="708" t="s">
        <v>450</v>
      </c>
      <c r="O2013" s="697" t="s">
        <v>451</v>
      </c>
      <c r="Q2013" s="697" t="s">
        <v>450</v>
      </c>
      <c r="R2013" s="710">
        <v>0.7</v>
      </c>
      <c r="S2013" s="699"/>
    </row>
    <row r="2014" spans="6:19" ht="24" customHeight="1">
      <c r="K2014" s="705" t="s">
        <v>1609</v>
      </c>
      <c r="N2014" s="700"/>
      <c r="O2014" s="697" t="s">
        <v>1776</v>
      </c>
      <c r="Q2014" s="702"/>
      <c r="R2014" s="710"/>
      <c r="S2014" s="699"/>
    </row>
    <row r="2015" spans="6:19" ht="24" customHeight="1">
      <c r="G2015" s="708" t="s">
        <v>987</v>
      </c>
      <c r="H2015" s="697" t="s">
        <v>987</v>
      </c>
      <c r="K2015" s="697" t="s">
        <v>987</v>
      </c>
      <c r="N2015" s="700"/>
      <c r="Q2015" s="702"/>
      <c r="R2015" s="758">
        <f>SUM(R2003:R2014)</f>
        <v>6501.3</v>
      </c>
      <c r="S2015" s="699"/>
    </row>
    <row r="2016" spans="6:19" ht="24" customHeight="1">
      <c r="H2016" s="697" t="s">
        <v>987</v>
      </c>
      <c r="M2016" s="697" t="s">
        <v>987</v>
      </c>
      <c r="N2016" s="700"/>
      <c r="S2016" s="699"/>
    </row>
    <row r="2017" spans="6:19" ht="24" customHeight="1">
      <c r="F2017" s="753">
        <v>57.1</v>
      </c>
      <c r="G2017" s="708" t="s">
        <v>2276</v>
      </c>
      <c r="H2017" s="697" t="s">
        <v>5266</v>
      </c>
      <c r="M2017" s="733">
        <v>57</v>
      </c>
      <c r="N2017" s="708" t="s">
        <v>2276</v>
      </c>
      <c r="O2017" s="697" t="s">
        <v>5266</v>
      </c>
      <c r="Q2017" s="702"/>
      <c r="S2017" s="699"/>
    </row>
    <row r="2018" spans="6:19" ht="24" customHeight="1">
      <c r="H2018" s="697" t="s">
        <v>204</v>
      </c>
      <c r="N2018" s="700"/>
      <c r="O2018" s="697" t="s">
        <v>204</v>
      </c>
      <c r="Q2018" s="702"/>
    </row>
    <row r="2019" spans="6:19" ht="24" customHeight="1">
      <c r="H2019" s="697" t="s">
        <v>1797</v>
      </c>
      <c r="N2019" s="700"/>
      <c r="O2019" s="697" t="s">
        <v>1797</v>
      </c>
      <c r="Q2019" s="702"/>
    </row>
    <row r="2020" spans="6:19" ht="24" customHeight="1">
      <c r="H2020" s="705" t="s">
        <v>1609</v>
      </c>
      <c r="N2020" s="700"/>
      <c r="O2020" s="705" t="s">
        <v>1609</v>
      </c>
      <c r="Q2020" s="702"/>
    </row>
    <row r="2021" spans="6:19" ht="62.25" customHeight="1">
      <c r="F2021" s="934">
        <v>1</v>
      </c>
      <c r="G2021" s="934" t="s">
        <v>792</v>
      </c>
      <c r="H2021" s="762" t="s">
        <v>1140</v>
      </c>
      <c r="I2021" s="699">
        <f>E610</f>
        <v>3450</v>
      </c>
      <c r="J2021" s="935" t="s">
        <v>792</v>
      </c>
      <c r="K2021" s="934">
        <f>(F2021*I2021)</f>
        <v>3450</v>
      </c>
      <c r="M2021" s="934">
        <v>1</v>
      </c>
      <c r="N2021" s="934" t="s">
        <v>792</v>
      </c>
      <c r="O2021" s="766" t="s">
        <v>1140</v>
      </c>
      <c r="P2021" s="934">
        <f>I2021</f>
        <v>3450</v>
      </c>
      <c r="Q2021" s="935" t="s">
        <v>792</v>
      </c>
      <c r="R2021" s="934">
        <f>(M2021*P2021)</f>
        <v>3450</v>
      </c>
    </row>
    <row r="2022" spans="6:19" ht="54.75" customHeight="1">
      <c r="F2022" s="710"/>
      <c r="G2022" s="708"/>
      <c r="H2022" s="701" t="s">
        <v>1179</v>
      </c>
      <c r="J2022" s="697"/>
      <c r="K2022" s="710"/>
      <c r="M2022" s="710"/>
      <c r="N2022" s="708"/>
      <c r="O2022" s="701" t="s">
        <v>1179</v>
      </c>
      <c r="P2022" s="710"/>
      <c r="Q2022" s="697"/>
      <c r="R2022" s="934"/>
    </row>
    <row r="2023" spans="6:19" ht="24" customHeight="1">
      <c r="F2023" s="710">
        <v>1</v>
      </c>
      <c r="G2023" s="708" t="s">
        <v>877</v>
      </c>
      <c r="H2023" s="697" t="s">
        <v>2034</v>
      </c>
      <c r="I2023" s="699">
        <f>C8</f>
        <v>861</v>
      </c>
      <c r="J2023" s="697" t="s">
        <v>877</v>
      </c>
      <c r="K2023" s="710">
        <f>(F2023*I2023)</f>
        <v>861</v>
      </c>
      <c r="M2023" s="710">
        <v>1</v>
      </c>
      <c r="N2023" s="708" t="s">
        <v>877</v>
      </c>
      <c r="O2023" s="697" t="s">
        <v>2034</v>
      </c>
      <c r="P2023" s="710">
        <f>I2023</f>
        <v>861</v>
      </c>
      <c r="Q2023" s="697" t="s">
        <v>877</v>
      </c>
      <c r="R2023" s="934">
        <f>(M2023*P2023)</f>
        <v>861</v>
      </c>
    </row>
    <row r="2024" spans="6:19" ht="24" customHeight="1">
      <c r="F2024" s="710">
        <v>2</v>
      </c>
      <c r="G2024" s="708" t="s">
        <v>877</v>
      </c>
      <c r="H2024" s="697" t="s">
        <v>2130</v>
      </c>
      <c r="I2024" s="699">
        <f>C13</f>
        <v>747</v>
      </c>
      <c r="J2024" s="697" t="s">
        <v>877</v>
      </c>
      <c r="K2024" s="710">
        <f>(F2024*I2024)</f>
        <v>1494</v>
      </c>
      <c r="M2024" s="710">
        <v>2</v>
      </c>
      <c r="N2024" s="708" t="s">
        <v>877</v>
      </c>
      <c r="O2024" s="697" t="s">
        <v>2130</v>
      </c>
      <c r="P2024" s="710">
        <f>I2024</f>
        <v>747</v>
      </c>
      <c r="Q2024" s="697" t="s">
        <v>877</v>
      </c>
      <c r="R2024" s="934">
        <f>(M2024*P2024)</f>
        <v>1494</v>
      </c>
    </row>
    <row r="2025" spans="6:19" ht="24" customHeight="1">
      <c r="F2025" s="710">
        <v>1</v>
      </c>
      <c r="G2025" s="708" t="s">
        <v>877</v>
      </c>
      <c r="H2025" s="697" t="s">
        <v>321</v>
      </c>
      <c r="I2025" s="699">
        <f>C11</f>
        <v>461</v>
      </c>
      <c r="J2025" s="697" t="s">
        <v>877</v>
      </c>
      <c r="K2025" s="710">
        <f>(F2025*I2025)</f>
        <v>461</v>
      </c>
      <c r="M2025" s="710">
        <v>1</v>
      </c>
      <c r="N2025" s="708" t="s">
        <v>877</v>
      </c>
      <c r="O2025" s="697" t="s">
        <v>321</v>
      </c>
      <c r="P2025" s="710">
        <f>I2025</f>
        <v>461</v>
      </c>
      <c r="Q2025" s="697" t="s">
        <v>877</v>
      </c>
      <c r="R2025" s="934">
        <f>(M2025*P2025)</f>
        <v>461</v>
      </c>
    </row>
    <row r="2026" spans="6:19" ht="24" customHeight="1">
      <c r="F2026" s="710"/>
      <c r="G2026" s="708"/>
      <c r="H2026" s="701" t="s">
        <v>719</v>
      </c>
      <c r="J2026" s="697"/>
      <c r="K2026" s="710"/>
      <c r="M2026" s="710"/>
      <c r="N2026" s="708"/>
      <c r="O2026" s="701" t="s">
        <v>719</v>
      </c>
      <c r="Q2026" s="697"/>
      <c r="R2026" s="710"/>
    </row>
    <row r="2027" spans="6:19" ht="24" customHeight="1">
      <c r="F2027" s="710">
        <v>0.5</v>
      </c>
      <c r="G2027" s="708" t="s">
        <v>877</v>
      </c>
      <c r="H2027" s="697" t="s">
        <v>2130</v>
      </c>
      <c r="I2027" s="699">
        <f>C13</f>
        <v>747</v>
      </c>
      <c r="J2027" s="697" t="s">
        <v>877</v>
      </c>
      <c r="K2027" s="710">
        <f>(F2027*I2027)</f>
        <v>373.5</v>
      </c>
      <c r="M2027" s="710">
        <v>0.5</v>
      </c>
      <c r="N2027" s="708" t="s">
        <v>877</v>
      </c>
      <c r="O2027" s="697" t="s">
        <v>2130</v>
      </c>
      <c r="P2027" s="710">
        <f>I2027</f>
        <v>747</v>
      </c>
      <c r="Q2027" s="697" t="s">
        <v>877</v>
      </c>
      <c r="R2027" s="710">
        <f>(M2027*P2027)</f>
        <v>373.5</v>
      </c>
    </row>
    <row r="2028" spans="6:19" ht="24" customHeight="1">
      <c r="F2028" s="710">
        <v>0.5</v>
      </c>
      <c r="G2028" s="708" t="s">
        <v>877</v>
      </c>
      <c r="H2028" s="697" t="s">
        <v>1927</v>
      </c>
      <c r="I2028" s="699">
        <f>C10</f>
        <v>562</v>
      </c>
      <c r="J2028" s="697" t="s">
        <v>877</v>
      </c>
      <c r="K2028" s="710">
        <f>(F2028*I2028)</f>
        <v>281</v>
      </c>
      <c r="M2028" s="710">
        <v>0.5</v>
      </c>
      <c r="N2028" s="708" t="s">
        <v>877</v>
      </c>
      <c r="O2028" s="697" t="s">
        <v>1927</v>
      </c>
      <c r="P2028" s="710">
        <f>I2028</f>
        <v>562</v>
      </c>
      <c r="Q2028" s="697" t="s">
        <v>877</v>
      </c>
      <c r="R2028" s="710">
        <f>(M2028*P2028)</f>
        <v>281</v>
      </c>
    </row>
    <row r="2029" spans="6:19" ht="24" customHeight="1">
      <c r="G2029" s="708" t="s">
        <v>450</v>
      </c>
      <c r="H2029" s="697" t="s">
        <v>451</v>
      </c>
      <c r="J2029" s="697" t="s">
        <v>450</v>
      </c>
      <c r="K2029" s="710">
        <v>0.7</v>
      </c>
      <c r="M2029" s="710"/>
      <c r="N2029" s="708"/>
      <c r="O2029" s="701" t="s">
        <v>4334</v>
      </c>
      <c r="P2029" s="710">
        <f>I2029</f>
        <v>0</v>
      </c>
      <c r="Q2029" s="697"/>
      <c r="R2029" s="737">
        <v>-164</v>
      </c>
    </row>
    <row r="2030" spans="6:19" ht="24" customHeight="1">
      <c r="K2030" s="705" t="s">
        <v>1609</v>
      </c>
      <c r="M2030" s="710"/>
      <c r="N2030" s="708"/>
      <c r="O2030" s="701" t="s">
        <v>4335</v>
      </c>
      <c r="P2030" s="710"/>
      <c r="Q2030" s="697"/>
      <c r="R2030" s="737">
        <v>134.1</v>
      </c>
    </row>
    <row r="2031" spans="6:19" ht="24" customHeight="1">
      <c r="H2031" s="697" t="s">
        <v>1776</v>
      </c>
      <c r="K2031" s="710">
        <f>SUM(K2021:K2029)</f>
        <v>6921.2</v>
      </c>
      <c r="N2031" s="708" t="s">
        <v>450</v>
      </c>
      <c r="O2031" s="697" t="s">
        <v>451</v>
      </c>
      <c r="Q2031" s="697" t="s">
        <v>450</v>
      </c>
      <c r="R2031" s="710">
        <v>0.7</v>
      </c>
    </row>
    <row r="2032" spans="6:19" ht="24" customHeight="1">
      <c r="H2032" s="697"/>
      <c r="N2032" s="700"/>
      <c r="Q2032" s="702"/>
      <c r="R2032" s="705" t="s">
        <v>1609</v>
      </c>
    </row>
    <row r="2033" spans="6:18" ht="24" customHeight="1">
      <c r="H2033" s="697"/>
      <c r="K2033" s="705" t="s">
        <v>1609</v>
      </c>
      <c r="N2033" s="700"/>
      <c r="O2033" s="697" t="s">
        <v>1776</v>
      </c>
      <c r="Q2033" s="702"/>
      <c r="R2033" s="710"/>
    </row>
    <row r="2034" spans="6:18" ht="24" customHeight="1">
      <c r="H2034" s="697"/>
      <c r="M2034" s="697" t="s">
        <v>987</v>
      </c>
      <c r="N2034" s="700"/>
      <c r="Q2034" s="702"/>
      <c r="R2034" s="758">
        <f>SUM(R2021:R2033)</f>
        <v>6891.3</v>
      </c>
    </row>
    <row r="2035" spans="6:18" ht="24" customHeight="1">
      <c r="F2035" s="698" t="s">
        <v>720</v>
      </c>
      <c r="G2035" s="708" t="s">
        <v>2276</v>
      </c>
      <c r="H2035" s="697" t="s">
        <v>817</v>
      </c>
      <c r="N2035" s="700"/>
      <c r="Q2035" s="702"/>
      <c r="R2035" s="705" t="s">
        <v>1609</v>
      </c>
    </row>
    <row r="2036" spans="6:18" ht="24" customHeight="1">
      <c r="H2036" s="697" t="s">
        <v>162</v>
      </c>
    </row>
    <row r="2037" spans="6:18" ht="24" customHeight="1">
      <c r="H2037" s="705" t="s">
        <v>1609</v>
      </c>
    </row>
    <row r="2038" spans="6:18" ht="24" customHeight="1">
      <c r="G2038" s="708" t="s">
        <v>695</v>
      </c>
      <c r="H2038" s="697" t="s">
        <v>42</v>
      </c>
    </row>
    <row r="2039" spans="6:18" ht="24" customHeight="1">
      <c r="H2039" s="697" t="s">
        <v>5267</v>
      </c>
    </row>
    <row r="2040" spans="6:18" ht="24" customHeight="1">
      <c r="H2040" s="697" t="s">
        <v>958</v>
      </c>
      <c r="M2040" s="945"/>
      <c r="N2040" s="946"/>
      <c r="O2040" s="947" t="s">
        <v>2024</v>
      </c>
      <c r="P2040" s="948"/>
      <c r="Q2040" s="949"/>
      <c r="R2040" s="948"/>
    </row>
    <row r="2041" spans="6:18" ht="24" customHeight="1">
      <c r="H2041" s="697" t="s">
        <v>959</v>
      </c>
      <c r="M2041" s="945"/>
      <c r="N2041" s="946"/>
      <c r="O2041" s="947" t="s">
        <v>5167</v>
      </c>
      <c r="P2041" s="948"/>
      <c r="Q2041" s="949"/>
      <c r="R2041" s="948"/>
    </row>
    <row r="2042" spans="6:18" ht="24" customHeight="1">
      <c r="H2042" s="697" t="s">
        <v>2131</v>
      </c>
      <c r="M2042" s="948"/>
      <c r="N2042" s="946"/>
      <c r="O2042" s="950" t="s">
        <v>1609</v>
      </c>
      <c r="P2042" s="950" t="s">
        <v>1609</v>
      </c>
      <c r="Q2042" s="947" t="s">
        <v>1609</v>
      </c>
      <c r="R2042" s="948"/>
    </row>
    <row r="2043" spans="6:18" ht="24" customHeight="1">
      <c r="H2043" s="697" t="s">
        <v>2132</v>
      </c>
      <c r="M2043" s="948"/>
      <c r="N2043" s="946"/>
      <c r="O2043" s="948"/>
      <c r="P2043" s="948"/>
      <c r="Q2043" s="949"/>
      <c r="R2043" s="948"/>
    </row>
    <row r="2044" spans="6:18" ht="24" customHeight="1">
      <c r="H2044" s="697" t="s">
        <v>202</v>
      </c>
      <c r="M2044" s="948"/>
      <c r="N2044" s="946"/>
      <c r="O2044" s="951" t="s">
        <v>5168</v>
      </c>
      <c r="P2044" s="948">
        <f>3.93*2.1</f>
        <v>8.25</v>
      </c>
      <c r="Q2044" s="949" t="s">
        <v>2176</v>
      </c>
      <c r="R2044" s="948"/>
    </row>
    <row r="2045" spans="6:18" ht="24" customHeight="1">
      <c r="H2045" s="705" t="s">
        <v>1609</v>
      </c>
      <c r="M2045" s="948"/>
      <c r="N2045" s="946"/>
      <c r="O2045" s="947" t="s">
        <v>5169</v>
      </c>
      <c r="P2045" s="948"/>
      <c r="Q2045" s="949"/>
      <c r="R2045" s="948"/>
    </row>
    <row r="2046" spans="6:18" ht="24" customHeight="1">
      <c r="F2046" s="710">
        <v>3</v>
      </c>
      <c r="G2046" s="708" t="s">
        <v>1796</v>
      </c>
      <c r="H2046" s="697" t="s">
        <v>2133</v>
      </c>
      <c r="I2046" s="800">
        <f>(C617)</f>
        <v>193.05</v>
      </c>
      <c r="J2046" s="697" t="s">
        <v>1796</v>
      </c>
      <c r="K2046" s="710">
        <f t="shared" ref="K2046:K2052" si="241">(F2046*I2046)</f>
        <v>579.15</v>
      </c>
      <c r="M2046" s="948"/>
      <c r="N2046" s="946"/>
      <c r="O2046" s="947" t="s">
        <v>5170</v>
      </c>
      <c r="P2046" s="952">
        <f>1*7*2.1*0.075*0.0375</f>
        <v>4.1000000000000002E-2</v>
      </c>
      <c r="Q2046" s="949"/>
      <c r="R2046" s="948"/>
    </row>
    <row r="2047" spans="6:18" ht="24" customHeight="1">
      <c r="F2047" s="710">
        <v>1</v>
      </c>
      <c r="G2047" s="708" t="s">
        <v>778</v>
      </c>
      <c r="H2047" s="697" t="s">
        <v>676</v>
      </c>
      <c r="I2047" s="737">
        <v>76</v>
      </c>
      <c r="J2047" s="697" t="s">
        <v>1741</v>
      </c>
      <c r="K2047" s="710">
        <f t="shared" si="241"/>
        <v>76</v>
      </c>
      <c r="M2047" s="948"/>
      <c r="N2047" s="946"/>
      <c r="O2047" s="947" t="s">
        <v>5171</v>
      </c>
      <c r="P2047" s="952">
        <f>5*3.93*0.075*0.0375</f>
        <v>5.5E-2</v>
      </c>
      <c r="Q2047" s="949"/>
      <c r="R2047" s="948"/>
    </row>
    <row r="2048" spans="6:18" ht="24" customHeight="1">
      <c r="F2048" s="710">
        <v>1</v>
      </c>
      <c r="G2048" s="708" t="s">
        <v>778</v>
      </c>
      <c r="H2048" s="697" t="s">
        <v>677</v>
      </c>
      <c r="I2048" s="710">
        <f>C645</f>
        <v>78.400000000000006</v>
      </c>
      <c r="J2048" s="697" t="s">
        <v>1741</v>
      </c>
      <c r="K2048" s="710">
        <f t="shared" si="241"/>
        <v>78.400000000000006</v>
      </c>
      <c r="M2048" s="948"/>
      <c r="N2048" s="946"/>
      <c r="O2048" s="947"/>
      <c r="P2048" s="953">
        <f>SUM(P2046:P2047)</f>
        <v>9.6000000000000002E-2</v>
      </c>
      <c r="Q2048" s="949" t="s">
        <v>2176</v>
      </c>
      <c r="R2048" s="948"/>
    </row>
    <row r="2049" spans="6:18" ht="24" customHeight="1">
      <c r="F2049" s="710">
        <v>1</v>
      </c>
      <c r="G2049" s="708" t="s">
        <v>778</v>
      </c>
      <c r="H2049" s="697" t="s">
        <v>4225</v>
      </c>
      <c r="I2049" s="710">
        <f>C642</f>
        <v>178.9</v>
      </c>
      <c r="J2049" s="697" t="s">
        <v>1741</v>
      </c>
      <c r="K2049" s="710">
        <f t="shared" si="241"/>
        <v>178.9</v>
      </c>
      <c r="M2049" s="948"/>
      <c r="N2049" s="946"/>
      <c r="O2049" s="947" t="s">
        <v>5172</v>
      </c>
      <c r="P2049" s="948"/>
      <c r="Q2049" s="949"/>
      <c r="R2049" s="948"/>
    </row>
    <row r="2050" spans="6:18" ht="24" customHeight="1">
      <c r="F2050" s="710">
        <v>0.5</v>
      </c>
      <c r="G2050" s="708" t="s">
        <v>877</v>
      </c>
      <c r="H2050" s="697" t="s">
        <v>2130</v>
      </c>
      <c r="I2050" s="710">
        <f>(C13)</f>
        <v>747</v>
      </c>
      <c r="J2050" s="697" t="s">
        <v>1741</v>
      </c>
      <c r="K2050" s="710">
        <f t="shared" si="241"/>
        <v>373.5</v>
      </c>
      <c r="M2050" s="948"/>
      <c r="N2050" s="946"/>
      <c r="O2050" s="947" t="s">
        <v>5173</v>
      </c>
      <c r="P2050" s="948"/>
      <c r="Q2050" s="949"/>
      <c r="R2050" s="948"/>
    </row>
    <row r="2051" spans="6:18" ht="24" customHeight="1">
      <c r="F2051" s="710">
        <v>0.5</v>
      </c>
      <c r="G2051" s="708" t="s">
        <v>877</v>
      </c>
      <c r="H2051" s="697" t="s">
        <v>1737</v>
      </c>
      <c r="I2051" s="710">
        <f>(C9)</f>
        <v>804</v>
      </c>
      <c r="J2051" s="697" t="s">
        <v>1741</v>
      </c>
      <c r="K2051" s="710">
        <f t="shared" si="241"/>
        <v>402</v>
      </c>
      <c r="M2051" s="948"/>
      <c r="N2051" s="946"/>
      <c r="O2051" s="947" t="s">
        <v>5174</v>
      </c>
      <c r="P2051" s="952">
        <f>2*18*0.6*0.075*0.0375</f>
        <v>6.0999999999999999E-2</v>
      </c>
      <c r="Q2051" s="949"/>
      <c r="R2051" s="948"/>
    </row>
    <row r="2052" spans="6:18" ht="24" customHeight="1">
      <c r="F2052" s="710">
        <v>0.5</v>
      </c>
      <c r="G2052" s="708" t="s">
        <v>877</v>
      </c>
      <c r="H2052" s="697" t="s">
        <v>1927</v>
      </c>
      <c r="I2052" s="710">
        <f>(C10)</f>
        <v>562</v>
      </c>
      <c r="J2052" s="697" t="s">
        <v>1741</v>
      </c>
      <c r="K2052" s="710">
        <f t="shared" si="241"/>
        <v>281</v>
      </c>
      <c r="M2052" s="948"/>
      <c r="N2052" s="946"/>
      <c r="O2052" s="947" t="s">
        <v>5175</v>
      </c>
      <c r="P2052" s="952">
        <f>2*18*0.69*0.075*0.0375</f>
        <v>7.0000000000000007E-2</v>
      </c>
      <c r="Q2052" s="949"/>
      <c r="R2052" s="948"/>
    </row>
    <row r="2053" spans="6:18" ht="24" customHeight="1">
      <c r="G2053" s="708" t="s">
        <v>450</v>
      </c>
      <c r="H2053" s="697" t="s">
        <v>1545</v>
      </c>
      <c r="I2053" s="800">
        <v>2.79</v>
      </c>
      <c r="J2053" s="697" t="s">
        <v>450</v>
      </c>
      <c r="K2053" s="710">
        <v>2.79</v>
      </c>
      <c r="M2053" s="948"/>
      <c r="N2053" s="946"/>
      <c r="O2053" s="947"/>
      <c r="P2053" s="953">
        <f>SUM(P2051:P2052)</f>
        <v>0.13100000000000001</v>
      </c>
      <c r="Q2053" s="949"/>
      <c r="R2053" s="948"/>
    </row>
    <row r="2054" spans="6:18" ht="24" customHeight="1">
      <c r="H2054" s="697" t="s">
        <v>85</v>
      </c>
      <c r="M2054" s="948"/>
      <c r="N2054" s="946"/>
      <c r="O2054" s="947" t="s">
        <v>5176</v>
      </c>
      <c r="P2054" s="948"/>
      <c r="Q2054" s="949"/>
      <c r="R2054" s="948"/>
    </row>
    <row r="2055" spans="6:18" ht="24" customHeight="1">
      <c r="H2055" s="697" t="s">
        <v>192</v>
      </c>
      <c r="M2055" s="948"/>
      <c r="N2055" s="946"/>
      <c r="O2055" s="947" t="s">
        <v>5177</v>
      </c>
      <c r="P2055" s="952">
        <f>2*6*0.66*0.075*0.0375</f>
        <v>2.1999999999999999E-2</v>
      </c>
      <c r="Q2055" s="949"/>
      <c r="R2055" s="948"/>
    </row>
    <row r="2056" spans="6:18" ht="24" customHeight="1">
      <c r="H2056" s="697" t="s">
        <v>742</v>
      </c>
      <c r="J2056" s="697" t="s">
        <v>450</v>
      </c>
      <c r="K2056" s="710">
        <v>0.12</v>
      </c>
      <c r="M2056" s="948"/>
      <c r="N2056" s="946"/>
      <c r="O2056" s="947" t="s">
        <v>5178</v>
      </c>
      <c r="P2056" s="952">
        <f>2*6*0.69*0.075*0.0375</f>
        <v>2.3E-2</v>
      </c>
      <c r="Q2056" s="949"/>
      <c r="R2056" s="948"/>
    </row>
    <row r="2057" spans="6:18" ht="24" customHeight="1">
      <c r="K2057" s="705" t="s">
        <v>1609</v>
      </c>
      <c r="M2057" s="948"/>
      <c r="N2057" s="946"/>
      <c r="O2057" s="947"/>
      <c r="P2057" s="953">
        <f>SUM(P2055:P2056)</f>
        <v>4.4999999999999998E-2</v>
      </c>
      <c r="Q2057" s="949"/>
      <c r="R2057" s="948"/>
    </row>
    <row r="2058" spans="6:18" ht="24" customHeight="1">
      <c r="H2058" s="697" t="s">
        <v>1337</v>
      </c>
      <c r="K2058" s="710">
        <f>SUM(K2046:K2056)</f>
        <v>1971.86</v>
      </c>
      <c r="M2058" s="948"/>
      <c r="N2058" s="946"/>
      <c r="O2058" s="947"/>
      <c r="P2058" s="953">
        <f>P2053+P2057</f>
        <v>0.17599999999999999</v>
      </c>
      <c r="Q2058" s="949" t="s">
        <v>2176</v>
      </c>
      <c r="R2058" s="952">
        <f>P2058+P2048</f>
        <v>0.27200000000000002</v>
      </c>
    </row>
    <row r="2059" spans="6:18" ht="24" customHeight="1">
      <c r="K2059" s="705" t="s">
        <v>1609</v>
      </c>
      <c r="M2059" s="948"/>
      <c r="N2059" s="946"/>
      <c r="O2059" s="947" t="s">
        <v>5179</v>
      </c>
      <c r="P2059" s="948"/>
      <c r="Q2059" s="949"/>
      <c r="R2059" s="948"/>
    </row>
    <row r="2060" spans="6:18" ht="24" customHeight="1">
      <c r="H2060" s="697" t="s">
        <v>1567</v>
      </c>
      <c r="K2060" s="710">
        <f>(K2058/3)</f>
        <v>657.29</v>
      </c>
      <c r="M2060" s="948"/>
      <c r="N2060" s="946"/>
      <c r="O2060" s="947" t="s">
        <v>5180</v>
      </c>
      <c r="P2060" s="948">
        <f>1*18*0.54*0.45</f>
        <v>4.37</v>
      </c>
      <c r="Q2060" s="949"/>
      <c r="R2060" s="948"/>
    </row>
    <row r="2061" spans="6:18" ht="24" customHeight="1">
      <c r="K2061" s="705" t="s">
        <v>1609</v>
      </c>
      <c r="M2061" s="948"/>
      <c r="N2061" s="946"/>
      <c r="O2061" s="947" t="s">
        <v>5181</v>
      </c>
      <c r="P2061" s="948">
        <f>1*6*0.54*0.51</f>
        <v>1.65</v>
      </c>
      <c r="Q2061" s="949"/>
      <c r="R2061" s="948"/>
    </row>
    <row r="2062" spans="6:18" ht="24" customHeight="1">
      <c r="F2062" s="698" t="s">
        <v>743</v>
      </c>
      <c r="G2062" s="708" t="s">
        <v>284</v>
      </c>
      <c r="H2062" s="697" t="s">
        <v>744</v>
      </c>
      <c r="M2062" s="948"/>
      <c r="N2062" s="946"/>
      <c r="O2062" s="947"/>
      <c r="P2062" s="847">
        <f>SUM(P2060:P2061)</f>
        <v>6.02</v>
      </c>
      <c r="Q2062" s="949" t="s">
        <v>2308</v>
      </c>
      <c r="R2062" s="948"/>
    </row>
    <row r="2063" spans="6:18" ht="24" customHeight="1">
      <c r="H2063" s="697" t="s">
        <v>5268</v>
      </c>
      <c r="M2063" s="948"/>
      <c r="N2063" s="946"/>
      <c r="O2063" s="947"/>
      <c r="P2063" s="948"/>
      <c r="Q2063" s="949"/>
      <c r="R2063" s="948"/>
    </row>
    <row r="2064" spans="6:18" ht="24" customHeight="1">
      <c r="H2064" s="697" t="s">
        <v>958</v>
      </c>
      <c r="M2064" s="948"/>
      <c r="N2064" s="946"/>
      <c r="O2064" s="947" t="s">
        <v>5182</v>
      </c>
      <c r="P2064" s="948">
        <f>3.78*1.95</f>
        <v>7.37</v>
      </c>
      <c r="Q2064" s="949" t="s">
        <v>2308</v>
      </c>
      <c r="R2064" s="954" t="s">
        <v>987</v>
      </c>
    </row>
    <row r="2065" spans="6:18" ht="24" customHeight="1">
      <c r="H2065" s="697" t="s">
        <v>745</v>
      </c>
      <c r="M2065" s="948"/>
      <c r="N2065" s="946"/>
      <c r="O2065" s="947"/>
      <c r="P2065" s="948"/>
      <c r="Q2065" s="949"/>
      <c r="R2065" s="954"/>
    </row>
    <row r="2066" spans="6:18" ht="24" customHeight="1">
      <c r="H2066" s="697" t="s">
        <v>543</v>
      </c>
      <c r="M2066" s="948"/>
      <c r="N2066" s="946"/>
      <c r="O2066" s="947" t="s">
        <v>5183</v>
      </c>
      <c r="P2066" s="948">
        <f>18*2</f>
        <v>36</v>
      </c>
      <c r="Q2066" s="949" t="s">
        <v>1414</v>
      </c>
      <c r="R2066" s="954"/>
    </row>
    <row r="2067" spans="6:18" ht="24" customHeight="1">
      <c r="H2067" s="697" t="s">
        <v>2132</v>
      </c>
      <c r="M2067" s="948"/>
      <c r="N2067" s="946"/>
      <c r="O2067" s="947" t="s">
        <v>5184</v>
      </c>
      <c r="P2067" s="948">
        <f>18*1</f>
        <v>18</v>
      </c>
      <c r="Q2067" s="949" t="s">
        <v>1414</v>
      </c>
      <c r="R2067" s="954"/>
    </row>
    <row r="2068" spans="6:18" ht="24" customHeight="1">
      <c r="H2068" s="697" t="s">
        <v>202</v>
      </c>
      <c r="M2068" s="948"/>
      <c r="N2068" s="946"/>
      <c r="O2068" s="955" t="s">
        <v>4333</v>
      </c>
      <c r="P2068" s="948">
        <f>18*1</f>
        <v>18</v>
      </c>
      <c r="Q2068" s="949" t="s">
        <v>1414</v>
      </c>
      <c r="R2068" s="954"/>
    </row>
    <row r="2069" spans="6:18" ht="24" customHeight="1">
      <c r="H2069" s="705" t="s">
        <v>1609</v>
      </c>
      <c r="M2069" s="948"/>
      <c r="N2069" s="946"/>
      <c r="O2069" s="947" t="s">
        <v>5185</v>
      </c>
      <c r="P2069" s="948">
        <f>3.93*2.6*2.1</f>
        <v>21.46</v>
      </c>
      <c r="Q2069" s="949" t="s">
        <v>2308</v>
      </c>
      <c r="R2069" s="954"/>
    </row>
    <row r="2070" spans="6:18" ht="24" customHeight="1">
      <c r="F2070" s="710">
        <v>3</v>
      </c>
      <c r="G2070" s="708" t="s">
        <v>1796</v>
      </c>
      <c r="H2070" s="697" t="s">
        <v>1017</v>
      </c>
      <c r="I2070" s="737">
        <f>C618</f>
        <v>115.85</v>
      </c>
      <c r="J2070" s="697" t="s">
        <v>1796</v>
      </c>
      <c r="K2070" s="710">
        <f t="shared" ref="K2070:K2076" si="242">(F2070*I2070)</f>
        <v>347.55</v>
      </c>
      <c r="M2070" s="948"/>
      <c r="N2070" s="946"/>
      <c r="O2070" s="948"/>
      <c r="P2070" s="948"/>
      <c r="Q2070" s="949"/>
      <c r="R2070" s="948"/>
    </row>
    <row r="2071" spans="6:18" ht="24" customHeight="1">
      <c r="F2071" s="710">
        <v>1</v>
      </c>
      <c r="G2071" s="708" t="s">
        <v>778</v>
      </c>
      <c r="H2071" s="697" t="s">
        <v>1018</v>
      </c>
      <c r="I2071" s="737">
        <f>C621</f>
        <v>45</v>
      </c>
      <c r="J2071" s="697" t="s">
        <v>1741</v>
      </c>
      <c r="K2071" s="710">
        <f t="shared" si="242"/>
        <v>45</v>
      </c>
      <c r="M2071" s="956">
        <f>P2048</f>
        <v>9.6000000000000002E-2</v>
      </c>
      <c r="N2071" s="957" t="s">
        <v>878</v>
      </c>
      <c r="O2071" s="947" t="s">
        <v>698</v>
      </c>
      <c r="P2071" s="958">
        <f>I3097</f>
        <v>111600</v>
      </c>
      <c r="Q2071" s="947" t="s">
        <v>878</v>
      </c>
      <c r="R2071" s="958">
        <f t="shared" ref="R2071:R2080" si="243">(M2071*P2071)</f>
        <v>10713.6</v>
      </c>
    </row>
    <row r="2072" spans="6:18" ht="24" customHeight="1">
      <c r="F2072" s="710">
        <v>1</v>
      </c>
      <c r="G2072" s="708" t="s">
        <v>778</v>
      </c>
      <c r="H2072" s="697" t="s">
        <v>1019</v>
      </c>
      <c r="I2072" s="710">
        <f>C646</f>
        <v>52.9</v>
      </c>
      <c r="J2072" s="697" t="s">
        <v>1741</v>
      </c>
      <c r="K2072" s="710">
        <f t="shared" si="242"/>
        <v>52.9</v>
      </c>
      <c r="M2072" s="956">
        <f>P2058</f>
        <v>0.17599999999999999</v>
      </c>
      <c r="N2072" s="957" t="s">
        <v>878</v>
      </c>
      <c r="O2072" s="947" t="s">
        <v>699</v>
      </c>
      <c r="P2072" s="958">
        <f t="shared" ref="P2072:P2080" si="244">I3098</f>
        <v>99400</v>
      </c>
      <c r="Q2072" s="947" t="s">
        <v>878</v>
      </c>
      <c r="R2072" s="958">
        <f t="shared" si="243"/>
        <v>17494.400000000001</v>
      </c>
    </row>
    <row r="2073" spans="6:18" ht="24" customHeight="1">
      <c r="F2073" s="710">
        <v>1</v>
      </c>
      <c r="G2073" s="708" t="s">
        <v>778</v>
      </c>
      <c r="H2073" s="697" t="s">
        <v>86</v>
      </c>
      <c r="I2073" s="710">
        <f>C643</f>
        <v>119.3</v>
      </c>
      <c r="J2073" s="697" t="s">
        <v>1741</v>
      </c>
      <c r="K2073" s="710">
        <f t="shared" si="242"/>
        <v>119.3</v>
      </c>
      <c r="M2073" s="956">
        <f>SUM(M2071:M2072)</f>
        <v>0.27200000000000002</v>
      </c>
      <c r="N2073" s="957" t="s">
        <v>878</v>
      </c>
      <c r="O2073" s="947" t="s">
        <v>895</v>
      </c>
      <c r="P2073" s="958">
        <f t="shared" si="244"/>
        <v>11800</v>
      </c>
      <c r="Q2073" s="947" t="s">
        <v>878</v>
      </c>
      <c r="R2073" s="958">
        <f t="shared" si="243"/>
        <v>3209.6</v>
      </c>
    </row>
    <row r="2074" spans="6:18" ht="24" customHeight="1">
      <c r="F2074" s="710">
        <v>0.5</v>
      </c>
      <c r="G2074" s="708" t="s">
        <v>877</v>
      </c>
      <c r="H2074" s="697" t="s">
        <v>2130</v>
      </c>
      <c r="I2074" s="710">
        <f>(C13)</f>
        <v>747</v>
      </c>
      <c r="J2074" s="697" t="s">
        <v>1741</v>
      </c>
      <c r="K2074" s="710">
        <f t="shared" si="242"/>
        <v>373.5</v>
      </c>
      <c r="M2074" s="956">
        <f>P2062</f>
        <v>6.02</v>
      </c>
      <c r="N2074" s="957" t="s">
        <v>615</v>
      </c>
      <c r="O2074" s="947" t="s">
        <v>5186</v>
      </c>
      <c r="P2074" s="958">
        <f t="shared" si="244"/>
        <v>387.4</v>
      </c>
      <c r="Q2074" s="947" t="s">
        <v>615</v>
      </c>
      <c r="R2074" s="958">
        <f t="shared" si="243"/>
        <v>2332.15</v>
      </c>
    </row>
    <row r="2075" spans="6:18" ht="24" customHeight="1">
      <c r="F2075" s="710">
        <v>0.5</v>
      </c>
      <c r="G2075" s="708" t="s">
        <v>877</v>
      </c>
      <c r="H2075" s="697" t="s">
        <v>1737</v>
      </c>
      <c r="I2075" s="710">
        <f>(C9)</f>
        <v>804</v>
      </c>
      <c r="J2075" s="697" t="s">
        <v>1741</v>
      </c>
      <c r="K2075" s="710">
        <f t="shared" si="242"/>
        <v>402</v>
      </c>
      <c r="M2075" s="956">
        <f>P2064</f>
        <v>7.37</v>
      </c>
      <c r="N2075" s="957" t="s">
        <v>615</v>
      </c>
      <c r="O2075" s="947" t="s">
        <v>1528</v>
      </c>
      <c r="P2075" s="958">
        <f t="shared" si="244"/>
        <v>1105</v>
      </c>
      <c r="Q2075" s="947" t="s">
        <v>615</v>
      </c>
      <c r="R2075" s="958">
        <f t="shared" si="243"/>
        <v>8143.85</v>
      </c>
    </row>
    <row r="2076" spans="6:18" ht="24" customHeight="1">
      <c r="F2076" s="710">
        <v>0.5</v>
      </c>
      <c r="G2076" s="708" t="s">
        <v>877</v>
      </c>
      <c r="H2076" s="697" t="s">
        <v>1927</v>
      </c>
      <c r="I2076" s="710">
        <f>(C10)</f>
        <v>562</v>
      </c>
      <c r="J2076" s="697" t="s">
        <v>1741</v>
      </c>
      <c r="K2076" s="710">
        <f t="shared" si="242"/>
        <v>281</v>
      </c>
      <c r="M2076" s="958">
        <f>P2066</f>
        <v>36</v>
      </c>
      <c r="N2076" s="957" t="s">
        <v>877</v>
      </c>
      <c r="O2076" s="947" t="s">
        <v>1363</v>
      </c>
      <c r="P2076" s="958">
        <f t="shared" si="244"/>
        <v>52.8</v>
      </c>
      <c r="Q2076" s="947" t="s">
        <v>877</v>
      </c>
      <c r="R2076" s="958">
        <f t="shared" si="243"/>
        <v>1900.8</v>
      </c>
    </row>
    <row r="2077" spans="6:18" ht="24" customHeight="1">
      <c r="G2077" s="708" t="s">
        <v>450</v>
      </c>
      <c r="H2077" s="697" t="s">
        <v>1545</v>
      </c>
      <c r="I2077" s="697" t="s">
        <v>987</v>
      </c>
      <c r="J2077" s="697" t="s">
        <v>450</v>
      </c>
      <c r="K2077" s="710">
        <v>2.73</v>
      </c>
      <c r="M2077" s="958">
        <f>P2067</f>
        <v>18</v>
      </c>
      <c r="N2077" s="957" t="s">
        <v>877</v>
      </c>
      <c r="O2077" s="947" t="s">
        <v>5187</v>
      </c>
      <c r="P2077" s="958">
        <f t="shared" si="244"/>
        <v>45.7</v>
      </c>
      <c r="Q2077" s="947" t="s">
        <v>877</v>
      </c>
      <c r="R2077" s="958">
        <f t="shared" si="243"/>
        <v>822.6</v>
      </c>
    </row>
    <row r="2078" spans="6:18" ht="24" customHeight="1">
      <c r="H2078" s="697" t="s">
        <v>85</v>
      </c>
      <c r="M2078" s="958">
        <f>P2068</f>
        <v>18</v>
      </c>
      <c r="N2078" s="957" t="s">
        <v>877</v>
      </c>
      <c r="O2078" s="955" t="s">
        <v>5188</v>
      </c>
      <c r="P2078" s="958">
        <f t="shared" si="244"/>
        <v>56.4</v>
      </c>
      <c r="Q2078" s="947" t="s">
        <v>877</v>
      </c>
      <c r="R2078" s="958">
        <f t="shared" si="243"/>
        <v>1015.2</v>
      </c>
    </row>
    <row r="2079" spans="6:18" ht="24" customHeight="1">
      <c r="H2079" s="697" t="s">
        <v>192</v>
      </c>
      <c r="M2079" s="958">
        <f>P2069</f>
        <v>21.46</v>
      </c>
      <c r="N2079" s="957" t="s">
        <v>615</v>
      </c>
      <c r="O2079" s="947" t="s">
        <v>5189</v>
      </c>
      <c r="P2079" s="958">
        <f t="shared" si="244"/>
        <v>63.2</v>
      </c>
      <c r="Q2079" s="947" t="s">
        <v>615</v>
      </c>
      <c r="R2079" s="958">
        <f t="shared" si="243"/>
        <v>1356.27</v>
      </c>
    </row>
    <row r="2080" spans="6:18" ht="24" customHeight="1">
      <c r="H2080" s="697" t="s">
        <v>742</v>
      </c>
      <c r="J2080" s="697" t="s">
        <v>450</v>
      </c>
      <c r="K2080" s="710">
        <v>0.27</v>
      </c>
      <c r="M2080" s="948">
        <v>50</v>
      </c>
      <c r="N2080" s="957" t="s">
        <v>1452</v>
      </c>
      <c r="O2080" s="947" t="s">
        <v>1434</v>
      </c>
      <c r="P2080" s="958">
        <f t="shared" si="244"/>
        <v>212.24</v>
      </c>
      <c r="Q2080" s="949" t="s">
        <v>877</v>
      </c>
      <c r="R2080" s="958">
        <f t="shared" si="243"/>
        <v>10612</v>
      </c>
    </row>
    <row r="2081" spans="6:18" ht="24" customHeight="1">
      <c r="K2081" s="705" t="s">
        <v>1609</v>
      </c>
      <c r="M2081" s="948"/>
      <c r="N2081" s="946"/>
      <c r="O2081" s="948"/>
      <c r="P2081" s="948"/>
      <c r="Q2081" s="949"/>
      <c r="R2081" s="950" t="s">
        <v>1609</v>
      </c>
    </row>
    <row r="2082" spans="6:18" ht="24" customHeight="1">
      <c r="H2082" s="697" t="s">
        <v>1337</v>
      </c>
      <c r="K2082" s="710">
        <f>SUM(K2070:K2080)</f>
        <v>1624.25</v>
      </c>
      <c r="M2082" s="948"/>
      <c r="N2082" s="946"/>
      <c r="O2082" s="959" t="s">
        <v>1435</v>
      </c>
      <c r="P2082" s="948"/>
      <c r="Q2082" s="949"/>
      <c r="R2082" s="958">
        <f>SUM(R2071:R2080)</f>
        <v>57600.47</v>
      </c>
    </row>
    <row r="2083" spans="6:18" ht="24" customHeight="1">
      <c r="K2083" s="705" t="s">
        <v>1609</v>
      </c>
      <c r="M2083" s="948"/>
      <c r="N2083" s="957" t="s">
        <v>987</v>
      </c>
      <c r="O2083" s="948"/>
      <c r="P2083" s="948"/>
      <c r="Q2083" s="949"/>
      <c r="R2083" s="950" t="s">
        <v>1609</v>
      </c>
    </row>
    <row r="2084" spans="6:18" ht="24" customHeight="1">
      <c r="H2084" s="697" t="s">
        <v>1567</v>
      </c>
      <c r="K2084" s="710">
        <f>(K2082/3)</f>
        <v>541.41999999999996</v>
      </c>
      <c r="M2084" s="948"/>
      <c r="N2084" s="946"/>
      <c r="O2084" s="960" t="s">
        <v>556</v>
      </c>
      <c r="P2084" s="948"/>
      <c r="Q2084" s="949"/>
      <c r="R2084" s="961">
        <f>R2082/P2044</f>
        <v>6981.88</v>
      </c>
    </row>
    <row r="2085" spans="6:18" ht="24" customHeight="1">
      <c r="K2085" s="705" t="s">
        <v>1609</v>
      </c>
      <c r="M2085" s="948"/>
      <c r="N2085" s="946"/>
      <c r="O2085" s="948"/>
      <c r="P2085" s="948"/>
      <c r="Q2085" s="949"/>
      <c r="R2085" s="950" t="s">
        <v>2080</v>
      </c>
    </row>
    <row r="2086" spans="6:18" ht="24" customHeight="1">
      <c r="F2086" s="698" t="s">
        <v>87</v>
      </c>
      <c r="H2086" s="697" t="s">
        <v>209</v>
      </c>
      <c r="M2086" s="948"/>
      <c r="N2086" s="948"/>
      <c r="O2086" s="948"/>
      <c r="P2086" s="948"/>
      <c r="Q2086" s="948"/>
      <c r="R2086" s="948"/>
    </row>
    <row r="2087" spans="6:18" ht="24" customHeight="1">
      <c r="H2087" s="697" t="s">
        <v>1844</v>
      </c>
    </row>
    <row r="2088" spans="6:18" ht="24" customHeight="1">
      <c r="F2088" s="697" t="s">
        <v>987</v>
      </c>
      <c r="H2088" s="697" t="s">
        <v>2220</v>
      </c>
    </row>
    <row r="2089" spans="6:18" ht="24" customHeight="1">
      <c r="H2089" s="705" t="s">
        <v>1609</v>
      </c>
      <c r="M2089" s="933"/>
      <c r="N2089" s="933"/>
      <c r="O2089" s="933" t="s">
        <v>5190</v>
      </c>
      <c r="P2089" s="933"/>
      <c r="Q2089" s="933"/>
      <c r="R2089" s="933"/>
    </row>
    <row r="2090" spans="6:18" ht="24" customHeight="1">
      <c r="F2090" s="710">
        <v>3</v>
      </c>
      <c r="G2090" s="708" t="s">
        <v>2221</v>
      </c>
      <c r="H2090" s="697" t="s">
        <v>2222</v>
      </c>
      <c r="I2090" s="737">
        <f>D617</f>
        <v>120.54</v>
      </c>
      <c r="J2090" s="697" t="s">
        <v>2221</v>
      </c>
      <c r="K2090" s="710">
        <f>(F2090*I2090)</f>
        <v>361.62</v>
      </c>
      <c r="M2090" s="962">
        <v>8.5000000000000006E-2</v>
      </c>
      <c r="N2090" s="933" t="s">
        <v>2176</v>
      </c>
      <c r="O2090" s="933" t="s">
        <v>5191</v>
      </c>
      <c r="P2090" s="933">
        <f>Y685</f>
        <v>7719.51</v>
      </c>
      <c r="Q2090" s="933" t="s">
        <v>1418</v>
      </c>
      <c r="R2090" s="933">
        <f>M2090*P2090</f>
        <v>656.16</v>
      </c>
    </row>
    <row r="2091" spans="6:18" ht="24" customHeight="1">
      <c r="F2091" s="710">
        <v>1</v>
      </c>
      <c r="G2091" s="708" t="s">
        <v>1785</v>
      </c>
      <c r="H2091" s="697" t="s">
        <v>2223</v>
      </c>
      <c r="I2091" s="710">
        <f>C645</f>
        <v>78.400000000000006</v>
      </c>
      <c r="J2091" s="697" t="s">
        <v>1785</v>
      </c>
      <c r="K2091" s="710">
        <f>(F2091*I2091)</f>
        <v>78.400000000000006</v>
      </c>
      <c r="M2091" s="933">
        <v>8.5</v>
      </c>
      <c r="N2091" s="933" t="s">
        <v>1670</v>
      </c>
      <c r="O2091" s="933" t="s">
        <v>5192</v>
      </c>
      <c r="P2091" s="933">
        <f>K1605/1000</f>
        <v>77.59</v>
      </c>
      <c r="Q2091" s="933" t="s">
        <v>1670</v>
      </c>
      <c r="R2091" s="933">
        <f>M2091*P2091</f>
        <v>659.52</v>
      </c>
    </row>
    <row r="2092" spans="6:18" ht="24" customHeight="1">
      <c r="F2092" s="710">
        <v>1</v>
      </c>
      <c r="G2092" s="708" t="s">
        <v>1785</v>
      </c>
      <c r="H2092" s="697" t="s">
        <v>2224</v>
      </c>
      <c r="I2092" s="710">
        <v>8</v>
      </c>
      <c r="J2092" s="697" t="s">
        <v>1785</v>
      </c>
      <c r="K2092" s="710">
        <f>(F2092*I2092)</f>
        <v>8</v>
      </c>
      <c r="M2092" s="933"/>
      <c r="N2092" s="933"/>
      <c r="O2092" s="933" t="s">
        <v>2296</v>
      </c>
      <c r="P2092" s="933"/>
      <c r="Q2092" s="933"/>
      <c r="R2092" s="963" t="s">
        <v>1609</v>
      </c>
    </row>
    <row r="2093" spans="6:18" ht="24" customHeight="1">
      <c r="F2093" s="698" t="s">
        <v>741</v>
      </c>
      <c r="H2093" s="697" t="s">
        <v>2225</v>
      </c>
      <c r="I2093" s="698" t="s">
        <v>741</v>
      </c>
      <c r="K2093" s="710">
        <f>1.21+0.47+0.4</f>
        <v>2.08</v>
      </c>
      <c r="M2093" s="933"/>
      <c r="N2093" s="933"/>
      <c r="O2093" s="933"/>
      <c r="P2093" s="933"/>
      <c r="Q2093" s="933"/>
      <c r="R2093" s="933">
        <f>SUM(R2090:R2092)</f>
        <v>1315.68</v>
      </c>
    </row>
    <row r="2094" spans="6:18" ht="24" customHeight="1">
      <c r="K2094" s="705" t="s">
        <v>1609</v>
      </c>
    </row>
    <row r="2095" spans="6:18" ht="24" customHeight="1">
      <c r="H2095" s="697" t="s">
        <v>396</v>
      </c>
      <c r="K2095" s="710">
        <f>SUM(K2090:K2093)</f>
        <v>450.1</v>
      </c>
    </row>
    <row r="2096" spans="6:18" ht="24" customHeight="1">
      <c r="K2096" s="705" t="s">
        <v>1609</v>
      </c>
    </row>
    <row r="2098" spans="6:11" ht="24" customHeight="1">
      <c r="F2098" s="698" t="s">
        <v>397</v>
      </c>
      <c r="G2098" s="708" t="s">
        <v>2276</v>
      </c>
      <c r="H2098" s="697" t="s">
        <v>1151</v>
      </c>
    </row>
    <row r="2099" spans="6:11" ht="24" customHeight="1">
      <c r="H2099" s="697" t="s">
        <v>295</v>
      </c>
    </row>
    <row r="2100" spans="6:11" ht="24" customHeight="1">
      <c r="H2100" s="705" t="s">
        <v>1609</v>
      </c>
    </row>
    <row r="2101" spans="6:11" ht="24" customHeight="1">
      <c r="F2101" s="710">
        <v>1</v>
      </c>
      <c r="G2101" s="708" t="s">
        <v>877</v>
      </c>
      <c r="H2101" s="697" t="s">
        <v>295</v>
      </c>
      <c r="I2101" s="710">
        <f>(C263)</f>
        <v>168.7</v>
      </c>
      <c r="J2101" s="697" t="s">
        <v>877</v>
      </c>
      <c r="K2101" s="710">
        <f>(F2101*I2101)</f>
        <v>168.7</v>
      </c>
    </row>
    <row r="2102" spans="6:11" ht="24" customHeight="1">
      <c r="F2102" s="710">
        <v>0.05</v>
      </c>
      <c r="G2102" s="708" t="s">
        <v>878</v>
      </c>
      <c r="H2102" s="697" t="s">
        <v>1193</v>
      </c>
      <c r="I2102" s="710">
        <f>(R44)</f>
        <v>3640.02</v>
      </c>
      <c r="J2102" s="697" t="s">
        <v>878</v>
      </c>
      <c r="K2102" s="710">
        <f>(F2102*I2102)</f>
        <v>182</v>
      </c>
    </row>
    <row r="2103" spans="6:11" ht="24" customHeight="1">
      <c r="F2103" s="710">
        <v>0.5</v>
      </c>
      <c r="G2103" s="708" t="s">
        <v>877</v>
      </c>
      <c r="H2103" s="697" t="s">
        <v>2130</v>
      </c>
      <c r="I2103" s="710">
        <f>(C13)</f>
        <v>747</v>
      </c>
      <c r="J2103" s="697" t="s">
        <v>877</v>
      </c>
      <c r="K2103" s="710">
        <f>(F2103*I2103)</f>
        <v>373.5</v>
      </c>
    </row>
    <row r="2104" spans="6:11" ht="24" customHeight="1">
      <c r="F2104" s="710">
        <v>1</v>
      </c>
      <c r="G2104" s="708" t="s">
        <v>877</v>
      </c>
      <c r="H2104" s="697" t="s">
        <v>1927</v>
      </c>
      <c r="I2104" s="710">
        <f>(C10)</f>
        <v>562</v>
      </c>
      <c r="J2104" s="697" t="s">
        <v>877</v>
      </c>
      <c r="K2104" s="710">
        <f>(F2104*I2104)</f>
        <v>562</v>
      </c>
    </row>
    <row r="2105" spans="6:11" ht="24" customHeight="1">
      <c r="F2105" s="710">
        <v>1</v>
      </c>
      <c r="G2105" s="708" t="s">
        <v>877</v>
      </c>
      <c r="H2105" s="697" t="s">
        <v>321</v>
      </c>
      <c r="I2105" s="710">
        <f>(C11)</f>
        <v>461</v>
      </c>
      <c r="J2105" s="697" t="s">
        <v>877</v>
      </c>
      <c r="K2105" s="710">
        <f>(F2105*I2105)</f>
        <v>461</v>
      </c>
    </row>
    <row r="2106" spans="6:11" ht="24" customHeight="1">
      <c r="G2106" s="708" t="s">
        <v>450</v>
      </c>
      <c r="H2106" s="697" t="s">
        <v>451</v>
      </c>
      <c r="I2106" s="697" t="s">
        <v>987</v>
      </c>
      <c r="J2106" s="697" t="s">
        <v>450</v>
      </c>
      <c r="K2106" s="710">
        <v>0.54</v>
      </c>
    </row>
    <row r="2107" spans="6:11" ht="24" customHeight="1">
      <c r="H2107" s="697" t="s">
        <v>987</v>
      </c>
      <c r="K2107" s="705" t="s">
        <v>1609</v>
      </c>
    </row>
    <row r="2108" spans="6:11" ht="24" customHeight="1">
      <c r="H2108" s="697" t="s">
        <v>1776</v>
      </c>
      <c r="K2108" s="710">
        <f>SUM(K2101:K2106)</f>
        <v>1747.74</v>
      </c>
    </row>
    <row r="2109" spans="6:11" ht="24" customHeight="1">
      <c r="K2109" s="705" t="s">
        <v>2080</v>
      </c>
    </row>
    <row r="2110" spans="6:11" ht="24" customHeight="1">
      <c r="F2110" s="698" t="s">
        <v>1194</v>
      </c>
      <c r="G2110" s="708" t="s">
        <v>2276</v>
      </c>
      <c r="H2110" s="697" t="s">
        <v>2250</v>
      </c>
    </row>
    <row r="2111" spans="6:11" ht="24" customHeight="1">
      <c r="H2111" s="697" t="s">
        <v>2147</v>
      </c>
    </row>
    <row r="2112" spans="6:11" ht="24" customHeight="1">
      <c r="H2112" s="705" t="s">
        <v>1609</v>
      </c>
    </row>
    <row r="2113" spans="6:11" ht="24" customHeight="1">
      <c r="F2113" s="710">
        <v>1</v>
      </c>
      <c r="G2113" s="708" t="s">
        <v>877</v>
      </c>
      <c r="H2113" s="697" t="s">
        <v>2251</v>
      </c>
      <c r="I2113" s="710">
        <f>(D264)</f>
        <v>148.6</v>
      </c>
      <c r="J2113" s="697" t="s">
        <v>877</v>
      </c>
      <c r="K2113" s="710">
        <f>(F2113*I2113)</f>
        <v>148.6</v>
      </c>
    </row>
    <row r="2114" spans="6:11" ht="24" customHeight="1">
      <c r="G2114" s="708" t="s">
        <v>450</v>
      </c>
      <c r="H2114" s="697" t="s">
        <v>1711</v>
      </c>
      <c r="J2114" s="697" t="s">
        <v>450</v>
      </c>
      <c r="K2114" s="710">
        <v>4</v>
      </c>
    </row>
    <row r="2115" spans="6:11" ht="24" customHeight="1">
      <c r="J2115" s="697" t="s">
        <v>987</v>
      </c>
      <c r="K2115" s="705" t="s">
        <v>1609</v>
      </c>
    </row>
    <row r="2116" spans="6:11" ht="24" customHeight="1">
      <c r="H2116" s="697" t="s">
        <v>1776</v>
      </c>
      <c r="K2116" s="710">
        <f>SUM(K2113:K2115)</f>
        <v>152.6</v>
      </c>
    </row>
    <row r="2117" spans="6:11" ht="24" customHeight="1">
      <c r="K2117" s="705" t="s">
        <v>1609</v>
      </c>
    </row>
    <row r="2118" spans="6:11" ht="24" customHeight="1">
      <c r="F2118" s="698" t="s">
        <v>1712</v>
      </c>
      <c r="G2118" s="708" t="s">
        <v>2276</v>
      </c>
      <c r="H2118" s="697" t="s">
        <v>53</v>
      </c>
    </row>
    <row r="2119" spans="6:11" ht="24" customHeight="1">
      <c r="H2119" s="697" t="s">
        <v>54</v>
      </c>
    </row>
    <row r="2120" spans="6:11" ht="24" customHeight="1">
      <c r="H2120" s="705" t="s">
        <v>1609</v>
      </c>
    </row>
    <row r="2121" spans="6:11" ht="24" customHeight="1">
      <c r="F2121" s="710">
        <v>50</v>
      </c>
      <c r="G2121" s="708" t="s">
        <v>877</v>
      </c>
      <c r="H2121" s="697" t="s">
        <v>799</v>
      </c>
      <c r="I2121" s="710">
        <f>C201</f>
        <v>62.8</v>
      </c>
      <c r="J2121" s="697" t="s">
        <v>877</v>
      </c>
      <c r="K2121" s="710">
        <f t="shared" ref="K2121:K2130" si="245">(F2121*I2121)</f>
        <v>3140</v>
      </c>
    </row>
    <row r="2122" spans="6:11" ht="24" customHeight="1">
      <c r="F2122" s="710">
        <v>21.6</v>
      </c>
      <c r="G2122" s="708" t="s">
        <v>878</v>
      </c>
      <c r="H2122" s="697" t="s">
        <v>800</v>
      </c>
      <c r="I2122" s="710">
        <f>(C58*2)</f>
        <v>193.2</v>
      </c>
      <c r="J2122" s="697" t="s">
        <v>878</v>
      </c>
      <c r="K2122" s="710">
        <f t="shared" si="245"/>
        <v>4173.12</v>
      </c>
    </row>
    <row r="2123" spans="6:11" ht="24" customHeight="1">
      <c r="F2123" s="710">
        <v>21.6</v>
      </c>
      <c r="G2123" s="708" t="s">
        <v>878</v>
      </c>
      <c r="H2123" s="697" t="s">
        <v>250</v>
      </c>
      <c r="I2123" s="710">
        <f>(C24)</f>
        <v>33.6</v>
      </c>
      <c r="J2123" s="697" t="s">
        <v>878</v>
      </c>
      <c r="K2123" s="710">
        <f t="shared" si="245"/>
        <v>725.76</v>
      </c>
    </row>
    <row r="2124" spans="6:11" ht="24" customHeight="1">
      <c r="F2124" s="710">
        <v>45</v>
      </c>
      <c r="G2124" s="708" t="s">
        <v>1670</v>
      </c>
      <c r="H2124" s="697" t="s">
        <v>871</v>
      </c>
      <c r="I2124" s="710">
        <f>(C64/1000)</f>
        <v>5.96</v>
      </c>
      <c r="J2124" s="697" t="s">
        <v>1670</v>
      </c>
      <c r="K2124" s="710">
        <f t="shared" si="245"/>
        <v>268.2</v>
      </c>
    </row>
    <row r="2125" spans="6:11" ht="24" customHeight="1">
      <c r="F2125" s="710">
        <v>0.04</v>
      </c>
      <c r="G2125" s="708" t="s">
        <v>878</v>
      </c>
      <c r="H2125" s="1165" t="s">
        <v>5354</v>
      </c>
      <c r="I2125" s="710">
        <f>(C75)</f>
        <v>1511.1</v>
      </c>
      <c r="J2125" s="697" t="s">
        <v>878</v>
      </c>
      <c r="K2125" s="710">
        <f t="shared" si="245"/>
        <v>60.44</v>
      </c>
    </row>
    <row r="2126" spans="6:11" ht="24" customHeight="1">
      <c r="F2126" s="710">
        <v>3.63</v>
      </c>
      <c r="G2126" s="708" t="s">
        <v>1670</v>
      </c>
      <c r="H2126" s="697" t="s">
        <v>801</v>
      </c>
      <c r="I2126" s="710">
        <f>(C604)</f>
        <v>11.7</v>
      </c>
      <c r="J2126" s="697" t="s">
        <v>1670</v>
      </c>
      <c r="K2126" s="710">
        <f t="shared" si="245"/>
        <v>42.47</v>
      </c>
    </row>
    <row r="2127" spans="6:11" ht="24" customHeight="1">
      <c r="F2127" s="710">
        <v>2</v>
      </c>
      <c r="G2127" s="708" t="s">
        <v>877</v>
      </c>
      <c r="H2127" s="697" t="s">
        <v>2034</v>
      </c>
      <c r="I2127" s="710">
        <f>(C8)</f>
        <v>861</v>
      </c>
      <c r="J2127" s="697" t="s">
        <v>877</v>
      </c>
      <c r="K2127" s="710">
        <f t="shared" si="245"/>
        <v>1722</v>
      </c>
    </row>
    <row r="2128" spans="6:11" ht="24" customHeight="1">
      <c r="F2128" s="710">
        <v>1</v>
      </c>
      <c r="G2128" s="708" t="s">
        <v>877</v>
      </c>
      <c r="H2128" s="697" t="s">
        <v>802</v>
      </c>
      <c r="I2128" s="710">
        <f>AE35</f>
        <v>747</v>
      </c>
      <c r="J2128" s="697" t="s">
        <v>877</v>
      </c>
      <c r="K2128" s="710">
        <f t="shared" si="245"/>
        <v>747</v>
      </c>
    </row>
    <row r="2129" spans="6:11" ht="24" customHeight="1">
      <c r="F2129" s="710">
        <v>5</v>
      </c>
      <c r="G2129" s="708" t="s">
        <v>877</v>
      </c>
      <c r="H2129" s="697" t="s">
        <v>1927</v>
      </c>
      <c r="I2129" s="710">
        <f>(C10)</f>
        <v>562</v>
      </c>
      <c r="J2129" s="697" t="s">
        <v>877</v>
      </c>
      <c r="K2129" s="710">
        <f t="shared" si="245"/>
        <v>2810</v>
      </c>
    </row>
    <row r="2130" spans="6:11" ht="24" customHeight="1">
      <c r="F2130" s="710">
        <v>2</v>
      </c>
      <c r="G2130" s="708" t="s">
        <v>877</v>
      </c>
      <c r="H2130" s="697" t="s">
        <v>321</v>
      </c>
      <c r="I2130" s="710">
        <f>(C11)</f>
        <v>461</v>
      </c>
      <c r="J2130" s="697" t="s">
        <v>877</v>
      </c>
      <c r="K2130" s="710">
        <f t="shared" si="245"/>
        <v>922</v>
      </c>
    </row>
    <row r="2131" spans="6:11" ht="24" customHeight="1">
      <c r="G2131" s="708" t="s">
        <v>450</v>
      </c>
      <c r="H2131" s="697" t="s">
        <v>2160</v>
      </c>
      <c r="J2131" s="697" t="s">
        <v>450</v>
      </c>
      <c r="K2131" s="710">
        <f>SUM(K2127:K2130)/10+7.5</f>
        <v>627.6</v>
      </c>
    </row>
    <row r="2132" spans="6:11" ht="24" customHeight="1">
      <c r="K2132" s="705" t="s">
        <v>1609</v>
      </c>
    </row>
    <row r="2133" spans="6:11" ht="24" customHeight="1">
      <c r="H2133" s="697" t="s">
        <v>2161</v>
      </c>
      <c r="K2133" s="710">
        <f>SUM(K2121:K2131)</f>
        <v>15238.59</v>
      </c>
    </row>
    <row r="2134" spans="6:11" ht="24" customHeight="1">
      <c r="K2134" s="705" t="s">
        <v>1609</v>
      </c>
    </row>
    <row r="2135" spans="6:11" ht="24" customHeight="1">
      <c r="H2135" s="697" t="s">
        <v>1141</v>
      </c>
      <c r="K2135" s="710">
        <f>(K2133/30)</f>
        <v>507.95</v>
      </c>
    </row>
    <row r="2136" spans="6:11" ht="24" customHeight="1">
      <c r="K2136" s="705" t="s">
        <v>2080</v>
      </c>
    </row>
    <row r="2138" spans="6:11" ht="24" customHeight="1">
      <c r="F2138" s="698" t="s">
        <v>1142</v>
      </c>
      <c r="G2138" s="708" t="s">
        <v>2276</v>
      </c>
      <c r="H2138" s="697" t="s">
        <v>1033</v>
      </c>
    </row>
    <row r="2139" spans="6:11" ht="24" customHeight="1">
      <c r="H2139" s="697" t="s">
        <v>54</v>
      </c>
    </row>
    <row r="2140" spans="6:11" ht="24" customHeight="1">
      <c r="H2140" s="705" t="s">
        <v>1609</v>
      </c>
    </row>
    <row r="2141" spans="6:11" ht="24" customHeight="1">
      <c r="F2141" s="710">
        <v>50</v>
      </c>
      <c r="G2141" s="708" t="s">
        <v>877</v>
      </c>
      <c r="H2141" s="697" t="s">
        <v>572</v>
      </c>
      <c r="I2141" s="710">
        <f>C202</f>
        <v>101</v>
      </c>
      <c r="J2141" s="697" t="s">
        <v>877</v>
      </c>
      <c r="K2141" s="710">
        <f t="shared" ref="K2141:K2150" si="246">(F2141*I2141)</f>
        <v>5050</v>
      </c>
    </row>
    <row r="2142" spans="6:11" ht="24" customHeight="1">
      <c r="F2142" s="710">
        <v>21.6</v>
      </c>
      <c r="G2142" s="708" t="s">
        <v>878</v>
      </c>
      <c r="H2142" s="697" t="s">
        <v>800</v>
      </c>
      <c r="I2142" s="710">
        <f>(C58*2)</f>
        <v>193.2</v>
      </c>
      <c r="J2142" s="697" t="s">
        <v>878</v>
      </c>
      <c r="K2142" s="710">
        <f t="shared" si="246"/>
        <v>4173.12</v>
      </c>
    </row>
    <row r="2143" spans="6:11" ht="24" customHeight="1">
      <c r="F2143" s="710">
        <v>21.6</v>
      </c>
      <c r="G2143" s="708" t="s">
        <v>878</v>
      </c>
      <c r="H2143" s="697" t="s">
        <v>250</v>
      </c>
      <c r="I2143" s="710">
        <f>(C24)</f>
        <v>33.6</v>
      </c>
      <c r="J2143" s="697" t="s">
        <v>878</v>
      </c>
      <c r="K2143" s="710">
        <f t="shared" si="246"/>
        <v>725.76</v>
      </c>
    </row>
    <row r="2144" spans="6:11" ht="24" customHeight="1">
      <c r="F2144" s="710">
        <v>68</v>
      </c>
      <c r="G2144" s="708" t="s">
        <v>1670</v>
      </c>
      <c r="H2144" s="697" t="s">
        <v>871</v>
      </c>
      <c r="I2144" s="710">
        <f>(C64/1000)</f>
        <v>5.96</v>
      </c>
      <c r="J2144" s="697" t="s">
        <v>1670</v>
      </c>
      <c r="K2144" s="710">
        <f t="shared" si="246"/>
        <v>405.28</v>
      </c>
    </row>
    <row r="2145" spans="6:18" ht="24" customHeight="1">
      <c r="F2145" s="710">
        <v>7.0000000000000007E-2</v>
      </c>
      <c r="G2145" s="708" t="s">
        <v>878</v>
      </c>
      <c r="H2145" s="1165" t="s">
        <v>5354</v>
      </c>
      <c r="I2145" s="710">
        <f>(C75)</f>
        <v>1511.1</v>
      </c>
      <c r="J2145" s="697" t="s">
        <v>878</v>
      </c>
      <c r="K2145" s="710">
        <f t="shared" si="246"/>
        <v>105.78</v>
      </c>
      <c r="M2145" s="698" t="s">
        <v>1142</v>
      </c>
      <c r="N2145" s="708" t="s">
        <v>2276</v>
      </c>
      <c r="O2145" s="697" t="s">
        <v>747</v>
      </c>
      <c r="Q2145" s="702"/>
    </row>
    <row r="2146" spans="6:18" ht="24" customHeight="1">
      <c r="F2146" s="710">
        <v>5.45</v>
      </c>
      <c r="G2146" s="708" t="s">
        <v>1670</v>
      </c>
      <c r="H2146" s="697" t="s">
        <v>801</v>
      </c>
      <c r="I2146" s="710">
        <f>(C604)</f>
        <v>11.7</v>
      </c>
      <c r="J2146" s="697" t="s">
        <v>1670</v>
      </c>
      <c r="K2146" s="710">
        <f t="shared" si="246"/>
        <v>63.77</v>
      </c>
      <c r="N2146" s="700"/>
      <c r="O2146" s="697" t="s">
        <v>54</v>
      </c>
      <c r="Q2146" s="702"/>
    </row>
    <row r="2147" spans="6:18" ht="24" customHeight="1">
      <c r="F2147" s="710">
        <v>3</v>
      </c>
      <c r="G2147" s="708" t="s">
        <v>877</v>
      </c>
      <c r="H2147" s="697" t="s">
        <v>2034</v>
      </c>
      <c r="I2147" s="710">
        <f>(C8)</f>
        <v>861</v>
      </c>
      <c r="J2147" s="697" t="s">
        <v>877</v>
      </c>
      <c r="K2147" s="710">
        <f t="shared" si="246"/>
        <v>2583</v>
      </c>
      <c r="N2147" s="700"/>
      <c r="O2147" s="705" t="s">
        <v>1609</v>
      </c>
      <c r="Q2147" s="702"/>
    </row>
    <row r="2148" spans="6:18" ht="39" customHeight="1">
      <c r="F2148" s="710">
        <v>2</v>
      </c>
      <c r="G2148" s="708" t="s">
        <v>877</v>
      </c>
      <c r="H2148" s="697" t="s">
        <v>802</v>
      </c>
      <c r="I2148" s="710">
        <f>AE35</f>
        <v>747</v>
      </c>
      <c r="J2148" s="697" t="s">
        <v>877</v>
      </c>
      <c r="K2148" s="710">
        <f t="shared" si="246"/>
        <v>1494</v>
      </c>
      <c r="M2148" s="710">
        <v>50</v>
      </c>
      <c r="N2148" s="708" t="s">
        <v>877</v>
      </c>
      <c r="O2148" s="762" t="s">
        <v>5269</v>
      </c>
      <c r="P2148" s="964">
        <v>455</v>
      </c>
      <c r="Q2148" s="697" t="s">
        <v>877</v>
      </c>
      <c r="R2148" s="710">
        <f t="shared" ref="R2148:R2157" si="247">(M2148*P2148)</f>
        <v>22750</v>
      </c>
    </row>
    <row r="2149" spans="6:18" ht="24" customHeight="1">
      <c r="F2149" s="710">
        <v>6</v>
      </c>
      <c r="G2149" s="708" t="s">
        <v>877</v>
      </c>
      <c r="H2149" s="697" t="s">
        <v>1927</v>
      </c>
      <c r="I2149" s="710">
        <f>(C10)</f>
        <v>562</v>
      </c>
      <c r="J2149" s="697" t="s">
        <v>877</v>
      </c>
      <c r="K2149" s="710">
        <f t="shared" si="246"/>
        <v>3372</v>
      </c>
      <c r="M2149" s="710">
        <v>21.6</v>
      </c>
      <c r="N2149" s="708" t="s">
        <v>878</v>
      </c>
      <c r="O2149" s="697" t="s">
        <v>800</v>
      </c>
      <c r="P2149" s="710">
        <f>I2142</f>
        <v>193.2</v>
      </c>
      <c r="Q2149" s="697" t="s">
        <v>878</v>
      </c>
      <c r="R2149" s="710">
        <f t="shared" si="247"/>
        <v>4173.12</v>
      </c>
    </row>
    <row r="2150" spans="6:18" ht="24" customHeight="1">
      <c r="F2150" s="710">
        <v>3</v>
      </c>
      <c r="G2150" s="708" t="s">
        <v>877</v>
      </c>
      <c r="H2150" s="697" t="s">
        <v>321</v>
      </c>
      <c r="I2150" s="710">
        <f>(C11)</f>
        <v>461</v>
      </c>
      <c r="J2150" s="697" t="s">
        <v>877</v>
      </c>
      <c r="K2150" s="710">
        <f t="shared" si="246"/>
        <v>1383</v>
      </c>
      <c r="M2150" s="710">
        <v>21.6</v>
      </c>
      <c r="N2150" s="708" t="s">
        <v>878</v>
      </c>
      <c r="O2150" s="697" t="s">
        <v>250</v>
      </c>
      <c r="P2150" s="710">
        <f t="shared" ref="P2150:P2157" si="248">I2143</f>
        <v>33.6</v>
      </c>
      <c r="Q2150" s="697" t="s">
        <v>878</v>
      </c>
      <c r="R2150" s="710">
        <f t="shared" si="247"/>
        <v>725.76</v>
      </c>
    </row>
    <row r="2151" spans="6:18" ht="24" customHeight="1">
      <c r="G2151" s="708" t="s">
        <v>450</v>
      </c>
      <c r="H2151" s="697" t="s">
        <v>2160</v>
      </c>
      <c r="J2151" s="697" t="s">
        <v>450</v>
      </c>
      <c r="K2151" s="710">
        <f>SUM(K2147:K2150)/10+4.8</f>
        <v>888</v>
      </c>
      <c r="M2151" s="710">
        <v>115</v>
      </c>
      <c r="N2151" s="708" t="s">
        <v>1670</v>
      </c>
      <c r="O2151" s="697" t="s">
        <v>871</v>
      </c>
      <c r="P2151" s="710">
        <f t="shared" si="248"/>
        <v>5.96</v>
      </c>
      <c r="Q2151" s="697" t="s">
        <v>1670</v>
      </c>
      <c r="R2151" s="710">
        <f t="shared" si="247"/>
        <v>685.4</v>
      </c>
    </row>
    <row r="2152" spans="6:18" ht="24" customHeight="1">
      <c r="K2152" s="705" t="s">
        <v>1609</v>
      </c>
      <c r="M2152" s="710">
        <v>0.11</v>
      </c>
      <c r="N2152" s="708" t="s">
        <v>878</v>
      </c>
      <c r="O2152" s="1165" t="s">
        <v>5354</v>
      </c>
      <c r="P2152" s="710">
        <f t="shared" si="248"/>
        <v>1511.1</v>
      </c>
      <c r="Q2152" s="697" t="s">
        <v>878</v>
      </c>
      <c r="R2152" s="710">
        <f t="shared" si="247"/>
        <v>166.22</v>
      </c>
    </row>
    <row r="2153" spans="6:18" ht="24" customHeight="1">
      <c r="H2153" s="697" t="s">
        <v>2161</v>
      </c>
      <c r="K2153" s="710">
        <f>SUM(K2141:K2151)</f>
        <v>20243.71</v>
      </c>
      <c r="M2153" s="710">
        <v>8.35</v>
      </c>
      <c r="N2153" s="708" t="s">
        <v>1670</v>
      </c>
      <c r="O2153" s="697" t="s">
        <v>801</v>
      </c>
      <c r="P2153" s="710">
        <f t="shared" si="248"/>
        <v>11.7</v>
      </c>
      <c r="Q2153" s="697" t="s">
        <v>1670</v>
      </c>
      <c r="R2153" s="710">
        <f t="shared" si="247"/>
        <v>97.7</v>
      </c>
    </row>
    <row r="2154" spans="6:18" ht="24" customHeight="1">
      <c r="K2154" s="705" t="s">
        <v>1609</v>
      </c>
      <c r="M2154" s="710">
        <v>5</v>
      </c>
      <c r="N2154" s="708" t="s">
        <v>877</v>
      </c>
      <c r="O2154" s="697" t="s">
        <v>2034</v>
      </c>
      <c r="P2154" s="710">
        <f t="shared" si="248"/>
        <v>861</v>
      </c>
      <c r="Q2154" s="697" t="s">
        <v>877</v>
      </c>
      <c r="R2154" s="710">
        <f t="shared" si="247"/>
        <v>4305</v>
      </c>
    </row>
    <row r="2155" spans="6:18" ht="24" customHeight="1">
      <c r="H2155" s="697" t="s">
        <v>1141</v>
      </c>
      <c r="K2155" s="710">
        <f>(K2153/30)</f>
        <v>674.79</v>
      </c>
      <c r="M2155" s="710">
        <v>3</v>
      </c>
      <c r="N2155" s="708" t="s">
        <v>877</v>
      </c>
      <c r="O2155" s="697" t="s">
        <v>802</v>
      </c>
      <c r="P2155" s="710">
        <f t="shared" si="248"/>
        <v>747</v>
      </c>
      <c r="Q2155" s="697" t="s">
        <v>877</v>
      </c>
      <c r="R2155" s="710">
        <f t="shared" si="247"/>
        <v>2241</v>
      </c>
    </row>
    <row r="2156" spans="6:18" ht="24" customHeight="1">
      <c r="K2156" s="705" t="s">
        <v>2080</v>
      </c>
      <c r="M2156" s="710">
        <v>7</v>
      </c>
      <c r="N2156" s="708" t="s">
        <v>877</v>
      </c>
      <c r="O2156" s="697" t="s">
        <v>1927</v>
      </c>
      <c r="P2156" s="710">
        <f t="shared" si="248"/>
        <v>562</v>
      </c>
      <c r="Q2156" s="697" t="s">
        <v>877</v>
      </c>
      <c r="R2156" s="710">
        <f t="shared" si="247"/>
        <v>3934</v>
      </c>
    </row>
    <row r="2157" spans="6:18" ht="24" customHeight="1">
      <c r="F2157" s="698" t="s">
        <v>573</v>
      </c>
      <c r="G2157" s="708" t="s">
        <v>2276</v>
      </c>
      <c r="H2157" s="697" t="s">
        <v>53</v>
      </c>
      <c r="M2157" s="710">
        <v>5</v>
      </c>
      <c r="N2157" s="708" t="s">
        <v>877</v>
      </c>
      <c r="O2157" s="697" t="s">
        <v>321</v>
      </c>
      <c r="P2157" s="710">
        <f t="shared" si="248"/>
        <v>461</v>
      </c>
      <c r="Q2157" s="697" t="s">
        <v>877</v>
      </c>
      <c r="R2157" s="710">
        <f t="shared" si="247"/>
        <v>2305</v>
      </c>
    </row>
    <row r="2158" spans="6:18" ht="24" customHeight="1">
      <c r="H2158" s="697" t="s">
        <v>221</v>
      </c>
      <c r="N2158" s="708" t="s">
        <v>450</v>
      </c>
      <c r="O2158" s="697" t="s">
        <v>2160</v>
      </c>
      <c r="Q2158" s="697" t="s">
        <v>450</v>
      </c>
      <c r="R2158" s="710">
        <v>234</v>
      </c>
    </row>
    <row r="2159" spans="6:18" ht="24" customHeight="1">
      <c r="H2159" s="705" t="s">
        <v>1609</v>
      </c>
      <c r="N2159" s="700"/>
      <c r="Q2159" s="702"/>
      <c r="R2159" s="705" t="s">
        <v>1609</v>
      </c>
    </row>
    <row r="2160" spans="6:18" ht="24" customHeight="1">
      <c r="F2160" s="710">
        <v>50</v>
      </c>
      <c r="G2160" s="708" t="s">
        <v>877</v>
      </c>
      <c r="H2160" s="697" t="s">
        <v>222</v>
      </c>
      <c r="I2160" s="710">
        <f>C201</f>
        <v>62.8</v>
      </c>
      <c r="J2160" s="697" t="s">
        <v>877</v>
      </c>
      <c r="K2160" s="710">
        <f>(F2160*I2160)</f>
        <v>3140</v>
      </c>
      <c r="N2160" s="700"/>
      <c r="O2160" s="697" t="s">
        <v>2161</v>
      </c>
      <c r="Q2160" s="702"/>
      <c r="R2160" s="710">
        <f>SUM(R2148:R2158)</f>
        <v>41617.199999999997</v>
      </c>
    </row>
    <row r="2161" spans="6:18" ht="24" customHeight="1">
      <c r="F2161" s="710">
        <v>1</v>
      </c>
      <c r="G2161" s="708" t="s">
        <v>877</v>
      </c>
      <c r="H2161" s="697" t="s">
        <v>802</v>
      </c>
      <c r="I2161" s="710">
        <f>AE35</f>
        <v>747</v>
      </c>
      <c r="J2161" s="697" t="s">
        <v>877</v>
      </c>
      <c r="K2161" s="710">
        <f>(F2161*I2161)</f>
        <v>747</v>
      </c>
      <c r="N2161" s="700"/>
      <c r="Q2161" s="702"/>
      <c r="R2161" s="705" t="s">
        <v>1609</v>
      </c>
    </row>
    <row r="2162" spans="6:18" ht="24" customHeight="1">
      <c r="F2162" s="710">
        <v>5</v>
      </c>
      <c r="G2162" s="708" t="s">
        <v>877</v>
      </c>
      <c r="H2162" s="697" t="s">
        <v>1927</v>
      </c>
      <c r="I2162" s="710">
        <f>C10</f>
        <v>562</v>
      </c>
      <c r="J2162" s="697" t="s">
        <v>877</v>
      </c>
      <c r="K2162" s="710">
        <f>(F2162*I2162)</f>
        <v>2810</v>
      </c>
      <c r="N2162" s="700"/>
      <c r="O2162" s="697" t="s">
        <v>1141</v>
      </c>
      <c r="Q2162" s="702"/>
      <c r="R2162" s="710">
        <f>(R2160/30)</f>
        <v>1387.24</v>
      </c>
    </row>
    <row r="2163" spans="6:18" ht="24" customHeight="1">
      <c r="H2163" s="697" t="s">
        <v>2296</v>
      </c>
      <c r="K2163" s="805">
        <v>1.8</v>
      </c>
      <c r="N2163" s="700"/>
      <c r="Q2163" s="702"/>
      <c r="R2163" s="705" t="s">
        <v>2080</v>
      </c>
    </row>
    <row r="2164" spans="6:18" ht="24" customHeight="1">
      <c r="H2164" s="697" t="s">
        <v>2161</v>
      </c>
      <c r="K2164" s="710">
        <f>SUM(K2160:K2163)</f>
        <v>6698.8</v>
      </c>
    </row>
    <row r="2165" spans="6:18" ht="24" customHeight="1">
      <c r="F2165" s="697" t="s">
        <v>987</v>
      </c>
      <c r="K2165" s="705" t="s">
        <v>1609</v>
      </c>
    </row>
    <row r="2166" spans="6:18" ht="24" customHeight="1">
      <c r="H2166" s="697" t="s">
        <v>1141</v>
      </c>
      <c r="K2166" s="710">
        <f>(K2164/30)</f>
        <v>223.29</v>
      </c>
    </row>
    <row r="2167" spans="6:18" ht="24" customHeight="1">
      <c r="F2167" s="697" t="s">
        <v>987</v>
      </c>
    </row>
    <row r="2168" spans="6:18" ht="24" customHeight="1">
      <c r="F2168" s="697" t="s">
        <v>987</v>
      </c>
    </row>
    <row r="2169" spans="6:18" ht="24" customHeight="1">
      <c r="K2169" s="705" t="s">
        <v>2080</v>
      </c>
    </row>
    <row r="2170" spans="6:18" ht="24" customHeight="1">
      <c r="F2170" s="698" t="s">
        <v>1142</v>
      </c>
      <c r="G2170" s="708" t="s">
        <v>2276</v>
      </c>
      <c r="H2170" s="697" t="s">
        <v>1033</v>
      </c>
    </row>
    <row r="2171" spans="6:18" ht="24" customHeight="1">
      <c r="H2171" s="710" t="str">
        <f>H2158</f>
        <v>DIA S.W.PIPE(LOOSE JOINTING)</v>
      </c>
    </row>
    <row r="2172" spans="6:18" ht="24" customHeight="1">
      <c r="H2172" s="705" t="s">
        <v>1609</v>
      </c>
    </row>
    <row r="2173" spans="6:18" ht="24" customHeight="1">
      <c r="F2173" s="710">
        <v>50</v>
      </c>
      <c r="G2173" s="708" t="s">
        <v>877</v>
      </c>
      <c r="H2173" s="697" t="s">
        <v>223</v>
      </c>
      <c r="I2173" s="710">
        <f>C202</f>
        <v>101</v>
      </c>
      <c r="J2173" s="697" t="s">
        <v>877</v>
      </c>
      <c r="K2173" s="710">
        <f>(F2173*I2173)</f>
        <v>5050</v>
      </c>
    </row>
    <row r="2174" spans="6:18" ht="24" customHeight="1">
      <c r="F2174" s="710">
        <v>2</v>
      </c>
      <c r="G2174" s="708" t="s">
        <v>877</v>
      </c>
      <c r="H2174" s="697" t="s">
        <v>802</v>
      </c>
      <c r="I2174" s="710">
        <f>AE35</f>
        <v>747</v>
      </c>
      <c r="J2174" s="697" t="s">
        <v>877</v>
      </c>
      <c r="K2174" s="710">
        <f>(F2174*I2174)</f>
        <v>1494</v>
      </c>
    </row>
    <row r="2175" spans="6:18" ht="24" customHeight="1">
      <c r="F2175" s="710">
        <v>6</v>
      </c>
      <c r="G2175" s="708" t="s">
        <v>877</v>
      </c>
      <c r="H2175" s="697" t="s">
        <v>1927</v>
      </c>
      <c r="I2175" s="710">
        <f>C10</f>
        <v>562</v>
      </c>
      <c r="J2175" s="697" t="s">
        <v>877</v>
      </c>
      <c r="K2175" s="710">
        <f>(F2175*I2175)</f>
        <v>3372</v>
      </c>
    </row>
    <row r="2176" spans="6:18" ht="24" customHeight="1">
      <c r="H2176" s="697" t="s">
        <v>2296</v>
      </c>
      <c r="K2176" s="805">
        <v>0.6</v>
      </c>
    </row>
    <row r="2177" spans="6:11" ht="24" customHeight="1">
      <c r="H2177" s="697" t="s">
        <v>2161</v>
      </c>
      <c r="K2177" s="710">
        <f>SUM(K2173:K2176)</f>
        <v>9916.6</v>
      </c>
    </row>
    <row r="2178" spans="6:11" ht="24" customHeight="1">
      <c r="K2178" s="705" t="s">
        <v>1609</v>
      </c>
    </row>
    <row r="2179" spans="6:11" ht="24" customHeight="1">
      <c r="H2179" s="697" t="s">
        <v>1141</v>
      </c>
      <c r="K2179" s="710">
        <f>(K2177/30)</f>
        <v>330.55</v>
      </c>
    </row>
    <row r="2180" spans="6:11" ht="24" customHeight="1">
      <c r="K2180" s="705" t="s">
        <v>2080</v>
      </c>
    </row>
    <row r="2181" spans="6:11" ht="24" customHeight="1">
      <c r="H2181" s="698" t="s">
        <v>224</v>
      </c>
      <c r="K2181" s="710">
        <f>SUM(K2178:K2179)</f>
        <v>330.55</v>
      </c>
    </row>
    <row r="2182" spans="6:11" ht="24" customHeight="1">
      <c r="K2182" s="705" t="s">
        <v>2080</v>
      </c>
    </row>
    <row r="2183" spans="6:11" ht="24" customHeight="1">
      <c r="F2183" s="698" t="s">
        <v>1894</v>
      </c>
      <c r="G2183" s="708" t="s">
        <v>2276</v>
      </c>
      <c r="H2183" s="697" t="s">
        <v>53</v>
      </c>
    </row>
    <row r="2184" spans="6:11" ht="24" customHeight="1">
      <c r="H2184" s="697" t="s">
        <v>58</v>
      </c>
    </row>
    <row r="2185" spans="6:11" ht="24" customHeight="1">
      <c r="H2185" s="705" t="s">
        <v>1609</v>
      </c>
    </row>
    <row r="2186" spans="6:11" ht="24" customHeight="1">
      <c r="F2186" s="710">
        <v>1</v>
      </c>
      <c r="G2186" s="708" t="s">
        <v>877</v>
      </c>
      <c r="H2186" s="697" t="s">
        <v>1107</v>
      </c>
      <c r="I2186" s="710">
        <f>C203</f>
        <v>100.6</v>
      </c>
      <c r="J2186" s="697" t="s">
        <v>877</v>
      </c>
      <c r="K2186" s="710">
        <f>(F2186*I2186)</f>
        <v>100.6</v>
      </c>
    </row>
    <row r="2187" spans="6:11" ht="24" customHeight="1">
      <c r="F2187" s="697" t="s">
        <v>987</v>
      </c>
      <c r="H2187" s="697" t="s">
        <v>59</v>
      </c>
    </row>
    <row r="2188" spans="6:11" ht="24" customHeight="1">
      <c r="F2188" s="697" t="s">
        <v>987</v>
      </c>
      <c r="H2188" s="697" t="s">
        <v>60</v>
      </c>
      <c r="I2188" s="698" t="s">
        <v>450</v>
      </c>
      <c r="K2188" s="710">
        <v>2.5</v>
      </c>
    </row>
    <row r="2189" spans="6:11" ht="24" customHeight="1">
      <c r="K2189" s="705" t="s">
        <v>1609</v>
      </c>
    </row>
    <row r="2190" spans="6:11" ht="24" customHeight="1">
      <c r="H2190" s="697" t="s">
        <v>2161</v>
      </c>
      <c r="K2190" s="710">
        <f>SUM(K2186:K2188)</f>
        <v>103.1</v>
      </c>
    </row>
    <row r="2191" spans="6:11" ht="24" customHeight="1">
      <c r="F2191" s="698" t="s">
        <v>1894</v>
      </c>
      <c r="G2191" s="708" t="s">
        <v>2276</v>
      </c>
      <c r="H2191" s="697" t="s">
        <v>1033</v>
      </c>
      <c r="K2191" s="705" t="s">
        <v>1609</v>
      </c>
    </row>
    <row r="2192" spans="6:11" ht="24" customHeight="1">
      <c r="H2192" s="697" t="s">
        <v>58</v>
      </c>
      <c r="K2192" s="710"/>
    </row>
    <row r="2193" spans="6:11" ht="24" customHeight="1">
      <c r="H2193" s="705" t="s">
        <v>1609</v>
      </c>
      <c r="K2193" s="705" t="s">
        <v>1609</v>
      </c>
    </row>
    <row r="2194" spans="6:11" ht="24" customHeight="1">
      <c r="F2194" s="699">
        <v>1</v>
      </c>
      <c r="G2194" s="700" t="s">
        <v>778</v>
      </c>
      <c r="H2194" s="697" t="s">
        <v>1106</v>
      </c>
      <c r="J2194" s="702">
        <f>E203</f>
        <v>138</v>
      </c>
      <c r="K2194" s="710">
        <f>J2194</f>
        <v>138</v>
      </c>
    </row>
    <row r="2195" spans="6:11" ht="24" customHeight="1">
      <c r="H2195" s="697" t="s">
        <v>60</v>
      </c>
      <c r="I2195" s="698" t="s">
        <v>450</v>
      </c>
      <c r="K2195" s="710">
        <v>2.5</v>
      </c>
    </row>
    <row r="2196" spans="6:11" ht="24" customHeight="1">
      <c r="F2196" s="698" t="s">
        <v>1282</v>
      </c>
      <c r="G2196" s="708" t="s">
        <v>2276</v>
      </c>
      <c r="H2196" s="701" t="s">
        <v>53</v>
      </c>
      <c r="K2196" s="705" t="s">
        <v>1609</v>
      </c>
    </row>
    <row r="2197" spans="6:11" ht="24" customHeight="1">
      <c r="H2197" s="701" t="s">
        <v>1289</v>
      </c>
      <c r="K2197" s="710">
        <f>SUM(K2193:K2195)</f>
        <v>140.5</v>
      </c>
    </row>
    <row r="2198" spans="6:11" ht="24" customHeight="1">
      <c r="H2198" s="705" t="s">
        <v>1609</v>
      </c>
      <c r="K2198" s="705" t="s">
        <v>1609</v>
      </c>
    </row>
    <row r="2199" spans="6:11" ht="24" customHeight="1">
      <c r="F2199" s="710">
        <v>1</v>
      </c>
      <c r="G2199" s="708" t="s">
        <v>877</v>
      </c>
      <c r="H2199" s="697" t="s">
        <v>1105</v>
      </c>
      <c r="I2199" s="710">
        <f>C200</f>
        <v>126.8</v>
      </c>
      <c r="J2199" s="697" t="s">
        <v>877</v>
      </c>
      <c r="K2199" s="710">
        <f>(F2199*I2199)</f>
        <v>126.8</v>
      </c>
    </row>
    <row r="2200" spans="6:11" ht="24" customHeight="1">
      <c r="F2200" s="697" t="s">
        <v>987</v>
      </c>
      <c r="H2200" s="697" t="s">
        <v>59</v>
      </c>
    </row>
    <row r="2201" spans="6:11" ht="24" customHeight="1">
      <c r="F2201" s="697" t="s">
        <v>987</v>
      </c>
      <c r="H2201" s="697" t="s">
        <v>60</v>
      </c>
      <c r="I2201" s="698" t="s">
        <v>450</v>
      </c>
      <c r="K2201" s="710">
        <v>3</v>
      </c>
    </row>
    <row r="2202" spans="6:11" ht="24" customHeight="1">
      <c r="K2202" s="705" t="s">
        <v>1609</v>
      </c>
    </row>
    <row r="2203" spans="6:11" ht="24" customHeight="1">
      <c r="H2203" s="697" t="s">
        <v>2161</v>
      </c>
      <c r="K2203" s="710">
        <f>SUM(K2199:K2201)</f>
        <v>129.80000000000001</v>
      </c>
    </row>
    <row r="2204" spans="6:11" ht="24" customHeight="1">
      <c r="K2204" s="705" t="s">
        <v>1609</v>
      </c>
    </row>
    <row r="2206" spans="6:11" ht="24" customHeight="1">
      <c r="F2206" s="698" t="s">
        <v>1829</v>
      </c>
      <c r="G2206" s="708" t="s">
        <v>2276</v>
      </c>
      <c r="H2206" s="701" t="s">
        <v>1033</v>
      </c>
    </row>
    <row r="2207" spans="6:11" ht="24" customHeight="1">
      <c r="H2207" s="701" t="s">
        <v>1289</v>
      </c>
    </row>
    <row r="2208" spans="6:11" ht="24" customHeight="1">
      <c r="H2208" s="705" t="s">
        <v>1609</v>
      </c>
    </row>
    <row r="2209" spans="6:12" ht="24" customHeight="1">
      <c r="F2209" s="710">
        <v>1</v>
      </c>
      <c r="G2209" s="708" t="s">
        <v>877</v>
      </c>
      <c r="H2209" s="697" t="s">
        <v>814</v>
      </c>
      <c r="I2209" s="710">
        <f>C205</f>
        <v>164.5</v>
      </c>
      <c r="J2209" s="697" t="s">
        <v>877</v>
      </c>
      <c r="K2209" s="710">
        <f>(F2209*I2209)</f>
        <v>164.5</v>
      </c>
    </row>
    <row r="2210" spans="6:12" ht="24" customHeight="1">
      <c r="F2210" s="697" t="s">
        <v>987</v>
      </c>
      <c r="H2210" s="697" t="s">
        <v>59</v>
      </c>
    </row>
    <row r="2211" spans="6:12" ht="24" customHeight="1">
      <c r="F2211" s="697" t="s">
        <v>987</v>
      </c>
      <c r="H2211" s="697" t="s">
        <v>60</v>
      </c>
      <c r="I2211" s="698" t="s">
        <v>450</v>
      </c>
      <c r="K2211" s="710">
        <v>3</v>
      </c>
    </row>
    <row r="2212" spans="6:12" ht="24" customHeight="1">
      <c r="K2212" s="705" t="s">
        <v>1609</v>
      </c>
    </row>
    <row r="2213" spans="6:12" ht="24" customHeight="1">
      <c r="H2213" s="701" t="s">
        <v>2161</v>
      </c>
      <c r="K2213" s="710">
        <f>SUM(K2209:K2211)</f>
        <v>167.5</v>
      </c>
    </row>
    <row r="2214" spans="6:12" ht="24" customHeight="1">
      <c r="K2214" s="705" t="s">
        <v>1609</v>
      </c>
    </row>
    <row r="2215" spans="6:12" ht="24" customHeight="1">
      <c r="F2215" s="698" t="s">
        <v>1562</v>
      </c>
      <c r="H2215" s="701" t="s">
        <v>1563</v>
      </c>
    </row>
    <row r="2216" spans="6:12" ht="24" customHeight="1">
      <c r="H2216" s="701" t="s">
        <v>1088</v>
      </c>
    </row>
    <row r="2217" spans="6:12" ht="24" customHeight="1">
      <c r="H2217" s="705" t="s">
        <v>1609</v>
      </c>
    </row>
    <row r="2218" spans="6:12" ht="24" customHeight="1">
      <c r="F2218" s="710">
        <v>2.5</v>
      </c>
      <c r="G2218" s="708" t="s">
        <v>1089</v>
      </c>
      <c r="H2218" s="697" t="s">
        <v>1563</v>
      </c>
      <c r="I2218" s="710">
        <f>C585</f>
        <v>30</v>
      </c>
      <c r="J2218" s="697">
        <v>2.5</v>
      </c>
      <c r="K2218" s="965">
        <f>(F2218*I2218)/F2218</f>
        <v>30</v>
      </c>
      <c r="L2218" s="699">
        <f>1394*1.62-K2249</f>
        <v>-1571.36</v>
      </c>
    </row>
    <row r="2219" spans="6:12" ht="24" customHeight="1">
      <c r="H2219" s="697" t="s">
        <v>1090</v>
      </c>
      <c r="J2219" s="697" t="s">
        <v>1089</v>
      </c>
      <c r="K2219" s="966"/>
    </row>
    <row r="2220" spans="6:12" ht="24" customHeight="1">
      <c r="G2220" s="708" t="s">
        <v>450</v>
      </c>
      <c r="H2220" s="697" t="s">
        <v>1091</v>
      </c>
      <c r="J2220" s="697" t="s">
        <v>450</v>
      </c>
      <c r="K2220" s="816">
        <v>1.87</v>
      </c>
    </row>
    <row r="2221" spans="6:12" ht="24" customHeight="1">
      <c r="K2221" s="705" t="s">
        <v>1609</v>
      </c>
    </row>
    <row r="2222" spans="6:12" ht="24" customHeight="1">
      <c r="H2222" s="711" t="s">
        <v>224</v>
      </c>
      <c r="K2222" s="709">
        <f>SUM(K2218:K2220)</f>
        <v>31.87</v>
      </c>
    </row>
    <row r="2223" spans="6:12" ht="24" customHeight="1">
      <c r="K2223" s="705" t="s">
        <v>2080</v>
      </c>
    </row>
    <row r="2225" spans="6:11" ht="24" customHeight="1">
      <c r="F2225" s="698" t="s">
        <v>1092</v>
      </c>
      <c r="G2225" s="708" t="s">
        <v>2276</v>
      </c>
      <c r="H2225" s="697" t="s">
        <v>273</v>
      </c>
    </row>
    <row r="2226" spans="6:11" ht="24" customHeight="1">
      <c r="H2226" s="697" t="s">
        <v>64</v>
      </c>
    </row>
    <row r="2227" spans="6:11" ht="24" customHeight="1">
      <c r="H2227" s="697" t="s">
        <v>370</v>
      </c>
    </row>
    <row r="2228" spans="6:11" ht="24" customHeight="1">
      <c r="H2228" s="697" t="s">
        <v>351</v>
      </c>
    </row>
    <row r="2229" spans="6:11" ht="24" customHeight="1">
      <c r="H2229" s="697" t="s">
        <v>432</v>
      </c>
    </row>
    <row r="2230" spans="6:11" ht="24" customHeight="1">
      <c r="H2230" s="697" t="s">
        <v>1501</v>
      </c>
    </row>
    <row r="2231" spans="6:11" ht="24" customHeight="1">
      <c r="H2231" s="697" t="s">
        <v>1892</v>
      </c>
    </row>
    <row r="2232" spans="6:11" ht="24" customHeight="1">
      <c r="H2232" s="697" t="s">
        <v>2228</v>
      </c>
    </row>
    <row r="2233" spans="6:11" ht="24" customHeight="1">
      <c r="H2233" s="697" t="s">
        <v>570</v>
      </c>
    </row>
    <row r="2234" spans="6:11" ht="24" customHeight="1">
      <c r="H2234" s="697" t="s">
        <v>1293</v>
      </c>
    </row>
    <row r="2235" spans="6:11" ht="24" customHeight="1">
      <c r="H2235" s="697" t="s">
        <v>1294</v>
      </c>
    </row>
    <row r="2236" spans="6:11" ht="24" customHeight="1">
      <c r="H2236" s="697" t="s">
        <v>1295</v>
      </c>
    </row>
    <row r="2237" spans="6:11" ht="24" customHeight="1">
      <c r="H2237" s="705" t="s">
        <v>1609</v>
      </c>
      <c r="I2237" s="705" t="s">
        <v>1609</v>
      </c>
    </row>
    <row r="2238" spans="6:11" ht="24" customHeight="1">
      <c r="F2238" s="697" t="s">
        <v>987</v>
      </c>
    </row>
    <row r="2239" spans="6:11" ht="24" customHeight="1">
      <c r="F2239" s="776">
        <v>1.7399999999999999E-2</v>
      </c>
      <c r="G2239" s="708" t="s">
        <v>2176</v>
      </c>
      <c r="H2239" s="697" t="s">
        <v>1296</v>
      </c>
      <c r="I2239" s="710">
        <f>C83</f>
        <v>34300</v>
      </c>
      <c r="J2239" s="697" t="s">
        <v>2176</v>
      </c>
      <c r="K2239" s="710">
        <f t="shared" ref="K2239:K2246" si="249">F2239*I2239</f>
        <v>596.82000000000005</v>
      </c>
    </row>
    <row r="2240" spans="6:11" ht="24" customHeight="1">
      <c r="F2240" s="776">
        <v>2.93E-2</v>
      </c>
      <c r="G2240" s="708" t="s">
        <v>2176</v>
      </c>
      <c r="H2240" s="697" t="s">
        <v>1297</v>
      </c>
      <c r="I2240" s="710">
        <f>C84</f>
        <v>39400</v>
      </c>
      <c r="J2240" s="697" t="s">
        <v>2176</v>
      </c>
      <c r="K2240" s="710">
        <f t="shared" si="249"/>
        <v>1154.42</v>
      </c>
    </row>
    <row r="2241" spans="6:13" ht="24" customHeight="1">
      <c r="F2241" s="776">
        <v>1.093</v>
      </c>
      <c r="G2241" s="708" t="s">
        <v>2308</v>
      </c>
      <c r="H2241" s="697" t="s">
        <v>1298</v>
      </c>
      <c r="I2241" s="710">
        <f>C196</f>
        <v>339</v>
      </c>
      <c r="J2241" s="697" t="s">
        <v>2308</v>
      </c>
      <c r="K2241" s="710">
        <f t="shared" si="249"/>
        <v>370.53</v>
      </c>
    </row>
    <row r="2242" spans="6:13" ht="24" customHeight="1">
      <c r="F2242" s="710">
        <v>6</v>
      </c>
      <c r="G2242" s="708" t="s">
        <v>564</v>
      </c>
      <c r="H2242" s="697" t="s">
        <v>1163</v>
      </c>
      <c r="I2242" s="710">
        <f>C294</f>
        <v>7</v>
      </c>
      <c r="J2242" s="697" t="s">
        <v>1418</v>
      </c>
      <c r="K2242" s="710">
        <f t="shared" si="249"/>
        <v>42</v>
      </c>
    </row>
    <row r="2243" spans="6:13" ht="24" customHeight="1">
      <c r="F2243" s="710">
        <v>1</v>
      </c>
      <c r="G2243" s="708" t="s">
        <v>564</v>
      </c>
      <c r="H2243" s="697" t="s">
        <v>2242</v>
      </c>
      <c r="I2243" s="710">
        <f>C284</f>
        <v>94.1</v>
      </c>
      <c r="J2243" s="697" t="s">
        <v>1418</v>
      </c>
      <c r="K2243" s="710">
        <f t="shared" si="249"/>
        <v>94.1</v>
      </c>
    </row>
    <row r="2244" spans="6:13" ht="24" customHeight="1">
      <c r="F2244" s="710">
        <v>2</v>
      </c>
      <c r="G2244" s="708" t="s">
        <v>564</v>
      </c>
      <c r="H2244" s="697" t="s">
        <v>1774</v>
      </c>
      <c r="I2244" s="710">
        <f>C305</f>
        <v>3</v>
      </c>
      <c r="J2244" s="697" t="s">
        <v>1418</v>
      </c>
      <c r="K2244" s="710">
        <f t="shared" si="249"/>
        <v>6</v>
      </c>
    </row>
    <row r="2245" spans="6:13" ht="24" customHeight="1">
      <c r="F2245" s="710">
        <v>6</v>
      </c>
      <c r="G2245" s="708" t="s">
        <v>564</v>
      </c>
      <c r="H2245" s="697" t="s">
        <v>141</v>
      </c>
      <c r="I2245" s="967">
        <v>10.5</v>
      </c>
      <c r="J2245" s="697" t="s">
        <v>1418</v>
      </c>
      <c r="K2245" s="710">
        <f t="shared" si="249"/>
        <v>63</v>
      </c>
    </row>
    <row r="2246" spans="6:13" ht="24" customHeight="1">
      <c r="F2246" s="740">
        <v>1.62</v>
      </c>
      <c r="G2246" s="708" t="s">
        <v>2308</v>
      </c>
      <c r="H2246" s="697" t="s">
        <v>142</v>
      </c>
      <c r="I2246" s="710">
        <f>D31</f>
        <v>925</v>
      </c>
      <c r="J2246" s="697" t="s">
        <v>2308</v>
      </c>
      <c r="K2246" s="710">
        <f t="shared" si="249"/>
        <v>1498.5</v>
      </c>
    </row>
    <row r="2247" spans="6:13" ht="24" customHeight="1">
      <c r="G2247" s="708" t="s">
        <v>450</v>
      </c>
      <c r="H2247" s="697" t="s">
        <v>510</v>
      </c>
      <c r="J2247" s="697" t="s">
        <v>450</v>
      </c>
      <c r="K2247" s="710">
        <v>4.2699999999999996</v>
      </c>
    </row>
    <row r="2248" spans="6:13" ht="24" customHeight="1">
      <c r="K2248" s="705" t="s">
        <v>1609</v>
      </c>
    </row>
    <row r="2249" spans="6:13" ht="24" customHeight="1">
      <c r="H2249" s="711" t="s">
        <v>143</v>
      </c>
      <c r="K2249" s="709">
        <f>SUM(K2239:K2247)</f>
        <v>3829.64</v>
      </c>
    </row>
    <row r="2250" spans="6:13" ht="24" customHeight="1">
      <c r="K2250" s="761" t="s">
        <v>1609</v>
      </c>
    </row>
    <row r="2251" spans="6:13" ht="24" customHeight="1">
      <c r="K2251" s="758"/>
    </row>
    <row r="2252" spans="6:13" ht="24" customHeight="1">
      <c r="H2252" s="711" t="s">
        <v>144</v>
      </c>
      <c r="I2252" s="697" t="s">
        <v>987</v>
      </c>
      <c r="K2252" s="709">
        <f>K2249/1.62</f>
        <v>2363.98</v>
      </c>
      <c r="M2252" s="699">
        <f>1921*1.62</f>
        <v>3112.02</v>
      </c>
    </row>
    <row r="2253" spans="6:13" ht="15" customHeight="1">
      <c r="F2253" s="697" t="s">
        <v>987</v>
      </c>
      <c r="G2253" s="708" t="s">
        <v>987</v>
      </c>
      <c r="H2253" s="697" t="s">
        <v>987</v>
      </c>
      <c r="I2253" s="697" t="s">
        <v>987</v>
      </c>
      <c r="J2253" s="697" t="s">
        <v>987</v>
      </c>
      <c r="M2253" s="699">
        <f>M2252-K2249</f>
        <v>-717.62</v>
      </c>
    </row>
    <row r="2254" spans="6:13" ht="13.5" customHeight="1"/>
    <row r="2255" spans="6:13" ht="24" customHeight="1">
      <c r="G2255" s="708" t="s">
        <v>1561</v>
      </c>
      <c r="H2255" s="701" t="s">
        <v>1413</v>
      </c>
    </row>
    <row r="2256" spans="6:13" ht="24" customHeight="1">
      <c r="H2256" s="697" t="s">
        <v>806</v>
      </c>
      <c r="L2256" s="699">
        <f>3.6*1.1</f>
        <v>3.96</v>
      </c>
    </row>
    <row r="2257" spans="6:12" ht="24" customHeight="1">
      <c r="F2257" s="697" t="s">
        <v>987</v>
      </c>
      <c r="H2257" s="697" t="s">
        <v>807</v>
      </c>
      <c r="L2257" s="699">
        <f>3.6*1.6</f>
        <v>5.76</v>
      </c>
    </row>
    <row r="2258" spans="6:12" ht="35.25" customHeight="1">
      <c r="F2258" s="698" t="s">
        <v>808</v>
      </c>
      <c r="H2258" s="697" t="s">
        <v>2203</v>
      </c>
      <c r="K2258" s="732">
        <f>Elec.Data!K2860</f>
        <v>1499.19</v>
      </c>
    </row>
    <row r="2259" spans="6:12" ht="30.75" customHeight="1">
      <c r="F2259" s="698" t="s">
        <v>809</v>
      </c>
      <c r="H2259" s="698" t="s">
        <v>783</v>
      </c>
      <c r="K2259" s="732">
        <f>Elec.Data!K2884</f>
        <v>1503.34</v>
      </c>
    </row>
    <row r="2260" spans="6:12" ht="30.75" customHeight="1">
      <c r="F2260" s="698" t="s">
        <v>810</v>
      </c>
      <c r="H2260" s="697" t="s">
        <v>1286</v>
      </c>
      <c r="K2260" s="732">
        <f>Elec.Data!K2899</f>
        <v>1538.57</v>
      </c>
    </row>
    <row r="2261" spans="6:12" ht="30.75" customHeight="1">
      <c r="F2261" s="733">
        <v>65</v>
      </c>
      <c r="H2261" s="697" t="s">
        <v>785</v>
      </c>
      <c r="K2261" s="732">
        <f>Elec.Data!K2921</f>
        <v>1565.4</v>
      </c>
    </row>
    <row r="2262" spans="6:12" ht="30.75" customHeight="1">
      <c r="F2262" s="733">
        <v>66</v>
      </c>
      <c r="H2262" s="697" t="s">
        <v>618</v>
      </c>
      <c r="K2262" s="732">
        <f>Elec.Data!K2945</f>
        <v>2802.09</v>
      </c>
    </row>
    <row r="2263" spans="6:12" ht="30.75" customHeight="1">
      <c r="F2263" s="733">
        <v>67</v>
      </c>
      <c r="H2263" s="697" t="s">
        <v>574</v>
      </c>
      <c r="K2263" s="732">
        <f>Elec.Data!K2977</f>
        <v>764.91</v>
      </c>
    </row>
    <row r="2264" spans="6:12" ht="30.75" customHeight="1">
      <c r="F2264" s="733">
        <v>68</v>
      </c>
      <c r="H2264" s="697" t="s">
        <v>847</v>
      </c>
      <c r="K2264" s="732">
        <f>Elec.Data!K2965</f>
        <v>1041.2</v>
      </c>
    </row>
    <row r="2265" spans="6:12" ht="30.75" customHeight="1">
      <c r="F2265" s="733">
        <v>69</v>
      </c>
      <c r="H2265" s="697" t="s">
        <v>811</v>
      </c>
      <c r="K2265" s="732">
        <f>Elec.Data!K2988</f>
        <v>138.69999999999999</v>
      </c>
    </row>
    <row r="2266" spans="6:12" ht="30.75" customHeight="1">
      <c r="F2266" s="733" t="s">
        <v>812</v>
      </c>
      <c r="H2266" s="697" t="s">
        <v>499</v>
      </c>
      <c r="K2266" s="732">
        <f>Elec.Data!K3135</f>
        <v>486.5</v>
      </c>
    </row>
    <row r="2267" spans="6:12" ht="30.75" customHeight="1">
      <c r="F2267" s="733" t="s">
        <v>294</v>
      </c>
      <c r="H2267" s="697" t="s">
        <v>289</v>
      </c>
      <c r="J2267" s="704"/>
      <c r="K2267" s="732"/>
      <c r="L2267" s="699">
        <f>37.7*90</f>
        <v>3393</v>
      </c>
    </row>
    <row r="2268" spans="6:12" ht="30.75" customHeight="1">
      <c r="F2268" s="733" t="s">
        <v>1967</v>
      </c>
      <c r="H2268" s="697" t="s">
        <v>1524</v>
      </c>
      <c r="K2268" s="718">
        <v>9.4</v>
      </c>
    </row>
    <row r="2269" spans="6:12" ht="24" customHeight="1">
      <c r="F2269" s="733" t="s">
        <v>1968</v>
      </c>
      <c r="H2269" s="697" t="s">
        <v>586</v>
      </c>
      <c r="K2269" s="800">
        <v>10</v>
      </c>
    </row>
    <row r="2270" spans="6:12" ht="24" customHeight="1">
      <c r="F2270" s="733">
        <v>71</v>
      </c>
      <c r="H2270" s="697" t="s">
        <v>1174</v>
      </c>
      <c r="K2270" s="732">
        <f>Elec.Data!K3173</f>
        <v>1308</v>
      </c>
    </row>
    <row r="2271" spans="6:12" ht="24" customHeight="1">
      <c r="F2271" s="733">
        <v>72</v>
      </c>
      <c r="H2271" s="697" t="s">
        <v>813</v>
      </c>
      <c r="K2271" s="800">
        <v>33.9</v>
      </c>
    </row>
    <row r="2272" spans="6:12" ht="24" customHeight="1">
      <c r="F2272" s="733" t="s">
        <v>587</v>
      </c>
      <c r="H2272" s="697" t="s">
        <v>275</v>
      </c>
      <c r="K2272" s="732">
        <f>Elec.Data!K3233</f>
        <v>4116.8500000000004</v>
      </c>
    </row>
    <row r="2273" spans="6:11" ht="24" customHeight="1">
      <c r="F2273" s="733" t="s">
        <v>588</v>
      </c>
      <c r="H2273" s="697" t="s">
        <v>589</v>
      </c>
      <c r="K2273" s="732">
        <f>Elec.Data!K3221</f>
        <v>3342.85</v>
      </c>
    </row>
    <row r="2274" spans="6:11" ht="24" customHeight="1">
      <c r="F2274" s="733">
        <v>74</v>
      </c>
      <c r="H2274" s="697" t="s">
        <v>164</v>
      </c>
      <c r="K2274" s="732">
        <f>Elec.Data!K3277</f>
        <v>521.46</v>
      </c>
    </row>
    <row r="2275" spans="6:11" ht="24" customHeight="1">
      <c r="F2275" s="733" t="s">
        <v>638</v>
      </c>
      <c r="H2275" s="697" t="s">
        <v>1277</v>
      </c>
      <c r="K2275" s="732">
        <v>1265</v>
      </c>
    </row>
    <row r="2276" spans="6:11" ht="24" customHeight="1">
      <c r="F2276" s="733" t="s">
        <v>639</v>
      </c>
      <c r="H2276" s="697" t="s">
        <v>133</v>
      </c>
    </row>
    <row r="2277" spans="6:11" ht="24" customHeight="1">
      <c r="F2277" s="733">
        <v>112</v>
      </c>
      <c r="H2277" s="697" t="s">
        <v>754</v>
      </c>
      <c r="K2277" s="732">
        <f>Elec.Data!K3744</f>
        <v>2110.5</v>
      </c>
    </row>
    <row r="2278" spans="6:11" ht="34.5" customHeight="1">
      <c r="F2278" s="733">
        <v>76</v>
      </c>
      <c r="H2278" s="697" t="s">
        <v>1956</v>
      </c>
      <c r="K2278" s="732">
        <f>Elec.Data!K3294</f>
        <v>23.79</v>
      </c>
    </row>
    <row r="2279" spans="6:11" ht="31.5" customHeight="1">
      <c r="F2279" s="733">
        <v>77</v>
      </c>
      <c r="H2279" s="697" t="s">
        <v>2293</v>
      </c>
      <c r="K2279" s="732">
        <f>Elec.Data!K3080</f>
        <v>192.58</v>
      </c>
    </row>
    <row r="2280" spans="6:11" ht="38.25" customHeight="1">
      <c r="F2280" s="968">
        <v>77.099999999999994</v>
      </c>
      <c r="H2280" s="762" t="s">
        <v>1832</v>
      </c>
      <c r="K2280" s="969">
        <f>Elec.Data!K3105</f>
        <v>246.68</v>
      </c>
    </row>
    <row r="2281" spans="6:11" ht="24" customHeight="1">
      <c r="F2281" s="753">
        <v>77.2</v>
      </c>
      <c r="H2281" s="697" t="s">
        <v>1833</v>
      </c>
      <c r="K2281" s="737">
        <v>500</v>
      </c>
    </row>
    <row r="2282" spans="6:11" ht="24" customHeight="1">
      <c r="F2282" s="753">
        <v>77.3</v>
      </c>
      <c r="H2282" s="697" t="s">
        <v>1523</v>
      </c>
      <c r="K2282" s="737">
        <f>Elec.Data!K3712</f>
        <v>76.67</v>
      </c>
    </row>
    <row r="2283" spans="6:11" ht="24" customHeight="1">
      <c r="F2283" s="733">
        <v>78</v>
      </c>
      <c r="H2283" s="697" t="s">
        <v>81</v>
      </c>
      <c r="K2283" s="732">
        <f>Elec.Data!K3319</f>
        <v>2723</v>
      </c>
    </row>
    <row r="2284" spans="6:11" ht="24" customHeight="1">
      <c r="F2284" s="733">
        <v>80</v>
      </c>
      <c r="H2284" s="697" t="s">
        <v>2143</v>
      </c>
      <c r="K2284" s="732">
        <f>Elec.Data!K3441</f>
        <v>770.34</v>
      </c>
    </row>
    <row r="2285" spans="6:11" ht="24" customHeight="1">
      <c r="F2285" s="733">
        <v>81</v>
      </c>
      <c r="H2285" s="697" t="s">
        <v>93</v>
      </c>
      <c r="K2285" s="710">
        <f>K2252</f>
        <v>2363.98</v>
      </c>
    </row>
    <row r="2286" spans="6:11" ht="24" customHeight="1">
      <c r="F2286" s="733">
        <v>82</v>
      </c>
      <c r="H2286" s="697" t="s">
        <v>1571</v>
      </c>
      <c r="K2286" s="732">
        <f>Elec.Data!K3638</f>
        <v>2774.3</v>
      </c>
    </row>
    <row r="2287" spans="6:11" ht="24" customHeight="1">
      <c r="F2287" s="733">
        <v>87</v>
      </c>
      <c r="H2287" s="697" t="s">
        <v>1787</v>
      </c>
      <c r="K2287" s="732">
        <f>Elec.Data!K3458</f>
        <v>2850.6</v>
      </c>
    </row>
    <row r="2288" spans="6:11" ht="24" customHeight="1">
      <c r="H2288" s="970" t="s">
        <v>1944</v>
      </c>
      <c r="K2288" s="732">
        <f>Elec.Data!K3762</f>
        <v>1941.5</v>
      </c>
    </row>
    <row r="2289" spans="6:253" ht="24" customHeight="1">
      <c r="H2289" s="971" t="s">
        <v>263</v>
      </c>
      <c r="K2289" s="737">
        <v>137</v>
      </c>
    </row>
    <row r="2290" spans="6:253" ht="28.5" customHeight="1">
      <c r="F2290" s="972">
        <v>77.400000000000006</v>
      </c>
      <c r="H2290" s="973" t="s">
        <v>1747</v>
      </c>
      <c r="M2290" s="972">
        <v>77.400000000000006</v>
      </c>
      <c r="N2290" s="700"/>
      <c r="O2290" s="973" t="s">
        <v>4858</v>
      </c>
      <c r="Q2290" s="702"/>
    </row>
    <row r="2291" spans="6:253" ht="27" customHeight="1">
      <c r="H2291" s="697" t="s">
        <v>806</v>
      </c>
      <c r="N2291" s="700"/>
      <c r="O2291" s="697" t="s">
        <v>806</v>
      </c>
      <c r="Q2291" s="702"/>
    </row>
    <row r="2292" spans="6:253" ht="42.75" customHeight="1">
      <c r="F2292" s="699">
        <v>90</v>
      </c>
      <c r="G2292" s="700" t="s">
        <v>372</v>
      </c>
      <c r="H2292" s="933" t="s">
        <v>5090</v>
      </c>
      <c r="I2292" s="974">
        <v>19.100000000000001</v>
      </c>
      <c r="J2292" s="702" t="s">
        <v>372</v>
      </c>
      <c r="K2292" s="699">
        <f>I2292*F2292</f>
        <v>1719</v>
      </c>
      <c r="M2292" s="699">
        <v>90</v>
      </c>
      <c r="N2292" s="700" t="s">
        <v>372</v>
      </c>
      <c r="O2292" s="933" t="s">
        <v>4753</v>
      </c>
      <c r="P2292" s="974">
        <v>19.100000000000001</v>
      </c>
      <c r="Q2292" s="702" t="s">
        <v>372</v>
      </c>
      <c r="R2292" s="699">
        <f>P2292*M2292</f>
        <v>1719</v>
      </c>
    </row>
    <row r="2293" spans="6:253" ht="24" customHeight="1">
      <c r="F2293" s="699">
        <v>0.15</v>
      </c>
      <c r="G2293" s="700" t="s">
        <v>530</v>
      </c>
      <c r="H2293" s="699" t="s">
        <v>871</v>
      </c>
      <c r="I2293" s="699">
        <f>AC29</f>
        <v>5960</v>
      </c>
      <c r="J2293" s="702" t="s">
        <v>530</v>
      </c>
      <c r="K2293" s="699">
        <f>I2293*F2293</f>
        <v>894</v>
      </c>
      <c r="M2293" s="699">
        <v>0.15</v>
      </c>
      <c r="N2293" s="700" t="s">
        <v>530</v>
      </c>
      <c r="O2293" s="699" t="s">
        <v>871</v>
      </c>
      <c r="P2293" s="699">
        <f>I2293</f>
        <v>5960</v>
      </c>
      <c r="Q2293" s="702" t="s">
        <v>530</v>
      </c>
      <c r="R2293" s="699">
        <f>P2293*M2293</f>
        <v>894</v>
      </c>
    </row>
    <row r="2294" spans="6:253" ht="24" customHeight="1">
      <c r="F2294" s="699">
        <v>1</v>
      </c>
      <c r="G2294" s="700" t="s">
        <v>778</v>
      </c>
      <c r="H2294" s="699" t="s">
        <v>371</v>
      </c>
      <c r="I2294" s="975">
        <f>C806</f>
        <v>636</v>
      </c>
      <c r="J2294" s="702" t="s">
        <v>778</v>
      </c>
      <c r="K2294" s="699">
        <f>I2294*F2294</f>
        <v>636</v>
      </c>
      <c r="M2294" s="699">
        <v>1</v>
      </c>
      <c r="N2294" s="700" t="s">
        <v>778</v>
      </c>
      <c r="O2294" s="699" t="s">
        <v>371</v>
      </c>
      <c r="P2294" s="699">
        <f>I2294</f>
        <v>636</v>
      </c>
      <c r="Q2294" s="702" t="s">
        <v>778</v>
      </c>
      <c r="R2294" s="699">
        <f>P2294*M2294</f>
        <v>636</v>
      </c>
    </row>
    <row r="2295" spans="6:253" ht="24" customHeight="1">
      <c r="F2295" s="699">
        <v>2</v>
      </c>
      <c r="G2295" s="700" t="s">
        <v>778</v>
      </c>
      <c r="H2295" s="699" t="s">
        <v>1737</v>
      </c>
      <c r="I2295" s="699">
        <f>AE8</f>
        <v>804</v>
      </c>
      <c r="J2295" s="702" t="s">
        <v>778</v>
      </c>
      <c r="K2295" s="699">
        <f>I2295*F2295</f>
        <v>1608</v>
      </c>
      <c r="M2295" s="699">
        <v>2</v>
      </c>
      <c r="N2295" s="700" t="s">
        <v>778</v>
      </c>
      <c r="O2295" s="699" t="s">
        <v>1737</v>
      </c>
      <c r="P2295" s="699">
        <f>I2295</f>
        <v>804</v>
      </c>
      <c r="Q2295" s="702" t="s">
        <v>778</v>
      </c>
      <c r="R2295" s="699">
        <f>P2295*M2295</f>
        <v>1608</v>
      </c>
    </row>
    <row r="2296" spans="6:253" ht="24" customHeight="1">
      <c r="F2296" s="699">
        <v>4</v>
      </c>
      <c r="G2296" s="700" t="s">
        <v>778</v>
      </c>
      <c r="H2296" s="699" t="str">
        <f>B807</f>
        <v>Electrical HELPERp-15 it-100</v>
      </c>
      <c r="I2296" s="975">
        <f>C807</f>
        <v>497</v>
      </c>
      <c r="J2296" s="702" t="s">
        <v>778</v>
      </c>
      <c r="K2296" s="699">
        <f>I2296*F2296</f>
        <v>1988</v>
      </c>
      <c r="M2296" s="699">
        <v>4</v>
      </c>
      <c r="N2296" s="700" t="s">
        <v>778</v>
      </c>
      <c r="O2296" s="699" t="str">
        <f>H2296</f>
        <v>Electrical HELPERp-15 it-100</v>
      </c>
      <c r="P2296" s="699">
        <f>I2296</f>
        <v>497</v>
      </c>
      <c r="Q2296" s="702" t="s">
        <v>778</v>
      </c>
      <c r="R2296" s="699">
        <f>P2296*M2296</f>
        <v>1988</v>
      </c>
    </row>
    <row r="2297" spans="6:253" ht="24" customHeight="1">
      <c r="H2297" s="699" t="s">
        <v>373</v>
      </c>
      <c r="K2297" s="699">
        <v>11.5</v>
      </c>
      <c r="N2297" s="700"/>
      <c r="O2297" s="699" t="s">
        <v>373</v>
      </c>
      <c r="Q2297" s="702"/>
      <c r="R2297" s="699">
        <v>11.5</v>
      </c>
    </row>
    <row r="2298" spans="6:253" ht="24" customHeight="1">
      <c r="K2298" s="705" t="s">
        <v>1609</v>
      </c>
      <c r="N2298" s="700"/>
      <c r="Q2298" s="702"/>
      <c r="R2298" s="705" t="s">
        <v>1609</v>
      </c>
    </row>
    <row r="2299" spans="6:253" ht="36.75" customHeight="1">
      <c r="H2299" s="697" t="s">
        <v>2292</v>
      </c>
      <c r="K2299" s="710">
        <f>SUM(K2292:K2297)</f>
        <v>6856.5</v>
      </c>
      <c r="N2299" s="700"/>
      <c r="O2299" s="697" t="s">
        <v>2292</v>
      </c>
      <c r="Q2299" s="702"/>
      <c r="R2299" s="710">
        <f>SUM(R2292:R2297)</f>
        <v>6856.5</v>
      </c>
    </row>
    <row r="2300" spans="6:253" ht="24" customHeight="1">
      <c r="K2300" s="705" t="s">
        <v>1609</v>
      </c>
      <c r="N2300" s="700"/>
      <c r="Q2300" s="702"/>
      <c r="R2300" s="705" t="s">
        <v>1609</v>
      </c>
    </row>
    <row r="2301" spans="6:253" ht="24" customHeight="1">
      <c r="H2301" s="697" t="s">
        <v>1141</v>
      </c>
      <c r="K2301" s="710">
        <f>(K2299/90)</f>
        <v>76.180000000000007</v>
      </c>
      <c r="N2301" s="700"/>
      <c r="O2301" s="697" t="s">
        <v>1141</v>
      </c>
      <c r="Q2301" s="702"/>
      <c r="R2301" s="710">
        <f>(R2299/90)</f>
        <v>76.180000000000007</v>
      </c>
      <c r="AG2301" s="699">
        <v>0</v>
      </c>
    </row>
    <row r="2302" spans="6:253" ht="24" customHeight="1">
      <c r="K2302" s="705" t="s">
        <v>2080</v>
      </c>
      <c r="IS2302">
        <v>0</v>
      </c>
    </row>
    <row r="2304" spans="6:253" ht="24" customHeight="1">
      <c r="F2304" s="765">
        <v>78.099999999999994</v>
      </c>
      <c r="H2304" s="701" t="s">
        <v>1583</v>
      </c>
      <c r="L2304" s="699">
        <f>31.5+85</f>
        <v>116.5</v>
      </c>
    </row>
    <row r="2305" spans="5:19" ht="24" customHeight="1">
      <c r="H2305" s="697" t="s">
        <v>806</v>
      </c>
      <c r="L2305" s="699">
        <f>L2304*10%</f>
        <v>11.65</v>
      </c>
    </row>
    <row r="2306" spans="5:19" ht="24" customHeight="1">
      <c r="F2306" s="699">
        <v>2.5</v>
      </c>
      <c r="G2306" s="700" t="s">
        <v>778</v>
      </c>
      <c r="H2306" s="699" t="s">
        <v>1584</v>
      </c>
      <c r="I2306" s="699">
        <f>C392</f>
        <v>163</v>
      </c>
      <c r="J2306" s="702" t="s">
        <v>778</v>
      </c>
      <c r="K2306" s="699">
        <f t="shared" ref="K2306:K2311" si="250">I2306*F2306</f>
        <v>407.5</v>
      </c>
    </row>
    <row r="2307" spans="5:19" ht="24" customHeight="1">
      <c r="F2307" s="699">
        <v>20</v>
      </c>
      <c r="G2307" s="700" t="s">
        <v>359</v>
      </c>
      <c r="H2307" s="976" t="s">
        <v>4466</v>
      </c>
      <c r="I2307" s="977">
        <f>Elec.Data!I3313</f>
        <v>4.96</v>
      </c>
      <c r="J2307" s="702" t="s">
        <v>359</v>
      </c>
      <c r="K2307" s="699">
        <f t="shared" si="250"/>
        <v>99.2</v>
      </c>
    </row>
    <row r="2308" spans="5:19" ht="24" customHeight="1">
      <c r="F2308" s="699">
        <v>9</v>
      </c>
      <c r="G2308" s="700" t="s">
        <v>359</v>
      </c>
      <c r="H2308" s="699" t="s">
        <v>4123</v>
      </c>
      <c r="I2308" s="699">
        <f>Elec.Data!I3316</f>
        <v>3.7</v>
      </c>
      <c r="J2308" s="702" t="s">
        <v>359</v>
      </c>
      <c r="K2308" s="699">
        <f t="shared" si="250"/>
        <v>33.299999999999997</v>
      </c>
    </row>
    <row r="2309" spans="5:19" ht="51.75" customHeight="1">
      <c r="F2309" s="699">
        <v>0.5</v>
      </c>
      <c r="G2309" s="700" t="s">
        <v>359</v>
      </c>
      <c r="H2309" s="699" t="s">
        <v>4112</v>
      </c>
      <c r="I2309" s="802">
        <f>Elec.Data!I3289</f>
        <v>94.9</v>
      </c>
      <c r="J2309" s="702" t="s">
        <v>359</v>
      </c>
      <c r="K2309" s="699">
        <f t="shared" si="250"/>
        <v>47.45</v>
      </c>
    </row>
    <row r="2310" spans="5:19" ht="36.75" customHeight="1">
      <c r="E2310" s="703">
        <f>25.2/5</f>
        <v>5.04</v>
      </c>
      <c r="F2310" s="699">
        <v>0.5</v>
      </c>
      <c r="G2310" s="700" t="s">
        <v>778</v>
      </c>
      <c r="H2310" s="699" t="s">
        <v>1303</v>
      </c>
      <c r="I2310" s="699">
        <f>I2294</f>
        <v>636</v>
      </c>
      <c r="J2310" s="702" t="s">
        <v>778</v>
      </c>
      <c r="K2310" s="699">
        <f t="shared" si="250"/>
        <v>318</v>
      </c>
    </row>
    <row r="2311" spans="5:19" ht="24" customHeight="1">
      <c r="F2311" s="699">
        <v>1</v>
      </c>
      <c r="G2311" s="700" t="s">
        <v>778</v>
      </c>
      <c r="H2311" s="699" t="s">
        <v>1304</v>
      </c>
      <c r="I2311" s="699">
        <f>I2296</f>
        <v>497</v>
      </c>
      <c r="J2311" s="702" t="s">
        <v>778</v>
      </c>
      <c r="K2311" s="699">
        <f t="shared" si="250"/>
        <v>497</v>
      </c>
    </row>
    <row r="2312" spans="5:19" ht="45.75" customHeight="1">
      <c r="G2312" s="700" t="s">
        <v>663</v>
      </c>
      <c r="H2312" s="812" t="s">
        <v>1305</v>
      </c>
      <c r="J2312" s="702" t="s">
        <v>663</v>
      </c>
      <c r="K2312" s="699">
        <v>200</v>
      </c>
    </row>
    <row r="2313" spans="5:19" ht="24" customHeight="1">
      <c r="G2313" s="700" t="s">
        <v>663</v>
      </c>
      <c r="H2313" s="699" t="s">
        <v>1228</v>
      </c>
      <c r="J2313" s="702" t="s">
        <v>663</v>
      </c>
      <c r="K2313" s="699">
        <v>8.32</v>
      </c>
    </row>
    <row r="2314" spans="5:19" ht="24" customHeight="1">
      <c r="K2314" s="705" t="s">
        <v>1609</v>
      </c>
    </row>
    <row r="2315" spans="5:19" ht="24" customHeight="1">
      <c r="H2315" s="699" t="s">
        <v>283</v>
      </c>
      <c r="K2315" s="710">
        <f>SUM(K2306:K2313)</f>
        <v>1610.77</v>
      </c>
      <c r="L2315" s="699">
        <f>K2349/3</f>
        <v>30.62</v>
      </c>
    </row>
    <row r="2316" spans="5:19" ht="27" customHeight="1">
      <c r="K2316" s="705" t="s">
        <v>1609</v>
      </c>
    </row>
    <row r="2317" spans="5:19" ht="45" customHeight="1">
      <c r="H2317" s="758" t="s">
        <v>2254</v>
      </c>
    </row>
    <row r="2318" spans="5:19" ht="24" customHeight="1">
      <c r="F2318" s="699">
        <v>0.7</v>
      </c>
      <c r="G2318" s="700" t="s">
        <v>778</v>
      </c>
      <c r="H2318" s="699" t="s">
        <v>659</v>
      </c>
      <c r="I2318" s="699">
        <f>C15</f>
        <v>760</v>
      </c>
      <c r="J2318" s="702" t="s">
        <v>1418</v>
      </c>
      <c r="K2318" s="699">
        <f>I2318*F2318</f>
        <v>532</v>
      </c>
      <c r="S2318" s="703">
        <f>R2356+R2357</f>
        <v>763</v>
      </c>
    </row>
    <row r="2319" spans="5:19" ht="24" customHeight="1">
      <c r="F2319" s="699">
        <v>0.5</v>
      </c>
      <c r="G2319" s="700" t="s">
        <v>778</v>
      </c>
      <c r="H2319" s="699" t="s">
        <v>660</v>
      </c>
      <c r="I2319" s="699">
        <f>C10</f>
        <v>562</v>
      </c>
      <c r="J2319" s="702" t="s">
        <v>1418</v>
      </c>
      <c r="K2319" s="699">
        <f>I2319*F2319</f>
        <v>281</v>
      </c>
    </row>
    <row r="2320" spans="5:19" ht="24" customHeight="1">
      <c r="H2320" s="699" t="s">
        <v>2255</v>
      </c>
      <c r="K2320" s="699">
        <f>SUM(K2318:K2319)</f>
        <v>813</v>
      </c>
    </row>
    <row r="2321" spans="6:18" ht="24" customHeight="1">
      <c r="H2321" s="699" t="s">
        <v>437</v>
      </c>
      <c r="K2321" s="758">
        <f>K2320/8.16</f>
        <v>99.63</v>
      </c>
    </row>
    <row r="2323" spans="6:18" ht="24" customHeight="1">
      <c r="H2323" s="758" t="s">
        <v>1845</v>
      </c>
    </row>
    <row r="2324" spans="6:18" ht="24" customHeight="1">
      <c r="F2324" s="699">
        <v>2</v>
      </c>
      <c r="G2324" s="700" t="s">
        <v>922</v>
      </c>
      <c r="H2324" s="699" t="s">
        <v>5091</v>
      </c>
      <c r="I2324" s="978">
        <v>61.5</v>
      </c>
      <c r="J2324" s="702" t="s">
        <v>922</v>
      </c>
      <c r="K2324" s="699">
        <f>I2324*F2324</f>
        <v>123</v>
      </c>
    </row>
    <row r="2325" spans="6:18" ht="24" customHeight="1">
      <c r="F2325" s="699">
        <v>0.2</v>
      </c>
      <c r="G2325" s="700" t="s">
        <v>922</v>
      </c>
      <c r="H2325" s="699" t="s">
        <v>1846</v>
      </c>
      <c r="I2325" s="699">
        <f>C140/1000</f>
        <v>50.3</v>
      </c>
      <c r="J2325" s="702" t="s">
        <v>922</v>
      </c>
      <c r="K2325" s="699">
        <f>I2325*F2325</f>
        <v>10.06</v>
      </c>
    </row>
    <row r="2326" spans="6:18" ht="24" customHeight="1">
      <c r="F2326" s="699">
        <v>2</v>
      </c>
      <c r="G2326" s="700" t="s">
        <v>922</v>
      </c>
      <c r="H2326" s="699" t="s">
        <v>1847</v>
      </c>
      <c r="I2326" s="699">
        <f>K2321</f>
        <v>99.63</v>
      </c>
      <c r="J2326" s="702" t="s">
        <v>922</v>
      </c>
      <c r="K2326" s="699">
        <f>I2326*F2326</f>
        <v>199.26</v>
      </c>
    </row>
    <row r="2327" spans="6:18" ht="24" customHeight="1">
      <c r="H2327" s="699" t="s">
        <v>1848</v>
      </c>
      <c r="K2327" s="699">
        <f>SUM(K2324:K2326)</f>
        <v>332.32</v>
      </c>
    </row>
    <row r="2328" spans="6:18" ht="24" customHeight="1">
      <c r="H2328" s="699" t="s">
        <v>1849</v>
      </c>
      <c r="K2328" s="758">
        <f>K2327/10</f>
        <v>33.229999999999997</v>
      </c>
    </row>
    <row r="2330" spans="6:18" ht="24" customHeight="1">
      <c r="H2330" s="758" t="s">
        <v>1005</v>
      </c>
      <c r="N2330" s="700"/>
      <c r="O2330" s="758" t="s">
        <v>930</v>
      </c>
      <c r="Q2330" s="702"/>
    </row>
    <row r="2331" spans="6:18" ht="24" customHeight="1">
      <c r="F2331" s="699">
        <v>0.25</v>
      </c>
      <c r="G2331" s="700" t="s">
        <v>564</v>
      </c>
      <c r="H2331" s="699" t="s">
        <v>1850</v>
      </c>
      <c r="I2331" s="699">
        <f>C9</f>
        <v>804</v>
      </c>
      <c r="J2331" s="702" t="s">
        <v>1418</v>
      </c>
      <c r="K2331" s="699">
        <f>I2331*F2331</f>
        <v>201</v>
      </c>
      <c r="M2331" s="699">
        <v>15</v>
      </c>
      <c r="N2331" s="700" t="s">
        <v>236</v>
      </c>
      <c r="O2331" s="876" t="s">
        <v>4762</v>
      </c>
      <c r="P2331" s="744">
        <v>158.69999999999999</v>
      </c>
      <c r="Q2331" s="702" t="s">
        <v>236</v>
      </c>
      <c r="R2331" s="699">
        <f>P2331*M2331</f>
        <v>2380.5</v>
      </c>
    </row>
    <row r="2332" spans="6:18" ht="24" customHeight="1">
      <c r="F2332" s="699">
        <v>1</v>
      </c>
      <c r="G2332" s="700" t="s">
        <v>564</v>
      </c>
      <c r="H2332" s="699" t="s">
        <v>660</v>
      </c>
      <c r="I2332" s="699">
        <f>C10</f>
        <v>562</v>
      </c>
      <c r="J2332" s="702" t="s">
        <v>1418</v>
      </c>
      <c r="K2332" s="699">
        <f>I2332*F2332</f>
        <v>562</v>
      </c>
      <c r="M2332" s="699">
        <v>0.5</v>
      </c>
      <c r="N2332" s="700" t="s">
        <v>922</v>
      </c>
      <c r="O2332" s="699" t="s">
        <v>1846</v>
      </c>
      <c r="P2332" s="699">
        <f>C140/1000</f>
        <v>50.3</v>
      </c>
      <c r="Q2332" s="702" t="s">
        <v>922</v>
      </c>
      <c r="R2332" s="699">
        <f>P2332*M2332</f>
        <v>25.15</v>
      </c>
    </row>
    <row r="2333" spans="6:18" ht="24" customHeight="1">
      <c r="G2333" s="702" t="s">
        <v>450</v>
      </c>
      <c r="H2333" s="699" t="s">
        <v>2044</v>
      </c>
      <c r="I2333" s="699">
        <f>SUM(K2331:K2332)*10/100</f>
        <v>76.3</v>
      </c>
      <c r="J2333" s="702" t="s">
        <v>450</v>
      </c>
      <c r="K2333" s="699">
        <f>I2333</f>
        <v>76.3</v>
      </c>
      <c r="M2333" s="699">
        <v>0.5</v>
      </c>
      <c r="N2333" s="700" t="s">
        <v>564</v>
      </c>
      <c r="O2333" s="699" t="s">
        <v>659</v>
      </c>
      <c r="P2333" s="699">
        <f>C15</f>
        <v>760</v>
      </c>
      <c r="Q2333" s="702" t="s">
        <v>922</v>
      </c>
      <c r="R2333" s="699">
        <f>P2333*M2333</f>
        <v>380</v>
      </c>
    </row>
    <row r="2334" spans="6:18" ht="24" customHeight="1">
      <c r="H2334" s="699" t="s">
        <v>2049</v>
      </c>
      <c r="K2334" s="699">
        <f>SUM(K2331:K2333)</f>
        <v>839.3</v>
      </c>
      <c r="M2334" s="699">
        <v>0.5</v>
      </c>
      <c r="N2334" s="700" t="s">
        <v>564</v>
      </c>
      <c r="O2334" s="699" t="s">
        <v>660</v>
      </c>
      <c r="P2334" s="699">
        <f>C10</f>
        <v>562</v>
      </c>
      <c r="Q2334" s="702" t="s">
        <v>922</v>
      </c>
      <c r="R2334" s="699">
        <f>P2334*M2334</f>
        <v>281</v>
      </c>
    </row>
    <row r="2335" spans="6:18" ht="24" customHeight="1">
      <c r="H2335" s="699" t="s">
        <v>1006</v>
      </c>
      <c r="K2335" s="758">
        <f>K2334/2.44</f>
        <v>343.98</v>
      </c>
      <c r="N2335" s="700"/>
      <c r="O2335" s="699" t="s">
        <v>41</v>
      </c>
      <c r="Q2335" s="702"/>
      <c r="R2335" s="699">
        <f>SUM(R2331:R2334)</f>
        <v>3066.65</v>
      </c>
    </row>
    <row r="2336" spans="6:18" ht="24" customHeight="1">
      <c r="K2336" s="699">
        <v>0</v>
      </c>
      <c r="O2336" s="758" t="s">
        <v>1755</v>
      </c>
      <c r="Q2336" s="702"/>
      <c r="R2336" s="758">
        <f>R2335/15</f>
        <v>204.44</v>
      </c>
    </row>
    <row r="2337" spans="4:18" ht="24" customHeight="1">
      <c r="H2337" s="758" t="s">
        <v>950</v>
      </c>
    </row>
    <row r="2338" spans="4:18" ht="24" customHeight="1">
      <c r="F2338" s="703">
        <v>7.0999999999999994E-2</v>
      </c>
      <c r="G2338" s="700" t="s">
        <v>367</v>
      </c>
      <c r="H2338" s="699" t="s">
        <v>951</v>
      </c>
      <c r="I2338" s="699">
        <f>Y685</f>
        <v>7719.51</v>
      </c>
      <c r="J2338" s="702" t="s">
        <v>368</v>
      </c>
      <c r="K2338" s="699">
        <f>I2338*F2338</f>
        <v>548.09</v>
      </c>
    </row>
    <row r="2339" spans="4:18" ht="24" customHeight="1">
      <c r="F2339" s="699">
        <v>1</v>
      </c>
      <c r="G2339" s="700" t="s">
        <v>2221</v>
      </c>
      <c r="H2339" s="699" t="s">
        <v>924</v>
      </c>
      <c r="I2339" s="699">
        <f>K2335</f>
        <v>343.98</v>
      </c>
      <c r="J2339" s="702" t="s">
        <v>2221</v>
      </c>
      <c r="K2339" s="699">
        <f>I2339*F2339</f>
        <v>343.98</v>
      </c>
    </row>
    <row r="2340" spans="4:18" ht="43.5" customHeight="1">
      <c r="F2340" s="699" t="s">
        <v>987</v>
      </c>
      <c r="H2340" s="699" t="s">
        <v>369</v>
      </c>
      <c r="K2340" s="758">
        <f>SUM(K2338:K2339)</f>
        <v>892.07</v>
      </c>
      <c r="N2340" s="700"/>
      <c r="O2340" s="1876" t="s">
        <v>1184</v>
      </c>
      <c r="P2340" s="1877"/>
      <c r="Q2340" s="1877"/>
    </row>
    <row r="2341" spans="4:18" ht="51" customHeight="1">
      <c r="M2341" s="699">
        <v>0.47</v>
      </c>
      <c r="N2341" s="700" t="s">
        <v>2176</v>
      </c>
      <c r="O2341" s="699" t="s">
        <v>357</v>
      </c>
      <c r="P2341" s="699">
        <f>K87</f>
        <v>193.2</v>
      </c>
      <c r="Q2341" s="702" t="s">
        <v>1418</v>
      </c>
      <c r="R2341" s="699">
        <f>P2341*M2341</f>
        <v>90.8</v>
      </c>
    </row>
    <row r="2342" spans="4:18" ht="24" customHeight="1">
      <c r="M2342" s="699">
        <v>2</v>
      </c>
      <c r="O2342" s="699" t="s">
        <v>5289</v>
      </c>
      <c r="R2342" s="699">
        <f>P2342*M2342</f>
        <v>0</v>
      </c>
    </row>
    <row r="2343" spans="4:18" ht="36.75" customHeight="1">
      <c r="H2343" s="979" t="s">
        <v>1352</v>
      </c>
      <c r="K2343" s="703"/>
      <c r="M2343" s="699">
        <v>0.24</v>
      </c>
      <c r="N2343" s="700" t="s">
        <v>2176</v>
      </c>
      <c r="O2343" s="699" t="s">
        <v>1185</v>
      </c>
      <c r="P2343" s="699">
        <f>AC13</f>
        <v>1276.5</v>
      </c>
      <c r="Q2343" s="702" t="s">
        <v>1418</v>
      </c>
      <c r="R2343" s="699">
        <f>P2343*M2343</f>
        <v>306.36</v>
      </c>
    </row>
    <row r="2344" spans="4:18" ht="41.25" customHeight="1">
      <c r="D2344" s="699">
        <f>24/5</f>
        <v>4.8</v>
      </c>
      <c r="F2344" s="699">
        <v>98.5</v>
      </c>
      <c r="G2344" s="700" t="s">
        <v>1796</v>
      </c>
      <c r="H2344" s="980" t="s">
        <v>5092</v>
      </c>
      <c r="I2344" s="981">
        <f>25.2/5</f>
        <v>5.04</v>
      </c>
      <c r="J2344" s="702" t="s">
        <v>1796</v>
      </c>
      <c r="K2344" s="699">
        <f>I2344*F2344</f>
        <v>496.44</v>
      </c>
      <c r="M2344" s="699">
        <v>0.79</v>
      </c>
      <c r="N2344" s="702" t="s">
        <v>2308</v>
      </c>
      <c r="O2344" s="811" t="s">
        <v>4098</v>
      </c>
      <c r="P2344" s="699">
        <f>AD556</f>
        <v>1438.96</v>
      </c>
      <c r="Q2344" s="702" t="s">
        <v>450</v>
      </c>
      <c r="R2344" s="699">
        <f>P2344*M2344</f>
        <v>1136.78</v>
      </c>
    </row>
    <row r="2345" spans="4:18" ht="24" customHeight="1">
      <c r="F2345" s="699">
        <v>0.3</v>
      </c>
      <c r="G2345" s="700" t="s">
        <v>1796</v>
      </c>
      <c r="H2345" s="699" t="s">
        <v>274</v>
      </c>
      <c r="I2345" s="699">
        <f>C14</f>
        <v>842</v>
      </c>
      <c r="J2345" s="702" t="s">
        <v>1418</v>
      </c>
      <c r="K2345" s="699">
        <f>I2345*F2345</f>
        <v>252.6</v>
      </c>
      <c r="M2345" s="699">
        <v>0.24</v>
      </c>
      <c r="N2345" s="700" t="s">
        <v>2176</v>
      </c>
      <c r="O2345" s="699" t="s">
        <v>5370</v>
      </c>
      <c r="P2345" s="699">
        <f>I137</f>
        <v>1511.1</v>
      </c>
      <c r="Q2345" s="702"/>
      <c r="R2345" s="699">
        <f>P2345*M2345</f>
        <v>362.66</v>
      </c>
    </row>
    <row r="2346" spans="4:18" ht="24" customHeight="1">
      <c r="F2346" s="699">
        <v>0.3</v>
      </c>
      <c r="G2346" s="699" t="s">
        <v>1796</v>
      </c>
      <c r="H2346" s="699" t="s">
        <v>660</v>
      </c>
      <c r="I2346" s="699">
        <f>C10</f>
        <v>562</v>
      </c>
      <c r="J2346" s="702" t="s">
        <v>1418</v>
      </c>
      <c r="K2346" s="699">
        <f>I2346*F2346</f>
        <v>168.6</v>
      </c>
      <c r="N2346" s="700"/>
      <c r="O2346" s="699" t="s">
        <v>2296</v>
      </c>
      <c r="Q2346" s="702"/>
      <c r="R2346" s="699" t="s">
        <v>1329</v>
      </c>
    </row>
    <row r="2347" spans="4:18" ht="24" customHeight="1">
      <c r="H2347" s="699" t="s">
        <v>15</v>
      </c>
      <c r="K2347" s="699">
        <v>0.9</v>
      </c>
      <c r="R2347" s="758">
        <f>SUM(R2341:R2345)</f>
        <v>1896.6</v>
      </c>
    </row>
    <row r="2348" spans="4:18" ht="24" customHeight="1">
      <c r="H2348" s="758" t="s">
        <v>3597</v>
      </c>
      <c r="K2348" s="758">
        <f>SUM(K2344:K2347)</f>
        <v>918.54</v>
      </c>
      <c r="R2348" s="699" t="s">
        <v>4097</v>
      </c>
    </row>
    <row r="2349" spans="4:18" ht="24" customHeight="1">
      <c r="H2349" s="758" t="s">
        <v>3598</v>
      </c>
      <c r="K2349" s="758">
        <f>K2348/10</f>
        <v>91.85</v>
      </c>
      <c r="R2349" s="699">
        <v>0</v>
      </c>
    </row>
    <row r="2350" spans="4:18" ht="24" customHeight="1">
      <c r="H2350" s="758" t="s">
        <v>3599</v>
      </c>
      <c r="K2350" s="758">
        <f>K2349/3</f>
        <v>30.62</v>
      </c>
      <c r="N2350" s="700"/>
      <c r="O2350" s="1876" t="s">
        <v>1330</v>
      </c>
      <c r="P2350" s="1877"/>
      <c r="Q2350" s="1877"/>
    </row>
    <row r="2351" spans="4:18" ht="24" customHeight="1">
      <c r="G2351" s="877" t="s">
        <v>736</v>
      </c>
      <c r="H2351" s="699" t="s">
        <v>732</v>
      </c>
      <c r="I2351" s="758">
        <f>I2353-K2349</f>
        <v>739.38</v>
      </c>
      <c r="K2351" s="758"/>
      <c r="M2351" s="699">
        <v>1</v>
      </c>
      <c r="N2351" s="700" t="s">
        <v>2176</v>
      </c>
      <c r="O2351" s="699" t="s">
        <v>924</v>
      </c>
      <c r="P2351" s="699">
        <f>R2362</f>
        <v>343.98</v>
      </c>
      <c r="Q2351" s="702" t="s">
        <v>1418</v>
      </c>
      <c r="R2351" s="699">
        <f>P2351*M2351</f>
        <v>343.98</v>
      </c>
    </row>
    <row r="2352" spans="4:18" ht="24" customHeight="1">
      <c r="G2352" s="839"/>
      <c r="I2352" s="758"/>
      <c r="K2352" s="758"/>
      <c r="M2352" s="703">
        <v>7.0999999999999994E-2</v>
      </c>
      <c r="N2352" s="700" t="s">
        <v>2176</v>
      </c>
      <c r="O2352" s="699" t="s">
        <v>1185</v>
      </c>
      <c r="P2352" s="699">
        <f>P2343</f>
        <v>1276.5</v>
      </c>
      <c r="Q2352" s="702" t="s">
        <v>1418</v>
      </c>
      <c r="R2352" s="699">
        <f>P2352*M2352</f>
        <v>90.63</v>
      </c>
    </row>
    <row r="2353" spans="6:18" ht="24" customHeight="1">
      <c r="G2353" s="877" t="s">
        <v>522</v>
      </c>
      <c r="H2353" s="699" t="s">
        <v>733</v>
      </c>
      <c r="I2353" s="758">
        <f>K767</f>
        <v>831.23</v>
      </c>
      <c r="K2353" s="758"/>
      <c r="R2353" s="699" t="s">
        <v>1329</v>
      </c>
    </row>
    <row r="2354" spans="6:18" ht="24" customHeight="1">
      <c r="G2354" s="839"/>
      <c r="I2354" s="758"/>
      <c r="K2354" s="758"/>
      <c r="N2354" s="702"/>
      <c r="Q2354" s="702"/>
      <c r="R2354" s="758">
        <f>SUM(R2351:R2352)</f>
        <v>434.61</v>
      </c>
    </row>
    <row r="2355" spans="6:18" ht="24" customHeight="1">
      <c r="G2355" s="982" t="s">
        <v>317</v>
      </c>
      <c r="H2355" s="812" t="s">
        <v>734</v>
      </c>
      <c r="I2355" s="758">
        <f>I2353*1.2</f>
        <v>997.48</v>
      </c>
      <c r="K2355" s="758"/>
      <c r="N2355" s="700"/>
      <c r="Q2355" s="702"/>
      <c r="R2355" s="699" t="s">
        <v>1329</v>
      </c>
    </row>
    <row r="2356" spans="6:18" ht="24" customHeight="1">
      <c r="G2356" s="877"/>
      <c r="K2356" s="758"/>
      <c r="M2356" s="699">
        <v>0.25</v>
      </c>
      <c r="N2356" s="700" t="s">
        <v>1414</v>
      </c>
      <c r="O2356" s="699" t="s">
        <v>1331</v>
      </c>
      <c r="P2356" s="699">
        <f>AE8</f>
        <v>804</v>
      </c>
      <c r="Q2356" s="702"/>
      <c r="R2356" s="699">
        <f>P2356*M2356</f>
        <v>201</v>
      </c>
    </row>
    <row r="2357" spans="6:18" ht="24" customHeight="1">
      <c r="G2357" s="877" t="s">
        <v>737</v>
      </c>
      <c r="H2357" s="699" t="s">
        <v>735</v>
      </c>
      <c r="I2357" s="758">
        <f>I2353*1.1</f>
        <v>914.35</v>
      </c>
      <c r="K2357" s="758"/>
      <c r="M2357" s="699">
        <v>1</v>
      </c>
      <c r="N2357" s="700" t="s">
        <v>1414</v>
      </c>
      <c r="O2357" s="699" t="s">
        <v>1332</v>
      </c>
      <c r="P2357" s="699">
        <f>AE9</f>
        <v>562</v>
      </c>
      <c r="R2357" s="699">
        <f>P2357*M2357</f>
        <v>562</v>
      </c>
    </row>
    <row r="2358" spans="6:18" ht="42" customHeight="1">
      <c r="K2358" s="758"/>
      <c r="M2358" s="699">
        <v>1</v>
      </c>
      <c r="N2358" s="699" t="s">
        <v>1414</v>
      </c>
      <c r="O2358" s="933" t="s">
        <v>1333</v>
      </c>
      <c r="P2358" s="699" t="s">
        <v>663</v>
      </c>
      <c r="R2358" s="699">
        <f>(R2356+R2357)*10%</f>
        <v>76.3</v>
      </c>
    </row>
    <row r="2359" spans="6:18" ht="24" customHeight="1">
      <c r="R2359" s="699" t="s">
        <v>1329</v>
      </c>
    </row>
    <row r="2360" spans="6:18" ht="24" customHeight="1">
      <c r="H2360" s="758" t="s">
        <v>2216</v>
      </c>
      <c r="R2360" s="758">
        <f>SUM(R2356:R2358)</f>
        <v>839.3</v>
      </c>
    </row>
    <row r="2361" spans="6:18" ht="24" customHeight="1">
      <c r="F2361" s="699">
        <v>11.5</v>
      </c>
      <c r="G2361" s="700" t="s">
        <v>2308</v>
      </c>
      <c r="H2361" s="802" t="s">
        <v>5093</v>
      </c>
      <c r="I2361" s="735">
        <v>168.5</v>
      </c>
      <c r="J2361" s="702" t="s">
        <v>2308</v>
      </c>
      <c r="K2361" s="699">
        <f t="shared" ref="K2361:K2366" si="251">F2361*I2361</f>
        <v>1937.75</v>
      </c>
      <c r="R2361" s="699" t="s">
        <v>1329</v>
      </c>
    </row>
    <row r="2362" spans="6:18" ht="24" customHeight="1">
      <c r="F2362" s="699">
        <v>2</v>
      </c>
      <c r="G2362" s="700" t="s">
        <v>1990</v>
      </c>
      <c r="H2362" s="802" t="s">
        <v>5094</v>
      </c>
      <c r="I2362" s="735">
        <v>194.5</v>
      </c>
      <c r="J2362" s="702" t="s">
        <v>1991</v>
      </c>
      <c r="K2362" s="699">
        <f t="shared" si="251"/>
        <v>389</v>
      </c>
      <c r="R2362" s="699">
        <f>R2360/2.44</f>
        <v>343.98</v>
      </c>
    </row>
    <row r="2363" spans="6:18" ht="24" customHeight="1">
      <c r="F2363" s="699">
        <v>20</v>
      </c>
      <c r="G2363" s="700" t="s">
        <v>147</v>
      </c>
      <c r="H2363" s="983" t="s">
        <v>5095</v>
      </c>
      <c r="I2363" s="735">
        <v>3.88</v>
      </c>
      <c r="J2363" s="702" t="s">
        <v>147</v>
      </c>
      <c r="K2363" s="699">
        <f t="shared" si="251"/>
        <v>77.599999999999994</v>
      </c>
    </row>
    <row r="2364" spans="6:18" ht="24" customHeight="1">
      <c r="F2364" s="699">
        <v>2.2000000000000002</v>
      </c>
      <c r="G2364" s="700" t="s">
        <v>1414</v>
      </c>
      <c r="H2364" s="699" t="s">
        <v>977</v>
      </c>
      <c r="I2364" s="699">
        <f>AE16</f>
        <v>739</v>
      </c>
      <c r="J2364" s="702" t="s">
        <v>1418</v>
      </c>
      <c r="K2364" s="699">
        <f t="shared" si="251"/>
        <v>1625.8</v>
      </c>
    </row>
    <row r="2365" spans="6:18" ht="24" customHeight="1">
      <c r="F2365" s="699">
        <v>1.1000000000000001</v>
      </c>
      <c r="G2365" s="700" t="s">
        <v>1414</v>
      </c>
      <c r="H2365" s="699" t="s">
        <v>145</v>
      </c>
      <c r="I2365" s="699">
        <f>C14</f>
        <v>842</v>
      </c>
      <c r="J2365" s="702" t="s">
        <v>1418</v>
      </c>
      <c r="K2365" s="699">
        <f t="shared" si="251"/>
        <v>926.2</v>
      </c>
    </row>
    <row r="2366" spans="6:18" ht="24" customHeight="1">
      <c r="F2366" s="699">
        <v>3.2</v>
      </c>
      <c r="G2366" s="700" t="s">
        <v>1414</v>
      </c>
      <c r="H2366" s="699" t="s">
        <v>146</v>
      </c>
      <c r="I2366" s="699">
        <f>C10</f>
        <v>562</v>
      </c>
      <c r="J2366" s="702" t="s">
        <v>1418</v>
      </c>
      <c r="K2366" s="699">
        <f t="shared" si="251"/>
        <v>1798.4</v>
      </c>
      <c r="O2366" s="704"/>
    </row>
    <row r="2367" spans="6:18" ht="24" customHeight="1">
      <c r="H2367" s="699" t="s">
        <v>1480</v>
      </c>
      <c r="J2367" s="702" t="s">
        <v>450</v>
      </c>
      <c r="K2367" s="699">
        <v>0.5</v>
      </c>
      <c r="N2367" s="700"/>
      <c r="O2367" s="984" t="s">
        <v>2217</v>
      </c>
      <c r="Q2367" s="702"/>
    </row>
    <row r="2368" spans="6:18" ht="24" customHeight="1">
      <c r="K2368" s="747" t="s">
        <v>148</v>
      </c>
      <c r="M2368" s="699">
        <v>11</v>
      </c>
      <c r="N2368" s="700" t="s">
        <v>2308</v>
      </c>
      <c r="O2368" s="699" t="s">
        <v>2951</v>
      </c>
      <c r="P2368" s="734">
        <f>I2361</f>
        <v>168.5</v>
      </c>
      <c r="Q2368" s="702" t="s">
        <v>2308</v>
      </c>
      <c r="R2368" s="699">
        <f>M2368*P2368</f>
        <v>1853.5</v>
      </c>
    </row>
    <row r="2369" spans="6:18" ht="24" customHeight="1">
      <c r="H2369" s="984" t="s">
        <v>1481</v>
      </c>
      <c r="K2369" s="758">
        <f>SUM(K2361:K2368)</f>
        <v>6755.25</v>
      </c>
      <c r="M2369" s="699">
        <v>20</v>
      </c>
      <c r="N2369" s="702" t="s">
        <v>282</v>
      </c>
      <c r="O2369" s="699" t="s">
        <v>803</v>
      </c>
      <c r="P2369" s="734">
        <f>I2363</f>
        <v>3.88</v>
      </c>
      <c r="Q2369" s="702" t="s">
        <v>282</v>
      </c>
      <c r="R2369" s="699">
        <f>M2369*P2369</f>
        <v>77.599999999999994</v>
      </c>
    </row>
    <row r="2370" spans="6:18" ht="24" customHeight="1">
      <c r="K2370" s="747" t="s">
        <v>148</v>
      </c>
      <c r="M2370" s="699">
        <v>2.2000000000000002</v>
      </c>
      <c r="N2370" s="700" t="s">
        <v>1414</v>
      </c>
      <c r="O2370" s="699" t="s">
        <v>977</v>
      </c>
      <c r="P2370" s="699">
        <f>AE16</f>
        <v>739</v>
      </c>
      <c r="Q2370" s="702" t="s">
        <v>1418</v>
      </c>
      <c r="R2370" s="699">
        <f>M2370*P2370</f>
        <v>1625.8</v>
      </c>
    </row>
    <row r="2371" spans="6:18" ht="24" customHeight="1">
      <c r="H2371" s="984" t="s">
        <v>1975</v>
      </c>
      <c r="I2371" s="699" t="s">
        <v>987</v>
      </c>
      <c r="K2371" s="758">
        <f>K2369/10</f>
        <v>675.53</v>
      </c>
      <c r="M2371" s="699">
        <v>1.1000000000000001</v>
      </c>
      <c r="N2371" s="700" t="s">
        <v>1414</v>
      </c>
      <c r="O2371" s="699" t="s">
        <v>145</v>
      </c>
      <c r="P2371" s="699">
        <f>I2365</f>
        <v>842</v>
      </c>
      <c r="Q2371" s="702" t="s">
        <v>1418</v>
      </c>
      <c r="R2371" s="699">
        <f>M2371*P2371</f>
        <v>926.2</v>
      </c>
    </row>
    <row r="2372" spans="6:18" ht="24" customHeight="1">
      <c r="K2372" s="747" t="s">
        <v>148</v>
      </c>
      <c r="M2372" s="699">
        <v>3.2</v>
      </c>
      <c r="N2372" s="700" t="s">
        <v>1414</v>
      </c>
      <c r="O2372" s="699" t="s">
        <v>146</v>
      </c>
      <c r="P2372" s="699">
        <f>I2366</f>
        <v>562</v>
      </c>
      <c r="Q2372" s="702" t="s">
        <v>1418</v>
      </c>
      <c r="R2372" s="699">
        <f>M2372*P2372</f>
        <v>1798.4</v>
      </c>
    </row>
    <row r="2373" spans="6:18" ht="24" customHeight="1">
      <c r="N2373" s="700"/>
      <c r="O2373" s="699" t="s">
        <v>1480</v>
      </c>
      <c r="Q2373" s="702" t="s">
        <v>663</v>
      </c>
      <c r="R2373" s="699">
        <v>0.74</v>
      </c>
    </row>
    <row r="2375" spans="6:18" ht="39" customHeight="1">
      <c r="G2375" s="699"/>
      <c r="H2375" s="985" t="s">
        <v>2051</v>
      </c>
      <c r="N2375" s="700"/>
      <c r="Q2375" s="702"/>
      <c r="R2375" s="747" t="s">
        <v>148</v>
      </c>
    </row>
    <row r="2376" spans="6:18" ht="24" customHeight="1">
      <c r="G2376" s="699"/>
      <c r="N2376" s="700"/>
      <c r="O2376" s="984" t="s">
        <v>1481</v>
      </c>
      <c r="Q2376" s="702"/>
      <c r="R2376" s="758">
        <f>SUM(R2368:R2375)</f>
        <v>6282.24</v>
      </c>
    </row>
    <row r="2377" spans="6:18" ht="24" customHeight="1">
      <c r="F2377" s="699" t="s">
        <v>2052</v>
      </c>
      <c r="G2377" s="699"/>
      <c r="H2377" s="699" t="s">
        <v>2053</v>
      </c>
      <c r="N2377" s="700"/>
      <c r="Q2377" s="702"/>
      <c r="R2377" s="747" t="s">
        <v>148</v>
      </c>
    </row>
    <row r="2378" spans="6:18" ht="24" customHeight="1">
      <c r="G2378" s="699"/>
      <c r="H2378" s="699" t="s">
        <v>352</v>
      </c>
      <c r="N2378" s="700"/>
      <c r="O2378" s="984" t="s">
        <v>1482</v>
      </c>
      <c r="Q2378" s="702"/>
      <c r="R2378" s="758">
        <f>R2376/10</f>
        <v>628.22</v>
      </c>
    </row>
    <row r="2379" spans="6:18" ht="24" customHeight="1">
      <c r="G2379" s="699"/>
      <c r="N2379" s="700"/>
      <c r="Q2379" s="702"/>
      <c r="R2379" s="747" t="s">
        <v>148</v>
      </c>
    </row>
    <row r="2380" spans="6:18" ht="24" customHeight="1">
      <c r="F2380" s="699">
        <v>1.96</v>
      </c>
      <c r="G2380" s="699" t="s">
        <v>2176</v>
      </c>
      <c r="H2380" s="699" t="s">
        <v>353</v>
      </c>
      <c r="I2380" s="699">
        <f>K1710</f>
        <v>5313.38</v>
      </c>
      <c r="J2380" s="697" t="s">
        <v>878</v>
      </c>
      <c r="K2380" s="710">
        <f t="shared" ref="K2380:K2385" si="252">(F2380*I2380)</f>
        <v>10414.219999999999</v>
      </c>
    </row>
    <row r="2381" spans="6:18" ht="24" customHeight="1">
      <c r="F2381" s="699">
        <v>2</v>
      </c>
      <c r="G2381" s="699" t="s">
        <v>1414</v>
      </c>
      <c r="H2381" s="699" t="s">
        <v>354</v>
      </c>
      <c r="I2381" s="699">
        <f>C8</f>
        <v>861</v>
      </c>
      <c r="J2381" s="697" t="s">
        <v>877</v>
      </c>
      <c r="K2381" s="710">
        <f t="shared" si="252"/>
        <v>1722</v>
      </c>
    </row>
    <row r="2382" spans="6:18" ht="24" customHeight="1">
      <c r="F2382" s="699">
        <v>2</v>
      </c>
      <c r="G2382" s="699" t="s">
        <v>1414</v>
      </c>
      <c r="H2382" s="699" t="s">
        <v>355</v>
      </c>
      <c r="I2382" s="699">
        <f>C11</f>
        <v>461</v>
      </c>
      <c r="J2382" s="697" t="s">
        <v>877</v>
      </c>
      <c r="K2382" s="710">
        <f t="shared" si="252"/>
        <v>922</v>
      </c>
      <c r="N2382" s="708" t="s">
        <v>2276</v>
      </c>
      <c r="Q2382" s="702"/>
    </row>
    <row r="2383" spans="6:18" ht="24" customHeight="1">
      <c r="F2383" s="699">
        <v>0.28000000000000003</v>
      </c>
      <c r="G2383" s="699" t="s">
        <v>2308</v>
      </c>
      <c r="H2383" s="699" t="s">
        <v>356</v>
      </c>
      <c r="I2383" s="699">
        <f>I2351</f>
        <v>739.38</v>
      </c>
      <c r="J2383" s="697" t="s">
        <v>877</v>
      </c>
      <c r="K2383" s="710">
        <f t="shared" si="252"/>
        <v>207.03</v>
      </c>
      <c r="N2383" s="700"/>
      <c r="O2383" s="697" t="s">
        <v>5270</v>
      </c>
      <c r="Q2383" s="704"/>
    </row>
    <row r="2384" spans="6:18" ht="24" customHeight="1">
      <c r="F2384" s="699">
        <v>500</v>
      </c>
      <c r="G2384" s="699" t="s">
        <v>1414</v>
      </c>
      <c r="H2384" s="986" t="s">
        <v>2170</v>
      </c>
      <c r="I2384" s="699">
        <v>2</v>
      </c>
      <c r="J2384" s="697" t="s">
        <v>877</v>
      </c>
      <c r="K2384" s="710">
        <f t="shared" si="252"/>
        <v>1000</v>
      </c>
      <c r="N2384" s="700"/>
      <c r="O2384" s="697" t="s">
        <v>3715</v>
      </c>
      <c r="Q2384" s="704"/>
    </row>
    <row r="2385" spans="5:18" ht="24" customHeight="1">
      <c r="F2385" s="699">
        <v>8.5</v>
      </c>
      <c r="G2385" s="699" t="s">
        <v>2171</v>
      </c>
      <c r="H2385" s="987" t="s">
        <v>4330</v>
      </c>
      <c r="I2385" s="803">
        <v>43.6</v>
      </c>
      <c r="J2385" s="702" t="s">
        <v>2171</v>
      </c>
      <c r="K2385" s="710">
        <f t="shared" si="252"/>
        <v>370.6</v>
      </c>
      <c r="N2385" s="700"/>
      <c r="O2385" s="697" t="s">
        <v>3716</v>
      </c>
      <c r="Q2385" s="704"/>
    </row>
    <row r="2386" spans="5:18" ht="24" customHeight="1">
      <c r="G2386" s="699"/>
      <c r="H2386" s="699" t="s">
        <v>2296</v>
      </c>
      <c r="K2386" s="805">
        <v>1.96</v>
      </c>
      <c r="N2386" s="700"/>
      <c r="O2386" s="697" t="s">
        <v>3717</v>
      </c>
      <c r="Q2386" s="704"/>
    </row>
    <row r="2387" spans="5:18" ht="24" customHeight="1">
      <c r="G2387" s="699"/>
      <c r="I2387" s="699" t="s">
        <v>1754</v>
      </c>
      <c r="K2387" s="710">
        <f>SUM(K2380:K2386)</f>
        <v>14637.81</v>
      </c>
      <c r="N2387" s="700"/>
      <c r="O2387" s="705" t="s">
        <v>1609</v>
      </c>
      <c r="P2387" s="705" t="s">
        <v>1609</v>
      </c>
      <c r="Q2387" s="704"/>
      <c r="R2387" s="710"/>
    </row>
    <row r="2388" spans="5:18" ht="24" customHeight="1">
      <c r="G2388" s="699"/>
      <c r="K2388" s="705" t="s">
        <v>1609</v>
      </c>
      <c r="M2388" s="699">
        <v>8</v>
      </c>
      <c r="N2388" s="708" t="s">
        <v>1898</v>
      </c>
      <c r="O2388" s="1165" t="s">
        <v>5374</v>
      </c>
      <c r="P2388" s="817">
        <v>4.0999999999999996</v>
      </c>
      <c r="Q2388" s="698" t="s">
        <v>1418</v>
      </c>
      <c r="R2388" s="710">
        <f>P2388*M2388</f>
        <v>32.799999999999997</v>
      </c>
    </row>
    <row r="2389" spans="5:18" ht="24" customHeight="1">
      <c r="E2389" s="699">
        <f>23+26.65</f>
        <v>49.65</v>
      </c>
      <c r="G2389" s="699"/>
      <c r="I2389" s="699" t="s">
        <v>1755</v>
      </c>
      <c r="K2389" s="709">
        <f>K2387/39.2</f>
        <v>373.41</v>
      </c>
      <c r="M2389" s="699">
        <v>8</v>
      </c>
      <c r="N2389" s="708" t="s">
        <v>1898</v>
      </c>
      <c r="O2389" s="1165" t="s">
        <v>5375</v>
      </c>
      <c r="P2389" s="817">
        <v>3.69</v>
      </c>
      <c r="Q2389" s="698" t="s">
        <v>1418</v>
      </c>
      <c r="R2389" s="710">
        <f>P2389*M2389</f>
        <v>29.52</v>
      </c>
    </row>
    <row r="2390" spans="5:18" ht="24" customHeight="1">
      <c r="E2390" s="699">
        <f>E2389/2</f>
        <v>24.83</v>
      </c>
      <c r="G2390" s="699"/>
      <c r="K2390" s="705" t="s">
        <v>2080</v>
      </c>
      <c r="M2390" s="699">
        <v>8</v>
      </c>
      <c r="N2390" s="708" t="s">
        <v>1898</v>
      </c>
      <c r="O2390" s="1165" t="s">
        <v>5376</v>
      </c>
      <c r="P2390" s="817">
        <v>4.0999999999999996</v>
      </c>
      <c r="Q2390" s="698" t="s">
        <v>1418</v>
      </c>
      <c r="R2390" s="710">
        <f>P2390*M2390</f>
        <v>32.799999999999997</v>
      </c>
    </row>
    <row r="2391" spans="5:18" ht="24" customHeight="1">
      <c r="G2391" s="699"/>
      <c r="M2391" s="699">
        <v>0.75</v>
      </c>
      <c r="N2391" s="708" t="s">
        <v>1670</v>
      </c>
      <c r="O2391" s="697" t="s">
        <v>3718</v>
      </c>
      <c r="P2391" s="737">
        <v>176.4</v>
      </c>
      <c r="Q2391" s="698" t="s">
        <v>1418</v>
      </c>
      <c r="R2391" s="710">
        <f t="shared" ref="R2391:R2396" si="253">(M2391*P2391)</f>
        <v>132.30000000000001</v>
      </c>
    </row>
    <row r="2392" spans="5:18" ht="24" customHeight="1">
      <c r="G2392" s="699"/>
      <c r="M2392" s="699">
        <v>2.25</v>
      </c>
      <c r="N2392" s="708" t="s">
        <v>3719</v>
      </c>
      <c r="O2392" s="1165" t="s">
        <v>5377</v>
      </c>
      <c r="P2392" s="737">
        <v>140.41</v>
      </c>
      <c r="Q2392" s="698" t="s">
        <v>3719</v>
      </c>
      <c r="R2392" s="710">
        <f t="shared" si="253"/>
        <v>315.92</v>
      </c>
    </row>
    <row r="2393" spans="5:18" ht="24" customHeight="1">
      <c r="G2393" s="699"/>
      <c r="H2393" s="758" t="s">
        <v>987</v>
      </c>
      <c r="M2393" s="699">
        <v>4.5</v>
      </c>
      <c r="N2393" s="708" t="s">
        <v>3719</v>
      </c>
      <c r="O2393" s="697" t="s">
        <v>3720</v>
      </c>
      <c r="P2393" s="737">
        <v>65</v>
      </c>
      <c r="Q2393" s="698" t="s">
        <v>3719</v>
      </c>
      <c r="R2393" s="710">
        <f t="shared" si="253"/>
        <v>292.5</v>
      </c>
    </row>
    <row r="2394" spans="5:18" ht="34.5" customHeight="1">
      <c r="F2394" s="699">
        <v>1</v>
      </c>
      <c r="G2394" s="699" t="s">
        <v>1414</v>
      </c>
      <c r="H2394" s="988" t="s">
        <v>5096</v>
      </c>
      <c r="I2394" s="735">
        <v>450</v>
      </c>
      <c r="J2394" s="697" t="s">
        <v>877</v>
      </c>
      <c r="K2394" s="710">
        <f>(F2394*I2394)</f>
        <v>450</v>
      </c>
      <c r="M2394" s="699">
        <v>6</v>
      </c>
      <c r="N2394" s="708" t="s">
        <v>1898</v>
      </c>
      <c r="O2394" s="697" t="s">
        <v>3721</v>
      </c>
      <c r="P2394" s="737">
        <v>8</v>
      </c>
      <c r="Q2394" s="698" t="s">
        <v>1418</v>
      </c>
      <c r="R2394" s="710">
        <f t="shared" si="253"/>
        <v>48</v>
      </c>
    </row>
    <row r="2395" spans="5:18" ht="24" customHeight="1">
      <c r="F2395" s="699">
        <v>0.25</v>
      </c>
      <c r="G2395" s="699" t="s">
        <v>1414</v>
      </c>
      <c r="H2395" s="699" t="s">
        <v>354</v>
      </c>
      <c r="I2395" s="699">
        <f>I2381</f>
        <v>861</v>
      </c>
      <c r="J2395" s="697" t="s">
        <v>877</v>
      </c>
      <c r="K2395" s="710">
        <f>(F2395*I2395)</f>
        <v>215.25</v>
      </c>
      <c r="M2395" s="699">
        <v>6</v>
      </c>
      <c r="N2395" s="708" t="s">
        <v>1898</v>
      </c>
      <c r="O2395" s="697" t="s">
        <v>3722</v>
      </c>
      <c r="P2395" s="737">
        <v>8.61</v>
      </c>
      <c r="Q2395" s="698" t="s">
        <v>1418</v>
      </c>
      <c r="R2395" s="710">
        <f t="shared" si="253"/>
        <v>51.66</v>
      </c>
    </row>
    <row r="2396" spans="5:18" ht="24" customHeight="1">
      <c r="F2396" s="699">
        <v>0.28000000000000003</v>
      </c>
      <c r="G2396" s="699" t="s">
        <v>2308</v>
      </c>
      <c r="H2396" s="699" t="s">
        <v>660</v>
      </c>
      <c r="I2396" s="699">
        <f>C10</f>
        <v>562</v>
      </c>
      <c r="J2396" s="697" t="s">
        <v>877</v>
      </c>
      <c r="K2396" s="710">
        <f>(F2396*I2396)</f>
        <v>157.36000000000001</v>
      </c>
      <c r="M2396" s="699">
        <v>4</v>
      </c>
      <c r="N2396" s="708" t="s">
        <v>1898</v>
      </c>
      <c r="O2396" s="697" t="s">
        <v>3723</v>
      </c>
      <c r="P2396" s="737">
        <v>8.61</v>
      </c>
      <c r="Q2396" s="698" t="s">
        <v>1418</v>
      </c>
      <c r="R2396" s="710">
        <f t="shared" si="253"/>
        <v>34.44</v>
      </c>
    </row>
    <row r="2397" spans="5:18" ht="24" customHeight="1">
      <c r="G2397" s="699"/>
      <c r="H2397" s="986"/>
      <c r="J2397" s="697"/>
      <c r="K2397" s="710"/>
      <c r="M2397" s="699">
        <v>300</v>
      </c>
      <c r="N2397" s="708" t="s">
        <v>3724</v>
      </c>
      <c r="O2397" s="697" t="s">
        <v>3725</v>
      </c>
      <c r="P2397" s="737">
        <v>30</v>
      </c>
      <c r="Q2397" s="698" t="s">
        <v>4338</v>
      </c>
      <c r="R2397" s="710">
        <f>P2397*M2397/100</f>
        <v>90</v>
      </c>
    </row>
    <row r="2398" spans="5:18" ht="24" customHeight="1">
      <c r="G2398" s="699"/>
      <c r="K2398" s="710"/>
      <c r="M2398" s="699">
        <v>300</v>
      </c>
      <c r="N2398" s="708" t="s">
        <v>3724</v>
      </c>
      <c r="O2398" s="697" t="s">
        <v>3726</v>
      </c>
      <c r="P2398" s="737">
        <v>44.99</v>
      </c>
      <c r="Q2398" s="698" t="s">
        <v>4339</v>
      </c>
      <c r="R2398" s="710">
        <f>P2398*M2398/500</f>
        <v>26.99</v>
      </c>
    </row>
    <row r="2399" spans="5:18" ht="24" customHeight="1">
      <c r="G2399" s="699"/>
      <c r="K2399" s="989" t="s">
        <v>148</v>
      </c>
      <c r="M2399" s="699">
        <v>1.5</v>
      </c>
      <c r="N2399" s="708" t="s">
        <v>1670</v>
      </c>
      <c r="O2399" s="697" t="s">
        <v>3727</v>
      </c>
      <c r="P2399" s="737">
        <v>20.95</v>
      </c>
      <c r="Q2399" s="698" t="s">
        <v>1670</v>
      </c>
      <c r="R2399" s="710">
        <f>P2399*M2399</f>
        <v>31.43</v>
      </c>
    </row>
    <row r="2400" spans="5:18" ht="24" customHeight="1">
      <c r="G2400" s="699"/>
      <c r="K2400" s="709">
        <f>SUM(K2394:K2399)</f>
        <v>822.61</v>
      </c>
      <c r="M2400" s="699">
        <v>2.25</v>
      </c>
      <c r="N2400" s="708" t="s">
        <v>3719</v>
      </c>
      <c r="O2400" s="697" t="s">
        <v>4383</v>
      </c>
      <c r="P2400" s="737">
        <v>212.41</v>
      </c>
      <c r="Q2400" s="698" t="s">
        <v>3719</v>
      </c>
      <c r="R2400" s="710">
        <f>(M2400*P2400)</f>
        <v>477.92</v>
      </c>
    </row>
    <row r="2401" spans="6:18" ht="24" customHeight="1">
      <c r="G2401" s="699"/>
      <c r="K2401" s="989" t="s">
        <v>148</v>
      </c>
      <c r="M2401" s="699">
        <v>0.75</v>
      </c>
      <c r="N2401" s="708" t="s">
        <v>3719</v>
      </c>
      <c r="O2401" s="697" t="s">
        <v>3728</v>
      </c>
      <c r="P2401" s="737">
        <v>205.21</v>
      </c>
      <c r="Q2401" s="698" t="s">
        <v>3719</v>
      </c>
      <c r="R2401" s="710">
        <f>(M2401*P2401)</f>
        <v>153.91</v>
      </c>
    </row>
    <row r="2402" spans="6:18" ht="24" customHeight="1">
      <c r="G2402" s="699"/>
      <c r="K2402" s="710"/>
      <c r="M2402" s="699">
        <v>2.25</v>
      </c>
      <c r="N2402" s="708" t="s">
        <v>3719</v>
      </c>
      <c r="O2402" s="697" t="s">
        <v>3729</v>
      </c>
      <c r="P2402" s="737">
        <v>185.21</v>
      </c>
      <c r="Q2402" s="698" t="s">
        <v>3719</v>
      </c>
      <c r="R2402" s="710">
        <f>(M2402*P2402)</f>
        <v>416.72</v>
      </c>
    </row>
    <row r="2403" spans="6:18" ht="24" customHeight="1">
      <c r="G2403" s="699"/>
      <c r="M2403" s="699">
        <v>500</v>
      </c>
      <c r="N2403" s="708" t="s">
        <v>3724</v>
      </c>
      <c r="O2403" s="697" t="s">
        <v>3730</v>
      </c>
      <c r="P2403" s="737">
        <v>52.25</v>
      </c>
      <c r="Q2403" s="698" t="s">
        <v>1670</v>
      </c>
      <c r="R2403" s="710">
        <f>(M2403*P2403)/1000</f>
        <v>26.13</v>
      </c>
    </row>
    <row r="2404" spans="6:18" ht="24" customHeight="1">
      <c r="G2404" s="699"/>
      <c r="H2404" s="758" t="s">
        <v>2148</v>
      </c>
      <c r="M2404" s="699">
        <v>1</v>
      </c>
      <c r="N2404" s="708" t="s">
        <v>1898</v>
      </c>
      <c r="O2404" s="697" t="s">
        <v>3731</v>
      </c>
      <c r="P2404" s="737">
        <v>131.21</v>
      </c>
      <c r="Q2404" s="704" t="s">
        <v>4340</v>
      </c>
      <c r="R2404" s="710">
        <f>P2404/1</f>
        <v>131.21</v>
      </c>
    </row>
    <row r="2405" spans="6:18" ht="24" customHeight="1">
      <c r="F2405" s="699">
        <v>1</v>
      </c>
      <c r="G2405" s="699" t="s">
        <v>1414</v>
      </c>
      <c r="H2405" s="802" t="s">
        <v>4374</v>
      </c>
      <c r="I2405" s="699">
        <f>C616</f>
        <v>931</v>
      </c>
      <c r="J2405" s="697" t="s">
        <v>877</v>
      </c>
      <c r="K2405" s="710">
        <f>(F2405*I2405)</f>
        <v>931</v>
      </c>
      <c r="M2405" s="699">
        <v>1</v>
      </c>
      <c r="N2405" s="708" t="s">
        <v>1898</v>
      </c>
      <c r="O2405" s="697" t="s">
        <v>3732</v>
      </c>
      <c r="P2405" s="737">
        <v>12.3</v>
      </c>
      <c r="Q2405" s="704" t="s">
        <v>4340</v>
      </c>
      <c r="R2405" s="710">
        <f>P2405/1</f>
        <v>12.3</v>
      </c>
    </row>
    <row r="2406" spans="6:18" ht="24" customHeight="1">
      <c r="F2406" s="699">
        <v>0.5</v>
      </c>
      <c r="G2406" s="699" t="s">
        <v>1414</v>
      </c>
      <c r="H2406" s="699" t="s">
        <v>2087</v>
      </c>
      <c r="I2406" s="699">
        <f>C13</f>
        <v>747</v>
      </c>
      <c r="J2406" s="697" t="s">
        <v>877</v>
      </c>
      <c r="K2406" s="710">
        <f>(F2406*I2406)</f>
        <v>373.5</v>
      </c>
      <c r="M2406" s="699">
        <v>4</v>
      </c>
      <c r="N2406" s="708" t="s">
        <v>1898</v>
      </c>
      <c r="O2406" s="769" t="s">
        <v>3733</v>
      </c>
      <c r="P2406" s="710">
        <f>AE11</f>
        <v>688</v>
      </c>
      <c r="Q2406" s="698" t="s">
        <v>1418</v>
      </c>
      <c r="R2406" s="710">
        <f>(M2406*P2406)</f>
        <v>2752</v>
      </c>
    </row>
    <row r="2407" spans="6:18" ht="24" customHeight="1">
      <c r="F2407" s="699">
        <v>0.5</v>
      </c>
      <c r="G2407" s="699" t="s">
        <v>1414</v>
      </c>
      <c r="H2407" s="699" t="s">
        <v>354</v>
      </c>
      <c r="I2407" s="699">
        <f>I2395</f>
        <v>861</v>
      </c>
      <c r="J2407" s="697" t="s">
        <v>877</v>
      </c>
      <c r="K2407" s="710">
        <f>(F2407*I2407)</f>
        <v>430.5</v>
      </c>
      <c r="M2407" s="699">
        <v>2</v>
      </c>
      <c r="N2407" s="708" t="s">
        <v>1898</v>
      </c>
      <c r="O2407" s="769" t="s">
        <v>3734</v>
      </c>
      <c r="P2407" s="710">
        <f>AE12</f>
        <v>666</v>
      </c>
      <c r="Q2407" s="698" t="s">
        <v>1418</v>
      </c>
      <c r="R2407" s="710">
        <f>(M2407*P2407)</f>
        <v>1332</v>
      </c>
    </row>
    <row r="2408" spans="6:18" ht="24" customHeight="1">
      <c r="F2408" s="699">
        <v>0.5</v>
      </c>
      <c r="G2408" s="699" t="s">
        <v>2308</v>
      </c>
      <c r="H2408" s="699" t="s">
        <v>660</v>
      </c>
      <c r="I2408" s="699">
        <f>I2396</f>
        <v>562</v>
      </c>
      <c r="J2408" s="697" t="s">
        <v>877</v>
      </c>
      <c r="K2408" s="710">
        <f>(F2408*I2408)</f>
        <v>281</v>
      </c>
      <c r="M2408" s="699">
        <v>2</v>
      </c>
      <c r="N2408" s="708" t="s">
        <v>1898</v>
      </c>
      <c r="O2408" s="769" t="s">
        <v>3735</v>
      </c>
      <c r="P2408" s="710">
        <f>AE10</f>
        <v>461</v>
      </c>
      <c r="Q2408" s="698" t="s">
        <v>1418</v>
      </c>
      <c r="R2408" s="710">
        <f>(M2408*P2408)</f>
        <v>922</v>
      </c>
    </row>
    <row r="2409" spans="6:18" ht="24" customHeight="1">
      <c r="G2409" s="699"/>
      <c r="H2409" s="699" t="s">
        <v>308</v>
      </c>
      <c r="J2409" s="698" t="s">
        <v>69</v>
      </c>
      <c r="K2409" s="710">
        <v>0.25</v>
      </c>
      <c r="N2409" s="708"/>
      <c r="O2409" s="697" t="s">
        <v>3736</v>
      </c>
      <c r="P2409" s="710"/>
      <c r="Q2409" s="698"/>
      <c r="R2409" s="710">
        <v>20</v>
      </c>
    </row>
    <row r="2410" spans="6:18" ht="24" customHeight="1">
      <c r="G2410" s="699"/>
      <c r="K2410" s="710"/>
      <c r="N2410" s="700"/>
      <c r="P2410" s="710"/>
      <c r="Q2410" s="702"/>
      <c r="R2410" s="747" t="s">
        <v>3737</v>
      </c>
    </row>
    <row r="2411" spans="6:18" ht="24" customHeight="1">
      <c r="G2411" s="699"/>
      <c r="K2411" s="989" t="s">
        <v>148</v>
      </c>
      <c r="N2411" s="700"/>
      <c r="O2411" s="697" t="s">
        <v>5271</v>
      </c>
      <c r="Q2411" s="702"/>
      <c r="R2411" s="699">
        <f>SUM(R2388:R2410)</f>
        <v>7362.55</v>
      </c>
    </row>
    <row r="2412" spans="6:18" ht="26.25" customHeight="1">
      <c r="G2412" s="699"/>
      <c r="K2412" s="709">
        <f>SUM(K2405:K2411)</f>
        <v>2016.25</v>
      </c>
      <c r="N2412" s="700"/>
      <c r="O2412" s="758"/>
      <c r="P2412" s="758"/>
      <c r="Q2412" s="759"/>
      <c r="R2412" s="705" t="s">
        <v>2080</v>
      </c>
    </row>
    <row r="2413" spans="6:18" ht="24" customHeight="1">
      <c r="G2413" s="699"/>
      <c r="K2413" s="989" t="s">
        <v>148</v>
      </c>
      <c r="N2413" s="700"/>
      <c r="O2413" s="758" t="s">
        <v>3282</v>
      </c>
      <c r="P2413" s="758"/>
      <c r="Q2413" s="759"/>
      <c r="R2413" s="707">
        <f>R2411/5.67</f>
        <v>1298.51</v>
      </c>
    </row>
    <row r="2414" spans="6:18" ht="32.25" customHeight="1">
      <c r="G2414" s="699"/>
      <c r="K2414" s="698"/>
    </row>
    <row r="2415" spans="6:18" ht="24" customHeight="1">
      <c r="G2415" s="699"/>
      <c r="K2415" s="698"/>
    </row>
    <row r="2416" spans="6:18" ht="24" customHeight="1">
      <c r="G2416" s="699"/>
      <c r="K2416" s="698"/>
    </row>
    <row r="2417" spans="6:18" ht="24" customHeight="1">
      <c r="F2417" s="698" t="s">
        <v>945</v>
      </c>
      <c r="G2417" s="698"/>
      <c r="H2417" s="1863" t="s">
        <v>344</v>
      </c>
      <c r="I2417" s="1863"/>
      <c r="J2417" s="1863"/>
      <c r="K2417" s="1863"/>
    </row>
    <row r="2418" spans="6:18" ht="24" customHeight="1">
      <c r="F2418" s="698"/>
      <c r="G2418" s="698"/>
      <c r="H2418" s="698"/>
      <c r="I2418" s="698"/>
    </row>
    <row r="2419" spans="6:18" ht="24" customHeight="1">
      <c r="F2419" s="710">
        <v>10.5</v>
      </c>
      <c r="G2419" s="708" t="s">
        <v>2308</v>
      </c>
      <c r="H2419" s="1862" t="s">
        <v>5097</v>
      </c>
      <c r="I2419" s="724">
        <v>315</v>
      </c>
      <c r="J2419" s="697" t="s">
        <v>2308</v>
      </c>
      <c r="K2419" s="710">
        <f>(F2419*I2419)</f>
        <v>3307.5</v>
      </c>
    </row>
    <row r="2420" spans="6:18" ht="24" customHeight="1">
      <c r="H2420" s="1862"/>
      <c r="I2420" s="697" t="s">
        <v>987</v>
      </c>
      <c r="K2420" s="697" t="s">
        <v>987</v>
      </c>
    </row>
    <row r="2421" spans="6:18" ht="24" customHeight="1">
      <c r="F2421" s="710">
        <v>0.22</v>
      </c>
      <c r="G2421" s="708" t="s">
        <v>878</v>
      </c>
      <c r="H2421" s="697" t="s">
        <v>1901</v>
      </c>
      <c r="I2421" s="710">
        <f>K30</f>
        <v>4471.8999999999996</v>
      </c>
      <c r="J2421" s="697" t="s">
        <v>878</v>
      </c>
      <c r="K2421" s="710">
        <f>(F2421*I2421)</f>
        <v>983.82</v>
      </c>
    </row>
    <row r="2422" spans="6:18" ht="24" customHeight="1">
      <c r="F2422" s="710">
        <v>64</v>
      </c>
      <c r="G2422" s="708" t="s">
        <v>1670</v>
      </c>
      <c r="H2422" s="697" t="s">
        <v>345</v>
      </c>
      <c r="I2422" s="710">
        <f>C64</f>
        <v>5960</v>
      </c>
      <c r="J2422" s="697" t="s">
        <v>346</v>
      </c>
      <c r="K2422" s="710">
        <f>I2422*F2422/1000</f>
        <v>381.44</v>
      </c>
    </row>
    <row r="2423" spans="6:18" ht="24" customHeight="1">
      <c r="F2423" s="710">
        <v>4.5</v>
      </c>
      <c r="G2423" s="708" t="s">
        <v>1670</v>
      </c>
      <c r="H2423" s="990" t="s">
        <v>4375</v>
      </c>
      <c r="I2423" s="710">
        <f>C605</f>
        <v>24.7</v>
      </c>
      <c r="J2423" s="697" t="s">
        <v>1670</v>
      </c>
      <c r="K2423" s="710">
        <f>F2423*I2423</f>
        <v>111.15</v>
      </c>
    </row>
    <row r="2424" spans="6:18" ht="24" customHeight="1">
      <c r="F2424" s="710">
        <v>5.4</v>
      </c>
      <c r="G2424" s="708" t="s">
        <v>778</v>
      </c>
      <c r="H2424" s="697" t="s">
        <v>347</v>
      </c>
      <c r="I2424" s="710">
        <f>C9</f>
        <v>804</v>
      </c>
      <c r="J2424" s="697" t="s">
        <v>778</v>
      </c>
      <c r="K2424" s="710">
        <f>(F2424*I2424)</f>
        <v>4341.6000000000004</v>
      </c>
      <c r="M2424" s="698" t="s">
        <v>945</v>
      </c>
      <c r="N2424" s="698"/>
      <c r="O2424" s="1867" t="s">
        <v>2836</v>
      </c>
      <c r="P2424" s="1867"/>
      <c r="Q2424" s="1867"/>
      <c r="R2424" s="1867"/>
    </row>
    <row r="2425" spans="6:18" ht="24" customHeight="1">
      <c r="F2425" s="710">
        <v>2.16</v>
      </c>
      <c r="G2425" s="708" t="s">
        <v>778</v>
      </c>
      <c r="H2425" s="697" t="s">
        <v>348</v>
      </c>
      <c r="I2425" s="710">
        <f>C10</f>
        <v>562</v>
      </c>
      <c r="J2425" s="697" t="s">
        <v>778</v>
      </c>
      <c r="K2425" s="710">
        <f>(F2425*I2425)</f>
        <v>1213.92</v>
      </c>
      <c r="M2425" s="698"/>
      <c r="N2425" s="698"/>
      <c r="O2425" s="698"/>
      <c r="P2425" s="698"/>
      <c r="Q2425" s="702"/>
    </row>
    <row r="2426" spans="6:18" ht="24" customHeight="1">
      <c r="F2426" s="710">
        <v>6.5</v>
      </c>
      <c r="G2426" s="708" t="s">
        <v>778</v>
      </c>
      <c r="H2426" s="697" t="s">
        <v>1241</v>
      </c>
      <c r="I2426" s="710">
        <f>C11</f>
        <v>461</v>
      </c>
      <c r="J2426" s="697" t="s">
        <v>778</v>
      </c>
      <c r="K2426" s="710">
        <f>(F2426*I2426)</f>
        <v>2996.5</v>
      </c>
      <c r="M2426" s="710">
        <v>10.5</v>
      </c>
      <c r="N2426" s="708" t="s">
        <v>2308</v>
      </c>
      <c r="O2426" s="1868" t="s">
        <v>5141</v>
      </c>
      <c r="P2426" s="718">
        <v>480</v>
      </c>
      <c r="Q2426" s="697" t="s">
        <v>2308</v>
      </c>
      <c r="R2426" s="710">
        <f>(M2426*P2426)</f>
        <v>5040</v>
      </c>
    </row>
    <row r="2427" spans="6:18" ht="24" customHeight="1">
      <c r="F2427" s="710"/>
      <c r="G2427" s="708"/>
      <c r="H2427" s="697"/>
      <c r="I2427" s="710"/>
      <c r="J2427" s="697" t="s">
        <v>778</v>
      </c>
      <c r="K2427" s="710">
        <v>0</v>
      </c>
      <c r="N2427" s="700"/>
      <c r="O2427" s="1868"/>
      <c r="P2427" s="697" t="s">
        <v>987</v>
      </c>
      <c r="Q2427" s="702"/>
      <c r="R2427" s="697" t="s">
        <v>987</v>
      </c>
    </row>
    <row r="2428" spans="6:18" ht="24" customHeight="1">
      <c r="F2428" s="740"/>
      <c r="G2428" s="708"/>
      <c r="I2428" s="710"/>
      <c r="J2428" s="697"/>
      <c r="K2428" s="710"/>
      <c r="M2428" s="710">
        <v>0.22</v>
      </c>
      <c r="N2428" s="708" t="s">
        <v>878</v>
      </c>
      <c r="O2428" s="697" t="s">
        <v>1901</v>
      </c>
      <c r="P2428" s="710">
        <f t="shared" ref="P2428:P2433" si="254">I2421</f>
        <v>4471.8999999999996</v>
      </c>
      <c r="Q2428" s="697" t="s">
        <v>878</v>
      </c>
      <c r="R2428" s="710">
        <f>(M2428*P2428)</f>
        <v>983.82</v>
      </c>
    </row>
    <row r="2429" spans="6:18" ht="24" customHeight="1">
      <c r="F2429" s="710"/>
      <c r="G2429" s="708"/>
      <c r="H2429" s="701" t="s">
        <v>442</v>
      </c>
      <c r="K2429" s="989" t="s">
        <v>148</v>
      </c>
      <c r="M2429" s="710">
        <v>64</v>
      </c>
      <c r="N2429" s="708" t="s">
        <v>1670</v>
      </c>
      <c r="O2429" s="697" t="s">
        <v>345</v>
      </c>
      <c r="P2429" s="710">
        <f t="shared" si="254"/>
        <v>5960</v>
      </c>
      <c r="Q2429" s="697" t="s">
        <v>346</v>
      </c>
      <c r="R2429" s="710">
        <f>P2429*M2429/1000</f>
        <v>381.44</v>
      </c>
    </row>
    <row r="2430" spans="6:18" ht="24" customHeight="1">
      <c r="F2430" s="710"/>
      <c r="G2430" s="708"/>
      <c r="H2430" s="701"/>
      <c r="K2430" s="709">
        <f>SUM(K2419:K2427)</f>
        <v>13335.93</v>
      </c>
      <c r="M2430" s="710">
        <v>4.5</v>
      </c>
      <c r="N2430" s="708" t="s">
        <v>1670</v>
      </c>
      <c r="O2430" s="697" t="s">
        <v>2952</v>
      </c>
      <c r="P2430" s="710">
        <f t="shared" si="254"/>
        <v>24.7</v>
      </c>
      <c r="Q2430" s="697" t="s">
        <v>1670</v>
      </c>
      <c r="R2430" s="710">
        <f>M2430*P2430</f>
        <v>111.15</v>
      </c>
    </row>
    <row r="2431" spans="6:18" ht="24" customHeight="1">
      <c r="F2431" s="710"/>
      <c r="G2431" s="708"/>
      <c r="H2431" s="701"/>
      <c r="I2431" s="710"/>
      <c r="J2431" s="697"/>
      <c r="K2431" s="991" t="s">
        <v>1242</v>
      </c>
      <c r="M2431" s="710">
        <v>5.4</v>
      </c>
      <c r="N2431" s="708" t="s">
        <v>778</v>
      </c>
      <c r="O2431" s="697" t="s">
        <v>347</v>
      </c>
      <c r="P2431" s="710">
        <f t="shared" si="254"/>
        <v>804</v>
      </c>
      <c r="Q2431" s="697" t="s">
        <v>778</v>
      </c>
      <c r="R2431" s="710">
        <f>(M2431*P2431)</f>
        <v>4341.6000000000004</v>
      </c>
    </row>
    <row r="2432" spans="6:18" ht="24" customHeight="1">
      <c r="F2432" s="697"/>
      <c r="H2432" s="701" t="s">
        <v>556</v>
      </c>
      <c r="I2432" s="697"/>
      <c r="K2432" s="707">
        <f>K2430/10</f>
        <v>1333.59</v>
      </c>
      <c r="M2432" s="710">
        <v>2.16</v>
      </c>
      <c r="N2432" s="708" t="s">
        <v>778</v>
      </c>
      <c r="O2432" s="697" t="s">
        <v>348</v>
      </c>
      <c r="P2432" s="710">
        <f t="shared" si="254"/>
        <v>562</v>
      </c>
      <c r="Q2432" s="697" t="s">
        <v>778</v>
      </c>
      <c r="R2432" s="710">
        <f>(M2432*P2432)</f>
        <v>1213.92</v>
      </c>
    </row>
    <row r="2433" spans="6:18" ht="24" customHeight="1">
      <c r="K2433" s="747" t="s">
        <v>148</v>
      </c>
      <c r="M2433" s="710">
        <v>6.5</v>
      </c>
      <c r="N2433" s="708" t="s">
        <v>778</v>
      </c>
      <c r="O2433" s="697" t="s">
        <v>1241</v>
      </c>
      <c r="P2433" s="710">
        <f t="shared" si="254"/>
        <v>461</v>
      </c>
      <c r="Q2433" s="697" t="s">
        <v>778</v>
      </c>
      <c r="R2433" s="710">
        <f>(M2433*P2433)</f>
        <v>2996.5</v>
      </c>
    </row>
    <row r="2434" spans="6:18" ht="24" customHeight="1">
      <c r="M2434" s="710"/>
      <c r="N2434" s="708"/>
      <c r="O2434" s="697"/>
      <c r="P2434" s="710"/>
      <c r="Q2434" s="697" t="s">
        <v>778</v>
      </c>
      <c r="R2434" s="710">
        <f>(M2434*P2434)</f>
        <v>0</v>
      </c>
    </row>
    <row r="2435" spans="6:18" ht="24" customHeight="1">
      <c r="M2435" s="740"/>
      <c r="N2435" s="708"/>
      <c r="P2435" s="710"/>
      <c r="Q2435" s="697"/>
      <c r="R2435" s="710"/>
    </row>
    <row r="2436" spans="6:18" ht="24" customHeight="1">
      <c r="F2436" s="710"/>
      <c r="G2436" s="708"/>
      <c r="H2436" s="701" t="s">
        <v>1243</v>
      </c>
      <c r="I2436" s="710"/>
      <c r="J2436" s="697"/>
      <c r="K2436" s="710"/>
      <c r="M2436" s="710"/>
      <c r="N2436" s="708"/>
      <c r="O2436" s="701" t="s">
        <v>442</v>
      </c>
      <c r="Q2436" s="702"/>
      <c r="R2436" s="989" t="s">
        <v>148</v>
      </c>
    </row>
    <row r="2437" spans="6:18" ht="24" customHeight="1">
      <c r="F2437" s="710"/>
      <c r="G2437" s="708"/>
      <c r="I2437" s="710"/>
      <c r="J2437" s="697"/>
      <c r="M2437" s="710"/>
      <c r="N2437" s="708"/>
      <c r="O2437" s="701"/>
      <c r="Q2437" s="702"/>
      <c r="R2437" s="709">
        <f>SUM(R2426:R2434)</f>
        <v>15068.43</v>
      </c>
    </row>
    <row r="2438" spans="6:18" ht="24" customHeight="1">
      <c r="F2438" s="710">
        <v>10</v>
      </c>
      <c r="G2438" s="708" t="s">
        <v>2308</v>
      </c>
      <c r="H2438" s="697" t="s">
        <v>215</v>
      </c>
      <c r="I2438" s="710">
        <f>K1210</f>
        <v>447.69</v>
      </c>
      <c r="J2438" s="697" t="s">
        <v>2308</v>
      </c>
      <c r="K2438" s="710">
        <f>F2438*I2438</f>
        <v>4476.8999999999996</v>
      </c>
      <c r="M2438" s="710"/>
      <c r="N2438" s="708"/>
      <c r="O2438" s="701"/>
      <c r="P2438" s="710"/>
      <c r="Q2438" s="697"/>
      <c r="R2438" s="991" t="s">
        <v>1242</v>
      </c>
    </row>
    <row r="2439" spans="6:18" ht="24" customHeight="1">
      <c r="F2439" s="699">
        <v>9.8000000000000007</v>
      </c>
      <c r="G2439" s="708" t="s">
        <v>1670</v>
      </c>
      <c r="H2439" s="699" t="s">
        <v>3843</v>
      </c>
      <c r="I2439" s="710">
        <f>C145</f>
        <v>143.80000000000001</v>
      </c>
      <c r="J2439" s="697" t="s">
        <v>1670</v>
      </c>
      <c r="K2439" s="710">
        <f>F2439*I2439</f>
        <v>1409.24</v>
      </c>
      <c r="M2439" s="697"/>
      <c r="N2439" s="700"/>
      <c r="O2439" s="701" t="s">
        <v>556</v>
      </c>
      <c r="P2439" s="697"/>
      <c r="Q2439" s="702"/>
      <c r="R2439" s="707">
        <f>R2437/10</f>
        <v>1506.84</v>
      </c>
    </row>
    <row r="2440" spans="6:18" ht="24" customHeight="1">
      <c r="F2440" s="699">
        <v>1.1000000000000001</v>
      </c>
      <c r="G2440" s="700" t="s">
        <v>1898</v>
      </c>
      <c r="H2440" s="697" t="s">
        <v>2034</v>
      </c>
      <c r="I2440" s="699">
        <f>I2407</f>
        <v>861</v>
      </c>
      <c r="J2440" s="702" t="s">
        <v>1418</v>
      </c>
      <c r="K2440" s="699">
        <f>F2440*I2440</f>
        <v>947.1</v>
      </c>
      <c r="N2440" s="700"/>
      <c r="Q2440" s="702"/>
      <c r="R2440" s="747" t="s">
        <v>148</v>
      </c>
    </row>
    <row r="2441" spans="6:18" ht="24" customHeight="1">
      <c r="H2441" s="699" t="s">
        <v>2296</v>
      </c>
      <c r="K2441" s="699">
        <v>0.2</v>
      </c>
    </row>
    <row r="2442" spans="6:18" ht="24" customHeight="1">
      <c r="K2442" s="705" t="s">
        <v>2080</v>
      </c>
    </row>
    <row r="2443" spans="6:18" ht="24" customHeight="1">
      <c r="F2443" s="697" t="s">
        <v>987</v>
      </c>
      <c r="H2443" s="701" t="s">
        <v>442</v>
      </c>
      <c r="K2443" s="758">
        <f>SUM(K2438:K2441)</f>
        <v>6833.44</v>
      </c>
    </row>
    <row r="2444" spans="6:18" ht="24" customHeight="1">
      <c r="K2444" s="820" t="s">
        <v>148</v>
      </c>
    </row>
    <row r="2445" spans="6:18" ht="24" customHeight="1">
      <c r="F2445" s="697" t="s">
        <v>987</v>
      </c>
      <c r="H2445" s="701" t="s">
        <v>556</v>
      </c>
      <c r="K2445" s="707">
        <f>K2443/10</f>
        <v>683.34</v>
      </c>
    </row>
    <row r="2446" spans="6:18" ht="24" customHeight="1">
      <c r="K2446" s="747" t="s">
        <v>148</v>
      </c>
    </row>
    <row r="2451" spans="6:11" ht="24" customHeight="1">
      <c r="H2451" s="758" t="s">
        <v>216</v>
      </c>
    </row>
    <row r="2453" spans="6:11" ht="24" customHeight="1">
      <c r="F2453" s="702" t="s">
        <v>217</v>
      </c>
      <c r="G2453" s="702"/>
      <c r="H2453" s="702"/>
      <c r="I2453" s="699">
        <v>15.21</v>
      </c>
      <c r="J2453" s="702" t="s">
        <v>359</v>
      </c>
    </row>
    <row r="2454" spans="6:11" ht="24" customHeight="1">
      <c r="F2454" s="699" t="s">
        <v>218</v>
      </c>
      <c r="I2454" s="699">
        <v>22.61</v>
      </c>
      <c r="J2454" s="702" t="s">
        <v>359</v>
      </c>
    </row>
    <row r="2455" spans="6:11" ht="24" customHeight="1">
      <c r="F2455" s="699" t="s">
        <v>513</v>
      </c>
      <c r="I2455" s="699">
        <v>3.24</v>
      </c>
      <c r="J2455" s="702" t="s">
        <v>359</v>
      </c>
    </row>
    <row r="2456" spans="6:11" ht="24" customHeight="1">
      <c r="F2456" s="699" t="s">
        <v>514</v>
      </c>
      <c r="I2456" s="699">
        <v>2.16</v>
      </c>
      <c r="J2456" s="702" t="s">
        <v>359</v>
      </c>
    </row>
    <row r="2458" spans="6:11" ht="24" customHeight="1">
      <c r="I2458" s="747" t="s">
        <v>148</v>
      </c>
    </row>
    <row r="2459" spans="6:11" ht="24" customHeight="1">
      <c r="I2459" s="699">
        <f>SUM(I2453:I2457)</f>
        <v>43.22</v>
      </c>
    </row>
    <row r="2460" spans="6:11" ht="24" customHeight="1">
      <c r="I2460" s="699" t="s">
        <v>1710</v>
      </c>
    </row>
    <row r="2463" spans="6:11" ht="24" customHeight="1">
      <c r="F2463" s="699">
        <v>43.22</v>
      </c>
      <c r="G2463" s="700" t="s">
        <v>1670</v>
      </c>
      <c r="H2463" s="802" t="s">
        <v>515</v>
      </c>
      <c r="I2463" s="699">
        <f>C657</f>
        <v>62.6</v>
      </c>
      <c r="J2463" s="702" t="s">
        <v>1670</v>
      </c>
      <c r="K2463" s="699">
        <f>I2463*F2463</f>
        <v>2705.57</v>
      </c>
    </row>
    <row r="2464" spans="6:11" ht="24" customHeight="1">
      <c r="F2464" s="699">
        <v>0.81</v>
      </c>
      <c r="G2464" s="700" t="s">
        <v>2308</v>
      </c>
      <c r="H2464" s="699" t="s">
        <v>2149</v>
      </c>
      <c r="I2464" s="699">
        <f>C196</f>
        <v>339</v>
      </c>
      <c r="J2464" s="702" t="s">
        <v>2308</v>
      </c>
      <c r="K2464" s="699">
        <f>I2464*F2464</f>
        <v>274.58999999999997</v>
      </c>
    </row>
    <row r="2465" spans="6:11" ht="24" customHeight="1">
      <c r="F2465" s="699">
        <v>0.81</v>
      </c>
      <c r="G2465" s="700" t="s">
        <v>2308</v>
      </c>
      <c r="H2465" s="699" t="s">
        <v>1976</v>
      </c>
      <c r="I2465" s="699">
        <f>D196</f>
        <v>104</v>
      </c>
      <c r="J2465" s="702" t="s">
        <v>2308</v>
      </c>
      <c r="K2465" s="699">
        <f>I2465*F2465</f>
        <v>84.24</v>
      </c>
    </row>
    <row r="2466" spans="6:11" ht="24" customHeight="1">
      <c r="H2466" s="699" t="s">
        <v>517</v>
      </c>
      <c r="I2466" s="803">
        <f>46.61</f>
        <v>46.61</v>
      </c>
      <c r="J2466" s="702" t="s">
        <v>450</v>
      </c>
      <c r="K2466" s="699">
        <f>I2466</f>
        <v>46.61</v>
      </c>
    </row>
    <row r="2467" spans="6:11" ht="24" customHeight="1">
      <c r="K2467" s="747" t="s">
        <v>148</v>
      </c>
    </row>
    <row r="2468" spans="6:11" ht="24" customHeight="1">
      <c r="H2468" s="758" t="s">
        <v>518</v>
      </c>
      <c r="K2468" s="758">
        <f>SUM(K2463:K2466)</f>
        <v>3111.01</v>
      </c>
    </row>
    <row r="2469" spans="6:11" ht="24" customHeight="1">
      <c r="H2469" s="699">
        <f>0.6*1.35</f>
        <v>0.81</v>
      </c>
      <c r="K2469" s="747" t="s">
        <v>148</v>
      </c>
    </row>
    <row r="2470" spans="6:11" ht="24" customHeight="1">
      <c r="H2470" s="758" t="s">
        <v>512</v>
      </c>
      <c r="K2470" s="758">
        <f>K2468/H2469</f>
        <v>3840.75</v>
      </c>
    </row>
    <row r="2472" spans="6:11" ht="24" customHeight="1">
      <c r="F2472" s="702" t="s">
        <v>2162</v>
      </c>
      <c r="G2472" s="702"/>
      <c r="H2472" s="702"/>
      <c r="I2472" s="699">
        <v>11.78</v>
      </c>
      <c r="J2472" s="702" t="s">
        <v>359</v>
      </c>
    </row>
    <row r="2473" spans="6:11" ht="24" customHeight="1">
      <c r="F2473" s="699" t="s">
        <v>1370</v>
      </c>
      <c r="I2473" s="699">
        <v>15.07</v>
      </c>
      <c r="J2473" s="702" t="s">
        <v>359</v>
      </c>
    </row>
    <row r="2474" spans="6:11" ht="24" customHeight="1">
      <c r="F2474" s="699" t="s">
        <v>2059</v>
      </c>
      <c r="I2474" s="699">
        <v>2.16</v>
      </c>
      <c r="J2474" s="702" t="s">
        <v>359</v>
      </c>
    </row>
    <row r="2475" spans="6:11" ht="24" customHeight="1">
      <c r="F2475" s="699" t="s">
        <v>514</v>
      </c>
      <c r="I2475" s="699">
        <v>2.16</v>
      </c>
      <c r="J2475" s="702" t="s">
        <v>359</v>
      </c>
    </row>
    <row r="2476" spans="6:11" ht="24" customHeight="1">
      <c r="F2476" s="699" t="s">
        <v>546</v>
      </c>
      <c r="I2476" s="699">
        <f>1.91-0.08</f>
        <v>1.83</v>
      </c>
    </row>
    <row r="2477" spans="6:11" ht="24" customHeight="1">
      <c r="I2477" s="747" t="s">
        <v>888</v>
      </c>
    </row>
    <row r="2478" spans="6:11" ht="24" customHeight="1">
      <c r="I2478" s="758">
        <f>SUM(I2472:I2476)</f>
        <v>33</v>
      </c>
      <c r="J2478" s="702" t="s">
        <v>359</v>
      </c>
    </row>
    <row r="2479" spans="6:11" ht="24" customHeight="1">
      <c r="I2479" s="747" t="s">
        <v>888</v>
      </c>
    </row>
    <row r="2482" spans="6:11" ht="24" customHeight="1">
      <c r="F2482" s="699">
        <f>I2478</f>
        <v>33</v>
      </c>
      <c r="G2482" s="700" t="s">
        <v>1670</v>
      </c>
      <c r="H2482" s="699" t="s">
        <v>515</v>
      </c>
      <c r="I2482" s="699">
        <f>I2463</f>
        <v>62.6</v>
      </c>
      <c r="J2482" s="702" t="s">
        <v>1670</v>
      </c>
      <c r="K2482" s="699">
        <f>I2482*F2482</f>
        <v>2065.8000000000002</v>
      </c>
    </row>
    <row r="2483" spans="6:11" ht="24" customHeight="1">
      <c r="F2483" s="699">
        <v>0.54</v>
      </c>
      <c r="G2483" s="700" t="s">
        <v>2308</v>
      </c>
      <c r="H2483" s="699" t="s">
        <v>2149</v>
      </c>
      <c r="I2483" s="699">
        <f>I2464</f>
        <v>339</v>
      </c>
      <c r="J2483" s="702" t="s">
        <v>2308</v>
      </c>
      <c r="K2483" s="699">
        <f>I2483*F2483</f>
        <v>183.06</v>
      </c>
    </row>
    <row r="2484" spans="6:11" ht="24" customHeight="1">
      <c r="F2484" s="699">
        <v>0.54</v>
      </c>
      <c r="G2484" s="700" t="s">
        <v>2308</v>
      </c>
      <c r="H2484" s="699" t="str">
        <f>H2465</f>
        <v>Fly proof  Mesh</v>
      </c>
      <c r="I2484" s="699">
        <f>I2465</f>
        <v>104</v>
      </c>
      <c r="J2484" s="702" t="s">
        <v>2308</v>
      </c>
      <c r="K2484" s="699">
        <f>I2484*F2484</f>
        <v>56.16</v>
      </c>
    </row>
    <row r="2485" spans="6:11" ht="24" customHeight="1">
      <c r="H2485" s="699" t="s">
        <v>517</v>
      </c>
      <c r="I2485" s="803">
        <v>53.5</v>
      </c>
      <c r="J2485" s="702" t="s">
        <v>450</v>
      </c>
      <c r="K2485" s="699">
        <v>52.8</v>
      </c>
    </row>
    <row r="2486" spans="6:11" ht="24" customHeight="1">
      <c r="K2486" s="747" t="s">
        <v>148</v>
      </c>
    </row>
    <row r="2487" spans="6:11" ht="24" customHeight="1">
      <c r="H2487" s="758" t="s">
        <v>518</v>
      </c>
      <c r="K2487" s="758">
        <f>SUM(K2482:K2485)</f>
        <v>2357.8200000000002</v>
      </c>
    </row>
    <row r="2488" spans="6:11" ht="24" customHeight="1">
      <c r="K2488" s="747" t="s">
        <v>148</v>
      </c>
    </row>
    <row r="2489" spans="6:11" ht="24" customHeight="1">
      <c r="I2489" s="758" t="s">
        <v>2835</v>
      </c>
      <c r="K2489" s="758">
        <f>K2487/0.54</f>
        <v>4366.33</v>
      </c>
    </row>
    <row r="2492" spans="6:11" ht="24" customHeight="1">
      <c r="H2492" s="758" t="s">
        <v>2018</v>
      </c>
    </row>
    <row r="2494" spans="6:11" ht="24" customHeight="1">
      <c r="F2494" s="702" t="s">
        <v>1853</v>
      </c>
      <c r="G2494" s="702"/>
      <c r="H2494" s="702"/>
      <c r="I2494" s="699">
        <v>9.42</v>
      </c>
      <c r="J2494" s="702" t="s">
        <v>359</v>
      </c>
      <c r="K2494" s="702"/>
    </row>
    <row r="2495" spans="6:11" ht="24" customHeight="1">
      <c r="F2495" s="699" t="s">
        <v>1854</v>
      </c>
      <c r="I2495" s="699">
        <v>9.42</v>
      </c>
      <c r="J2495" s="702" t="s">
        <v>359</v>
      </c>
      <c r="K2495" s="702"/>
    </row>
    <row r="2496" spans="6:11" ht="24" customHeight="1">
      <c r="F2496" s="699" t="s">
        <v>72</v>
      </c>
      <c r="I2496" s="699">
        <v>1.44</v>
      </c>
      <c r="J2496" s="702" t="s">
        <v>359</v>
      </c>
      <c r="K2496" s="702"/>
    </row>
    <row r="2497" spans="6:18" ht="24" customHeight="1">
      <c r="F2497" s="699" t="s">
        <v>514</v>
      </c>
      <c r="I2497" s="699">
        <v>2.16</v>
      </c>
      <c r="J2497" s="702" t="s">
        <v>359</v>
      </c>
      <c r="K2497" s="702"/>
    </row>
    <row r="2498" spans="6:18" ht="24" customHeight="1">
      <c r="F2498" s="699" t="s">
        <v>546</v>
      </c>
      <c r="I2498" s="699">
        <v>1.56</v>
      </c>
      <c r="K2498" s="702"/>
    </row>
    <row r="2499" spans="6:18" ht="24" customHeight="1">
      <c r="I2499" s="747" t="s">
        <v>888</v>
      </c>
      <c r="K2499" s="702"/>
      <c r="N2499" s="700"/>
      <c r="O2499" s="758" t="s">
        <v>2634</v>
      </c>
      <c r="Q2499" s="702"/>
    </row>
    <row r="2500" spans="6:18" ht="24" customHeight="1">
      <c r="I2500" s="699">
        <f>SUM(I2494:I2498)</f>
        <v>24</v>
      </c>
      <c r="J2500" s="702" t="s">
        <v>359</v>
      </c>
      <c r="K2500" s="702"/>
      <c r="N2500" s="700"/>
      <c r="Q2500" s="702"/>
    </row>
    <row r="2501" spans="6:18" ht="24" customHeight="1">
      <c r="I2501" s="747" t="s">
        <v>888</v>
      </c>
      <c r="M2501" s="702" t="s">
        <v>2635</v>
      </c>
      <c r="N2501" s="702"/>
      <c r="O2501" s="702"/>
      <c r="P2501" s="703">
        <f>3.77*3.9</f>
        <v>14.702999999999999</v>
      </c>
      <c r="Q2501" s="702" t="s">
        <v>359</v>
      </c>
      <c r="R2501" s="702"/>
    </row>
    <row r="2502" spans="6:18" ht="24" customHeight="1">
      <c r="M2502" s="699" t="s">
        <v>2636</v>
      </c>
      <c r="N2502" s="700"/>
      <c r="P2502" s="699">
        <f>12*0.6*3.14</f>
        <v>22.61</v>
      </c>
      <c r="Q2502" s="702" t="s">
        <v>359</v>
      </c>
      <c r="R2502" s="702"/>
    </row>
    <row r="2503" spans="6:18" ht="24" customHeight="1">
      <c r="M2503" s="699" t="s">
        <v>3284</v>
      </c>
      <c r="N2503" s="700"/>
      <c r="P2503" s="699">
        <f>2*1.285*1.2</f>
        <v>3.08</v>
      </c>
      <c r="Q2503" s="702" t="s">
        <v>359</v>
      </c>
      <c r="R2503" s="702"/>
    </row>
    <row r="2504" spans="6:18" ht="24" customHeight="1">
      <c r="F2504" s="699">
        <v>24</v>
      </c>
      <c r="G2504" s="700" t="s">
        <v>1670</v>
      </c>
      <c r="H2504" s="699" t="s">
        <v>515</v>
      </c>
      <c r="I2504" s="699">
        <f>I2482</f>
        <v>62.6</v>
      </c>
      <c r="J2504" s="702" t="s">
        <v>1670</v>
      </c>
      <c r="K2504" s="699">
        <f>I2504*F2504</f>
        <v>1502.4</v>
      </c>
      <c r="M2504" s="699" t="s">
        <v>514</v>
      </c>
      <c r="N2504" s="700"/>
      <c r="P2504" s="699">
        <f>3*0.6*1.2</f>
        <v>2.16</v>
      </c>
      <c r="Q2504" s="702" t="s">
        <v>359</v>
      </c>
      <c r="R2504" s="702"/>
    </row>
    <row r="2505" spans="6:18" ht="24" customHeight="1">
      <c r="F2505" s="699">
        <v>0.36</v>
      </c>
      <c r="G2505" s="700" t="s">
        <v>2308</v>
      </c>
      <c r="H2505" s="699" t="s">
        <v>2149</v>
      </c>
      <c r="I2505" s="699">
        <f>I2483</f>
        <v>339</v>
      </c>
      <c r="J2505" s="702" t="s">
        <v>2308</v>
      </c>
      <c r="K2505" s="699">
        <f>I2505*F2505</f>
        <v>122.04</v>
      </c>
      <c r="M2505" s="699" t="s">
        <v>546</v>
      </c>
      <c r="N2505" s="700"/>
      <c r="P2505" s="699">
        <v>0.16</v>
      </c>
      <c r="Q2505" s="702"/>
      <c r="R2505" s="702"/>
    </row>
    <row r="2506" spans="6:18" ht="24" customHeight="1">
      <c r="F2506" s="699">
        <v>0.36</v>
      </c>
      <c r="G2506" s="700" t="s">
        <v>2308</v>
      </c>
      <c r="H2506" s="699" t="s">
        <v>516</v>
      </c>
      <c r="I2506" s="699">
        <f>C195</f>
        <v>36.299999999999997</v>
      </c>
      <c r="J2506" s="702" t="s">
        <v>2308</v>
      </c>
      <c r="K2506" s="699">
        <f>I2506*F2506</f>
        <v>13.07</v>
      </c>
      <c r="N2506" s="700"/>
      <c r="P2506" s="747" t="s">
        <v>888</v>
      </c>
      <c r="Q2506" s="702"/>
      <c r="R2506" s="702"/>
    </row>
    <row r="2507" spans="6:18" ht="24" customHeight="1">
      <c r="H2507" s="699" t="s">
        <v>575</v>
      </c>
      <c r="I2507" s="992">
        <v>28.34</v>
      </c>
      <c r="J2507" s="702" t="s">
        <v>450</v>
      </c>
      <c r="K2507" s="699">
        <f>28.14</f>
        <v>28.14</v>
      </c>
      <c r="N2507" s="700"/>
      <c r="P2507" s="796">
        <f>SUM(P2501:P2505)</f>
        <v>42.713000000000001</v>
      </c>
      <c r="Q2507" s="702" t="s">
        <v>359</v>
      </c>
      <c r="R2507" s="702">
        <f>42.55-42.713</f>
        <v>-0.16</v>
      </c>
    </row>
    <row r="2508" spans="6:18" ht="24" customHeight="1">
      <c r="K2508" s="747" t="s">
        <v>148</v>
      </c>
      <c r="N2508" s="700"/>
      <c r="P2508" s="747" t="s">
        <v>888</v>
      </c>
      <c r="Q2508" s="702"/>
    </row>
    <row r="2509" spans="6:18" ht="24" customHeight="1">
      <c r="H2509" s="758" t="s">
        <v>518</v>
      </c>
      <c r="K2509" s="758">
        <f>SUM(K2504:K2507)</f>
        <v>1665.65</v>
      </c>
      <c r="N2509" s="700"/>
      <c r="Q2509" s="702"/>
    </row>
    <row r="2510" spans="6:18" ht="24" customHeight="1">
      <c r="K2510" s="747" t="s">
        <v>148</v>
      </c>
      <c r="N2510" s="700"/>
      <c r="Q2510" s="702"/>
    </row>
    <row r="2511" spans="6:18" ht="24" customHeight="1">
      <c r="K2511" s="699">
        <f>0.6*0.6</f>
        <v>0.36</v>
      </c>
      <c r="M2511" s="703">
        <f>P2507</f>
        <v>42.713000000000001</v>
      </c>
      <c r="N2511" s="700" t="s">
        <v>1670</v>
      </c>
      <c r="O2511" s="699" t="s">
        <v>515</v>
      </c>
      <c r="P2511" s="699">
        <f>I2504</f>
        <v>62.6</v>
      </c>
      <c r="Q2511" s="702" t="s">
        <v>1670</v>
      </c>
      <c r="R2511" s="699">
        <f>P2511*M2511</f>
        <v>2673.83</v>
      </c>
    </row>
    <row r="2512" spans="6:18" ht="24" customHeight="1">
      <c r="H2512" s="758" t="s">
        <v>1751</v>
      </c>
      <c r="K2512" s="699">
        <f>K2509/K2511</f>
        <v>4626.8100000000004</v>
      </c>
      <c r="M2512" s="699">
        <v>0.77</v>
      </c>
      <c r="N2512" s="700" t="s">
        <v>2308</v>
      </c>
      <c r="O2512" s="699" t="s">
        <v>2149</v>
      </c>
      <c r="P2512" s="699">
        <f>I2505</f>
        <v>339</v>
      </c>
      <c r="Q2512" s="702" t="s">
        <v>2308</v>
      </c>
      <c r="R2512" s="699">
        <f>P2512*M2512</f>
        <v>261.02999999999997</v>
      </c>
    </row>
    <row r="2513" spans="6:18" ht="24" customHeight="1">
      <c r="M2513" s="699">
        <v>0.77</v>
      </c>
      <c r="N2513" s="700" t="s">
        <v>2308</v>
      </c>
      <c r="O2513" s="699" t="s">
        <v>516</v>
      </c>
      <c r="P2513" s="699">
        <f>I2506</f>
        <v>36.299999999999997</v>
      </c>
      <c r="Q2513" s="702" t="s">
        <v>2308</v>
      </c>
      <c r="R2513" s="699">
        <f>P2513*M2513</f>
        <v>27.95</v>
      </c>
    </row>
    <row r="2514" spans="6:18" ht="24" customHeight="1">
      <c r="F2514" s="758" t="s">
        <v>439</v>
      </c>
      <c r="G2514" s="839"/>
      <c r="N2514" s="700"/>
      <c r="O2514" s="699" t="s">
        <v>575</v>
      </c>
      <c r="P2514" s="699">
        <f>I2507</f>
        <v>28.34</v>
      </c>
      <c r="Q2514" s="702" t="s">
        <v>450</v>
      </c>
      <c r="R2514" s="699">
        <f>28.34+0.11</f>
        <v>28.45</v>
      </c>
    </row>
    <row r="2515" spans="6:18" ht="24" customHeight="1">
      <c r="N2515" s="700"/>
      <c r="Q2515" s="702"/>
      <c r="R2515" s="747" t="s">
        <v>148</v>
      </c>
    </row>
    <row r="2516" spans="6:18" ht="24" customHeight="1">
      <c r="F2516" s="699" t="s">
        <v>804</v>
      </c>
      <c r="I2516" s="699">
        <v>3.93</v>
      </c>
      <c r="J2516" s="702" t="s">
        <v>1670</v>
      </c>
      <c r="N2516" s="700"/>
      <c r="O2516" s="758" t="s">
        <v>518</v>
      </c>
      <c r="Q2516" s="702"/>
      <c r="R2516" s="758">
        <f>SUM(R2511:R2514)</f>
        <v>2991.26</v>
      </c>
    </row>
    <row r="2517" spans="6:18" ht="24" customHeight="1">
      <c r="F2517" s="699" t="s">
        <v>2256</v>
      </c>
      <c r="I2517" s="699">
        <v>3.14</v>
      </c>
      <c r="J2517" s="702" t="s">
        <v>1670</v>
      </c>
      <c r="N2517" s="700"/>
      <c r="Q2517" s="702"/>
      <c r="R2517" s="747" t="s">
        <v>148</v>
      </c>
    </row>
    <row r="2518" spans="6:18" ht="24" customHeight="1">
      <c r="F2518" s="699" t="s">
        <v>213</v>
      </c>
      <c r="I2518" s="699">
        <v>1.18</v>
      </c>
      <c r="J2518" s="702" t="s">
        <v>1670</v>
      </c>
      <c r="N2518" s="700"/>
      <c r="O2518" s="877" t="s">
        <v>2835</v>
      </c>
      <c r="Q2518" s="702"/>
      <c r="R2518" s="758">
        <f>R2516/M2512</f>
        <v>3884.75</v>
      </c>
    </row>
    <row r="2519" spans="6:18" ht="24" customHeight="1">
      <c r="N2519" s="699">
        <f>1.285*0.6</f>
        <v>0.77</v>
      </c>
    </row>
    <row r="2521" spans="6:18" ht="24" customHeight="1">
      <c r="H2521" s="758" t="s">
        <v>1751</v>
      </c>
    </row>
    <row r="2524" spans="6:18" ht="24" customHeight="1">
      <c r="F2524" s="699" t="s">
        <v>1491</v>
      </c>
      <c r="I2524" s="699">
        <v>24.34</v>
      </c>
      <c r="J2524" s="702" t="s">
        <v>1670</v>
      </c>
    </row>
    <row r="2525" spans="6:18" ht="24" customHeight="1">
      <c r="F2525" s="699" t="s">
        <v>112</v>
      </c>
      <c r="I2525" s="699">
        <v>11.78</v>
      </c>
      <c r="J2525" s="702" t="s">
        <v>1670</v>
      </c>
    </row>
    <row r="2526" spans="6:18" ht="24" customHeight="1">
      <c r="F2526" s="699" t="s">
        <v>578</v>
      </c>
      <c r="I2526" s="699">
        <v>59.35</v>
      </c>
      <c r="J2526" s="702" t="s">
        <v>1670</v>
      </c>
    </row>
    <row r="2527" spans="6:18" ht="24" customHeight="1">
      <c r="F2527" s="699" t="s">
        <v>579</v>
      </c>
      <c r="I2527" s="699">
        <v>5.04</v>
      </c>
      <c r="J2527" s="702" t="s">
        <v>1670</v>
      </c>
    </row>
    <row r="2528" spans="6:18" ht="24" customHeight="1">
      <c r="F2528" s="699" t="s">
        <v>580</v>
      </c>
      <c r="I2528" s="699">
        <v>4.8</v>
      </c>
      <c r="J2528" s="702" t="s">
        <v>1670</v>
      </c>
    </row>
    <row r="2529" spans="6:12" ht="24" customHeight="1">
      <c r="F2529" s="699" t="s">
        <v>581</v>
      </c>
      <c r="I2529" s="699">
        <v>2.69</v>
      </c>
    </row>
    <row r="2530" spans="6:12" ht="24" customHeight="1">
      <c r="I2530" s="747" t="s">
        <v>888</v>
      </c>
    </row>
    <row r="2531" spans="6:12" ht="24" customHeight="1">
      <c r="I2531" s="758">
        <f>SUM(I2524:I2529)</f>
        <v>108</v>
      </c>
      <c r="J2531" s="702" t="s">
        <v>1670</v>
      </c>
    </row>
    <row r="2532" spans="6:12" ht="24" customHeight="1">
      <c r="I2532" s="747" t="s">
        <v>888</v>
      </c>
    </row>
    <row r="2533" spans="6:12" ht="24" customHeight="1">
      <c r="L2533" s="699" t="s">
        <v>1721</v>
      </c>
    </row>
    <row r="2534" spans="6:12" ht="24" customHeight="1">
      <c r="F2534" s="699">
        <v>108</v>
      </c>
      <c r="G2534" s="700" t="s">
        <v>1670</v>
      </c>
      <c r="H2534" s="699" t="s">
        <v>582</v>
      </c>
      <c r="I2534" s="699">
        <f>I2463</f>
        <v>62.6</v>
      </c>
      <c r="J2534" s="702" t="s">
        <v>1670</v>
      </c>
      <c r="K2534" s="699">
        <f>F2534*I2534</f>
        <v>6760.8</v>
      </c>
    </row>
    <row r="2535" spans="6:12" ht="24" customHeight="1">
      <c r="F2535" s="699">
        <v>2.1</v>
      </c>
      <c r="G2535" s="700" t="s">
        <v>2308</v>
      </c>
      <c r="H2535" s="699" t="s">
        <v>2149</v>
      </c>
      <c r="I2535" s="699">
        <f>I2464</f>
        <v>339</v>
      </c>
      <c r="J2535" s="702" t="s">
        <v>2308</v>
      </c>
      <c r="K2535" s="699">
        <f>F2535*I2535</f>
        <v>711.9</v>
      </c>
      <c r="L2535" s="703">
        <v>42.713000000000001</v>
      </c>
    </row>
    <row r="2536" spans="6:12" ht="24" customHeight="1">
      <c r="F2536" s="699">
        <v>2.1</v>
      </c>
      <c r="G2536" s="700" t="s">
        <v>2308</v>
      </c>
      <c r="H2536" s="699" t="s">
        <v>1977</v>
      </c>
      <c r="I2536" s="699">
        <f>I2465</f>
        <v>104</v>
      </c>
      <c r="J2536" s="702" t="s">
        <v>2308</v>
      </c>
      <c r="K2536" s="699">
        <f>F2536*I2536</f>
        <v>218.4</v>
      </c>
      <c r="L2536" s="699">
        <v>0.77</v>
      </c>
    </row>
    <row r="2537" spans="6:12" ht="24" customHeight="1">
      <c r="H2537" s="699" t="s">
        <v>125</v>
      </c>
      <c r="I2537" s="699">
        <v>267.10000000000002</v>
      </c>
      <c r="J2537" s="702" t="s">
        <v>450</v>
      </c>
      <c r="K2537" s="699">
        <f>I2537</f>
        <v>267.10000000000002</v>
      </c>
      <c r="L2537" s="699">
        <v>0.77</v>
      </c>
    </row>
    <row r="2538" spans="6:12" ht="24" customHeight="1">
      <c r="K2538" s="747" t="s">
        <v>148</v>
      </c>
    </row>
    <row r="2539" spans="6:12" ht="24" customHeight="1">
      <c r="K2539" s="699">
        <f>SUM(K2534:K2537)</f>
        <v>7958.2</v>
      </c>
    </row>
    <row r="2540" spans="6:12" ht="24" customHeight="1">
      <c r="H2540" s="699" t="s">
        <v>126</v>
      </c>
      <c r="I2540" s="699">
        <v>500</v>
      </c>
      <c r="J2540" s="702" t="s">
        <v>450</v>
      </c>
      <c r="K2540" s="699">
        <f>I2540</f>
        <v>500</v>
      </c>
    </row>
    <row r="2541" spans="6:12" ht="24" customHeight="1">
      <c r="K2541" s="747" t="s">
        <v>148</v>
      </c>
    </row>
    <row r="2542" spans="6:12" ht="24" customHeight="1">
      <c r="H2542" s="758" t="s">
        <v>127</v>
      </c>
      <c r="K2542" s="758">
        <f>SUM(K2539:K2540)</f>
        <v>8458.2000000000007</v>
      </c>
    </row>
    <row r="2543" spans="6:12" ht="24" customHeight="1">
      <c r="K2543" s="747" t="s">
        <v>148</v>
      </c>
    </row>
    <row r="2545" spans="6:17" ht="24" customHeight="1">
      <c r="K2545" s="699">
        <f>8054-K2542</f>
        <v>-404.2</v>
      </c>
    </row>
    <row r="2547" spans="6:17" ht="24" customHeight="1">
      <c r="H2547" s="758" t="s">
        <v>13</v>
      </c>
    </row>
    <row r="2549" spans="6:17" ht="24" customHeight="1">
      <c r="F2549" s="758" t="s">
        <v>439</v>
      </c>
      <c r="G2549" s="839"/>
    </row>
    <row r="2551" spans="6:17" ht="24" customHeight="1">
      <c r="F2551" s="699" t="s">
        <v>824</v>
      </c>
      <c r="I2551" s="703">
        <v>2.944</v>
      </c>
      <c r="J2551" s="702" t="s">
        <v>1670</v>
      </c>
    </row>
    <row r="2552" spans="6:17" ht="24" customHeight="1">
      <c r="F2552" s="699" t="s">
        <v>1281</v>
      </c>
      <c r="I2552" s="703">
        <v>2.355</v>
      </c>
      <c r="J2552" s="702" t="s">
        <v>1670</v>
      </c>
    </row>
    <row r="2553" spans="6:17" ht="24" customHeight="1">
      <c r="F2553" s="699" t="s">
        <v>1254</v>
      </c>
      <c r="I2553" s="703">
        <v>0.88300000000000001</v>
      </c>
      <c r="J2553" s="702" t="s">
        <v>1670</v>
      </c>
    </row>
    <row r="2556" spans="6:17" ht="24" customHeight="1">
      <c r="H2556" s="758" t="s">
        <v>13</v>
      </c>
    </row>
    <row r="2558" spans="6:17" ht="24" customHeight="1">
      <c r="N2558" s="993">
        <v>24.1</v>
      </c>
      <c r="O2558" s="758" t="s">
        <v>2634</v>
      </c>
      <c r="Q2558" s="702"/>
    </row>
    <row r="2559" spans="6:17" ht="24" customHeight="1">
      <c r="F2559" s="699" t="s">
        <v>1240</v>
      </c>
      <c r="I2559" s="699">
        <v>16.38</v>
      </c>
      <c r="J2559" s="702" t="s">
        <v>1670</v>
      </c>
      <c r="N2559" s="994" t="s">
        <v>2080</v>
      </c>
      <c r="O2559" s="995"/>
      <c r="Q2559" s="702"/>
    </row>
    <row r="2560" spans="6:17" ht="24" customHeight="1">
      <c r="F2560" s="699" t="s">
        <v>1247</v>
      </c>
      <c r="I2560" s="699">
        <v>8.7799999999999994</v>
      </c>
      <c r="J2560" s="702" t="s">
        <v>1670</v>
      </c>
      <c r="M2560" s="702" t="s">
        <v>2482</v>
      </c>
      <c r="N2560" s="702"/>
      <c r="O2560" s="702"/>
      <c r="P2560" s="699">
        <v>14.8</v>
      </c>
      <c r="Q2560" s="702" t="s">
        <v>359</v>
      </c>
    </row>
    <row r="2561" spans="6:18" ht="24" customHeight="1">
      <c r="F2561" s="699" t="s">
        <v>1628</v>
      </c>
      <c r="I2561" s="699">
        <v>37.67</v>
      </c>
      <c r="J2561" s="702" t="s">
        <v>1670</v>
      </c>
      <c r="M2561" s="699" t="s">
        <v>218</v>
      </c>
      <c r="N2561" s="700"/>
      <c r="P2561" s="699">
        <v>22.61</v>
      </c>
      <c r="Q2561" s="702" t="s">
        <v>359</v>
      </c>
    </row>
    <row r="2562" spans="6:18" ht="24" customHeight="1">
      <c r="F2562" s="699" t="s">
        <v>1686</v>
      </c>
      <c r="I2562" s="699">
        <v>3.24</v>
      </c>
      <c r="J2562" s="702" t="s">
        <v>1670</v>
      </c>
      <c r="M2562" s="699" t="s">
        <v>513</v>
      </c>
      <c r="N2562" s="700"/>
      <c r="P2562" s="699">
        <v>3.24</v>
      </c>
      <c r="Q2562" s="702" t="s">
        <v>359</v>
      </c>
    </row>
    <row r="2563" spans="6:18" ht="24" customHeight="1">
      <c r="F2563" s="699" t="s">
        <v>433</v>
      </c>
      <c r="I2563" s="699">
        <v>3.6</v>
      </c>
      <c r="J2563" s="702" t="s">
        <v>1670</v>
      </c>
      <c r="M2563" s="699" t="s">
        <v>514</v>
      </c>
      <c r="N2563" s="700"/>
      <c r="P2563" s="699">
        <v>2.16</v>
      </c>
      <c r="Q2563" s="702" t="s">
        <v>359</v>
      </c>
    </row>
    <row r="2564" spans="6:18" ht="24" customHeight="1">
      <c r="F2564" s="699" t="s">
        <v>581</v>
      </c>
      <c r="I2564" s="699">
        <v>2.88</v>
      </c>
      <c r="N2564" s="700"/>
      <c r="Q2564" s="702"/>
    </row>
    <row r="2565" spans="6:18" ht="24" customHeight="1">
      <c r="I2565" s="747" t="s">
        <v>888</v>
      </c>
      <c r="N2565" s="700"/>
      <c r="P2565" s="747" t="s">
        <v>148</v>
      </c>
      <c r="Q2565" s="702"/>
    </row>
    <row r="2566" spans="6:18" ht="24" customHeight="1">
      <c r="I2566" s="758">
        <f>SUM(I2559:I2564)</f>
        <v>72.55</v>
      </c>
      <c r="J2566" s="702" t="s">
        <v>1670</v>
      </c>
      <c r="N2566" s="700"/>
      <c r="P2566" s="699">
        <f>SUM(P2560:P2564)</f>
        <v>42.81</v>
      </c>
      <c r="Q2566" s="702"/>
    </row>
    <row r="2567" spans="6:18" ht="24" customHeight="1">
      <c r="I2567" s="747" t="s">
        <v>888</v>
      </c>
      <c r="N2567" s="700"/>
      <c r="P2567" s="699" t="s">
        <v>1710</v>
      </c>
      <c r="Q2567" s="702"/>
    </row>
    <row r="2568" spans="6:18" ht="24" customHeight="1">
      <c r="N2568" s="700"/>
      <c r="Q2568" s="702"/>
    </row>
    <row r="2569" spans="6:18" ht="24" customHeight="1">
      <c r="F2569" s="699">
        <v>72.55</v>
      </c>
      <c r="G2569" s="700" t="s">
        <v>1670</v>
      </c>
      <c r="H2569" s="699" t="s">
        <v>582</v>
      </c>
      <c r="I2569" s="699">
        <f>I2534</f>
        <v>62.6</v>
      </c>
      <c r="J2569" s="702" t="s">
        <v>1670</v>
      </c>
      <c r="K2569" s="699">
        <f>F2569*I2569</f>
        <v>4541.63</v>
      </c>
      <c r="N2569" s="700"/>
      <c r="Q2569" s="702"/>
    </row>
    <row r="2570" spans="6:18" ht="24" customHeight="1">
      <c r="F2570" s="699">
        <v>1.01</v>
      </c>
      <c r="G2570" s="700" t="s">
        <v>2308</v>
      </c>
      <c r="H2570" s="699" t="s">
        <v>2149</v>
      </c>
      <c r="I2570" s="699">
        <f>I2535</f>
        <v>339</v>
      </c>
      <c r="J2570" s="702" t="s">
        <v>2308</v>
      </c>
      <c r="K2570" s="879">
        <f>F2570*I2570</f>
        <v>342.39</v>
      </c>
      <c r="M2570" s="699">
        <v>42.81</v>
      </c>
      <c r="N2570" s="700" t="s">
        <v>1670</v>
      </c>
      <c r="O2570" s="699" t="s">
        <v>4169</v>
      </c>
      <c r="P2570" s="699">
        <f>I2569</f>
        <v>62.6</v>
      </c>
      <c r="Q2570" s="702" t="s">
        <v>1670</v>
      </c>
      <c r="R2570" s="699">
        <f>P2570*M2570</f>
        <v>2679.91</v>
      </c>
    </row>
    <row r="2571" spans="6:18" ht="24" customHeight="1">
      <c r="F2571" s="699">
        <v>1.01</v>
      </c>
      <c r="G2571" s="700" t="s">
        <v>2308</v>
      </c>
      <c r="H2571" s="699" t="str">
        <f>H2536</f>
        <v>Fly proof mesh</v>
      </c>
      <c r="I2571" s="699">
        <f>I2536</f>
        <v>104</v>
      </c>
      <c r="J2571" s="702" t="s">
        <v>2308</v>
      </c>
      <c r="K2571" s="699">
        <f>F2571*I2571</f>
        <v>105.04</v>
      </c>
      <c r="M2571" s="699">
        <v>0.77</v>
      </c>
      <c r="N2571" s="700" t="s">
        <v>2308</v>
      </c>
      <c r="O2571" s="699" t="s">
        <v>2483</v>
      </c>
      <c r="P2571" s="699">
        <f>I2570</f>
        <v>339</v>
      </c>
      <c r="Q2571" s="702" t="s">
        <v>2308</v>
      </c>
      <c r="R2571" s="699">
        <f>P2571*M2571</f>
        <v>261.02999999999997</v>
      </c>
    </row>
    <row r="2572" spans="6:18" ht="24" customHeight="1">
      <c r="H2572" s="699" t="s">
        <v>125</v>
      </c>
      <c r="I2572" s="699">
        <v>266.49</v>
      </c>
      <c r="J2572" s="702" t="s">
        <v>450</v>
      </c>
      <c r="K2572" s="699">
        <f>I2572</f>
        <v>266.49</v>
      </c>
      <c r="M2572" s="699">
        <v>0.77</v>
      </c>
      <c r="N2572" s="700" t="s">
        <v>2308</v>
      </c>
      <c r="O2572" s="876" t="s">
        <v>4384</v>
      </c>
      <c r="P2572" s="699">
        <f>I2571</f>
        <v>104</v>
      </c>
      <c r="Q2572" s="702" t="s">
        <v>2308</v>
      </c>
      <c r="R2572" s="699">
        <f>P2572*M2572</f>
        <v>80.08</v>
      </c>
    </row>
    <row r="2573" spans="6:18" ht="24" customHeight="1">
      <c r="K2573" s="747" t="s">
        <v>148</v>
      </c>
      <c r="N2573" s="700"/>
      <c r="O2573" s="699" t="s">
        <v>517</v>
      </c>
      <c r="P2573" s="699">
        <f>46.62+0.48</f>
        <v>47.1</v>
      </c>
      <c r="Q2573" s="702" t="s">
        <v>450</v>
      </c>
      <c r="R2573" s="699">
        <f>P2573</f>
        <v>47.1</v>
      </c>
    </row>
    <row r="2574" spans="6:18" ht="24" customHeight="1">
      <c r="K2574" s="699">
        <f>SUM(K2569:K2572)</f>
        <v>5255.55</v>
      </c>
      <c r="N2574" s="700"/>
      <c r="Q2574" s="702"/>
      <c r="R2574" s="747" t="s">
        <v>148</v>
      </c>
    </row>
    <row r="2575" spans="6:18" ht="24" customHeight="1">
      <c r="H2575" s="699" t="s">
        <v>126</v>
      </c>
      <c r="I2575" s="699">
        <v>255</v>
      </c>
      <c r="J2575" s="702" t="s">
        <v>450</v>
      </c>
      <c r="K2575" s="699">
        <v>255</v>
      </c>
      <c r="N2575" s="700"/>
      <c r="O2575" s="758" t="s">
        <v>518</v>
      </c>
      <c r="Q2575" s="702"/>
      <c r="R2575" s="758">
        <f>SUM(R2570:R2573)</f>
        <v>3068.12</v>
      </c>
    </row>
    <row r="2576" spans="6:18" ht="24" customHeight="1">
      <c r="K2576" s="747" t="s">
        <v>148</v>
      </c>
      <c r="N2576" s="700"/>
      <c r="Q2576" s="702"/>
      <c r="R2576" s="747" t="s">
        <v>148</v>
      </c>
    </row>
    <row r="2577" spans="6:23" ht="24" customHeight="1">
      <c r="H2577" s="758" t="s">
        <v>127</v>
      </c>
      <c r="K2577" s="758">
        <f>SUM(K2574:K2575)</f>
        <v>5510.55</v>
      </c>
      <c r="N2577" s="700"/>
      <c r="O2577" s="699">
        <f>1.285*0.6</f>
        <v>0.77</v>
      </c>
      <c r="Q2577" s="702"/>
      <c r="R2577" s="699">
        <f>R2575/O2577</f>
        <v>3984.57</v>
      </c>
    </row>
    <row r="2578" spans="6:23" ht="24" customHeight="1">
      <c r="K2578" s="747" t="s">
        <v>148</v>
      </c>
      <c r="M2578" s="699">
        <f>I2571</f>
        <v>104</v>
      </c>
      <c r="O2578" s="702">
        <f>M2578*L2537</f>
        <v>80.08</v>
      </c>
    </row>
    <row r="2579" spans="6:23" ht="24" customHeight="1">
      <c r="O2579" s="702">
        <v>0.8</v>
      </c>
    </row>
    <row r="2580" spans="6:23" ht="24" customHeight="1">
      <c r="K2580" s="699">
        <f>5261-K2577</f>
        <v>-249.55</v>
      </c>
      <c r="O2580" s="702">
        <f>SUM(O2576:O2579)</f>
        <v>81.650000000000006</v>
      </c>
    </row>
    <row r="2581" spans="6:23" ht="24" customHeight="1">
      <c r="O2581" s="702">
        <f>O2580/0.77</f>
        <v>106.04</v>
      </c>
    </row>
    <row r="2582" spans="6:23" ht="24" customHeight="1">
      <c r="H2582" s="758" t="s">
        <v>13</v>
      </c>
    </row>
    <row r="2584" spans="6:23" ht="24" customHeight="1">
      <c r="F2584" s="758" t="s">
        <v>439</v>
      </c>
      <c r="G2584" s="839"/>
      <c r="T2584" s="700"/>
      <c r="U2584" s="699" t="s">
        <v>3784</v>
      </c>
      <c r="W2584" s="702"/>
    </row>
    <row r="2585" spans="6:23" ht="24" customHeight="1">
      <c r="T2585" s="700"/>
      <c r="W2585" s="702"/>
    </row>
    <row r="2586" spans="6:23" ht="24" customHeight="1">
      <c r="F2586" s="699" t="s">
        <v>824</v>
      </c>
      <c r="I2586" s="703">
        <v>2.944</v>
      </c>
      <c r="J2586" s="702" t="s">
        <v>1670</v>
      </c>
      <c r="S2586" s="703" t="s">
        <v>2516</v>
      </c>
      <c r="T2586" s="700"/>
      <c r="V2586" s="996">
        <f>2*0.85*2.025</f>
        <v>3.4424999999999999</v>
      </c>
      <c r="W2586" s="702"/>
    </row>
    <row r="2587" spans="6:23" ht="24" customHeight="1">
      <c r="F2587" s="699" t="s">
        <v>1281</v>
      </c>
      <c r="I2587" s="703">
        <v>2.355</v>
      </c>
      <c r="J2587" s="702" t="s">
        <v>1670</v>
      </c>
      <c r="S2587" s="703" t="s">
        <v>1957</v>
      </c>
      <c r="T2587" s="700"/>
      <c r="V2587" s="996">
        <v>2.2800000000000001E-2</v>
      </c>
      <c r="W2587" s="702"/>
    </row>
    <row r="2588" spans="6:23" ht="24" customHeight="1">
      <c r="F2588" s="699" t="s">
        <v>1254</v>
      </c>
      <c r="I2588" s="703">
        <v>0.88300000000000001</v>
      </c>
      <c r="J2588" s="702" t="s">
        <v>1670</v>
      </c>
      <c r="S2588" s="703" t="s">
        <v>2517</v>
      </c>
      <c r="T2588" s="700"/>
      <c r="V2588" s="796">
        <f>2*3*0.85*0.15*0.0375</f>
        <v>2.87E-2</v>
      </c>
      <c r="W2588" s="702"/>
    </row>
    <row r="2589" spans="6:23" ht="24" customHeight="1">
      <c r="T2589" s="700" t="s">
        <v>2518</v>
      </c>
      <c r="V2589" s="796">
        <f>2*3*0.85*0.075*0.0375</f>
        <v>1.43E-2</v>
      </c>
      <c r="W2589" s="702"/>
    </row>
    <row r="2590" spans="6:23" ht="24" customHeight="1">
      <c r="T2590" s="700"/>
      <c r="V2590" s="997">
        <f>SUM(V2588:V2589)</f>
        <v>4.2999999999999997E-2</v>
      </c>
      <c r="W2590" s="702"/>
    </row>
    <row r="2591" spans="6:23" ht="24" customHeight="1">
      <c r="H2591" s="758" t="s">
        <v>13</v>
      </c>
      <c r="T2591" s="700"/>
      <c r="W2591" s="702"/>
    </row>
    <row r="2592" spans="6:23" ht="24" customHeight="1">
      <c r="T2592" s="700"/>
      <c r="W2592" s="702"/>
    </row>
    <row r="2593" spans="6:33" ht="24" customHeight="1">
      <c r="S2593" s="703" t="s">
        <v>2519</v>
      </c>
      <c r="T2593" s="700"/>
      <c r="V2593" s="796">
        <f>2*4*0.725*0.3*0.01875</f>
        <v>3.2599999999999997E-2</v>
      </c>
      <c r="W2593" s="702"/>
    </row>
    <row r="2594" spans="6:33" ht="24" customHeight="1">
      <c r="F2594" s="699" t="s">
        <v>1240</v>
      </c>
      <c r="I2594" s="699">
        <v>16.38</v>
      </c>
      <c r="J2594" s="702" t="s">
        <v>1670</v>
      </c>
      <c r="S2594" s="703" t="s">
        <v>2520</v>
      </c>
      <c r="T2594" s="700"/>
      <c r="V2594" s="796">
        <f>2*0.725*0.3*0.01875</f>
        <v>8.2000000000000007E-3</v>
      </c>
      <c r="W2594" s="702"/>
    </row>
    <row r="2595" spans="6:33" ht="24" customHeight="1">
      <c r="F2595" s="699" t="s">
        <v>1247</v>
      </c>
      <c r="I2595" s="699">
        <v>8.7799999999999994</v>
      </c>
      <c r="J2595" s="702" t="s">
        <v>1670</v>
      </c>
      <c r="T2595" s="700"/>
      <c r="V2595" s="997">
        <f>SUM(V2593:V2594)</f>
        <v>4.0800000000000003E-2</v>
      </c>
      <c r="W2595" s="702"/>
    </row>
    <row r="2596" spans="6:33" ht="24" customHeight="1">
      <c r="F2596" s="699" t="s">
        <v>1628</v>
      </c>
      <c r="I2596" s="699">
        <v>37.67</v>
      </c>
      <c r="J2596" s="702" t="s">
        <v>1670</v>
      </c>
      <c r="T2596" s="700"/>
      <c r="U2596" s="758" t="s">
        <v>1647</v>
      </c>
      <c r="W2596" s="702"/>
      <c r="Y2596" s="796">
        <v>2.3099999999999999E-2</v>
      </c>
      <c r="Z2596" s="699">
        <f>Y2596*V2598</f>
        <v>2577.96</v>
      </c>
    </row>
    <row r="2597" spans="6:33" ht="24" customHeight="1">
      <c r="F2597" s="699" t="s">
        <v>1686</v>
      </c>
      <c r="I2597" s="699">
        <v>3.24</v>
      </c>
      <c r="J2597" s="702" t="s">
        <v>1670</v>
      </c>
      <c r="T2597" s="700"/>
      <c r="W2597" s="702"/>
      <c r="Y2597" s="796">
        <v>4.48E-2</v>
      </c>
      <c r="Z2597" s="699">
        <f>Y2597*V2599</f>
        <v>4453.12</v>
      </c>
    </row>
    <row r="2598" spans="6:33" ht="40.5" customHeight="1">
      <c r="F2598" s="699" t="s">
        <v>433</v>
      </c>
      <c r="I2598" s="699">
        <v>3.6</v>
      </c>
      <c r="J2598" s="702" t="s">
        <v>1670</v>
      </c>
      <c r="S2598" s="796">
        <f>V2587</f>
        <v>2.2800000000000001E-2</v>
      </c>
      <c r="T2598" s="700" t="s">
        <v>878</v>
      </c>
      <c r="U2598" s="699" t="s">
        <v>2521</v>
      </c>
      <c r="V2598" s="699">
        <f>I2630</f>
        <v>111600</v>
      </c>
      <c r="W2598" s="702" t="s">
        <v>878</v>
      </c>
      <c r="X2598" s="699">
        <f>S2598*V2598</f>
        <v>2544.48</v>
      </c>
      <c r="Y2598" s="796">
        <v>2.2690000000000001</v>
      </c>
      <c r="Z2598" s="699">
        <f>Y2598*336</f>
        <v>762.38</v>
      </c>
      <c r="AC2598" s="700"/>
      <c r="AD2598" s="1865" t="s">
        <v>5272</v>
      </c>
      <c r="AE2598" s="1865"/>
      <c r="AF2598" s="1865"/>
      <c r="AG2598" s="1865"/>
    </row>
    <row r="2599" spans="6:33" ht="24" customHeight="1">
      <c r="F2599" s="699" t="s">
        <v>581</v>
      </c>
      <c r="I2599" s="699">
        <v>2.88</v>
      </c>
      <c r="S2599" s="796">
        <f>V2590</f>
        <v>4.2999999999999997E-2</v>
      </c>
      <c r="T2599" s="700" t="s">
        <v>878</v>
      </c>
      <c r="U2599" s="699" t="s">
        <v>2522</v>
      </c>
      <c r="V2599" s="699">
        <f t="shared" ref="V2599:V2607" si="255">I2631</f>
        <v>99400</v>
      </c>
      <c r="W2599" s="702" t="s">
        <v>878</v>
      </c>
      <c r="X2599" s="699">
        <f t="shared" ref="X2599:X2609" si="256">S2599*V2599</f>
        <v>4274.2</v>
      </c>
      <c r="Y2599" s="796">
        <v>3.4849999999999999</v>
      </c>
      <c r="Z2599" s="699">
        <f>Y2599*V2601</f>
        <v>4617.63</v>
      </c>
      <c r="AC2599" s="700"/>
      <c r="AF2599" s="702"/>
    </row>
    <row r="2600" spans="6:33" ht="24" customHeight="1">
      <c r="I2600" s="747" t="s">
        <v>888</v>
      </c>
      <c r="S2600" s="796">
        <f>V2595</f>
        <v>4.0800000000000003E-2</v>
      </c>
      <c r="T2600" s="700" t="s">
        <v>878</v>
      </c>
      <c r="U2600" s="699" t="s">
        <v>947</v>
      </c>
      <c r="V2600" s="699">
        <f t="shared" si="255"/>
        <v>107000</v>
      </c>
      <c r="W2600" s="702" t="s">
        <v>878</v>
      </c>
      <c r="X2600" s="699">
        <f t="shared" si="256"/>
        <v>4365.6000000000004</v>
      </c>
      <c r="Y2600" s="796">
        <v>2</v>
      </c>
      <c r="Z2600" s="699">
        <f>Y2600*V2602</f>
        <v>900</v>
      </c>
      <c r="AB2600" s="699" t="s">
        <v>2045</v>
      </c>
      <c r="AC2600" s="700"/>
      <c r="AE2600" s="996">
        <f>2*0.95*2.025</f>
        <v>3.8475000000000001</v>
      </c>
      <c r="AF2600" s="702"/>
    </row>
    <row r="2601" spans="6:33" ht="24" customHeight="1">
      <c r="I2601" s="758">
        <f>SUM(I2594:I2599)</f>
        <v>72.55</v>
      </c>
      <c r="J2601" s="702" t="s">
        <v>1670</v>
      </c>
      <c r="S2601" s="796">
        <f>V2586</f>
        <v>3.4424999999999999</v>
      </c>
      <c r="T2601" s="700" t="s">
        <v>615</v>
      </c>
      <c r="U2601" s="699" t="s">
        <v>892</v>
      </c>
      <c r="V2601" s="699">
        <f t="shared" si="255"/>
        <v>1325</v>
      </c>
      <c r="W2601" s="702" t="s">
        <v>615</v>
      </c>
      <c r="X2601" s="699">
        <f t="shared" si="256"/>
        <v>4561.3100000000004</v>
      </c>
      <c r="Y2601" s="796">
        <v>6</v>
      </c>
      <c r="Z2601" s="699">
        <f>Y2601*V2603</f>
        <v>474</v>
      </c>
      <c r="AB2601" s="699" t="s">
        <v>1957</v>
      </c>
      <c r="AC2601" s="700"/>
      <c r="AE2601" s="996">
        <v>2.2800000000000001E-2</v>
      </c>
      <c r="AF2601" s="702"/>
    </row>
    <row r="2602" spans="6:33" ht="24" customHeight="1">
      <c r="I2602" s="747" t="s">
        <v>888</v>
      </c>
      <c r="S2602" s="703">
        <v>2</v>
      </c>
      <c r="T2602" s="700" t="s">
        <v>1898</v>
      </c>
      <c r="U2602" s="699" t="s">
        <v>2150</v>
      </c>
      <c r="V2602" s="699">
        <f t="shared" si="255"/>
        <v>450</v>
      </c>
      <c r="W2602" s="702" t="s">
        <v>1418</v>
      </c>
      <c r="X2602" s="699">
        <f t="shared" si="256"/>
        <v>900</v>
      </c>
      <c r="Y2602" s="796">
        <v>4</v>
      </c>
      <c r="Z2602" s="699">
        <f>Y2602*V2604</f>
        <v>520</v>
      </c>
      <c r="AB2602" s="699" t="s">
        <v>2046</v>
      </c>
      <c r="AC2602" s="700"/>
      <c r="AE2602" s="796">
        <f>2*3*0.95*0.15*0.0375</f>
        <v>3.2099999999999997E-2</v>
      </c>
      <c r="AF2602" s="702"/>
    </row>
    <row r="2603" spans="6:33" ht="24" customHeight="1">
      <c r="S2603" s="703">
        <v>6</v>
      </c>
      <c r="T2603" s="700" t="s">
        <v>1898</v>
      </c>
      <c r="U2603" s="699" t="s">
        <v>1116</v>
      </c>
      <c r="V2603" s="699">
        <f t="shared" si="255"/>
        <v>79</v>
      </c>
      <c r="W2603" s="702" t="s">
        <v>1418</v>
      </c>
      <c r="X2603" s="699">
        <f t="shared" si="256"/>
        <v>474</v>
      </c>
      <c r="Y2603" s="796">
        <v>1</v>
      </c>
      <c r="Z2603" s="699">
        <f>Y2603*X2605</f>
        <v>985</v>
      </c>
      <c r="AC2603" s="700" t="s">
        <v>2047</v>
      </c>
      <c r="AE2603" s="796">
        <f>2*3*0.95*0.075*0.0375</f>
        <v>1.6E-2</v>
      </c>
      <c r="AF2603" s="702"/>
    </row>
    <row r="2604" spans="6:33" ht="24" customHeight="1">
      <c r="F2604" s="699">
        <v>73</v>
      </c>
      <c r="G2604" s="700" t="s">
        <v>1670</v>
      </c>
      <c r="H2604" s="699" t="s">
        <v>582</v>
      </c>
      <c r="I2604" s="699">
        <f>I2569</f>
        <v>62.6</v>
      </c>
      <c r="J2604" s="702" t="s">
        <v>1670</v>
      </c>
      <c r="K2604" s="699">
        <f>F2604*I2604</f>
        <v>4569.8</v>
      </c>
      <c r="S2604" s="703">
        <v>4</v>
      </c>
      <c r="T2604" s="700" t="s">
        <v>1898</v>
      </c>
      <c r="U2604" s="699" t="s">
        <v>1368</v>
      </c>
      <c r="V2604" s="699">
        <f t="shared" si="255"/>
        <v>130</v>
      </c>
      <c r="W2604" s="702" t="s">
        <v>1418</v>
      </c>
      <c r="X2604" s="699">
        <f t="shared" si="256"/>
        <v>520</v>
      </c>
      <c r="Y2604" s="796">
        <v>2</v>
      </c>
      <c r="Z2604" s="699">
        <f>Y2604*V2606</f>
        <v>15</v>
      </c>
      <c r="AC2604" s="700"/>
      <c r="AE2604" s="997">
        <f>SUM(AE2602:AE2603)</f>
        <v>4.8099999999999997E-2</v>
      </c>
      <c r="AF2604" s="702"/>
    </row>
    <row r="2605" spans="6:33" ht="24" customHeight="1">
      <c r="F2605" s="699">
        <v>1.01</v>
      </c>
      <c r="G2605" s="700" t="s">
        <v>2308</v>
      </c>
      <c r="H2605" s="699" t="s">
        <v>2149</v>
      </c>
      <c r="I2605" s="699">
        <f>I2570</f>
        <v>339</v>
      </c>
      <c r="J2605" s="702" t="s">
        <v>2308</v>
      </c>
      <c r="K2605" s="879">
        <f>F2605*I2605</f>
        <v>342.39</v>
      </c>
      <c r="S2605" s="703">
        <v>1</v>
      </c>
      <c r="T2605" s="700" t="s">
        <v>1898</v>
      </c>
      <c r="U2605" s="699" t="s">
        <v>1369</v>
      </c>
      <c r="V2605" s="699">
        <f t="shared" si="255"/>
        <v>985</v>
      </c>
      <c r="W2605" s="702" t="s">
        <v>1418</v>
      </c>
      <c r="X2605" s="699">
        <f t="shared" si="256"/>
        <v>985</v>
      </c>
      <c r="Y2605" s="796">
        <v>2</v>
      </c>
      <c r="Z2605" s="699">
        <f>Y2605*V2607</f>
        <v>91.8</v>
      </c>
      <c r="AC2605" s="700"/>
      <c r="AF2605" s="702"/>
    </row>
    <row r="2606" spans="6:33" ht="24" customHeight="1">
      <c r="F2606" s="699">
        <v>1.01</v>
      </c>
      <c r="G2606" s="700" t="s">
        <v>2308</v>
      </c>
      <c r="H2606" s="699" t="s">
        <v>583</v>
      </c>
      <c r="I2606" s="699">
        <f>C195</f>
        <v>36.299999999999997</v>
      </c>
      <c r="J2606" s="702" t="s">
        <v>2308</v>
      </c>
      <c r="K2606" s="699">
        <f>F2606*I2606</f>
        <v>36.659999999999997</v>
      </c>
      <c r="S2606" s="703">
        <v>2</v>
      </c>
      <c r="T2606" s="700" t="s">
        <v>1898</v>
      </c>
      <c r="U2606" s="699" t="s">
        <v>2005</v>
      </c>
      <c r="V2606" s="780">
        <v>7.5</v>
      </c>
      <c r="W2606" s="702" t="s">
        <v>1418</v>
      </c>
      <c r="X2606" s="699">
        <f t="shared" si="256"/>
        <v>15</v>
      </c>
      <c r="Y2606" s="796"/>
      <c r="Z2606" s="699">
        <v>20</v>
      </c>
      <c r="AC2606" s="700"/>
      <c r="AF2606" s="702"/>
    </row>
    <row r="2607" spans="6:33" ht="24" customHeight="1">
      <c r="H2607" s="699" t="s">
        <v>125</v>
      </c>
      <c r="I2607" s="992">
        <v>266.81</v>
      </c>
      <c r="J2607" s="702" t="s">
        <v>450</v>
      </c>
      <c r="K2607" s="699">
        <f>I2607</f>
        <v>266.81</v>
      </c>
      <c r="S2607" s="703">
        <v>2</v>
      </c>
      <c r="T2607" s="700" t="s">
        <v>1898</v>
      </c>
      <c r="U2607" s="699" t="s">
        <v>2007</v>
      </c>
      <c r="V2607" s="699">
        <f t="shared" si="255"/>
        <v>45.9</v>
      </c>
      <c r="W2607" s="702" t="s">
        <v>1418</v>
      </c>
      <c r="X2607" s="699">
        <f t="shared" si="256"/>
        <v>91.8</v>
      </c>
      <c r="Z2607" s="699">
        <f>SUM(Z2596:Z2606)</f>
        <v>15416.89</v>
      </c>
      <c r="AB2607" s="699" t="s">
        <v>2112</v>
      </c>
      <c r="AC2607" s="700"/>
      <c r="AE2607" s="796">
        <f>2*4*0.825*0.3*0.01875</f>
        <v>3.7100000000000001E-2</v>
      </c>
      <c r="AF2607" s="702"/>
    </row>
    <row r="2608" spans="6:33" ht="24" customHeight="1">
      <c r="K2608" s="747" t="s">
        <v>148</v>
      </c>
      <c r="T2608" s="700"/>
      <c r="W2608" s="702"/>
      <c r="Z2608" s="699">
        <f>Z2607/3.485</f>
        <v>4423.78</v>
      </c>
      <c r="AB2608" s="699" t="s">
        <v>2113</v>
      </c>
      <c r="AC2608" s="700"/>
      <c r="AE2608" s="796">
        <f>2*0.825*0.3*0.01875</f>
        <v>9.2999999999999992E-3</v>
      </c>
      <c r="AF2608" s="702"/>
    </row>
    <row r="2609" spans="6:33" ht="24" customHeight="1">
      <c r="K2609" s="699">
        <f>SUM(K2604:K2607)</f>
        <v>5215.66</v>
      </c>
      <c r="S2609" s="703">
        <v>10</v>
      </c>
      <c r="T2609" s="700"/>
      <c r="U2609" s="699" t="s">
        <v>1159</v>
      </c>
      <c r="V2609" s="699">
        <f>I2640</f>
        <v>2.39</v>
      </c>
      <c r="W2609" s="702"/>
      <c r="X2609" s="699">
        <f t="shared" si="256"/>
        <v>23.9</v>
      </c>
      <c r="AC2609" s="700"/>
      <c r="AE2609" s="997">
        <f>SUM(AE2607:AE2608)</f>
        <v>4.6399999999999997E-2</v>
      </c>
      <c r="AF2609" s="702"/>
    </row>
    <row r="2610" spans="6:33" ht="24" customHeight="1">
      <c r="H2610" s="699" t="s">
        <v>126</v>
      </c>
      <c r="I2610" s="992">
        <v>255</v>
      </c>
      <c r="J2610" s="702" t="s">
        <v>450</v>
      </c>
      <c r="K2610" s="699">
        <v>255</v>
      </c>
      <c r="T2610" s="839"/>
      <c r="U2610" s="758" t="s">
        <v>556</v>
      </c>
      <c r="W2610" s="702"/>
      <c r="X2610" s="758">
        <f>SUM(X2598:X2609)</f>
        <v>18755.29</v>
      </c>
      <c r="AC2610" s="700"/>
      <c r="AD2610" s="758" t="s">
        <v>1647</v>
      </c>
      <c r="AF2610" s="702"/>
    </row>
    <row r="2611" spans="6:33" ht="24" customHeight="1">
      <c r="K2611" s="747" t="s">
        <v>148</v>
      </c>
      <c r="T2611" s="839"/>
      <c r="U2611" s="758"/>
      <c r="W2611" s="702"/>
      <c r="X2611" s="747" t="s">
        <v>148</v>
      </c>
      <c r="AC2611" s="700"/>
      <c r="AF2611" s="702"/>
    </row>
    <row r="2612" spans="6:33" ht="24" customHeight="1">
      <c r="H2612" s="758" t="s">
        <v>127</v>
      </c>
      <c r="K2612" s="758">
        <f>SUM(K2609:K2610)</f>
        <v>5470.66</v>
      </c>
      <c r="M2612" s="699">
        <f>5227-K2612</f>
        <v>-243.66</v>
      </c>
      <c r="T2612" s="839"/>
      <c r="U2612" s="758" t="s">
        <v>2523</v>
      </c>
      <c r="W2612" s="702"/>
      <c r="X2612" s="758">
        <f>X2610/3.4425</f>
        <v>5448.16</v>
      </c>
      <c r="AB2612" s="796">
        <f>AE2601</f>
        <v>2.2800000000000001E-2</v>
      </c>
      <c r="AC2612" s="700" t="s">
        <v>878</v>
      </c>
      <c r="AD2612" s="699" t="s">
        <v>2521</v>
      </c>
      <c r="AE2612" s="699">
        <f>V2598</f>
        <v>111600</v>
      </c>
      <c r="AF2612" s="702" t="s">
        <v>878</v>
      </c>
      <c r="AG2612" s="699">
        <f>AB2612*AE2612</f>
        <v>2544.48</v>
      </c>
    </row>
    <row r="2613" spans="6:33" ht="24" customHeight="1">
      <c r="K2613" s="747" t="s">
        <v>148</v>
      </c>
      <c r="AB2613" s="796">
        <f>AE2604</f>
        <v>4.8099999999999997E-2</v>
      </c>
      <c r="AC2613" s="700" t="s">
        <v>878</v>
      </c>
      <c r="AD2613" s="699" t="s">
        <v>2522</v>
      </c>
      <c r="AE2613" s="699">
        <f t="shared" ref="AE2613:AE2621" si="257">V2599</f>
        <v>99400</v>
      </c>
      <c r="AF2613" s="702" t="s">
        <v>878</v>
      </c>
      <c r="AG2613" s="699">
        <f t="shared" ref="AG2613:AG2621" si="258">AB2613*AE2613</f>
        <v>4781.1400000000003</v>
      </c>
    </row>
    <row r="2614" spans="6:33" ht="24" customHeight="1">
      <c r="AB2614" s="838">
        <f>AE2609</f>
        <v>4.6399999999999997E-2</v>
      </c>
      <c r="AC2614" s="700" t="s">
        <v>878</v>
      </c>
      <c r="AD2614" s="699" t="s">
        <v>947</v>
      </c>
      <c r="AE2614" s="699">
        <f t="shared" si="257"/>
        <v>107000</v>
      </c>
      <c r="AF2614" s="702" t="s">
        <v>878</v>
      </c>
      <c r="AG2614" s="699">
        <f t="shared" si="258"/>
        <v>4964.8</v>
      </c>
    </row>
    <row r="2615" spans="6:33" ht="24" customHeight="1">
      <c r="AB2615" s="796">
        <f>AE2600</f>
        <v>3.8475000000000001</v>
      </c>
      <c r="AC2615" s="700" t="s">
        <v>615</v>
      </c>
      <c r="AD2615" s="699" t="s">
        <v>892</v>
      </c>
      <c r="AE2615" s="699">
        <f t="shared" si="257"/>
        <v>1325</v>
      </c>
      <c r="AF2615" s="702" t="s">
        <v>615</v>
      </c>
      <c r="AG2615" s="699">
        <f t="shared" si="258"/>
        <v>5097.9399999999996</v>
      </c>
    </row>
    <row r="2616" spans="6:33" ht="24" customHeight="1">
      <c r="H2616" s="758" t="s">
        <v>4006</v>
      </c>
      <c r="I2616" s="758"/>
      <c r="AB2616" s="699">
        <v>2</v>
      </c>
      <c r="AC2616" s="700" t="s">
        <v>1898</v>
      </c>
      <c r="AD2616" s="699" t="s">
        <v>2150</v>
      </c>
      <c r="AE2616" s="699">
        <f t="shared" si="257"/>
        <v>450</v>
      </c>
      <c r="AF2616" s="702" t="s">
        <v>1418</v>
      </c>
      <c r="AG2616" s="699">
        <f t="shared" si="258"/>
        <v>900</v>
      </c>
    </row>
    <row r="2617" spans="6:33" ht="24" customHeight="1">
      <c r="AB2617" s="699">
        <v>6</v>
      </c>
      <c r="AC2617" s="700" t="s">
        <v>1898</v>
      </c>
      <c r="AD2617" s="699" t="s">
        <v>1116</v>
      </c>
      <c r="AE2617" s="699">
        <f t="shared" si="257"/>
        <v>79</v>
      </c>
      <c r="AF2617" s="702" t="s">
        <v>1418</v>
      </c>
      <c r="AG2617" s="699">
        <f t="shared" si="258"/>
        <v>474</v>
      </c>
    </row>
    <row r="2618" spans="6:33" ht="24" customHeight="1">
      <c r="F2618" s="699" t="s">
        <v>459</v>
      </c>
      <c r="AB2618" s="699">
        <v>4</v>
      </c>
      <c r="AC2618" s="700" t="s">
        <v>1898</v>
      </c>
      <c r="AD2618" s="699" t="s">
        <v>1368</v>
      </c>
      <c r="AE2618" s="699">
        <f t="shared" si="257"/>
        <v>130</v>
      </c>
      <c r="AF2618" s="702" t="s">
        <v>1418</v>
      </c>
      <c r="AG2618" s="699">
        <f t="shared" si="258"/>
        <v>520</v>
      </c>
    </row>
    <row r="2619" spans="6:33" ht="24" customHeight="1">
      <c r="F2619" s="699" t="s">
        <v>1957</v>
      </c>
      <c r="I2619" s="996">
        <v>2.2800000000000001E-2</v>
      </c>
      <c r="AB2619" s="699">
        <v>1</v>
      </c>
      <c r="AC2619" s="700" t="s">
        <v>1898</v>
      </c>
      <c r="AD2619" s="699" t="s">
        <v>1369</v>
      </c>
      <c r="AE2619" s="699">
        <f t="shared" si="257"/>
        <v>985</v>
      </c>
      <c r="AF2619" s="702" t="s">
        <v>1418</v>
      </c>
      <c r="AG2619" s="699">
        <f t="shared" si="258"/>
        <v>985</v>
      </c>
    </row>
    <row r="2620" spans="6:33" ht="24" customHeight="1">
      <c r="F2620" s="699" t="s">
        <v>1958</v>
      </c>
      <c r="I2620" s="796">
        <v>2.3599999999999999E-2</v>
      </c>
      <c r="AB2620" s="699">
        <v>2</v>
      </c>
      <c r="AC2620" s="700" t="s">
        <v>1898</v>
      </c>
      <c r="AD2620" s="699" t="s">
        <v>2005</v>
      </c>
      <c r="AE2620" s="699">
        <f t="shared" si="257"/>
        <v>7.5</v>
      </c>
      <c r="AF2620" s="702" t="s">
        <v>1418</v>
      </c>
      <c r="AG2620" s="699">
        <f t="shared" si="258"/>
        <v>15</v>
      </c>
    </row>
    <row r="2621" spans="6:33" ht="24" customHeight="1">
      <c r="G2621" s="700" t="s">
        <v>2101</v>
      </c>
      <c r="I2621" s="796">
        <v>1.18E-2</v>
      </c>
      <c r="AB2621" s="699">
        <v>2</v>
      </c>
      <c r="AC2621" s="700" t="s">
        <v>1898</v>
      </c>
      <c r="AD2621" s="699" t="s">
        <v>2007</v>
      </c>
      <c r="AE2621" s="699">
        <f t="shared" si="257"/>
        <v>45.9</v>
      </c>
      <c r="AF2621" s="702" t="s">
        <v>1418</v>
      </c>
      <c r="AG2621" s="699">
        <f t="shared" si="258"/>
        <v>91.8</v>
      </c>
    </row>
    <row r="2622" spans="6:33" ht="24" customHeight="1">
      <c r="I2622" s="997">
        <f>SUM(I2620:I2621)</f>
        <v>3.5400000000000001E-2</v>
      </c>
      <c r="AC2622" s="700"/>
      <c r="AF2622" s="702"/>
    </row>
    <row r="2623" spans="6:33" ht="24" customHeight="1">
      <c r="N2623" s="700"/>
      <c r="O2623" s="758" t="s">
        <v>4007</v>
      </c>
      <c r="Q2623" s="702"/>
      <c r="AC2623" s="700"/>
      <c r="AF2623" s="702"/>
      <c r="AG2623" s="747">
        <v>10.54</v>
      </c>
    </row>
    <row r="2624" spans="6:33" ht="24" customHeight="1">
      <c r="N2624" s="700"/>
      <c r="Q2624" s="702"/>
      <c r="AC2624" s="839"/>
      <c r="AD2624" s="758" t="s">
        <v>556</v>
      </c>
      <c r="AF2624" s="702"/>
      <c r="AG2624" s="758">
        <f>SUM(AG2612:AG2623)</f>
        <v>20384.7</v>
      </c>
    </row>
    <row r="2625" spans="6:33" ht="24" customHeight="1">
      <c r="F2625" s="699" t="s">
        <v>2102</v>
      </c>
      <c r="I2625" s="796">
        <v>2.5899999999999999E-2</v>
      </c>
      <c r="M2625" s="699" t="s">
        <v>1895</v>
      </c>
      <c r="N2625" s="700"/>
      <c r="Q2625" s="702"/>
      <c r="AC2625" s="839"/>
      <c r="AD2625" s="758"/>
      <c r="AF2625" s="702"/>
      <c r="AG2625" s="747" t="s">
        <v>148</v>
      </c>
    </row>
    <row r="2626" spans="6:33" ht="24" customHeight="1">
      <c r="F2626" s="699" t="s">
        <v>421</v>
      </c>
      <c r="I2626" s="796">
        <f>2*0.575*0.3*0.01875</f>
        <v>6.4999999999999997E-3</v>
      </c>
      <c r="K2626" s="699">
        <f>3643035-3769622.98</f>
        <v>-126587.98</v>
      </c>
      <c r="M2626" s="699" t="s">
        <v>1957</v>
      </c>
      <c r="N2626" s="700"/>
      <c r="P2626" s="996">
        <v>2.2800000000000001E-2</v>
      </c>
      <c r="Q2626" s="702"/>
      <c r="AC2626" s="839"/>
      <c r="AD2626" s="758" t="s">
        <v>2114</v>
      </c>
      <c r="AF2626" s="702"/>
      <c r="AG2626" s="758">
        <f>AG2624/3.8475</f>
        <v>5298.17</v>
      </c>
    </row>
    <row r="2627" spans="6:33" ht="24" customHeight="1">
      <c r="I2627" s="997">
        <f>SUM(I2625:I2626)</f>
        <v>3.2399999999999998E-2</v>
      </c>
      <c r="M2627" s="699" t="s">
        <v>1896</v>
      </c>
      <c r="N2627" s="700"/>
      <c r="P2627" s="796">
        <v>1.8599999999999998E-2</v>
      </c>
      <c r="Q2627" s="702"/>
    </row>
    <row r="2628" spans="6:33" ht="24" customHeight="1">
      <c r="H2628" s="758" t="s">
        <v>1647</v>
      </c>
      <c r="N2628" s="700" t="s">
        <v>405</v>
      </c>
      <c r="P2628" s="796">
        <v>9.2999999999999992E-3</v>
      </c>
      <c r="Q2628" s="702"/>
    </row>
    <row r="2629" spans="6:33" ht="24" customHeight="1">
      <c r="N2629" s="700"/>
      <c r="P2629" s="997">
        <f>SUM(P2627:P2628)</f>
        <v>2.7900000000000001E-2</v>
      </c>
      <c r="Q2629" s="702"/>
    </row>
    <row r="2630" spans="6:33" ht="24" customHeight="1">
      <c r="F2630" s="796">
        <v>2.2800000000000001E-2</v>
      </c>
      <c r="G2630" s="700" t="s">
        <v>878</v>
      </c>
      <c r="H2630" s="699" t="s">
        <v>3181</v>
      </c>
      <c r="I2630" s="699">
        <f>AC24</f>
        <v>111600</v>
      </c>
      <c r="J2630" s="702" t="s">
        <v>878</v>
      </c>
      <c r="K2630" s="699">
        <f>F2630*I2630</f>
        <v>2544.48</v>
      </c>
      <c r="N2630" s="700"/>
      <c r="Q2630" s="702"/>
    </row>
    <row r="2631" spans="6:33" ht="24" customHeight="1">
      <c r="F2631" s="796">
        <v>3.5400000000000001E-2</v>
      </c>
      <c r="G2631" s="700" t="s">
        <v>878</v>
      </c>
      <c r="H2631" s="699" t="s">
        <v>2522</v>
      </c>
      <c r="I2631" s="699">
        <f>AC25</f>
        <v>99400</v>
      </c>
      <c r="J2631" s="702" t="s">
        <v>878</v>
      </c>
      <c r="K2631" s="699">
        <f t="shared" ref="K2631:K2640" si="259">F2631*I2631</f>
        <v>3518.76</v>
      </c>
      <c r="N2631" s="700"/>
      <c r="Q2631" s="702"/>
    </row>
    <row r="2632" spans="6:33" ht="24" customHeight="1">
      <c r="F2632" s="838">
        <v>3.2300000000000002E-2</v>
      </c>
      <c r="G2632" s="700" t="s">
        <v>878</v>
      </c>
      <c r="H2632" s="699" t="s">
        <v>5098</v>
      </c>
      <c r="I2632" s="744">
        <v>107000</v>
      </c>
      <c r="J2632" s="702" t="s">
        <v>878</v>
      </c>
      <c r="K2632" s="699">
        <f t="shared" si="259"/>
        <v>3456.1</v>
      </c>
      <c r="M2632" s="699" t="s">
        <v>404</v>
      </c>
      <c r="N2632" s="700"/>
      <c r="P2632" s="796">
        <v>1.9E-2</v>
      </c>
      <c r="Q2632" s="702"/>
      <c r="AB2632" s="703"/>
      <c r="AC2632" s="700"/>
      <c r="AD2632" s="758" t="s">
        <v>3784</v>
      </c>
      <c r="AF2632" s="702"/>
    </row>
    <row r="2633" spans="6:33" ht="24" customHeight="1">
      <c r="F2633" s="703">
        <v>2.835</v>
      </c>
      <c r="G2633" s="700" t="s">
        <v>615</v>
      </c>
      <c r="H2633" s="699" t="s">
        <v>892</v>
      </c>
      <c r="I2633" s="699">
        <f>AE28</f>
        <v>1325</v>
      </c>
      <c r="J2633" s="702" t="s">
        <v>615</v>
      </c>
      <c r="K2633" s="699">
        <f t="shared" si="259"/>
        <v>3756.38</v>
      </c>
      <c r="M2633" s="699" t="s">
        <v>350</v>
      </c>
      <c r="N2633" s="700"/>
      <c r="P2633" s="796">
        <v>4.7999999999999996E-3</v>
      </c>
      <c r="Q2633" s="702"/>
      <c r="AB2633" s="703"/>
      <c r="AC2633" s="700"/>
      <c r="AD2633" s="758" t="s">
        <v>3912</v>
      </c>
      <c r="AF2633" s="702"/>
    </row>
    <row r="2634" spans="6:33" ht="24" customHeight="1">
      <c r="F2634" s="699">
        <v>2</v>
      </c>
      <c r="G2634" s="700" t="s">
        <v>1898</v>
      </c>
      <c r="H2634" s="699" t="s">
        <v>3785</v>
      </c>
      <c r="I2634" s="780">
        <v>450</v>
      </c>
      <c r="J2634" s="702" t="s">
        <v>1418</v>
      </c>
      <c r="K2634" s="699">
        <f t="shared" si="259"/>
        <v>900</v>
      </c>
      <c r="N2634" s="700"/>
      <c r="P2634" s="997">
        <f>SUM(P2632:P2633)</f>
        <v>2.3800000000000002E-2</v>
      </c>
      <c r="Q2634" s="702"/>
      <c r="AB2634" s="703" t="s">
        <v>2516</v>
      </c>
      <c r="AC2634" s="700"/>
      <c r="AE2634" s="996">
        <f>2*0.85*2.025</f>
        <v>3.4424999999999999</v>
      </c>
      <c r="AF2634" s="702"/>
    </row>
    <row r="2635" spans="6:33" ht="24" customHeight="1">
      <c r="F2635" s="699">
        <v>6</v>
      </c>
      <c r="G2635" s="700" t="s">
        <v>1898</v>
      </c>
      <c r="H2635" s="699" t="s">
        <v>3786</v>
      </c>
      <c r="I2635" s="998">
        <v>79</v>
      </c>
      <c r="J2635" s="702" t="s">
        <v>1418</v>
      </c>
      <c r="K2635" s="699">
        <f t="shared" si="259"/>
        <v>474</v>
      </c>
      <c r="N2635" s="700"/>
      <c r="O2635" s="758" t="s">
        <v>1647</v>
      </c>
      <c r="Q2635" s="702"/>
      <c r="AB2635" s="703" t="s">
        <v>1957</v>
      </c>
      <c r="AC2635" s="700"/>
      <c r="AE2635" s="996">
        <v>2.2800000000000001E-2</v>
      </c>
      <c r="AF2635" s="702"/>
    </row>
    <row r="2636" spans="6:33" ht="24" customHeight="1">
      <c r="F2636" s="699">
        <v>4</v>
      </c>
      <c r="G2636" s="700" t="s">
        <v>1898</v>
      </c>
      <c r="H2636" s="699" t="s">
        <v>3787</v>
      </c>
      <c r="I2636" s="998">
        <v>130</v>
      </c>
      <c r="J2636" s="702" t="s">
        <v>1418</v>
      </c>
      <c r="K2636" s="699">
        <f t="shared" si="259"/>
        <v>520</v>
      </c>
      <c r="N2636" s="700"/>
      <c r="Q2636" s="702"/>
      <c r="AB2636" s="703" t="s">
        <v>2517</v>
      </c>
      <c r="AC2636" s="700"/>
      <c r="AE2636" s="796">
        <f>2*3*0.85*0.15*0.0375</f>
        <v>2.87E-2</v>
      </c>
      <c r="AF2636" s="702"/>
    </row>
    <row r="2637" spans="6:33" ht="24" customHeight="1">
      <c r="F2637" s="699">
        <v>1</v>
      </c>
      <c r="G2637" s="700" t="s">
        <v>1898</v>
      </c>
      <c r="H2637" s="699" t="s">
        <v>3788</v>
      </c>
      <c r="I2637" s="998">
        <v>985</v>
      </c>
      <c r="J2637" s="702" t="s">
        <v>1418</v>
      </c>
      <c r="K2637" s="699">
        <f t="shared" si="259"/>
        <v>985</v>
      </c>
      <c r="M2637" s="796">
        <f>P2626</f>
        <v>2.2800000000000001E-2</v>
      </c>
      <c r="N2637" s="700" t="s">
        <v>878</v>
      </c>
      <c r="O2637" s="699" t="s">
        <v>2521</v>
      </c>
      <c r="P2637" s="699">
        <f>I2630</f>
        <v>111600</v>
      </c>
      <c r="Q2637" s="702" t="s">
        <v>878</v>
      </c>
      <c r="R2637" s="699">
        <f>M2637*P2637</f>
        <v>2544.48</v>
      </c>
      <c r="AB2637" s="703"/>
      <c r="AC2637" s="700" t="s">
        <v>2518</v>
      </c>
      <c r="AE2637" s="796">
        <f>2*3*0.85*0.075*0.0375</f>
        <v>1.43E-2</v>
      </c>
      <c r="AF2637" s="702"/>
    </row>
    <row r="2638" spans="6:33" ht="24" customHeight="1">
      <c r="F2638" s="699">
        <v>2</v>
      </c>
      <c r="G2638" s="700" t="s">
        <v>1898</v>
      </c>
      <c r="H2638" s="699" t="s">
        <v>5099</v>
      </c>
      <c r="I2638" s="699">
        <v>22.9</v>
      </c>
      <c r="J2638" s="702" t="s">
        <v>1418</v>
      </c>
      <c r="K2638" s="699">
        <f t="shared" si="259"/>
        <v>45.8</v>
      </c>
      <c r="M2638" s="796">
        <f>P2629</f>
        <v>2.7900000000000001E-2</v>
      </c>
      <c r="N2638" s="700" t="s">
        <v>878</v>
      </c>
      <c r="O2638" s="699" t="s">
        <v>2522</v>
      </c>
      <c r="P2638" s="699">
        <f t="shared" ref="P2638:P2646" si="260">I2631</f>
        <v>99400</v>
      </c>
      <c r="Q2638" s="702" t="s">
        <v>878</v>
      </c>
      <c r="R2638" s="699">
        <f t="shared" ref="R2638:R2646" si="261">M2638*P2638</f>
        <v>2773.26</v>
      </c>
      <c r="AA2638" s="703"/>
      <c r="AB2638" s="703"/>
      <c r="AC2638" s="700"/>
      <c r="AE2638" s="997">
        <f>SUM(AE2636:AE2637)</f>
        <v>4.2999999999999997E-2</v>
      </c>
      <c r="AF2638" s="702"/>
    </row>
    <row r="2639" spans="6:33" ht="24" customHeight="1">
      <c r="F2639" s="699">
        <v>2</v>
      </c>
      <c r="G2639" s="700" t="s">
        <v>1898</v>
      </c>
      <c r="H2639" s="699" t="s">
        <v>5100</v>
      </c>
      <c r="I2639" s="699">
        <v>45.9</v>
      </c>
      <c r="J2639" s="702" t="s">
        <v>1418</v>
      </c>
      <c r="K2639" s="699">
        <f t="shared" si="259"/>
        <v>91.8</v>
      </c>
      <c r="M2639" s="838">
        <f>P2634</f>
        <v>2.3800000000000002E-2</v>
      </c>
      <c r="N2639" s="700" t="s">
        <v>878</v>
      </c>
      <c r="O2639" s="699" t="s">
        <v>4005</v>
      </c>
      <c r="P2639" s="699">
        <f t="shared" si="260"/>
        <v>107000</v>
      </c>
      <c r="Q2639" s="702" t="s">
        <v>878</v>
      </c>
      <c r="R2639" s="699">
        <f t="shared" si="261"/>
        <v>2546.6</v>
      </c>
      <c r="AA2639" s="703"/>
      <c r="AB2639" s="703"/>
      <c r="AC2639" s="700"/>
      <c r="AF2639" s="702"/>
    </row>
    <row r="2640" spans="6:33" ht="24" customHeight="1">
      <c r="F2640" s="699">
        <v>118</v>
      </c>
      <c r="H2640" s="699" t="s">
        <v>1159</v>
      </c>
      <c r="I2640" s="744">
        <f>P2828</f>
        <v>2.39</v>
      </c>
      <c r="K2640" s="699">
        <f t="shared" si="259"/>
        <v>282.02</v>
      </c>
      <c r="M2640" s="703">
        <v>2.23</v>
      </c>
      <c r="N2640" s="700" t="s">
        <v>615</v>
      </c>
      <c r="O2640" s="699" t="s">
        <v>892</v>
      </c>
      <c r="P2640" s="699">
        <f t="shared" si="260"/>
        <v>1325</v>
      </c>
      <c r="Q2640" s="702" t="s">
        <v>615</v>
      </c>
      <c r="R2640" s="699">
        <f t="shared" si="261"/>
        <v>2954.75</v>
      </c>
      <c r="AA2640" s="703"/>
      <c r="AB2640" s="703"/>
      <c r="AC2640" s="700"/>
      <c r="AF2640" s="702"/>
    </row>
    <row r="2641" spans="6:34" ht="24" customHeight="1">
      <c r="K2641" s="747"/>
      <c r="M2641" s="699">
        <v>2</v>
      </c>
      <c r="N2641" s="700" t="s">
        <v>1898</v>
      </c>
      <c r="O2641" s="758" t="s">
        <v>3785</v>
      </c>
      <c r="P2641" s="699">
        <f t="shared" si="260"/>
        <v>450</v>
      </c>
      <c r="Q2641" s="702" t="s">
        <v>1418</v>
      </c>
      <c r="R2641" s="699">
        <f t="shared" si="261"/>
        <v>900</v>
      </c>
      <c r="AA2641" s="703"/>
      <c r="AB2641" s="703" t="s">
        <v>2519</v>
      </c>
      <c r="AC2641" s="700"/>
      <c r="AE2641" s="796">
        <f>2*4*0.725*0.3*0.01875</f>
        <v>3.2599999999999997E-2</v>
      </c>
      <c r="AF2641" s="702"/>
    </row>
    <row r="2642" spans="6:34" ht="24" customHeight="1">
      <c r="G2642" s="839"/>
      <c r="H2642" s="758" t="s">
        <v>556</v>
      </c>
      <c r="K2642" s="758">
        <f>SUM(K2630:K2641)</f>
        <v>16574.34</v>
      </c>
      <c r="L2642" s="999"/>
      <c r="M2642" s="699">
        <v>6</v>
      </c>
      <c r="N2642" s="700" t="s">
        <v>1898</v>
      </c>
      <c r="O2642" s="758" t="s">
        <v>3786</v>
      </c>
      <c r="P2642" s="699">
        <f t="shared" si="260"/>
        <v>79</v>
      </c>
      <c r="Q2642" s="702" t="s">
        <v>1418</v>
      </c>
      <c r="R2642" s="699">
        <f t="shared" si="261"/>
        <v>474</v>
      </c>
      <c r="AA2642" s="703"/>
      <c r="AB2642" s="703" t="s">
        <v>2520</v>
      </c>
      <c r="AC2642" s="700"/>
      <c r="AE2642" s="796">
        <f>2*0.725*0.3*0.01875</f>
        <v>8.2000000000000007E-3</v>
      </c>
      <c r="AF2642" s="702"/>
    </row>
    <row r="2643" spans="6:34" ht="24" customHeight="1">
      <c r="G2643" s="839"/>
      <c r="H2643" s="758"/>
      <c r="K2643" s="747" t="s">
        <v>148</v>
      </c>
      <c r="M2643" s="699">
        <v>4</v>
      </c>
      <c r="N2643" s="700" t="s">
        <v>1898</v>
      </c>
      <c r="O2643" s="758" t="s">
        <v>3787</v>
      </c>
      <c r="P2643" s="699">
        <f t="shared" si="260"/>
        <v>130</v>
      </c>
      <c r="Q2643" s="702" t="s">
        <v>1418</v>
      </c>
      <c r="R2643" s="699">
        <f t="shared" si="261"/>
        <v>520</v>
      </c>
      <c r="AA2643" s="703"/>
      <c r="AB2643" s="703"/>
      <c r="AC2643" s="700"/>
      <c r="AE2643" s="997">
        <f>SUM(AE2641:AE2642)</f>
        <v>4.0800000000000003E-2</v>
      </c>
      <c r="AF2643" s="702"/>
    </row>
    <row r="2644" spans="6:34" ht="24" customHeight="1">
      <c r="G2644" s="839"/>
      <c r="H2644" s="758" t="s">
        <v>2108</v>
      </c>
      <c r="K2644" s="758">
        <f>K2642/2.835</f>
        <v>5846.33</v>
      </c>
      <c r="M2644" s="699">
        <v>1</v>
      </c>
      <c r="N2644" s="700" t="s">
        <v>1898</v>
      </c>
      <c r="O2644" s="758" t="s">
        <v>3788</v>
      </c>
      <c r="P2644" s="699">
        <f t="shared" si="260"/>
        <v>985</v>
      </c>
      <c r="Q2644" s="702" t="s">
        <v>1418</v>
      </c>
      <c r="R2644" s="699">
        <f t="shared" si="261"/>
        <v>985</v>
      </c>
      <c r="AA2644" s="703"/>
      <c r="AB2644" s="703"/>
      <c r="AC2644" s="700"/>
      <c r="AD2644" s="758" t="s">
        <v>1647</v>
      </c>
      <c r="AF2644" s="702"/>
      <c r="AH2644" s="796"/>
    </row>
    <row r="2645" spans="6:34" ht="24" customHeight="1">
      <c r="G2645" s="839"/>
      <c r="K2645" s="747" t="s">
        <v>148</v>
      </c>
      <c r="M2645" s="699">
        <v>2</v>
      </c>
      <c r="N2645" s="700" t="s">
        <v>1898</v>
      </c>
      <c r="O2645" s="699" t="s">
        <v>2005</v>
      </c>
      <c r="P2645" s="699">
        <f>C285</f>
        <v>7.3</v>
      </c>
      <c r="Q2645" s="702" t="s">
        <v>1418</v>
      </c>
      <c r="R2645" s="699">
        <f t="shared" si="261"/>
        <v>14.6</v>
      </c>
      <c r="AA2645" s="703"/>
      <c r="AB2645" s="703"/>
      <c r="AC2645" s="700"/>
      <c r="AF2645" s="702"/>
      <c r="AH2645" s="796"/>
    </row>
    <row r="2646" spans="6:34" ht="24" customHeight="1">
      <c r="F2646" s="1000" t="s">
        <v>889</v>
      </c>
      <c r="G2646" s="1001"/>
      <c r="H2646" s="729" t="s">
        <v>2024</v>
      </c>
      <c r="I2646" s="1002"/>
      <c r="J2646" s="1003"/>
      <c r="K2646" s="1002"/>
      <c r="M2646" s="699">
        <v>2</v>
      </c>
      <c r="N2646" s="700" t="s">
        <v>1898</v>
      </c>
      <c r="O2646" s="699" t="s">
        <v>2007</v>
      </c>
      <c r="P2646" s="699">
        <f t="shared" si="260"/>
        <v>45.9</v>
      </c>
      <c r="Q2646" s="702" t="s">
        <v>1418</v>
      </c>
      <c r="R2646" s="699">
        <f t="shared" si="261"/>
        <v>91.8</v>
      </c>
      <c r="AA2646" s="703"/>
      <c r="AB2646" s="796">
        <f>AE2635</f>
        <v>2.2800000000000001E-2</v>
      </c>
      <c r="AC2646" s="700" t="s">
        <v>878</v>
      </c>
      <c r="AD2646" s="699" t="s">
        <v>2521</v>
      </c>
      <c r="AE2646" s="699">
        <f>V2598</f>
        <v>111600</v>
      </c>
      <c r="AF2646" s="702" t="s">
        <v>878</v>
      </c>
      <c r="AG2646" s="699">
        <f>AB2646*AE2646</f>
        <v>2544.48</v>
      </c>
      <c r="AH2646" s="796"/>
    </row>
    <row r="2647" spans="6:34" ht="24" customHeight="1">
      <c r="F2647" s="1002"/>
      <c r="G2647" s="1001"/>
      <c r="H2647" s="1004" t="s">
        <v>1609</v>
      </c>
      <c r="I2647" s="1004" t="s">
        <v>1609</v>
      </c>
      <c r="J2647" s="729" t="s">
        <v>1609</v>
      </c>
      <c r="K2647" s="1002"/>
      <c r="N2647" s="700"/>
      <c r="Q2647" s="702"/>
      <c r="R2647" s="699">
        <v>21</v>
      </c>
      <c r="AA2647" s="703"/>
      <c r="AB2647" s="796">
        <f>AE2638</f>
        <v>4.2999999999999997E-2</v>
      </c>
      <c r="AC2647" s="700" t="s">
        <v>878</v>
      </c>
      <c r="AD2647" s="699" t="s">
        <v>2522</v>
      </c>
      <c r="AE2647" s="699">
        <f t="shared" ref="AE2647:AE2657" si="262">V2599</f>
        <v>99400</v>
      </c>
      <c r="AF2647" s="702" t="s">
        <v>878</v>
      </c>
      <c r="AG2647" s="699">
        <f t="shared" ref="AG2647:AG2657" si="263">AB2647*AE2647</f>
        <v>4274.2</v>
      </c>
      <c r="AH2647" s="796"/>
    </row>
    <row r="2648" spans="6:34" ht="37.5" customHeight="1">
      <c r="F2648" s="1002"/>
      <c r="G2648" s="1001"/>
      <c r="H2648" s="1002"/>
      <c r="I2648" s="1002"/>
      <c r="J2648" s="1003"/>
      <c r="K2648" s="1002"/>
      <c r="N2648" s="700"/>
      <c r="Q2648" s="702"/>
      <c r="R2648" s="747" t="s">
        <v>148</v>
      </c>
      <c r="AA2648" s="703"/>
      <c r="AB2648" s="796">
        <f>AE2643</f>
        <v>4.0800000000000003E-2</v>
      </c>
      <c r="AC2648" s="700" t="s">
        <v>878</v>
      </c>
      <c r="AD2648" s="933" t="s">
        <v>4005</v>
      </c>
      <c r="AE2648" s="699">
        <f t="shared" si="262"/>
        <v>107000</v>
      </c>
      <c r="AF2648" s="702" t="s">
        <v>878</v>
      </c>
      <c r="AG2648" s="699">
        <f t="shared" si="263"/>
        <v>4365.6000000000004</v>
      </c>
      <c r="AH2648" s="796"/>
    </row>
    <row r="2649" spans="6:34" ht="34.5" customHeight="1">
      <c r="F2649" s="1002"/>
      <c r="G2649" s="1001"/>
      <c r="H2649" s="729" t="s">
        <v>2025</v>
      </c>
      <c r="I2649" s="1002"/>
      <c r="J2649" s="1003"/>
      <c r="K2649" s="1002"/>
      <c r="N2649" s="839"/>
      <c r="O2649" s="758" t="s">
        <v>556</v>
      </c>
      <c r="Q2649" s="702"/>
      <c r="R2649" s="758">
        <f>SUM(R2637:R2647)</f>
        <v>13825.49</v>
      </c>
      <c r="AA2649" s="703"/>
      <c r="AB2649" s="796">
        <f>AE2634</f>
        <v>3.4424999999999999</v>
      </c>
      <c r="AC2649" s="700" t="s">
        <v>615</v>
      </c>
      <c r="AD2649" s="933" t="s">
        <v>892</v>
      </c>
      <c r="AE2649" s="699">
        <f t="shared" si="262"/>
        <v>1325</v>
      </c>
      <c r="AF2649" s="702" t="s">
        <v>615</v>
      </c>
      <c r="AG2649" s="699">
        <f t="shared" si="263"/>
        <v>4561.3100000000004</v>
      </c>
      <c r="AH2649" s="796"/>
    </row>
    <row r="2650" spans="6:34" ht="24" customHeight="1">
      <c r="F2650" s="1002"/>
      <c r="G2650" s="1001"/>
      <c r="H2650" s="729"/>
      <c r="I2650" s="1002"/>
      <c r="J2650" s="1003"/>
      <c r="K2650" s="1002"/>
      <c r="N2650" s="839"/>
      <c r="O2650" s="758"/>
      <c r="Q2650" s="702"/>
      <c r="R2650" s="747" t="s">
        <v>148</v>
      </c>
      <c r="AA2650" s="703"/>
      <c r="AB2650" s="703">
        <v>2</v>
      </c>
      <c r="AC2650" s="700" t="s">
        <v>1898</v>
      </c>
      <c r="AD2650" s="699" t="s">
        <v>3785</v>
      </c>
      <c r="AE2650" s="1005">
        <v>450</v>
      </c>
      <c r="AF2650" s="702" t="s">
        <v>1418</v>
      </c>
      <c r="AG2650" s="699">
        <f t="shared" si="263"/>
        <v>900</v>
      </c>
      <c r="AH2650" s="796"/>
    </row>
    <row r="2651" spans="6:34" ht="24" customHeight="1">
      <c r="F2651" s="1002"/>
      <c r="G2651" s="1001"/>
      <c r="H2651" s="729" t="s">
        <v>2026</v>
      </c>
      <c r="I2651" s="1002"/>
      <c r="J2651" s="1003"/>
      <c r="K2651" s="1002"/>
      <c r="N2651" s="839"/>
      <c r="O2651" s="758" t="s">
        <v>648</v>
      </c>
      <c r="Q2651" s="702"/>
      <c r="R2651" s="758">
        <f>R2649/M2640</f>
        <v>6199.77</v>
      </c>
      <c r="AA2651" s="703"/>
      <c r="AB2651" s="703">
        <v>6</v>
      </c>
      <c r="AC2651" s="700" t="s">
        <v>1898</v>
      </c>
      <c r="AD2651" s="699" t="s">
        <v>3786</v>
      </c>
      <c r="AE2651" s="1005">
        <v>79</v>
      </c>
      <c r="AF2651" s="702" t="s">
        <v>1418</v>
      </c>
      <c r="AG2651" s="699">
        <f t="shared" si="263"/>
        <v>474</v>
      </c>
      <c r="AH2651" s="796"/>
    </row>
    <row r="2652" spans="6:34" ht="24" customHeight="1">
      <c r="F2652" s="1002"/>
      <c r="G2652" s="1001"/>
      <c r="H2652" s="729" t="s">
        <v>455</v>
      </c>
      <c r="I2652" s="1002"/>
      <c r="J2652" s="1003"/>
      <c r="K2652" s="1002"/>
      <c r="N2652" s="839"/>
      <c r="Q2652" s="702"/>
      <c r="R2652" s="747" t="s">
        <v>148</v>
      </c>
      <c r="AA2652" s="796"/>
      <c r="AB2652" s="703">
        <v>4</v>
      </c>
      <c r="AC2652" s="700" t="s">
        <v>1898</v>
      </c>
      <c r="AD2652" s="699" t="s">
        <v>3787</v>
      </c>
      <c r="AE2652" s="1005">
        <v>130</v>
      </c>
      <c r="AF2652" s="702" t="s">
        <v>1418</v>
      </c>
      <c r="AG2652" s="699">
        <f t="shared" si="263"/>
        <v>520</v>
      </c>
      <c r="AH2652" s="796"/>
    </row>
    <row r="2653" spans="6:34" ht="24" customHeight="1">
      <c r="F2653" s="1002"/>
      <c r="G2653" s="1001"/>
      <c r="H2653" s="729" t="s">
        <v>456</v>
      </c>
      <c r="I2653" s="1002"/>
      <c r="J2653" s="1003"/>
      <c r="K2653" s="1002"/>
      <c r="M2653" s="699" t="s">
        <v>889</v>
      </c>
      <c r="O2653" s="699" t="s">
        <v>2024</v>
      </c>
      <c r="AA2653" s="796"/>
      <c r="AB2653" s="703">
        <v>1</v>
      </c>
      <c r="AC2653" s="700" t="s">
        <v>1898</v>
      </c>
      <c r="AD2653" s="699" t="s">
        <v>3788</v>
      </c>
      <c r="AE2653" s="1005">
        <v>985</v>
      </c>
      <c r="AF2653" s="702" t="s">
        <v>1418</v>
      </c>
      <c r="AG2653" s="699">
        <f t="shared" si="263"/>
        <v>985</v>
      </c>
      <c r="AH2653" s="796"/>
    </row>
    <row r="2654" spans="6:34" ht="24" customHeight="1">
      <c r="F2654" s="1002"/>
      <c r="G2654" s="1001"/>
      <c r="H2654" s="729" t="s">
        <v>457</v>
      </c>
      <c r="I2654" s="1002"/>
      <c r="J2654" s="1003"/>
      <c r="K2654" s="1002"/>
      <c r="O2654" s="699" t="s">
        <v>1609</v>
      </c>
      <c r="P2654" s="699" t="s">
        <v>1609</v>
      </c>
      <c r="Q2654" s="699" t="s">
        <v>1609</v>
      </c>
      <c r="AA2654" s="796"/>
      <c r="AB2654" s="703">
        <v>2</v>
      </c>
      <c r="AC2654" s="700" t="s">
        <v>1898</v>
      </c>
      <c r="AD2654" s="699" t="s">
        <v>3780</v>
      </c>
      <c r="AE2654" s="744">
        <v>24.6</v>
      </c>
      <c r="AF2654" s="702" t="s">
        <v>1418</v>
      </c>
      <c r="AG2654" s="699">
        <f t="shared" si="263"/>
        <v>49.2</v>
      </c>
      <c r="AH2654" s="796"/>
    </row>
    <row r="2655" spans="6:34" ht="24" customHeight="1">
      <c r="F2655" s="1002"/>
      <c r="G2655" s="1001"/>
      <c r="H2655" s="729" t="s">
        <v>890</v>
      </c>
      <c r="I2655" s="1002"/>
      <c r="J2655" s="729" t="s">
        <v>987</v>
      </c>
      <c r="K2655" s="1006">
        <v>3.7699999999999997E-2</v>
      </c>
      <c r="AA2655" s="796"/>
      <c r="AB2655" s="703">
        <v>2</v>
      </c>
      <c r="AC2655" s="700" t="s">
        <v>1898</v>
      </c>
      <c r="AD2655" s="699" t="s">
        <v>2007</v>
      </c>
      <c r="AE2655" s="699">
        <f t="shared" si="262"/>
        <v>45.9</v>
      </c>
      <c r="AF2655" s="702" t="s">
        <v>1418</v>
      </c>
      <c r="AG2655" s="699">
        <f t="shared" si="263"/>
        <v>91.8</v>
      </c>
    </row>
    <row r="2656" spans="6:34" ht="24" customHeight="1">
      <c r="F2656" s="1002"/>
      <c r="G2656" s="1001"/>
      <c r="H2656" s="729" t="s">
        <v>701</v>
      </c>
      <c r="I2656" s="1002"/>
      <c r="J2656" s="1007" t="s">
        <v>987</v>
      </c>
      <c r="K2656" s="1007" t="s">
        <v>987</v>
      </c>
      <c r="O2656" s="699" t="s">
        <v>2025</v>
      </c>
      <c r="AA2656" s="703"/>
      <c r="AB2656" s="703"/>
      <c r="AC2656" s="700"/>
      <c r="AE2656" s="699">
        <f t="shared" si="262"/>
        <v>0</v>
      </c>
      <c r="AF2656" s="702"/>
      <c r="AG2656" s="699">
        <f t="shared" si="263"/>
        <v>0</v>
      </c>
    </row>
    <row r="2657" spans="6:33" ht="24" customHeight="1">
      <c r="F2657" s="1002"/>
      <c r="G2657" s="1001"/>
      <c r="H2657" s="729" t="s">
        <v>1855</v>
      </c>
      <c r="I2657" s="1002"/>
      <c r="J2657" s="1003"/>
      <c r="K2657" s="1007" t="s">
        <v>987</v>
      </c>
      <c r="AA2657" s="703"/>
      <c r="AB2657" s="703">
        <v>118</v>
      </c>
      <c r="AC2657" s="700"/>
      <c r="AD2657" s="699" t="s">
        <v>1159</v>
      </c>
      <c r="AE2657" s="699">
        <f t="shared" si="262"/>
        <v>2.39</v>
      </c>
      <c r="AF2657" s="702"/>
      <c r="AG2657" s="699">
        <f t="shared" si="263"/>
        <v>282.02</v>
      </c>
    </row>
    <row r="2658" spans="6:33" ht="24" customHeight="1">
      <c r="F2658" s="1002"/>
      <c r="G2658" s="1001"/>
      <c r="H2658" s="1002"/>
      <c r="I2658" s="1002"/>
      <c r="J2658" s="1003"/>
      <c r="K2658" s="1002"/>
      <c r="O2658" s="699" t="s">
        <v>2026</v>
      </c>
      <c r="AA2658" s="703"/>
      <c r="AB2658" s="703"/>
      <c r="AC2658" s="839"/>
      <c r="AD2658" s="758" t="s">
        <v>556</v>
      </c>
      <c r="AF2658" s="702"/>
      <c r="AG2658" s="758">
        <f>SUM(AG2646:AG2657)</f>
        <v>19047.61</v>
      </c>
    </row>
    <row r="2659" spans="6:33" ht="24" customHeight="1">
      <c r="F2659" s="1008">
        <v>1.18E-2</v>
      </c>
      <c r="G2659" s="1009" t="s">
        <v>878</v>
      </c>
      <c r="H2659" s="729" t="s">
        <v>698</v>
      </c>
      <c r="I2659" s="1010">
        <f>AC24</f>
        <v>111600</v>
      </c>
      <c r="J2659" s="729" t="s">
        <v>878</v>
      </c>
      <c r="K2659" s="1010">
        <f t="shared" ref="K2659:K2668" si="264">(F2659*I2659)</f>
        <v>1316.88</v>
      </c>
      <c r="O2659" s="699" t="s">
        <v>455</v>
      </c>
      <c r="AA2659" s="703"/>
      <c r="AB2659" s="703"/>
      <c r="AC2659" s="839"/>
      <c r="AD2659" s="758"/>
      <c r="AF2659" s="702"/>
      <c r="AG2659" s="747" t="s">
        <v>148</v>
      </c>
    </row>
    <row r="2660" spans="6:33" ht="24" customHeight="1">
      <c r="F2660" s="1008">
        <v>3.7699999999999997E-2</v>
      </c>
      <c r="G2660" s="1009" t="s">
        <v>878</v>
      </c>
      <c r="H2660" s="729" t="s">
        <v>699</v>
      </c>
      <c r="I2660" s="1010">
        <f>AC25</f>
        <v>99400</v>
      </c>
      <c r="J2660" s="729" t="s">
        <v>878</v>
      </c>
      <c r="K2660" s="1010">
        <f t="shared" si="264"/>
        <v>3747.38</v>
      </c>
      <c r="O2660" s="699" t="s">
        <v>456</v>
      </c>
      <c r="AA2660" s="703"/>
      <c r="AB2660" s="703"/>
      <c r="AC2660" s="839"/>
      <c r="AD2660" s="758" t="s">
        <v>2523</v>
      </c>
      <c r="AF2660" s="702"/>
      <c r="AG2660" s="758">
        <f>AG2658/3.4425</f>
        <v>5533.07</v>
      </c>
    </row>
    <row r="2661" spans="6:33" ht="24" customHeight="1">
      <c r="F2661" s="1008">
        <v>1.8550000000000001E-2</v>
      </c>
      <c r="G2661" s="1009" t="s">
        <v>878</v>
      </c>
      <c r="H2661" s="729" t="s">
        <v>895</v>
      </c>
      <c r="I2661" s="1010">
        <f>AE31</f>
        <v>11800</v>
      </c>
      <c r="J2661" s="729" t="s">
        <v>878</v>
      </c>
      <c r="K2661" s="1010">
        <f t="shared" si="264"/>
        <v>218.89</v>
      </c>
      <c r="O2661" s="699" t="s">
        <v>457</v>
      </c>
      <c r="AA2661" s="703"/>
      <c r="AB2661" s="700"/>
      <c r="AE2661" s="702"/>
    </row>
    <row r="2662" spans="6:33" ht="24" customHeight="1">
      <c r="F2662" s="1008">
        <v>1.36</v>
      </c>
      <c r="G2662" s="1009" t="s">
        <v>615</v>
      </c>
      <c r="H2662" s="729" t="s">
        <v>896</v>
      </c>
      <c r="I2662" s="1011">
        <v>269.10000000000002</v>
      </c>
      <c r="J2662" s="729" t="s">
        <v>615</v>
      </c>
      <c r="K2662" s="1010">
        <f t="shared" si="264"/>
        <v>365.98</v>
      </c>
      <c r="O2662" s="699" t="s">
        <v>890</v>
      </c>
      <c r="Q2662" s="699" t="s">
        <v>987</v>
      </c>
      <c r="R2662" s="699">
        <v>0.04</v>
      </c>
      <c r="AA2662" s="703"/>
      <c r="AB2662" s="700"/>
      <c r="AE2662" s="702"/>
    </row>
    <row r="2663" spans="6:33" ht="24" customHeight="1">
      <c r="F2663" s="1008">
        <v>2.0499999999999998</v>
      </c>
      <c r="G2663" s="1009" t="s">
        <v>615</v>
      </c>
      <c r="H2663" s="729" t="s">
        <v>1528</v>
      </c>
      <c r="I2663" s="1010">
        <f>D28</f>
        <v>1105</v>
      </c>
      <c r="J2663" s="729" t="s">
        <v>615</v>
      </c>
      <c r="K2663" s="1010">
        <f t="shared" si="264"/>
        <v>2265.25</v>
      </c>
      <c r="O2663" s="699" t="s">
        <v>701</v>
      </c>
      <c r="Q2663" s="699" t="s">
        <v>987</v>
      </c>
      <c r="R2663" s="699" t="s">
        <v>987</v>
      </c>
      <c r="AA2663" s="703"/>
      <c r="AB2663" s="700"/>
      <c r="AE2663" s="702"/>
    </row>
    <row r="2664" spans="6:33" ht="24" customHeight="1">
      <c r="F2664" s="1010">
        <v>2</v>
      </c>
      <c r="G2664" s="1009" t="s">
        <v>877</v>
      </c>
      <c r="H2664" s="729" t="s">
        <v>1409</v>
      </c>
      <c r="I2664" s="1010">
        <f>E282</f>
        <v>52.8</v>
      </c>
      <c r="J2664" s="729" t="s">
        <v>877</v>
      </c>
      <c r="K2664" s="1010">
        <f t="shared" si="264"/>
        <v>105.6</v>
      </c>
      <c r="O2664" s="699" t="s">
        <v>1855</v>
      </c>
      <c r="R2664" s="699" t="s">
        <v>987</v>
      </c>
      <c r="AA2664" s="703"/>
      <c r="AB2664" s="839"/>
      <c r="AC2664" s="758"/>
      <c r="AE2664" s="702"/>
      <c r="AF2664" s="758"/>
    </row>
    <row r="2665" spans="6:33" ht="24" customHeight="1">
      <c r="F2665" s="1010">
        <v>6</v>
      </c>
      <c r="G2665" s="1009" t="s">
        <v>877</v>
      </c>
      <c r="H2665" s="729" t="s">
        <v>1363</v>
      </c>
      <c r="I2665" s="1010">
        <f>C279</f>
        <v>45.7</v>
      </c>
      <c r="J2665" s="729" t="s">
        <v>877</v>
      </c>
      <c r="K2665" s="1010">
        <f t="shared" si="264"/>
        <v>274.2</v>
      </c>
      <c r="AA2665" s="703"/>
      <c r="AB2665" s="839"/>
      <c r="AC2665" s="758"/>
      <c r="AE2665" s="702"/>
      <c r="AF2665" s="747"/>
    </row>
    <row r="2666" spans="6:33" ht="24" customHeight="1">
      <c r="F2666" s="1010">
        <v>2</v>
      </c>
      <c r="G2666" s="1009" t="s">
        <v>877</v>
      </c>
      <c r="H2666" s="1012" t="s">
        <v>2151</v>
      </c>
      <c r="I2666" s="1010">
        <f>I1131</f>
        <v>56.4</v>
      </c>
      <c r="J2666" s="729" t="s">
        <v>877</v>
      </c>
      <c r="K2666" s="1010">
        <f t="shared" si="264"/>
        <v>112.8</v>
      </c>
      <c r="M2666" s="699">
        <v>0.01</v>
      </c>
      <c r="N2666" s="699" t="s">
        <v>878</v>
      </c>
      <c r="O2666" s="699" t="s">
        <v>698</v>
      </c>
      <c r="P2666" s="699">
        <f>I2659</f>
        <v>111600</v>
      </c>
      <c r="Q2666" s="699" t="s">
        <v>878</v>
      </c>
      <c r="R2666" s="699">
        <v>764.29</v>
      </c>
      <c r="AA2666" s="703"/>
      <c r="AB2666" s="839"/>
      <c r="AC2666" s="758"/>
      <c r="AE2666" s="702"/>
      <c r="AF2666" s="758"/>
    </row>
    <row r="2667" spans="6:33" ht="24" customHeight="1">
      <c r="F2667" s="1010">
        <v>1</v>
      </c>
      <c r="G2667" s="1009" t="s">
        <v>877</v>
      </c>
      <c r="H2667" s="729" t="s">
        <v>1437</v>
      </c>
      <c r="I2667" s="1011">
        <f>I1132</f>
        <v>63.2</v>
      </c>
      <c r="J2667" s="729" t="s">
        <v>877</v>
      </c>
      <c r="K2667" s="1010">
        <f t="shared" si="264"/>
        <v>63.2</v>
      </c>
      <c r="M2667" s="699">
        <v>0.04</v>
      </c>
      <c r="N2667" s="699" t="s">
        <v>878</v>
      </c>
      <c r="O2667" s="699" t="s">
        <v>699</v>
      </c>
      <c r="P2667" s="699">
        <f>I2660</f>
        <v>99400</v>
      </c>
      <c r="Q2667" s="699" t="s">
        <v>878</v>
      </c>
      <c r="R2667" s="699">
        <v>2172.65</v>
      </c>
      <c r="AA2667" s="703"/>
    </row>
    <row r="2668" spans="6:33" ht="24" customHeight="1">
      <c r="F2668" s="1010">
        <v>2.52</v>
      </c>
      <c r="G2668" s="1009" t="s">
        <v>615</v>
      </c>
      <c r="H2668" s="729" t="s">
        <v>1738</v>
      </c>
      <c r="I2668" s="1010">
        <f>K1164</f>
        <v>172.13</v>
      </c>
      <c r="J2668" s="729" t="s">
        <v>615</v>
      </c>
      <c r="K2668" s="1010">
        <f t="shared" si="264"/>
        <v>433.77</v>
      </c>
      <c r="M2668" s="699">
        <v>0.02</v>
      </c>
      <c r="N2668" s="699" t="s">
        <v>878</v>
      </c>
      <c r="O2668" s="699" t="s">
        <v>895</v>
      </c>
      <c r="P2668" s="699">
        <f>I2661</f>
        <v>11800</v>
      </c>
      <c r="Q2668" s="699" t="s">
        <v>878</v>
      </c>
      <c r="R2668" s="699">
        <v>56.02</v>
      </c>
    </row>
    <row r="2669" spans="6:33" ht="24" customHeight="1">
      <c r="F2669" s="1002"/>
      <c r="G2669" s="1001"/>
      <c r="H2669" s="729" t="s">
        <v>1434</v>
      </c>
      <c r="I2669" s="1013" t="s">
        <v>450</v>
      </c>
      <c r="J2669" s="1003"/>
      <c r="K2669" s="1010">
        <v>2.13</v>
      </c>
      <c r="M2669" s="699">
        <v>1.36</v>
      </c>
      <c r="N2669" s="699" t="s">
        <v>615</v>
      </c>
      <c r="O2669" s="699" t="s">
        <v>896</v>
      </c>
      <c r="P2669" s="1014">
        <v>385.89</v>
      </c>
      <c r="Q2669" s="699" t="s">
        <v>615</v>
      </c>
      <c r="R2669" s="699">
        <v>524.80999999999995</v>
      </c>
    </row>
    <row r="2670" spans="6:33" ht="24" customHeight="1">
      <c r="F2670" s="1002"/>
      <c r="G2670" s="1001"/>
      <c r="H2670" s="1015"/>
      <c r="I2670" s="1015"/>
      <c r="J2670" s="1016"/>
      <c r="K2670" s="1017" t="s">
        <v>1609</v>
      </c>
      <c r="M2670" s="699">
        <v>2.0499999999999998</v>
      </c>
      <c r="N2670" s="699" t="s">
        <v>615</v>
      </c>
      <c r="O2670" s="699" t="s">
        <v>1528</v>
      </c>
      <c r="P2670" s="699">
        <f t="shared" ref="P2670:P2675" si="265">I2663</f>
        <v>1105</v>
      </c>
      <c r="Q2670" s="699" t="s">
        <v>615</v>
      </c>
      <c r="R2670" s="699">
        <v>586.29999999999995</v>
      </c>
    </row>
    <row r="2671" spans="6:33" ht="24" customHeight="1">
      <c r="F2671" s="1002"/>
      <c r="G2671" s="1001"/>
      <c r="H2671" s="1018" t="s">
        <v>1435</v>
      </c>
      <c r="I2671" s="1015"/>
      <c r="J2671" s="1016"/>
      <c r="K2671" s="1019">
        <f>SUM(K2659:K2669)</f>
        <v>8906.08</v>
      </c>
      <c r="M2671" s="699">
        <v>2</v>
      </c>
      <c r="N2671" s="699" t="s">
        <v>877</v>
      </c>
      <c r="O2671" s="699" t="s">
        <v>1409</v>
      </c>
      <c r="P2671" s="699">
        <f t="shared" si="265"/>
        <v>52.8</v>
      </c>
      <c r="Q2671" s="699" t="s">
        <v>877</v>
      </c>
      <c r="R2671" s="699">
        <v>50</v>
      </c>
    </row>
    <row r="2672" spans="6:33" ht="24" customHeight="1">
      <c r="F2672" s="1002"/>
      <c r="G2672" s="1009" t="s">
        <v>987</v>
      </c>
      <c r="H2672" s="1015"/>
      <c r="I2672" s="1015"/>
      <c r="J2672" s="1016"/>
      <c r="K2672" s="1017" t="s">
        <v>1609</v>
      </c>
      <c r="M2672" s="699">
        <v>6</v>
      </c>
      <c r="N2672" s="699" t="s">
        <v>877</v>
      </c>
      <c r="O2672" s="699" t="s">
        <v>1363</v>
      </c>
      <c r="P2672" s="699">
        <f t="shared" si="265"/>
        <v>45.7</v>
      </c>
      <c r="Q2672" s="699" t="s">
        <v>877</v>
      </c>
      <c r="R2672" s="699">
        <v>150</v>
      </c>
    </row>
    <row r="2673" spans="6:18" ht="24" customHeight="1">
      <c r="F2673" s="1002"/>
      <c r="G2673" s="1001"/>
      <c r="H2673" s="1018" t="s">
        <v>556</v>
      </c>
      <c r="I2673" s="1015"/>
      <c r="J2673" s="1016"/>
      <c r="K2673" s="1019">
        <f>K2671/2.52</f>
        <v>3534.16</v>
      </c>
      <c r="M2673" s="699">
        <v>2</v>
      </c>
      <c r="N2673" s="699" t="s">
        <v>877</v>
      </c>
      <c r="O2673" s="699" t="s">
        <v>1410</v>
      </c>
      <c r="P2673" s="699">
        <f t="shared" si="265"/>
        <v>56.4</v>
      </c>
      <c r="Q2673" s="699" t="s">
        <v>877</v>
      </c>
      <c r="R2673" s="699">
        <v>70</v>
      </c>
    </row>
    <row r="2674" spans="6:18" ht="24" customHeight="1">
      <c r="F2674" s="1002"/>
      <c r="G2674" s="1001"/>
      <c r="H2674" s="1015"/>
      <c r="I2674" s="1015"/>
      <c r="J2674" s="1016"/>
      <c r="K2674" s="1017" t="s">
        <v>2080</v>
      </c>
      <c r="M2674" s="699">
        <v>1</v>
      </c>
      <c r="N2674" s="699" t="s">
        <v>877</v>
      </c>
      <c r="O2674" s="699" t="s">
        <v>1437</v>
      </c>
      <c r="P2674" s="699">
        <f t="shared" si="265"/>
        <v>63.2</v>
      </c>
      <c r="Q2674" s="699" t="s">
        <v>877</v>
      </c>
      <c r="R2674" s="699">
        <v>60</v>
      </c>
    </row>
    <row r="2675" spans="6:18" ht="24" customHeight="1">
      <c r="F2675" s="1002"/>
      <c r="G2675" s="1001"/>
      <c r="H2675" s="1015"/>
      <c r="I2675" s="1015"/>
      <c r="J2675" s="1016"/>
      <c r="K2675" s="1015"/>
      <c r="M2675" s="699">
        <v>2.52</v>
      </c>
      <c r="N2675" s="699" t="s">
        <v>615</v>
      </c>
      <c r="O2675" s="699" t="s">
        <v>1738</v>
      </c>
      <c r="P2675" s="699">
        <f t="shared" si="265"/>
        <v>172.13</v>
      </c>
      <c r="Q2675" s="699" t="s">
        <v>615</v>
      </c>
      <c r="R2675" s="699">
        <v>124.71</v>
      </c>
    </row>
    <row r="2676" spans="6:18" ht="24" customHeight="1">
      <c r="F2676" s="999" t="s">
        <v>771</v>
      </c>
      <c r="G2676" s="999"/>
      <c r="H2676" s="999"/>
      <c r="I2676" s="999"/>
      <c r="J2676" s="999"/>
      <c r="K2676" s="999"/>
      <c r="O2676" s="699" t="s">
        <v>1434</v>
      </c>
      <c r="P2676" s="699" t="s">
        <v>450</v>
      </c>
      <c r="R2676" s="699">
        <v>0.28000000000000003</v>
      </c>
    </row>
    <row r="2677" spans="6:18" ht="24" customHeight="1">
      <c r="F2677" s="1020">
        <v>4</v>
      </c>
      <c r="G2677" s="700" t="s">
        <v>1046</v>
      </c>
      <c r="H2677" s="699" t="s">
        <v>1047</v>
      </c>
      <c r="I2677" s="699">
        <f>C391</f>
        <v>151.4</v>
      </c>
      <c r="J2677" s="702" t="s">
        <v>904</v>
      </c>
      <c r="K2677" s="1020">
        <f>I2677*F2677</f>
        <v>605.6</v>
      </c>
      <c r="R2677" s="699" t="s">
        <v>1609</v>
      </c>
    </row>
    <row r="2678" spans="6:18" ht="24" customHeight="1">
      <c r="F2678" s="1020">
        <v>2.52</v>
      </c>
      <c r="G2678" s="700" t="s">
        <v>904</v>
      </c>
      <c r="H2678" s="699" t="s">
        <v>827</v>
      </c>
      <c r="I2678" s="699">
        <f>C32/1000</f>
        <v>47.3</v>
      </c>
      <c r="J2678" s="702" t="s">
        <v>1670</v>
      </c>
      <c r="K2678" s="1020">
        <f t="shared" ref="K2678:K2684" si="266">I2678*F2678</f>
        <v>119.2</v>
      </c>
      <c r="O2678" s="699" t="s">
        <v>1435</v>
      </c>
      <c r="R2678" s="699">
        <v>4559.0600000000004</v>
      </c>
    </row>
    <row r="2679" spans="6:18" ht="24" customHeight="1">
      <c r="F2679" s="1020">
        <v>1.1299999999999999</v>
      </c>
      <c r="G2679" s="700" t="s">
        <v>904</v>
      </c>
      <c r="H2679" s="699" t="s">
        <v>828</v>
      </c>
      <c r="I2679" s="699">
        <f>I2678</f>
        <v>47.3</v>
      </c>
      <c r="J2679" s="702" t="s">
        <v>1670</v>
      </c>
      <c r="K2679" s="1020">
        <f t="shared" si="266"/>
        <v>53.45</v>
      </c>
      <c r="N2679" s="699" t="s">
        <v>987</v>
      </c>
      <c r="R2679" s="699" t="s">
        <v>1609</v>
      </c>
    </row>
    <row r="2680" spans="6:18" ht="24" customHeight="1">
      <c r="F2680" s="1020">
        <v>0.35</v>
      </c>
      <c r="G2680" s="700" t="s">
        <v>1670</v>
      </c>
      <c r="H2680" s="699" t="s">
        <v>829</v>
      </c>
      <c r="I2680" s="699">
        <f>I2679</f>
        <v>47.3</v>
      </c>
      <c r="J2680" s="702" t="s">
        <v>1670</v>
      </c>
      <c r="K2680" s="1020">
        <f t="shared" si="266"/>
        <v>16.559999999999999</v>
      </c>
      <c r="O2680" s="699" t="s">
        <v>556</v>
      </c>
      <c r="R2680" s="699">
        <v>1809.15</v>
      </c>
    </row>
    <row r="2681" spans="6:18" ht="24" customHeight="1">
      <c r="F2681" s="1020">
        <v>4</v>
      </c>
      <c r="G2681" s="700" t="s">
        <v>1670</v>
      </c>
      <c r="H2681" s="699" t="s">
        <v>108</v>
      </c>
      <c r="I2681" s="699">
        <f>C35</f>
        <v>47.8</v>
      </c>
      <c r="J2681" s="702" t="s">
        <v>1670</v>
      </c>
      <c r="K2681" s="1020">
        <f t="shared" si="266"/>
        <v>191.2</v>
      </c>
      <c r="R2681" s="699" t="s">
        <v>2080</v>
      </c>
    </row>
    <row r="2682" spans="6:18" ht="24" customHeight="1">
      <c r="F2682" s="1020">
        <v>6</v>
      </c>
      <c r="G2682" s="700" t="s">
        <v>1046</v>
      </c>
      <c r="H2682" s="699" t="s">
        <v>109</v>
      </c>
      <c r="I2682" s="780">
        <v>1</v>
      </c>
      <c r="J2682" s="702" t="s">
        <v>1418</v>
      </c>
      <c r="K2682" s="1020">
        <f t="shared" si="266"/>
        <v>6</v>
      </c>
    </row>
    <row r="2683" spans="6:18" ht="24" customHeight="1">
      <c r="F2683" s="1020">
        <v>0.5</v>
      </c>
      <c r="G2683" s="700" t="s">
        <v>1046</v>
      </c>
      <c r="H2683" s="699" t="s">
        <v>660</v>
      </c>
      <c r="I2683" s="699">
        <f>C10</f>
        <v>562</v>
      </c>
      <c r="J2683" s="702" t="s">
        <v>1418</v>
      </c>
      <c r="K2683" s="1020">
        <f t="shared" si="266"/>
        <v>281</v>
      </c>
    </row>
    <row r="2684" spans="6:18" ht="24" customHeight="1">
      <c r="F2684" s="1020">
        <v>0.5</v>
      </c>
      <c r="G2684" s="700" t="s">
        <v>1046</v>
      </c>
      <c r="H2684" s="699" t="s">
        <v>355</v>
      </c>
      <c r="I2684" s="699">
        <f>C11</f>
        <v>461</v>
      </c>
      <c r="J2684" s="702" t="s">
        <v>1418</v>
      </c>
      <c r="K2684" s="1020">
        <f t="shared" si="266"/>
        <v>230.5</v>
      </c>
    </row>
    <row r="2685" spans="6:18" ht="24" customHeight="1">
      <c r="G2685" s="700" t="s">
        <v>450</v>
      </c>
      <c r="H2685" s="699" t="s">
        <v>110</v>
      </c>
      <c r="I2685" s="785" t="s">
        <v>450</v>
      </c>
      <c r="K2685" s="699">
        <v>21.69</v>
      </c>
      <c r="L2685" s="699">
        <f>24*176</f>
        <v>4224</v>
      </c>
    </row>
    <row r="2686" spans="6:18" ht="24" customHeight="1">
      <c r="G2686" s="699"/>
      <c r="H2686" s="1021" t="s">
        <v>111</v>
      </c>
      <c r="K2686" s="1022">
        <f>SUM(K2677:K2685)</f>
        <v>1525.2</v>
      </c>
    </row>
    <row r="2687" spans="6:18" ht="24" customHeight="1">
      <c r="G2687" s="699"/>
      <c r="H2687" s="1021" t="s">
        <v>518</v>
      </c>
      <c r="K2687" s="1022">
        <f>K2686/2</f>
        <v>762.6</v>
      </c>
    </row>
    <row r="2688" spans="6:18" ht="24" customHeight="1">
      <c r="G2688" s="699"/>
      <c r="L2688" s="699">
        <f>K2722+K2713</f>
        <v>168.11</v>
      </c>
    </row>
    <row r="2689" spans="6:11" ht="24" customHeight="1">
      <c r="H2689" s="699" t="s">
        <v>1496</v>
      </c>
    </row>
    <row r="2691" spans="6:11" ht="24" customHeight="1">
      <c r="H2691" s="927" t="s">
        <v>2111</v>
      </c>
      <c r="J2691" s="704"/>
    </row>
    <row r="2692" spans="6:11" ht="24" customHeight="1">
      <c r="H2692" s="699" t="s">
        <v>637</v>
      </c>
      <c r="J2692" s="704"/>
    </row>
    <row r="2693" spans="6:11" ht="24" customHeight="1">
      <c r="F2693" s="699">
        <v>41.6</v>
      </c>
      <c r="G2693" s="700" t="s">
        <v>1670</v>
      </c>
      <c r="H2693" s="699" t="s">
        <v>1029</v>
      </c>
      <c r="I2693" s="699">
        <f>I2678</f>
        <v>47.3</v>
      </c>
      <c r="J2693" s="704" t="s">
        <v>1670</v>
      </c>
      <c r="K2693" s="699">
        <f>F2693*I2693</f>
        <v>1967.68</v>
      </c>
    </row>
    <row r="2694" spans="6:11" ht="24" customHeight="1">
      <c r="F2694" s="699">
        <v>0.5</v>
      </c>
      <c r="G2694" s="700" t="s">
        <v>1414</v>
      </c>
      <c r="H2694" s="699" t="s">
        <v>1030</v>
      </c>
      <c r="I2694" s="699">
        <f>AE19</f>
        <v>661</v>
      </c>
      <c r="J2694" s="704" t="s">
        <v>1418</v>
      </c>
      <c r="K2694" s="699">
        <f>F2694*I2694</f>
        <v>330.5</v>
      </c>
    </row>
    <row r="2695" spans="6:11" ht="24" customHeight="1">
      <c r="F2695" s="699">
        <v>1</v>
      </c>
      <c r="G2695" s="700" t="s">
        <v>564</v>
      </c>
      <c r="H2695" s="699" t="s">
        <v>1031</v>
      </c>
      <c r="I2695" s="699">
        <f>C8</f>
        <v>861</v>
      </c>
      <c r="J2695" s="704" t="s">
        <v>1418</v>
      </c>
      <c r="K2695" s="699">
        <f>F2695*I2695</f>
        <v>861</v>
      </c>
    </row>
    <row r="2696" spans="6:11" ht="24" customHeight="1">
      <c r="F2696" s="699">
        <v>1</v>
      </c>
      <c r="G2696" s="700" t="s">
        <v>564</v>
      </c>
      <c r="H2696" s="699" t="s">
        <v>1241</v>
      </c>
      <c r="I2696" s="699">
        <f>C11</f>
        <v>461</v>
      </c>
      <c r="J2696" s="704" t="s">
        <v>1418</v>
      </c>
      <c r="K2696" s="699">
        <f>F2696*I2696</f>
        <v>461</v>
      </c>
    </row>
    <row r="2697" spans="6:11" ht="24" customHeight="1">
      <c r="G2697" s="700" t="s">
        <v>450</v>
      </c>
      <c r="H2697" s="699" t="s">
        <v>826</v>
      </c>
      <c r="J2697" s="704" t="s">
        <v>450</v>
      </c>
      <c r="K2697" s="699">
        <v>27.7</v>
      </c>
    </row>
    <row r="2698" spans="6:11" ht="24" customHeight="1">
      <c r="H2698" s="785" t="s">
        <v>1733</v>
      </c>
      <c r="J2698" s="785" t="s">
        <v>729</v>
      </c>
      <c r="K2698" s="699">
        <f>SUM(K2693:K2697)</f>
        <v>3647.88</v>
      </c>
    </row>
    <row r="2699" spans="6:11" ht="24" customHeight="1">
      <c r="H2699" s="785" t="s">
        <v>1306</v>
      </c>
      <c r="J2699" s="785" t="s">
        <v>729</v>
      </c>
      <c r="K2699" s="699">
        <f>K2698/16</f>
        <v>227.99</v>
      </c>
    </row>
    <row r="2700" spans="6:11" ht="24" customHeight="1">
      <c r="H2700" s="877" t="s">
        <v>100</v>
      </c>
      <c r="I2700" s="758"/>
      <c r="J2700" s="877" t="s">
        <v>729</v>
      </c>
      <c r="K2700" s="758">
        <f>K2699/0.95</f>
        <v>239.99</v>
      </c>
    </row>
    <row r="2701" spans="6:11" ht="24" customHeight="1">
      <c r="J2701" s="704"/>
    </row>
    <row r="2702" spans="6:11" ht="24" customHeight="1">
      <c r="J2702" s="704"/>
    </row>
    <row r="2703" spans="6:11" ht="24" customHeight="1">
      <c r="F2703" s="698" t="s">
        <v>857</v>
      </c>
      <c r="G2703" s="708" t="s">
        <v>2276</v>
      </c>
      <c r="H2703" s="697" t="s">
        <v>1012</v>
      </c>
      <c r="J2703" s="704"/>
    </row>
    <row r="2704" spans="6:11" ht="50.25" customHeight="1">
      <c r="H2704" s="697" t="s">
        <v>1013</v>
      </c>
      <c r="J2704" s="704"/>
    </row>
    <row r="2705" spans="6:11" ht="24" customHeight="1">
      <c r="H2705" s="697" t="s">
        <v>1014</v>
      </c>
      <c r="J2705" s="704"/>
    </row>
    <row r="2706" spans="6:11" ht="24" customHeight="1">
      <c r="H2706" s="697" t="s">
        <v>30</v>
      </c>
      <c r="J2706" s="704"/>
    </row>
    <row r="2707" spans="6:11" ht="24" customHeight="1">
      <c r="H2707" s="705" t="s">
        <v>1609</v>
      </c>
      <c r="J2707" s="704"/>
    </row>
    <row r="2708" spans="6:11" ht="24" customHeight="1">
      <c r="F2708" s="710">
        <v>1.8</v>
      </c>
      <c r="G2708" s="708" t="s">
        <v>1670</v>
      </c>
      <c r="H2708" s="990" t="s">
        <v>1307</v>
      </c>
      <c r="I2708" s="710">
        <f>C606</f>
        <v>22.4</v>
      </c>
      <c r="J2708" s="698" t="s">
        <v>1670</v>
      </c>
      <c r="K2708" s="710">
        <f>(F2708*I2708)</f>
        <v>40.32</v>
      </c>
    </row>
    <row r="2709" spans="6:11" ht="24" customHeight="1">
      <c r="F2709" s="710">
        <v>0.25</v>
      </c>
      <c r="G2709" s="708" t="s">
        <v>877</v>
      </c>
      <c r="H2709" s="697" t="s">
        <v>31</v>
      </c>
      <c r="I2709" s="710">
        <f>C12</f>
        <v>688</v>
      </c>
      <c r="J2709" s="698" t="s">
        <v>877</v>
      </c>
      <c r="K2709" s="710">
        <f>(F2709*I2709)</f>
        <v>172</v>
      </c>
    </row>
    <row r="2710" spans="6:11" ht="24" customHeight="1">
      <c r="F2710" s="710">
        <v>0.25</v>
      </c>
      <c r="G2710" s="708" t="s">
        <v>877</v>
      </c>
      <c r="H2710" s="697" t="s">
        <v>944</v>
      </c>
      <c r="I2710" s="710">
        <f>C10</f>
        <v>562</v>
      </c>
      <c r="J2710" s="698" t="s">
        <v>877</v>
      </c>
      <c r="K2710" s="710">
        <f>(F2710*I2710)</f>
        <v>140.5</v>
      </c>
    </row>
    <row r="2711" spans="6:11" ht="24" customHeight="1">
      <c r="F2711" s="710">
        <v>0.4</v>
      </c>
      <c r="G2711" s="708" t="s">
        <v>877</v>
      </c>
      <c r="H2711" s="697" t="s">
        <v>321</v>
      </c>
      <c r="I2711" s="710">
        <f>C11</f>
        <v>461</v>
      </c>
      <c r="J2711" s="698" t="s">
        <v>877</v>
      </c>
      <c r="K2711" s="710">
        <f>(F2711*I2711)</f>
        <v>184.4</v>
      </c>
    </row>
    <row r="2712" spans="6:11" ht="24" customHeight="1">
      <c r="G2712" s="708"/>
      <c r="H2712" s="697"/>
      <c r="I2712" s="697" t="s">
        <v>987</v>
      </c>
      <c r="J2712" s="698"/>
      <c r="K2712" s="710">
        <f>SUM(K2708:K2711)</f>
        <v>537.22</v>
      </c>
    </row>
    <row r="2713" spans="6:11" ht="24" customHeight="1">
      <c r="H2713" s="758"/>
      <c r="I2713" s="758"/>
      <c r="J2713" s="984"/>
      <c r="K2713" s="707">
        <f>K2712/10</f>
        <v>53.72</v>
      </c>
    </row>
    <row r="2714" spans="6:11" ht="24" customHeight="1">
      <c r="F2714" s="710">
        <v>3</v>
      </c>
      <c r="G2714" s="708" t="s">
        <v>1670</v>
      </c>
      <c r="H2714" s="697" t="s">
        <v>441</v>
      </c>
      <c r="I2714" s="805">
        <f>C268</f>
        <v>49.4</v>
      </c>
      <c r="J2714" s="698" t="s">
        <v>1670</v>
      </c>
      <c r="K2714" s="805">
        <f>(F2714*I2714)</f>
        <v>148.19999999999999</v>
      </c>
    </row>
    <row r="2715" spans="6:11" ht="24" customHeight="1">
      <c r="F2715" s="710">
        <v>0.5</v>
      </c>
      <c r="G2715" s="708" t="s">
        <v>877</v>
      </c>
      <c r="H2715" s="697" t="s">
        <v>31</v>
      </c>
      <c r="I2715" s="805">
        <f>C12</f>
        <v>688</v>
      </c>
      <c r="J2715" s="698" t="s">
        <v>877</v>
      </c>
      <c r="K2715" s="805">
        <f>(F2715*I2715)</f>
        <v>344</v>
      </c>
    </row>
    <row r="2716" spans="6:11" ht="24" customHeight="1">
      <c r="F2716" s="710">
        <v>0.5</v>
      </c>
      <c r="G2716" s="708" t="s">
        <v>877</v>
      </c>
      <c r="H2716" s="697" t="s">
        <v>944</v>
      </c>
      <c r="I2716" s="805">
        <f>I2710</f>
        <v>562</v>
      </c>
      <c r="J2716" s="698" t="s">
        <v>877</v>
      </c>
      <c r="K2716" s="805">
        <f>(F2716*I2716)</f>
        <v>281</v>
      </c>
    </row>
    <row r="2717" spans="6:11" ht="24" customHeight="1">
      <c r="F2717" s="710">
        <v>0.8</v>
      </c>
      <c r="G2717" s="708" t="s">
        <v>877</v>
      </c>
      <c r="H2717" s="697" t="s">
        <v>321</v>
      </c>
      <c r="I2717" s="805">
        <f>I2711</f>
        <v>461</v>
      </c>
      <c r="J2717" s="698" t="s">
        <v>877</v>
      </c>
      <c r="K2717" s="805">
        <f>(F2717*I2717)</f>
        <v>368.8</v>
      </c>
    </row>
    <row r="2718" spans="6:11" ht="24" customHeight="1">
      <c r="G2718" s="708" t="s">
        <v>450</v>
      </c>
      <c r="H2718" s="697" t="s">
        <v>1861</v>
      </c>
      <c r="I2718" s="697" t="s">
        <v>987</v>
      </c>
      <c r="J2718" s="698" t="s">
        <v>450</v>
      </c>
      <c r="K2718" s="710">
        <v>1.9</v>
      </c>
    </row>
    <row r="2719" spans="6:11" ht="24" customHeight="1">
      <c r="H2719" s="758"/>
      <c r="I2719" s="758"/>
      <c r="J2719" s="984"/>
      <c r="K2719" s="761" t="s">
        <v>1609</v>
      </c>
    </row>
    <row r="2720" spans="6:11" ht="24" customHeight="1">
      <c r="H2720" s="701" t="s">
        <v>442</v>
      </c>
      <c r="I2720" s="758"/>
      <c r="J2720" s="984"/>
      <c r="K2720" s="709">
        <f>SUM(K2714:K2718)</f>
        <v>1143.9000000000001</v>
      </c>
    </row>
    <row r="2721" spans="6:12" ht="24" customHeight="1">
      <c r="H2721" s="758"/>
      <c r="I2721" s="758"/>
      <c r="J2721" s="984"/>
      <c r="K2721" s="761" t="s">
        <v>1609</v>
      </c>
    </row>
    <row r="2722" spans="6:12" ht="24" customHeight="1">
      <c r="H2722" s="701" t="s">
        <v>556</v>
      </c>
      <c r="I2722" s="758"/>
      <c r="J2722" s="984"/>
      <c r="K2722" s="709">
        <f>(K2720/10)</f>
        <v>114.39</v>
      </c>
    </row>
    <row r="2723" spans="6:12" ht="24" customHeight="1">
      <c r="G2723" s="699"/>
      <c r="J2723" s="699"/>
    </row>
    <row r="2724" spans="6:12" ht="24" customHeight="1">
      <c r="F2724" s="753"/>
      <c r="G2724" s="708" t="s">
        <v>2276</v>
      </c>
      <c r="H2724" s="697" t="s">
        <v>2072</v>
      </c>
      <c r="J2724" s="704"/>
    </row>
    <row r="2725" spans="6:12" ht="24" customHeight="1">
      <c r="H2725" s="697" t="s">
        <v>2302</v>
      </c>
      <c r="J2725" s="704"/>
    </row>
    <row r="2726" spans="6:12" ht="24" customHeight="1">
      <c r="H2726" s="697" t="s">
        <v>1308</v>
      </c>
      <c r="J2726" s="704"/>
    </row>
    <row r="2727" spans="6:12" ht="24" customHeight="1">
      <c r="H2727" s="705" t="s">
        <v>1609</v>
      </c>
      <c r="J2727" s="704"/>
    </row>
    <row r="2728" spans="6:12" ht="24" customHeight="1">
      <c r="G2728" s="708" t="s">
        <v>2303</v>
      </c>
      <c r="H2728" s="697" t="s">
        <v>960</v>
      </c>
      <c r="J2728" s="704"/>
      <c r="K2728" s="697" t="s">
        <v>1473</v>
      </c>
    </row>
    <row r="2729" spans="6:12" ht="24" customHeight="1">
      <c r="H2729" s="705" t="s">
        <v>1609</v>
      </c>
      <c r="J2729" s="704"/>
      <c r="K2729" s="705" t="s">
        <v>2080</v>
      </c>
    </row>
    <row r="2730" spans="6:12" ht="24" customHeight="1">
      <c r="F2730" s="710">
        <v>30</v>
      </c>
      <c r="G2730" s="708" t="s">
        <v>1796</v>
      </c>
      <c r="H2730" s="697" t="s">
        <v>1689</v>
      </c>
      <c r="I2730" s="710">
        <f>C658</f>
        <v>9.1199999999999992</v>
      </c>
      <c r="J2730" s="698" t="s">
        <v>1796</v>
      </c>
      <c r="K2730" s="710">
        <f>(F2730*I2730)</f>
        <v>273.60000000000002</v>
      </c>
    </row>
    <row r="2731" spans="6:12" ht="24" customHeight="1">
      <c r="F2731" s="697" t="s">
        <v>987</v>
      </c>
      <c r="H2731" s="697" t="s">
        <v>1692</v>
      </c>
      <c r="I2731" s="697" t="s">
        <v>987</v>
      </c>
      <c r="J2731" s="704"/>
      <c r="K2731" s="697" t="s">
        <v>987</v>
      </c>
    </row>
    <row r="2732" spans="6:12" ht="24" customHeight="1">
      <c r="F2732" s="710">
        <v>8</v>
      </c>
      <c r="G2732" s="708" t="s">
        <v>877</v>
      </c>
      <c r="H2732" s="697" t="s">
        <v>2168</v>
      </c>
      <c r="I2732" s="710">
        <f>I1803</f>
        <v>8.1</v>
      </c>
      <c r="J2732" s="698" t="s">
        <v>877</v>
      </c>
      <c r="K2732" s="710">
        <f t="shared" ref="K2732:K2737" si="267">(F2732*I2732)</f>
        <v>64.8</v>
      </c>
    </row>
    <row r="2733" spans="6:12" ht="24" customHeight="1">
      <c r="F2733" s="710">
        <v>8</v>
      </c>
      <c r="G2733" s="708" t="s">
        <v>877</v>
      </c>
      <c r="H2733" s="697" t="s">
        <v>468</v>
      </c>
      <c r="I2733" s="710">
        <f>I1804</f>
        <v>11.5</v>
      </c>
      <c r="J2733" s="698" t="s">
        <v>877</v>
      </c>
      <c r="K2733" s="710">
        <f t="shared" si="267"/>
        <v>92</v>
      </c>
      <c r="L2733" s="881"/>
    </row>
    <row r="2734" spans="6:12" ht="24" customHeight="1">
      <c r="F2734" s="710">
        <v>3</v>
      </c>
      <c r="G2734" s="708" t="s">
        <v>877</v>
      </c>
      <c r="H2734" s="697" t="s">
        <v>1870</v>
      </c>
      <c r="I2734" s="710">
        <f>C38</f>
        <v>637</v>
      </c>
      <c r="J2734" s="698" t="s">
        <v>877</v>
      </c>
      <c r="K2734" s="710">
        <f t="shared" si="267"/>
        <v>1911</v>
      </c>
      <c r="L2734" s="883"/>
    </row>
    <row r="2735" spans="6:12" ht="24" customHeight="1">
      <c r="F2735" s="710">
        <v>1</v>
      </c>
      <c r="G2735" s="708" t="s">
        <v>877</v>
      </c>
      <c r="H2735" s="697" t="s">
        <v>1400</v>
      </c>
      <c r="I2735" s="710">
        <f>C8</f>
        <v>861</v>
      </c>
      <c r="J2735" s="698" t="s">
        <v>877</v>
      </c>
      <c r="K2735" s="710">
        <f t="shared" si="267"/>
        <v>861</v>
      </c>
      <c r="L2735" s="883"/>
    </row>
    <row r="2736" spans="6:12" ht="24" customHeight="1">
      <c r="F2736" s="710">
        <v>2</v>
      </c>
      <c r="G2736" s="708" t="s">
        <v>877</v>
      </c>
      <c r="H2736" s="697" t="s">
        <v>1927</v>
      </c>
      <c r="I2736" s="710">
        <f>C10</f>
        <v>562</v>
      </c>
      <c r="J2736" s="698" t="s">
        <v>877</v>
      </c>
      <c r="K2736" s="710">
        <f t="shared" si="267"/>
        <v>1124</v>
      </c>
      <c r="L2736" s="883"/>
    </row>
    <row r="2737" spans="5:12" ht="24" customHeight="1">
      <c r="F2737" s="710">
        <v>1</v>
      </c>
      <c r="G2737" s="708" t="s">
        <v>877</v>
      </c>
      <c r="H2737" s="697" t="s">
        <v>321</v>
      </c>
      <c r="I2737" s="710">
        <f>C11</f>
        <v>461</v>
      </c>
      <c r="J2737" s="698" t="s">
        <v>877</v>
      </c>
      <c r="K2737" s="710">
        <f t="shared" si="267"/>
        <v>461</v>
      </c>
      <c r="L2737" s="883"/>
    </row>
    <row r="2738" spans="5:12" ht="24" customHeight="1">
      <c r="G2738" s="708" t="s">
        <v>450</v>
      </c>
      <c r="H2738" s="762" t="s">
        <v>68</v>
      </c>
      <c r="I2738" s="710" t="s">
        <v>69</v>
      </c>
      <c r="J2738" s="698" t="s">
        <v>450</v>
      </c>
      <c r="K2738" s="710">
        <v>64.849999999999994</v>
      </c>
      <c r="L2738" s="883"/>
    </row>
    <row r="2739" spans="5:12" ht="24" customHeight="1">
      <c r="H2739" s="697"/>
      <c r="I2739" s="710"/>
      <c r="J2739" s="704"/>
      <c r="K2739" s="805"/>
      <c r="L2739" s="883"/>
    </row>
    <row r="2740" spans="5:12" ht="24" customHeight="1">
      <c r="G2740" s="699"/>
      <c r="J2740" s="699"/>
      <c r="L2740" s="883"/>
    </row>
    <row r="2741" spans="5:12" ht="24" customHeight="1">
      <c r="J2741" s="704"/>
      <c r="K2741" s="705" t="s">
        <v>1609</v>
      </c>
      <c r="L2741" s="883"/>
    </row>
    <row r="2742" spans="5:12" ht="24" customHeight="1">
      <c r="H2742" s="701" t="s">
        <v>1875</v>
      </c>
      <c r="I2742" s="758"/>
      <c r="J2742" s="984"/>
      <c r="K2742" s="709">
        <f>SUM(K2730:K2741)</f>
        <v>4852.25</v>
      </c>
      <c r="L2742" s="892"/>
    </row>
    <row r="2743" spans="5:12" ht="24" customHeight="1">
      <c r="H2743" s="758"/>
      <c r="I2743" s="758"/>
      <c r="J2743" s="984"/>
      <c r="K2743" s="761" t="s">
        <v>1609</v>
      </c>
    </row>
    <row r="2744" spans="5:12" ht="24" customHeight="1">
      <c r="H2744" s="701" t="s">
        <v>1567</v>
      </c>
      <c r="I2744" s="758"/>
      <c r="J2744" s="984"/>
      <c r="K2744" s="709">
        <f>(K2742/30)</f>
        <v>161.74</v>
      </c>
    </row>
    <row r="2745" spans="5:12" ht="24" customHeight="1">
      <c r="G2745" s="699"/>
      <c r="J2745" s="699"/>
    </row>
    <row r="2746" spans="5:12" ht="24" customHeight="1">
      <c r="G2746" s="699"/>
      <c r="J2746" s="699"/>
    </row>
    <row r="2747" spans="5:12" ht="24" customHeight="1">
      <c r="F2747" s="931">
        <v>52</v>
      </c>
      <c r="G2747" s="708" t="s">
        <v>2276</v>
      </c>
      <c r="H2747" s="697" t="s">
        <v>101</v>
      </c>
      <c r="J2747" s="704"/>
    </row>
    <row r="2748" spans="5:12" ht="24" customHeight="1">
      <c r="H2748" s="697" t="s">
        <v>2194</v>
      </c>
      <c r="J2748" s="704"/>
    </row>
    <row r="2749" spans="5:12" ht="24" customHeight="1">
      <c r="H2749" s="697" t="s">
        <v>2195</v>
      </c>
      <c r="J2749" s="704"/>
    </row>
    <row r="2750" spans="5:12" ht="24" customHeight="1">
      <c r="H2750" s="697" t="s">
        <v>1426</v>
      </c>
      <c r="J2750" s="704"/>
    </row>
    <row r="2751" spans="5:12" ht="24" customHeight="1">
      <c r="H2751" s="697" t="s">
        <v>1427</v>
      </c>
      <c r="J2751" s="704"/>
    </row>
    <row r="2752" spans="5:12" ht="24" customHeight="1">
      <c r="E2752" s="699">
        <f>6*0.3</f>
        <v>1.8</v>
      </c>
      <c r="H2752" s="697" t="s">
        <v>731</v>
      </c>
      <c r="J2752" s="704"/>
    </row>
    <row r="2753" spans="5:23" ht="24" customHeight="1">
      <c r="E2753" s="699">
        <f>3.5+E2752</f>
        <v>5.3</v>
      </c>
      <c r="H2753" s="697" t="s">
        <v>1372</v>
      </c>
      <c r="J2753" s="704"/>
      <c r="L2753" s="699">
        <f>K2787</f>
        <v>201</v>
      </c>
    </row>
    <row r="2754" spans="5:23" ht="24" customHeight="1">
      <c r="E2754" s="699">
        <f>3.14*0.3*0.3</f>
        <v>0.28000000000000003</v>
      </c>
      <c r="H2754" s="697" t="s">
        <v>716</v>
      </c>
      <c r="J2754" s="704"/>
      <c r="L2754" s="699">
        <f>K2788</f>
        <v>1967</v>
      </c>
    </row>
    <row r="2755" spans="5:23" ht="24" customHeight="1">
      <c r="H2755" s="705" t="s">
        <v>2080</v>
      </c>
      <c r="I2755" s="705" t="s">
        <v>2080</v>
      </c>
      <c r="J2755" s="704"/>
    </row>
    <row r="2756" spans="5:23" ht="24" customHeight="1">
      <c r="E2756" s="699">
        <f>E2754/4</f>
        <v>7.0000000000000007E-2</v>
      </c>
      <c r="G2756" s="708" t="s">
        <v>2276</v>
      </c>
      <c r="H2756" s="697" t="s">
        <v>927</v>
      </c>
      <c r="J2756" s="704"/>
      <c r="L2756" s="699">
        <f>SUM(L2753:L2754)</f>
        <v>2168</v>
      </c>
    </row>
    <row r="2757" spans="5:23" ht="24" customHeight="1">
      <c r="E2757" s="796">
        <f>E2756*E2753</f>
        <v>0.371</v>
      </c>
      <c r="H2757" s="697" t="s">
        <v>815</v>
      </c>
      <c r="J2757" s="704"/>
    </row>
    <row r="2758" spans="5:23" ht="24" customHeight="1">
      <c r="G2758" s="708" t="s">
        <v>317</v>
      </c>
      <c r="H2758" s="697" t="s">
        <v>816</v>
      </c>
      <c r="J2758" s="704"/>
    </row>
    <row r="2759" spans="5:23" ht="24" customHeight="1">
      <c r="H2759" s="705" t="s">
        <v>1609</v>
      </c>
      <c r="J2759" s="704"/>
    </row>
    <row r="2760" spans="5:23" ht="24" customHeight="1">
      <c r="F2760" s="710">
        <v>1</v>
      </c>
      <c r="G2760" s="708" t="s">
        <v>835</v>
      </c>
      <c r="H2760" s="697" t="s">
        <v>624</v>
      </c>
      <c r="I2760" s="710">
        <f>I1867</f>
        <v>26</v>
      </c>
      <c r="J2760" s="698" t="s">
        <v>835</v>
      </c>
      <c r="K2760" s="710">
        <f>(F2760*I2760)</f>
        <v>26</v>
      </c>
    </row>
    <row r="2761" spans="5:23" ht="24" customHeight="1">
      <c r="F2761" s="710">
        <v>1</v>
      </c>
      <c r="G2761" s="708" t="s">
        <v>450</v>
      </c>
      <c r="H2761" s="697" t="s">
        <v>1826</v>
      </c>
      <c r="I2761" s="710">
        <f>I2760*0.7</f>
        <v>18.2</v>
      </c>
      <c r="J2761" s="698" t="s">
        <v>450</v>
      </c>
      <c r="K2761" s="710">
        <f>(F2761*I2761)</f>
        <v>18.2</v>
      </c>
    </row>
    <row r="2762" spans="5:23" ht="24" customHeight="1">
      <c r="F2762" s="710">
        <v>1</v>
      </c>
      <c r="G2762" s="708" t="s">
        <v>835</v>
      </c>
      <c r="H2762" s="697" t="s">
        <v>163</v>
      </c>
      <c r="I2762" s="710">
        <f>K2744</f>
        <v>161.74</v>
      </c>
      <c r="J2762" s="698" t="s">
        <v>835</v>
      </c>
      <c r="K2762" s="710">
        <f>(F2762*I2762)</f>
        <v>161.74</v>
      </c>
    </row>
    <row r="2763" spans="5:23" ht="24" customHeight="1">
      <c r="I2763" s="697" t="s">
        <v>987</v>
      </c>
      <c r="J2763" s="704"/>
      <c r="K2763" s="705"/>
    </row>
    <row r="2764" spans="5:23" ht="24" customHeight="1">
      <c r="H2764" s="701" t="s">
        <v>377</v>
      </c>
      <c r="I2764" s="758"/>
      <c r="J2764" s="984"/>
      <c r="K2764" s="709">
        <f>SUM(K2760:K2762)</f>
        <v>205.94</v>
      </c>
      <c r="T2764" s="700"/>
      <c r="W2764" s="704"/>
    </row>
    <row r="2765" spans="5:23" ht="24" customHeight="1">
      <c r="H2765" s="697" t="s">
        <v>987</v>
      </c>
      <c r="I2765" s="697" t="s">
        <v>987</v>
      </c>
      <c r="J2765" s="704"/>
      <c r="K2765" s="705" t="s">
        <v>2080</v>
      </c>
      <c r="S2765" s="754" t="s">
        <v>568</v>
      </c>
      <c r="T2765" s="708" t="s">
        <v>2276</v>
      </c>
      <c r="U2765" s="697" t="s">
        <v>331</v>
      </c>
      <c r="W2765" s="704"/>
    </row>
    <row r="2766" spans="5:23" ht="24" customHeight="1">
      <c r="G2766" s="699"/>
      <c r="J2766" s="699"/>
      <c r="T2766" s="700"/>
      <c r="U2766" s="697" t="s">
        <v>255</v>
      </c>
      <c r="W2766" s="704"/>
    </row>
    <row r="2767" spans="5:23" ht="24" customHeight="1">
      <c r="F2767" s="1023"/>
      <c r="G2767" s="900"/>
      <c r="H2767" s="900"/>
      <c r="I2767" s="900"/>
      <c r="J2767" s="900"/>
      <c r="K2767" s="900"/>
      <c r="T2767" s="700"/>
      <c r="U2767" s="697" t="s">
        <v>1492</v>
      </c>
      <c r="W2767" s="704"/>
    </row>
    <row r="2768" spans="5:23" ht="24" customHeight="1">
      <c r="F2768" s="1024"/>
      <c r="G2768" s="1025" t="s">
        <v>978</v>
      </c>
      <c r="H2768" s="905"/>
      <c r="I2768" s="905"/>
      <c r="J2768" s="1026"/>
      <c r="K2768" s="905"/>
      <c r="T2768" s="700"/>
      <c r="U2768" s="705" t="s">
        <v>1609</v>
      </c>
      <c r="W2768" s="704"/>
    </row>
    <row r="2769" spans="6:33" ht="24" customHeight="1">
      <c r="F2769" s="902"/>
      <c r="G2769" s="903"/>
      <c r="H2769" s="905"/>
      <c r="I2769" s="905"/>
      <c r="J2769" s="1026"/>
      <c r="K2769" s="905"/>
      <c r="T2769" s="700"/>
      <c r="U2769" s="697" t="s">
        <v>1907</v>
      </c>
      <c r="W2769" s="704"/>
    </row>
    <row r="2770" spans="6:33" ht="24" customHeight="1">
      <c r="F2770" s="902">
        <v>5</v>
      </c>
      <c r="G2770" s="903" t="s">
        <v>979</v>
      </c>
      <c r="H2770" s="1027" t="s">
        <v>4376</v>
      </c>
      <c r="I2770" s="1028">
        <v>160</v>
      </c>
      <c r="J2770" s="1026" t="s">
        <v>980</v>
      </c>
      <c r="K2770" s="905">
        <f>I2770*F2770</f>
        <v>800</v>
      </c>
      <c r="T2770" s="700"/>
      <c r="U2770" s="697" t="s">
        <v>1908</v>
      </c>
      <c r="W2770" s="704"/>
    </row>
    <row r="2771" spans="6:33" ht="24" customHeight="1">
      <c r="F2771" s="902">
        <v>1</v>
      </c>
      <c r="G2771" s="903" t="s">
        <v>1414</v>
      </c>
      <c r="H2771" s="905" t="s">
        <v>774</v>
      </c>
      <c r="I2771" s="1029">
        <v>75</v>
      </c>
      <c r="J2771" s="1026" t="s">
        <v>1418</v>
      </c>
      <c r="K2771" s="905">
        <f>I2771*F2771</f>
        <v>75</v>
      </c>
      <c r="T2771" s="700"/>
      <c r="W2771" s="698" t="s">
        <v>1609</v>
      </c>
    </row>
    <row r="2772" spans="6:33" ht="24" customHeight="1">
      <c r="F2772" s="902">
        <v>2.5</v>
      </c>
      <c r="G2772" s="903" t="s">
        <v>1414</v>
      </c>
      <c r="H2772" s="905" t="s">
        <v>775</v>
      </c>
      <c r="I2772" s="905">
        <f>C12</f>
        <v>688</v>
      </c>
      <c r="J2772" s="1026" t="s">
        <v>1414</v>
      </c>
      <c r="K2772" s="905">
        <f>I2772*F2772</f>
        <v>1720</v>
      </c>
      <c r="T2772" s="700"/>
      <c r="U2772" s="697" t="s">
        <v>1320</v>
      </c>
      <c r="W2772" s="704"/>
    </row>
    <row r="2773" spans="6:33" ht="24" customHeight="1">
      <c r="F2773" s="902"/>
      <c r="G2773" s="903"/>
      <c r="H2773" s="905" t="s">
        <v>2296</v>
      </c>
      <c r="I2773" s="1030" t="s">
        <v>450</v>
      </c>
      <c r="J2773" s="1026"/>
      <c r="K2773" s="905">
        <v>0.25</v>
      </c>
      <c r="T2773" s="700"/>
      <c r="U2773" s="697" t="s">
        <v>1321</v>
      </c>
      <c r="W2773" s="704"/>
      <c r="X2773" s="775">
        <v>2.7099999999999999E-2</v>
      </c>
    </row>
    <row r="2774" spans="6:33" ht="24" customHeight="1">
      <c r="F2774" s="902"/>
      <c r="G2774" s="903"/>
      <c r="H2774" s="905"/>
      <c r="I2774" s="905"/>
      <c r="J2774" s="1026"/>
      <c r="K2774" s="1031" t="s">
        <v>2080</v>
      </c>
      <c r="T2774" s="700"/>
      <c r="W2774" s="698" t="s">
        <v>987</v>
      </c>
      <c r="X2774" s="705" t="s">
        <v>1609</v>
      </c>
      <c r="Y2774" s="838">
        <f>SUM(X2775:X2776)</f>
        <v>1.6420000000000001E-2</v>
      </c>
    </row>
    <row r="2775" spans="6:33" ht="24" customHeight="1">
      <c r="F2775" s="902"/>
      <c r="G2775" s="903"/>
      <c r="H2775" s="905"/>
      <c r="I2775" s="905" t="s">
        <v>776</v>
      </c>
      <c r="J2775" s="1026" t="s">
        <v>2080</v>
      </c>
      <c r="K2775" s="915">
        <f>SUM(K2770:K2774)</f>
        <v>2595.25</v>
      </c>
      <c r="L2775" s="838">
        <f>K2808+K2807</f>
        <v>1.6420000000000001E-2</v>
      </c>
      <c r="T2775" s="700"/>
      <c r="U2775" s="697" t="s">
        <v>1322</v>
      </c>
      <c r="W2775" s="1032" t="s">
        <v>987</v>
      </c>
      <c r="X2775" s="775">
        <v>1.2840000000000001E-2</v>
      </c>
    </row>
    <row r="2776" spans="6:33" ht="24" customHeight="1">
      <c r="F2776" s="918"/>
      <c r="G2776" s="919"/>
      <c r="H2776" s="920"/>
      <c r="I2776" s="920"/>
      <c r="J2776" s="1033"/>
      <c r="K2776" s="1034" t="s">
        <v>2080</v>
      </c>
      <c r="T2776" s="700"/>
      <c r="U2776" s="697" t="s">
        <v>955</v>
      </c>
      <c r="W2776" s="698" t="s">
        <v>987</v>
      </c>
      <c r="X2776" s="775">
        <v>3.5799999999999998E-3</v>
      </c>
    </row>
    <row r="2777" spans="6:33" ht="24" customHeight="1">
      <c r="J2777" s="704"/>
      <c r="T2777" s="700"/>
      <c r="W2777" s="704"/>
      <c r="X2777" s="705" t="s">
        <v>1609</v>
      </c>
    </row>
    <row r="2778" spans="6:33" ht="24" customHeight="1">
      <c r="F2778" s="699" t="s">
        <v>953</v>
      </c>
      <c r="J2778" s="704"/>
      <c r="S2778" s="740">
        <f>F2810</f>
        <v>1.9E-2</v>
      </c>
      <c r="T2778" s="708" t="s">
        <v>878</v>
      </c>
      <c r="U2778" s="697" t="s">
        <v>332</v>
      </c>
      <c r="V2778" s="710">
        <f>C83</f>
        <v>34300</v>
      </c>
      <c r="W2778" s="698" t="s">
        <v>878</v>
      </c>
      <c r="X2778" s="710">
        <f>(S2778*V2778)</f>
        <v>651.70000000000005</v>
      </c>
    </row>
    <row r="2779" spans="6:33" ht="24" customHeight="1">
      <c r="J2779" s="704"/>
      <c r="S2779" s="740">
        <f t="shared" ref="S2779:S2789" si="268">F2811</f>
        <v>2.7E-2</v>
      </c>
      <c r="T2779" s="708" t="s">
        <v>878</v>
      </c>
      <c r="U2779" s="697" t="s">
        <v>332</v>
      </c>
      <c r="V2779" s="710">
        <f>V2778</f>
        <v>34300</v>
      </c>
      <c r="W2779" s="698" t="s">
        <v>878</v>
      </c>
      <c r="X2779" s="710">
        <f t="shared" ref="X2779:X2789" si="269">(S2779*V2779)</f>
        <v>926.1</v>
      </c>
    </row>
    <row r="2780" spans="6:33" ht="24" customHeight="1">
      <c r="F2780" s="699" t="s">
        <v>3098</v>
      </c>
      <c r="J2780" s="704"/>
      <c r="S2780" s="740">
        <f t="shared" si="268"/>
        <v>1.6E-2</v>
      </c>
      <c r="T2780" s="708" t="s">
        <v>878</v>
      </c>
      <c r="U2780" s="697" t="s">
        <v>333</v>
      </c>
      <c r="V2780" s="710">
        <f>C84</f>
        <v>39400</v>
      </c>
      <c r="W2780" s="698" t="s">
        <v>878</v>
      </c>
      <c r="X2780" s="710">
        <f t="shared" si="269"/>
        <v>630.4</v>
      </c>
      <c r="AC2780" s="758" t="s">
        <v>1769</v>
      </c>
    </row>
    <row r="2781" spans="6:33" ht="24" customHeight="1">
      <c r="J2781" s="704"/>
      <c r="S2781" s="740"/>
      <c r="T2781" s="700"/>
      <c r="U2781" s="697"/>
      <c r="V2781" s="710">
        <f>V955</f>
        <v>0</v>
      </c>
      <c r="W2781" s="704"/>
      <c r="X2781" s="710">
        <f t="shared" si="269"/>
        <v>0</v>
      </c>
      <c r="AC2781" s="758" t="s">
        <v>1770</v>
      </c>
    </row>
    <row r="2782" spans="6:33" ht="24" customHeight="1">
      <c r="G2782" s="1035">
        <v>0.745</v>
      </c>
      <c r="H2782" s="699" t="s">
        <v>2176</v>
      </c>
      <c r="J2782" s="704"/>
      <c r="S2782" s="740">
        <f t="shared" si="268"/>
        <v>1.823</v>
      </c>
      <c r="T2782" s="708" t="s">
        <v>615</v>
      </c>
      <c r="U2782" s="697" t="s">
        <v>448</v>
      </c>
      <c r="V2782" s="710">
        <f>I2814</f>
        <v>1325</v>
      </c>
      <c r="W2782" s="698" t="s">
        <v>615</v>
      </c>
      <c r="X2782" s="710">
        <f t="shared" si="269"/>
        <v>2415.48</v>
      </c>
    </row>
    <row r="2783" spans="6:33" ht="24" customHeight="1">
      <c r="J2783" s="704"/>
      <c r="S2783" s="740">
        <f t="shared" si="268"/>
        <v>2</v>
      </c>
      <c r="T2783" s="708" t="s">
        <v>778</v>
      </c>
      <c r="U2783" s="697" t="s">
        <v>1485</v>
      </c>
      <c r="V2783" s="710">
        <f t="shared" ref="V2783:V2788" si="270">I2815</f>
        <v>252</v>
      </c>
      <c r="W2783" s="698" t="s">
        <v>877</v>
      </c>
      <c r="X2783" s="710">
        <f t="shared" si="269"/>
        <v>504</v>
      </c>
      <c r="AB2783" s="1036">
        <v>2.6159999999999999E-2</v>
      </c>
      <c r="AC2783" s="839" t="s">
        <v>878</v>
      </c>
      <c r="AD2783" s="758" t="s">
        <v>3181</v>
      </c>
      <c r="AE2783" s="758">
        <f>I2810</f>
        <v>111600</v>
      </c>
      <c r="AF2783" s="759" t="s">
        <v>878</v>
      </c>
      <c r="AG2783" s="758">
        <f>AE2783*AB2783</f>
        <v>2919.46</v>
      </c>
    </row>
    <row r="2784" spans="6:33" ht="24" customHeight="1">
      <c r="F2784" s="758" t="s">
        <v>464</v>
      </c>
      <c r="J2784" s="704"/>
      <c r="S2784" s="740">
        <f t="shared" si="268"/>
        <v>3</v>
      </c>
      <c r="T2784" s="708" t="s">
        <v>877</v>
      </c>
      <c r="U2784" s="697" t="s">
        <v>1486</v>
      </c>
      <c r="V2784" s="710">
        <f t="shared" si="270"/>
        <v>212</v>
      </c>
      <c r="W2784" s="698" t="s">
        <v>877</v>
      </c>
      <c r="X2784" s="710">
        <f t="shared" si="269"/>
        <v>636</v>
      </c>
      <c r="AB2784" s="1036">
        <v>4.7809999999999998E-2</v>
      </c>
      <c r="AC2784" s="839" t="s">
        <v>878</v>
      </c>
      <c r="AD2784" s="758" t="s">
        <v>2522</v>
      </c>
      <c r="AE2784" s="758">
        <f>I2811</f>
        <v>99400</v>
      </c>
      <c r="AF2784" s="759" t="s">
        <v>878</v>
      </c>
      <c r="AG2784" s="758">
        <f t="shared" ref="AG2784:AG2793" si="271">AE2784*AB2784</f>
        <v>4752.3100000000004</v>
      </c>
    </row>
    <row r="2785" spans="6:33" ht="24" customHeight="1">
      <c r="J2785" s="704"/>
      <c r="S2785" s="740">
        <f t="shared" si="268"/>
        <v>2</v>
      </c>
      <c r="T2785" s="708" t="s">
        <v>877</v>
      </c>
      <c r="U2785" s="697" t="s">
        <v>1487</v>
      </c>
      <c r="V2785" s="710">
        <f t="shared" si="270"/>
        <v>404</v>
      </c>
      <c r="W2785" s="698" t="s">
        <v>877</v>
      </c>
      <c r="X2785" s="710">
        <f t="shared" si="269"/>
        <v>808</v>
      </c>
      <c r="AB2785" s="1037">
        <v>4.5879999999999997E-2</v>
      </c>
      <c r="AC2785" s="839" t="s">
        <v>878</v>
      </c>
      <c r="AD2785" s="758" t="s">
        <v>1771</v>
      </c>
      <c r="AE2785" s="758">
        <f>I3317</f>
        <v>107000</v>
      </c>
      <c r="AF2785" s="759" t="s">
        <v>878</v>
      </c>
      <c r="AG2785" s="758">
        <f t="shared" si="271"/>
        <v>4909.16</v>
      </c>
    </row>
    <row r="2786" spans="6:33" ht="24" customHeight="1">
      <c r="F2786" s="703">
        <v>0.37</v>
      </c>
      <c r="G2786" s="700" t="s">
        <v>2176</v>
      </c>
      <c r="H2786" s="699" t="s">
        <v>3101</v>
      </c>
      <c r="I2786" s="699">
        <f>I2989</f>
        <v>7859.28</v>
      </c>
      <c r="J2786" s="785" t="s">
        <v>2176</v>
      </c>
      <c r="K2786" s="699">
        <f>F2786*I2786</f>
        <v>2907.93</v>
      </c>
      <c r="S2786" s="740">
        <f t="shared" si="268"/>
        <v>1</v>
      </c>
      <c r="T2786" s="708" t="s">
        <v>877</v>
      </c>
      <c r="U2786" s="697" t="s">
        <v>1488</v>
      </c>
      <c r="V2786" s="710">
        <f t="shared" si="270"/>
        <v>707</v>
      </c>
      <c r="W2786" s="698" t="s">
        <v>877</v>
      </c>
      <c r="X2786" s="710">
        <f t="shared" si="269"/>
        <v>707</v>
      </c>
      <c r="AB2786" s="1037">
        <v>3.95</v>
      </c>
      <c r="AC2786" s="839" t="s">
        <v>615</v>
      </c>
      <c r="AD2786" s="758" t="s">
        <v>892</v>
      </c>
      <c r="AE2786" s="758">
        <f>I2814</f>
        <v>1325</v>
      </c>
      <c r="AF2786" s="759" t="s">
        <v>615</v>
      </c>
      <c r="AG2786" s="758">
        <f t="shared" si="271"/>
        <v>5233.75</v>
      </c>
    </row>
    <row r="2787" spans="6:33" ht="24" customHeight="1">
      <c r="F2787" s="699">
        <v>0.25</v>
      </c>
      <c r="G2787" s="700" t="s">
        <v>1414</v>
      </c>
      <c r="H2787" s="699" t="s">
        <v>466</v>
      </c>
      <c r="I2787" s="699">
        <f>C9</f>
        <v>804</v>
      </c>
      <c r="J2787" s="785" t="s">
        <v>1418</v>
      </c>
      <c r="K2787" s="699">
        <f>F2787*I2787</f>
        <v>201</v>
      </c>
      <c r="S2787" s="740">
        <f t="shared" si="268"/>
        <v>1</v>
      </c>
      <c r="T2787" s="708" t="s">
        <v>877</v>
      </c>
      <c r="U2787" s="697" t="s">
        <v>1489</v>
      </c>
      <c r="V2787" s="710">
        <f t="shared" si="270"/>
        <v>22.9</v>
      </c>
      <c r="W2787" s="698" t="s">
        <v>877</v>
      </c>
      <c r="X2787" s="710">
        <f t="shared" si="269"/>
        <v>22.9</v>
      </c>
      <c r="AB2787" s="758">
        <v>2</v>
      </c>
      <c r="AC2787" s="839" t="s">
        <v>1898</v>
      </c>
      <c r="AD2787" s="758" t="s">
        <v>2150</v>
      </c>
      <c r="AE2787" s="758">
        <f t="shared" ref="AE2787:AE2792" si="272">I2815</f>
        <v>252</v>
      </c>
      <c r="AF2787" s="759" t="s">
        <v>1418</v>
      </c>
      <c r="AG2787" s="758">
        <f t="shared" si="271"/>
        <v>504</v>
      </c>
    </row>
    <row r="2788" spans="6:33" ht="24" customHeight="1">
      <c r="F2788" s="699">
        <v>3.5</v>
      </c>
      <c r="G2788" s="700" t="s">
        <v>1452</v>
      </c>
      <c r="H2788" s="699" t="s">
        <v>348</v>
      </c>
      <c r="I2788" s="699">
        <f>C10</f>
        <v>562</v>
      </c>
      <c r="J2788" s="785" t="s">
        <v>1418</v>
      </c>
      <c r="K2788" s="699">
        <f>F2788*I2788</f>
        <v>1967</v>
      </c>
      <c r="S2788" s="740">
        <f t="shared" si="268"/>
        <v>1</v>
      </c>
      <c r="T2788" s="708" t="s">
        <v>877</v>
      </c>
      <c r="U2788" s="697" t="s">
        <v>2007</v>
      </c>
      <c r="V2788" s="710">
        <f t="shared" si="270"/>
        <v>45.9</v>
      </c>
      <c r="W2788" s="698" t="s">
        <v>877</v>
      </c>
      <c r="X2788" s="710">
        <f t="shared" si="269"/>
        <v>45.9</v>
      </c>
      <c r="AB2788" s="758">
        <v>6</v>
      </c>
      <c r="AC2788" s="839" t="s">
        <v>1898</v>
      </c>
      <c r="AD2788" s="758" t="s">
        <v>1116</v>
      </c>
      <c r="AE2788" s="758">
        <f t="shared" si="272"/>
        <v>212</v>
      </c>
      <c r="AF2788" s="759" t="s">
        <v>1418</v>
      </c>
      <c r="AG2788" s="758">
        <f t="shared" si="271"/>
        <v>1272</v>
      </c>
    </row>
    <row r="2789" spans="6:33" ht="24" customHeight="1">
      <c r="F2789" s="699">
        <v>12</v>
      </c>
      <c r="G2789" s="700" t="s">
        <v>922</v>
      </c>
      <c r="H2789" s="699" t="s">
        <v>3099</v>
      </c>
      <c r="J2789" s="785" t="s">
        <v>922</v>
      </c>
      <c r="K2789" s="699">
        <f>I2789*F2789</f>
        <v>0</v>
      </c>
      <c r="S2789" s="703">
        <f t="shared" si="268"/>
        <v>64</v>
      </c>
      <c r="T2789" s="700"/>
      <c r="U2789" s="699" t="s">
        <v>475</v>
      </c>
      <c r="V2789" s="699">
        <f>P2828</f>
        <v>2.39</v>
      </c>
      <c r="W2789" s="704"/>
      <c r="X2789" s="710">
        <f t="shared" si="269"/>
        <v>152.96</v>
      </c>
      <c r="AB2789" s="758">
        <v>4</v>
      </c>
      <c r="AC2789" s="839" t="s">
        <v>1898</v>
      </c>
      <c r="AD2789" s="758" t="s">
        <v>1368</v>
      </c>
      <c r="AE2789" s="758">
        <f t="shared" si="272"/>
        <v>404</v>
      </c>
      <c r="AF2789" s="759" t="s">
        <v>1418</v>
      </c>
      <c r="AG2789" s="758">
        <f t="shared" si="271"/>
        <v>1616</v>
      </c>
    </row>
    <row r="2790" spans="6:33" ht="24" customHeight="1">
      <c r="G2790" s="699" t="s">
        <v>467</v>
      </c>
      <c r="H2790" s="699" t="s">
        <v>962</v>
      </c>
      <c r="J2790" s="785" t="s">
        <v>69</v>
      </c>
      <c r="K2790" s="699">
        <f>L2756*10%</f>
        <v>216.8</v>
      </c>
      <c r="T2790" s="700"/>
      <c r="U2790" s="697" t="s">
        <v>1000</v>
      </c>
      <c r="W2790" s="704"/>
      <c r="X2790" s="710">
        <f>SUM(X2778:X2789)</f>
        <v>7500.44</v>
      </c>
      <c r="AB2790" s="758">
        <v>1</v>
      </c>
      <c r="AC2790" s="839" t="s">
        <v>1898</v>
      </c>
      <c r="AD2790" s="758" t="s">
        <v>1369</v>
      </c>
      <c r="AE2790" s="758">
        <f t="shared" si="272"/>
        <v>707</v>
      </c>
      <c r="AF2790" s="759" t="s">
        <v>1418</v>
      </c>
      <c r="AG2790" s="758">
        <f t="shared" si="271"/>
        <v>707</v>
      </c>
    </row>
    <row r="2791" spans="6:33" ht="24" customHeight="1">
      <c r="J2791" s="704"/>
      <c r="K2791" s="699" t="s">
        <v>963</v>
      </c>
      <c r="T2791" s="700"/>
      <c r="W2791" s="704"/>
      <c r="X2791" s="705" t="s">
        <v>1609</v>
      </c>
      <c r="AB2791" s="758">
        <v>2</v>
      </c>
      <c r="AC2791" s="839" t="s">
        <v>1898</v>
      </c>
      <c r="AD2791" s="758" t="s">
        <v>2005</v>
      </c>
      <c r="AE2791" s="758">
        <f t="shared" si="272"/>
        <v>22.9</v>
      </c>
      <c r="AF2791" s="759" t="s">
        <v>1418</v>
      </c>
      <c r="AG2791" s="758">
        <f t="shared" si="271"/>
        <v>45.8</v>
      </c>
    </row>
    <row r="2792" spans="6:33" ht="24" customHeight="1">
      <c r="J2792" s="704"/>
      <c r="T2792" s="700"/>
      <c r="U2792" s="697" t="s">
        <v>556</v>
      </c>
      <c r="W2792" s="704"/>
      <c r="X2792" s="710">
        <f>X2790/1.8225</f>
        <v>4115.47</v>
      </c>
      <c r="AB2792" s="758">
        <v>2</v>
      </c>
      <c r="AC2792" s="839" t="s">
        <v>1898</v>
      </c>
      <c r="AD2792" s="758" t="s">
        <v>2007</v>
      </c>
      <c r="AE2792" s="758">
        <f t="shared" si="272"/>
        <v>45.9</v>
      </c>
      <c r="AF2792" s="759" t="s">
        <v>1418</v>
      </c>
      <c r="AG2792" s="758">
        <f t="shared" si="271"/>
        <v>91.8</v>
      </c>
    </row>
    <row r="2793" spans="6:33" ht="24" customHeight="1">
      <c r="I2793" s="699" t="s">
        <v>3100</v>
      </c>
      <c r="J2793" s="704"/>
      <c r="K2793" s="699">
        <f>SUM(K2786:K2790)</f>
        <v>5292.73</v>
      </c>
      <c r="T2793" s="700"/>
      <c r="W2793" s="704"/>
      <c r="AB2793" s="758">
        <v>10</v>
      </c>
      <c r="AC2793" s="839"/>
      <c r="AD2793" s="758" t="s">
        <v>1767</v>
      </c>
      <c r="AE2793" s="758">
        <f>V2789</f>
        <v>2.39</v>
      </c>
      <c r="AF2793" s="759"/>
      <c r="AG2793" s="758">
        <f t="shared" si="271"/>
        <v>23.9</v>
      </c>
    </row>
    <row r="2794" spans="6:33" ht="24" customHeight="1">
      <c r="J2794" s="704"/>
      <c r="AB2794" s="758"/>
      <c r="AC2794" s="839"/>
      <c r="AD2794" s="758" t="s">
        <v>556</v>
      </c>
      <c r="AE2794" s="758"/>
      <c r="AF2794" s="759"/>
      <c r="AG2794" s="758">
        <f>SUM(AG2783:AG2793)</f>
        <v>22075.18</v>
      </c>
    </row>
    <row r="2795" spans="6:33" ht="24" customHeight="1">
      <c r="I2795" s="699" t="s">
        <v>1906</v>
      </c>
      <c r="J2795" s="704"/>
      <c r="K2795" s="699">
        <f>K2793/3.5</f>
        <v>1512.21</v>
      </c>
      <c r="AB2795" s="758"/>
      <c r="AC2795" s="839"/>
      <c r="AD2795" s="758"/>
      <c r="AE2795" s="758"/>
      <c r="AF2795" s="759"/>
      <c r="AG2795" s="1038" t="s">
        <v>148</v>
      </c>
    </row>
    <row r="2796" spans="6:33" ht="24" customHeight="1">
      <c r="J2796" s="704"/>
      <c r="AB2796" s="758"/>
      <c r="AC2796" s="839"/>
      <c r="AD2796" s="758" t="s">
        <v>556</v>
      </c>
      <c r="AE2796" s="758"/>
      <c r="AF2796" s="759"/>
      <c r="AG2796" s="758">
        <f>AG2794/AB2786</f>
        <v>5588.65</v>
      </c>
    </row>
    <row r="2797" spans="6:33" ht="54.75" customHeight="1">
      <c r="F2797" s="698" t="s">
        <v>568</v>
      </c>
      <c r="G2797" s="708" t="s">
        <v>2276</v>
      </c>
      <c r="H2797" s="697" t="s">
        <v>254</v>
      </c>
      <c r="J2797" s="704"/>
      <c r="AB2797" s="758"/>
      <c r="AC2797" s="839"/>
      <c r="AD2797" s="758"/>
      <c r="AE2797" s="758"/>
      <c r="AF2797" s="759"/>
      <c r="AG2797" s="1038" t="s">
        <v>148</v>
      </c>
    </row>
    <row r="2798" spans="6:33" ht="24" customHeight="1">
      <c r="H2798" s="697" t="s">
        <v>255</v>
      </c>
      <c r="J2798" s="704"/>
    </row>
    <row r="2799" spans="6:33" ht="24" customHeight="1">
      <c r="H2799" s="697" t="s">
        <v>1492</v>
      </c>
      <c r="I2799" s="758" t="s">
        <v>2236</v>
      </c>
      <c r="J2799" s="704"/>
    </row>
    <row r="2800" spans="6:33" ht="24" customHeight="1">
      <c r="H2800" s="705" t="s">
        <v>1609</v>
      </c>
      <c r="J2800" s="704"/>
    </row>
    <row r="2801" spans="6:18" ht="24" customHeight="1">
      <c r="H2801" s="697" t="s">
        <v>1907</v>
      </c>
      <c r="J2801" s="704"/>
    </row>
    <row r="2802" spans="6:18" ht="24" customHeight="1">
      <c r="H2802" s="697" t="s">
        <v>1908</v>
      </c>
      <c r="J2802" s="704"/>
    </row>
    <row r="2803" spans="6:18" ht="24" customHeight="1">
      <c r="J2803" s="698" t="s">
        <v>1609</v>
      </c>
    </row>
    <row r="2804" spans="6:18" ht="24" customHeight="1">
      <c r="H2804" s="697" t="s">
        <v>1320</v>
      </c>
      <c r="J2804" s="704"/>
      <c r="M2804" s="698" t="s">
        <v>568</v>
      </c>
      <c r="N2804" s="708" t="s">
        <v>2276</v>
      </c>
      <c r="O2804" s="697" t="s">
        <v>254</v>
      </c>
      <c r="Q2804" s="704"/>
    </row>
    <row r="2805" spans="6:18" ht="24" customHeight="1">
      <c r="H2805" s="697" t="s">
        <v>1321</v>
      </c>
      <c r="J2805" s="704"/>
      <c r="K2805" s="775">
        <v>2.7099999999999999E-2</v>
      </c>
      <c r="N2805" s="700"/>
      <c r="O2805" s="697" t="s">
        <v>255</v>
      </c>
      <c r="Q2805" s="704"/>
    </row>
    <row r="2806" spans="6:18" ht="24" customHeight="1">
      <c r="J2806" s="698" t="s">
        <v>987</v>
      </c>
      <c r="K2806" s="705" t="s">
        <v>1609</v>
      </c>
      <c r="N2806" s="700"/>
      <c r="O2806" s="697" t="s">
        <v>714</v>
      </c>
      <c r="P2806" s="758" t="s">
        <v>2235</v>
      </c>
      <c r="Q2806" s="704"/>
    </row>
    <row r="2807" spans="6:18" ht="24" customHeight="1">
      <c r="H2807" s="697" t="s">
        <v>1322</v>
      </c>
      <c r="J2807" s="1032" t="s">
        <v>987</v>
      </c>
      <c r="K2807" s="775">
        <v>1.2840000000000001E-2</v>
      </c>
      <c r="N2807" s="700"/>
      <c r="O2807" s="705" t="s">
        <v>1609</v>
      </c>
      <c r="Q2807" s="704"/>
    </row>
    <row r="2808" spans="6:18" ht="24" customHeight="1">
      <c r="H2808" s="697" t="s">
        <v>2237</v>
      </c>
      <c r="J2808" s="698" t="s">
        <v>987</v>
      </c>
      <c r="K2808" s="775">
        <v>3.5799999999999998E-3</v>
      </c>
      <c r="N2808" s="700"/>
      <c r="O2808" s="697" t="s">
        <v>423</v>
      </c>
      <c r="Q2808" s="704"/>
    </row>
    <row r="2809" spans="6:18" ht="24" customHeight="1">
      <c r="F2809" s="1039"/>
      <c r="J2809" s="704"/>
      <c r="K2809" s="705" t="s">
        <v>1609</v>
      </c>
      <c r="N2809" s="700"/>
      <c r="O2809" s="697" t="s">
        <v>1908</v>
      </c>
      <c r="Q2809" s="704"/>
    </row>
    <row r="2810" spans="6:18" ht="24" customHeight="1">
      <c r="F2810" s="775">
        <v>1.898E-2</v>
      </c>
      <c r="G2810" s="708" t="s">
        <v>878</v>
      </c>
      <c r="H2810" s="697" t="s">
        <v>309</v>
      </c>
      <c r="I2810" s="710">
        <f>AC24</f>
        <v>111600</v>
      </c>
      <c r="J2810" s="698" t="s">
        <v>878</v>
      </c>
      <c r="K2810" s="710">
        <f>(F2810*I2810)</f>
        <v>2118.17</v>
      </c>
      <c r="N2810" s="700"/>
      <c r="Q2810" s="698" t="s">
        <v>1609</v>
      </c>
    </row>
    <row r="2811" spans="6:18" ht="24" customHeight="1">
      <c r="F2811" s="775">
        <f>K2805</f>
        <v>2.7099999999999999E-2</v>
      </c>
      <c r="G2811" s="708" t="s">
        <v>878</v>
      </c>
      <c r="H2811" s="697" t="s">
        <v>310</v>
      </c>
      <c r="I2811" s="710">
        <f>AC25</f>
        <v>99400</v>
      </c>
      <c r="J2811" s="698" t="s">
        <v>878</v>
      </c>
      <c r="K2811" s="710">
        <f t="shared" ref="K2811:K2821" si="273">(F2811*I2811)</f>
        <v>2693.74</v>
      </c>
      <c r="N2811" s="700"/>
      <c r="O2811" s="697" t="s">
        <v>425</v>
      </c>
      <c r="Q2811" s="704"/>
    </row>
    <row r="2812" spans="6:18" ht="24" customHeight="1">
      <c r="F2812" s="775">
        <f>L2775</f>
        <v>1.6420000000000001E-2</v>
      </c>
      <c r="G2812" s="708" t="s">
        <v>878</v>
      </c>
      <c r="H2812" s="697" t="s">
        <v>311</v>
      </c>
      <c r="I2812" s="710">
        <f>AC26</f>
        <v>95000</v>
      </c>
      <c r="J2812" s="698" t="s">
        <v>878</v>
      </c>
      <c r="K2812" s="710">
        <f t="shared" si="273"/>
        <v>1559.9</v>
      </c>
      <c r="N2812" s="700"/>
      <c r="O2812" s="697" t="s">
        <v>2233</v>
      </c>
      <c r="Q2812" s="704"/>
      <c r="R2812" s="775">
        <v>2.784E-2</v>
      </c>
    </row>
    <row r="2813" spans="6:18" ht="24" customHeight="1">
      <c r="F2813" s="776"/>
      <c r="H2813" s="697" t="s">
        <v>956</v>
      </c>
      <c r="I2813" s="710"/>
      <c r="J2813" s="704"/>
      <c r="K2813" s="710"/>
      <c r="N2813" s="700"/>
      <c r="Q2813" s="698" t="s">
        <v>987</v>
      </c>
      <c r="R2813" s="705" t="s">
        <v>1609</v>
      </c>
    </row>
    <row r="2814" spans="6:18" ht="24" customHeight="1">
      <c r="F2814" s="776">
        <v>1.8225</v>
      </c>
      <c r="G2814" s="708" t="s">
        <v>615</v>
      </c>
      <c r="H2814" s="697" t="s">
        <v>448</v>
      </c>
      <c r="I2814" s="710">
        <f>I951</f>
        <v>1325</v>
      </c>
      <c r="J2814" s="698" t="s">
        <v>615</v>
      </c>
      <c r="K2814" s="710">
        <f t="shared" si="273"/>
        <v>2414.81</v>
      </c>
      <c r="N2814" s="700"/>
      <c r="O2814" s="697" t="s">
        <v>2234</v>
      </c>
      <c r="Q2814" s="1032" t="s">
        <v>987</v>
      </c>
      <c r="R2814" s="775">
        <v>2.5499999999999998E-2</v>
      </c>
    </row>
    <row r="2815" spans="6:18" ht="24" customHeight="1">
      <c r="F2815" s="710">
        <v>2</v>
      </c>
      <c r="G2815" s="708" t="s">
        <v>778</v>
      </c>
      <c r="H2815" s="697" t="s">
        <v>3710</v>
      </c>
      <c r="I2815" s="718">
        <v>252</v>
      </c>
      <c r="J2815" s="698" t="s">
        <v>877</v>
      </c>
      <c r="K2815" s="710">
        <f t="shared" si="273"/>
        <v>504</v>
      </c>
      <c r="N2815" s="700"/>
      <c r="O2815" s="697"/>
      <c r="Q2815" s="698" t="s">
        <v>987</v>
      </c>
      <c r="R2815" s="775"/>
    </row>
    <row r="2816" spans="6:18" ht="24" customHeight="1">
      <c r="F2816" s="710">
        <v>3</v>
      </c>
      <c r="G2816" s="708" t="s">
        <v>877</v>
      </c>
      <c r="H2816" s="697" t="s">
        <v>3711</v>
      </c>
      <c r="I2816" s="718">
        <v>212</v>
      </c>
      <c r="J2816" s="698" t="s">
        <v>877</v>
      </c>
      <c r="K2816" s="710">
        <f t="shared" si="273"/>
        <v>636</v>
      </c>
      <c r="N2816" s="700"/>
      <c r="Q2816" s="704"/>
      <c r="R2816" s="705" t="s">
        <v>1609</v>
      </c>
    </row>
    <row r="2817" spans="6:18" ht="24" customHeight="1">
      <c r="F2817" s="710">
        <v>2</v>
      </c>
      <c r="G2817" s="708" t="s">
        <v>877</v>
      </c>
      <c r="H2817" s="697" t="s">
        <v>3712</v>
      </c>
      <c r="I2817" s="718">
        <v>404</v>
      </c>
      <c r="J2817" s="698" t="s">
        <v>877</v>
      </c>
      <c r="K2817" s="710">
        <f t="shared" si="273"/>
        <v>808</v>
      </c>
      <c r="M2817" s="775">
        <v>1.898E-2</v>
      </c>
      <c r="N2817" s="708" t="s">
        <v>878</v>
      </c>
      <c r="O2817" s="697" t="s">
        <v>309</v>
      </c>
      <c r="P2817" s="710">
        <f>I2810</f>
        <v>111600</v>
      </c>
      <c r="Q2817" s="698" t="s">
        <v>878</v>
      </c>
      <c r="R2817" s="710">
        <f>(M2817*P2817)</f>
        <v>2118.17</v>
      </c>
    </row>
    <row r="2818" spans="6:18" ht="24" customHeight="1">
      <c r="F2818" s="710">
        <v>1</v>
      </c>
      <c r="G2818" s="708" t="s">
        <v>877</v>
      </c>
      <c r="H2818" s="697" t="s">
        <v>3713</v>
      </c>
      <c r="I2818" s="718">
        <v>707</v>
      </c>
      <c r="J2818" s="698" t="s">
        <v>877</v>
      </c>
      <c r="K2818" s="710">
        <f t="shared" si="273"/>
        <v>707</v>
      </c>
      <c r="M2818" s="775">
        <f>R2812</f>
        <v>2.784E-2</v>
      </c>
      <c r="N2818" s="708" t="s">
        <v>878</v>
      </c>
      <c r="O2818" s="697" t="s">
        <v>310</v>
      </c>
      <c r="P2818" s="710">
        <f t="shared" ref="P2818:P2827" si="274">I2811</f>
        <v>99400</v>
      </c>
      <c r="Q2818" s="698" t="s">
        <v>878</v>
      </c>
      <c r="R2818" s="710">
        <f t="shared" ref="R2818:R2827" si="275">(M2818*P2818)</f>
        <v>2767.3</v>
      </c>
    </row>
    <row r="2819" spans="6:18" ht="24" customHeight="1">
      <c r="F2819" s="710">
        <v>1</v>
      </c>
      <c r="G2819" s="708" t="s">
        <v>877</v>
      </c>
      <c r="H2819" s="697" t="s">
        <v>1489</v>
      </c>
      <c r="I2819" s="718">
        <v>22.9</v>
      </c>
      <c r="J2819" s="698" t="s">
        <v>877</v>
      </c>
      <c r="K2819" s="710">
        <f t="shared" si="273"/>
        <v>22.9</v>
      </c>
      <c r="M2819" s="775">
        <f>R2814</f>
        <v>2.5499999999999998E-2</v>
      </c>
      <c r="N2819" s="708" t="s">
        <v>878</v>
      </c>
      <c r="O2819" s="697" t="s">
        <v>311</v>
      </c>
      <c r="P2819" s="710">
        <f t="shared" si="274"/>
        <v>95000</v>
      </c>
      <c r="Q2819" s="698" t="s">
        <v>878</v>
      </c>
      <c r="R2819" s="710">
        <f t="shared" si="275"/>
        <v>2422.5</v>
      </c>
    </row>
    <row r="2820" spans="6:18" ht="24" customHeight="1">
      <c r="F2820" s="710">
        <v>1</v>
      </c>
      <c r="G2820" s="708" t="s">
        <v>877</v>
      </c>
      <c r="H2820" s="697" t="s">
        <v>2007</v>
      </c>
      <c r="I2820" s="1040">
        <v>45.9</v>
      </c>
      <c r="J2820" s="698" t="s">
        <v>877</v>
      </c>
      <c r="K2820" s="710">
        <f t="shared" si="273"/>
        <v>45.9</v>
      </c>
      <c r="M2820" s="776"/>
      <c r="N2820" s="700"/>
      <c r="O2820" s="697" t="s">
        <v>2238</v>
      </c>
      <c r="P2820" s="710"/>
      <c r="Q2820" s="704"/>
      <c r="R2820" s="710"/>
    </row>
    <row r="2821" spans="6:18" ht="24" customHeight="1">
      <c r="F2821" s="699">
        <v>64</v>
      </c>
      <c r="H2821" s="699" t="s">
        <v>3714</v>
      </c>
      <c r="I2821" s="1041">
        <f>P1118</f>
        <v>2.39</v>
      </c>
      <c r="J2821" s="704"/>
      <c r="K2821" s="710">
        <f t="shared" si="273"/>
        <v>152.96</v>
      </c>
      <c r="M2821" s="776">
        <v>2.2275</v>
      </c>
      <c r="N2821" s="708" t="s">
        <v>615</v>
      </c>
      <c r="O2821" s="697" t="s">
        <v>448</v>
      </c>
      <c r="P2821" s="710">
        <f t="shared" si="274"/>
        <v>1325</v>
      </c>
      <c r="Q2821" s="698" t="s">
        <v>615</v>
      </c>
      <c r="R2821" s="710">
        <f t="shared" si="275"/>
        <v>2951.44</v>
      </c>
    </row>
    <row r="2822" spans="6:18" ht="24" customHeight="1">
      <c r="H2822" s="697" t="s">
        <v>1000</v>
      </c>
      <c r="J2822" s="704"/>
      <c r="K2822" s="710">
        <f>SUM(K2810:K2821)</f>
        <v>11663.38</v>
      </c>
      <c r="M2822" s="710">
        <v>1</v>
      </c>
      <c r="N2822" s="708" t="s">
        <v>778</v>
      </c>
      <c r="O2822" s="697" t="s">
        <v>1485</v>
      </c>
      <c r="P2822" s="710">
        <f t="shared" si="274"/>
        <v>252</v>
      </c>
      <c r="Q2822" s="698" t="s">
        <v>877</v>
      </c>
      <c r="R2822" s="710">
        <f t="shared" si="275"/>
        <v>252</v>
      </c>
    </row>
    <row r="2823" spans="6:18" ht="24" customHeight="1">
      <c r="J2823" s="704"/>
      <c r="K2823" s="705" t="s">
        <v>1609</v>
      </c>
      <c r="M2823" s="710">
        <v>3</v>
      </c>
      <c r="N2823" s="708" t="s">
        <v>877</v>
      </c>
      <c r="O2823" s="697" t="s">
        <v>1486</v>
      </c>
      <c r="P2823" s="710">
        <f t="shared" si="274"/>
        <v>212</v>
      </c>
      <c r="Q2823" s="698" t="s">
        <v>877</v>
      </c>
      <c r="R2823" s="710">
        <f t="shared" si="275"/>
        <v>636</v>
      </c>
    </row>
    <row r="2824" spans="6:18" ht="24" customHeight="1">
      <c r="H2824" s="697" t="s">
        <v>556</v>
      </c>
      <c r="J2824" s="704"/>
      <c r="K2824" s="709">
        <f>K2822/F2814</f>
        <v>6399.66</v>
      </c>
      <c r="M2824" s="710">
        <v>2</v>
      </c>
      <c r="N2824" s="708" t="s">
        <v>877</v>
      </c>
      <c r="O2824" s="697" t="s">
        <v>1487</v>
      </c>
      <c r="P2824" s="710">
        <f t="shared" si="274"/>
        <v>404</v>
      </c>
      <c r="Q2824" s="698" t="s">
        <v>877</v>
      </c>
      <c r="R2824" s="710">
        <f t="shared" si="275"/>
        <v>808</v>
      </c>
    </row>
    <row r="2825" spans="6:18" ht="24" customHeight="1">
      <c r="J2825" s="704"/>
      <c r="M2825" s="710">
        <v>1</v>
      </c>
      <c r="N2825" s="708" t="s">
        <v>877</v>
      </c>
      <c r="O2825" s="697" t="s">
        <v>1488</v>
      </c>
      <c r="P2825" s="710">
        <f t="shared" si="274"/>
        <v>707</v>
      </c>
      <c r="Q2825" s="698" t="s">
        <v>877</v>
      </c>
      <c r="R2825" s="710">
        <f t="shared" si="275"/>
        <v>707</v>
      </c>
    </row>
    <row r="2826" spans="6:18" ht="24" customHeight="1">
      <c r="F2826" s="698" t="s">
        <v>568</v>
      </c>
      <c r="G2826" s="708" t="s">
        <v>2276</v>
      </c>
      <c r="H2826" s="697" t="s">
        <v>1793</v>
      </c>
      <c r="J2826" s="704"/>
      <c r="M2826" s="710">
        <v>1</v>
      </c>
      <c r="N2826" s="708" t="s">
        <v>877</v>
      </c>
      <c r="O2826" s="697" t="s">
        <v>1489</v>
      </c>
      <c r="P2826" s="710">
        <f t="shared" si="274"/>
        <v>22.9</v>
      </c>
      <c r="Q2826" s="698" t="s">
        <v>877</v>
      </c>
      <c r="R2826" s="710">
        <f t="shared" si="275"/>
        <v>22.9</v>
      </c>
    </row>
    <row r="2827" spans="6:18" ht="24" customHeight="1">
      <c r="H2827" s="697" t="s">
        <v>255</v>
      </c>
      <c r="J2827" s="704"/>
      <c r="M2827" s="710">
        <v>1</v>
      </c>
      <c r="N2827" s="708" t="s">
        <v>877</v>
      </c>
      <c r="O2827" s="697" t="s">
        <v>2007</v>
      </c>
      <c r="P2827" s="710">
        <f t="shared" si="274"/>
        <v>45.9</v>
      </c>
      <c r="Q2827" s="698" t="s">
        <v>877</v>
      </c>
      <c r="R2827" s="710">
        <f t="shared" si="275"/>
        <v>45.9</v>
      </c>
    </row>
    <row r="2828" spans="6:18" ht="24" customHeight="1">
      <c r="H2828" s="697" t="s">
        <v>1492</v>
      </c>
      <c r="J2828" s="704">
        <f>1.1*2.025</f>
        <v>2.23</v>
      </c>
      <c r="M2828" s="699">
        <v>58</v>
      </c>
      <c r="N2828" s="708" t="s">
        <v>877</v>
      </c>
      <c r="O2828" s="699" t="s">
        <v>1767</v>
      </c>
      <c r="P2828" s="699">
        <f>P1118</f>
        <v>2.39</v>
      </c>
      <c r="Q2828" s="704" t="s">
        <v>877</v>
      </c>
      <c r="R2828" s="710">
        <f>(M2828*P2828)</f>
        <v>138.62</v>
      </c>
    </row>
    <row r="2829" spans="6:18" ht="24" customHeight="1">
      <c r="H2829" s="705" t="s">
        <v>1609</v>
      </c>
      <c r="J2829" s="704"/>
      <c r="N2829" s="700"/>
      <c r="O2829" s="697" t="s">
        <v>3455</v>
      </c>
      <c r="Q2829" s="704"/>
      <c r="R2829" s="710">
        <f>SUM(R2817:R2828)</f>
        <v>12869.83</v>
      </c>
    </row>
    <row r="2830" spans="6:18" ht="28.5" customHeight="1">
      <c r="H2830" s="697" t="s">
        <v>91</v>
      </c>
      <c r="J2830" s="704"/>
      <c r="N2830" s="700"/>
      <c r="Q2830" s="704"/>
      <c r="R2830" s="705" t="s">
        <v>1609</v>
      </c>
    </row>
    <row r="2831" spans="6:18" ht="47.25">
      <c r="F2831" s="703">
        <v>1.823</v>
      </c>
      <c r="G2831" s="708" t="s">
        <v>615</v>
      </c>
      <c r="H2831" s="762" t="s">
        <v>749</v>
      </c>
      <c r="I2831" s="1042">
        <v>2160</v>
      </c>
      <c r="J2831" s="698" t="s">
        <v>615</v>
      </c>
      <c r="K2831" s="699">
        <f>F2832*I2831</f>
        <v>3937.68</v>
      </c>
      <c r="N2831" s="700"/>
      <c r="O2831" s="697" t="s">
        <v>556</v>
      </c>
      <c r="Q2831" s="704"/>
      <c r="R2831" s="710">
        <f>R2829/M2821</f>
        <v>5777.7</v>
      </c>
    </row>
    <row r="2832" spans="6:18" ht="24" customHeight="1">
      <c r="F2832" s="740">
        <v>1.823</v>
      </c>
      <c r="G2832" s="708" t="s">
        <v>615</v>
      </c>
      <c r="H2832" s="990" t="s">
        <v>5104</v>
      </c>
      <c r="I2832" s="724">
        <f>AE49</f>
        <v>194.25</v>
      </c>
      <c r="J2832" s="698" t="s">
        <v>615</v>
      </c>
      <c r="K2832" s="710">
        <f t="shared" ref="K2832:K2838" si="276">(F2832*I2832)</f>
        <v>354.12</v>
      </c>
    </row>
    <row r="2833" spans="6:18" ht="24" customHeight="1">
      <c r="F2833" s="710">
        <v>2</v>
      </c>
      <c r="G2833" s="708" t="s">
        <v>778</v>
      </c>
      <c r="H2833" s="697" t="s">
        <v>1485</v>
      </c>
      <c r="I2833" s="710">
        <f t="shared" ref="I2833:I2838" si="277">I987</f>
        <v>53.4</v>
      </c>
      <c r="J2833" s="698" t="s">
        <v>877</v>
      </c>
      <c r="K2833" s="710">
        <f t="shared" si="276"/>
        <v>106.8</v>
      </c>
    </row>
    <row r="2834" spans="6:18" ht="24" customHeight="1">
      <c r="F2834" s="710">
        <v>3</v>
      </c>
      <c r="G2834" s="708" t="s">
        <v>877</v>
      </c>
      <c r="H2834" s="697" t="s">
        <v>1486</v>
      </c>
      <c r="I2834" s="710">
        <f t="shared" si="277"/>
        <v>83</v>
      </c>
      <c r="J2834" s="698" t="s">
        <v>877</v>
      </c>
      <c r="K2834" s="710">
        <f t="shared" si="276"/>
        <v>249</v>
      </c>
    </row>
    <row r="2835" spans="6:18" ht="24" customHeight="1">
      <c r="F2835" s="710">
        <v>2</v>
      </c>
      <c r="G2835" s="708" t="s">
        <v>877</v>
      </c>
      <c r="H2835" s="697" t="s">
        <v>1487</v>
      </c>
      <c r="I2835" s="710">
        <f t="shared" si="277"/>
        <v>60</v>
      </c>
      <c r="J2835" s="698" t="s">
        <v>877</v>
      </c>
      <c r="K2835" s="710">
        <f t="shared" si="276"/>
        <v>120</v>
      </c>
    </row>
    <row r="2836" spans="6:18" ht="24" customHeight="1">
      <c r="F2836" s="710">
        <v>1</v>
      </c>
      <c r="G2836" s="708" t="s">
        <v>877</v>
      </c>
      <c r="H2836" s="697" t="s">
        <v>1488</v>
      </c>
      <c r="I2836" s="710">
        <f t="shared" si="277"/>
        <v>167.6</v>
      </c>
      <c r="J2836" s="698" t="s">
        <v>877</v>
      </c>
      <c r="K2836" s="710">
        <f t="shared" si="276"/>
        <v>167.6</v>
      </c>
    </row>
    <row r="2837" spans="6:18" ht="24" customHeight="1">
      <c r="F2837" s="710">
        <v>1</v>
      </c>
      <c r="G2837" s="708" t="s">
        <v>877</v>
      </c>
      <c r="H2837" s="697" t="s">
        <v>1489</v>
      </c>
      <c r="I2837" s="710">
        <f t="shared" si="277"/>
        <v>7.3</v>
      </c>
      <c r="J2837" s="698" t="s">
        <v>877</v>
      </c>
      <c r="K2837" s="710">
        <f t="shared" si="276"/>
        <v>7.3</v>
      </c>
      <c r="M2837" s="698" t="s">
        <v>568</v>
      </c>
      <c r="N2837" s="708" t="s">
        <v>2276</v>
      </c>
      <c r="O2837" s="697" t="s">
        <v>254</v>
      </c>
      <c r="Q2837" s="704"/>
    </row>
    <row r="2838" spans="6:18" ht="24" customHeight="1">
      <c r="F2838" s="710">
        <v>1</v>
      </c>
      <c r="G2838" s="708" t="s">
        <v>877</v>
      </c>
      <c r="H2838" s="697" t="s">
        <v>2007</v>
      </c>
      <c r="I2838" s="710">
        <f t="shared" si="277"/>
        <v>45.9</v>
      </c>
      <c r="J2838" s="698" t="s">
        <v>877</v>
      </c>
      <c r="K2838" s="710">
        <f t="shared" si="276"/>
        <v>45.9</v>
      </c>
      <c r="N2838" s="700"/>
      <c r="O2838" s="697" t="s">
        <v>255</v>
      </c>
      <c r="P2838" s="758" t="s">
        <v>3457</v>
      </c>
      <c r="Q2838" s="704"/>
    </row>
    <row r="2839" spans="6:18" ht="24" customHeight="1">
      <c r="J2839" s="704"/>
      <c r="K2839" s="805">
        <v>0.85</v>
      </c>
      <c r="N2839" s="700"/>
      <c r="O2839" s="697" t="s">
        <v>714</v>
      </c>
      <c r="P2839" s="758" t="s">
        <v>3456</v>
      </c>
      <c r="Q2839" s="704"/>
    </row>
    <row r="2840" spans="6:18" ht="24" customHeight="1">
      <c r="H2840" s="697" t="s">
        <v>1239</v>
      </c>
      <c r="J2840" s="704"/>
      <c r="K2840" s="710">
        <f>SUM(K2831:K2839)</f>
        <v>4989.25</v>
      </c>
      <c r="N2840" s="700"/>
      <c r="O2840" s="705" t="s">
        <v>1609</v>
      </c>
      <c r="Q2840" s="704"/>
    </row>
    <row r="2841" spans="6:18" ht="24" customHeight="1">
      <c r="J2841" s="704"/>
      <c r="K2841" s="705" t="s">
        <v>1609</v>
      </c>
      <c r="N2841" s="700"/>
      <c r="O2841" s="697" t="s">
        <v>3452</v>
      </c>
      <c r="Q2841" s="704"/>
    </row>
    <row r="2842" spans="6:18" ht="24" customHeight="1">
      <c r="H2842" s="697" t="s">
        <v>556</v>
      </c>
      <c r="J2842" s="704"/>
      <c r="K2842" s="710">
        <f>K2840/F2832</f>
        <v>2736.83</v>
      </c>
      <c r="N2842" s="700"/>
      <c r="O2842" s="697" t="s">
        <v>3224</v>
      </c>
      <c r="Q2842" s="704"/>
    </row>
    <row r="2843" spans="6:18" ht="24" customHeight="1">
      <c r="F2843" s="697" t="s">
        <v>987</v>
      </c>
      <c r="J2843" s="704"/>
      <c r="N2843" s="700"/>
      <c r="Q2843" s="698" t="s">
        <v>1609</v>
      </c>
    </row>
    <row r="2844" spans="6:18" ht="24" customHeight="1">
      <c r="J2844" s="704"/>
      <c r="N2844" s="700"/>
      <c r="O2844" s="697" t="s">
        <v>2412</v>
      </c>
      <c r="Q2844" s="704"/>
    </row>
    <row r="2845" spans="6:18" ht="24" customHeight="1">
      <c r="F2845" s="753" t="s">
        <v>889</v>
      </c>
      <c r="H2845" s="697" t="s">
        <v>569</v>
      </c>
      <c r="N2845" s="700"/>
      <c r="O2845" s="697" t="s">
        <v>2413</v>
      </c>
      <c r="Q2845" s="704"/>
      <c r="R2845" s="775">
        <v>2.8910000000000002E-2</v>
      </c>
    </row>
    <row r="2846" spans="6:18" ht="24" customHeight="1">
      <c r="H2846" s="705" t="s">
        <v>1609</v>
      </c>
      <c r="I2846" s="705" t="s">
        <v>1609</v>
      </c>
      <c r="J2846" s="697" t="s">
        <v>1609</v>
      </c>
      <c r="N2846" s="700"/>
      <c r="Q2846" s="698" t="s">
        <v>987</v>
      </c>
      <c r="R2846" s="705" t="s">
        <v>1609</v>
      </c>
    </row>
    <row r="2847" spans="6:18" ht="24" customHeight="1">
      <c r="N2847" s="700"/>
      <c r="O2847" s="697" t="s">
        <v>2414</v>
      </c>
      <c r="Q2847" s="1032" t="s">
        <v>987</v>
      </c>
      <c r="R2847" s="775"/>
    </row>
    <row r="2848" spans="6:18" ht="24" customHeight="1">
      <c r="H2848" s="697" t="s">
        <v>2025</v>
      </c>
      <c r="N2848" s="700"/>
      <c r="O2848" s="697" t="s">
        <v>3453</v>
      </c>
      <c r="Q2848" s="698" t="s">
        <v>987</v>
      </c>
      <c r="R2848" s="775">
        <v>1.7999999999999999E-2</v>
      </c>
    </row>
    <row r="2849" spans="6:18" ht="24" customHeight="1">
      <c r="H2849" s="697"/>
      <c r="N2849" s="700"/>
      <c r="Q2849" s="704"/>
      <c r="R2849" s="705" t="s">
        <v>1609</v>
      </c>
    </row>
    <row r="2850" spans="6:18" ht="24" customHeight="1">
      <c r="H2850" s="825" t="s">
        <v>2026</v>
      </c>
      <c r="K2850" s="796"/>
      <c r="M2850" s="775">
        <v>1.9220000000000001E-2</v>
      </c>
      <c r="N2850" s="708" t="s">
        <v>878</v>
      </c>
      <c r="O2850" s="697" t="s">
        <v>309</v>
      </c>
      <c r="P2850" s="710">
        <f>P2817</f>
        <v>111600</v>
      </c>
      <c r="Q2850" s="698" t="s">
        <v>878</v>
      </c>
      <c r="R2850" s="710">
        <f>(M2850*P2850)</f>
        <v>2144.9499999999998</v>
      </c>
    </row>
    <row r="2851" spans="6:18" ht="24" customHeight="1">
      <c r="H2851" s="697" t="s">
        <v>455</v>
      </c>
      <c r="I2851" s="838">
        <f>0.0118+0.00675</f>
        <v>1.8550000000000001E-2</v>
      </c>
      <c r="M2851" s="775">
        <f>R2845</f>
        <v>2.8910000000000002E-2</v>
      </c>
      <c r="N2851" s="708" t="s">
        <v>878</v>
      </c>
      <c r="O2851" s="697" t="s">
        <v>310</v>
      </c>
      <c r="P2851" s="710">
        <f t="shared" ref="P2851:P2860" si="278">P2818</f>
        <v>99400</v>
      </c>
      <c r="Q2851" s="698" t="s">
        <v>878</v>
      </c>
      <c r="R2851" s="710">
        <f>(M2851*P2851)</f>
        <v>2873.65</v>
      </c>
    </row>
    <row r="2852" spans="6:18" ht="24" customHeight="1">
      <c r="H2852" s="697" t="s">
        <v>456</v>
      </c>
      <c r="M2852" s="775">
        <f>R2848</f>
        <v>1.7999999999999999E-2</v>
      </c>
      <c r="N2852" s="708" t="s">
        <v>878</v>
      </c>
      <c r="O2852" s="697" t="s">
        <v>311</v>
      </c>
      <c r="P2852" s="710">
        <f t="shared" si="278"/>
        <v>95000</v>
      </c>
      <c r="Q2852" s="698" t="s">
        <v>878</v>
      </c>
      <c r="R2852" s="710">
        <f>(M2852*P2852)</f>
        <v>1710</v>
      </c>
    </row>
    <row r="2853" spans="6:18" ht="24" customHeight="1">
      <c r="H2853" s="697" t="s">
        <v>457</v>
      </c>
      <c r="M2853" s="776"/>
      <c r="N2853" s="700"/>
      <c r="O2853" s="697" t="s">
        <v>2238</v>
      </c>
      <c r="P2853" s="710"/>
      <c r="Q2853" s="704"/>
      <c r="R2853" s="710"/>
    </row>
    <row r="2854" spans="6:18" ht="24" customHeight="1">
      <c r="H2854" s="697" t="s">
        <v>890</v>
      </c>
      <c r="J2854" s="697" t="s">
        <v>987</v>
      </c>
      <c r="K2854" s="775">
        <v>3.7699999999999997E-2</v>
      </c>
      <c r="M2854" s="776">
        <v>2.2549999999999999</v>
      </c>
      <c r="N2854" s="708" t="s">
        <v>615</v>
      </c>
      <c r="O2854" s="697" t="s">
        <v>448</v>
      </c>
      <c r="P2854" s="710">
        <f t="shared" si="278"/>
        <v>1325</v>
      </c>
      <c r="Q2854" s="698" t="s">
        <v>615</v>
      </c>
      <c r="R2854" s="710">
        <f t="shared" ref="R2854:R2860" si="279">(M2854*P2854)</f>
        <v>2987.88</v>
      </c>
    </row>
    <row r="2855" spans="6:18" ht="24" customHeight="1">
      <c r="H2855" s="697" t="s">
        <v>169</v>
      </c>
      <c r="J2855" s="825" t="s">
        <v>987</v>
      </c>
      <c r="K2855" s="825" t="s">
        <v>987</v>
      </c>
      <c r="M2855" s="710">
        <v>1</v>
      </c>
      <c r="N2855" s="708" t="s">
        <v>778</v>
      </c>
      <c r="O2855" s="697" t="s">
        <v>1485</v>
      </c>
      <c r="P2855" s="710">
        <f t="shared" si="278"/>
        <v>252</v>
      </c>
      <c r="Q2855" s="698" t="s">
        <v>877</v>
      </c>
      <c r="R2855" s="710">
        <f t="shared" si="279"/>
        <v>252</v>
      </c>
    </row>
    <row r="2856" spans="6:18" ht="67.5" customHeight="1">
      <c r="H2856" s="697" t="s">
        <v>1855</v>
      </c>
      <c r="K2856" s="825" t="s">
        <v>987</v>
      </c>
      <c r="M2856" s="710">
        <v>3</v>
      </c>
      <c r="N2856" s="708" t="s">
        <v>877</v>
      </c>
      <c r="O2856" s="697" t="s">
        <v>1486</v>
      </c>
      <c r="P2856" s="710">
        <f t="shared" si="278"/>
        <v>212</v>
      </c>
      <c r="Q2856" s="698" t="s">
        <v>877</v>
      </c>
      <c r="R2856" s="710">
        <f t="shared" si="279"/>
        <v>636</v>
      </c>
    </row>
    <row r="2857" spans="6:18" ht="24" customHeight="1">
      <c r="H2857" s="697"/>
      <c r="K2857" s="825"/>
      <c r="M2857" s="710">
        <v>2</v>
      </c>
      <c r="N2857" s="708" t="s">
        <v>877</v>
      </c>
      <c r="O2857" s="697" t="s">
        <v>1487</v>
      </c>
      <c r="P2857" s="710">
        <f t="shared" si="278"/>
        <v>404</v>
      </c>
      <c r="Q2857" s="698" t="s">
        <v>877</v>
      </c>
      <c r="R2857" s="710">
        <f t="shared" si="279"/>
        <v>808</v>
      </c>
    </row>
    <row r="2858" spans="6:18" ht="24" customHeight="1">
      <c r="H2858" s="697"/>
      <c r="K2858" s="825"/>
      <c r="M2858" s="710">
        <v>1</v>
      </c>
      <c r="N2858" s="708" t="s">
        <v>877</v>
      </c>
      <c r="O2858" s="697" t="s">
        <v>1488</v>
      </c>
      <c r="P2858" s="710">
        <f t="shared" si="278"/>
        <v>707</v>
      </c>
      <c r="Q2858" s="698" t="s">
        <v>877</v>
      </c>
      <c r="R2858" s="710">
        <f t="shared" si="279"/>
        <v>707</v>
      </c>
    </row>
    <row r="2859" spans="6:18" ht="24" customHeight="1">
      <c r="M2859" s="710">
        <v>1</v>
      </c>
      <c r="N2859" s="708" t="s">
        <v>877</v>
      </c>
      <c r="O2859" s="697" t="s">
        <v>1489</v>
      </c>
      <c r="P2859" s="710">
        <f t="shared" si="278"/>
        <v>22.9</v>
      </c>
      <c r="Q2859" s="698" t="s">
        <v>877</v>
      </c>
      <c r="R2859" s="710">
        <f t="shared" si="279"/>
        <v>22.9</v>
      </c>
    </row>
    <row r="2860" spans="6:18" ht="24" customHeight="1">
      <c r="F2860" s="830">
        <v>1.18E-2</v>
      </c>
      <c r="G2860" s="708" t="s">
        <v>878</v>
      </c>
      <c r="H2860" s="697" t="s">
        <v>698</v>
      </c>
      <c r="I2860" s="710">
        <f>I2810</f>
        <v>111600</v>
      </c>
      <c r="J2860" s="697" t="s">
        <v>878</v>
      </c>
      <c r="K2860" s="710">
        <f t="shared" ref="K2860:K2869" si="280">(F2860*I2860)</f>
        <v>1316.88</v>
      </c>
      <c r="M2860" s="710">
        <v>1</v>
      </c>
      <c r="N2860" s="708" t="s">
        <v>877</v>
      </c>
      <c r="O2860" s="697" t="s">
        <v>2007</v>
      </c>
      <c r="P2860" s="710">
        <f t="shared" si="278"/>
        <v>45.9</v>
      </c>
      <c r="Q2860" s="698" t="s">
        <v>877</v>
      </c>
      <c r="R2860" s="710">
        <f t="shared" si="279"/>
        <v>45.9</v>
      </c>
    </row>
    <row r="2861" spans="6:18" ht="24" customHeight="1">
      <c r="F2861" s="775">
        <v>6.7499999999999999E-3</v>
      </c>
      <c r="G2861" s="708" t="s">
        <v>878</v>
      </c>
      <c r="H2861" s="697" t="s">
        <v>699</v>
      </c>
      <c r="I2861" s="710">
        <f>I2811</f>
        <v>99400</v>
      </c>
      <c r="J2861" s="697" t="s">
        <v>878</v>
      </c>
      <c r="K2861" s="710">
        <f t="shared" si="280"/>
        <v>670.95</v>
      </c>
      <c r="M2861" s="699">
        <v>58</v>
      </c>
      <c r="N2861" s="708" t="s">
        <v>877</v>
      </c>
      <c r="O2861" s="699" t="s">
        <v>1767</v>
      </c>
      <c r="P2861" s="699">
        <f>P2828</f>
        <v>2.39</v>
      </c>
      <c r="Q2861" s="704" t="s">
        <v>877</v>
      </c>
      <c r="R2861" s="710">
        <f>(M2861*P2861)</f>
        <v>138.62</v>
      </c>
    </row>
    <row r="2862" spans="6:18" ht="24" customHeight="1">
      <c r="F2862" s="775">
        <v>1.8550000000000001E-2</v>
      </c>
      <c r="G2862" s="708" t="s">
        <v>878</v>
      </c>
      <c r="H2862" s="697" t="s">
        <v>895</v>
      </c>
      <c r="I2862" s="710">
        <f>C28</f>
        <v>11800</v>
      </c>
      <c r="J2862" s="697" t="s">
        <v>878</v>
      </c>
      <c r="K2862" s="710">
        <f t="shared" si="280"/>
        <v>218.89</v>
      </c>
      <c r="N2862" s="700"/>
      <c r="O2862" s="697" t="s">
        <v>3454</v>
      </c>
      <c r="Q2862" s="704"/>
      <c r="R2862" s="710">
        <f>SUM(R2850:R2861)+21.502</f>
        <v>12348.4</v>
      </c>
    </row>
    <row r="2863" spans="6:18" ht="24" customHeight="1">
      <c r="F2863" s="775">
        <v>2.0499999999999998</v>
      </c>
      <c r="G2863" s="708" t="s">
        <v>615</v>
      </c>
      <c r="H2863" s="697" t="s">
        <v>1652</v>
      </c>
      <c r="I2863" s="710">
        <v>840</v>
      </c>
      <c r="J2863" s="697" t="s">
        <v>615</v>
      </c>
      <c r="K2863" s="710">
        <f t="shared" si="280"/>
        <v>1722</v>
      </c>
      <c r="N2863" s="700"/>
      <c r="Q2863" s="704"/>
      <c r="R2863" s="705" t="s">
        <v>1609</v>
      </c>
    </row>
    <row r="2864" spans="6:18" ht="36" customHeight="1">
      <c r="F2864" s="775">
        <v>2.0499999999999998</v>
      </c>
      <c r="G2864" s="708" t="s">
        <v>615</v>
      </c>
      <c r="H2864" s="1043" t="s">
        <v>5106</v>
      </c>
      <c r="I2864" s="724">
        <f>AE50</f>
        <v>299.25</v>
      </c>
      <c r="J2864" s="697" t="s">
        <v>615</v>
      </c>
      <c r="K2864" s="710">
        <f t="shared" si="280"/>
        <v>613.46</v>
      </c>
      <c r="N2864" s="700"/>
      <c r="O2864" s="697" t="s">
        <v>556</v>
      </c>
      <c r="Q2864" s="704"/>
      <c r="R2864" s="710">
        <f>R2862/M2854</f>
        <v>5476.01</v>
      </c>
    </row>
    <row r="2865" spans="6:11" ht="24" customHeight="1">
      <c r="F2865" s="710">
        <v>2</v>
      </c>
      <c r="G2865" s="708" t="s">
        <v>877</v>
      </c>
      <c r="H2865" s="697" t="s">
        <v>1409</v>
      </c>
      <c r="I2865" s="710">
        <f>E282</f>
        <v>52.8</v>
      </c>
      <c r="J2865" s="697" t="s">
        <v>877</v>
      </c>
      <c r="K2865" s="710">
        <f t="shared" si="280"/>
        <v>105.6</v>
      </c>
    </row>
    <row r="2866" spans="6:11" ht="24" customHeight="1">
      <c r="F2866" s="710">
        <v>8</v>
      </c>
      <c r="G2866" s="708" t="s">
        <v>877</v>
      </c>
      <c r="H2866" s="697" t="s">
        <v>1363</v>
      </c>
      <c r="I2866" s="710">
        <f>C279</f>
        <v>45.7</v>
      </c>
      <c r="J2866" s="697" t="s">
        <v>877</v>
      </c>
      <c r="K2866" s="710">
        <f t="shared" si="280"/>
        <v>365.6</v>
      </c>
    </row>
    <row r="2867" spans="6:11" ht="24" customHeight="1">
      <c r="F2867" s="710">
        <v>2</v>
      </c>
      <c r="G2867" s="708" t="s">
        <v>877</v>
      </c>
      <c r="H2867" s="697" t="s">
        <v>1410</v>
      </c>
      <c r="I2867" s="710">
        <f>I1131</f>
        <v>56.4</v>
      </c>
      <c r="J2867" s="697" t="s">
        <v>877</v>
      </c>
      <c r="K2867" s="710">
        <f t="shared" si="280"/>
        <v>112.8</v>
      </c>
    </row>
    <row r="2868" spans="6:11" ht="24" customHeight="1">
      <c r="F2868" s="710">
        <v>1</v>
      </c>
      <c r="G2868" s="708" t="s">
        <v>877</v>
      </c>
      <c r="H2868" s="697" t="s">
        <v>4385</v>
      </c>
      <c r="I2868" s="797">
        <f>I1132</f>
        <v>63.2</v>
      </c>
      <c r="J2868" s="697" t="s">
        <v>877</v>
      </c>
      <c r="K2868" s="710">
        <f t="shared" si="280"/>
        <v>63.2</v>
      </c>
    </row>
    <row r="2869" spans="6:11" ht="24" customHeight="1">
      <c r="F2869" s="740">
        <v>0.94499999999999995</v>
      </c>
      <c r="G2869" s="708" t="s">
        <v>615</v>
      </c>
      <c r="H2869" s="697" t="s">
        <v>1738</v>
      </c>
      <c r="I2869" s="710">
        <f>K1164</f>
        <v>172.13</v>
      </c>
      <c r="J2869" s="697" t="s">
        <v>615</v>
      </c>
      <c r="K2869" s="710">
        <f t="shared" si="280"/>
        <v>162.66</v>
      </c>
    </row>
    <row r="2870" spans="6:11" ht="24" customHeight="1">
      <c r="H2870" s="697" t="s">
        <v>1434</v>
      </c>
      <c r="I2870" s="698" t="s">
        <v>450</v>
      </c>
      <c r="K2870" s="710">
        <v>0.6</v>
      </c>
    </row>
    <row r="2871" spans="6:11" ht="24" customHeight="1">
      <c r="H2871" s="758"/>
      <c r="I2871" s="758"/>
      <c r="J2871" s="759"/>
      <c r="K2871" s="761" t="s">
        <v>1609</v>
      </c>
    </row>
    <row r="2872" spans="6:11" ht="24" customHeight="1">
      <c r="H2872" s="711" t="s">
        <v>1435</v>
      </c>
      <c r="I2872" s="758"/>
      <c r="J2872" s="759"/>
      <c r="K2872" s="709">
        <f>SUM(K2860:K2870)</f>
        <v>5352.64</v>
      </c>
    </row>
    <row r="2873" spans="6:11" ht="24" customHeight="1">
      <c r="G2873" s="708" t="s">
        <v>987</v>
      </c>
      <c r="H2873" s="758"/>
      <c r="I2873" s="758"/>
      <c r="J2873" s="759"/>
      <c r="K2873" s="761" t="s">
        <v>1609</v>
      </c>
    </row>
    <row r="2874" spans="6:11" ht="24" customHeight="1">
      <c r="H2874" s="711" t="s">
        <v>556</v>
      </c>
      <c r="I2874" s="758"/>
      <c r="J2874" s="759"/>
      <c r="K2874" s="709">
        <f>K2872/2.52</f>
        <v>2124.06</v>
      </c>
    </row>
    <row r="2875" spans="6:11" ht="24" customHeight="1">
      <c r="H2875" s="758"/>
      <c r="I2875" s="758"/>
      <c r="J2875" s="759"/>
      <c r="K2875" s="761" t="s">
        <v>2080</v>
      </c>
    </row>
    <row r="2876" spans="6:11" ht="24" customHeight="1">
      <c r="J2876" s="704"/>
    </row>
    <row r="2877" spans="6:11" ht="24" customHeight="1">
      <c r="H2877" s="699" t="s">
        <v>1653</v>
      </c>
      <c r="J2877" s="704"/>
    </row>
    <row r="2878" spans="6:11" ht="24" customHeight="1">
      <c r="H2878" s="699" t="s">
        <v>1349</v>
      </c>
      <c r="J2878" s="704"/>
    </row>
    <row r="2879" spans="6:11" ht="24" customHeight="1">
      <c r="J2879" s="704"/>
    </row>
    <row r="2880" spans="6:11" ht="24" customHeight="1">
      <c r="F2880" s="699">
        <v>2</v>
      </c>
      <c r="G2880" s="700" t="s">
        <v>835</v>
      </c>
      <c r="H2880" s="699" t="s">
        <v>5107</v>
      </c>
      <c r="I2880" s="1044">
        <v>96.6</v>
      </c>
      <c r="J2880" s="704" t="s">
        <v>835</v>
      </c>
      <c r="K2880" s="699">
        <f>F2880*I2880</f>
        <v>193.2</v>
      </c>
    </row>
    <row r="2881" spans="6:11" ht="24" customHeight="1">
      <c r="F2881" s="699">
        <v>1</v>
      </c>
      <c r="G2881" s="700" t="s">
        <v>564</v>
      </c>
      <c r="H2881" s="699" t="s">
        <v>1350</v>
      </c>
      <c r="I2881" s="1044">
        <f>C622</f>
        <v>34.299999999999997</v>
      </c>
      <c r="J2881" s="704" t="s">
        <v>1418</v>
      </c>
      <c r="K2881" s="699">
        <f>F2881*I2881</f>
        <v>34.299999999999997</v>
      </c>
    </row>
    <row r="2882" spans="6:11" ht="24" customHeight="1">
      <c r="H2882" s="699" t="s">
        <v>1366</v>
      </c>
      <c r="J2882" s="704" t="s">
        <v>450</v>
      </c>
      <c r="K2882" s="699">
        <v>1.4</v>
      </c>
    </row>
    <row r="2883" spans="6:11" ht="24" customHeight="1">
      <c r="H2883" s="785" t="s">
        <v>1367</v>
      </c>
      <c r="J2883" s="704"/>
      <c r="K2883" s="699">
        <f>SUM(K2880:K2882)</f>
        <v>228.9</v>
      </c>
    </row>
    <row r="2884" spans="6:11" ht="24" customHeight="1">
      <c r="J2884" s="704"/>
    </row>
    <row r="2885" spans="6:11" ht="24" customHeight="1">
      <c r="H2885" s="877" t="s">
        <v>1734</v>
      </c>
      <c r="I2885" s="758"/>
      <c r="J2885" s="984"/>
      <c r="K2885" s="758">
        <f>K2883/2</f>
        <v>114.45</v>
      </c>
    </row>
    <row r="2886" spans="6:11" ht="24" customHeight="1">
      <c r="J2886" s="704"/>
    </row>
    <row r="2887" spans="6:11" ht="24" customHeight="1">
      <c r="J2887" s="704"/>
    </row>
    <row r="2888" spans="6:11" ht="24" customHeight="1">
      <c r="J2888" s="704"/>
    </row>
    <row r="2889" spans="6:11" ht="24" customHeight="1">
      <c r="J2889" s="704"/>
    </row>
    <row r="2890" spans="6:11" ht="24" customHeight="1">
      <c r="H2890" s="1045" t="s">
        <v>1172</v>
      </c>
      <c r="J2890" s="704"/>
    </row>
    <row r="2891" spans="6:11" ht="24" customHeight="1">
      <c r="F2891" s="698"/>
      <c r="G2891" s="708" t="s">
        <v>2276</v>
      </c>
      <c r="H2891" s="697" t="s">
        <v>1691</v>
      </c>
      <c r="J2891" s="704"/>
    </row>
    <row r="2892" spans="6:11" ht="24" customHeight="1">
      <c r="H2892" s="697" t="s">
        <v>2294</v>
      </c>
      <c r="J2892" s="704"/>
    </row>
    <row r="2893" spans="6:11" ht="24" customHeight="1">
      <c r="H2893" s="705" t="s">
        <v>1609</v>
      </c>
      <c r="J2893" s="704"/>
    </row>
    <row r="2894" spans="6:11" ht="24" customHeight="1">
      <c r="F2894" s="710">
        <v>9</v>
      </c>
      <c r="G2894" s="708" t="s">
        <v>878</v>
      </c>
      <c r="H2894" s="697" t="s">
        <v>1695</v>
      </c>
      <c r="I2894" s="710">
        <f t="shared" ref="I2894:I2899" si="281">I500</f>
        <v>991.83</v>
      </c>
      <c r="J2894" s="698" t="s">
        <v>878</v>
      </c>
      <c r="K2894" s="710">
        <f t="shared" ref="K2894:K2899" si="282">(F2894*I2894)</f>
        <v>8926.4699999999993</v>
      </c>
    </row>
    <row r="2895" spans="6:11" ht="24" customHeight="1">
      <c r="F2895" s="740">
        <v>3.2309999999999999</v>
      </c>
      <c r="G2895" s="708" t="s">
        <v>870</v>
      </c>
      <c r="H2895" s="697" t="s">
        <v>871</v>
      </c>
      <c r="I2895" s="710">
        <f t="shared" si="281"/>
        <v>5960</v>
      </c>
      <c r="J2895" s="698" t="s">
        <v>870</v>
      </c>
      <c r="K2895" s="710">
        <f t="shared" si="282"/>
        <v>19256.759999999998</v>
      </c>
    </row>
    <row r="2896" spans="6:11" ht="24" customHeight="1">
      <c r="F2896" s="710">
        <v>4.5</v>
      </c>
      <c r="G2896" s="708" t="s">
        <v>878</v>
      </c>
      <c r="H2896" s="1165" t="s">
        <v>5354</v>
      </c>
      <c r="I2896" s="710">
        <f t="shared" si="281"/>
        <v>1511.1</v>
      </c>
      <c r="J2896" s="698" t="s">
        <v>878</v>
      </c>
      <c r="K2896" s="710">
        <f t="shared" si="282"/>
        <v>6799.95</v>
      </c>
    </row>
    <row r="2897" spans="6:11" ht="24" customHeight="1">
      <c r="F2897" s="710">
        <v>3.5</v>
      </c>
      <c r="G2897" s="708" t="s">
        <v>877</v>
      </c>
      <c r="H2897" s="697" t="s">
        <v>1737</v>
      </c>
      <c r="I2897" s="710">
        <f t="shared" si="281"/>
        <v>804</v>
      </c>
      <c r="J2897" s="698" t="s">
        <v>877</v>
      </c>
      <c r="K2897" s="710">
        <f t="shared" si="282"/>
        <v>2814</v>
      </c>
    </row>
    <row r="2898" spans="6:11" ht="24" customHeight="1">
      <c r="F2898" s="710">
        <v>21.2</v>
      </c>
      <c r="G2898" s="708" t="s">
        <v>877</v>
      </c>
      <c r="H2898" s="697" t="s">
        <v>1927</v>
      </c>
      <c r="I2898" s="710">
        <f t="shared" si="281"/>
        <v>562</v>
      </c>
      <c r="J2898" s="698" t="s">
        <v>877</v>
      </c>
      <c r="K2898" s="710">
        <f t="shared" si="282"/>
        <v>11914.4</v>
      </c>
    </row>
    <row r="2899" spans="6:11" ht="24" customHeight="1">
      <c r="F2899" s="710">
        <v>35.299999999999997</v>
      </c>
      <c r="G2899" s="708" t="s">
        <v>877</v>
      </c>
      <c r="H2899" s="697" t="s">
        <v>321</v>
      </c>
      <c r="I2899" s="710">
        <f t="shared" si="281"/>
        <v>461</v>
      </c>
      <c r="J2899" s="698" t="s">
        <v>877</v>
      </c>
      <c r="K2899" s="710">
        <f t="shared" si="282"/>
        <v>16273.3</v>
      </c>
    </row>
    <row r="2900" spans="6:11" ht="24" customHeight="1">
      <c r="G2900" s="708" t="s">
        <v>450</v>
      </c>
      <c r="H2900" s="697" t="s">
        <v>451</v>
      </c>
      <c r="I2900" s="697" t="s">
        <v>987</v>
      </c>
      <c r="J2900" s="698" t="s">
        <v>450</v>
      </c>
      <c r="K2900" s="710">
        <v>0</v>
      </c>
    </row>
    <row r="2901" spans="6:11" ht="24" customHeight="1">
      <c r="J2901" s="704"/>
      <c r="K2901" s="705" t="s">
        <v>1609</v>
      </c>
    </row>
    <row r="2902" spans="6:11" ht="24" customHeight="1">
      <c r="H2902" s="697" t="s">
        <v>2196</v>
      </c>
      <c r="J2902" s="704"/>
      <c r="K2902" s="710">
        <f>SUM(K2894:K2900)</f>
        <v>65984.88</v>
      </c>
    </row>
    <row r="2903" spans="6:11" ht="24" customHeight="1">
      <c r="J2903" s="704"/>
      <c r="K2903" s="705" t="s">
        <v>1609</v>
      </c>
    </row>
    <row r="2904" spans="6:11" ht="24" customHeight="1">
      <c r="H2904" s="697" t="s">
        <v>782</v>
      </c>
      <c r="J2904" s="704"/>
      <c r="K2904" s="710">
        <f>(K2902/10)</f>
        <v>6598.49</v>
      </c>
    </row>
    <row r="2905" spans="6:11" ht="24" customHeight="1">
      <c r="J2905" s="704"/>
    </row>
    <row r="2906" spans="6:11" ht="24" customHeight="1">
      <c r="F2906" s="710">
        <v>1</v>
      </c>
      <c r="G2906" s="708" t="s">
        <v>878</v>
      </c>
      <c r="H2906" s="697" t="s">
        <v>46</v>
      </c>
      <c r="J2906" s="704"/>
      <c r="K2906" s="710"/>
    </row>
    <row r="2907" spans="6:11" ht="24" customHeight="1">
      <c r="J2907" s="704"/>
      <c r="K2907" s="705" t="s">
        <v>1609</v>
      </c>
    </row>
    <row r="2908" spans="6:11" ht="24" customHeight="1">
      <c r="H2908" s="697" t="s">
        <v>1319</v>
      </c>
      <c r="J2908" s="704"/>
      <c r="K2908" s="710">
        <f>SUM(K2904:K2906)</f>
        <v>6598.49</v>
      </c>
    </row>
    <row r="2909" spans="6:11" ht="24" customHeight="1">
      <c r="J2909" s="704"/>
      <c r="K2909" s="705" t="s">
        <v>1609</v>
      </c>
    </row>
    <row r="2910" spans="6:11" ht="24" customHeight="1">
      <c r="G2910" s="708" t="s">
        <v>1261</v>
      </c>
      <c r="H2910" s="697" t="s">
        <v>386</v>
      </c>
      <c r="J2910" s="704"/>
      <c r="K2910" s="710">
        <f>K2908+C20</f>
        <v>6706.96</v>
      </c>
    </row>
    <row r="2911" spans="6:11" ht="24" customHeight="1">
      <c r="G2911" s="708" t="s">
        <v>1263</v>
      </c>
      <c r="H2911" s="697" t="s">
        <v>388</v>
      </c>
      <c r="J2911" s="704"/>
      <c r="K2911" s="710">
        <f>K2910+C21</f>
        <v>6920.64</v>
      </c>
    </row>
    <row r="2912" spans="6:11" ht="24" customHeight="1">
      <c r="G2912" s="708" t="s">
        <v>426</v>
      </c>
      <c r="H2912" s="697" t="s">
        <v>2257</v>
      </c>
      <c r="J2912" s="704"/>
      <c r="K2912" s="710">
        <f>K2911+C21</f>
        <v>7134.32</v>
      </c>
    </row>
    <row r="2913" spans="6:16" ht="24" customHeight="1">
      <c r="G2913" s="708" t="s">
        <v>1008</v>
      </c>
      <c r="H2913" s="697" t="s">
        <v>380</v>
      </c>
      <c r="J2913" s="704"/>
      <c r="K2913" s="710">
        <f>K2912+C21</f>
        <v>7348</v>
      </c>
    </row>
    <row r="2914" spans="6:16" ht="24" customHeight="1">
      <c r="J2914" s="704"/>
    </row>
    <row r="2915" spans="6:16" ht="24" customHeight="1">
      <c r="G2915" s="877"/>
      <c r="H2915" s="1045"/>
    </row>
    <row r="2916" spans="6:16" ht="24" customHeight="1">
      <c r="H2916" s="758" t="s">
        <v>2259</v>
      </c>
    </row>
    <row r="2918" spans="6:16" ht="24" customHeight="1">
      <c r="F2918" s="796"/>
      <c r="H2918" s="699" t="s">
        <v>5273</v>
      </c>
      <c r="J2918" s="700"/>
    </row>
    <row r="2919" spans="6:16" ht="24" customHeight="1">
      <c r="F2919" s="703"/>
      <c r="H2919" s="699" t="s">
        <v>636</v>
      </c>
      <c r="J2919" s="700"/>
    </row>
    <row r="2920" spans="6:16" ht="24" customHeight="1">
      <c r="H2920" s="702" t="s">
        <v>1703</v>
      </c>
      <c r="J2920" s="785"/>
      <c r="P2920" s="699">
        <f>0.35*4</f>
        <v>1.4</v>
      </c>
    </row>
    <row r="2921" spans="6:16" ht="24" customHeight="1">
      <c r="H2921" s="984" t="s">
        <v>1704</v>
      </c>
      <c r="I2921" s="758"/>
      <c r="J2921" s="877"/>
      <c r="K2921" s="758"/>
      <c r="P2921" s="699">
        <f>0.3*4</f>
        <v>1.2</v>
      </c>
    </row>
    <row r="2922" spans="6:16" ht="24" customHeight="1">
      <c r="H2922" s="699" t="s">
        <v>5274</v>
      </c>
      <c r="P2922" s="699">
        <f>1.28*2</f>
        <v>2.56</v>
      </c>
    </row>
    <row r="2923" spans="6:16" ht="24" customHeight="1">
      <c r="H2923" s="758" t="s">
        <v>205</v>
      </c>
      <c r="P2923" s="699" t="s">
        <v>3150</v>
      </c>
    </row>
    <row r="2924" spans="6:16" ht="24" customHeight="1">
      <c r="F2924" s="796">
        <v>3.5999999999999997E-2</v>
      </c>
      <c r="G2924" s="700" t="s">
        <v>2176</v>
      </c>
      <c r="H2924" s="699" t="s">
        <v>1705</v>
      </c>
      <c r="I2924" s="699">
        <f>K2910</f>
        <v>6706.96</v>
      </c>
      <c r="J2924" s="700" t="s">
        <v>2176</v>
      </c>
      <c r="K2924" s="699">
        <f>F2924*I2924</f>
        <v>241.45</v>
      </c>
    </row>
    <row r="2925" spans="6:16" ht="24" customHeight="1">
      <c r="F2925" s="703">
        <v>3.0649999999999999</v>
      </c>
      <c r="G2925" s="700" t="s">
        <v>922</v>
      </c>
      <c r="H2925" s="812" t="s">
        <v>1706</v>
      </c>
      <c r="I2925" s="699">
        <f>K1579/1000</f>
        <v>79.34</v>
      </c>
      <c r="J2925" s="700" t="s">
        <v>922</v>
      </c>
      <c r="K2925" s="699">
        <f>F2925*I2925</f>
        <v>243.18</v>
      </c>
    </row>
    <row r="2926" spans="6:16" ht="24" customHeight="1">
      <c r="F2926" s="703">
        <v>0.79800000000000004</v>
      </c>
      <c r="G2926" s="700" t="s">
        <v>236</v>
      </c>
      <c r="H2926" s="699" t="s">
        <v>1449</v>
      </c>
      <c r="I2926" s="699">
        <f>I2355</f>
        <v>997.48</v>
      </c>
      <c r="J2926" s="700" t="s">
        <v>236</v>
      </c>
      <c r="K2926" s="699">
        <f>F2926*I2926</f>
        <v>795.99</v>
      </c>
    </row>
    <row r="2927" spans="6:16" ht="24" customHeight="1">
      <c r="H2927" s="877" t="s">
        <v>1450</v>
      </c>
      <c r="I2927" s="758"/>
      <c r="J2927" s="877" t="s">
        <v>729</v>
      </c>
      <c r="K2927" s="758">
        <f>SUM(K2924:K2926)</f>
        <v>1280.6199999999999</v>
      </c>
    </row>
    <row r="2928" spans="6:16" ht="24" customHeight="1">
      <c r="F2928" s="796"/>
      <c r="H2928" s="877" t="s">
        <v>1849</v>
      </c>
      <c r="J2928" s="877" t="s">
        <v>729</v>
      </c>
      <c r="K2928" s="758">
        <f>K2927/2.1</f>
        <v>609.82000000000005</v>
      </c>
    </row>
    <row r="2929" spans="6:11" ht="24" customHeight="1">
      <c r="F2929" s="703"/>
      <c r="J2929" s="700"/>
    </row>
    <row r="2930" spans="6:11" ht="24" customHeight="1">
      <c r="H2930" s="785"/>
      <c r="J2930" s="785"/>
    </row>
    <row r="2931" spans="6:11" ht="24" customHeight="1">
      <c r="H2931" s="877"/>
      <c r="I2931" s="758"/>
      <c r="J2931" s="877"/>
      <c r="K2931" s="758"/>
    </row>
    <row r="2932" spans="6:11" ht="24" customHeight="1">
      <c r="H2932" s="758" t="s">
        <v>206</v>
      </c>
    </row>
    <row r="2933" spans="6:11" ht="56.25" customHeight="1">
      <c r="F2933" s="796">
        <v>3.5999999999999997E-2</v>
      </c>
      <c r="G2933" s="700" t="s">
        <v>2176</v>
      </c>
      <c r="H2933" s="699" t="s">
        <v>1705</v>
      </c>
      <c r="I2933" s="699">
        <f>K2911</f>
        <v>6920.64</v>
      </c>
      <c r="J2933" s="700" t="s">
        <v>2176</v>
      </c>
      <c r="K2933" s="699">
        <f>F2933*I2933</f>
        <v>249.14</v>
      </c>
    </row>
    <row r="2934" spans="6:11" ht="24" customHeight="1">
      <c r="F2934" s="703">
        <v>3.0649999999999999</v>
      </c>
      <c r="G2934" s="700" t="s">
        <v>922</v>
      </c>
      <c r="H2934" s="812" t="s">
        <v>1706</v>
      </c>
      <c r="I2934" s="699">
        <f>K1579/1000</f>
        <v>79.34</v>
      </c>
      <c r="J2934" s="700" t="s">
        <v>922</v>
      </c>
      <c r="K2934" s="699">
        <f>F2934*I2934</f>
        <v>243.18</v>
      </c>
    </row>
    <row r="2935" spans="6:11" ht="24" customHeight="1">
      <c r="F2935" s="703">
        <v>0.79800000000000004</v>
      </c>
      <c r="G2935" s="700" t="s">
        <v>236</v>
      </c>
      <c r="H2935" s="699" t="s">
        <v>1449</v>
      </c>
      <c r="I2935" s="699">
        <f>I2355</f>
        <v>997.48</v>
      </c>
      <c r="J2935" s="700" t="s">
        <v>236</v>
      </c>
      <c r="K2935" s="699">
        <f>F2935*I2935</f>
        <v>795.99</v>
      </c>
    </row>
    <row r="2936" spans="6:11" ht="24" customHeight="1">
      <c r="H2936" s="877" t="s">
        <v>1450</v>
      </c>
      <c r="I2936" s="758"/>
      <c r="J2936" s="877" t="s">
        <v>729</v>
      </c>
      <c r="K2936" s="758">
        <f>SUM(K2933:K2935)</f>
        <v>1288.31</v>
      </c>
    </row>
    <row r="2937" spans="6:11" ht="24" customHeight="1">
      <c r="F2937" s="796"/>
      <c r="H2937" s="877" t="s">
        <v>1849</v>
      </c>
      <c r="J2937" s="877" t="s">
        <v>729</v>
      </c>
      <c r="K2937" s="758">
        <f>K2936/2.1</f>
        <v>613.48</v>
      </c>
    </row>
    <row r="2938" spans="6:11" ht="24" customHeight="1">
      <c r="F2938" s="703"/>
      <c r="J2938" s="700"/>
    </row>
    <row r="2942" spans="6:11" ht="24" customHeight="1">
      <c r="H2942" s="758" t="s">
        <v>1627</v>
      </c>
    </row>
    <row r="2943" spans="6:11" ht="24" customHeight="1">
      <c r="F2943" s="796">
        <v>3.5999999999999997E-2</v>
      </c>
      <c r="G2943" s="700" t="s">
        <v>2176</v>
      </c>
      <c r="H2943" s="699" t="s">
        <v>1705</v>
      </c>
      <c r="I2943" s="699">
        <f>K2912</f>
        <v>7134.32</v>
      </c>
      <c r="J2943" s="700" t="s">
        <v>2176</v>
      </c>
      <c r="K2943" s="699">
        <f>F2943*I2943</f>
        <v>256.83999999999997</v>
      </c>
    </row>
    <row r="2944" spans="6:11" ht="24" customHeight="1">
      <c r="F2944" s="703">
        <v>3.0649999999999999</v>
      </c>
      <c r="G2944" s="700" t="s">
        <v>922</v>
      </c>
      <c r="H2944" s="812" t="s">
        <v>1706</v>
      </c>
      <c r="I2944" s="699">
        <f>I2925</f>
        <v>79.34</v>
      </c>
      <c r="J2944" s="700" t="s">
        <v>922</v>
      </c>
      <c r="K2944" s="699">
        <f>F2944*I2944</f>
        <v>243.18</v>
      </c>
    </row>
    <row r="2945" spans="6:11" ht="24" customHeight="1">
      <c r="F2945" s="703">
        <v>0.79800000000000004</v>
      </c>
      <c r="G2945" s="700" t="s">
        <v>236</v>
      </c>
      <c r="H2945" s="699" t="s">
        <v>1449</v>
      </c>
      <c r="I2945" s="699">
        <f>I2926</f>
        <v>997.48</v>
      </c>
      <c r="J2945" s="700" t="s">
        <v>236</v>
      </c>
      <c r="K2945" s="699">
        <f>F2945*I2945</f>
        <v>795.99</v>
      </c>
    </row>
    <row r="2946" spans="6:11" ht="24" customHeight="1">
      <c r="H2946" s="877" t="s">
        <v>1450</v>
      </c>
      <c r="I2946" s="758"/>
      <c r="J2946" s="877" t="s">
        <v>729</v>
      </c>
      <c r="K2946" s="758">
        <f>SUM(K2943:K2945)</f>
        <v>1296.01</v>
      </c>
    </row>
    <row r="2947" spans="6:11" ht="24" customHeight="1">
      <c r="F2947" s="796"/>
      <c r="H2947" s="877" t="s">
        <v>1849</v>
      </c>
      <c r="J2947" s="877" t="s">
        <v>729</v>
      </c>
      <c r="K2947" s="758">
        <f>K2946/2.1</f>
        <v>617.15</v>
      </c>
    </row>
    <row r="2948" spans="6:11" ht="24" customHeight="1">
      <c r="F2948" s="703"/>
      <c r="J2948" s="700"/>
    </row>
    <row r="2951" spans="6:11" ht="24" customHeight="1">
      <c r="H2951" s="758" t="s">
        <v>65</v>
      </c>
    </row>
    <row r="2952" spans="6:11" ht="24" customHeight="1">
      <c r="F2952" s="796">
        <v>3.5999999999999997E-2</v>
      </c>
      <c r="G2952" s="700" t="s">
        <v>2176</v>
      </c>
      <c r="H2952" s="699" t="s">
        <v>1705</v>
      </c>
      <c r="I2952" s="699">
        <f>K2913</f>
        <v>7348</v>
      </c>
      <c r="J2952" s="700" t="s">
        <v>2176</v>
      </c>
      <c r="K2952" s="699">
        <f>F2952*I2952</f>
        <v>264.52999999999997</v>
      </c>
    </row>
    <row r="2953" spans="6:11" ht="24" customHeight="1">
      <c r="F2953" s="703">
        <v>3.0649999999999999</v>
      </c>
      <c r="G2953" s="700" t="s">
        <v>922</v>
      </c>
      <c r="H2953" s="812" t="s">
        <v>1706</v>
      </c>
      <c r="I2953" s="699">
        <f>I2944</f>
        <v>79.34</v>
      </c>
      <c r="J2953" s="700" t="s">
        <v>922</v>
      </c>
      <c r="K2953" s="699">
        <f>F2953*I2953</f>
        <v>243.18</v>
      </c>
    </row>
    <row r="2954" spans="6:11" ht="24" customHeight="1">
      <c r="F2954" s="703">
        <v>0.79800000000000004</v>
      </c>
      <c r="G2954" s="700" t="s">
        <v>236</v>
      </c>
      <c r="H2954" s="699" t="s">
        <v>1449</v>
      </c>
      <c r="I2954" s="699">
        <f>I2945</f>
        <v>997.48</v>
      </c>
      <c r="J2954" s="700" t="s">
        <v>236</v>
      </c>
      <c r="K2954" s="699">
        <f>F2954*I2954</f>
        <v>795.99</v>
      </c>
    </row>
    <row r="2955" spans="6:11" ht="24" customHeight="1">
      <c r="H2955" s="877" t="s">
        <v>1450</v>
      </c>
      <c r="I2955" s="758"/>
      <c r="J2955" s="877" t="s">
        <v>729</v>
      </c>
      <c r="K2955" s="758">
        <f>SUM(K2952:K2954)</f>
        <v>1303.7</v>
      </c>
    </row>
    <row r="2956" spans="6:11" ht="24" customHeight="1">
      <c r="F2956" s="796"/>
      <c r="H2956" s="877" t="s">
        <v>1849</v>
      </c>
      <c r="J2956" s="877" t="s">
        <v>729</v>
      </c>
      <c r="K2956" s="758">
        <f>K2955/2.1</f>
        <v>620.80999999999995</v>
      </c>
    </row>
    <row r="2957" spans="6:11" ht="24" customHeight="1">
      <c r="F2957" s="703"/>
      <c r="J2957" s="700"/>
    </row>
    <row r="2958" spans="6:11" ht="24" customHeight="1">
      <c r="J2958" s="704"/>
    </row>
    <row r="2959" spans="6:11" ht="24" customHeight="1">
      <c r="J2959" s="704"/>
    </row>
    <row r="2960" spans="6:11" ht="24" customHeight="1">
      <c r="I2960" s="699">
        <f>160*10.76</f>
        <v>1721.6</v>
      </c>
      <c r="J2960" s="704"/>
    </row>
    <row r="2961" spans="6:18" ht="24" customHeight="1">
      <c r="F2961" s="698" t="s">
        <v>568</v>
      </c>
      <c r="G2961" s="708" t="s">
        <v>2276</v>
      </c>
      <c r="H2961" s="697" t="s">
        <v>1793</v>
      </c>
      <c r="I2961" s="699">
        <f>148*10.76</f>
        <v>1592.48</v>
      </c>
      <c r="J2961" s="704"/>
    </row>
    <row r="2962" spans="6:18" ht="24" customHeight="1">
      <c r="H2962" s="697" t="s">
        <v>255</v>
      </c>
      <c r="J2962" s="704"/>
    </row>
    <row r="2963" spans="6:18" ht="24" customHeight="1">
      <c r="H2963" s="697" t="s">
        <v>1493</v>
      </c>
      <c r="J2963" s="704"/>
    </row>
    <row r="2964" spans="6:18" ht="24" customHeight="1">
      <c r="H2964" s="705" t="s">
        <v>1609</v>
      </c>
      <c r="I2964" s="796">
        <f>1.4*2.025</f>
        <v>2.835</v>
      </c>
      <c r="J2964" s="704"/>
    </row>
    <row r="2965" spans="6:18" ht="24" customHeight="1">
      <c r="H2965" s="697" t="s">
        <v>1949</v>
      </c>
      <c r="J2965" s="704"/>
    </row>
    <row r="2966" spans="6:18" ht="24" customHeight="1">
      <c r="J2966" s="704"/>
    </row>
    <row r="2967" spans="6:18" ht="44.25" customHeight="1">
      <c r="F2967" s="703">
        <v>1.64</v>
      </c>
      <c r="G2967" s="708" t="s">
        <v>615</v>
      </c>
      <c r="H2967" s="762" t="s">
        <v>749</v>
      </c>
      <c r="I2967" s="1046">
        <f>I2831</f>
        <v>2160</v>
      </c>
      <c r="J2967" s="698" t="s">
        <v>615</v>
      </c>
      <c r="K2967" s="699">
        <f>F2968*I2967</f>
        <v>3542.4</v>
      </c>
    </row>
    <row r="2968" spans="6:18" ht="24" customHeight="1">
      <c r="F2968" s="740">
        <v>1.64</v>
      </c>
      <c r="G2968" s="708" t="s">
        <v>615</v>
      </c>
      <c r="H2968" s="697" t="s">
        <v>448</v>
      </c>
      <c r="I2968" s="699">
        <f t="shared" ref="I2968:I2974" si="283">I2832</f>
        <v>194.25</v>
      </c>
      <c r="J2968" s="698" t="s">
        <v>615</v>
      </c>
      <c r="K2968" s="710">
        <f t="shared" ref="K2968:K2974" si="284">(F2968*I2968)</f>
        <v>318.57</v>
      </c>
      <c r="O2968" s="697" t="s">
        <v>1793</v>
      </c>
    </row>
    <row r="2969" spans="6:18" ht="24" customHeight="1">
      <c r="F2969" s="710">
        <v>2</v>
      </c>
      <c r="G2969" s="708" t="s">
        <v>778</v>
      </c>
      <c r="H2969" s="697" t="s">
        <v>1485</v>
      </c>
      <c r="I2969" s="699">
        <f t="shared" si="283"/>
        <v>53.4</v>
      </c>
      <c r="J2969" s="698" t="s">
        <v>877</v>
      </c>
      <c r="K2969" s="710">
        <f t="shared" si="284"/>
        <v>106.8</v>
      </c>
      <c r="O2969" s="697" t="s">
        <v>255</v>
      </c>
    </row>
    <row r="2970" spans="6:18" ht="24" customHeight="1">
      <c r="F2970" s="710">
        <v>3</v>
      </c>
      <c r="G2970" s="708" t="s">
        <v>877</v>
      </c>
      <c r="H2970" s="697" t="s">
        <v>1486</v>
      </c>
      <c r="I2970" s="699">
        <f t="shared" si="283"/>
        <v>83</v>
      </c>
      <c r="J2970" s="698" t="s">
        <v>877</v>
      </c>
      <c r="K2970" s="710">
        <f t="shared" si="284"/>
        <v>249</v>
      </c>
      <c r="O2970" s="697" t="s">
        <v>1952</v>
      </c>
    </row>
    <row r="2971" spans="6:18" ht="24" customHeight="1">
      <c r="F2971" s="710">
        <v>2</v>
      </c>
      <c r="G2971" s="708" t="s">
        <v>877</v>
      </c>
      <c r="H2971" s="697" t="s">
        <v>1487</v>
      </c>
      <c r="I2971" s="699">
        <f t="shared" si="283"/>
        <v>60</v>
      </c>
      <c r="J2971" s="698" t="s">
        <v>877</v>
      </c>
      <c r="K2971" s="710">
        <f t="shared" si="284"/>
        <v>120</v>
      </c>
      <c r="O2971" s="705" t="s">
        <v>1609</v>
      </c>
    </row>
    <row r="2972" spans="6:18" ht="24" customHeight="1">
      <c r="F2972" s="710">
        <v>1</v>
      </c>
      <c r="G2972" s="708" t="s">
        <v>877</v>
      </c>
      <c r="H2972" s="697" t="s">
        <v>1488</v>
      </c>
      <c r="I2972" s="699">
        <f t="shared" si="283"/>
        <v>167.6</v>
      </c>
      <c r="J2972" s="698" t="s">
        <v>877</v>
      </c>
      <c r="K2972" s="710">
        <f t="shared" si="284"/>
        <v>167.6</v>
      </c>
      <c r="L2972" s="699" t="s">
        <v>987</v>
      </c>
      <c r="O2972" s="697" t="s">
        <v>1953</v>
      </c>
    </row>
    <row r="2973" spans="6:18" ht="24" customHeight="1">
      <c r="F2973" s="710">
        <v>1</v>
      </c>
      <c r="G2973" s="708" t="s">
        <v>877</v>
      </c>
      <c r="H2973" s="697" t="s">
        <v>1489</v>
      </c>
      <c r="I2973" s="699">
        <f t="shared" si="283"/>
        <v>7.3</v>
      </c>
      <c r="J2973" s="698" t="s">
        <v>877</v>
      </c>
      <c r="K2973" s="710">
        <f t="shared" si="284"/>
        <v>7.3</v>
      </c>
    </row>
    <row r="2974" spans="6:18" ht="39.75" customHeight="1">
      <c r="F2974" s="710">
        <v>1</v>
      </c>
      <c r="G2974" s="708" t="s">
        <v>877</v>
      </c>
      <c r="H2974" s="697" t="s">
        <v>2007</v>
      </c>
      <c r="I2974" s="699">
        <f t="shared" si="283"/>
        <v>45.9</v>
      </c>
      <c r="J2974" s="698" t="s">
        <v>877</v>
      </c>
      <c r="K2974" s="710">
        <f t="shared" si="284"/>
        <v>45.9</v>
      </c>
      <c r="M2974" s="703">
        <v>2.2549999999999999</v>
      </c>
      <c r="N2974" s="708" t="s">
        <v>615</v>
      </c>
      <c r="O2974" s="762" t="s">
        <v>749</v>
      </c>
      <c r="P2974" s="804">
        <f>I2967</f>
        <v>2160</v>
      </c>
      <c r="Q2974" s="698" t="s">
        <v>615</v>
      </c>
      <c r="R2974" s="699">
        <f>M2975*P2974</f>
        <v>4870.8</v>
      </c>
    </row>
    <row r="2975" spans="6:18" ht="24" customHeight="1">
      <c r="J2975" s="704"/>
      <c r="K2975" s="805">
        <v>0.63</v>
      </c>
      <c r="M2975" s="740">
        <v>2.2549999999999999</v>
      </c>
      <c r="N2975" s="708" t="s">
        <v>615</v>
      </c>
      <c r="O2975" s="697" t="s">
        <v>448</v>
      </c>
      <c r="P2975" s="804">
        <f t="shared" ref="P2975:P2981" si="285">I2968</f>
        <v>194.25</v>
      </c>
      <c r="Q2975" s="698" t="s">
        <v>615</v>
      </c>
      <c r="R2975" s="710">
        <f t="shared" ref="R2975:R2981" si="286">(M2975*P2975)</f>
        <v>438.03</v>
      </c>
    </row>
    <row r="2976" spans="6:18" ht="24" customHeight="1">
      <c r="H2976" s="697" t="s">
        <v>1950</v>
      </c>
      <c r="J2976" s="704"/>
      <c r="K2976" s="710">
        <f>SUM(K2967:K2975)</f>
        <v>4558.2</v>
      </c>
      <c r="M2976" s="710">
        <v>2</v>
      </c>
      <c r="N2976" s="708" t="s">
        <v>778</v>
      </c>
      <c r="O2976" s="697" t="s">
        <v>1485</v>
      </c>
      <c r="P2976" s="804">
        <f t="shared" si="285"/>
        <v>53.4</v>
      </c>
      <c r="Q2976" s="698" t="s">
        <v>877</v>
      </c>
      <c r="R2976" s="710">
        <f t="shared" si="286"/>
        <v>106.8</v>
      </c>
    </row>
    <row r="2977" spans="6:18" ht="24" customHeight="1">
      <c r="J2977" s="704"/>
      <c r="K2977" s="705" t="s">
        <v>1609</v>
      </c>
      <c r="M2977" s="710">
        <v>3</v>
      </c>
      <c r="N2977" s="708" t="s">
        <v>877</v>
      </c>
      <c r="O2977" s="697" t="s">
        <v>1486</v>
      </c>
      <c r="P2977" s="804">
        <f t="shared" si="285"/>
        <v>83</v>
      </c>
      <c r="Q2977" s="698" t="s">
        <v>877</v>
      </c>
      <c r="R2977" s="710">
        <f t="shared" si="286"/>
        <v>249</v>
      </c>
    </row>
    <row r="2978" spans="6:18" ht="24" customHeight="1">
      <c r="H2978" s="697" t="s">
        <v>556</v>
      </c>
      <c r="J2978" s="704"/>
      <c r="K2978" s="710">
        <f>K2976/F2968</f>
        <v>2779.39</v>
      </c>
      <c r="M2978" s="710">
        <v>2</v>
      </c>
      <c r="N2978" s="708" t="s">
        <v>877</v>
      </c>
      <c r="O2978" s="697" t="s">
        <v>1487</v>
      </c>
      <c r="P2978" s="804">
        <f t="shared" si="285"/>
        <v>60</v>
      </c>
      <c r="Q2978" s="698" t="s">
        <v>877</v>
      </c>
      <c r="R2978" s="710">
        <f t="shared" si="286"/>
        <v>120</v>
      </c>
    </row>
    <row r="2979" spans="6:18" ht="24" customHeight="1">
      <c r="F2979" s="697" t="s">
        <v>987</v>
      </c>
      <c r="J2979" s="704"/>
      <c r="M2979" s="710">
        <v>1</v>
      </c>
      <c r="N2979" s="708" t="s">
        <v>877</v>
      </c>
      <c r="O2979" s="697" t="s">
        <v>1488</v>
      </c>
      <c r="P2979" s="804">
        <f t="shared" si="285"/>
        <v>167.6</v>
      </c>
      <c r="Q2979" s="698" t="s">
        <v>877</v>
      </c>
      <c r="R2979" s="710">
        <f t="shared" si="286"/>
        <v>167.6</v>
      </c>
    </row>
    <row r="2980" spans="6:18" ht="24" customHeight="1">
      <c r="J2980" s="704"/>
      <c r="M2980" s="710">
        <v>1</v>
      </c>
      <c r="N2980" s="708" t="s">
        <v>877</v>
      </c>
      <c r="O2980" s="697" t="s">
        <v>1489</v>
      </c>
      <c r="P2980" s="804">
        <f t="shared" si="285"/>
        <v>7.3</v>
      </c>
      <c r="Q2980" s="698" t="s">
        <v>877</v>
      </c>
      <c r="R2980" s="710">
        <f t="shared" si="286"/>
        <v>7.3</v>
      </c>
    </row>
    <row r="2981" spans="6:18" ht="24" customHeight="1">
      <c r="F2981" s="905" t="s">
        <v>1447</v>
      </c>
      <c r="G2981" s="903"/>
      <c r="H2981" s="905"/>
      <c r="I2981" s="905"/>
      <c r="J2981" s="1026"/>
      <c r="K2981" s="905"/>
      <c r="M2981" s="710">
        <v>1</v>
      </c>
      <c r="N2981" s="708" t="s">
        <v>877</v>
      </c>
      <c r="O2981" s="697" t="s">
        <v>2007</v>
      </c>
      <c r="P2981" s="804">
        <f t="shared" si="285"/>
        <v>45.9</v>
      </c>
      <c r="Q2981" s="698" t="s">
        <v>877</v>
      </c>
      <c r="R2981" s="710">
        <f t="shared" si="286"/>
        <v>45.9</v>
      </c>
    </row>
    <row r="2982" spans="6:18" ht="24" customHeight="1">
      <c r="F2982" s="905"/>
      <c r="G2982" s="903"/>
      <c r="H2982" s="905"/>
      <c r="I2982" s="905"/>
      <c r="J2982" s="1026"/>
      <c r="K2982" s="905"/>
      <c r="N2982" s="700"/>
      <c r="Q2982" s="704"/>
      <c r="R2982" s="705" t="s">
        <v>1609</v>
      </c>
    </row>
    <row r="2983" spans="6:18" ht="24" customHeight="1">
      <c r="F2983" s="905" t="s">
        <v>1448</v>
      </c>
      <c r="G2983" s="903"/>
      <c r="H2983" s="905"/>
      <c r="I2983" s="905"/>
      <c r="J2983" s="1026"/>
      <c r="K2983" s="905"/>
      <c r="N2983" s="700"/>
      <c r="O2983" s="697" t="s">
        <v>1954</v>
      </c>
      <c r="Q2983" s="704"/>
      <c r="R2983" s="710">
        <f>SUM(R2974:R2981)+0.17</f>
        <v>6005.6</v>
      </c>
    </row>
    <row r="2984" spans="6:18" ht="24" customHeight="1">
      <c r="F2984" s="905"/>
      <c r="G2984" s="903"/>
      <c r="H2984" s="905"/>
      <c r="I2984" s="905"/>
      <c r="J2984" s="1026"/>
      <c r="K2984" s="905"/>
      <c r="N2984" s="700"/>
      <c r="Q2984" s="704"/>
      <c r="R2984" s="705" t="s">
        <v>1609</v>
      </c>
    </row>
    <row r="2985" spans="6:18" ht="24" customHeight="1">
      <c r="F2985" s="905"/>
      <c r="G2985" s="1047">
        <v>0.99350000000000005</v>
      </c>
      <c r="H2985" s="905" t="s">
        <v>2176</v>
      </c>
      <c r="I2985" s="905"/>
      <c r="J2985" s="1026"/>
      <c r="K2985" s="905"/>
      <c r="N2985" s="700"/>
      <c r="O2985" s="697" t="s">
        <v>556</v>
      </c>
      <c r="Q2985" s="704"/>
      <c r="R2985" s="710">
        <f>R2983/M2975</f>
        <v>2663.24</v>
      </c>
    </row>
    <row r="2986" spans="6:18" ht="24" customHeight="1">
      <c r="F2986" s="905"/>
      <c r="G2986" s="903"/>
      <c r="H2986" s="905"/>
      <c r="I2986" s="905"/>
      <c r="J2986" s="1026"/>
      <c r="K2986" s="905"/>
    </row>
    <row r="2987" spans="6:18" ht="24" customHeight="1">
      <c r="F2987" s="915" t="s">
        <v>464</v>
      </c>
      <c r="G2987" s="903"/>
      <c r="H2987" s="905"/>
      <c r="I2987" s="905"/>
      <c r="J2987" s="1026"/>
      <c r="K2987" s="905"/>
    </row>
    <row r="2988" spans="6:18" ht="24" customHeight="1">
      <c r="F2988" s="905"/>
      <c r="G2988" s="903"/>
      <c r="H2988" s="905"/>
      <c r="I2988" s="905"/>
      <c r="J2988" s="1026"/>
      <c r="K2988" s="905"/>
    </row>
    <row r="2989" spans="6:18" ht="24" customHeight="1">
      <c r="F2989" s="1048">
        <v>0.42</v>
      </c>
      <c r="G2989" s="903" t="s">
        <v>2176</v>
      </c>
      <c r="H2989" s="905" t="s">
        <v>465</v>
      </c>
      <c r="I2989" s="905">
        <f>K814</f>
        <v>7859.28</v>
      </c>
      <c r="J2989" s="1030" t="s">
        <v>2176</v>
      </c>
      <c r="K2989" s="905">
        <f>F2989*I2989</f>
        <v>3300.9</v>
      </c>
    </row>
    <row r="2990" spans="6:18" ht="24" customHeight="1">
      <c r="F2990" s="905">
        <v>0.25</v>
      </c>
      <c r="G2990" s="903" t="s">
        <v>1414</v>
      </c>
      <c r="H2990" s="905" t="s">
        <v>466</v>
      </c>
      <c r="I2990" s="905">
        <f>C9</f>
        <v>804</v>
      </c>
      <c r="J2990" s="1030" t="s">
        <v>1418</v>
      </c>
      <c r="K2990" s="905">
        <f>F2990*I2990</f>
        <v>201</v>
      </c>
    </row>
    <row r="2991" spans="6:18" ht="24" customHeight="1">
      <c r="F2991" s="905">
        <v>3.5</v>
      </c>
      <c r="G2991" s="903" t="s">
        <v>1452</v>
      </c>
      <c r="H2991" s="905" t="s">
        <v>348</v>
      </c>
      <c r="I2991" s="905">
        <f>C10</f>
        <v>562</v>
      </c>
      <c r="J2991" s="1030" t="s">
        <v>1418</v>
      </c>
      <c r="K2991" s="905">
        <f>F2991*I2991</f>
        <v>1967</v>
      </c>
    </row>
    <row r="2992" spans="6:18" ht="24" customHeight="1">
      <c r="F2992" s="1049">
        <v>32.1</v>
      </c>
      <c r="G2992" s="1050" t="s">
        <v>1670</v>
      </c>
      <c r="H2992" s="1049" t="s">
        <v>1616</v>
      </c>
      <c r="I2992" s="905"/>
      <c r="J2992" s="1030"/>
      <c r="K2992" s="905">
        <f>(F2992*I2992)/1000</f>
        <v>0</v>
      </c>
    </row>
    <row r="2993" spans="6:11" ht="24" customHeight="1">
      <c r="F2993" s="905"/>
      <c r="G2993" s="905" t="s">
        <v>467</v>
      </c>
      <c r="H2993" s="905" t="s">
        <v>962</v>
      </c>
      <c r="I2993" s="905"/>
      <c r="J2993" s="1030" t="s">
        <v>69</v>
      </c>
      <c r="K2993" s="905">
        <f>(K2990+K2991)*10%</f>
        <v>216.8</v>
      </c>
    </row>
    <row r="2994" spans="6:11" ht="24" customHeight="1">
      <c r="F2994" s="905"/>
      <c r="G2994" s="903"/>
      <c r="H2994" s="905"/>
      <c r="I2994" s="905"/>
      <c r="J2994" s="1026"/>
      <c r="K2994" s="905" t="s">
        <v>963</v>
      </c>
    </row>
    <row r="2995" spans="6:11" ht="24" customHeight="1">
      <c r="F2995" s="905"/>
      <c r="G2995" s="903"/>
      <c r="H2995" s="905"/>
      <c r="I2995" s="905"/>
      <c r="J2995" s="1026"/>
      <c r="K2995" s="905"/>
    </row>
    <row r="2996" spans="6:11" ht="24" customHeight="1">
      <c r="F2996" s="905"/>
      <c r="G2996" s="903"/>
      <c r="H2996" s="905"/>
      <c r="I2996" s="905" t="s">
        <v>1065</v>
      </c>
      <c r="J2996" s="1026"/>
      <c r="K2996" s="905">
        <f>SUM(K2989:K2993)</f>
        <v>5685.7</v>
      </c>
    </row>
    <row r="2997" spans="6:11" ht="24" customHeight="1">
      <c r="F2997" s="905"/>
      <c r="G2997" s="903"/>
      <c r="H2997" s="905"/>
      <c r="I2997" s="905"/>
      <c r="J2997" s="1026"/>
      <c r="K2997" s="905"/>
    </row>
    <row r="2998" spans="6:11" ht="24" customHeight="1">
      <c r="F2998" s="905"/>
      <c r="G2998" s="903"/>
      <c r="H2998" s="905"/>
      <c r="I2998" s="905" t="s">
        <v>1906</v>
      </c>
      <c r="J2998" s="1026"/>
      <c r="K2998" s="905">
        <f>K2996/3.5</f>
        <v>1624.49</v>
      </c>
    </row>
    <row r="2999" spans="6:11" ht="24" customHeight="1">
      <c r="F2999" s="905"/>
      <c r="G2999" s="1025" t="s">
        <v>1066</v>
      </c>
      <c r="H2999" s="905"/>
      <c r="I2999" s="905"/>
      <c r="J2999" s="1026"/>
      <c r="K2999" s="905"/>
    </row>
    <row r="3000" spans="6:11" ht="24" customHeight="1">
      <c r="J3000" s="704"/>
    </row>
    <row r="3001" spans="6:11" ht="42" customHeight="1">
      <c r="F3001" s="699">
        <v>1</v>
      </c>
      <c r="G3001" s="903" t="s">
        <v>2176</v>
      </c>
      <c r="H3001" s="699" t="s">
        <v>211</v>
      </c>
      <c r="I3001" s="699">
        <f>AC36</f>
        <v>375.2</v>
      </c>
      <c r="J3001" s="1030" t="s">
        <v>2176</v>
      </c>
      <c r="K3001" s="905">
        <f>F3001*I3001</f>
        <v>375.2</v>
      </c>
    </row>
    <row r="3002" spans="6:11" ht="24" customHeight="1">
      <c r="F3002" s="699">
        <v>1</v>
      </c>
      <c r="G3002" s="903" t="s">
        <v>2176</v>
      </c>
      <c r="H3002" s="699" t="s">
        <v>1067</v>
      </c>
      <c r="I3002" s="699">
        <f>AE26</f>
        <v>33.6</v>
      </c>
      <c r="J3002" s="1030" t="s">
        <v>2176</v>
      </c>
      <c r="K3002" s="905">
        <f>F3002*I3002</f>
        <v>33.6</v>
      </c>
    </row>
    <row r="3003" spans="6:11" ht="24" customHeight="1">
      <c r="J3003" s="704"/>
      <c r="K3003" s="758">
        <f>SUM(K3001:K3002)</f>
        <v>408.8</v>
      </c>
    </row>
    <row r="3005" spans="6:11" ht="24" customHeight="1">
      <c r="H3005" s="700" t="s">
        <v>1933</v>
      </c>
      <c r="I3005" s="933"/>
      <c r="J3005" s="704"/>
    </row>
    <row r="3006" spans="6:11" ht="32.25" customHeight="1">
      <c r="H3006" s="933" t="s">
        <v>5108</v>
      </c>
      <c r="I3006" s="699">
        <v>1010</v>
      </c>
      <c r="J3006" s="704" t="s">
        <v>1739</v>
      </c>
      <c r="K3006" s="744">
        <f>I3006</f>
        <v>1010</v>
      </c>
    </row>
    <row r="3007" spans="6:11" ht="24" customHeight="1">
      <c r="J3007" s="704"/>
      <c r="K3007" s="804"/>
    </row>
    <row r="3008" spans="6:11" ht="24" customHeight="1">
      <c r="J3008" s="704"/>
      <c r="K3008" s="804"/>
    </row>
    <row r="3009" spans="8:11" ht="24" customHeight="1">
      <c r="H3009" s="699" t="s">
        <v>5109</v>
      </c>
      <c r="I3009" s="978">
        <v>471.2</v>
      </c>
      <c r="J3009" s="704" t="s">
        <v>1739</v>
      </c>
      <c r="K3009" s="744">
        <f>I3009</f>
        <v>471.2</v>
      </c>
    </row>
    <row r="3010" spans="8:11" ht="24" customHeight="1">
      <c r="I3010" s="744"/>
      <c r="J3010" s="704"/>
      <c r="K3010" s="744"/>
    </row>
    <row r="3011" spans="8:11" ht="24" customHeight="1">
      <c r="H3011" s="699" t="s">
        <v>5110</v>
      </c>
      <c r="I3011" s="978">
        <v>379.4</v>
      </c>
      <c r="J3011" s="704" t="s">
        <v>1739</v>
      </c>
      <c r="K3011" s="744">
        <f>I3011</f>
        <v>379.4</v>
      </c>
    </row>
    <row r="3012" spans="8:11" ht="24" customHeight="1">
      <c r="J3012" s="704"/>
      <c r="K3012" s="744"/>
    </row>
    <row r="3013" spans="8:11" ht="24" customHeight="1">
      <c r="H3013" s="699" t="s">
        <v>1310</v>
      </c>
      <c r="J3013" s="704"/>
      <c r="K3013" s="804"/>
    </row>
    <row r="3014" spans="8:11" ht="24" customHeight="1">
      <c r="H3014" s="699" t="s">
        <v>5111</v>
      </c>
      <c r="I3014" s="978">
        <v>948</v>
      </c>
      <c r="J3014" s="704" t="s">
        <v>1739</v>
      </c>
      <c r="K3014" s="744">
        <f>I3014</f>
        <v>948</v>
      </c>
    </row>
    <row r="3015" spans="8:11" ht="24" customHeight="1">
      <c r="H3015" s="697" t="s">
        <v>1085</v>
      </c>
      <c r="I3015" s="975">
        <f>K2288</f>
        <v>1941.5</v>
      </c>
      <c r="J3015" s="704"/>
      <c r="K3015" s="975">
        <f>I3015</f>
        <v>1941.5</v>
      </c>
    </row>
    <row r="3016" spans="8:11" ht="24" customHeight="1">
      <c r="J3016" s="704"/>
    </row>
    <row r="3017" spans="8:11" ht="44.25" customHeight="1">
      <c r="J3017" s="704"/>
    </row>
    <row r="3018" spans="8:11" ht="68.25" customHeight="1">
      <c r="J3018" s="704"/>
    </row>
    <row r="3019" spans="8:11" ht="24" customHeight="1">
      <c r="J3019" s="704"/>
    </row>
    <row r="3020" spans="8:11" ht="24" customHeight="1">
      <c r="I3020" s="804"/>
      <c r="J3020" s="704"/>
    </row>
    <row r="3021" spans="8:11" ht="24" customHeight="1">
      <c r="J3021" s="704"/>
    </row>
    <row r="3022" spans="8:11" ht="24" customHeight="1">
      <c r="H3022" s="785"/>
      <c r="J3022" s="704"/>
    </row>
    <row r="3023" spans="8:11" ht="24" customHeight="1">
      <c r="J3023" s="704"/>
    </row>
    <row r="3024" spans="8:11" ht="24" customHeight="1">
      <c r="H3024" s="877"/>
      <c r="I3024" s="758"/>
      <c r="J3024" s="984"/>
      <c r="K3024" s="758"/>
    </row>
    <row r="3027" spans="8:11" ht="24" customHeight="1">
      <c r="H3027" s="699" t="s">
        <v>1024</v>
      </c>
    </row>
    <row r="3028" spans="8:11" ht="24" customHeight="1">
      <c r="H3028" s="699" t="s">
        <v>1025</v>
      </c>
      <c r="J3028" s="702" t="s">
        <v>1418</v>
      </c>
      <c r="K3028" s="802">
        <v>130</v>
      </c>
    </row>
    <row r="3030" spans="8:11" ht="24" customHeight="1">
      <c r="H3030" s="699" t="s">
        <v>1026</v>
      </c>
      <c r="J3030" s="702" t="s">
        <v>1418</v>
      </c>
      <c r="K3030" s="802">
        <v>170</v>
      </c>
    </row>
    <row r="3033" spans="8:11" ht="24" customHeight="1">
      <c r="H3033" s="697" t="s">
        <v>1276</v>
      </c>
      <c r="J3033" s="702" t="s">
        <v>1418</v>
      </c>
      <c r="K3033" s="871">
        <v>443</v>
      </c>
    </row>
    <row r="3035" spans="8:11" ht="45" customHeight="1">
      <c r="H3035" s="762" t="s">
        <v>203</v>
      </c>
      <c r="J3035" s="702" t="s">
        <v>1418</v>
      </c>
      <c r="K3035" s="710">
        <f>Elec.Data!K3767</f>
        <v>1437.4</v>
      </c>
    </row>
    <row r="3037" spans="8:11" ht="41.25" customHeight="1"/>
    <row r="3038" spans="8:11" ht="24" customHeight="1">
      <c r="H3038" s="699" t="s">
        <v>1310</v>
      </c>
      <c r="J3038" s="702" t="s">
        <v>1418</v>
      </c>
      <c r="K3038" s="804">
        <f>K3014</f>
        <v>948</v>
      </c>
    </row>
    <row r="3039" spans="8:11" ht="24" customHeight="1">
      <c r="H3039" s="699" t="s">
        <v>1311</v>
      </c>
    </row>
    <row r="3041" spans="6:17" ht="24" customHeight="1">
      <c r="F3041" s="699">
        <v>0.5</v>
      </c>
      <c r="H3041" s="699" t="s">
        <v>1893</v>
      </c>
      <c r="J3041" s="702">
        <f>C13</f>
        <v>747</v>
      </c>
      <c r="K3041" s="699">
        <f>J3041*F3041</f>
        <v>373.5</v>
      </c>
    </row>
    <row r="3042" spans="6:17" ht="24" customHeight="1">
      <c r="F3042" s="699">
        <v>0.5</v>
      </c>
      <c r="H3042" s="699" t="s">
        <v>348</v>
      </c>
      <c r="J3042" s="702">
        <f>C10</f>
        <v>562</v>
      </c>
      <c r="K3042" s="699">
        <f>J3042*F3042</f>
        <v>281</v>
      </c>
    </row>
    <row r="3043" spans="6:17" ht="24" customHeight="1">
      <c r="I3043" s="1875" t="s">
        <v>1080</v>
      </c>
      <c r="J3043" s="1875"/>
      <c r="K3043" s="758">
        <f>SUM(K3038:K3042)</f>
        <v>1602.5</v>
      </c>
    </row>
    <row r="3046" spans="6:17" ht="24" customHeight="1">
      <c r="F3046" s="698" t="s">
        <v>568</v>
      </c>
      <c r="G3046" s="708" t="s">
        <v>2276</v>
      </c>
      <c r="H3046" s="697" t="s">
        <v>1793</v>
      </c>
      <c r="J3046" s="704"/>
    </row>
    <row r="3047" spans="6:17" ht="24" customHeight="1">
      <c r="H3047" s="697" t="s">
        <v>255</v>
      </c>
      <c r="J3047" s="704"/>
    </row>
    <row r="3048" spans="6:17" ht="24" customHeight="1">
      <c r="H3048" s="697" t="s">
        <v>1433</v>
      </c>
      <c r="J3048" s="704"/>
    </row>
    <row r="3049" spans="6:17" ht="24" customHeight="1">
      <c r="H3049" s="705" t="s">
        <v>1609</v>
      </c>
      <c r="J3049" s="704"/>
    </row>
    <row r="3050" spans="6:17" ht="24" customHeight="1">
      <c r="H3050" s="697" t="s">
        <v>766</v>
      </c>
      <c r="J3050" s="704"/>
    </row>
    <row r="3051" spans="6:17" ht="24" customHeight="1">
      <c r="J3051" s="704"/>
    </row>
    <row r="3052" spans="6:17" ht="38.25" customHeight="1">
      <c r="F3052" s="796">
        <v>2.2275</v>
      </c>
      <c r="G3052" s="708" t="s">
        <v>615</v>
      </c>
      <c r="H3052" s="762" t="s">
        <v>749</v>
      </c>
      <c r="I3052" s="804">
        <f>I2831</f>
        <v>2160</v>
      </c>
      <c r="J3052" s="698" t="s">
        <v>615</v>
      </c>
      <c r="K3052" s="699">
        <f>F3053*I3052</f>
        <v>4811.3999999999996</v>
      </c>
    </row>
    <row r="3053" spans="6:17" ht="24" customHeight="1">
      <c r="F3053" s="776">
        <f>F3052</f>
        <v>2.2275</v>
      </c>
      <c r="G3053" s="708" t="s">
        <v>615</v>
      </c>
      <c r="H3053" s="990" t="s">
        <v>448</v>
      </c>
      <c r="I3053" s="805">
        <f>I2864</f>
        <v>299.25</v>
      </c>
      <c r="J3053" s="698" t="s">
        <v>615</v>
      </c>
      <c r="K3053" s="710">
        <f t="shared" ref="K3053:K3059" si="287">(F3053*I3053)</f>
        <v>666.58</v>
      </c>
      <c r="M3053" s="698" t="s">
        <v>568</v>
      </c>
      <c r="N3053" s="708" t="s">
        <v>2276</v>
      </c>
      <c r="O3053" s="697" t="s">
        <v>1793</v>
      </c>
      <c r="Q3053" s="704"/>
    </row>
    <row r="3054" spans="6:17" ht="24" customHeight="1">
      <c r="F3054" s="710">
        <v>4</v>
      </c>
      <c r="G3054" s="708" t="s">
        <v>778</v>
      </c>
      <c r="H3054" s="697" t="s">
        <v>1485</v>
      </c>
      <c r="I3054" s="804">
        <f t="shared" ref="I3054:I3059" si="288">I2969</f>
        <v>53.4</v>
      </c>
      <c r="J3054" s="698" t="s">
        <v>877</v>
      </c>
      <c r="K3054" s="710">
        <f t="shared" si="287"/>
        <v>213.6</v>
      </c>
      <c r="N3054" s="700"/>
      <c r="O3054" s="697" t="s">
        <v>255</v>
      </c>
      <c r="Q3054" s="704"/>
    </row>
    <row r="3055" spans="6:17" ht="24" customHeight="1">
      <c r="F3055" s="710">
        <v>6</v>
      </c>
      <c r="G3055" s="708" t="s">
        <v>877</v>
      </c>
      <c r="H3055" s="697" t="s">
        <v>1486</v>
      </c>
      <c r="I3055" s="804">
        <f t="shared" si="288"/>
        <v>83</v>
      </c>
      <c r="J3055" s="698" t="s">
        <v>877</v>
      </c>
      <c r="K3055" s="710">
        <f t="shared" si="287"/>
        <v>498</v>
      </c>
      <c r="N3055" s="700"/>
      <c r="O3055" s="697" t="s">
        <v>84</v>
      </c>
      <c r="Q3055" s="704"/>
    </row>
    <row r="3056" spans="6:17" ht="24" customHeight="1">
      <c r="F3056" s="710">
        <v>4</v>
      </c>
      <c r="G3056" s="708" t="s">
        <v>877</v>
      </c>
      <c r="H3056" s="697" t="s">
        <v>1487</v>
      </c>
      <c r="I3056" s="804">
        <f t="shared" si="288"/>
        <v>60</v>
      </c>
      <c r="J3056" s="698" t="s">
        <v>877</v>
      </c>
      <c r="K3056" s="710">
        <f t="shared" si="287"/>
        <v>240</v>
      </c>
      <c r="N3056" s="700"/>
      <c r="O3056" s="705" t="s">
        <v>1609</v>
      </c>
      <c r="Q3056" s="704"/>
    </row>
    <row r="3057" spans="6:18" ht="24" customHeight="1">
      <c r="F3057" s="710">
        <v>1</v>
      </c>
      <c r="G3057" s="708" t="s">
        <v>877</v>
      </c>
      <c r="H3057" s="697" t="s">
        <v>1488</v>
      </c>
      <c r="I3057" s="804">
        <f t="shared" si="288"/>
        <v>167.6</v>
      </c>
      <c r="J3057" s="698" t="s">
        <v>877</v>
      </c>
      <c r="K3057" s="710">
        <f t="shared" si="287"/>
        <v>167.6</v>
      </c>
      <c r="N3057" s="700"/>
      <c r="O3057" s="697" t="s">
        <v>364</v>
      </c>
      <c r="Q3057" s="704"/>
    </row>
    <row r="3058" spans="6:18" ht="24" customHeight="1">
      <c r="F3058" s="710">
        <v>2</v>
      </c>
      <c r="G3058" s="708" t="s">
        <v>877</v>
      </c>
      <c r="H3058" s="697" t="s">
        <v>1489</v>
      </c>
      <c r="I3058" s="804">
        <f t="shared" si="288"/>
        <v>7.3</v>
      </c>
      <c r="J3058" s="698" t="s">
        <v>877</v>
      </c>
      <c r="K3058" s="710">
        <f t="shared" si="287"/>
        <v>14.6</v>
      </c>
      <c r="N3058" s="700"/>
      <c r="Q3058" s="704"/>
    </row>
    <row r="3059" spans="6:18" ht="33.75" customHeight="1">
      <c r="F3059" s="710">
        <v>2</v>
      </c>
      <c r="G3059" s="708" t="s">
        <v>877</v>
      </c>
      <c r="H3059" s="697" t="s">
        <v>2007</v>
      </c>
      <c r="I3059" s="804">
        <f t="shared" si="288"/>
        <v>45.9</v>
      </c>
      <c r="J3059" s="698" t="s">
        <v>877</v>
      </c>
      <c r="K3059" s="710">
        <f t="shared" si="287"/>
        <v>91.8</v>
      </c>
      <c r="M3059" s="703">
        <v>3.29</v>
      </c>
      <c r="N3059" s="708" t="s">
        <v>615</v>
      </c>
      <c r="O3059" s="762" t="s">
        <v>749</v>
      </c>
      <c r="P3059" s="804">
        <f>I3052</f>
        <v>2160</v>
      </c>
      <c r="Q3059" s="698" t="s">
        <v>615</v>
      </c>
      <c r="R3059" s="699">
        <f>M3060*P3059</f>
        <v>7106.4</v>
      </c>
    </row>
    <row r="3060" spans="6:18" ht="33.75" customHeight="1">
      <c r="J3060" s="704"/>
      <c r="K3060" s="805">
        <v>0.2</v>
      </c>
      <c r="M3060" s="740">
        <v>3.29</v>
      </c>
      <c r="N3060" s="708" t="s">
        <v>615</v>
      </c>
      <c r="O3060" s="697" t="s">
        <v>448</v>
      </c>
      <c r="P3060" s="804">
        <f t="shared" ref="P3060:P3066" si="289">I3053</f>
        <v>299.25</v>
      </c>
      <c r="Q3060" s="698" t="s">
        <v>615</v>
      </c>
      <c r="R3060" s="710">
        <f t="shared" ref="R3060:R3066" si="290">(M3060*P3060)</f>
        <v>984.53</v>
      </c>
    </row>
    <row r="3061" spans="6:18" ht="24" customHeight="1">
      <c r="H3061" s="697" t="s">
        <v>767</v>
      </c>
      <c r="J3061" s="704"/>
      <c r="K3061" s="710">
        <f>SUM(K3052:K3060)</f>
        <v>6703.78</v>
      </c>
      <c r="M3061" s="710">
        <v>4</v>
      </c>
      <c r="N3061" s="708" t="s">
        <v>778</v>
      </c>
      <c r="O3061" s="697" t="s">
        <v>1485</v>
      </c>
      <c r="P3061" s="804">
        <f t="shared" si="289"/>
        <v>53.4</v>
      </c>
      <c r="Q3061" s="698" t="s">
        <v>877</v>
      </c>
      <c r="R3061" s="710">
        <f t="shared" si="290"/>
        <v>213.6</v>
      </c>
    </row>
    <row r="3062" spans="6:18" ht="24" customHeight="1">
      <c r="J3062" s="704"/>
      <c r="K3062" s="705" t="s">
        <v>1609</v>
      </c>
      <c r="M3062" s="710">
        <v>6</v>
      </c>
      <c r="N3062" s="708" t="s">
        <v>877</v>
      </c>
      <c r="O3062" s="697" t="s">
        <v>1486</v>
      </c>
      <c r="P3062" s="804">
        <f t="shared" si="289"/>
        <v>83</v>
      </c>
      <c r="Q3062" s="698" t="s">
        <v>877</v>
      </c>
      <c r="R3062" s="710">
        <f t="shared" si="290"/>
        <v>498</v>
      </c>
    </row>
    <row r="3063" spans="6:18" ht="24" customHeight="1">
      <c r="H3063" s="697" t="s">
        <v>556</v>
      </c>
      <c r="J3063" s="704"/>
      <c r="K3063" s="710">
        <f>K3061/F3053</f>
        <v>3009.55</v>
      </c>
      <c r="M3063" s="710">
        <v>4</v>
      </c>
      <c r="N3063" s="708" t="s">
        <v>877</v>
      </c>
      <c r="O3063" s="697" t="s">
        <v>1487</v>
      </c>
      <c r="P3063" s="804">
        <f t="shared" si="289"/>
        <v>60</v>
      </c>
      <c r="Q3063" s="698" t="s">
        <v>877</v>
      </c>
      <c r="R3063" s="710">
        <f t="shared" si="290"/>
        <v>240</v>
      </c>
    </row>
    <row r="3064" spans="6:18" ht="24" customHeight="1">
      <c r="M3064" s="710">
        <v>1</v>
      </c>
      <c r="N3064" s="708" t="s">
        <v>877</v>
      </c>
      <c r="O3064" s="697" t="s">
        <v>1488</v>
      </c>
      <c r="P3064" s="804">
        <f t="shared" si="289"/>
        <v>167.6</v>
      </c>
      <c r="Q3064" s="698" t="s">
        <v>877</v>
      </c>
      <c r="R3064" s="710">
        <f t="shared" si="290"/>
        <v>167.6</v>
      </c>
    </row>
    <row r="3065" spans="6:18" ht="24" customHeight="1">
      <c r="F3065" s="698" t="s">
        <v>568</v>
      </c>
      <c r="G3065" s="708" t="s">
        <v>2276</v>
      </c>
      <c r="H3065" s="697" t="s">
        <v>1793</v>
      </c>
      <c r="J3065" s="704"/>
      <c r="M3065" s="710">
        <v>2</v>
      </c>
      <c r="N3065" s="708" t="s">
        <v>877</v>
      </c>
      <c r="O3065" s="697" t="s">
        <v>1489</v>
      </c>
      <c r="P3065" s="804">
        <f t="shared" si="289"/>
        <v>7.3</v>
      </c>
      <c r="Q3065" s="698" t="s">
        <v>877</v>
      </c>
      <c r="R3065" s="710">
        <f t="shared" si="290"/>
        <v>14.6</v>
      </c>
    </row>
    <row r="3066" spans="6:18" ht="24" customHeight="1">
      <c r="H3066" s="697" t="s">
        <v>255</v>
      </c>
      <c r="J3066" s="704"/>
      <c r="M3066" s="710">
        <v>2</v>
      </c>
      <c r="N3066" s="708" t="s">
        <v>877</v>
      </c>
      <c r="O3066" s="697" t="s">
        <v>2007</v>
      </c>
      <c r="P3066" s="804">
        <f t="shared" si="289"/>
        <v>45.9</v>
      </c>
      <c r="Q3066" s="698" t="s">
        <v>877</v>
      </c>
      <c r="R3066" s="710">
        <f t="shared" si="290"/>
        <v>91.8</v>
      </c>
    </row>
    <row r="3067" spans="6:18" ht="24" customHeight="1">
      <c r="H3067" s="697" t="s">
        <v>1951</v>
      </c>
      <c r="J3067" s="704"/>
      <c r="N3067" s="700"/>
      <c r="Q3067" s="704"/>
      <c r="R3067" s="705" t="s">
        <v>1609</v>
      </c>
    </row>
    <row r="3068" spans="6:18" ht="24" customHeight="1">
      <c r="H3068" s="705" t="s">
        <v>1609</v>
      </c>
      <c r="J3068" s="704"/>
      <c r="N3068" s="700"/>
      <c r="O3068" s="697" t="s">
        <v>365</v>
      </c>
      <c r="Q3068" s="704"/>
      <c r="R3068" s="710">
        <f>SUM(R3059:R3067)+0.5</f>
        <v>9317.0300000000007</v>
      </c>
    </row>
    <row r="3069" spans="6:18" ht="24" customHeight="1">
      <c r="H3069" s="697" t="s">
        <v>105</v>
      </c>
      <c r="J3069" s="704"/>
      <c r="N3069" s="700"/>
      <c r="Q3069" s="704"/>
      <c r="R3069" s="705" t="s">
        <v>1609</v>
      </c>
    </row>
    <row r="3070" spans="6:18" ht="24" customHeight="1">
      <c r="J3070" s="704"/>
      <c r="N3070" s="700"/>
      <c r="O3070" s="697" t="s">
        <v>556</v>
      </c>
      <c r="Q3070" s="704"/>
      <c r="R3070" s="710">
        <f>R3068/M3059</f>
        <v>2831.92</v>
      </c>
    </row>
    <row r="3071" spans="6:18" ht="24" customHeight="1">
      <c r="F3071" s="703">
        <v>2.87</v>
      </c>
      <c r="G3071" s="708" t="s">
        <v>615</v>
      </c>
      <c r="H3071" s="762" t="s">
        <v>749</v>
      </c>
      <c r="I3071" s="804">
        <f>I3052</f>
        <v>2160</v>
      </c>
      <c r="J3071" s="698" t="s">
        <v>615</v>
      </c>
      <c r="K3071" s="699">
        <f>F3072*I3071</f>
        <v>6199.2</v>
      </c>
      <c r="N3071" s="700"/>
      <c r="Q3071" s="702"/>
    </row>
    <row r="3072" spans="6:18" ht="24" customHeight="1">
      <c r="F3072" s="740">
        <f>F3071</f>
        <v>2.87</v>
      </c>
      <c r="G3072" s="708" t="s">
        <v>615</v>
      </c>
      <c r="H3072" s="990" t="s">
        <v>448</v>
      </c>
      <c r="I3072" s="805">
        <f t="shared" ref="I3072:I3078" si="291">I3053</f>
        <v>299.25</v>
      </c>
      <c r="J3072" s="698" t="s">
        <v>615</v>
      </c>
      <c r="K3072" s="710">
        <f t="shared" ref="K3072:K3078" si="292">(F3072*I3072)</f>
        <v>858.85</v>
      </c>
    </row>
    <row r="3073" spans="6:11" ht="24" customHeight="1">
      <c r="F3073" s="710">
        <v>4</v>
      </c>
      <c r="G3073" s="708" t="s">
        <v>778</v>
      </c>
      <c r="H3073" s="697" t="s">
        <v>1485</v>
      </c>
      <c r="I3073" s="804">
        <f t="shared" si="291"/>
        <v>53.4</v>
      </c>
      <c r="J3073" s="698" t="s">
        <v>877</v>
      </c>
      <c r="K3073" s="710">
        <f t="shared" si="292"/>
        <v>213.6</v>
      </c>
    </row>
    <row r="3074" spans="6:11" ht="24" customHeight="1">
      <c r="F3074" s="710">
        <v>6</v>
      </c>
      <c r="G3074" s="708" t="s">
        <v>877</v>
      </c>
      <c r="H3074" s="697" t="s">
        <v>1486</v>
      </c>
      <c r="I3074" s="804">
        <f t="shared" si="291"/>
        <v>83</v>
      </c>
      <c r="J3074" s="698" t="s">
        <v>877</v>
      </c>
      <c r="K3074" s="710">
        <f t="shared" si="292"/>
        <v>498</v>
      </c>
    </row>
    <row r="3075" spans="6:11" ht="24" customHeight="1">
      <c r="F3075" s="710">
        <v>4</v>
      </c>
      <c r="G3075" s="708" t="s">
        <v>877</v>
      </c>
      <c r="H3075" s="697" t="s">
        <v>1487</v>
      </c>
      <c r="I3075" s="804">
        <f t="shared" si="291"/>
        <v>60</v>
      </c>
      <c r="J3075" s="698" t="s">
        <v>877</v>
      </c>
      <c r="K3075" s="710">
        <f t="shared" si="292"/>
        <v>240</v>
      </c>
    </row>
    <row r="3076" spans="6:11" ht="24" customHeight="1">
      <c r="F3076" s="710">
        <v>1</v>
      </c>
      <c r="G3076" s="708" t="s">
        <v>877</v>
      </c>
      <c r="H3076" s="697" t="s">
        <v>1488</v>
      </c>
      <c r="I3076" s="804">
        <f t="shared" si="291"/>
        <v>167.6</v>
      </c>
      <c r="J3076" s="698" t="s">
        <v>877</v>
      </c>
      <c r="K3076" s="710">
        <f t="shared" si="292"/>
        <v>167.6</v>
      </c>
    </row>
    <row r="3077" spans="6:11" ht="24" customHeight="1">
      <c r="F3077" s="710">
        <v>2</v>
      </c>
      <c r="G3077" s="708" t="s">
        <v>877</v>
      </c>
      <c r="H3077" s="697" t="s">
        <v>1489</v>
      </c>
      <c r="I3077" s="804">
        <f t="shared" si="291"/>
        <v>7.3</v>
      </c>
      <c r="J3077" s="698" t="s">
        <v>877</v>
      </c>
      <c r="K3077" s="710">
        <f t="shared" si="292"/>
        <v>14.6</v>
      </c>
    </row>
    <row r="3078" spans="6:11" ht="24" customHeight="1">
      <c r="F3078" s="710">
        <v>2</v>
      </c>
      <c r="G3078" s="708" t="s">
        <v>877</v>
      </c>
      <c r="H3078" s="697" t="s">
        <v>2007</v>
      </c>
      <c r="I3078" s="804">
        <f t="shared" si="291"/>
        <v>45.9</v>
      </c>
      <c r="J3078" s="698" t="s">
        <v>877</v>
      </c>
      <c r="K3078" s="710">
        <f t="shared" si="292"/>
        <v>91.8</v>
      </c>
    </row>
    <row r="3079" spans="6:11" ht="24" customHeight="1">
      <c r="J3079" s="704"/>
      <c r="K3079" s="805">
        <f>1.19+0.16</f>
        <v>1.35</v>
      </c>
    </row>
    <row r="3080" spans="6:11" ht="24" customHeight="1">
      <c r="H3080" s="697" t="s">
        <v>106</v>
      </c>
      <c r="J3080" s="704"/>
      <c r="K3080" s="710">
        <f>SUM(K3071:K3079)</f>
        <v>8285</v>
      </c>
    </row>
    <row r="3081" spans="6:11" ht="24" customHeight="1">
      <c r="J3081" s="704"/>
      <c r="K3081" s="705" t="s">
        <v>1609</v>
      </c>
    </row>
    <row r="3082" spans="6:11" ht="24" customHeight="1">
      <c r="H3082" s="697" t="s">
        <v>556</v>
      </c>
      <c r="J3082" s="704"/>
      <c r="K3082" s="710">
        <f>K3080/F3072</f>
        <v>2886.76</v>
      </c>
    </row>
    <row r="3084" spans="6:11" ht="24" customHeight="1">
      <c r="F3084" s="1000" t="s">
        <v>889</v>
      </c>
      <c r="G3084" s="1001"/>
      <c r="H3084" s="729" t="s">
        <v>1248</v>
      </c>
      <c r="I3084" s="1002"/>
      <c r="J3084" s="1003"/>
      <c r="K3084" s="1002"/>
    </row>
    <row r="3085" spans="6:11" ht="24" customHeight="1">
      <c r="F3085" s="1002"/>
      <c r="G3085" s="1001"/>
      <c r="H3085" s="1004" t="s">
        <v>1609</v>
      </c>
      <c r="I3085" s="1004" t="s">
        <v>1609</v>
      </c>
      <c r="J3085" s="729" t="s">
        <v>1609</v>
      </c>
      <c r="K3085" s="1002"/>
    </row>
    <row r="3086" spans="6:11" ht="24" customHeight="1">
      <c r="F3086" s="1002"/>
      <c r="G3086" s="1001"/>
      <c r="H3086" s="1002"/>
      <c r="I3086" s="1002"/>
      <c r="J3086" s="1003"/>
      <c r="K3086" s="1002"/>
    </row>
    <row r="3087" spans="6:11" ht="24" customHeight="1">
      <c r="F3087" s="1002"/>
      <c r="G3087" s="1001"/>
      <c r="H3087" s="729" t="s">
        <v>2025</v>
      </c>
      <c r="I3087" s="1002"/>
      <c r="J3087" s="1003"/>
      <c r="K3087" s="1002"/>
    </row>
    <row r="3088" spans="6:11" ht="24" customHeight="1">
      <c r="F3088" s="1002"/>
      <c r="G3088" s="1001"/>
      <c r="H3088" s="729"/>
      <c r="I3088" s="1002"/>
      <c r="J3088" s="1003"/>
      <c r="K3088" s="1002"/>
    </row>
    <row r="3089" spans="6:45" ht="24" customHeight="1">
      <c r="F3089" s="1002"/>
      <c r="G3089" s="1001"/>
      <c r="H3089" s="729" t="s">
        <v>2026</v>
      </c>
      <c r="I3089" s="1002"/>
      <c r="J3089" s="1003"/>
      <c r="K3089" s="1002"/>
    </row>
    <row r="3090" spans="6:45" ht="24" customHeight="1">
      <c r="F3090" s="1002"/>
      <c r="G3090" s="1001"/>
      <c r="H3090" s="729" t="s">
        <v>455</v>
      </c>
      <c r="I3090" s="1002"/>
      <c r="J3090" s="1003"/>
      <c r="K3090" s="1002"/>
    </row>
    <row r="3091" spans="6:45" ht="24" customHeight="1">
      <c r="F3091" s="1002"/>
      <c r="G3091" s="1001"/>
      <c r="H3091" s="729" t="s">
        <v>456</v>
      </c>
      <c r="I3091" s="1002"/>
      <c r="J3091" s="1003"/>
      <c r="K3091" s="1002"/>
      <c r="S3091" s="698"/>
      <c r="T3091" s="708"/>
      <c r="U3091" s="697"/>
      <c r="W3091" s="702"/>
    </row>
    <row r="3092" spans="6:45" ht="24" customHeight="1">
      <c r="F3092" s="1002"/>
      <c r="G3092" s="1001"/>
      <c r="H3092" s="729" t="s">
        <v>457</v>
      </c>
      <c r="I3092" s="1002"/>
      <c r="J3092" s="1003"/>
      <c r="K3092" s="1002"/>
      <c r="S3092" s="699"/>
      <c r="U3092" s="697"/>
      <c r="W3092" s="702"/>
    </row>
    <row r="3093" spans="6:45" ht="24" customHeight="1">
      <c r="F3093" s="1002"/>
      <c r="G3093" s="1001"/>
      <c r="H3093" s="729" t="s">
        <v>890</v>
      </c>
      <c r="I3093" s="1002"/>
      <c r="J3093" s="729" t="s">
        <v>987</v>
      </c>
      <c r="K3093" s="1006">
        <v>3.7699999999999997E-2</v>
      </c>
      <c r="S3093" s="699"/>
      <c r="T3093" s="700"/>
      <c r="U3093" s="697"/>
      <c r="W3093" s="702"/>
    </row>
    <row r="3094" spans="6:45" ht="24" customHeight="1">
      <c r="F3094" s="1002"/>
      <c r="G3094" s="1001"/>
      <c r="H3094" s="1051" t="s">
        <v>453</v>
      </c>
      <c r="I3094" s="1002"/>
      <c r="J3094" s="1007" t="s">
        <v>987</v>
      </c>
      <c r="K3094" s="1007" t="s">
        <v>987</v>
      </c>
      <c r="S3094" s="699"/>
      <c r="T3094" s="700"/>
      <c r="U3094" s="697"/>
      <c r="W3094" s="702"/>
    </row>
    <row r="3095" spans="6:45" ht="24" customHeight="1">
      <c r="F3095" s="1002"/>
      <c r="G3095" s="1001"/>
      <c r="H3095" s="729" t="s">
        <v>1855</v>
      </c>
      <c r="I3095" s="1002"/>
      <c r="J3095" s="1003"/>
      <c r="K3095" s="1007" t="s">
        <v>987</v>
      </c>
      <c r="S3095" s="699"/>
      <c r="T3095" s="700"/>
      <c r="U3095" s="697"/>
      <c r="W3095" s="702"/>
    </row>
    <row r="3096" spans="6:45" ht="31.5" customHeight="1">
      <c r="F3096" s="1002"/>
      <c r="G3096" s="1001"/>
      <c r="H3096" s="1002"/>
      <c r="I3096" s="1002"/>
      <c r="J3096" s="1003"/>
      <c r="K3096" s="1002"/>
      <c r="S3096" s="699"/>
      <c r="T3096" s="700"/>
      <c r="U3096" s="700" t="s">
        <v>3600</v>
      </c>
      <c r="W3096" s="702"/>
    </row>
    <row r="3097" spans="6:45" ht="24.75" customHeight="1">
      <c r="F3097" s="1008">
        <v>1.18E-2</v>
      </c>
      <c r="G3097" s="1009" t="s">
        <v>878</v>
      </c>
      <c r="H3097" s="729" t="s">
        <v>698</v>
      </c>
      <c r="I3097" s="1010">
        <f>I2659</f>
        <v>111600</v>
      </c>
      <c r="J3097" s="729" t="s">
        <v>878</v>
      </c>
      <c r="K3097" s="1010">
        <f t="shared" ref="K3097:K3105" si="293">(F3097*I3097)</f>
        <v>1316.88</v>
      </c>
      <c r="S3097" s="699"/>
      <c r="T3097" s="700"/>
      <c r="U3097" s="707"/>
      <c r="W3097" s="702"/>
    </row>
    <row r="3098" spans="6:45" ht="36" customHeight="1">
      <c r="F3098" s="1008">
        <v>3.7699999999999997E-2</v>
      </c>
      <c r="G3098" s="1009" t="s">
        <v>878</v>
      </c>
      <c r="H3098" s="729" t="s">
        <v>699</v>
      </c>
      <c r="I3098" s="1010">
        <f t="shared" ref="I3098:I3105" si="294">I2660</f>
        <v>99400</v>
      </c>
      <c r="J3098" s="729" t="s">
        <v>878</v>
      </c>
      <c r="K3098" s="1010">
        <f t="shared" si="293"/>
        <v>3747.38</v>
      </c>
      <c r="S3098" s="699"/>
      <c r="T3098" s="700"/>
      <c r="U3098" s="697" t="s">
        <v>3601</v>
      </c>
      <c r="V3098" s="796">
        <f xml:space="preserve"> 3.08*2.1</f>
        <v>6.468</v>
      </c>
      <c r="W3098" s="702" t="s">
        <v>236</v>
      </c>
      <c r="X3098" s="699" t="s">
        <v>236</v>
      </c>
    </row>
    <row r="3099" spans="6:45" ht="45" customHeight="1">
      <c r="F3099" s="1008">
        <v>1.8550000000000001E-2</v>
      </c>
      <c r="G3099" s="1009" t="s">
        <v>878</v>
      </c>
      <c r="H3099" s="729" t="s">
        <v>895</v>
      </c>
      <c r="I3099" s="1010">
        <f t="shared" si="294"/>
        <v>11800</v>
      </c>
      <c r="J3099" s="729" t="s">
        <v>878</v>
      </c>
      <c r="K3099" s="1010">
        <f t="shared" si="293"/>
        <v>218.89</v>
      </c>
      <c r="S3099" s="699"/>
      <c r="T3099" s="1052"/>
      <c r="U3099" s="1053" t="s">
        <v>3878</v>
      </c>
      <c r="V3099" s="1054">
        <f>4*2.05*0.075*0.0375</f>
        <v>2.3060000000000001E-2</v>
      </c>
      <c r="W3099" s="1055" t="s">
        <v>1361</v>
      </c>
      <c r="X3099" s="1041"/>
      <c r="AE3099" s="758" t="s">
        <v>3701</v>
      </c>
      <c r="AP3099" s="25" t="s">
        <v>4337</v>
      </c>
    </row>
    <row r="3100" spans="6:45" ht="31.5" customHeight="1">
      <c r="F3100" s="1008">
        <v>1.36</v>
      </c>
      <c r="G3100" s="1009" t="s">
        <v>615</v>
      </c>
      <c r="H3100" s="729" t="s">
        <v>1249</v>
      </c>
      <c r="I3100" s="1010">
        <f>I1052</f>
        <v>387.4</v>
      </c>
      <c r="J3100" s="729" t="s">
        <v>615</v>
      </c>
      <c r="K3100" s="1010">
        <f t="shared" si="293"/>
        <v>526.86</v>
      </c>
      <c r="S3100" s="699"/>
      <c r="T3100" s="1052"/>
      <c r="U3100" s="1041"/>
      <c r="V3100" s="1041"/>
      <c r="W3100" s="1053" t="s">
        <v>1609</v>
      </c>
      <c r="X3100" s="1041"/>
      <c r="AE3100" s="699" t="s">
        <v>3273</v>
      </c>
      <c r="AP3100" t="s">
        <v>3273</v>
      </c>
    </row>
    <row r="3101" spans="6:45" ht="31.5" customHeight="1">
      <c r="F3101" s="1008">
        <v>2.0499999999999998</v>
      </c>
      <c r="G3101" s="1009" t="s">
        <v>615</v>
      </c>
      <c r="H3101" s="729" t="s">
        <v>1528</v>
      </c>
      <c r="I3101" s="1010">
        <f t="shared" si="294"/>
        <v>1105</v>
      </c>
      <c r="J3101" s="729" t="s">
        <v>615</v>
      </c>
      <c r="K3101" s="1010">
        <f t="shared" si="293"/>
        <v>2265.25</v>
      </c>
      <c r="S3101" s="699"/>
      <c r="T3101" s="1052"/>
      <c r="U3101" s="1053" t="s">
        <v>3879</v>
      </c>
      <c r="V3101" s="1054">
        <f>2*3*0.55*0.15*0.0375</f>
        <v>1.856E-2</v>
      </c>
      <c r="W3101" s="1055" t="s">
        <v>1361</v>
      </c>
      <c r="X3101" s="1041"/>
      <c r="AE3101" s="699" t="s">
        <v>3702</v>
      </c>
      <c r="AP3101" t="s">
        <v>3702</v>
      </c>
    </row>
    <row r="3102" spans="6:45" ht="36" customHeight="1">
      <c r="F3102" s="1010">
        <v>2</v>
      </c>
      <c r="G3102" s="1009" t="s">
        <v>877</v>
      </c>
      <c r="H3102" s="729" t="s">
        <v>5083</v>
      </c>
      <c r="I3102" s="1056">
        <v>52.8</v>
      </c>
      <c r="J3102" s="729" t="s">
        <v>877</v>
      </c>
      <c r="K3102" s="1010">
        <f t="shared" si="293"/>
        <v>105.6</v>
      </c>
      <c r="S3102" s="699"/>
      <c r="T3102" s="1052"/>
      <c r="U3102" s="1053" t="s">
        <v>987</v>
      </c>
      <c r="V3102" s="1053" t="s">
        <v>987</v>
      </c>
      <c r="W3102" s="1055"/>
      <c r="X3102" s="1057" t="s">
        <v>987</v>
      </c>
      <c r="AC3102" s="699">
        <v>0.1</v>
      </c>
      <c r="AD3102" s="699" t="s">
        <v>1452</v>
      </c>
      <c r="AE3102" s="699" t="s">
        <v>659</v>
      </c>
      <c r="AF3102" s="699">
        <f>AE15</f>
        <v>760</v>
      </c>
      <c r="AG3102" s="699" t="s">
        <v>1418</v>
      </c>
      <c r="AH3102" s="699">
        <f>AC3102*AF3102</f>
        <v>76</v>
      </c>
      <c r="AM3102" s="699">
        <v>0.1</v>
      </c>
      <c r="AN3102" t="s">
        <v>1452</v>
      </c>
      <c r="AP3102" t="s">
        <v>659</v>
      </c>
      <c r="AQ3102">
        <f>AF3102</f>
        <v>760</v>
      </c>
      <c r="AR3102" t="s">
        <v>1418</v>
      </c>
      <c r="AS3102">
        <f>AQ3102*AM3102</f>
        <v>76</v>
      </c>
    </row>
    <row r="3103" spans="6:45" ht="24.75" customHeight="1">
      <c r="F3103" s="1010">
        <v>6</v>
      </c>
      <c r="G3103" s="1009" t="s">
        <v>877</v>
      </c>
      <c r="H3103" s="729" t="s">
        <v>1363</v>
      </c>
      <c r="I3103" s="1010">
        <f t="shared" si="294"/>
        <v>45.7</v>
      </c>
      <c r="J3103" s="729" t="s">
        <v>877</v>
      </c>
      <c r="K3103" s="1010">
        <f t="shared" si="293"/>
        <v>274.2</v>
      </c>
      <c r="S3103" s="699"/>
      <c r="T3103" s="1052"/>
      <c r="U3103" s="1041"/>
      <c r="V3103" s="1041"/>
      <c r="W3103" s="1053" t="s">
        <v>987</v>
      </c>
      <c r="X3103" s="1053" t="s">
        <v>987</v>
      </c>
      <c r="AC3103" s="699">
        <v>0.1</v>
      </c>
      <c r="AD3103" s="699" t="s">
        <v>3703</v>
      </c>
      <c r="AE3103" s="699" t="s">
        <v>348</v>
      </c>
      <c r="AF3103" s="699">
        <f>AE9</f>
        <v>562</v>
      </c>
      <c r="AG3103" s="699" t="s">
        <v>1418</v>
      </c>
      <c r="AH3103" s="699">
        <f>AC3103*AF3103</f>
        <v>56.2</v>
      </c>
      <c r="AM3103" s="699">
        <v>0.1</v>
      </c>
      <c r="AN3103" t="s">
        <v>3703</v>
      </c>
      <c r="AP3103" t="s">
        <v>348</v>
      </c>
      <c r="AQ3103">
        <f>AF3103</f>
        <v>562</v>
      </c>
      <c r="AR3103" t="s">
        <v>1418</v>
      </c>
      <c r="AS3103">
        <f>AQ3103*AM3103</f>
        <v>56.2</v>
      </c>
    </row>
    <row r="3104" spans="6:45" ht="29.25" customHeight="1">
      <c r="F3104" s="1010">
        <v>2</v>
      </c>
      <c r="G3104" s="1009" t="s">
        <v>877</v>
      </c>
      <c r="H3104" s="729" t="s">
        <v>1410</v>
      </c>
      <c r="I3104" s="1010">
        <f t="shared" si="294"/>
        <v>56.4</v>
      </c>
      <c r="J3104" s="729" t="s">
        <v>877</v>
      </c>
      <c r="K3104" s="1010">
        <f t="shared" si="293"/>
        <v>112.8</v>
      </c>
      <c r="S3104" s="699"/>
      <c r="T3104" s="1052"/>
      <c r="U3104" s="1053" t="s">
        <v>2471</v>
      </c>
      <c r="V3104" s="1041">
        <f>2*0.625*0.425</f>
        <v>0.53</v>
      </c>
      <c r="W3104" s="1057" t="s">
        <v>987</v>
      </c>
      <c r="X3104" s="1057" t="s">
        <v>987</v>
      </c>
      <c r="AC3104" s="699">
        <v>10</v>
      </c>
      <c r="AD3104" s="699" t="s">
        <v>3704</v>
      </c>
      <c r="AE3104" s="699" t="s">
        <v>5164</v>
      </c>
      <c r="AF3104" s="744">
        <v>18.3</v>
      </c>
      <c r="AG3104" s="699" t="s">
        <v>3705</v>
      </c>
      <c r="AH3104" s="699">
        <f>(AC3104*AF3104)/100</f>
        <v>1.83</v>
      </c>
      <c r="AM3104" s="699">
        <v>10</v>
      </c>
      <c r="AN3104" t="s">
        <v>3704</v>
      </c>
      <c r="AP3104" t="s">
        <v>4461</v>
      </c>
      <c r="AQ3104" s="272">
        <f>AF3104</f>
        <v>18.3</v>
      </c>
      <c r="AR3104" t="s">
        <v>3705</v>
      </c>
      <c r="AS3104">
        <f>(AQ3104*AM3104)/100</f>
        <v>1.83</v>
      </c>
    </row>
    <row r="3105" spans="6:47" ht="24" customHeight="1">
      <c r="F3105" s="1010">
        <v>1</v>
      </c>
      <c r="G3105" s="1009" t="s">
        <v>877</v>
      </c>
      <c r="H3105" s="729" t="s">
        <v>1437</v>
      </c>
      <c r="I3105" s="1058">
        <f t="shared" si="294"/>
        <v>63.2</v>
      </c>
      <c r="J3105" s="729" t="s">
        <v>877</v>
      </c>
      <c r="K3105" s="1010">
        <f t="shared" si="293"/>
        <v>63.2</v>
      </c>
      <c r="S3105" s="699"/>
      <c r="T3105" s="1052"/>
      <c r="U3105" s="1053" t="s">
        <v>2472</v>
      </c>
      <c r="V3105" s="1041">
        <f>2*0.425*1.025</f>
        <v>0.87</v>
      </c>
      <c r="W3105" s="1055"/>
      <c r="X3105" s="1057">
        <v>1.26</v>
      </c>
      <c r="AC3105" s="699">
        <v>0.25</v>
      </c>
      <c r="AD3105" s="699" t="s">
        <v>1452</v>
      </c>
      <c r="AE3105" s="699" t="s">
        <v>5165</v>
      </c>
      <c r="AF3105" s="744">
        <v>3.57</v>
      </c>
      <c r="AG3105" s="699" t="s">
        <v>1418</v>
      </c>
      <c r="AH3105" s="699">
        <v>1</v>
      </c>
      <c r="AM3105" s="699">
        <v>0.25</v>
      </c>
      <c r="AN3105" t="s">
        <v>1452</v>
      </c>
      <c r="AP3105" t="s">
        <v>4462</v>
      </c>
      <c r="AQ3105" s="272">
        <f>AF3105</f>
        <v>3.57</v>
      </c>
      <c r="AR3105" t="s">
        <v>1418</v>
      </c>
      <c r="AS3105">
        <f>AQ3105*AM3105</f>
        <v>0.89</v>
      </c>
      <c r="AU3105">
        <f>3.09/0.25</f>
        <v>12.36</v>
      </c>
    </row>
    <row r="3106" spans="6:47" ht="27.75" customHeight="1">
      <c r="F3106" s="1010">
        <v>6.55</v>
      </c>
      <c r="G3106" s="1009" t="s">
        <v>615</v>
      </c>
      <c r="H3106" s="729" t="s">
        <v>1365</v>
      </c>
      <c r="I3106" s="1010">
        <f>K1537</f>
        <v>212.24</v>
      </c>
      <c r="J3106" s="729" t="s">
        <v>615</v>
      </c>
      <c r="K3106" s="1010">
        <f>(F3106*I3106)</f>
        <v>1390.17</v>
      </c>
      <c r="S3106" s="699"/>
      <c r="T3106" s="1052"/>
      <c r="U3106" s="1041"/>
      <c r="V3106" s="1059">
        <f>SUM(V3104:V3105)</f>
        <v>1.4</v>
      </c>
      <c r="W3106" s="1055" t="s">
        <v>236</v>
      </c>
      <c r="X3106" s="1053" t="s">
        <v>987</v>
      </c>
      <c r="AF3106" s="699" t="s">
        <v>3706</v>
      </c>
      <c r="AH3106" s="699">
        <f>SUM(AH3102:AH3105)</f>
        <v>135.03</v>
      </c>
      <c r="AQ3106" t="s">
        <v>3706</v>
      </c>
      <c r="AS3106">
        <f>SUM(AS3102:AS3105)</f>
        <v>134.91999999999999</v>
      </c>
    </row>
    <row r="3107" spans="6:47" ht="24" customHeight="1">
      <c r="F3107" s="1002">
        <v>50</v>
      </c>
      <c r="G3107" s="1001" t="s">
        <v>1452</v>
      </c>
      <c r="H3107" s="729" t="s">
        <v>1355</v>
      </c>
      <c r="I3107" s="1060">
        <f>I958</f>
        <v>2.39</v>
      </c>
      <c r="J3107" s="1003"/>
      <c r="K3107" s="1010">
        <f>(F3107*I3107)</f>
        <v>119.5</v>
      </c>
      <c r="S3107" s="699"/>
      <c r="T3107" s="700"/>
      <c r="W3107" s="702"/>
      <c r="X3107" s="825" t="s">
        <v>987</v>
      </c>
    </row>
    <row r="3108" spans="6:47" ht="26.25" customHeight="1">
      <c r="F3108" s="1002"/>
      <c r="G3108" s="1001"/>
      <c r="H3108" s="1015"/>
      <c r="I3108" s="1015"/>
      <c r="J3108" s="1016"/>
      <c r="K3108" s="1017" t="s">
        <v>1609</v>
      </c>
      <c r="S3108" s="699"/>
      <c r="T3108" s="700"/>
      <c r="W3108" s="702"/>
      <c r="X3108" s="697" t="s">
        <v>987</v>
      </c>
      <c r="AE3108" s="1061" t="s">
        <v>464</v>
      </c>
      <c r="AF3108" s="699" t="s">
        <v>3707</v>
      </c>
      <c r="AG3108" s="1061" t="s">
        <v>3707</v>
      </c>
      <c r="AH3108" s="1061" t="s">
        <v>3708</v>
      </c>
      <c r="AP3108" s="275" t="s">
        <v>464</v>
      </c>
      <c r="AQ3108" s="25" t="s">
        <v>3707</v>
      </c>
      <c r="AR3108" s="324" t="s">
        <v>3708</v>
      </c>
    </row>
    <row r="3109" spans="6:47" ht="24" customHeight="1">
      <c r="F3109" s="1002"/>
      <c r="G3109" s="1001"/>
      <c r="H3109" s="1018" t="s">
        <v>1435</v>
      </c>
      <c r="I3109" s="1015"/>
      <c r="J3109" s="1016"/>
      <c r="K3109" s="1019">
        <f>SUM(K3097:K3107)</f>
        <v>10140.73</v>
      </c>
      <c r="S3109" s="698" t="s">
        <v>1495</v>
      </c>
      <c r="T3109" s="708"/>
      <c r="U3109" s="701" t="s">
        <v>3607</v>
      </c>
      <c r="W3109" s="702"/>
      <c r="X3109" s="697" t="s">
        <v>987</v>
      </c>
      <c r="AE3109" s="1061"/>
      <c r="AF3109" s="780">
        <v>331</v>
      </c>
      <c r="AG3109" s="780">
        <v>331</v>
      </c>
      <c r="AH3109" s="780">
        <v>283</v>
      </c>
      <c r="AP3109" s="275"/>
      <c r="AR3109" s="275"/>
      <c r="AS3109" s="275"/>
    </row>
    <row r="3110" spans="6:47" ht="24" customHeight="1">
      <c r="F3110" s="1002"/>
      <c r="G3110" s="1009" t="s">
        <v>987</v>
      </c>
      <c r="H3110" s="1015"/>
      <c r="I3110" s="1015"/>
      <c r="J3110" s="1016"/>
      <c r="K3110" s="1017" t="s">
        <v>1609</v>
      </c>
      <c r="S3110" s="699"/>
      <c r="T3110" s="700"/>
      <c r="U3110" s="705" t="s">
        <v>1609</v>
      </c>
      <c r="W3110" s="702"/>
      <c r="AE3110" s="1061" t="s">
        <v>3709</v>
      </c>
      <c r="AF3110" s="699">
        <f>AH3106</f>
        <v>135.03</v>
      </c>
      <c r="AG3110" s="1061">
        <f>AH3106</f>
        <v>135.03</v>
      </c>
      <c r="AH3110" s="1061">
        <f>AH3106</f>
        <v>135.03</v>
      </c>
      <c r="AP3110" s="275" t="s">
        <v>3709</v>
      </c>
      <c r="AQ3110" s="435">
        <v>96</v>
      </c>
      <c r="AR3110" s="435">
        <v>85</v>
      </c>
      <c r="AS3110" s="435">
        <v>85</v>
      </c>
    </row>
    <row r="3111" spans="6:47" ht="21" customHeight="1">
      <c r="F3111" s="1002"/>
      <c r="G3111" s="1001"/>
      <c r="H3111" s="1018" t="s">
        <v>556</v>
      </c>
      <c r="I3111" s="1015"/>
      <c r="J3111" s="1016"/>
      <c r="K3111" s="1019">
        <f>K3109/2.52</f>
        <v>4024.1</v>
      </c>
      <c r="S3111" s="775">
        <v>7.0699999999999999E-2</v>
      </c>
      <c r="T3111" s="708" t="s">
        <v>878</v>
      </c>
      <c r="U3111" s="697" t="s">
        <v>3602</v>
      </c>
      <c r="V3111" s="710">
        <f>P3151</f>
        <v>99400</v>
      </c>
      <c r="W3111" s="697" t="s">
        <v>878</v>
      </c>
      <c r="X3111" s="710">
        <f>V3111*S3111</f>
        <v>7027.58</v>
      </c>
      <c r="AE3111" s="1061" t="s">
        <v>1847</v>
      </c>
      <c r="AF3111" s="699">
        <f>SUM(AF3109:AF3110)</f>
        <v>466.03</v>
      </c>
      <c r="AG3111" s="1061">
        <f>SUM(AG3109:AG3110)</f>
        <v>466.03</v>
      </c>
      <c r="AH3111" s="1061">
        <f>SUM(AH3109:AH3110)</f>
        <v>418.03</v>
      </c>
      <c r="AP3111" s="275" t="s">
        <v>1847</v>
      </c>
      <c r="AQ3111">
        <f>AS3106</f>
        <v>134.91999999999999</v>
      </c>
      <c r="AR3111" s="275">
        <f>AS3106</f>
        <v>134.91999999999999</v>
      </c>
      <c r="AS3111" s="275"/>
    </row>
    <row r="3112" spans="6:47" ht="23.25" customHeight="1">
      <c r="F3112" s="1002"/>
      <c r="G3112" s="1001"/>
      <c r="H3112" s="1015"/>
      <c r="I3112" s="1015"/>
      <c r="J3112" s="1016"/>
      <c r="K3112" s="1017" t="s">
        <v>2080</v>
      </c>
      <c r="S3112" s="775">
        <v>3.6659999999999999</v>
      </c>
      <c r="T3112" s="708" t="s">
        <v>615</v>
      </c>
      <c r="U3112" s="697" t="s">
        <v>3603</v>
      </c>
      <c r="V3112" s="710">
        <f>I1173</f>
        <v>208.8</v>
      </c>
      <c r="W3112" s="697" t="s">
        <v>878</v>
      </c>
      <c r="X3112" s="710">
        <f t="shared" ref="X3112:X3119" si="295">V3112*S3112</f>
        <v>765.46</v>
      </c>
      <c r="AE3112" s="1061"/>
      <c r="AF3112" s="699">
        <f>ROUNDUP(AF3111,0)</f>
        <v>467</v>
      </c>
      <c r="AG3112" s="699">
        <f>ROUNDUP(AG3111,0)</f>
        <v>467</v>
      </c>
      <c r="AH3112" s="699">
        <f>ROUNDUP(AH3111,0)</f>
        <v>419</v>
      </c>
      <c r="AP3112" s="275"/>
      <c r="AQ3112" s="25">
        <f>SUM(AQ3109:AQ3111)</f>
        <v>230.92</v>
      </c>
      <c r="AR3112" s="25">
        <f>SUM(AR3109:AR3111)</f>
        <v>219.92</v>
      </c>
    </row>
    <row r="3113" spans="6:47" ht="39" customHeight="1">
      <c r="S3113" s="776">
        <v>5.16</v>
      </c>
      <c r="T3113" s="708" t="s">
        <v>615</v>
      </c>
      <c r="U3113" s="697" t="s">
        <v>2118</v>
      </c>
      <c r="V3113" s="710">
        <f>AE30</f>
        <v>1239</v>
      </c>
      <c r="W3113" s="697" t="s">
        <v>615</v>
      </c>
      <c r="X3113" s="710">
        <f t="shared" si="295"/>
        <v>6393.24</v>
      </c>
      <c r="AE3113" s="1061"/>
      <c r="AF3113" s="1061"/>
      <c r="AG3113" s="1061"/>
      <c r="AH3113" s="1061"/>
      <c r="AQ3113">
        <f>ROUNDUP(AQ3112,0)</f>
        <v>231</v>
      </c>
      <c r="AR3113">
        <f>ROUNDUP(AR3112,0)</f>
        <v>220</v>
      </c>
    </row>
    <row r="3114" spans="6:47" ht="39" customHeight="1">
      <c r="S3114" s="776">
        <v>22.66</v>
      </c>
      <c r="T3114" s="708" t="s">
        <v>3608</v>
      </c>
      <c r="U3114" s="697" t="s">
        <v>3604</v>
      </c>
      <c r="V3114" s="737">
        <v>48.7</v>
      </c>
      <c r="W3114" s="697" t="s">
        <v>615</v>
      </c>
      <c r="X3114" s="710">
        <f t="shared" si="295"/>
        <v>1103.54</v>
      </c>
    </row>
    <row r="3115" spans="6:47" ht="39" customHeight="1">
      <c r="H3115" s="758" t="s">
        <v>1250</v>
      </c>
      <c r="N3115" s="700"/>
      <c r="O3115" s="758" t="s">
        <v>3738</v>
      </c>
      <c r="Q3115" s="702"/>
      <c r="S3115" s="710">
        <v>15</v>
      </c>
      <c r="T3115" s="708" t="s">
        <v>877</v>
      </c>
      <c r="U3115" s="697" t="s">
        <v>1539</v>
      </c>
      <c r="V3115" s="710">
        <f>C276</f>
        <v>83</v>
      </c>
      <c r="W3115" s="697" t="s">
        <v>877</v>
      </c>
      <c r="X3115" s="710">
        <f t="shared" si="295"/>
        <v>1245</v>
      </c>
    </row>
    <row r="3116" spans="6:47" ht="39" customHeight="1">
      <c r="F3116" s="699">
        <v>1</v>
      </c>
      <c r="H3116" s="699" t="s">
        <v>454</v>
      </c>
      <c r="I3116" s="1062">
        <v>143.97999999999999</v>
      </c>
      <c r="J3116" s="702" t="s">
        <v>1418</v>
      </c>
      <c r="K3116" s="699">
        <f>I3116</f>
        <v>143.97999999999999</v>
      </c>
      <c r="M3116" s="699">
        <v>1</v>
      </c>
      <c r="N3116" s="700"/>
      <c r="O3116" s="699" t="s">
        <v>4764</v>
      </c>
      <c r="P3116" s="744">
        <v>16.399999999999999</v>
      </c>
      <c r="Q3116" s="702" t="s">
        <v>1418</v>
      </c>
      <c r="R3116" s="699">
        <f>P3116</f>
        <v>16.399999999999999</v>
      </c>
      <c r="S3116" s="710">
        <v>10</v>
      </c>
      <c r="T3116" s="708" t="s">
        <v>877</v>
      </c>
      <c r="U3116" s="697" t="s">
        <v>3605</v>
      </c>
      <c r="V3116" s="718">
        <v>68.5</v>
      </c>
      <c r="W3116" s="697" t="s">
        <v>877</v>
      </c>
      <c r="X3116" s="710">
        <f t="shared" si="295"/>
        <v>685</v>
      </c>
    </row>
    <row r="3117" spans="6:47" ht="39" customHeight="1">
      <c r="F3117" s="699">
        <v>1</v>
      </c>
      <c r="H3117" s="699" t="s">
        <v>1251</v>
      </c>
      <c r="I3117" s="1062">
        <v>49.2</v>
      </c>
      <c r="J3117" s="702" t="s">
        <v>1418</v>
      </c>
      <c r="K3117" s="699">
        <f>I3117</f>
        <v>49.2</v>
      </c>
      <c r="M3117" s="699">
        <v>1</v>
      </c>
      <c r="N3117" s="700"/>
      <c r="O3117" s="699" t="s">
        <v>4763</v>
      </c>
      <c r="P3117" s="744">
        <v>8.1</v>
      </c>
      <c r="Q3117" s="702" t="s">
        <v>1418</v>
      </c>
      <c r="R3117" s="699">
        <f>P3117</f>
        <v>8.1</v>
      </c>
      <c r="S3117" s="710">
        <v>5</v>
      </c>
      <c r="T3117" s="708" t="s">
        <v>877</v>
      </c>
      <c r="U3117" s="697" t="s">
        <v>3606</v>
      </c>
      <c r="V3117" s="710">
        <f>P3158</f>
        <v>53.4</v>
      </c>
      <c r="W3117" s="697" t="s">
        <v>877</v>
      </c>
      <c r="X3117" s="710">
        <f t="shared" si="295"/>
        <v>267</v>
      </c>
    </row>
    <row r="3118" spans="6:47" ht="39" customHeight="1">
      <c r="F3118" s="703">
        <v>0.125</v>
      </c>
      <c r="H3118" s="699" t="s">
        <v>1252</v>
      </c>
      <c r="I3118" s="699">
        <f>C13</f>
        <v>747</v>
      </c>
      <c r="J3118" s="702" t="s">
        <v>1418</v>
      </c>
      <c r="K3118" s="699">
        <f>F3118*I3118</f>
        <v>93.38</v>
      </c>
      <c r="M3118" s="703">
        <v>0.125</v>
      </c>
      <c r="N3118" s="700"/>
      <c r="O3118" s="699" t="s">
        <v>1252</v>
      </c>
      <c r="P3118" s="699">
        <f>I3118</f>
        <v>747</v>
      </c>
      <c r="Q3118" s="702" t="s">
        <v>1418</v>
      </c>
      <c r="R3118" s="699">
        <f>M3118*P3118</f>
        <v>93.38</v>
      </c>
      <c r="S3118" s="710">
        <v>5</v>
      </c>
      <c r="T3118" s="708" t="s">
        <v>877</v>
      </c>
      <c r="U3118" s="697" t="s">
        <v>2005</v>
      </c>
      <c r="V3118" s="710">
        <f>P3157</f>
        <v>7.3</v>
      </c>
      <c r="W3118" s="697" t="s">
        <v>877</v>
      </c>
      <c r="X3118" s="710">
        <f t="shared" si="295"/>
        <v>36.5</v>
      </c>
    </row>
    <row r="3119" spans="6:47" ht="39" customHeight="1">
      <c r="F3119" s="703"/>
      <c r="H3119" s="699" t="s">
        <v>2296</v>
      </c>
      <c r="K3119" s="699">
        <v>2.11</v>
      </c>
      <c r="M3119" s="703"/>
      <c r="N3119" s="700"/>
      <c r="O3119" s="699" t="s">
        <v>2296</v>
      </c>
      <c r="Q3119" s="702"/>
      <c r="R3119" s="699">
        <v>4.37</v>
      </c>
      <c r="S3119" s="710">
        <v>10</v>
      </c>
      <c r="T3119" s="708" t="s">
        <v>877</v>
      </c>
      <c r="U3119" s="697" t="s">
        <v>1356</v>
      </c>
      <c r="V3119" s="710">
        <f>I3107</f>
        <v>2.39</v>
      </c>
      <c r="W3119" s="697" t="s">
        <v>877</v>
      </c>
      <c r="X3119" s="710">
        <f t="shared" si="295"/>
        <v>23.9</v>
      </c>
    </row>
    <row r="3120" spans="6:47" ht="24" customHeight="1">
      <c r="H3120" s="877" t="s">
        <v>518</v>
      </c>
      <c r="I3120" s="758"/>
      <c r="J3120" s="759"/>
      <c r="K3120" s="758">
        <f>SUM(K3116:K3119)</f>
        <v>288.67</v>
      </c>
      <c r="N3120" s="700"/>
      <c r="O3120" s="699" t="s">
        <v>2296</v>
      </c>
      <c r="P3120" s="758"/>
      <c r="Q3120" s="759"/>
      <c r="R3120" s="758">
        <f>SUM(R3116:R3119)</f>
        <v>122.25</v>
      </c>
      <c r="S3120" s="710"/>
      <c r="T3120" s="708">
        <f>R3120-90</f>
        <v>32.25</v>
      </c>
      <c r="U3120" s="697"/>
      <c r="V3120" s="710"/>
      <c r="W3120" s="697" t="s">
        <v>877</v>
      </c>
      <c r="X3120" s="705" t="s">
        <v>1609</v>
      </c>
    </row>
    <row r="3121" spans="6:24" ht="24" customHeight="1">
      <c r="R3121" s="699">
        <f>R3120-87</f>
        <v>35.25</v>
      </c>
      <c r="S3121" s="710"/>
      <c r="T3121" s="700"/>
      <c r="U3121" s="698" t="s">
        <v>3609</v>
      </c>
      <c r="W3121" s="702"/>
      <c r="X3121" s="710">
        <f>SUM(X3111:X3119)</f>
        <v>17547.22</v>
      </c>
    </row>
    <row r="3122" spans="6:24" ht="24" customHeight="1">
      <c r="S3122" s="699"/>
      <c r="T3122" s="700"/>
      <c r="W3122" s="702"/>
      <c r="X3122" s="705" t="s">
        <v>1609</v>
      </c>
    </row>
    <row r="3123" spans="6:24" ht="24" customHeight="1">
      <c r="F3123" s="698" t="s">
        <v>463</v>
      </c>
      <c r="G3123" s="708" t="s">
        <v>2276</v>
      </c>
      <c r="H3123" s="697" t="s">
        <v>2202</v>
      </c>
      <c r="S3123" s="699"/>
      <c r="T3123" s="708" t="s">
        <v>987</v>
      </c>
      <c r="U3123" s="711" t="s">
        <v>556</v>
      </c>
      <c r="W3123" s="702"/>
      <c r="X3123" s="709">
        <f>X3121/S3113</f>
        <v>3400.62</v>
      </c>
    </row>
    <row r="3124" spans="6:24" ht="24" customHeight="1">
      <c r="H3124" s="697" t="s">
        <v>2204</v>
      </c>
      <c r="S3124" s="699"/>
      <c r="T3124" s="700"/>
      <c r="W3124" s="702"/>
      <c r="X3124" s="705" t="s">
        <v>2080</v>
      </c>
    </row>
    <row r="3125" spans="6:24" ht="24" customHeight="1">
      <c r="H3125" s="697" t="s">
        <v>2205</v>
      </c>
      <c r="S3125" s="699"/>
      <c r="T3125" s="700"/>
    </row>
    <row r="3126" spans="6:24" ht="24" customHeight="1">
      <c r="H3126" s="697" t="s">
        <v>2206</v>
      </c>
      <c r="S3126" s="698"/>
      <c r="T3126" s="708"/>
      <c r="U3126" s="697" t="s">
        <v>3610</v>
      </c>
      <c r="W3126" s="702"/>
      <c r="X3126" s="697" t="s">
        <v>987</v>
      </c>
    </row>
    <row r="3127" spans="6:24" ht="24" customHeight="1">
      <c r="H3127" s="697" t="s">
        <v>2207</v>
      </c>
      <c r="S3127" s="699"/>
      <c r="T3127" s="700"/>
      <c r="U3127" s="705" t="s">
        <v>1609</v>
      </c>
      <c r="W3127" s="702"/>
    </row>
    <row r="3128" spans="6:24" ht="24" customHeight="1">
      <c r="H3128" s="697" t="s">
        <v>2208</v>
      </c>
      <c r="S3128" s="775">
        <v>2.7400000000000001E-2</v>
      </c>
      <c r="T3128" s="708" t="s">
        <v>878</v>
      </c>
      <c r="U3128" s="697" t="s">
        <v>3602</v>
      </c>
      <c r="V3128" s="710">
        <f>V3111</f>
        <v>99400</v>
      </c>
      <c r="W3128" s="697" t="s">
        <v>878</v>
      </c>
      <c r="X3128" s="710">
        <f>V3128*S3128</f>
        <v>2723.56</v>
      </c>
    </row>
    <row r="3129" spans="6:24" ht="24" customHeight="1">
      <c r="H3129" s="705" t="s">
        <v>1609</v>
      </c>
      <c r="S3129" s="775">
        <v>1.1599999999999999</v>
      </c>
      <c r="T3129" s="708" t="s">
        <v>615</v>
      </c>
      <c r="U3129" s="697" t="s">
        <v>3603</v>
      </c>
      <c r="V3129" s="710">
        <f t="shared" ref="V3129:V3136" si="296">V3112</f>
        <v>208.8</v>
      </c>
      <c r="W3129" s="697" t="s">
        <v>878</v>
      </c>
      <c r="X3129" s="710">
        <f t="shared" ref="X3129:X3136" si="297">V3129*S3129</f>
        <v>242.21</v>
      </c>
    </row>
    <row r="3130" spans="6:24" ht="24" customHeight="1">
      <c r="H3130" s="697" t="s">
        <v>1825</v>
      </c>
      <c r="M3130" s="698" t="s">
        <v>463</v>
      </c>
      <c r="N3130" s="708" t="s">
        <v>2276</v>
      </c>
      <c r="O3130" s="697" t="s">
        <v>2202</v>
      </c>
      <c r="Q3130" s="702"/>
      <c r="S3130" s="776">
        <v>1.74</v>
      </c>
      <c r="T3130" s="708" t="s">
        <v>615</v>
      </c>
      <c r="U3130" s="697" t="s">
        <v>2118</v>
      </c>
      <c r="V3130" s="710">
        <f t="shared" si="296"/>
        <v>1239</v>
      </c>
      <c r="W3130" s="697" t="s">
        <v>615</v>
      </c>
      <c r="X3130" s="710">
        <f t="shared" si="297"/>
        <v>2155.86</v>
      </c>
    </row>
    <row r="3131" spans="6:24" ht="24" customHeight="1">
      <c r="H3131" s="697" t="s">
        <v>2209</v>
      </c>
      <c r="N3131" s="700"/>
      <c r="O3131" s="697" t="s">
        <v>2204</v>
      </c>
      <c r="Q3131" s="702"/>
      <c r="S3131" s="776">
        <v>8.74</v>
      </c>
      <c r="T3131" s="708" t="s">
        <v>3608</v>
      </c>
      <c r="U3131" s="697" t="s">
        <v>3604</v>
      </c>
      <c r="V3131" s="710">
        <f t="shared" si="296"/>
        <v>48.7</v>
      </c>
      <c r="W3131" s="697" t="s">
        <v>615</v>
      </c>
      <c r="X3131" s="710">
        <f t="shared" si="297"/>
        <v>425.64</v>
      </c>
    </row>
    <row r="3132" spans="6:24" ht="24" customHeight="1">
      <c r="J3132" s="697" t="s">
        <v>1609</v>
      </c>
      <c r="N3132" s="700"/>
      <c r="O3132" s="697" t="s">
        <v>2205</v>
      </c>
      <c r="Q3132" s="702"/>
      <c r="S3132" s="710">
        <v>6</v>
      </c>
      <c r="T3132" s="708" t="s">
        <v>877</v>
      </c>
      <c r="U3132" s="697" t="s">
        <v>1539</v>
      </c>
      <c r="V3132" s="710">
        <f t="shared" si="296"/>
        <v>83</v>
      </c>
      <c r="W3132" s="697" t="s">
        <v>877</v>
      </c>
      <c r="X3132" s="710">
        <f t="shared" si="297"/>
        <v>498</v>
      </c>
    </row>
    <row r="3133" spans="6:24" ht="24" customHeight="1">
      <c r="H3133" s="697" t="s">
        <v>1275</v>
      </c>
      <c r="N3133" s="700"/>
      <c r="O3133" s="697" t="s">
        <v>2206</v>
      </c>
      <c r="Q3133" s="702"/>
      <c r="S3133" s="710">
        <v>4</v>
      </c>
      <c r="T3133" s="708" t="s">
        <v>877</v>
      </c>
      <c r="U3133" s="697" t="s">
        <v>3605</v>
      </c>
      <c r="V3133" s="710">
        <f t="shared" si="296"/>
        <v>68.5</v>
      </c>
      <c r="W3133" s="697" t="s">
        <v>877</v>
      </c>
      <c r="X3133" s="710">
        <f t="shared" si="297"/>
        <v>274</v>
      </c>
    </row>
    <row r="3134" spans="6:24" ht="24" customHeight="1">
      <c r="H3134" s="697" t="s">
        <v>987</v>
      </c>
      <c r="I3134" s="697" t="s">
        <v>987</v>
      </c>
      <c r="K3134" s="825" t="s">
        <v>987</v>
      </c>
      <c r="N3134" s="700"/>
      <c r="O3134" s="697" t="s">
        <v>2207</v>
      </c>
      <c r="Q3134" s="702"/>
      <c r="S3134" s="710">
        <v>2</v>
      </c>
      <c r="T3134" s="708" t="s">
        <v>877</v>
      </c>
      <c r="U3134" s="697" t="s">
        <v>3606</v>
      </c>
      <c r="V3134" s="710">
        <f t="shared" si="296"/>
        <v>53.4</v>
      </c>
      <c r="W3134" s="697" t="s">
        <v>877</v>
      </c>
      <c r="X3134" s="710">
        <f t="shared" si="297"/>
        <v>106.8</v>
      </c>
    </row>
    <row r="3135" spans="6:24" ht="24" customHeight="1">
      <c r="J3135" s="697" t="s">
        <v>987</v>
      </c>
      <c r="K3135" s="697" t="s">
        <v>987</v>
      </c>
      <c r="N3135" s="700"/>
      <c r="O3135" s="697" t="s">
        <v>2208</v>
      </c>
      <c r="Q3135" s="702"/>
      <c r="S3135" s="710">
        <v>2</v>
      </c>
      <c r="T3135" s="708" t="s">
        <v>877</v>
      </c>
      <c r="U3135" s="697" t="s">
        <v>2005</v>
      </c>
      <c r="V3135" s="710">
        <f t="shared" si="296"/>
        <v>7.3</v>
      </c>
      <c r="W3135" s="697" t="s">
        <v>877</v>
      </c>
      <c r="X3135" s="710">
        <f t="shared" si="297"/>
        <v>14.6</v>
      </c>
    </row>
    <row r="3136" spans="6:24" ht="24" customHeight="1">
      <c r="H3136" s="697" t="s">
        <v>3090</v>
      </c>
      <c r="J3136" s="825" t="s">
        <v>987</v>
      </c>
      <c r="K3136" s="825" t="s">
        <v>987</v>
      </c>
      <c r="N3136" s="700"/>
      <c r="O3136" s="707" t="s">
        <v>2469</v>
      </c>
      <c r="Q3136" s="702"/>
      <c r="S3136" s="710">
        <v>10</v>
      </c>
      <c r="T3136" s="708" t="s">
        <v>877</v>
      </c>
      <c r="U3136" s="697" t="s">
        <v>1356</v>
      </c>
      <c r="V3136" s="710">
        <f t="shared" si="296"/>
        <v>2.39</v>
      </c>
      <c r="W3136" s="697" t="s">
        <v>877</v>
      </c>
      <c r="X3136" s="710">
        <f t="shared" si="297"/>
        <v>23.9</v>
      </c>
    </row>
    <row r="3137" spans="6:24" ht="24" customHeight="1">
      <c r="H3137" s="697" t="s">
        <v>3091</v>
      </c>
      <c r="K3137" s="825">
        <v>1.26</v>
      </c>
      <c r="N3137" s="700"/>
      <c r="O3137" s="697" t="s">
        <v>2470</v>
      </c>
      <c r="P3137" s="796">
        <f>1.1*2.05</f>
        <v>2.2549999999999999</v>
      </c>
      <c r="Q3137" s="702" t="s">
        <v>236</v>
      </c>
      <c r="S3137" s="710"/>
      <c r="T3137" s="708"/>
      <c r="U3137" s="697"/>
      <c r="V3137" s="710"/>
      <c r="W3137" s="697" t="s">
        <v>877</v>
      </c>
      <c r="X3137" s="705" t="s">
        <v>1609</v>
      </c>
    </row>
    <row r="3138" spans="6:24" ht="24" customHeight="1">
      <c r="K3138" s="697" t="s">
        <v>987</v>
      </c>
      <c r="N3138" s="700"/>
      <c r="O3138" s="697" t="s">
        <v>3837</v>
      </c>
      <c r="P3138" s="838">
        <f>2*2.05*0.075*0.0375</f>
        <v>1.153E-2</v>
      </c>
      <c r="Q3138" s="702" t="s">
        <v>1361</v>
      </c>
      <c r="S3138" s="710"/>
      <c r="T3138" s="700"/>
      <c r="U3138" s="698" t="s">
        <v>3611</v>
      </c>
      <c r="W3138" s="702"/>
      <c r="X3138" s="710">
        <f>SUM(X3128:X3136)</f>
        <v>6464.57</v>
      </c>
    </row>
    <row r="3139" spans="6:24" ht="24" customHeight="1">
      <c r="K3139" s="825" t="s">
        <v>987</v>
      </c>
      <c r="N3139" s="700"/>
      <c r="Q3139" s="697" t="s">
        <v>1609</v>
      </c>
      <c r="S3139" s="699"/>
      <c r="T3139" s="700"/>
      <c r="W3139" s="702"/>
      <c r="X3139" s="705" t="s">
        <v>1609</v>
      </c>
    </row>
    <row r="3140" spans="6:24" ht="24" customHeight="1">
      <c r="K3140" s="697" t="s">
        <v>987</v>
      </c>
      <c r="N3140" s="700"/>
      <c r="O3140" s="697" t="s">
        <v>3838</v>
      </c>
      <c r="P3140" s="838">
        <f>1*3*1.1*0.15*0.0375</f>
        <v>1.856E-2</v>
      </c>
      <c r="Q3140" s="702" t="s">
        <v>1361</v>
      </c>
      <c r="S3140" s="699"/>
      <c r="T3140" s="708" t="s">
        <v>987</v>
      </c>
      <c r="U3140" s="711" t="s">
        <v>556</v>
      </c>
      <c r="W3140" s="702"/>
      <c r="X3140" s="709">
        <f>X3138/S3130</f>
        <v>3715.27</v>
      </c>
    </row>
    <row r="3141" spans="6:24" ht="24" customHeight="1">
      <c r="F3141" s="698" t="s">
        <v>1495</v>
      </c>
      <c r="G3141" s="708"/>
      <c r="H3141" s="697" t="s">
        <v>1839</v>
      </c>
      <c r="K3141" s="697" t="s">
        <v>987</v>
      </c>
      <c r="N3141" s="700"/>
      <c r="O3141" s="697" t="s">
        <v>987</v>
      </c>
      <c r="P3141" s="697" t="s">
        <v>987</v>
      </c>
      <c r="Q3141" s="702"/>
      <c r="R3141" s="825" t="s">
        <v>987</v>
      </c>
      <c r="S3141" s="699"/>
      <c r="T3141" s="700"/>
      <c r="W3141" s="702"/>
      <c r="X3141" s="705" t="s">
        <v>2080</v>
      </c>
    </row>
    <row r="3142" spans="6:24" ht="24" customHeight="1">
      <c r="H3142" s="705" t="s">
        <v>1609</v>
      </c>
      <c r="N3142" s="700"/>
      <c r="Q3142" s="697" t="s">
        <v>987</v>
      </c>
      <c r="R3142" s="697" t="s">
        <v>987</v>
      </c>
    </row>
    <row r="3143" spans="6:24" ht="24" customHeight="1">
      <c r="F3143" s="775">
        <v>1.153E-2</v>
      </c>
      <c r="G3143" s="708" t="s">
        <v>878</v>
      </c>
      <c r="H3143" s="697" t="s">
        <v>698</v>
      </c>
      <c r="I3143" s="710">
        <f>AC24</f>
        <v>111600</v>
      </c>
      <c r="J3143" s="697" t="s">
        <v>878</v>
      </c>
      <c r="K3143" s="710">
        <f>I3143*F3143</f>
        <v>1286.75</v>
      </c>
      <c r="N3143" s="700"/>
      <c r="O3143" s="697" t="s">
        <v>3839</v>
      </c>
      <c r="P3143" s="699">
        <f>1*0.625*0.975</f>
        <v>0.61</v>
      </c>
      <c r="Q3143" s="825" t="s">
        <v>987</v>
      </c>
      <c r="R3143" s="825" t="s">
        <v>987</v>
      </c>
    </row>
    <row r="3144" spans="6:24" ht="24" customHeight="1">
      <c r="F3144" s="776">
        <v>1.52E-2</v>
      </c>
      <c r="G3144" s="708" t="s">
        <v>878</v>
      </c>
      <c r="H3144" s="697" t="s">
        <v>699</v>
      </c>
      <c r="I3144" s="710">
        <f>AC25</f>
        <v>99400</v>
      </c>
      <c r="J3144" s="697" t="s">
        <v>878</v>
      </c>
      <c r="K3144" s="710">
        <f t="shared" ref="K3144:K3152" si="298">I3144*F3144</f>
        <v>1510.88</v>
      </c>
      <c r="N3144" s="700"/>
      <c r="O3144" s="697" t="s">
        <v>2472</v>
      </c>
      <c r="P3144" s="699">
        <f>1*0.975*1.025</f>
        <v>1</v>
      </c>
      <c r="Q3144" s="702"/>
      <c r="R3144" s="825">
        <v>1.26</v>
      </c>
      <c r="U3144" s="701" t="s">
        <v>4451</v>
      </c>
    </row>
    <row r="3145" spans="6:24" ht="24" customHeight="1">
      <c r="F3145" s="776">
        <f>K3137</f>
        <v>1.26</v>
      </c>
      <c r="G3145" s="708" t="s">
        <v>615</v>
      </c>
      <c r="H3145" s="697" t="s">
        <v>2117</v>
      </c>
      <c r="I3145" s="710">
        <f>C780</f>
        <v>387.4</v>
      </c>
      <c r="J3145" s="697" t="s">
        <v>615</v>
      </c>
      <c r="K3145" s="710">
        <f t="shared" si="298"/>
        <v>488.12</v>
      </c>
      <c r="N3145" s="700"/>
      <c r="P3145" s="758">
        <f>SUM(P3143:P3144)</f>
        <v>1.61</v>
      </c>
      <c r="Q3145" s="702" t="s">
        <v>236</v>
      </c>
      <c r="R3145" s="697" t="s">
        <v>987</v>
      </c>
      <c r="S3145" s="1866" t="s">
        <v>4452</v>
      </c>
      <c r="T3145" s="1866"/>
      <c r="U3145" s="703">
        <f>2*2*0.075*0.0375*1.95</f>
        <v>2.1999999999999999E-2</v>
      </c>
    </row>
    <row r="3146" spans="6:24" ht="24" customHeight="1">
      <c r="F3146" s="776">
        <v>1.845</v>
      </c>
      <c r="G3146" s="708" t="s">
        <v>615</v>
      </c>
      <c r="H3146" s="697" t="s">
        <v>2118</v>
      </c>
      <c r="I3146" s="710">
        <f>D28</f>
        <v>1105</v>
      </c>
      <c r="J3146" s="697" t="s">
        <v>615</v>
      </c>
      <c r="K3146" s="710">
        <f t="shared" si="298"/>
        <v>2038.73</v>
      </c>
      <c r="N3146" s="700"/>
      <c r="Q3146" s="702"/>
      <c r="R3146" s="825" t="s">
        <v>987</v>
      </c>
      <c r="S3146" s="1035" t="s">
        <v>4453</v>
      </c>
      <c r="T3146" s="700"/>
      <c r="U3146" s="838">
        <f>2*2*0.065*0.075*0.375</f>
        <v>7.3099999999999997E-3</v>
      </c>
    </row>
    <row r="3147" spans="6:24" ht="24" customHeight="1">
      <c r="F3147" s="710">
        <v>2</v>
      </c>
      <c r="G3147" s="708" t="s">
        <v>877</v>
      </c>
      <c r="H3147" s="697" t="s">
        <v>2119</v>
      </c>
      <c r="I3147" s="710">
        <f>C281</f>
        <v>60</v>
      </c>
      <c r="J3147" s="697" t="s">
        <v>877</v>
      </c>
      <c r="K3147" s="710">
        <f t="shared" si="298"/>
        <v>120</v>
      </c>
      <c r="N3147" s="700"/>
      <c r="Q3147" s="702"/>
      <c r="R3147" s="697" t="s">
        <v>987</v>
      </c>
      <c r="S3147" s="1035"/>
      <c r="T3147" s="700"/>
      <c r="U3147" s="996">
        <f>SUM(U3145:U3146)</f>
        <v>2.93E-2</v>
      </c>
      <c r="V3147" s="699" t="s">
        <v>4454</v>
      </c>
    </row>
    <row r="3148" spans="6:24" ht="24" customHeight="1">
      <c r="F3148" s="710">
        <v>3</v>
      </c>
      <c r="G3148" s="708" t="s">
        <v>877</v>
      </c>
      <c r="H3148" s="697" t="s">
        <v>1539</v>
      </c>
      <c r="I3148" s="710">
        <f>C276</f>
        <v>83</v>
      </c>
      <c r="J3148" s="697" t="s">
        <v>877</v>
      </c>
      <c r="K3148" s="710">
        <f t="shared" si="298"/>
        <v>249</v>
      </c>
      <c r="M3148" s="698" t="s">
        <v>1495</v>
      </c>
      <c r="N3148" s="708"/>
      <c r="O3148" s="697" t="s">
        <v>2473</v>
      </c>
      <c r="Q3148" s="702"/>
      <c r="R3148" s="697" t="s">
        <v>987</v>
      </c>
      <c r="S3148" s="1035" t="s">
        <v>4455</v>
      </c>
      <c r="T3148" s="700"/>
      <c r="U3148" s="703">
        <f>2*0.65*1.95</f>
        <v>2.5350000000000001</v>
      </c>
      <c r="V3148" s="699" t="s">
        <v>924</v>
      </c>
    </row>
    <row r="3149" spans="6:24" ht="24" customHeight="1">
      <c r="F3149" s="710">
        <v>1</v>
      </c>
      <c r="G3149" s="708" t="s">
        <v>877</v>
      </c>
      <c r="H3149" s="697" t="s">
        <v>2004</v>
      </c>
      <c r="I3149" s="710">
        <f>C283</f>
        <v>167.6</v>
      </c>
      <c r="J3149" s="697" t="s">
        <v>877</v>
      </c>
      <c r="K3149" s="710">
        <f t="shared" si="298"/>
        <v>167.6</v>
      </c>
      <c r="N3149" s="700"/>
      <c r="O3149" s="705" t="s">
        <v>1609</v>
      </c>
      <c r="Q3149" s="702"/>
      <c r="S3149" s="1035" t="s">
        <v>4456</v>
      </c>
      <c r="T3149" s="700"/>
      <c r="U3149" s="703">
        <f>1*2*0.525*1.825</f>
        <v>1.9159999999999999</v>
      </c>
      <c r="V3149" s="699" t="s">
        <v>4457</v>
      </c>
    </row>
    <row r="3150" spans="6:24" ht="24" customHeight="1">
      <c r="F3150" s="710">
        <v>1</v>
      </c>
      <c r="G3150" s="708" t="s">
        <v>877</v>
      </c>
      <c r="H3150" s="697" t="s">
        <v>2005</v>
      </c>
      <c r="I3150" s="710">
        <f>C285</f>
        <v>7.3</v>
      </c>
      <c r="J3150" s="697" t="s">
        <v>877</v>
      </c>
      <c r="K3150" s="710">
        <f t="shared" si="298"/>
        <v>7.3</v>
      </c>
      <c r="M3150" s="775">
        <f>P3138</f>
        <v>1.153E-2</v>
      </c>
      <c r="N3150" s="708" t="s">
        <v>878</v>
      </c>
      <c r="O3150" s="697" t="s">
        <v>698</v>
      </c>
      <c r="P3150" s="710">
        <f>I3143</f>
        <v>111600</v>
      </c>
      <c r="Q3150" s="697" t="s">
        <v>878</v>
      </c>
      <c r="R3150" s="710">
        <f>P3150*M3150</f>
        <v>1286.75</v>
      </c>
      <c r="S3150" s="1035" t="s">
        <v>4458</v>
      </c>
      <c r="T3150" s="700"/>
      <c r="U3150" s="703">
        <f>2*2*(0.525+1.825)</f>
        <v>9.4</v>
      </c>
      <c r="V3150" s="699" t="s">
        <v>4459</v>
      </c>
    </row>
    <row r="3151" spans="6:24" ht="24" customHeight="1">
      <c r="F3151" s="710">
        <v>1</v>
      </c>
      <c r="G3151" s="708" t="s">
        <v>877</v>
      </c>
      <c r="H3151" s="697" t="s">
        <v>2006</v>
      </c>
      <c r="I3151" s="710">
        <f>C595</f>
        <v>53.4</v>
      </c>
      <c r="J3151" s="697" t="s">
        <v>877</v>
      </c>
      <c r="K3151" s="710">
        <f t="shared" si="298"/>
        <v>53.4</v>
      </c>
      <c r="M3151" s="775">
        <f>P3140</f>
        <v>1.856E-2</v>
      </c>
      <c r="N3151" s="708" t="s">
        <v>878</v>
      </c>
      <c r="O3151" s="697" t="s">
        <v>699</v>
      </c>
      <c r="P3151" s="710">
        <f t="shared" ref="P3151:P3159" si="299">I3144</f>
        <v>99400</v>
      </c>
      <c r="Q3151" s="697" t="s">
        <v>878</v>
      </c>
      <c r="R3151" s="710">
        <f t="shared" ref="R3151:R3160" si="300">P3151*M3151</f>
        <v>1844.86</v>
      </c>
      <c r="S3151" s="698"/>
      <c r="T3151" s="708"/>
      <c r="W3151" s="702"/>
      <c r="X3151" s="697" t="s">
        <v>987</v>
      </c>
    </row>
    <row r="3152" spans="6:24" ht="24" customHeight="1">
      <c r="F3152" s="710">
        <v>1</v>
      </c>
      <c r="G3152" s="708" t="s">
        <v>877</v>
      </c>
      <c r="H3152" s="697" t="s">
        <v>2007</v>
      </c>
      <c r="I3152" s="710">
        <f>D595</f>
        <v>45.9</v>
      </c>
      <c r="J3152" s="697" t="s">
        <v>877</v>
      </c>
      <c r="K3152" s="710">
        <f t="shared" si="298"/>
        <v>45.9</v>
      </c>
      <c r="M3152" s="776">
        <f>P3145</f>
        <v>1.61</v>
      </c>
      <c r="N3152" s="708" t="s">
        <v>615</v>
      </c>
      <c r="O3152" s="697" t="s">
        <v>2117</v>
      </c>
      <c r="P3152" s="710">
        <f t="shared" si="299"/>
        <v>387.4</v>
      </c>
      <c r="Q3152" s="697" t="s">
        <v>615</v>
      </c>
      <c r="R3152" s="710">
        <f t="shared" si="300"/>
        <v>623.71</v>
      </c>
      <c r="S3152" s="699"/>
      <c r="T3152" s="700"/>
      <c r="U3152" s="705" t="s">
        <v>1609</v>
      </c>
      <c r="W3152" s="702"/>
    </row>
    <row r="3153" spans="6:24" ht="24" customHeight="1">
      <c r="H3153" s="699" t="s">
        <v>1356</v>
      </c>
      <c r="K3153" s="805">
        <f>10*2.18</f>
        <v>21.8</v>
      </c>
      <c r="M3153" s="776">
        <f>P3137</f>
        <v>2.2549999999999999</v>
      </c>
      <c r="N3153" s="708" t="s">
        <v>615</v>
      </c>
      <c r="O3153" s="697" t="s">
        <v>2118</v>
      </c>
      <c r="P3153" s="710">
        <f t="shared" si="299"/>
        <v>1105</v>
      </c>
      <c r="Q3153" s="697" t="s">
        <v>615</v>
      </c>
      <c r="R3153" s="710">
        <f t="shared" si="300"/>
        <v>2491.7800000000002</v>
      </c>
      <c r="S3153" s="775">
        <v>9.2099999999999994E-3</v>
      </c>
      <c r="T3153" s="708" t="s">
        <v>878</v>
      </c>
      <c r="U3153" s="697" t="s">
        <v>3602</v>
      </c>
      <c r="V3153" s="710">
        <f>V3128</f>
        <v>99400</v>
      </c>
      <c r="W3153" s="697" t="s">
        <v>878</v>
      </c>
      <c r="X3153" s="710">
        <f>V3153*S3153</f>
        <v>915.47</v>
      </c>
    </row>
    <row r="3154" spans="6:24" ht="24" customHeight="1">
      <c r="H3154" s="698" t="s">
        <v>458</v>
      </c>
      <c r="K3154" s="710">
        <f>SUM(K3143:K3153)</f>
        <v>5989.48</v>
      </c>
      <c r="M3154" s="710">
        <v>2</v>
      </c>
      <c r="N3154" s="708" t="s">
        <v>877</v>
      </c>
      <c r="O3154" s="697" t="s">
        <v>2119</v>
      </c>
      <c r="P3154" s="710">
        <f t="shared" si="299"/>
        <v>60</v>
      </c>
      <c r="Q3154" s="697" t="s">
        <v>877</v>
      </c>
      <c r="R3154" s="710">
        <f t="shared" si="300"/>
        <v>120</v>
      </c>
      <c r="S3154" s="775">
        <v>0.65249999999999997</v>
      </c>
      <c r="T3154" s="708" t="s">
        <v>615</v>
      </c>
      <c r="U3154" s="697" t="s">
        <v>3603</v>
      </c>
      <c r="V3154" s="710">
        <f>V3129</f>
        <v>208.8</v>
      </c>
      <c r="W3154" s="697" t="s">
        <v>878</v>
      </c>
      <c r="X3154" s="710">
        <f t="shared" ref="X3154:X3161" si="301">V3154*S3154</f>
        <v>136.24</v>
      </c>
    </row>
    <row r="3155" spans="6:24" ht="24" customHeight="1">
      <c r="G3155" s="708" t="s">
        <v>987</v>
      </c>
      <c r="K3155" s="705" t="s">
        <v>1609</v>
      </c>
      <c r="M3155" s="710">
        <v>3</v>
      </c>
      <c r="N3155" s="708" t="s">
        <v>877</v>
      </c>
      <c r="O3155" s="697" t="s">
        <v>1539</v>
      </c>
      <c r="P3155" s="710">
        <f t="shared" si="299"/>
        <v>83</v>
      </c>
      <c r="Q3155" s="697" t="s">
        <v>877</v>
      </c>
      <c r="R3155" s="710">
        <f t="shared" si="300"/>
        <v>249</v>
      </c>
      <c r="S3155" s="776">
        <v>0.879</v>
      </c>
      <c r="T3155" s="708" t="s">
        <v>615</v>
      </c>
      <c r="U3155" s="697" t="s">
        <v>2118</v>
      </c>
      <c r="V3155" s="710">
        <f t="shared" ref="V3155:V3160" si="302">V3130</f>
        <v>1239</v>
      </c>
      <c r="W3155" s="697" t="s">
        <v>615</v>
      </c>
      <c r="X3155" s="710">
        <f t="shared" si="301"/>
        <v>1089.08</v>
      </c>
    </row>
    <row r="3156" spans="6:24" ht="24" customHeight="1">
      <c r="H3156" s="711" t="s">
        <v>556</v>
      </c>
      <c r="K3156" s="709">
        <f>K3154/F3146</f>
        <v>3246.33</v>
      </c>
      <c r="M3156" s="710">
        <v>1</v>
      </c>
      <c r="N3156" s="708" t="s">
        <v>877</v>
      </c>
      <c r="O3156" s="697" t="s">
        <v>2004</v>
      </c>
      <c r="P3156" s="710">
        <f t="shared" si="299"/>
        <v>167.6</v>
      </c>
      <c r="Q3156" s="697" t="s">
        <v>877</v>
      </c>
      <c r="R3156" s="710">
        <f t="shared" si="300"/>
        <v>167.6</v>
      </c>
      <c r="S3156" s="776">
        <v>4.3250000000000002</v>
      </c>
      <c r="T3156" s="708" t="s">
        <v>3608</v>
      </c>
      <c r="U3156" s="697" t="s">
        <v>3604</v>
      </c>
      <c r="V3156" s="710">
        <f t="shared" si="302"/>
        <v>48.7</v>
      </c>
      <c r="W3156" s="697" t="s">
        <v>615</v>
      </c>
      <c r="X3156" s="710">
        <f t="shared" si="301"/>
        <v>210.63</v>
      </c>
    </row>
    <row r="3157" spans="6:24" ht="24" customHeight="1">
      <c r="K3157" s="705" t="s">
        <v>2080</v>
      </c>
      <c r="M3157" s="710">
        <v>1</v>
      </c>
      <c r="N3157" s="708" t="s">
        <v>877</v>
      </c>
      <c r="O3157" s="697" t="s">
        <v>2005</v>
      </c>
      <c r="P3157" s="710">
        <f t="shared" si="299"/>
        <v>7.3</v>
      </c>
      <c r="Q3157" s="697" t="s">
        <v>877</v>
      </c>
      <c r="R3157" s="710">
        <f t="shared" si="300"/>
        <v>7.3</v>
      </c>
      <c r="S3157" s="710">
        <v>3</v>
      </c>
      <c r="T3157" s="708" t="s">
        <v>877</v>
      </c>
      <c r="U3157" s="697" t="s">
        <v>1539</v>
      </c>
      <c r="V3157" s="710">
        <f t="shared" si="302"/>
        <v>83</v>
      </c>
      <c r="W3157" s="697" t="s">
        <v>877</v>
      </c>
      <c r="X3157" s="710">
        <f t="shared" si="301"/>
        <v>249</v>
      </c>
    </row>
    <row r="3158" spans="6:24" ht="24" customHeight="1">
      <c r="M3158" s="710">
        <v>1</v>
      </c>
      <c r="N3158" s="708" t="s">
        <v>877</v>
      </c>
      <c r="O3158" s="697" t="s">
        <v>2006</v>
      </c>
      <c r="P3158" s="710">
        <f t="shared" si="299"/>
        <v>53.4</v>
      </c>
      <c r="Q3158" s="697" t="s">
        <v>877</v>
      </c>
      <c r="R3158" s="710">
        <f t="shared" si="300"/>
        <v>53.4</v>
      </c>
      <c r="S3158" s="710">
        <v>2</v>
      </c>
      <c r="T3158" s="708" t="s">
        <v>877</v>
      </c>
      <c r="U3158" s="697" t="s">
        <v>3605</v>
      </c>
      <c r="V3158" s="710">
        <f t="shared" si="302"/>
        <v>68.5</v>
      </c>
      <c r="W3158" s="697" t="s">
        <v>877</v>
      </c>
      <c r="X3158" s="710">
        <f t="shared" si="301"/>
        <v>137</v>
      </c>
    </row>
    <row r="3159" spans="6:24" ht="24" customHeight="1">
      <c r="M3159" s="710">
        <v>1</v>
      </c>
      <c r="N3159" s="708" t="s">
        <v>877</v>
      </c>
      <c r="O3159" s="697" t="s">
        <v>2007</v>
      </c>
      <c r="P3159" s="710">
        <f t="shared" si="299"/>
        <v>45.9</v>
      </c>
      <c r="Q3159" s="697" t="s">
        <v>877</v>
      </c>
      <c r="R3159" s="710">
        <f t="shared" si="300"/>
        <v>45.9</v>
      </c>
      <c r="S3159" s="710">
        <v>1</v>
      </c>
      <c r="T3159" s="708" t="s">
        <v>877</v>
      </c>
      <c r="U3159" s="697" t="s">
        <v>3606</v>
      </c>
      <c r="V3159" s="710">
        <f t="shared" si="302"/>
        <v>53.4</v>
      </c>
      <c r="W3159" s="697" t="s">
        <v>877</v>
      </c>
      <c r="X3159" s="710">
        <f t="shared" si="301"/>
        <v>53.4</v>
      </c>
    </row>
    <row r="3160" spans="6:24" ht="24" customHeight="1">
      <c r="M3160" s="710">
        <v>58</v>
      </c>
      <c r="N3160" s="700"/>
      <c r="O3160" s="699" t="s">
        <v>1356</v>
      </c>
      <c r="P3160" s="699">
        <f>P2861</f>
        <v>2.39</v>
      </c>
      <c r="Q3160" s="702"/>
      <c r="R3160" s="710">
        <f t="shared" si="300"/>
        <v>138.62</v>
      </c>
      <c r="S3160" s="710">
        <v>1</v>
      </c>
      <c r="T3160" s="708" t="s">
        <v>877</v>
      </c>
      <c r="U3160" s="697" t="s">
        <v>2005</v>
      </c>
      <c r="V3160" s="710">
        <f t="shared" si="302"/>
        <v>7.3</v>
      </c>
      <c r="W3160" s="697" t="s">
        <v>877</v>
      </c>
      <c r="X3160" s="710">
        <f t="shared" si="301"/>
        <v>7.3</v>
      </c>
    </row>
    <row r="3161" spans="6:24" ht="24" customHeight="1">
      <c r="N3161" s="700"/>
      <c r="O3161" s="698" t="s">
        <v>3454</v>
      </c>
      <c r="Q3161" s="702"/>
      <c r="R3161" s="710">
        <f>SUM(R3150:R3160)</f>
        <v>7028.92</v>
      </c>
      <c r="S3161" s="710">
        <v>36</v>
      </c>
      <c r="T3161" s="708" t="s">
        <v>877</v>
      </c>
      <c r="U3161" s="697" t="s">
        <v>1356</v>
      </c>
      <c r="V3161" s="710">
        <f>V3136</f>
        <v>2.39</v>
      </c>
      <c r="W3161" s="697" t="s">
        <v>877</v>
      </c>
      <c r="X3161" s="710">
        <f t="shared" si="301"/>
        <v>86.04</v>
      </c>
    </row>
    <row r="3162" spans="6:24" ht="24" customHeight="1">
      <c r="N3162" s="708" t="s">
        <v>987</v>
      </c>
      <c r="Q3162" s="702"/>
      <c r="R3162" s="705" t="s">
        <v>1609</v>
      </c>
      <c r="S3162" s="710"/>
      <c r="T3162" s="708"/>
      <c r="U3162" s="697"/>
      <c r="V3162" s="710"/>
      <c r="W3162" s="697" t="s">
        <v>877</v>
      </c>
      <c r="X3162" s="705" t="s">
        <v>1609</v>
      </c>
    </row>
    <row r="3163" spans="6:24" ht="24" customHeight="1">
      <c r="H3163" s="699" t="s">
        <v>4344</v>
      </c>
      <c r="J3163" s="699"/>
      <c r="N3163" s="700"/>
      <c r="O3163" s="711" t="s">
        <v>556</v>
      </c>
      <c r="Q3163" s="702"/>
      <c r="R3163" s="709">
        <f>R3161/M3153</f>
        <v>3117.04</v>
      </c>
      <c r="S3163" s="710"/>
      <c r="T3163" s="700"/>
      <c r="U3163" s="711" t="s">
        <v>4460</v>
      </c>
      <c r="W3163" s="702"/>
      <c r="X3163" s="710">
        <f>SUM(X3153:X3161)</f>
        <v>2884.16</v>
      </c>
    </row>
    <row r="3164" spans="6:24" ht="24" customHeight="1">
      <c r="J3164" s="699"/>
      <c r="N3164" s="700"/>
      <c r="Q3164" s="702"/>
      <c r="R3164" s="705" t="s">
        <v>2080</v>
      </c>
      <c r="S3164" s="699"/>
      <c r="T3164" s="700"/>
      <c r="W3164" s="702"/>
      <c r="X3164" s="705" t="s">
        <v>1609</v>
      </c>
    </row>
    <row r="3165" spans="6:24" ht="24" customHeight="1">
      <c r="F3165" s="699">
        <v>3.23</v>
      </c>
      <c r="G3165" s="700" t="s">
        <v>922</v>
      </c>
      <c r="H3165" s="699" t="s">
        <v>3092</v>
      </c>
      <c r="I3165" s="699">
        <f>I1502</f>
        <v>49.4</v>
      </c>
      <c r="J3165" s="700" t="s">
        <v>922</v>
      </c>
      <c r="K3165" s="699">
        <f>I3165*F3165</f>
        <v>159.56</v>
      </c>
      <c r="S3165" s="699"/>
      <c r="T3165" s="708" t="s">
        <v>987</v>
      </c>
      <c r="U3165" s="711" t="s">
        <v>556</v>
      </c>
      <c r="W3165" s="702"/>
      <c r="X3165" s="709">
        <f>X3163/S3155</f>
        <v>3281.18</v>
      </c>
    </row>
    <row r="3166" spans="6:24" ht="24" customHeight="1">
      <c r="F3166" s="699">
        <v>0.5</v>
      </c>
      <c r="G3166" s="700" t="s">
        <v>258</v>
      </c>
      <c r="H3166" s="699" t="s">
        <v>3093</v>
      </c>
      <c r="I3166" s="699">
        <f>I1503</f>
        <v>688</v>
      </c>
      <c r="J3166" s="700" t="s">
        <v>258</v>
      </c>
      <c r="K3166" s="699">
        <f>I3166*F3166</f>
        <v>344</v>
      </c>
      <c r="S3166" s="699"/>
      <c r="T3166" s="700"/>
      <c r="W3166" s="702"/>
      <c r="X3166" s="705" t="s">
        <v>2080</v>
      </c>
    </row>
    <row r="3167" spans="6:24" ht="24" customHeight="1">
      <c r="F3167" s="699">
        <v>0.5</v>
      </c>
      <c r="G3167" s="700" t="s">
        <v>258</v>
      </c>
      <c r="H3167" s="697" t="s">
        <v>1927</v>
      </c>
      <c r="I3167" s="699">
        <f>I1504</f>
        <v>562</v>
      </c>
      <c r="J3167" s="700" t="s">
        <v>258</v>
      </c>
      <c r="K3167" s="699">
        <f>I3167*F3167</f>
        <v>281</v>
      </c>
      <c r="M3167" s="698"/>
      <c r="N3167" s="708" t="s">
        <v>2276</v>
      </c>
      <c r="O3167" s="697" t="s">
        <v>2861</v>
      </c>
      <c r="Q3167" s="704"/>
    </row>
    <row r="3168" spans="6:24" ht="24" customHeight="1">
      <c r="F3168" s="699">
        <v>0.8</v>
      </c>
      <c r="G3168" s="700" t="s">
        <v>258</v>
      </c>
      <c r="H3168" s="697" t="s">
        <v>321</v>
      </c>
      <c r="I3168" s="699">
        <f>I1505</f>
        <v>461</v>
      </c>
      <c r="J3168" s="700" t="s">
        <v>258</v>
      </c>
      <c r="K3168" s="699">
        <f>I3168*F3168</f>
        <v>368.8</v>
      </c>
      <c r="N3168" s="700"/>
      <c r="O3168" s="697" t="s">
        <v>255</v>
      </c>
      <c r="Q3168" s="704"/>
    </row>
    <row r="3169" spans="6:18" ht="24" customHeight="1">
      <c r="F3169" s="699">
        <v>10</v>
      </c>
      <c r="G3169" s="700" t="s">
        <v>2308</v>
      </c>
      <c r="H3169" s="697" t="s">
        <v>3919</v>
      </c>
      <c r="I3169" s="699">
        <f>C457</f>
        <v>3.83</v>
      </c>
      <c r="J3169" s="700" t="s">
        <v>2308</v>
      </c>
      <c r="K3169" s="699">
        <f>I3169*F3169</f>
        <v>38.299999999999997</v>
      </c>
      <c r="N3169" s="700"/>
      <c r="O3169" s="951" t="s">
        <v>2862</v>
      </c>
      <c r="Q3169" s="704"/>
    </row>
    <row r="3170" spans="6:18" ht="24" customHeight="1">
      <c r="H3170" s="697" t="s">
        <v>3095</v>
      </c>
      <c r="I3170" s="785" t="s">
        <v>663</v>
      </c>
      <c r="J3170" s="704"/>
      <c r="K3170" s="699">
        <v>1.75</v>
      </c>
      <c r="N3170" s="700"/>
      <c r="O3170" s="705" t="s">
        <v>1609</v>
      </c>
      <c r="Q3170" s="704"/>
    </row>
    <row r="3171" spans="6:18" ht="24" customHeight="1">
      <c r="J3171" s="704"/>
      <c r="K3171" s="699">
        <f>SUM(K3165:K3170)</f>
        <v>1193.4100000000001</v>
      </c>
      <c r="N3171" s="700"/>
      <c r="O3171" s="697" t="s">
        <v>3315</v>
      </c>
      <c r="P3171" s="785" t="s">
        <v>2080</v>
      </c>
      <c r="Q3171" s="848">
        <v>3.1219999999999999</v>
      </c>
      <c r="R3171" s="699" t="s">
        <v>2308</v>
      </c>
    </row>
    <row r="3172" spans="6:18" ht="24" customHeight="1">
      <c r="J3172" s="704"/>
      <c r="K3172" s="699">
        <f>K3171/10</f>
        <v>119.34</v>
      </c>
      <c r="N3172" s="700"/>
      <c r="O3172" s="697"/>
      <c r="P3172" s="785"/>
      <c r="Q3172" s="848"/>
    </row>
    <row r="3173" spans="6:18" ht="24" customHeight="1">
      <c r="G3173" s="699"/>
      <c r="J3173" s="699"/>
      <c r="L3173" s="699">
        <f>K3207</f>
        <v>314.68</v>
      </c>
      <c r="N3173" s="700"/>
      <c r="O3173" s="697" t="s">
        <v>5275</v>
      </c>
      <c r="P3173" s="785" t="s">
        <v>2080</v>
      </c>
      <c r="Q3173" s="997">
        <v>5.1999999999999998E-2</v>
      </c>
      <c r="R3173" s="699" t="s">
        <v>2176</v>
      </c>
    </row>
    <row r="3174" spans="6:18" ht="24" customHeight="1">
      <c r="G3174" s="699"/>
      <c r="J3174" s="699"/>
      <c r="L3174" s="699">
        <f>K3208</f>
        <v>481.6</v>
      </c>
      <c r="N3174" s="700"/>
      <c r="O3174" s="697" t="s">
        <v>3316</v>
      </c>
      <c r="Q3174" s="785"/>
    </row>
    <row r="3175" spans="6:18" ht="24" customHeight="1">
      <c r="G3175" s="699"/>
      <c r="J3175" s="699"/>
      <c r="N3175" s="700"/>
      <c r="O3175" s="697" t="s">
        <v>3317</v>
      </c>
      <c r="P3175" s="785" t="s">
        <v>2080</v>
      </c>
      <c r="Q3175" s="1063">
        <v>2.2780000000000002E-2</v>
      </c>
    </row>
    <row r="3176" spans="6:18" ht="24" customHeight="1">
      <c r="H3176" s="699" t="s">
        <v>4345</v>
      </c>
      <c r="J3176" s="699"/>
      <c r="L3176" s="699">
        <v>1.5</v>
      </c>
      <c r="N3176" s="700"/>
      <c r="O3176" s="697" t="s">
        <v>2863</v>
      </c>
      <c r="P3176" s="785" t="s">
        <v>2080</v>
      </c>
      <c r="Q3176" s="1063">
        <v>1.013E-2</v>
      </c>
      <c r="R3176" s="775"/>
    </row>
    <row r="3177" spans="6:18" ht="24" customHeight="1">
      <c r="J3177" s="699"/>
      <c r="L3177" s="699">
        <f>SUM(L3173:L3176)</f>
        <v>797.78</v>
      </c>
      <c r="N3177" s="700"/>
      <c r="Q3177" s="705" t="s">
        <v>1609</v>
      </c>
    </row>
    <row r="3178" spans="6:18" ht="24" customHeight="1">
      <c r="F3178" s="699">
        <v>1.8</v>
      </c>
      <c r="G3178" s="700" t="s">
        <v>922</v>
      </c>
      <c r="H3178" s="699" t="s">
        <v>3092</v>
      </c>
      <c r="I3178" s="699">
        <f>I3165</f>
        <v>49.4</v>
      </c>
      <c r="J3178" s="700" t="s">
        <v>922</v>
      </c>
      <c r="K3178" s="699">
        <f>I3178*F3178</f>
        <v>88.92</v>
      </c>
      <c r="N3178" s="700"/>
      <c r="Q3178" s="1064">
        <v>3.2910000000000002E-2</v>
      </c>
      <c r="R3178" s="699" t="s">
        <v>2176</v>
      </c>
    </row>
    <row r="3179" spans="6:18" ht="24" customHeight="1">
      <c r="F3179" s="699">
        <v>0.25</v>
      </c>
      <c r="G3179" s="700" t="s">
        <v>258</v>
      </c>
      <c r="H3179" s="699" t="s">
        <v>3093</v>
      </c>
      <c r="I3179" s="699">
        <f>I3166</f>
        <v>688</v>
      </c>
      <c r="J3179" s="700" t="s">
        <v>258</v>
      </c>
      <c r="K3179" s="699">
        <f>I3179*F3179</f>
        <v>172</v>
      </c>
      <c r="L3179" s="699">
        <f>L3177/10</f>
        <v>79.78</v>
      </c>
      <c r="N3179" s="700"/>
      <c r="Q3179" s="705" t="s">
        <v>1609</v>
      </c>
    </row>
    <row r="3180" spans="6:18" ht="24" customHeight="1">
      <c r="F3180" s="699">
        <v>0.25</v>
      </c>
      <c r="G3180" s="700" t="s">
        <v>258</v>
      </c>
      <c r="H3180" s="697" t="s">
        <v>1927</v>
      </c>
      <c r="I3180" s="699">
        <f>I3167</f>
        <v>562</v>
      </c>
      <c r="J3180" s="700" t="s">
        <v>258</v>
      </c>
      <c r="K3180" s="699">
        <f>I3180*F3180</f>
        <v>140.5</v>
      </c>
      <c r="N3180" s="700"/>
      <c r="O3180" s="697" t="s">
        <v>3318</v>
      </c>
      <c r="Q3180" s="1065">
        <v>1.7600000000000001E-2</v>
      </c>
      <c r="R3180" s="775"/>
    </row>
    <row r="3181" spans="6:18" ht="24" customHeight="1">
      <c r="F3181" s="699">
        <v>0.4</v>
      </c>
      <c r="G3181" s="700" t="s">
        <v>258</v>
      </c>
      <c r="H3181" s="697" t="s">
        <v>321</v>
      </c>
      <c r="I3181" s="699">
        <f>I3168</f>
        <v>461</v>
      </c>
      <c r="J3181" s="700" t="s">
        <v>258</v>
      </c>
      <c r="K3181" s="699">
        <f>I3181*F3181</f>
        <v>184.4</v>
      </c>
      <c r="N3181" s="700"/>
      <c r="O3181" s="697" t="s">
        <v>3319</v>
      </c>
      <c r="Q3181" s="1066">
        <v>8.3999999999999995E-3</v>
      </c>
      <c r="R3181" s="775"/>
    </row>
    <row r="3182" spans="6:18" ht="24" customHeight="1">
      <c r="F3182" s="699">
        <v>10</v>
      </c>
      <c r="G3182" s="700" t="s">
        <v>2308</v>
      </c>
      <c r="H3182" s="697" t="s">
        <v>3094</v>
      </c>
      <c r="I3182" s="699">
        <f>I3169</f>
        <v>3.83</v>
      </c>
      <c r="J3182" s="700" t="s">
        <v>2308</v>
      </c>
      <c r="K3182" s="699">
        <f>I3182*F3182</f>
        <v>38.299999999999997</v>
      </c>
      <c r="N3182" s="700"/>
      <c r="O3182" s="697"/>
      <c r="Q3182" s="705" t="s">
        <v>1609</v>
      </c>
      <c r="R3182" s="775"/>
    </row>
    <row r="3183" spans="6:18" ht="24" customHeight="1">
      <c r="H3183" s="697" t="s">
        <v>3095</v>
      </c>
      <c r="I3183" s="785" t="s">
        <v>3096</v>
      </c>
      <c r="J3183" s="704"/>
      <c r="K3183" s="699">
        <v>1.6</v>
      </c>
      <c r="N3183" s="700"/>
      <c r="O3183" s="697"/>
      <c r="Q3183" s="1067">
        <v>2.5999999999999999E-2</v>
      </c>
      <c r="R3183" s="775" t="s">
        <v>2176</v>
      </c>
    </row>
    <row r="3184" spans="6:18" ht="24" customHeight="1">
      <c r="J3184" s="704"/>
      <c r="K3184" s="699">
        <f>SUM(K3178:K3183)</f>
        <v>625.72</v>
      </c>
      <c r="N3184" s="700"/>
      <c r="Q3184" s="705" t="s">
        <v>1609</v>
      </c>
      <c r="R3184" s="705"/>
    </row>
    <row r="3185" spans="6:20" ht="24" customHeight="1">
      <c r="J3185" s="704"/>
      <c r="K3185" s="699">
        <f>K3184/10</f>
        <v>62.57</v>
      </c>
      <c r="M3185" s="775">
        <v>5.1999999999999998E-2</v>
      </c>
      <c r="N3185" s="708" t="s">
        <v>878</v>
      </c>
      <c r="O3185" s="697" t="s">
        <v>309</v>
      </c>
      <c r="P3185" s="710">
        <f>AC24</f>
        <v>111600</v>
      </c>
      <c r="Q3185" s="698" t="s">
        <v>878</v>
      </c>
      <c r="R3185" s="710">
        <f>P3185*M3185</f>
        <v>5803.2</v>
      </c>
    </row>
    <row r="3186" spans="6:20" ht="24" customHeight="1">
      <c r="G3186" s="699"/>
      <c r="J3186" s="699"/>
      <c r="M3186" s="775">
        <v>3.2910000000000002E-2</v>
      </c>
      <c r="N3186" s="708" t="s">
        <v>878</v>
      </c>
      <c r="O3186" s="697" t="s">
        <v>310</v>
      </c>
      <c r="P3186" s="710">
        <f>AC25</f>
        <v>99400</v>
      </c>
      <c r="Q3186" s="698" t="s">
        <v>878</v>
      </c>
      <c r="R3186" s="710">
        <f t="shared" ref="R3186:R3196" si="303">P3186*M3186</f>
        <v>3271.25</v>
      </c>
    </row>
    <row r="3187" spans="6:20" ht="24" customHeight="1">
      <c r="G3187" s="699"/>
      <c r="J3187" s="699"/>
      <c r="M3187" s="775">
        <v>2.5999999999999999E-2</v>
      </c>
      <c r="N3187" s="708" t="s">
        <v>878</v>
      </c>
      <c r="O3187" s="697" t="s">
        <v>3320</v>
      </c>
      <c r="P3187" s="710">
        <v>101921.4</v>
      </c>
      <c r="Q3187" s="698" t="s">
        <v>878</v>
      </c>
      <c r="R3187" s="710">
        <f t="shared" si="303"/>
        <v>2649.96</v>
      </c>
    </row>
    <row r="3188" spans="6:20" ht="24" customHeight="1">
      <c r="G3188" s="699"/>
      <c r="J3188" s="699"/>
      <c r="L3188" s="699">
        <f>K3222</f>
        <v>525.25</v>
      </c>
      <c r="M3188" s="776"/>
      <c r="N3188" s="700"/>
      <c r="O3188" s="697" t="s">
        <v>3964</v>
      </c>
      <c r="P3188" s="710"/>
      <c r="Q3188" s="704"/>
      <c r="R3188" s="710">
        <f t="shared" si="303"/>
        <v>0</v>
      </c>
    </row>
    <row r="3189" spans="6:20" ht="24" customHeight="1">
      <c r="H3189" s="699" t="s">
        <v>3097</v>
      </c>
      <c r="J3189" s="699"/>
      <c r="L3189" s="699">
        <f>K3223</f>
        <v>825.6</v>
      </c>
      <c r="M3189" s="776">
        <v>3.1219999999999999</v>
      </c>
      <c r="N3189" s="708" t="s">
        <v>615</v>
      </c>
      <c r="O3189" s="697" t="s">
        <v>448</v>
      </c>
      <c r="P3189" s="710">
        <f>I951</f>
        <v>1325</v>
      </c>
      <c r="Q3189" s="698" t="s">
        <v>615</v>
      </c>
      <c r="R3189" s="710">
        <f t="shared" si="303"/>
        <v>4136.6499999999996</v>
      </c>
    </row>
    <row r="3190" spans="6:20" ht="24" customHeight="1">
      <c r="H3190" s="699" t="s">
        <v>1063</v>
      </c>
      <c r="J3190" s="699"/>
      <c r="M3190" s="710">
        <v>4</v>
      </c>
      <c r="N3190" s="708" t="s">
        <v>778</v>
      </c>
      <c r="O3190" s="697" t="s">
        <v>3321</v>
      </c>
      <c r="P3190" s="710">
        <f>I2634</f>
        <v>450</v>
      </c>
      <c r="Q3190" s="698" t="s">
        <v>877</v>
      </c>
      <c r="R3190" s="710">
        <f t="shared" si="303"/>
        <v>1800</v>
      </c>
    </row>
    <row r="3191" spans="6:20" ht="24" customHeight="1">
      <c r="H3191" s="699" t="s">
        <v>1255</v>
      </c>
      <c r="J3191" s="699"/>
      <c r="L3191" s="699">
        <f>K3225</f>
        <v>6.65</v>
      </c>
      <c r="M3191" s="710">
        <v>8</v>
      </c>
      <c r="N3191" s="708" t="s">
        <v>877</v>
      </c>
      <c r="O3191" s="697" t="s">
        <v>1486</v>
      </c>
      <c r="P3191" s="710">
        <f>P3155</f>
        <v>83</v>
      </c>
      <c r="Q3191" s="698" t="s">
        <v>877</v>
      </c>
      <c r="R3191" s="710">
        <f t="shared" si="303"/>
        <v>664</v>
      </c>
    </row>
    <row r="3192" spans="6:20" ht="24" customHeight="1">
      <c r="J3192" s="699"/>
      <c r="L3192" s="699">
        <f>SUM(L3188:L3191)</f>
        <v>1357.5</v>
      </c>
      <c r="M3192" s="710">
        <v>4</v>
      </c>
      <c r="N3192" s="708" t="s">
        <v>877</v>
      </c>
      <c r="O3192" s="784" t="s">
        <v>5142</v>
      </c>
      <c r="P3192" s="718">
        <v>90.6</v>
      </c>
      <c r="Q3192" s="698" t="s">
        <v>877</v>
      </c>
      <c r="R3192" s="710">
        <f t="shared" si="303"/>
        <v>362.4</v>
      </c>
    </row>
    <row r="3193" spans="6:20" ht="24" customHeight="1">
      <c r="F3193" s="699">
        <v>1.1100000000000001</v>
      </c>
      <c r="G3193" s="700" t="s">
        <v>2604</v>
      </c>
      <c r="H3193" s="699" t="s">
        <v>1198</v>
      </c>
      <c r="I3193" s="699">
        <f>I1544</f>
        <v>225.4</v>
      </c>
      <c r="J3193" s="700" t="s">
        <v>2604</v>
      </c>
      <c r="K3193" s="699">
        <f>I3193*F3193</f>
        <v>250.19</v>
      </c>
      <c r="M3193" s="710">
        <v>1</v>
      </c>
      <c r="N3193" s="708" t="s">
        <v>877</v>
      </c>
      <c r="O3193" s="784" t="s">
        <v>5143</v>
      </c>
      <c r="P3193" s="718">
        <v>194.4</v>
      </c>
      <c r="Q3193" s="698" t="s">
        <v>877</v>
      </c>
      <c r="R3193" s="710">
        <f t="shared" si="303"/>
        <v>194.4</v>
      </c>
    </row>
    <row r="3194" spans="6:20" ht="24" customHeight="1">
      <c r="F3194" s="699">
        <v>0.7</v>
      </c>
      <c r="G3194" s="700" t="s">
        <v>258</v>
      </c>
      <c r="H3194" s="699" t="s">
        <v>1197</v>
      </c>
      <c r="I3194" s="699">
        <f>I3179</f>
        <v>688</v>
      </c>
      <c r="J3194" s="700" t="s">
        <v>258</v>
      </c>
      <c r="K3194" s="699">
        <f>I3194*F3194</f>
        <v>481.6</v>
      </c>
      <c r="L3194" s="699">
        <f>L3192/10</f>
        <v>135.75</v>
      </c>
      <c r="M3194" s="710">
        <v>2</v>
      </c>
      <c r="N3194" s="708" t="s">
        <v>877</v>
      </c>
      <c r="O3194" s="784" t="s">
        <v>5144</v>
      </c>
      <c r="P3194" s="718">
        <v>22.9</v>
      </c>
      <c r="Q3194" s="698" t="s">
        <v>877</v>
      </c>
      <c r="R3194" s="710">
        <f t="shared" si="303"/>
        <v>45.8</v>
      </c>
    </row>
    <row r="3195" spans="6:20" ht="24" customHeight="1">
      <c r="F3195" s="699">
        <v>10</v>
      </c>
      <c r="G3195" s="700" t="s">
        <v>2308</v>
      </c>
      <c r="H3195" s="990" t="s">
        <v>5114</v>
      </c>
      <c r="I3195" s="735">
        <f>AE51</f>
        <v>8.3000000000000007</v>
      </c>
      <c r="J3195" s="700" t="s">
        <v>2308</v>
      </c>
      <c r="K3195" s="699">
        <f>I3195*F3195</f>
        <v>83</v>
      </c>
      <c r="M3195" s="710">
        <v>2</v>
      </c>
      <c r="N3195" s="708" t="s">
        <v>877</v>
      </c>
      <c r="O3195" s="784" t="s">
        <v>5145</v>
      </c>
      <c r="P3195" s="718">
        <v>45.9</v>
      </c>
      <c r="Q3195" s="698" t="s">
        <v>877</v>
      </c>
      <c r="R3195" s="710">
        <f t="shared" si="303"/>
        <v>91.8</v>
      </c>
      <c r="S3195" s="703">
        <f>0.42*3.122</f>
        <v>1.3109999999999999</v>
      </c>
      <c r="T3195" s="699">
        <f>S3195+19.79</f>
        <v>21.1</v>
      </c>
    </row>
    <row r="3196" spans="6:20" ht="24" customHeight="1">
      <c r="H3196" s="697" t="s">
        <v>3095</v>
      </c>
      <c r="I3196" s="699" t="s">
        <v>663</v>
      </c>
      <c r="J3196" s="704"/>
      <c r="K3196" s="699">
        <v>2.8</v>
      </c>
      <c r="M3196" s="710">
        <v>118</v>
      </c>
      <c r="N3196" s="708" t="s">
        <v>877</v>
      </c>
      <c r="O3196" s="699" t="s">
        <v>1356</v>
      </c>
      <c r="P3196" s="699">
        <f>I958</f>
        <v>2.39</v>
      </c>
      <c r="Q3196" s="698" t="s">
        <v>877</v>
      </c>
      <c r="R3196" s="710">
        <f t="shared" si="303"/>
        <v>282.02</v>
      </c>
    </row>
    <row r="3197" spans="6:20" ht="24" customHeight="1">
      <c r="H3197" s="699" t="s">
        <v>442</v>
      </c>
      <c r="J3197" s="704"/>
      <c r="K3197" s="699">
        <f>SUM(K3193:K3196)</f>
        <v>817.59</v>
      </c>
      <c r="N3197" s="700"/>
      <c r="Q3197" s="704"/>
      <c r="R3197" s="705" t="s">
        <v>1609</v>
      </c>
    </row>
    <row r="3198" spans="6:20" ht="24" customHeight="1">
      <c r="J3198" s="704"/>
      <c r="N3198" s="700"/>
      <c r="O3198" s="697" t="s">
        <v>3326</v>
      </c>
      <c r="Q3198" s="704"/>
      <c r="R3198" s="710">
        <f>SUM(R3185:R3196)</f>
        <v>19301.48</v>
      </c>
    </row>
    <row r="3199" spans="6:20" ht="24" customHeight="1">
      <c r="H3199" s="699" t="s">
        <v>556</v>
      </c>
      <c r="J3199" s="704"/>
      <c r="K3199" s="699">
        <f>K3197/10</f>
        <v>81.760000000000005</v>
      </c>
      <c r="N3199" s="700"/>
      <c r="Q3199" s="704"/>
      <c r="R3199" s="705" t="s">
        <v>1609</v>
      </c>
    </row>
    <row r="3200" spans="6:20" ht="24" customHeight="1">
      <c r="J3200" s="704"/>
      <c r="N3200" s="700"/>
      <c r="O3200" s="701" t="s">
        <v>556</v>
      </c>
      <c r="Q3200" s="877" t="s">
        <v>729</v>
      </c>
      <c r="R3200" s="709">
        <f>R3198/M3189</f>
        <v>6182.41</v>
      </c>
    </row>
    <row r="3201" spans="6:18" ht="24" customHeight="1">
      <c r="J3201" s="704"/>
      <c r="M3201" s="698"/>
      <c r="N3201" s="708" t="s">
        <v>2276</v>
      </c>
      <c r="O3201" s="697" t="s">
        <v>3327</v>
      </c>
      <c r="Q3201" s="704"/>
    </row>
    <row r="3202" spans="6:18" ht="24" customHeight="1">
      <c r="J3202" s="704"/>
      <c r="N3202" s="700"/>
      <c r="O3202" s="697" t="s">
        <v>255</v>
      </c>
      <c r="Q3202" s="704"/>
    </row>
    <row r="3203" spans="6:18" ht="24" customHeight="1">
      <c r="H3203" s="699" t="s">
        <v>3097</v>
      </c>
      <c r="J3203" s="704"/>
      <c r="N3203" s="700"/>
      <c r="O3203" s="951" t="s">
        <v>2862</v>
      </c>
      <c r="Q3203" s="704"/>
    </row>
    <row r="3204" spans="6:18" ht="24" customHeight="1">
      <c r="H3204" s="699" t="s">
        <v>1396</v>
      </c>
      <c r="J3204" s="704"/>
      <c r="L3204" s="699">
        <f>K3238</f>
        <v>426.01</v>
      </c>
      <c r="N3204" s="700"/>
      <c r="O3204" s="705" t="s">
        <v>1609</v>
      </c>
      <c r="Q3204" s="704"/>
    </row>
    <row r="3205" spans="6:18" ht="24" customHeight="1">
      <c r="H3205" s="699" t="s">
        <v>1255</v>
      </c>
      <c r="J3205" s="704"/>
      <c r="L3205" s="699">
        <f>K3239</f>
        <v>756.8</v>
      </c>
      <c r="N3205" s="700"/>
      <c r="O3205" s="697" t="s">
        <v>3315</v>
      </c>
      <c r="P3205" s="785" t="s">
        <v>2080</v>
      </c>
      <c r="Q3205" s="848">
        <v>3.1219999999999999</v>
      </c>
      <c r="R3205" s="702" t="s">
        <v>2308</v>
      </c>
    </row>
    <row r="3206" spans="6:18" ht="24" customHeight="1">
      <c r="J3206" s="704"/>
      <c r="N3206" s="700"/>
      <c r="O3206" s="697"/>
      <c r="P3206" s="785"/>
      <c r="Q3206" s="848"/>
      <c r="R3206" s="702"/>
    </row>
    <row r="3207" spans="6:18" ht="24" customHeight="1">
      <c r="F3207" s="699">
        <v>1.33</v>
      </c>
      <c r="G3207" s="700" t="s">
        <v>2604</v>
      </c>
      <c r="H3207" s="699" t="s">
        <v>1198</v>
      </c>
      <c r="I3207" s="699">
        <f>I1531</f>
        <v>236.6</v>
      </c>
      <c r="J3207" s="700" t="s">
        <v>2604</v>
      </c>
      <c r="K3207" s="699">
        <f>I3207*F3207</f>
        <v>314.68</v>
      </c>
      <c r="L3207" s="699">
        <f>K3241</f>
        <v>1.9</v>
      </c>
      <c r="N3207" s="700"/>
      <c r="O3207" s="697" t="s">
        <v>5275</v>
      </c>
      <c r="P3207" s="785" t="s">
        <v>2080</v>
      </c>
      <c r="Q3207" s="997">
        <v>5.1999999999999998E-2</v>
      </c>
      <c r="R3207" s="702" t="s">
        <v>2176</v>
      </c>
    </row>
    <row r="3208" spans="6:18" ht="24" customHeight="1">
      <c r="F3208" s="699">
        <v>0.7</v>
      </c>
      <c r="G3208" s="700" t="s">
        <v>258</v>
      </c>
      <c r="H3208" s="699" t="s">
        <v>1197</v>
      </c>
      <c r="I3208" s="699">
        <f>I3194</f>
        <v>688</v>
      </c>
      <c r="J3208" s="700" t="s">
        <v>258</v>
      </c>
      <c r="K3208" s="699">
        <f>I3208*F3208</f>
        <v>481.6</v>
      </c>
      <c r="L3208" s="699">
        <f>SUM(L3204:L3207)</f>
        <v>1184.71</v>
      </c>
      <c r="N3208" s="700"/>
      <c r="O3208" s="697" t="s">
        <v>3316</v>
      </c>
      <c r="Q3208" s="785"/>
      <c r="R3208" s="702"/>
    </row>
    <row r="3209" spans="6:18" ht="24" customHeight="1">
      <c r="F3209" s="699">
        <v>10</v>
      </c>
      <c r="G3209" s="700" t="s">
        <v>2308</v>
      </c>
      <c r="H3209" s="802" t="s">
        <v>4754</v>
      </c>
      <c r="I3209" s="735">
        <f>AE52</f>
        <v>8.93</v>
      </c>
      <c r="J3209" s="700" t="s">
        <v>2308</v>
      </c>
      <c r="K3209" s="699">
        <f>I3209*F3209</f>
        <v>89.3</v>
      </c>
      <c r="N3209" s="700"/>
      <c r="O3209" s="697" t="s">
        <v>3444</v>
      </c>
      <c r="P3209" s="785" t="s">
        <v>2080</v>
      </c>
      <c r="Q3209" s="1063">
        <v>2.2780000000000002E-2</v>
      </c>
      <c r="R3209" s="702"/>
    </row>
    <row r="3210" spans="6:18" ht="24" customHeight="1">
      <c r="H3210" s="699" t="s">
        <v>3095</v>
      </c>
      <c r="I3210" s="699" t="s">
        <v>663</v>
      </c>
      <c r="J3210" s="704"/>
      <c r="K3210" s="699">
        <v>3.43</v>
      </c>
      <c r="N3210" s="700"/>
      <c r="O3210" s="697" t="s">
        <v>2863</v>
      </c>
      <c r="P3210" s="785" t="s">
        <v>2080</v>
      </c>
      <c r="Q3210" s="1063">
        <v>1.013E-2</v>
      </c>
      <c r="R3210" s="825"/>
    </row>
    <row r="3211" spans="6:18" ht="24" customHeight="1">
      <c r="H3211" s="699" t="s">
        <v>442</v>
      </c>
      <c r="J3211" s="704"/>
      <c r="K3211" s="699">
        <f>SUM(K3207:K3210)</f>
        <v>889.01</v>
      </c>
      <c r="N3211" s="700"/>
      <c r="Q3211" s="1068" t="s">
        <v>3110</v>
      </c>
      <c r="R3211" s="702"/>
    </row>
    <row r="3212" spans="6:18" ht="24" customHeight="1">
      <c r="J3212" s="704"/>
      <c r="N3212" s="700"/>
      <c r="Q3212" s="1064">
        <v>3.2910000000000002E-2</v>
      </c>
      <c r="R3212" s="702" t="s">
        <v>2176</v>
      </c>
    </row>
    <row r="3213" spans="6:18" ht="24" customHeight="1">
      <c r="H3213" s="699" t="s">
        <v>556</v>
      </c>
      <c r="J3213" s="704"/>
      <c r="K3213" s="699">
        <f>K3211/10</f>
        <v>88.9</v>
      </c>
      <c r="N3213" s="700"/>
      <c r="Q3213" s="1068" t="s">
        <v>3110</v>
      </c>
      <c r="R3213" s="702"/>
    </row>
    <row r="3214" spans="6:18" ht="24" customHeight="1">
      <c r="J3214" s="704"/>
      <c r="N3214" s="700"/>
      <c r="O3214" s="697" t="s">
        <v>3329</v>
      </c>
      <c r="Q3214" s="997">
        <v>0.94</v>
      </c>
      <c r="R3214" s="825" t="s">
        <v>2308</v>
      </c>
    </row>
    <row r="3215" spans="6:18" ht="24" customHeight="1">
      <c r="J3215" s="704"/>
      <c r="N3215" s="700"/>
      <c r="O3215" s="697" t="s">
        <v>3328</v>
      </c>
      <c r="Q3215" s="1067">
        <v>8.3999999999999995E-3</v>
      </c>
      <c r="R3215" s="825" t="s">
        <v>2176</v>
      </c>
    </row>
    <row r="3216" spans="6:18" ht="24" customHeight="1">
      <c r="J3216" s="704"/>
      <c r="N3216" s="700"/>
      <c r="O3216" s="697" t="s">
        <v>3331</v>
      </c>
      <c r="Q3216" s="1067">
        <v>7.9</v>
      </c>
      <c r="R3216" s="825" t="s">
        <v>835</v>
      </c>
    </row>
    <row r="3217" spans="6:18" ht="24" customHeight="1">
      <c r="J3217" s="704"/>
      <c r="N3217" s="700"/>
      <c r="Q3217" s="705"/>
      <c r="R3217" s="705"/>
    </row>
    <row r="3218" spans="6:18" ht="24" customHeight="1">
      <c r="H3218" s="699" t="s">
        <v>2605</v>
      </c>
      <c r="J3218" s="704"/>
      <c r="M3218" s="775">
        <v>5.1999999999999998E-2</v>
      </c>
      <c r="N3218" s="708" t="s">
        <v>878</v>
      </c>
      <c r="O3218" s="697" t="s">
        <v>309</v>
      </c>
      <c r="P3218" s="710">
        <f>P3185</f>
        <v>111600</v>
      </c>
      <c r="Q3218" s="698" t="s">
        <v>878</v>
      </c>
      <c r="R3218" s="710">
        <f>P3218*M3218</f>
        <v>5803.2</v>
      </c>
    </row>
    <row r="3219" spans="6:18" ht="24" customHeight="1">
      <c r="H3219" s="699" t="s">
        <v>1396</v>
      </c>
      <c r="J3219" s="704"/>
      <c r="M3219" s="775">
        <v>3.2910000000000002E-2</v>
      </c>
      <c r="N3219" s="708" t="s">
        <v>878</v>
      </c>
      <c r="O3219" s="697" t="s">
        <v>310</v>
      </c>
      <c r="P3219" s="710">
        <f>P3186</f>
        <v>99400</v>
      </c>
      <c r="Q3219" s="698" t="s">
        <v>878</v>
      </c>
      <c r="R3219" s="710">
        <f t="shared" ref="R3219:R3231" si="304">P3219*M3219</f>
        <v>3271.25</v>
      </c>
    </row>
    <row r="3220" spans="6:18" ht="24" customHeight="1">
      <c r="H3220" s="699" t="s">
        <v>1255</v>
      </c>
      <c r="J3220" s="704"/>
      <c r="M3220" s="775">
        <v>8.3999999999999995E-3</v>
      </c>
      <c r="N3220" s="708" t="s">
        <v>878</v>
      </c>
      <c r="O3220" s="769" t="s">
        <v>3320</v>
      </c>
      <c r="P3220" s="710">
        <f>P3187</f>
        <v>101921.4</v>
      </c>
      <c r="Q3220" s="698" t="s">
        <v>878</v>
      </c>
      <c r="R3220" s="710">
        <f t="shared" si="304"/>
        <v>856.14</v>
      </c>
    </row>
    <row r="3221" spans="6:18" ht="24" customHeight="1">
      <c r="J3221" s="704"/>
      <c r="M3221" s="776"/>
      <c r="N3221" s="700"/>
      <c r="O3221" s="697" t="s">
        <v>3588</v>
      </c>
      <c r="P3221" s="710"/>
      <c r="Q3221" s="704"/>
      <c r="R3221" s="710">
        <f t="shared" si="304"/>
        <v>0</v>
      </c>
    </row>
    <row r="3222" spans="6:18" ht="24" customHeight="1">
      <c r="F3222" s="699">
        <v>2.2200000000000002</v>
      </c>
      <c r="G3222" s="700" t="s">
        <v>2604</v>
      </c>
      <c r="H3222" s="699" t="s">
        <v>1198</v>
      </c>
      <c r="I3222" s="699">
        <f>I3207</f>
        <v>236.6</v>
      </c>
      <c r="J3222" s="700" t="s">
        <v>2604</v>
      </c>
      <c r="K3222" s="699">
        <f>I3222*F3222</f>
        <v>525.25</v>
      </c>
      <c r="M3222" s="776">
        <v>0.94</v>
      </c>
      <c r="N3222" s="708" t="s">
        <v>615</v>
      </c>
      <c r="O3222" s="769" t="s">
        <v>5146</v>
      </c>
      <c r="P3222" s="718">
        <v>359</v>
      </c>
      <c r="Q3222" s="704" t="s">
        <v>615</v>
      </c>
      <c r="R3222" s="710">
        <f t="shared" si="304"/>
        <v>337.46</v>
      </c>
    </row>
    <row r="3223" spans="6:18" ht="24" customHeight="1">
      <c r="F3223" s="699">
        <v>1.2</v>
      </c>
      <c r="G3223" s="700" t="s">
        <v>258</v>
      </c>
      <c r="H3223" s="699" t="s">
        <v>1197</v>
      </c>
      <c r="I3223" s="699">
        <f>I3208</f>
        <v>688</v>
      </c>
      <c r="J3223" s="700" t="s">
        <v>258</v>
      </c>
      <c r="K3223" s="699">
        <f>I3223*F3223</f>
        <v>825.6</v>
      </c>
      <c r="M3223" s="776">
        <v>7.9</v>
      </c>
      <c r="N3223" s="708" t="s">
        <v>1796</v>
      </c>
      <c r="O3223" s="769" t="s">
        <v>5147</v>
      </c>
      <c r="P3223" s="718">
        <v>15.3</v>
      </c>
      <c r="Q3223" s="704" t="s">
        <v>835</v>
      </c>
      <c r="R3223" s="710">
        <f t="shared" si="304"/>
        <v>120.87</v>
      </c>
    </row>
    <row r="3224" spans="6:18" ht="24" customHeight="1">
      <c r="F3224" s="699">
        <v>10</v>
      </c>
      <c r="G3224" s="700" t="s">
        <v>2308</v>
      </c>
      <c r="H3224" s="699" t="s">
        <v>3094</v>
      </c>
      <c r="I3224" s="699">
        <f>I3209</f>
        <v>8.93</v>
      </c>
      <c r="J3224" s="700" t="s">
        <v>2308</v>
      </c>
      <c r="K3224" s="699">
        <f>I3224*F3224</f>
        <v>89.3</v>
      </c>
      <c r="M3224" s="776">
        <v>3.1219999999999999</v>
      </c>
      <c r="N3224" s="708" t="s">
        <v>615</v>
      </c>
      <c r="O3224" s="769" t="s">
        <v>4765</v>
      </c>
      <c r="P3224" s="718">
        <f>AE55</f>
        <v>1300.95</v>
      </c>
      <c r="Q3224" s="698" t="s">
        <v>615</v>
      </c>
      <c r="R3224" s="710">
        <f t="shared" si="304"/>
        <v>4061.57</v>
      </c>
    </row>
    <row r="3225" spans="6:18" ht="24" customHeight="1">
      <c r="H3225" s="699" t="s">
        <v>3095</v>
      </c>
      <c r="I3225" s="699" t="s">
        <v>663</v>
      </c>
      <c r="J3225" s="704"/>
      <c r="K3225" s="699">
        <v>6.65</v>
      </c>
      <c r="M3225" s="710">
        <v>4</v>
      </c>
      <c r="N3225" s="708" t="s">
        <v>778</v>
      </c>
      <c r="O3225" s="697" t="s">
        <v>3921</v>
      </c>
      <c r="P3225" s="710">
        <f>C595</f>
        <v>53.4</v>
      </c>
      <c r="Q3225" s="698" t="s">
        <v>877</v>
      </c>
      <c r="R3225" s="710">
        <f t="shared" si="304"/>
        <v>213.6</v>
      </c>
    </row>
    <row r="3226" spans="6:18" ht="24" customHeight="1">
      <c r="H3226" s="699" t="s">
        <v>442</v>
      </c>
      <c r="J3226" s="704"/>
      <c r="K3226" s="699">
        <f>SUM(K3222:K3225)</f>
        <v>1446.8</v>
      </c>
      <c r="M3226" s="710">
        <v>8</v>
      </c>
      <c r="N3226" s="708" t="s">
        <v>877</v>
      </c>
      <c r="O3226" s="697" t="s">
        <v>3922</v>
      </c>
      <c r="P3226" s="710">
        <f>C276</f>
        <v>83</v>
      </c>
      <c r="Q3226" s="698" t="s">
        <v>877</v>
      </c>
      <c r="R3226" s="710">
        <f t="shared" si="304"/>
        <v>664</v>
      </c>
    </row>
    <row r="3227" spans="6:18" ht="24" customHeight="1">
      <c r="J3227" s="704"/>
      <c r="M3227" s="710">
        <v>4</v>
      </c>
      <c r="N3227" s="708" t="s">
        <v>877</v>
      </c>
      <c r="O3227" s="697" t="s">
        <v>3322</v>
      </c>
      <c r="P3227" s="710">
        <f>P3192</f>
        <v>90.6</v>
      </c>
      <c r="Q3227" s="698" t="s">
        <v>877</v>
      </c>
      <c r="R3227" s="710">
        <f t="shared" si="304"/>
        <v>362.4</v>
      </c>
    </row>
    <row r="3228" spans="6:18" ht="24" customHeight="1">
      <c r="H3228" s="699" t="s">
        <v>556</v>
      </c>
      <c r="J3228" s="704"/>
      <c r="K3228" s="699">
        <f>K3226/10</f>
        <v>144.68</v>
      </c>
      <c r="M3228" s="710">
        <v>1</v>
      </c>
      <c r="N3228" s="708" t="s">
        <v>877</v>
      </c>
      <c r="O3228" s="697" t="s">
        <v>3323</v>
      </c>
      <c r="P3228" s="710">
        <f>P3193</f>
        <v>194.4</v>
      </c>
      <c r="Q3228" s="698" t="s">
        <v>877</v>
      </c>
      <c r="R3228" s="710">
        <f t="shared" si="304"/>
        <v>194.4</v>
      </c>
    </row>
    <row r="3229" spans="6:18" ht="24" customHeight="1">
      <c r="J3229" s="704"/>
      <c r="L3229" s="699">
        <f>K3263</f>
        <v>279</v>
      </c>
      <c r="M3229" s="710">
        <v>2</v>
      </c>
      <c r="N3229" s="708" t="s">
        <v>877</v>
      </c>
      <c r="O3229" s="697" t="s">
        <v>3324</v>
      </c>
      <c r="P3229" s="710">
        <f>P3194</f>
        <v>22.9</v>
      </c>
      <c r="Q3229" s="698" t="s">
        <v>877</v>
      </c>
      <c r="R3229" s="710">
        <f t="shared" si="304"/>
        <v>45.8</v>
      </c>
    </row>
    <row r="3230" spans="6:18" ht="24" customHeight="1">
      <c r="J3230" s="704"/>
      <c r="L3230" s="699">
        <f>K3264</f>
        <v>172</v>
      </c>
      <c r="M3230" s="710">
        <v>2</v>
      </c>
      <c r="N3230" s="708" t="s">
        <v>877</v>
      </c>
      <c r="O3230" s="697" t="s">
        <v>3325</v>
      </c>
      <c r="P3230" s="710">
        <f>P3195</f>
        <v>45.9</v>
      </c>
      <c r="Q3230" s="698" t="s">
        <v>877</v>
      </c>
      <c r="R3230" s="710">
        <f t="shared" si="304"/>
        <v>91.8</v>
      </c>
    </row>
    <row r="3231" spans="6:18" ht="24" customHeight="1">
      <c r="J3231" s="704"/>
      <c r="L3231" s="699">
        <f>K3265</f>
        <v>140.5</v>
      </c>
      <c r="M3231" s="710">
        <v>118</v>
      </c>
      <c r="N3231" s="708" t="s">
        <v>877</v>
      </c>
      <c r="O3231" s="699" t="s">
        <v>1356</v>
      </c>
      <c r="P3231" s="699">
        <f>P3196</f>
        <v>2.39</v>
      </c>
      <c r="Q3231" s="698" t="s">
        <v>877</v>
      </c>
      <c r="R3231" s="710">
        <f t="shared" si="304"/>
        <v>282.02</v>
      </c>
    </row>
    <row r="3232" spans="6:18" ht="24" customHeight="1">
      <c r="J3232" s="704"/>
      <c r="L3232" s="699">
        <f>K3266</f>
        <v>184.4</v>
      </c>
      <c r="N3232" s="700"/>
      <c r="Q3232" s="704"/>
      <c r="R3232" s="705" t="s">
        <v>1609</v>
      </c>
    </row>
    <row r="3233" spans="6:24" ht="24" customHeight="1">
      <c r="J3233" s="704"/>
      <c r="L3233" s="699">
        <f>K3267</f>
        <v>1.65</v>
      </c>
      <c r="N3233" s="700"/>
      <c r="O3233" s="697" t="s">
        <v>3326</v>
      </c>
      <c r="Q3233" s="704"/>
      <c r="R3233" s="710">
        <f>SUM(R3218:R3231)</f>
        <v>16304.51</v>
      </c>
    </row>
    <row r="3234" spans="6:24" ht="24" customHeight="1">
      <c r="H3234" s="699" t="s">
        <v>2605</v>
      </c>
      <c r="J3234" s="704"/>
      <c r="N3234" s="700"/>
      <c r="Q3234" s="704"/>
      <c r="R3234" s="705" t="s">
        <v>1609</v>
      </c>
    </row>
    <row r="3235" spans="6:24" ht="24" customHeight="1">
      <c r="H3235" s="699" t="s">
        <v>1063</v>
      </c>
      <c r="J3235" s="704"/>
      <c r="N3235" s="700"/>
      <c r="O3235" s="701" t="s">
        <v>556</v>
      </c>
      <c r="Q3235" s="877" t="s">
        <v>729</v>
      </c>
      <c r="R3235" s="709">
        <f>R3233/M3224</f>
        <v>5222.46</v>
      </c>
    </row>
    <row r="3236" spans="6:24" ht="24" customHeight="1">
      <c r="H3236" s="699" t="s">
        <v>1255</v>
      </c>
      <c r="J3236" s="704"/>
      <c r="L3236" s="699">
        <f>SUM(L3229:L3235)</f>
        <v>777.55</v>
      </c>
      <c r="M3236" s="698"/>
      <c r="N3236" s="708" t="s">
        <v>2276</v>
      </c>
      <c r="O3236" s="697" t="s">
        <v>2861</v>
      </c>
      <c r="Q3236" s="704"/>
    </row>
    <row r="3237" spans="6:24" ht="24" customHeight="1">
      <c r="J3237" s="704"/>
      <c r="N3237" s="700"/>
      <c r="O3237" s="697" t="s">
        <v>255</v>
      </c>
      <c r="Q3237" s="704"/>
    </row>
    <row r="3238" spans="6:24" ht="24" customHeight="1">
      <c r="F3238" s="699">
        <v>1.89</v>
      </c>
      <c r="G3238" s="700" t="s">
        <v>2604</v>
      </c>
      <c r="H3238" s="699" t="s">
        <v>1198</v>
      </c>
      <c r="I3238" s="699">
        <f>I3193</f>
        <v>225.4</v>
      </c>
      <c r="J3238" s="700" t="s">
        <v>2604</v>
      </c>
      <c r="K3238" s="699">
        <f>I3238*F3238</f>
        <v>426.01</v>
      </c>
      <c r="L3238" s="699">
        <f>L3236/10</f>
        <v>77.760000000000005</v>
      </c>
      <c r="N3238" s="700"/>
      <c r="O3238" s="951" t="s">
        <v>3333</v>
      </c>
      <c r="Q3238" s="704"/>
    </row>
    <row r="3239" spans="6:24" ht="24" customHeight="1">
      <c r="F3239" s="699">
        <v>1.1000000000000001</v>
      </c>
      <c r="G3239" s="700" t="s">
        <v>258</v>
      </c>
      <c r="H3239" s="699" t="s">
        <v>1197</v>
      </c>
      <c r="I3239" s="699">
        <f>I3194</f>
        <v>688</v>
      </c>
      <c r="J3239" s="700" t="s">
        <v>258</v>
      </c>
      <c r="K3239" s="699">
        <f>I3239*F3239</f>
        <v>756.8</v>
      </c>
      <c r="N3239" s="700"/>
      <c r="O3239" s="705" t="s">
        <v>1609</v>
      </c>
      <c r="Q3239" s="704"/>
    </row>
    <row r="3240" spans="6:24" ht="30" customHeight="1">
      <c r="F3240" s="699">
        <v>10</v>
      </c>
      <c r="G3240" s="700" t="s">
        <v>2308</v>
      </c>
      <c r="H3240" s="697" t="s">
        <v>3094</v>
      </c>
      <c r="I3240" s="735">
        <f>I3195</f>
        <v>8.3000000000000007</v>
      </c>
      <c r="J3240" s="700" t="s">
        <v>2308</v>
      </c>
      <c r="K3240" s="699">
        <f>I3240*F3240</f>
        <v>83</v>
      </c>
      <c r="N3240" s="700"/>
      <c r="O3240" s="697" t="s">
        <v>3334</v>
      </c>
      <c r="P3240" s="785" t="s">
        <v>2080</v>
      </c>
      <c r="Q3240" s="848">
        <v>2.4279999999999999</v>
      </c>
      <c r="R3240" s="699" t="s">
        <v>2308</v>
      </c>
    </row>
    <row r="3241" spans="6:24" ht="30" customHeight="1">
      <c r="H3241" s="697" t="s">
        <v>3095</v>
      </c>
      <c r="I3241" s="699" t="s">
        <v>663</v>
      </c>
      <c r="J3241" s="704"/>
      <c r="K3241" s="699">
        <v>1.9</v>
      </c>
      <c r="N3241" s="700"/>
      <c r="O3241" s="697"/>
      <c r="P3241" s="785"/>
      <c r="Q3241" s="848"/>
    </row>
    <row r="3242" spans="6:24" ht="30" customHeight="1">
      <c r="H3242" s="699" t="s">
        <v>442</v>
      </c>
      <c r="J3242" s="704"/>
      <c r="K3242" s="699">
        <f>SUM(K3238:K3241)</f>
        <v>1267.71</v>
      </c>
      <c r="N3242" s="700"/>
      <c r="O3242" s="697" t="s">
        <v>5275</v>
      </c>
      <c r="P3242" s="785" t="s">
        <v>2080</v>
      </c>
      <c r="Q3242" s="997">
        <v>5.1999999999999998E-2</v>
      </c>
      <c r="R3242" s="699" t="s">
        <v>2176</v>
      </c>
      <c r="T3242" s="758" t="s">
        <v>684</v>
      </c>
    </row>
    <row r="3243" spans="6:24" ht="30" customHeight="1">
      <c r="J3243" s="704"/>
      <c r="N3243" s="700"/>
      <c r="O3243" s="697" t="s">
        <v>3316</v>
      </c>
      <c r="Q3243" s="785"/>
      <c r="T3243" s="758" t="s">
        <v>1913</v>
      </c>
    </row>
    <row r="3244" spans="6:24" ht="30" customHeight="1">
      <c r="H3244" s="699" t="s">
        <v>556</v>
      </c>
      <c r="J3244" s="704"/>
      <c r="K3244" s="699">
        <f>K3242/10</f>
        <v>126.77</v>
      </c>
      <c r="N3244" s="700"/>
      <c r="O3244" s="697" t="s">
        <v>3335</v>
      </c>
      <c r="P3244" s="785" t="s">
        <v>2080</v>
      </c>
      <c r="Q3244" s="1069">
        <v>1.7718999999999999E-2</v>
      </c>
      <c r="S3244" s="1070">
        <v>6.3E-2</v>
      </c>
      <c r="T3244" s="839" t="s">
        <v>878</v>
      </c>
      <c r="U3244" s="758" t="s">
        <v>3181</v>
      </c>
      <c r="V3244" s="758">
        <f>P3288</f>
        <v>111600</v>
      </c>
      <c r="W3244" s="759" t="s">
        <v>878</v>
      </c>
      <c r="X3244" s="758">
        <f>V3244*S3244</f>
        <v>7030.8</v>
      </c>
    </row>
    <row r="3245" spans="6:24" ht="30" customHeight="1">
      <c r="G3245" s="699"/>
      <c r="J3245" s="699"/>
      <c r="N3245" s="700"/>
      <c r="O3245" s="697" t="s">
        <v>3336</v>
      </c>
      <c r="P3245" s="785" t="s">
        <v>2080</v>
      </c>
      <c r="Q3245" s="1069">
        <v>7.8750000000000001E-3</v>
      </c>
      <c r="R3245" s="775"/>
      <c r="S3245" s="1070">
        <v>4.8000000000000001E-2</v>
      </c>
      <c r="T3245" s="839" t="s">
        <v>878</v>
      </c>
      <c r="U3245" s="758" t="s">
        <v>2485</v>
      </c>
      <c r="V3245" s="758">
        <f>I3277</f>
        <v>99400</v>
      </c>
      <c r="W3245" s="759" t="s">
        <v>878</v>
      </c>
      <c r="X3245" s="758">
        <f>V3245*S3245</f>
        <v>4771.2</v>
      </c>
    </row>
    <row r="3246" spans="6:24" ht="30" customHeight="1">
      <c r="G3246" s="699"/>
      <c r="H3246" s="697" t="s">
        <v>1947</v>
      </c>
      <c r="J3246" s="699"/>
      <c r="N3246" s="700"/>
      <c r="Q3246" s="705" t="s">
        <v>1609</v>
      </c>
      <c r="S3246" s="1070">
        <v>1.54</v>
      </c>
      <c r="T3246" s="839" t="s">
        <v>615</v>
      </c>
      <c r="U3246" s="758" t="s">
        <v>1914</v>
      </c>
      <c r="V3246" s="758">
        <f t="shared" ref="V3246:V3255" si="305">I3278</f>
        <v>2152</v>
      </c>
      <c r="W3246" s="759" t="s">
        <v>2308</v>
      </c>
      <c r="X3246" s="758">
        <f t="shared" ref="X3246:X3255" si="306">V3246*S3246</f>
        <v>3314.08</v>
      </c>
    </row>
    <row r="3247" spans="6:24" ht="30" customHeight="1">
      <c r="G3247" s="699"/>
      <c r="H3247" s="697" t="s">
        <v>2606</v>
      </c>
      <c r="J3247" s="699"/>
      <c r="N3247" s="700"/>
      <c r="Q3247" s="1064">
        <v>2.5590000000000002E-2</v>
      </c>
      <c r="R3247" s="699" t="s">
        <v>2176</v>
      </c>
      <c r="S3247" s="1070">
        <v>3.9E-2</v>
      </c>
      <c r="T3247" s="839" t="s">
        <v>878</v>
      </c>
      <c r="U3247" s="811" t="s">
        <v>947</v>
      </c>
      <c r="V3247" s="758">
        <f t="shared" si="305"/>
        <v>95000</v>
      </c>
      <c r="W3247" s="759" t="s">
        <v>878</v>
      </c>
      <c r="X3247" s="758">
        <f t="shared" si="306"/>
        <v>3705</v>
      </c>
    </row>
    <row r="3248" spans="6:24" ht="30" customHeight="1">
      <c r="G3248" s="699"/>
      <c r="J3248" s="699"/>
      <c r="N3248" s="700"/>
      <c r="Q3248" s="705" t="s">
        <v>1609</v>
      </c>
      <c r="S3248" s="1070">
        <v>3.488</v>
      </c>
      <c r="T3248" s="839" t="s">
        <v>615</v>
      </c>
      <c r="U3248" s="811" t="s">
        <v>892</v>
      </c>
      <c r="V3248" s="758">
        <f t="shared" si="305"/>
        <v>1325</v>
      </c>
      <c r="W3248" s="759" t="s">
        <v>615</v>
      </c>
      <c r="X3248" s="758">
        <f t="shared" si="306"/>
        <v>4621.6000000000004</v>
      </c>
    </row>
    <row r="3249" spans="6:24" ht="30" customHeight="1">
      <c r="F3249" s="710">
        <v>0.22</v>
      </c>
      <c r="G3249" s="708" t="s">
        <v>878</v>
      </c>
      <c r="H3249" s="697" t="s">
        <v>1650</v>
      </c>
      <c r="I3249" s="710">
        <f>K46</f>
        <v>3327.58</v>
      </c>
      <c r="J3249" s="698" t="s">
        <v>878</v>
      </c>
      <c r="K3249" s="710">
        <f>(F3249*I3249)</f>
        <v>732.07</v>
      </c>
      <c r="N3249" s="700"/>
      <c r="O3249" s="697" t="s">
        <v>3337</v>
      </c>
      <c r="Q3249" s="1065">
        <v>1.0999999999999999E-2</v>
      </c>
      <c r="R3249" s="775"/>
      <c r="S3249" s="1070">
        <v>6</v>
      </c>
      <c r="T3249" s="839" t="s">
        <v>1898</v>
      </c>
      <c r="U3249" s="758" t="s">
        <v>1915</v>
      </c>
      <c r="V3249" s="758">
        <f t="shared" si="305"/>
        <v>212</v>
      </c>
      <c r="W3249" s="759" t="s">
        <v>1418</v>
      </c>
      <c r="X3249" s="758">
        <f t="shared" si="306"/>
        <v>1272</v>
      </c>
    </row>
    <row r="3250" spans="6:24" ht="30" customHeight="1">
      <c r="F3250" s="710">
        <v>2.2000000000000002</v>
      </c>
      <c r="G3250" s="708" t="s">
        <v>778</v>
      </c>
      <c r="H3250" s="697" t="s">
        <v>2034</v>
      </c>
      <c r="I3250" s="710">
        <f>AE7</f>
        <v>861</v>
      </c>
      <c r="J3250" s="698" t="s">
        <v>778</v>
      </c>
      <c r="K3250" s="710">
        <f>(F3250*I3250)</f>
        <v>1894.2</v>
      </c>
      <c r="N3250" s="700"/>
      <c r="O3250" s="697" t="s">
        <v>3338</v>
      </c>
      <c r="Q3250" s="1066">
        <v>5.3E-3</v>
      </c>
      <c r="R3250" s="775"/>
      <c r="S3250" s="1070">
        <v>1</v>
      </c>
      <c r="T3250" s="839" t="s">
        <v>1898</v>
      </c>
      <c r="U3250" s="758" t="s">
        <v>1916</v>
      </c>
      <c r="V3250" s="758">
        <f t="shared" si="305"/>
        <v>1010</v>
      </c>
      <c r="W3250" s="759" t="s">
        <v>1418</v>
      </c>
      <c r="X3250" s="758">
        <f t="shared" si="306"/>
        <v>1010</v>
      </c>
    </row>
    <row r="3251" spans="6:24" ht="30" customHeight="1">
      <c r="F3251" s="710">
        <v>0.5</v>
      </c>
      <c r="G3251" s="708" t="s">
        <v>778</v>
      </c>
      <c r="H3251" s="697" t="s">
        <v>944</v>
      </c>
      <c r="I3251" s="710">
        <f>I3180</f>
        <v>562</v>
      </c>
      <c r="J3251" s="698" t="s">
        <v>778</v>
      </c>
      <c r="K3251" s="710">
        <f>(F3251*I3251)</f>
        <v>281</v>
      </c>
      <c r="N3251" s="700"/>
      <c r="O3251" s="697"/>
      <c r="Q3251" s="705" t="s">
        <v>1609</v>
      </c>
      <c r="R3251" s="775"/>
      <c r="S3251" s="1070">
        <v>2</v>
      </c>
      <c r="T3251" s="839" t="s">
        <v>1898</v>
      </c>
      <c r="U3251" s="758" t="s">
        <v>1917</v>
      </c>
      <c r="V3251" s="758">
        <f t="shared" si="305"/>
        <v>535</v>
      </c>
      <c r="W3251" s="759" t="s">
        <v>1418</v>
      </c>
      <c r="X3251" s="758">
        <f t="shared" si="306"/>
        <v>1070</v>
      </c>
    </row>
    <row r="3252" spans="6:24" ht="30" customHeight="1">
      <c r="F3252" s="710">
        <v>3.2</v>
      </c>
      <c r="G3252" s="708" t="s">
        <v>778</v>
      </c>
      <c r="H3252" s="697" t="s">
        <v>321</v>
      </c>
      <c r="I3252" s="710">
        <f>I3181</f>
        <v>461</v>
      </c>
      <c r="J3252" s="698" t="s">
        <v>778</v>
      </c>
      <c r="K3252" s="710">
        <f>(F3252*I3252)</f>
        <v>1475.2</v>
      </c>
      <c r="N3252" s="700"/>
      <c r="O3252" s="697"/>
      <c r="Q3252" s="1067">
        <v>1.6299999999999999E-2</v>
      </c>
      <c r="R3252" s="775" t="s">
        <v>2176</v>
      </c>
      <c r="S3252" s="1070">
        <v>2</v>
      </c>
      <c r="T3252" s="839" t="s">
        <v>1898</v>
      </c>
      <c r="U3252" s="758" t="s">
        <v>1918</v>
      </c>
      <c r="V3252" s="758">
        <f t="shared" si="305"/>
        <v>757</v>
      </c>
      <c r="W3252" s="759" t="s">
        <v>1418</v>
      </c>
      <c r="X3252" s="758">
        <f t="shared" si="306"/>
        <v>1514</v>
      </c>
    </row>
    <row r="3253" spans="6:24" ht="39.75" customHeight="1">
      <c r="F3253" s="710">
        <v>10</v>
      </c>
      <c r="G3253" s="708" t="s">
        <v>236</v>
      </c>
      <c r="H3253" s="1043" t="s">
        <v>5116</v>
      </c>
      <c r="I3253" s="736">
        <f>AE53</f>
        <v>9.2899999999999991</v>
      </c>
      <c r="J3253" s="698" t="s">
        <v>236</v>
      </c>
      <c r="K3253" s="710">
        <f>(F3253*I3253)</f>
        <v>92.9</v>
      </c>
      <c r="N3253" s="700"/>
      <c r="Q3253" s="705" t="s">
        <v>1609</v>
      </c>
      <c r="R3253" s="705"/>
      <c r="S3253" s="1070">
        <v>1</v>
      </c>
      <c r="T3253" s="839" t="s">
        <v>1898</v>
      </c>
      <c r="U3253" s="758" t="s">
        <v>1919</v>
      </c>
      <c r="V3253" s="758">
        <f t="shared" si="305"/>
        <v>985</v>
      </c>
      <c r="W3253" s="759" t="s">
        <v>1418</v>
      </c>
      <c r="X3253" s="758">
        <f t="shared" si="306"/>
        <v>985</v>
      </c>
    </row>
    <row r="3254" spans="6:24" ht="30" customHeight="1">
      <c r="J3254" s="704"/>
      <c r="K3254" s="705" t="s">
        <v>1609</v>
      </c>
      <c r="M3254" s="775">
        <v>5.1999999999999998E-2</v>
      </c>
      <c r="N3254" s="708" t="s">
        <v>878</v>
      </c>
      <c r="O3254" s="697" t="s">
        <v>309</v>
      </c>
      <c r="P3254" s="710">
        <f>P3185</f>
        <v>111600</v>
      </c>
      <c r="Q3254" s="698" t="s">
        <v>878</v>
      </c>
      <c r="R3254" s="710">
        <f>P3254*M3254</f>
        <v>5803.2</v>
      </c>
      <c r="S3254" s="1070">
        <v>2</v>
      </c>
      <c r="T3254" s="839" t="s">
        <v>1898</v>
      </c>
      <c r="U3254" s="758" t="s">
        <v>1920</v>
      </c>
      <c r="V3254" s="758">
        <f t="shared" si="305"/>
        <v>450</v>
      </c>
      <c r="W3254" s="759" t="s">
        <v>1418</v>
      </c>
      <c r="X3254" s="758">
        <f t="shared" si="306"/>
        <v>900</v>
      </c>
    </row>
    <row r="3255" spans="6:24" ht="30" customHeight="1">
      <c r="H3255" s="697" t="s">
        <v>442</v>
      </c>
      <c r="J3255" s="704"/>
      <c r="K3255" s="710">
        <f>SUM(K3249:K3254)</f>
        <v>4475.37</v>
      </c>
      <c r="M3255" s="775">
        <v>2.5590000000000002E-2</v>
      </c>
      <c r="N3255" s="708" t="s">
        <v>878</v>
      </c>
      <c r="O3255" s="697" t="s">
        <v>310</v>
      </c>
      <c r="P3255" s="710">
        <f>P3186</f>
        <v>99400</v>
      </c>
      <c r="Q3255" s="698" t="s">
        <v>878</v>
      </c>
      <c r="R3255" s="710">
        <f t="shared" ref="R3255:R3265" si="307">P3255*M3255</f>
        <v>2543.65</v>
      </c>
      <c r="S3255" s="1070">
        <v>0</v>
      </c>
      <c r="T3255" s="839" t="s">
        <v>1452</v>
      </c>
      <c r="U3255" s="758" t="s">
        <v>5276</v>
      </c>
      <c r="V3255" s="758">
        <f t="shared" si="305"/>
        <v>2.39</v>
      </c>
      <c r="W3255" s="759" t="s">
        <v>1418</v>
      </c>
      <c r="X3255" s="1038">
        <f t="shared" si="306"/>
        <v>0</v>
      </c>
    </row>
    <row r="3256" spans="6:24" ht="30" customHeight="1">
      <c r="J3256" s="704"/>
      <c r="K3256" s="705" t="s">
        <v>1609</v>
      </c>
      <c r="M3256" s="775">
        <v>1.6299999999999999E-2</v>
      </c>
      <c r="N3256" s="708" t="s">
        <v>878</v>
      </c>
      <c r="O3256" s="769" t="s">
        <v>3339</v>
      </c>
      <c r="P3256" s="1071">
        <f>AC26</f>
        <v>95000</v>
      </c>
      <c r="Q3256" s="698" t="s">
        <v>878</v>
      </c>
      <c r="R3256" s="710">
        <f t="shared" si="307"/>
        <v>1548.5</v>
      </c>
      <c r="S3256" s="1070"/>
      <c r="T3256" s="839"/>
      <c r="U3256" s="758" t="s">
        <v>1921</v>
      </c>
      <c r="V3256" s="758"/>
      <c r="W3256" s="759"/>
      <c r="X3256" s="758">
        <f>SUM(X3244:X3255)</f>
        <v>30193.68</v>
      </c>
    </row>
    <row r="3257" spans="6:24" ht="30" customHeight="1">
      <c r="H3257" s="697" t="s">
        <v>556</v>
      </c>
      <c r="J3257" s="704"/>
      <c r="K3257" s="710">
        <f>(K3255/10)</f>
        <v>447.54</v>
      </c>
      <c r="M3257" s="776"/>
      <c r="N3257" s="700"/>
      <c r="O3257" s="697" t="s">
        <v>956</v>
      </c>
      <c r="P3257" s="710"/>
      <c r="Q3257" s="704"/>
      <c r="R3257" s="710">
        <f t="shared" si="307"/>
        <v>0</v>
      </c>
      <c r="S3257" s="1070"/>
      <c r="T3257" s="839"/>
      <c r="U3257" s="758"/>
      <c r="V3257" s="758"/>
      <c r="W3257" s="759"/>
      <c r="X3257" s="1038" t="s">
        <v>148</v>
      </c>
    </row>
    <row r="3258" spans="6:24" ht="24" customHeight="1">
      <c r="J3258" s="704"/>
      <c r="K3258" s="705" t="s">
        <v>2080</v>
      </c>
      <c r="M3258" s="776">
        <v>2.4279999999999999</v>
      </c>
      <c r="N3258" s="708" t="s">
        <v>615</v>
      </c>
      <c r="O3258" s="697" t="s">
        <v>448</v>
      </c>
      <c r="P3258" s="710">
        <f t="shared" ref="P3258:P3264" si="308">P3189</f>
        <v>1325</v>
      </c>
      <c r="Q3258" s="698" t="s">
        <v>615</v>
      </c>
      <c r="R3258" s="710">
        <f t="shared" si="307"/>
        <v>3217.1</v>
      </c>
      <c r="S3258" s="1070"/>
      <c r="T3258" s="839"/>
      <c r="U3258" s="758" t="s">
        <v>1922</v>
      </c>
      <c r="V3258" s="758"/>
      <c r="W3258" s="759"/>
      <c r="X3258" s="758">
        <f>X3256/S3248</f>
        <v>8656.44</v>
      </c>
    </row>
    <row r="3259" spans="6:24" ht="24" customHeight="1">
      <c r="G3259" s="699"/>
      <c r="J3259" s="699"/>
      <c r="K3259" s="699">
        <f>54000+7000</f>
        <v>61000</v>
      </c>
      <c r="M3259" s="710">
        <v>4</v>
      </c>
      <c r="N3259" s="708" t="s">
        <v>778</v>
      </c>
      <c r="O3259" s="697" t="s">
        <v>3321</v>
      </c>
      <c r="P3259" s="710">
        <f>P3225</f>
        <v>53.4</v>
      </c>
      <c r="Q3259" s="698" t="s">
        <v>877</v>
      </c>
      <c r="R3259" s="710">
        <f t="shared" si="307"/>
        <v>213.6</v>
      </c>
      <c r="S3259" s="1070"/>
      <c r="T3259" s="839"/>
      <c r="U3259" s="758"/>
      <c r="V3259" s="758"/>
      <c r="W3259" s="759"/>
      <c r="X3259" s="1038" t="s">
        <v>148</v>
      </c>
    </row>
    <row r="3260" spans="6:24" ht="24" customHeight="1">
      <c r="G3260" s="699"/>
      <c r="J3260" s="699"/>
      <c r="M3260" s="710">
        <v>8</v>
      </c>
      <c r="N3260" s="708" t="s">
        <v>877</v>
      </c>
      <c r="O3260" s="697" t="s">
        <v>1486</v>
      </c>
      <c r="P3260" s="710">
        <f>P3226</f>
        <v>83</v>
      </c>
      <c r="Q3260" s="698" t="s">
        <v>877</v>
      </c>
      <c r="R3260" s="710">
        <f t="shared" si="307"/>
        <v>664</v>
      </c>
    </row>
    <row r="3261" spans="6:24" ht="24" customHeight="1">
      <c r="F3261" s="698" t="s">
        <v>32</v>
      </c>
      <c r="G3261" s="708" t="s">
        <v>2276</v>
      </c>
      <c r="H3261" s="698" t="s">
        <v>3450</v>
      </c>
      <c r="J3261" s="704"/>
      <c r="M3261" s="710">
        <v>4</v>
      </c>
      <c r="N3261" s="708" t="s">
        <v>877</v>
      </c>
      <c r="O3261" s="697" t="s">
        <v>3322</v>
      </c>
      <c r="P3261" s="710">
        <f t="shared" si="308"/>
        <v>90.6</v>
      </c>
      <c r="Q3261" s="698" t="s">
        <v>877</v>
      </c>
      <c r="R3261" s="710">
        <f t="shared" si="307"/>
        <v>362.4</v>
      </c>
    </row>
    <row r="3262" spans="6:24" ht="24" customHeight="1">
      <c r="H3262" s="698" t="s">
        <v>34</v>
      </c>
      <c r="J3262" s="704"/>
      <c r="M3262" s="710">
        <v>1</v>
      </c>
      <c r="N3262" s="708" t="s">
        <v>877</v>
      </c>
      <c r="O3262" s="697" t="s">
        <v>3323</v>
      </c>
      <c r="P3262" s="710">
        <f t="shared" si="308"/>
        <v>194.4</v>
      </c>
      <c r="Q3262" s="698" t="s">
        <v>877</v>
      </c>
      <c r="R3262" s="710">
        <f t="shared" si="307"/>
        <v>194.4</v>
      </c>
    </row>
    <row r="3263" spans="6:24" ht="24" customHeight="1">
      <c r="F3263" s="710">
        <v>1.8</v>
      </c>
      <c r="G3263" s="708" t="s">
        <v>1390</v>
      </c>
      <c r="H3263" s="697" t="s">
        <v>33</v>
      </c>
      <c r="I3263" s="710">
        <f>E268</f>
        <v>155</v>
      </c>
      <c r="J3263" s="698" t="s">
        <v>1390</v>
      </c>
      <c r="K3263" s="710">
        <f>(F3263*I3263)</f>
        <v>279</v>
      </c>
      <c r="M3263" s="710">
        <v>2</v>
      </c>
      <c r="N3263" s="708" t="s">
        <v>877</v>
      </c>
      <c r="O3263" s="697" t="s">
        <v>3324</v>
      </c>
      <c r="P3263" s="710">
        <f t="shared" si="308"/>
        <v>22.9</v>
      </c>
      <c r="Q3263" s="698" t="s">
        <v>877</v>
      </c>
      <c r="R3263" s="710">
        <f t="shared" si="307"/>
        <v>45.8</v>
      </c>
    </row>
    <row r="3264" spans="6:24" ht="24" customHeight="1">
      <c r="F3264" s="710">
        <v>0.25</v>
      </c>
      <c r="G3264" s="708" t="s">
        <v>564</v>
      </c>
      <c r="H3264" s="697" t="s">
        <v>1391</v>
      </c>
      <c r="I3264" s="710">
        <f>I3239</f>
        <v>688</v>
      </c>
      <c r="J3264" s="698" t="s">
        <v>564</v>
      </c>
      <c r="K3264" s="710">
        <f>(F3264*I3264)</f>
        <v>172</v>
      </c>
      <c r="M3264" s="710">
        <v>2</v>
      </c>
      <c r="N3264" s="708" t="s">
        <v>877</v>
      </c>
      <c r="O3264" s="697" t="s">
        <v>3325</v>
      </c>
      <c r="P3264" s="710">
        <f t="shared" si="308"/>
        <v>45.9</v>
      </c>
      <c r="Q3264" s="698" t="s">
        <v>877</v>
      </c>
      <c r="R3264" s="710">
        <f t="shared" si="307"/>
        <v>91.8</v>
      </c>
    </row>
    <row r="3265" spans="6:18" ht="24" customHeight="1">
      <c r="F3265" s="710">
        <v>0.25</v>
      </c>
      <c r="G3265" s="708" t="s">
        <v>564</v>
      </c>
      <c r="H3265" s="697" t="s">
        <v>832</v>
      </c>
      <c r="I3265" s="710">
        <f>I3180</f>
        <v>562</v>
      </c>
      <c r="J3265" s="698" t="s">
        <v>564</v>
      </c>
      <c r="K3265" s="710">
        <f>(F3265*I3265)</f>
        <v>140.5</v>
      </c>
      <c r="M3265" s="699">
        <v>118</v>
      </c>
      <c r="N3265" s="708" t="s">
        <v>877</v>
      </c>
      <c r="O3265" s="699" t="s">
        <v>1356</v>
      </c>
      <c r="P3265" s="699">
        <f>P3231</f>
        <v>2.39</v>
      </c>
      <c r="Q3265" s="704"/>
      <c r="R3265" s="710">
        <f t="shared" si="307"/>
        <v>282.02</v>
      </c>
    </row>
    <row r="3266" spans="6:18" ht="24" customHeight="1">
      <c r="F3266" s="710">
        <v>0.4</v>
      </c>
      <c r="G3266" s="708" t="s">
        <v>564</v>
      </c>
      <c r="H3266" s="697" t="s">
        <v>1392</v>
      </c>
      <c r="I3266" s="710">
        <f>I3181</f>
        <v>461</v>
      </c>
      <c r="J3266" s="698" t="s">
        <v>564</v>
      </c>
      <c r="K3266" s="710">
        <f>(F3266*I3266)</f>
        <v>184.4</v>
      </c>
      <c r="N3266" s="700"/>
      <c r="Q3266" s="704"/>
      <c r="R3266" s="705" t="s">
        <v>1609</v>
      </c>
    </row>
    <row r="3267" spans="6:18" ht="24" customHeight="1">
      <c r="G3267" s="708" t="s">
        <v>450</v>
      </c>
      <c r="H3267" s="697" t="s">
        <v>1861</v>
      </c>
      <c r="J3267" s="698" t="s">
        <v>450</v>
      </c>
      <c r="K3267" s="710">
        <v>1.65</v>
      </c>
      <c r="N3267" s="700"/>
      <c r="O3267" s="697" t="s">
        <v>3340</v>
      </c>
      <c r="Q3267" s="704"/>
      <c r="R3267" s="710">
        <f>SUM(R3254:R3265)</f>
        <v>14966.47</v>
      </c>
    </row>
    <row r="3268" spans="6:18" ht="24" customHeight="1">
      <c r="F3268" s="699">
        <v>10</v>
      </c>
      <c r="H3268" s="697" t="s">
        <v>3451</v>
      </c>
      <c r="I3268" s="699">
        <f>I3169</f>
        <v>3.83</v>
      </c>
      <c r="J3268" s="704" t="s">
        <v>236</v>
      </c>
      <c r="K3268" s="710">
        <f>I3268*F3268</f>
        <v>38.299999999999997</v>
      </c>
      <c r="N3268" s="700"/>
      <c r="Q3268" s="704"/>
      <c r="R3268" s="705" t="s">
        <v>1609</v>
      </c>
    </row>
    <row r="3269" spans="6:18" ht="24" customHeight="1">
      <c r="J3269" s="704"/>
      <c r="K3269" s="705" t="s">
        <v>1609</v>
      </c>
      <c r="N3269" s="700"/>
      <c r="O3269" s="701" t="s">
        <v>556</v>
      </c>
      <c r="Q3269" s="877" t="s">
        <v>729</v>
      </c>
      <c r="R3269" s="709">
        <f>R3267/M3258</f>
        <v>6164.11</v>
      </c>
    </row>
    <row r="3270" spans="6:18" ht="24" customHeight="1">
      <c r="H3270" s="698" t="s">
        <v>1393</v>
      </c>
      <c r="J3270" s="704"/>
      <c r="K3270" s="710">
        <f>SUM(K3263:K3269)</f>
        <v>815.85</v>
      </c>
      <c r="M3270" s="698"/>
      <c r="N3270" s="708" t="s">
        <v>2276</v>
      </c>
      <c r="O3270" s="697" t="s">
        <v>3343</v>
      </c>
      <c r="Q3270" s="704"/>
    </row>
    <row r="3271" spans="6:18" ht="24" customHeight="1">
      <c r="J3271" s="704"/>
      <c r="K3271" s="705" t="s">
        <v>1609</v>
      </c>
      <c r="N3271" s="700"/>
      <c r="O3271" s="697" t="s">
        <v>255</v>
      </c>
      <c r="Q3271" s="704"/>
    </row>
    <row r="3272" spans="6:18" ht="24" customHeight="1">
      <c r="F3272" s="697" t="s">
        <v>987</v>
      </c>
      <c r="G3272" s="708" t="s">
        <v>987</v>
      </c>
      <c r="H3272" s="698" t="s">
        <v>1720</v>
      </c>
      <c r="I3272" s="697" t="s">
        <v>987</v>
      </c>
      <c r="J3272" s="698" t="s">
        <v>987</v>
      </c>
      <c r="K3272" s="710">
        <f>K3270/10</f>
        <v>81.59</v>
      </c>
      <c r="N3272" s="700"/>
      <c r="O3272" s="951" t="s">
        <v>3333</v>
      </c>
      <c r="Q3272" s="704"/>
    </row>
    <row r="3273" spans="6:18" ht="24" customHeight="1">
      <c r="J3273" s="704"/>
      <c r="K3273" s="705" t="s">
        <v>2080</v>
      </c>
      <c r="N3273" s="700"/>
      <c r="O3273" s="705" t="s">
        <v>1609</v>
      </c>
      <c r="Q3273" s="704"/>
    </row>
    <row r="3274" spans="6:18" ht="24" customHeight="1">
      <c r="G3274" s="758" t="s">
        <v>1912</v>
      </c>
      <c r="J3274" s="699"/>
      <c r="N3274" s="700"/>
      <c r="O3274" s="697" t="s">
        <v>3334</v>
      </c>
      <c r="P3274" s="785" t="s">
        <v>2080</v>
      </c>
      <c r="Q3274" s="848">
        <v>2.4279999999999999</v>
      </c>
      <c r="R3274" s="699" t="s">
        <v>2308</v>
      </c>
    </row>
    <row r="3275" spans="6:18" ht="24" customHeight="1">
      <c r="G3275" s="758" t="s">
        <v>1913</v>
      </c>
      <c r="J3275" s="699"/>
      <c r="N3275" s="700"/>
      <c r="O3275" s="697"/>
      <c r="P3275" s="785"/>
      <c r="Q3275" s="848"/>
    </row>
    <row r="3276" spans="6:18" ht="24" customHeight="1">
      <c r="G3276" s="699"/>
      <c r="J3276" s="699"/>
      <c r="N3276" s="700"/>
      <c r="O3276" s="697" t="s">
        <v>5275</v>
      </c>
      <c r="P3276" s="785" t="s">
        <v>2080</v>
      </c>
      <c r="Q3276" s="997">
        <v>5.1999999999999998E-2</v>
      </c>
      <c r="R3276" s="699" t="s">
        <v>2176</v>
      </c>
    </row>
    <row r="3277" spans="6:18" ht="24" customHeight="1">
      <c r="F3277" s="1036">
        <v>0.10299999999999999</v>
      </c>
      <c r="G3277" s="839" t="s">
        <v>878</v>
      </c>
      <c r="H3277" s="758" t="s">
        <v>2485</v>
      </c>
      <c r="I3277" s="758">
        <f>I1099</f>
        <v>99400</v>
      </c>
      <c r="J3277" s="759" t="s">
        <v>878</v>
      </c>
      <c r="K3277" s="758">
        <f>I3277*F3277</f>
        <v>10238.200000000001</v>
      </c>
      <c r="N3277" s="700"/>
      <c r="O3277" s="697" t="s">
        <v>3316</v>
      </c>
      <c r="Q3277" s="785"/>
    </row>
    <row r="3278" spans="6:18" ht="24" customHeight="1">
      <c r="F3278" s="1036">
        <v>1.32</v>
      </c>
      <c r="G3278" s="839" t="s">
        <v>615</v>
      </c>
      <c r="H3278" s="758" t="s">
        <v>1914</v>
      </c>
      <c r="I3278" s="1072">
        <v>2152</v>
      </c>
      <c r="J3278" s="759" t="s">
        <v>2308</v>
      </c>
      <c r="K3278" s="758">
        <f t="shared" ref="K3278:K3287" si="309">I3278*F3278</f>
        <v>2840.64</v>
      </c>
      <c r="N3278" s="700"/>
      <c r="O3278" s="697" t="s">
        <v>3335</v>
      </c>
      <c r="P3278" s="785" t="s">
        <v>2080</v>
      </c>
      <c r="Q3278" s="1069">
        <v>1.7718999999999999E-2</v>
      </c>
    </row>
    <row r="3279" spans="6:18" ht="24" customHeight="1">
      <c r="F3279" s="1037">
        <v>3.3000000000000002E-2</v>
      </c>
      <c r="G3279" s="839" t="s">
        <v>878</v>
      </c>
      <c r="H3279" s="811" t="s">
        <v>947</v>
      </c>
      <c r="I3279" s="758">
        <f>AC26</f>
        <v>95000</v>
      </c>
      <c r="J3279" s="759" t="s">
        <v>878</v>
      </c>
      <c r="K3279" s="758">
        <f t="shared" si="309"/>
        <v>3135</v>
      </c>
      <c r="N3279" s="700"/>
      <c r="O3279" s="697" t="s">
        <v>3336</v>
      </c>
      <c r="P3279" s="785" t="s">
        <v>2080</v>
      </c>
      <c r="Q3279" s="1069">
        <v>7.8750000000000001E-3</v>
      </c>
      <c r="R3279" s="775"/>
    </row>
    <row r="3280" spans="6:18" ht="24" customHeight="1">
      <c r="F3280" s="1037">
        <v>3.0225</v>
      </c>
      <c r="G3280" s="839" t="s">
        <v>615</v>
      </c>
      <c r="H3280" s="811" t="s">
        <v>892</v>
      </c>
      <c r="I3280" s="758">
        <f>AE28</f>
        <v>1325</v>
      </c>
      <c r="J3280" s="759" t="s">
        <v>615</v>
      </c>
      <c r="K3280" s="758">
        <f t="shared" si="309"/>
        <v>4004.81</v>
      </c>
      <c r="N3280" s="700"/>
      <c r="Q3280" s="705" t="s">
        <v>1609</v>
      </c>
    </row>
    <row r="3281" spans="6:18" ht="24" customHeight="1">
      <c r="F3281" s="758">
        <v>6</v>
      </c>
      <c r="G3281" s="839" t="s">
        <v>1898</v>
      </c>
      <c r="H3281" s="758" t="s">
        <v>1915</v>
      </c>
      <c r="I3281" s="1072">
        <v>212</v>
      </c>
      <c r="J3281" s="759" t="s">
        <v>1418</v>
      </c>
      <c r="K3281" s="758">
        <f t="shared" si="309"/>
        <v>1272</v>
      </c>
      <c r="N3281" s="700"/>
      <c r="Q3281" s="1064">
        <v>2.5590000000000002E-2</v>
      </c>
      <c r="R3281" s="699" t="s">
        <v>2176</v>
      </c>
    </row>
    <row r="3282" spans="6:18" ht="24" customHeight="1">
      <c r="F3282" s="758">
        <v>1</v>
      </c>
      <c r="G3282" s="839" t="s">
        <v>1898</v>
      </c>
      <c r="H3282" s="758" t="s">
        <v>1916</v>
      </c>
      <c r="I3282" s="758">
        <v>1010</v>
      </c>
      <c r="J3282" s="759" t="s">
        <v>1418</v>
      </c>
      <c r="K3282" s="758">
        <f t="shared" si="309"/>
        <v>1010</v>
      </c>
      <c r="N3282" s="700"/>
      <c r="Q3282" s="705" t="s">
        <v>1609</v>
      </c>
    </row>
    <row r="3283" spans="6:18" ht="24" customHeight="1">
      <c r="F3283" s="758">
        <v>2</v>
      </c>
      <c r="G3283" s="839" t="s">
        <v>1898</v>
      </c>
      <c r="H3283" s="758" t="s">
        <v>1917</v>
      </c>
      <c r="I3283" s="758">
        <v>535</v>
      </c>
      <c r="J3283" s="759" t="s">
        <v>1418</v>
      </c>
      <c r="K3283" s="758">
        <f t="shared" si="309"/>
        <v>1070</v>
      </c>
      <c r="N3283" s="700"/>
      <c r="O3283" s="697" t="s">
        <v>3341</v>
      </c>
      <c r="Q3283" s="1065">
        <v>0.58750000000000002</v>
      </c>
      <c r="R3283" s="775"/>
    </row>
    <row r="3284" spans="6:18" ht="24" customHeight="1">
      <c r="F3284" s="758">
        <v>2</v>
      </c>
      <c r="G3284" s="839" t="s">
        <v>1898</v>
      </c>
      <c r="H3284" s="758" t="s">
        <v>1918</v>
      </c>
      <c r="I3284" s="758">
        <v>757</v>
      </c>
      <c r="J3284" s="759" t="s">
        <v>1418</v>
      </c>
      <c r="K3284" s="758">
        <f t="shared" si="309"/>
        <v>1514</v>
      </c>
      <c r="N3284" s="700"/>
      <c r="O3284" s="697" t="s">
        <v>3342</v>
      </c>
      <c r="Q3284" s="1066">
        <v>0.28129999999999999</v>
      </c>
      <c r="R3284" s="775"/>
    </row>
    <row r="3285" spans="6:18" ht="24" customHeight="1">
      <c r="F3285" s="758">
        <v>1</v>
      </c>
      <c r="G3285" s="839" t="s">
        <v>1898</v>
      </c>
      <c r="H3285" s="758" t="s">
        <v>1919</v>
      </c>
      <c r="I3285" s="841">
        <v>985</v>
      </c>
      <c r="J3285" s="759" t="s">
        <v>1418</v>
      </c>
      <c r="K3285" s="758">
        <f t="shared" si="309"/>
        <v>985</v>
      </c>
      <c r="N3285" s="700"/>
      <c r="O3285" s="697"/>
      <c r="Q3285" s="705" t="s">
        <v>1609</v>
      </c>
      <c r="R3285" s="775"/>
    </row>
    <row r="3286" spans="6:18" ht="24" customHeight="1">
      <c r="F3286" s="758">
        <v>2</v>
      </c>
      <c r="G3286" s="839" t="s">
        <v>1898</v>
      </c>
      <c r="H3286" s="758" t="s">
        <v>1920</v>
      </c>
      <c r="I3286" s="841">
        <v>450</v>
      </c>
      <c r="J3286" s="759" t="s">
        <v>1418</v>
      </c>
      <c r="K3286" s="758">
        <f t="shared" si="309"/>
        <v>900</v>
      </c>
      <c r="N3286" s="700"/>
      <c r="O3286" s="697"/>
      <c r="Q3286" s="1066">
        <v>0.86880000000000002</v>
      </c>
      <c r="R3286" s="758" t="s">
        <v>2308</v>
      </c>
    </row>
    <row r="3287" spans="6:18" ht="24" customHeight="1">
      <c r="F3287" s="758">
        <v>0</v>
      </c>
      <c r="G3287" s="839" t="s">
        <v>1452</v>
      </c>
      <c r="H3287" s="758" t="s">
        <v>5276</v>
      </c>
      <c r="I3287" s="758">
        <f>I958</f>
        <v>2.39</v>
      </c>
      <c r="J3287" s="759" t="s">
        <v>1418</v>
      </c>
      <c r="K3287" s="1038">
        <f t="shared" si="309"/>
        <v>0</v>
      </c>
      <c r="N3287" s="700"/>
      <c r="Q3287" s="705" t="s">
        <v>1609</v>
      </c>
      <c r="R3287" s="705"/>
    </row>
    <row r="3288" spans="6:18" ht="24" customHeight="1">
      <c r="F3288" s="758"/>
      <c r="G3288" s="839"/>
      <c r="H3288" s="758" t="s">
        <v>1921</v>
      </c>
      <c r="I3288" s="758"/>
      <c r="J3288" s="759"/>
      <c r="K3288" s="758">
        <f>SUM(K3277:K3287)</f>
        <v>26969.65</v>
      </c>
      <c r="M3288" s="775">
        <v>5.1999999999999998E-2</v>
      </c>
      <c r="N3288" s="708" t="s">
        <v>878</v>
      </c>
      <c r="O3288" s="697" t="s">
        <v>309</v>
      </c>
      <c r="P3288" s="710">
        <f>P3185</f>
        <v>111600</v>
      </c>
      <c r="Q3288" s="698" t="s">
        <v>878</v>
      </c>
      <c r="R3288" s="710">
        <f>P3288*M3288</f>
        <v>5803.2</v>
      </c>
    </row>
    <row r="3289" spans="6:18" ht="24" customHeight="1">
      <c r="F3289" s="758"/>
      <c r="G3289" s="839"/>
      <c r="H3289" s="758"/>
      <c r="I3289" s="758"/>
      <c r="J3289" s="759"/>
      <c r="K3289" s="1038" t="s">
        <v>148</v>
      </c>
      <c r="M3289" s="775">
        <v>2.5590000000000002E-2</v>
      </c>
      <c r="N3289" s="708" t="s">
        <v>878</v>
      </c>
      <c r="O3289" s="697" t="s">
        <v>310</v>
      </c>
      <c r="P3289" s="710">
        <f>P3186</f>
        <v>99400</v>
      </c>
      <c r="Q3289" s="698" t="s">
        <v>878</v>
      </c>
      <c r="R3289" s="710">
        <f t="shared" ref="R3289:R3297" si="310">P3289*M3289</f>
        <v>2543.65</v>
      </c>
    </row>
    <row r="3290" spans="6:18" ht="24" customHeight="1">
      <c r="F3290" s="758"/>
      <c r="G3290" s="839"/>
      <c r="H3290" s="758" t="s">
        <v>1922</v>
      </c>
      <c r="I3290" s="758"/>
      <c r="J3290" s="759"/>
      <c r="K3290" s="758">
        <f>K3288/F3280</f>
        <v>8922.9599999999991</v>
      </c>
      <c r="M3290" s="710">
        <v>0.87</v>
      </c>
      <c r="N3290" s="708" t="s">
        <v>615</v>
      </c>
      <c r="O3290" s="697" t="s">
        <v>2117</v>
      </c>
      <c r="P3290" s="710">
        <f>C780</f>
        <v>387.4</v>
      </c>
      <c r="Q3290" s="698" t="s">
        <v>878</v>
      </c>
      <c r="R3290" s="710">
        <f t="shared" si="310"/>
        <v>337.04</v>
      </c>
    </row>
    <row r="3291" spans="6:18" ht="24" customHeight="1">
      <c r="F3291" s="758"/>
      <c r="G3291" s="839"/>
      <c r="H3291" s="758"/>
      <c r="I3291" s="758"/>
      <c r="J3291" s="759"/>
      <c r="K3291" s="1038" t="s">
        <v>148</v>
      </c>
      <c r="M3291" s="776">
        <v>2.4279999999999999</v>
      </c>
      <c r="N3291" s="708" t="s">
        <v>615</v>
      </c>
      <c r="O3291" s="697" t="s">
        <v>448</v>
      </c>
      <c r="P3291" s="710">
        <f>D28</f>
        <v>1105</v>
      </c>
      <c r="Q3291" s="698" t="s">
        <v>615</v>
      </c>
      <c r="R3291" s="710">
        <f t="shared" si="310"/>
        <v>2682.94</v>
      </c>
    </row>
    <row r="3292" spans="6:18" ht="24" customHeight="1">
      <c r="G3292" s="699"/>
      <c r="J3292" s="699"/>
      <c r="M3292" s="710">
        <v>4</v>
      </c>
      <c r="N3292" s="708" t="s">
        <v>778</v>
      </c>
      <c r="O3292" s="697" t="s">
        <v>3321</v>
      </c>
      <c r="P3292" s="710">
        <f t="shared" ref="P3292:P3297" si="311">P3225</f>
        <v>53.4</v>
      </c>
      <c r="Q3292" s="698" t="s">
        <v>877</v>
      </c>
      <c r="R3292" s="710">
        <f t="shared" si="310"/>
        <v>213.6</v>
      </c>
    </row>
    <row r="3293" spans="6:18" ht="24" customHeight="1">
      <c r="G3293" s="699"/>
      <c r="J3293" s="699"/>
      <c r="M3293" s="710">
        <v>8</v>
      </c>
      <c r="N3293" s="708" t="s">
        <v>877</v>
      </c>
      <c r="O3293" s="697" t="s">
        <v>1486</v>
      </c>
      <c r="P3293" s="710">
        <f t="shared" si="311"/>
        <v>83</v>
      </c>
      <c r="Q3293" s="698" t="s">
        <v>877</v>
      </c>
      <c r="R3293" s="710">
        <f t="shared" si="310"/>
        <v>664</v>
      </c>
    </row>
    <row r="3294" spans="6:18" ht="24" customHeight="1">
      <c r="G3294" s="708" t="s">
        <v>317</v>
      </c>
      <c r="H3294" s="698" t="s">
        <v>1768</v>
      </c>
      <c r="M3294" s="710">
        <v>4</v>
      </c>
      <c r="N3294" s="708" t="s">
        <v>877</v>
      </c>
      <c r="O3294" s="697" t="s">
        <v>3322</v>
      </c>
      <c r="P3294" s="710">
        <f t="shared" si="311"/>
        <v>90.6</v>
      </c>
      <c r="Q3294" s="698" t="s">
        <v>877</v>
      </c>
      <c r="R3294" s="710">
        <f t="shared" si="310"/>
        <v>362.4</v>
      </c>
    </row>
    <row r="3295" spans="6:18" ht="24" customHeight="1">
      <c r="H3295" s="698" t="s">
        <v>1806</v>
      </c>
      <c r="M3295" s="710">
        <v>1</v>
      </c>
      <c r="N3295" s="708" t="s">
        <v>877</v>
      </c>
      <c r="O3295" s="697" t="s">
        <v>3323</v>
      </c>
      <c r="P3295" s="710">
        <f t="shared" si="311"/>
        <v>194.4</v>
      </c>
      <c r="Q3295" s="698" t="s">
        <v>877</v>
      </c>
      <c r="R3295" s="710">
        <f t="shared" si="310"/>
        <v>194.4</v>
      </c>
    </row>
    <row r="3296" spans="6:18" ht="24" customHeight="1">
      <c r="F3296" s="775">
        <v>6.5000000000000002E-2</v>
      </c>
      <c r="G3296" s="708" t="s">
        <v>878</v>
      </c>
      <c r="H3296" s="697" t="s">
        <v>2099</v>
      </c>
      <c r="I3296" s="710">
        <f>I856</f>
        <v>7719.51</v>
      </c>
      <c r="J3296" s="697" t="s">
        <v>878</v>
      </c>
      <c r="K3296" s="710">
        <f>I3296*F3296</f>
        <v>501.77</v>
      </c>
      <c r="M3296" s="710">
        <v>2</v>
      </c>
      <c r="N3296" s="708" t="s">
        <v>877</v>
      </c>
      <c r="O3296" s="697" t="s">
        <v>3324</v>
      </c>
      <c r="P3296" s="710">
        <f t="shared" si="311"/>
        <v>22.9</v>
      </c>
      <c r="Q3296" s="698" t="s">
        <v>877</v>
      </c>
      <c r="R3296" s="710">
        <f t="shared" si="310"/>
        <v>45.8</v>
      </c>
    </row>
    <row r="3297" spans="6:18" ht="24" customHeight="1">
      <c r="F3297" s="819">
        <v>8.4499999999999993</v>
      </c>
      <c r="G3297" s="708" t="s">
        <v>1670</v>
      </c>
      <c r="H3297" s="697" t="s">
        <v>2100</v>
      </c>
      <c r="I3297" s="710">
        <f t="shared" ref="I3297:I3307" si="312">I857</f>
        <v>77593</v>
      </c>
      <c r="J3297" s="697" t="s">
        <v>870</v>
      </c>
      <c r="K3297" s="710">
        <f>I3297*F3297/1000</f>
        <v>655.66</v>
      </c>
      <c r="M3297" s="710">
        <v>2</v>
      </c>
      <c r="N3297" s="708" t="s">
        <v>877</v>
      </c>
      <c r="O3297" s="697" t="s">
        <v>3325</v>
      </c>
      <c r="P3297" s="710">
        <f t="shared" si="311"/>
        <v>45.9</v>
      </c>
      <c r="Q3297" s="698" t="s">
        <v>877</v>
      </c>
      <c r="R3297" s="710">
        <f t="shared" si="310"/>
        <v>91.8</v>
      </c>
    </row>
    <row r="3298" spans="6:18" ht="24" customHeight="1">
      <c r="F3298" s="710">
        <v>3</v>
      </c>
      <c r="G3298" s="708" t="s">
        <v>877</v>
      </c>
      <c r="H3298" s="697" t="s">
        <v>1204</v>
      </c>
      <c r="I3298" s="710">
        <f t="shared" si="312"/>
        <v>14.8</v>
      </c>
      <c r="J3298" s="697" t="s">
        <v>877</v>
      </c>
      <c r="K3298" s="710">
        <f t="shared" ref="K3298:K3305" si="313">I3298*F3298</f>
        <v>44.4</v>
      </c>
      <c r="N3298" s="700"/>
      <c r="O3298" s="699" t="s">
        <v>1356</v>
      </c>
      <c r="Q3298" s="704"/>
      <c r="R3298" s="805">
        <f>R3196</f>
        <v>282.02</v>
      </c>
    </row>
    <row r="3299" spans="6:18" ht="24" customHeight="1">
      <c r="F3299" s="710">
        <v>12</v>
      </c>
      <c r="G3299" s="708" t="s">
        <v>877</v>
      </c>
      <c r="H3299" s="697" t="s">
        <v>1205</v>
      </c>
      <c r="I3299" s="710">
        <f t="shared" si="312"/>
        <v>2</v>
      </c>
      <c r="J3299" s="697" t="s">
        <v>877</v>
      </c>
      <c r="K3299" s="710">
        <f t="shared" si="313"/>
        <v>24</v>
      </c>
      <c r="N3299" s="700"/>
      <c r="Q3299" s="704"/>
      <c r="R3299" s="705" t="s">
        <v>1609</v>
      </c>
    </row>
    <row r="3300" spans="6:18" ht="24" customHeight="1">
      <c r="F3300" s="710">
        <v>2</v>
      </c>
      <c r="G3300" s="708" t="s">
        <v>877</v>
      </c>
      <c r="H3300" s="697" t="s">
        <v>1206</v>
      </c>
      <c r="I3300" s="710">
        <f t="shared" si="312"/>
        <v>4.9000000000000004</v>
      </c>
      <c r="J3300" s="697" t="s">
        <v>877</v>
      </c>
      <c r="K3300" s="710">
        <f t="shared" si="313"/>
        <v>9.8000000000000007</v>
      </c>
      <c r="N3300" s="700"/>
      <c r="O3300" s="697" t="s">
        <v>3340</v>
      </c>
      <c r="Q3300" s="704"/>
      <c r="R3300" s="710">
        <f>SUM(R3288:R3298)</f>
        <v>13220.85</v>
      </c>
    </row>
    <row r="3301" spans="6:18" ht="24" customHeight="1">
      <c r="F3301" s="710">
        <v>6</v>
      </c>
      <c r="G3301" s="708" t="s">
        <v>877</v>
      </c>
      <c r="H3301" s="697" t="s">
        <v>2245</v>
      </c>
      <c r="I3301" s="710">
        <f t="shared" si="312"/>
        <v>4.45</v>
      </c>
      <c r="J3301" s="697" t="s">
        <v>877</v>
      </c>
      <c r="K3301" s="710">
        <f t="shared" si="313"/>
        <v>26.7</v>
      </c>
      <c r="N3301" s="700"/>
      <c r="Q3301" s="704"/>
      <c r="R3301" s="705" t="s">
        <v>1609</v>
      </c>
    </row>
    <row r="3302" spans="6:18" ht="24" customHeight="1">
      <c r="F3302" s="710">
        <v>1</v>
      </c>
      <c r="G3302" s="708" t="s">
        <v>877</v>
      </c>
      <c r="H3302" s="697" t="s">
        <v>1211</v>
      </c>
      <c r="I3302" s="710">
        <f t="shared" si="312"/>
        <v>861</v>
      </c>
      <c r="J3302" s="697" t="s">
        <v>877</v>
      </c>
      <c r="K3302" s="710">
        <f t="shared" si="313"/>
        <v>861</v>
      </c>
      <c r="N3302" s="700"/>
      <c r="O3302" s="701" t="s">
        <v>556</v>
      </c>
      <c r="Q3302" s="877" t="s">
        <v>729</v>
      </c>
      <c r="R3302" s="709">
        <f>R3300/M3291</f>
        <v>5445.16</v>
      </c>
    </row>
    <row r="3303" spans="6:18" ht="24" customHeight="1">
      <c r="F3303" s="710">
        <v>1</v>
      </c>
      <c r="G3303" s="708" t="s">
        <v>877</v>
      </c>
      <c r="H3303" s="697" t="s">
        <v>1212</v>
      </c>
      <c r="I3303" s="710">
        <f t="shared" si="312"/>
        <v>562</v>
      </c>
      <c r="J3303" s="697" t="s">
        <v>877</v>
      </c>
      <c r="K3303" s="710">
        <f t="shared" si="313"/>
        <v>562</v>
      </c>
      <c r="M3303" s="698"/>
      <c r="N3303" s="708" t="s">
        <v>2276</v>
      </c>
      <c r="O3303" s="697" t="s">
        <v>2406</v>
      </c>
      <c r="Q3303" s="704"/>
    </row>
    <row r="3304" spans="6:18" ht="24" customHeight="1">
      <c r="F3304" s="710">
        <v>1</v>
      </c>
      <c r="G3304" s="708" t="s">
        <v>877</v>
      </c>
      <c r="H3304" s="697" t="s">
        <v>1213</v>
      </c>
      <c r="I3304" s="710">
        <f t="shared" si="312"/>
        <v>25</v>
      </c>
      <c r="J3304" s="697" t="s">
        <v>877</v>
      </c>
      <c r="K3304" s="710">
        <f t="shared" si="313"/>
        <v>25</v>
      </c>
      <c r="N3304" s="700"/>
      <c r="O3304" s="697" t="s">
        <v>255</v>
      </c>
      <c r="Q3304" s="704"/>
    </row>
    <row r="3305" spans="6:18" ht="24" customHeight="1">
      <c r="F3305" s="710">
        <v>0.5</v>
      </c>
      <c r="G3305" s="708" t="s">
        <v>877</v>
      </c>
      <c r="H3305" s="697" t="s">
        <v>1214</v>
      </c>
      <c r="I3305" s="710">
        <f t="shared" si="312"/>
        <v>461</v>
      </c>
      <c r="J3305" s="697" t="s">
        <v>877</v>
      </c>
      <c r="K3305" s="710">
        <f t="shared" si="313"/>
        <v>230.5</v>
      </c>
      <c r="N3305" s="700"/>
      <c r="O3305" s="951" t="s">
        <v>2862</v>
      </c>
      <c r="Q3305" s="704"/>
    </row>
    <row r="3306" spans="6:18" ht="24" customHeight="1">
      <c r="G3306" s="708" t="s">
        <v>450</v>
      </c>
      <c r="H3306" s="697" t="s">
        <v>2163</v>
      </c>
      <c r="I3306" s="710">
        <f t="shared" si="312"/>
        <v>0</v>
      </c>
      <c r="J3306" s="697" t="s">
        <v>450</v>
      </c>
      <c r="K3306" s="710">
        <v>2.1</v>
      </c>
      <c r="N3306" s="700"/>
      <c r="O3306" s="705" t="s">
        <v>1609</v>
      </c>
      <c r="Q3306" s="704"/>
    </row>
    <row r="3307" spans="6:18" ht="24" customHeight="1">
      <c r="I3307" s="710">
        <f t="shared" si="312"/>
        <v>0</v>
      </c>
      <c r="K3307" s="705" t="s">
        <v>1609</v>
      </c>
      <c r="N3307" s="700"/>
      <c r="O3307" s="697" t="s">
        <v>3315</v>
      </c>
      <c r="P3307" s="785" t="s">
        <v>2080</v>
      </c>
      <c r="Q3307" s="848">
        <v>3.1219999999999999</v>
      </c>
      <c r="R3307" s="702" t="s">
        <v>2308</v>
      </c>
    </row>
    <row r="3308" spans="6:18" ht="24" customHeight="1">
      <c r="H3308" s="711" t="s">
        <v>283</v>
      </c>
      <c r="K3308" s="821">
        <f>SUM(K3296:K3307)</f>
        <v>2942.93</v>
      </c>
      <c r="N3308" s="700"/>
      <c r="O3308" s="697"/>
      <c r="P3308" s="785"/>
      <c r="Q3308" s="848"/>
      <c r="R3308" s="702"/>
    </row>
    <row r="3309" spans="6:18" ht="24" customHeight="1">
      <c r="K3309" s="705" t="s">
        <v>1609</v>
      </c>
      <c r="N3309" s="700"/>
      <c r="O3309" s="697" t="s">
        <v>5275</v>
      </c>
      <c r="P3309" s="785" t="s">
        <v>2080</v>
      </c>
      <c r="Q3309" s="997">
        <v>5.1999999999999998E-2</v>
      </c>
      <c r="R3309" s="702" t="s">
        <v>2176</v>
      </c>
    </row>
    <row r="3310" spans="6:18" ht="24" customHeight="1">
      <c r="G3310" s="699"/>
      <c r="J3310" s="699"/>
      <c r="N3310" s="700"/>
      <c r="O3310" s="697" t="s">
        <v>3316</v>
      </c>
      <c r="Q3310" s="785"/>
      <c r="R3310" s="702"/>
    </row>
    <row r="3311" spans="6:18" ht="24" customHeight="1">
      <c r="G3311" s="699"/>
      <c r="J3311" s="699"/>
      <c r="N3311" s="700"/>
      <c r="O3311" s="697" t="s">
        <v>3317</v>
      </c>
      <c r="P3311" s="785" t="s">
        <v>2080</v>
      </c>
      <c r="Q3311" s="1063">
        <v>2.2780000000000002E-2</v>
      </c>
      <c r="R3311" s="702"/>
    </row>
    <row r="3312" spans="6:18" ht="24" customHeight="1">
      <c r="G3312" s="758" t="s">
        <v>1769</v>
      </c>
      <c r="J3312" s="699"/>
      <c r="N3312" s="700"/>
      <c r="O3312" s="697" t="s">
        <v>2863</v>
      </c>
      <c r="P3312" s="785" t="s">
        <v>2080</v>
      </c>
      <c r="Q3312" s="1069">
        <v>1.0125E-2</v>
      </c>
      <c r="R3312" s="825"/>
    </row>
    <row r="3313" spans="6:18" ht="24" customHeight="1">
      <c r="G3313" s="758" t="s">
        <v>1770</v>
      </c>
      <c r="J3313" s="699"/>
      <c r="N3313" s="700"/>
      <c r="Q3313" s="1068" t="s">
        <v>3110</v>
      </c>
      <c r="R3313" s="702"/>
    </row>
    <row r="3314" spans="6:18" ht="24" customHeight="1">
      <c r="G3314" s="699"/>
      <c r="J3314" s="699"/>
      <c r="N3314" s="700"/>
      <c r="Q3314" s="1064">
        <v>3.2910000000000002E-2</v>
      </c>
      <c r="R3314" s="702" t="s">
        <v>2176</v>
      </c>
    </row>
    <row r="3315" spans="6:18" ht="24" customHeight="1">
      <c r="F3315" s="1037">
        <v>2.6159999999999999E-2</v>
      </c>
      <c r="G3315" s="839" t="s">
        <v>878</v>
      </c>
      <c r="H3315" s="758" t="s">
        <v>3181</v>
      </c>
      <c r="I3315" s="758">
        <f>AC24</f>
        <v>111600</v>
      </c>
      <c r="J3315" s="759" t="s">
        <v>878</v>
      </c>
      <c r="K3315" s="758">
        <f>I3315*F3315</f>
        <v>2919.46</v>
      </c>
      <c r="N3315" s="700"/>
      <c r="Q3315" s="1068" t="s">
        <v>3110</v>
      </c>
      <c r="R3315" s="702"/>
    </row>
    <row r="3316" spans="6:18" ht="24" customHeight="1">
      <c r="F3316" s="1037">
        <v>4.7809999999999998E-2</v>
      </c>
      <c r="G3316" s="839" t="s">
        <v>878</v>
      </c>
      <c r="H3316" s="758" t="s">
        <v>2522</v>
      </c>
      <c r="I3316" s="758">
        <f>AC25</f>
        <v>99400</v>
      </c>
      <c r="J3316" s="759" t="s">
        <v>878</v>
      </c>
      <c r="K3316" s="758">
        <f t="shared" ref="K3316:K3324" si="314">I3316*F3316</f>
        <v>4752.3100000000004</v>
      </c>
      <c r="N3316" s="700"/>
      <c r="O3316" s="697" t="s">
        <v>3329</v>
      </c>
      <c r="Q3316" s="997">
        <v>0.94</v>
      </c>
      <c r="R3316" s="825" t="s">
        <v>2308</v>
      </c>
    </row>
    <row r="3317" spans="6:18" ht="24" customHeight="1">
      <c r="F3317" s="1037">
        <v>4.5879999999999997E-2</v>
      </c>
      <c r="G3317" s="839" t="s">
        <v>878</v>
      </c>
      <c r="H3317" s="1073" t="s">
        <v>4755</v>
      </c>
      <c r="I3317" s="1074">
        <v>107000</v>
      </c>
      <c r="J3317" s="759" t="s">
        <v>878</v>
      </c>
      <c r="K3317" s="758">
        <f t="shared" si="314"/>
        <v>4909.16</v>
      </c>
      <c r="N3317" s="700"/>
      <c r="O3317" s="697" t="s">
        <v>3344</v>
      </c>
      <c r="Q3317" s="1067">
        <v>0.45</v>
      </c>
      <c r="R3317" s="825" t="s">
        <v>2176</v>
      </c>
    </row>
    <row r="3318" spans="6:18" ht="24" customHeight="1">
      <c r="F3318" s="1037">
        <v>3.95</v>
      </c>
      <c r="G3318" s="839" t="s">
        <v>615</v>
      </c>
      <c r="H3318" s="758" t="s">
        <v>892</v>
      </c>
      <c r="I3318" s="758">
        <f>P3258</f>
        <v>1325</v>
      </c>
      <c r="J3318" s="759" t="s">
        <v>615</v>
      </c>
      <c r="K3318" s="758">
        <f t="shared" si="314"/>
        <v>5233.75</v>
      </c>
      <c r="N3318" s="700"/>
      <c r="O3318" s="697" t="s">
        <v>3331</v>
      </c>
      <c r="Q3318" s="1067">
        <v>7.9</v>
      </c>
      <c r="R3318" s="825" t="s">
        <v>835</v>
      </c>
    </row>
    <row r="3319" spans="6:18" ht="24" customHeight="1">
      <c r="F3319" s="758">
        <v>2</v>
      </c>
      <c r="G3319" s="839" t="s">
        <v>1898</v>
      </c>
      <c r="H3319" s="758" t="s">
        <v>2150</v>
      </c>
      <c r="I3319" s="758">
        <f t="shared" ref="I3319:I3324" si="315">P3259</f>
        <v>53.4</v>
      </c>
      <c r="J3319" s="759" t="s">
        <v>1418</v>
      </c>
      <c r="K3319" s="758">
        <f t="shared" si="314"/>
        <v>106.8</v>
      </c>
      <c r="N3319" s="700"/>
      <c r="Q3319" s="705"/>
      <c r="R3319" s="705"/>
    </row>
    <row r="3320" spans="6:18" ht="24" customHeight="1">
      <c r="F3320" s="758">
        <v>6</v>
      </c>
      <c r="G3320" s="839" t="s">
        <v>1898</v>
      </c>
      <c r="H3320" s="758" t="s">
        <v>1116</v>
      </c>
      <c r="I3320" s="758">
        <f t="shared" si="315"/>
        <v>83</v>
      </c>
      <c r="J3320" s="759" t="s">
        <v>1418</v>
      </c>
      <c r="K3320" s="758">
        <f t="shared" si="314"/>
        <v>498</v>
      </c>
      <c r="M3320" s="775">
        <v>5.1999999999999998E-2</v>
      </c>
      <c r="N3320" s="708" t="s">
        <v>878</v>
      </c>
      <c r="O3320" s="697" t="s">
        <v>309</v>
      </c>
      <c r="P3320" s="710">
        <f>P3218</f>
        <v>111600</v>
      </c>
      <c r="Q3320" s="698" t="s">
        <v>878</v>
      </c>
      <c r="R3320" s="710">
        <f>P3320*M3320</f>
        <v>5803.2</v>
      </c>
    </row>
    <row r="3321" spans="6:18" ht="24" customHeight="1">
      <c r="F3321" s="758">
        <v>4</v>
      </c>
      <c r="G3321" s="839" t="s">
        <v>1898</v>
      </c>
      <c r="H3321" s="758" t="s">
        <v>1368</v>
      </c>
      <c r="I3321" s="758">
        <f t="shared" si="315"/>
        <v>90.6</v>
      </c>
      <c r="J3321" s="759" t="s">
        <v>1418</v>
      </c>
      <c r="K3321" s="758">
        <f t="shared" si="314"/>
        <v>362.4</v>
      </c>
      <c r="M3321" s="775">
        <v>3.2910000000000002E-2</v>
      </c>
      <c r="N3321" s="708" t="s">
        <v>878</v>
      </c>
      <c r="O3321" s="697" t="s">
        <v>310</v>
      </c>
      <c r="P3321" s="710">
        <f>P3219</f>
        <v>99400</v>
      </c>
      <c r="Q3321" s="698" t="s">
        <v>878</v>
      </c>
      <c r="R3321" s="710">
        <f t="shared" ref="R3321:R3332" si="316">P3321*M3321</f>
        <v>3271.25</v>
      </c>
    </row>
    <row r="3322" spans="6:18" ht="24" customHeight="1">
      <c r="F3322" s="758">
        <v>1</v>
      </c>
      <c r="G3322" s="839" t="s">
        <v>1898</v>
      </c>
      <c r="H3322" s="758" t="s">
        <v>1369</v>
      </c>
      <c r="I3322" s="758">
        <f t="shared" si="315"/>
        <v>194.4</v>
      </c>
      <c r="J3322" s="759" t="s">
        <v>1418</v>
      </c>
      <c r="K3322" s="758">
        <f t="shared" si="314"/>
        <v>194.4</v>
      </c>
      <c r="M3322" s="775">
        <v>0.45</v>
      </c>
      <c r="N3322" s="708" t="s">
        <v>615</v>
      </c>
      <c r="O3322" s="697" t="s">
        <v>2117</v>
      </c>
      <c r="P3322" s="710">
        <f>P3290</f>
        <v>387.4</v>
      </c>
      <c r="Q3322" s="698" t="s">
        <v>878</v>
      </c>
      <c r="R3322" s="710">
        <f t="shared" si="316"/>
        <v>174.33</v>
      </c>
    </row>
    <row r="3323" spans="6:18" ht="24" customHeight="1">
      <c r="F3323" s="758">
        <v>2</v>
      </c>
      <c r="G3323" s="839" t="s">
        <v>1898</v>
      </c>
      <c r="H3323" s="758" t="s">
        <v>3793</v>
      </c>
      <c r="I3323" s="758">
        <f t="shared" si="315"/>
        <v>22.9</v>
      </c>
      <c r="J3323" s="759" t="s">
        <v>1418</v>
      </c>
      <c r="K3323" s="758">
        <f t="shared" si="314"/>
        <v>45.8</v>
      </c>
      <c r="M3323" s="776">
        <v>0.94</v>
      </c>
      <c r="N3323" s="708" t="s">
        <v>615</v>
      </c>
      <c r="O3323" s="697" t="s">
        <v>3330</v>
      </c>
      <c r="P3323" s="710">
        <f t="shared" ref="P3323:P3331" si="317">P3222</f>
        <v>359</v>
      </c>
      <c r="Q3323" s="704" t="s">
        <v>615</v>
      </c>
      <c r="R3323" s="710">
        <f t="shared" si="316"/>
        <v>337.46</v>
      </c>
    </row>
    <row r="3324" spans="6:18" ht="24" customHeight="1">
      <c r="F3324" s="758">
        <v>2</v>
      </c>
      <c r="G3324" s="839" t="s">
        <v>1898</v>
      </c>
      <c r="H3324" s="758" t="s">
        <v>2007</v>
      </c>
      <c r="I3324" s="758">
        <f t="shared" si="315"/>
        <v>45.9</v>
      </c>
      <c r="J3324" s="759" t="s">
        <v>1418</v>
      </c>
      <c r="K3324" s="758">
        <f t="shared" si="314"/>
        <v>91.8</v>
      </c>
      <c r="M3324" s="776">
        <v>7.9</v>
      </c>
      <c r="N3324" s="708" t="s">
        <v>1796</v>
      </c>
      <c r="O3324" s="697" t="s">
        <v>3332</v>
      </c>
      <c r="P3324" s="710">
        <f t="shared" si="317"/>
        <v>15.3</v>
      </c>
      <c r="Q3324" s="704"/>
      <c r="R3324" s="710">
        <f t="shared" si="316"/>
        <v>120.87</v>
      </c>
    </row>
    <row r="3325" spans="6:18" ht="24" customHeight="1">
      <c r="F3325" s="758">
        <v>10</v>
      </c>
      <c r="G3325" s="839"/>
      <c r="H3325" s="1073" t="s">
        <v>1924</v>
      </c>
      <c r="I3325" s="758">
        <f>I3287</f>
        <v>2.39</v>
      </c>
      <c r="J3325" s="759"/>
      <c r="K3325" s="758">
        <v>24.3</v>
      </c>
      <c r="M3325" s="776">
        <v>3.1219999999999999</v>
      </c>
      <c r="N3325" s="708" t="s">
        <v>615</v>
      </c>
      <c r="O3325" s="697" t="s">
        <v>448</v>
      </c>
      <c r="P3325" s="710">
        <f t="shared" si="317"/>
        <v>1300.95</v>
      </c>
      <c r="Q3325" s="698" t="s">
        <v>615</v>
      </c>
      <c r="R3325" s="710">
        <f t="shared" si="316"/>
        <v>4061.57</v>
      </c>
    </row>
    <row r="3326" spans="6:18" ht="24" customHeight="1">
      <c r="F3326" s="758"/>
      <c r="G3326" s="839"/>
      <c r="H3326" s="758" t="s">
        <v>556</v>
      </c>
      <c r="I3326" s="758"/>
      <c r="J3326" s="759"/>
      <c r="K3326" s="758">
        <f>SUM(K3315:K3325)</f>
        <v>19138.18</v>
      </c>
      <c r="M3326" s="710">
        <v>4</v>
      </c>
      <c r="N3326" s="708" t="s">
        <v>778</v>
      </c>
      <c r="O3326" s="697" t="s">
        <v>3321</v>
      </c>
      <c r="P3326" s="710">
        <f t="shared" si="317"/>
        <v>53.4</v>
      </c>
      <c r="Q3326" s="698" t="s">
        <v>877</v>
      </c>
      <c r="R3326" s="710">
        <f t="shared" si="316"/>
        <v>213.6</v>
      </c>
    </row>
    <row r="3327" spans="6:18" ht="24" customHeight="1">
      <c r="F3327" s="758"/>
      <c r="G3327" s="839"/>
      <c r="H3327" s="758"/>
      <c r="I3327" s="758"/>
      <c r="J3327" s="759"/>
      <c r="K3327" s="1038" t="s">
        <v>148</v>
      </c>
      <c r="M3327" s="710">
        <v>8</v>
      </c>
      <c r="N3327" s="708" t="s">
        <v>877</v>
      </c>
      <c r="O3327" s="697" t="s">
        <v>1486</v>
      </c>
      <c r="P3327" s="710">
        <f t="shared" si="317"/>
        <v>83</v>
      </c>
      <c r="Q3327" s="698" t="s">
        <v>877</v>
      </c>
      <c r="R3327" s="710">
        <f t="shared" si="316"/>
        <v>664</v>
      </c>
    </row>
    <row r="3328" spans="6:18" ht="24" customHeight="1">
      <c r="F3328" s="758"/>
      <c r="G3328" s="839"/>
      <c r="H3328" s="758" t="s">
        <v>556</v>
      </c>
      <c r="I3328" s="758"/>
      <c r="J3328" s="759"/>
      <c r="K3328" s="758">
        <f>K3326/F3318</f>
        <v>4845.1099999999997</v>
      </c>
      <c r="M3328" s="710">
        <v>4</v>
      </c>
      <c r="N3328" s="708" t="s">
        <v>877</v>
      </c>
      <c r="O3328" s="697" t="s">
        <v>3322</v>
      </c>
      <c r="P3328" s="710">
        <f t="shared" si="317"/>
        <v>90.6</v>
      </c>
      <c r="Q3328" s="698" t="s">
        <v>877</v>
      </c>
      <c r="R3328" s="710">
        <f t="shared" si="316"/>
        <v>362.4</v>
      </c>
    </row>
    <row r="3329" spans="6:18" ht="24" customHeight="1">
      <c r="F3329" s="758"/>
      <c r="G3329" s="839"/>
      <c r="H3329" s="758"/>
      <c r="I3329" s="758"/>
      <c r="J3329" s="759"/>
      <c r="K3329" s="1038" t="s">
        <v>148</v>
      </c>
      <c r="M3329" s="710">
        <v>1</v>
      </c>
      <c r="N3329" s="708" t="s">
        <v>877</v>
      </c>
      <c r="O3329" s="697" t="s">
        <v>3323</v>
      </c>
      <c r="P3329" s="710">
        <f t="shared" si="317"/>
        <v>194.4</v>
      </c>
      <c r="Q3329" s="698" t="s">
        <v>877</v>
      </c>
      <c r="R3329" s="710">
        <f t="shared" si="316"/>
        <v>194.4</v>
      </c>
    </row>
    <row r="3330" spans="6:18" ht="24" customHeight="1">
      <c r="G3330" s="699"/>
      <c r="J3330" s="699"/>
      <c r="M3330" s="710">
        <v>2</v>
      </c>
      <c r="N3330" s="708" t="s">
        <v>877</v>
      </c>
      <c r="O3330" s="697" t="s">
        <v>3324</v>
      </c>
      <c r="P3330" s="710">
        <f t="shared" si="317"/>
        <v>22.9</v>
      </c>
      <c r="Q3330" s="698" t="s">
        <v>877</v>
      </c>
      <c r="R3330" s="710">
        <f t="shared" si="316"/>
        <v>45.8</v>
      </c>
    </row>
    <row r="3331" spans="6:18" ht="24" customHeight="1">
      <c r="G3331" s="699"/>
      <c r="J3331" s="699"/>
      <c r="M3331" s="710">
        <v>2</v>
      </c>
      <c r="N3331" s="708" t="s">
        <v>877</v>
      </c>
      <c r="O3331" s="697" t="s">
        <v>3325</v>
      </c>
      <c r="P3331" s="710">
        <f t="shared" si="317"/>
        <v>45.9</v>
      </c>
      <c r="Q3331" s="698" t="s">
        <v>877</v>
      </c>
      <c r="R3331" s="710">
        <f t="shared" si="316"/>
        <v>91.8</v>
      </c>
    </row>
    <row r="3332" spans="6:18" ht="24" customHeight="1">
      <c r="G3332" s="699"/>
      <c r="J3332" s="699"/>
      <c r="M3332" s="699">
        <v>118</v>
      </c>
      <c r="N3332" s="708" t="s">
        <v>877</v>
      </c>
      <c r="O3332" s="699" t="s">
        <v>1356</v>
      </c>
      <c r="P3332" s="699">
        <f>P3265</f>
        <v>2.39</v>
      </c>
      <c r="Q3332" s="698" t="s">
        <v>877</v>
      </c>
      <c r="R3332" s="710">
        <f t="shared" si="316"/>
        <v>282.02</v>
      </c>
    </row>
    <row r="3333" spans="6:18" ht="24" customHeight="1">
      <c r="F3333" s="698"/>
      <c r="G3333" s="708" t="s">
        <v>2276</v>
      </c>
      <c r="H3333" s="697" t="s">
        <v>5277</v>
      </c>
      <c r="J3333" s="704"/>
      <c r="N3333" s="700"/>
      <c r="Q3333" s="704"/>
      <c r="R3333" s="705" t="s">
        <v>1609</v>
      </c>
    </row>
    <row r="3334" spans="6:18" ht="24" customHeight="1">
      <c r="H3334" s="697" t="s">
        <v>1546</v>
      </c>
      <c r="J3334" s="704"/>
      <c r="N3334" s="700"/>
      <c r="O3334" s="697" t="s">
        <v>3326</v>
      </c>
      <c r="Q3334" s="704"/>
      <c r="R3334" s="710">
        <f>SUM(R3320:R3332)</f>
        <v>15622.7</v>
      </c>
    </row>
    <row r="3335" spans="6:18" ht="24" customHeight="1">
      <c r="H3335" s="701" t="s">
        <v>1923</v>
      </c>
      <c r="J3335" s="704"/>
      <c r="N3335" s="700"/>
      <c r="Q3335" s="704"/>
      <c r="R3335" s="705" t="s">
        <v>1609</v>
      </c>
    </row>
    <row r="3336" spans="6:18" ht="24" customHeight="1">
      <c r="H3336" s="705" t="s">
        <v>1609</v>
      </c>
      <c r="J3336" s="704"/>
      <c r="N3336" s="700"/>
      <c r="O3336" s="701" t="s">
        <v>556</v>
      </c>
      <c r="Q3336" s="877" t="s">
        <v>729</v>
      </c>
      <c r="R3336" s="709">
        <f>R3334/M3325</f>
        <v>5004.07</v>
      </c>
    </row>
    <row r="3337" spans="6:18" ht="24" customHeight="1">
      <c r="F3337" s="710">
        <v>1.34</v>
      </c>
      <c r="G3337" s="708" t="s">
        <v>1670</v>
      </c>
      <c r="H3337" s="990" t="s">
        <v>5117</v>
      </c>
      <c r="I3337" s="718">
        <v>73.099999999999994</v>
      </c>
      <c r="J3337" s="697" t="s">
        <v>1670</v>
      </c>
      <c r="K3337" s="710">
        <f>(F3337*I3337)</f>
        <v>97.95</v>
      </c>
    </row>
    <row r="3338" spans="6:18" ht="24" customHeight="1">
      <c r="F3338" s="710">
        <v>0.5</v>
      </c>
      <c r="G3338" s="708" t="s">
        <v>778</v>
      </c>
      <c r="H3338" s="697" t="s">
        <v>1197</v>
      </c>
      <c r="I3338" s="710">
        <f>AE11</f>
        <v>688</v>
      </c>
      <c r="J3338" s="708" t="s">
        <v>778</v>
      </c>
      <c r="K3338" s="710">
        <f>(F3338*I3338)</f>
        <v>344</v>
      </c>
    </row>
    <row r="3339" spans="6:18" ht="24" customHeight="1">
      <c r="F3339" s="710">
        <v>0.5</v>
      </c>
      <c r="G3339" s="708" t="s">
        <v>778</v>
      </c>
      <c r="H3339" s="697" t="s">
        <v>1927</v>
      </c>
      <c r="I3339" s="710">
        <f>AE9</f>
        <v>562</v>
      </c>
      <c r="J3339" s="708" t="s">
        <v>778</v>
      </c>
      <c r="K3339" s="710">
        <f>(F3339*I3339)</f>
        <v>281</v>
      </c>
      <c r="M3339" s="698"/>
      <c r="N3339" s="708" t="s">
        <v>2276</v>
      </c>
      <c r="O3339" s="697" t="s">
        <v>3346</v>
      </c>
      <c r="Q3339" s="704"/>
    </row>
    <row r="3340" spans="6:18" ht="24" customHeight="1">
      <c r="F3340" s="710">
        <v>0.8</v>
      </c>
      <c r="G3340" s="708" t="s">
        <v>778</v>
      </c>
      <c r="H3340" s="697" t="s">
        <v>321</v>
      </c>
      <c r="I3340" s="710">
        <f>AE10</f>
        <v>461</v>
      </c>
      <c r="J3340" s="708" t="s">
        <v>778</v>
      </c>
      <c r="K3340" s="710">
        <f>(F3340*I3340)</f>
        <v>368.8</v>
      </c>
      <c r="N3340" s="700"/>
      <c r="O3340" s="697" t="s">
        <v>255</v>
      </c>
      <c r="Q3340" s="704"/>
    </row>
    <row r="3341" spans="6:18" ht="24" customHeight="1">
      <c r="G3341" s="708" t="s">
        <v>450</v>
      </c>
      <c r="H3341" s="697" t="s">
        <v>1199</v>
      </c>
      <c r="I3341" s="697" t="s">
        <v>987</v>
      </c>
      <c r="J3341" s="698" t="s">
        <v>450</v>
      </c>
      <c r="K3341" s="710">
        <v>2.6</v>
      </c>
      <c r="N3341" s="700"/>
      <c r="O3341" s="951" t="s">
        <v>3345</v>
      </c>
      <c r="Q3341" s="704"/>
    </row>
    <row r="3342" spans="6:18" ht="24" customHeight="1">
      <c r="J3342" s="704"/>
      <c r="K3342" s="705" t="s">
        <v>1609</v>
      </c>
      <c r="N3342" s="700"/>
      <c r="O3342" s="705" t="s">
        <v>1609</v>
      </c>
      <c r="Q3342" s="704"/>
    </row>
    <row r="3343" spans="6:18" ht="24" customHeight="1">
      <c r="H3343" s="697" t="s">
        <v>442</v>
      </c>
      <c r="J3343" s="704"/>
      <c r="K3343" s="710">
        <f>SUM(K3337:K3342)</f>
        <v>1094.3499999999999</v>
      </c>
      <c r="N3343" s="700"/>
      <c r="O3343" s="697" t="s">
        <v>3445</v>
      </c>
      <c r="P3343" s="785" t="s">
        <v>2080</v>
      </c>
      <c r="Q3343" s="848">
        <v>1.734</v>
      </c>
      <c r="R3343" s="699" t="s">
        <v>2308</v>
      </c>
    </row>
    <row r="3344" spans="6:18" ht="24" customHeight="1">
      <c r="J3344" s="704"/>
      <c r="K3344" s="705" t="s">
        <v>1609</v>
      </c>
      <c r="N3344" s="700"/>
      <c r="O3344" s="697"/>
      <c r="P3344" s="785"/>
      <c r="Q3344" s="848"/>
    </row>
    <row r="3345" spans="6:18" ht="24" customHeight="1">
      <c r="H3345" s="701" t="s">
        <v>556</v>
      </c>
      <c r="J3345" s="704"/>
      <c r="K3345" s="709">
        <f>(K3343/10)</f>
        <v>109.44</v>
      </c>
      <c r="N3345" s="700"/>
      <c r="O3345" s="697" t="s">
        <v>5278</v>
      </c>
      <c r="P3345" s="785" t="s">
        <v>2080</v>
      </c>
      <c r="Q3345" s="997">
        <v>3.9E-2</v>
      </c>
      <c r="R3345" s="699" t="s">
        <v>2176</v>
      </c>
    </row>
    <row r="3346" spans="6:18" ht="24" customHeight="1">
      <c r="F3346" s="697" t="s">
        <v>987</v>
      </c>
      <c r="J3346" s="704"/>
      <c r="N3346" s="700"/>
      <c r="O3346" s="697" t="s">
        <v>3316</v>
      </c>
      <c r="Q3346" s="785"/>
    </row>
    <row r="3347" spans="6:18" ht="24" customHeight="1">
      <c r="G3347" s="699"/>
      <c r="J3347" s="699"/>
      <c r="N3347" s="700"/>
      <c r="O3347" s="697" t="s">
        <v>2805</v>
      </c>
      <c r="P3347" s="785" t="s">
        <v>2080</v>
      </c>
      <c r="Q3347" s="1063">
        <v>1.2659999999999999E-2</v>
      </c>
    </row>
    <row r="3348" spans="6:18" ht="24" customHeight="1">
      <c r="H3348" s="758" t="s">
        <v>4346</v>
      </c>
      <c r="J3348" s="699"/>
      <c r="N3348" s="700"/>
      <c r="O3348" s="697" t="s">
        <v>2812</v>
      </c>
      <c r="P3348" s="785" t="s">
        <v>2080</v>
      </c>
      <c r="Q3348" s="1069">
        <v>5.6249999999999998E-3</v>
      </c>
      <c r="R3348" s="775"/>
    </row>
    <row r="3349" spans="6:18" ht="24" customHeight="1">
      <c r="J3349" s="699"/>
      <c r="N3349" s="700"/>
      <c r="Q3349" s="705" t="s">
        <v>1609</v>
      </c>
    </row>
    <row r="3350" spans="6:18" ht="24" customHeight="1">
      <c r="F3350" s="699">
        <v>1.4</v>
      </c>
      <c r="G3350" s="708" t="s">
        <v>1256</v>
      </c>
      <c r="H3350" s="699" t="s">
        <v>1218</v>
      </c>
      <c r="I3350" s="785">
        <f>I3363</f>
        <v>292.7</v>
      </c>
      <c r="J3350" s="708" t="s">
        <v>1256</v>
      </c>
      <c r="K3350" s="699">
        <f>I3350*F3350</f>
        <v>409.78</v>
      </c>
      <c r="N3350" s="700"/>
      <c r="Q3350" s="1064">
        <v>1.8290000000000001E-2</v>
      </c>
      <c r="R3350" s="699" t="s">
        <v>2176</v>
      </c>
    </row>
    <row r="3351" spans="6:18" ht="24" customHeight="1">
      <c r="F3351" s="699">
        <v>1.5</v>
      </c>
      <c r="G3351" s="708" t="s">
        <v>778</v>
      </c>
      <c r="H3351" s="699" t="s">
        <v>4348</v>
      </c>
      <c r="I3351" s="785">
        <f>I3364</f>
        <v>688</v>
      </c>
      <c r="J3351" s="708" t="s">
        <v>778</v>
      </c>
      <c r="K3351" s="699">
        <f>I3351*F3351</f>
        <v>1032</v>
      </c>
      <c r="N3351" s="700"/>
      <c r="Q3351" s="705" t="s">
        <v>1609</v>
      </c>
    </row>
    <row r="3352" spans="6:18" ht="24" customHeight="1">
      <c r="F3352" s="699">
        <v>10</v>
      </c>
      <c r="G3352" s="700" t="s">
        <v>2308</v>
      </c>
      <c r="H3352" s="697" t="s">
        <v>3919</v>
      </c>
      <c r="I3352" s="785">
        <f>I3365</f>
        <v>3.83</v>
      </c>
      <c r="J3352" s="700" t="s">
        <v>2308</v>
      </c>
      <c r="K3352" s="699">
        <f>I3352*F3352</f>
        <v>38.299999999999997</v>
      </c>
      <c r="N3352" s="700"/>
      <c r="O3352" s="697" t="s">
        <v>2806</v>
      </c>
      <c r="Q3352" s="1065">
        <v>0.4113</v>
      </c>
      <c r="R3352" s="775"/>
    </row>
    <row r="3353" spans="6:18" ht="24" customHeight="1">
      <c r="H3353" s="697" t="s">
        <v>3095</v>
      </c>
      <c r="I3353" s="785" t="s">
        <v>3096</v>
      </c>
      <c r="J3353" s="704"/>
      <c r="K3353" s="699">
        <v>4.33</v>
      </c>
      <c r="N3353" s="700"/>
      <c r="O3353" s="697" t="s">
        <v>2807</v>
      </c>
      <c r="Q3353" s="1066">
        <v>0.19689999999999999</v>
      </c>
      <c r="R3353" s="775"/>
    </row>
    <row r="3354" spans="6:18" ht="24" customHeight="1">
      <c r="H3354" s="697" t="s">
        <v>442</v>
      </c>
      <c r="J3354" s="704"/>
      <c r="K3354" s="699">
        <f>SUM(K3350:K3353)</f>
        <v>1484.41</v>
      </c>
      <c r="N3354" s="700"/>
      <c r="O3354" s="697"/>
      <c r="Q3354" s="705" t="s">
        <v>1609</v>
      </c>
      <c r="R3354" s="775"/>
    </row>
    <row r="3355" spans="6:18" ht="24" customHeight="1">
      <c r="H3355" s="701" t="s">
        <v>556</v>
      </c>
      <c r="J3355" s="704"/>
      <c r="K3355" s="699">
        <f>K3354/10</f>
        <v>148.44</v>
      </c>
      <c r="N3355" s="700"/>
      <c r="O3355" s="697"/>
      <c r="Q3355" s="1067">
        <v>0.60819999999999996</v>
      </c>
      <c r="R3355" s="758"/>
    </row>
    <row r="3356" spans="6:18" ht="24" customHeight="1">
      <c r="J3356" s="704"/>
      <c r="N3356" s="700"/>
      <c r="Q3356" s="705" t="s">
        <v>1609</v>
      </c>
      <c r="R3356" s="705"/>
    </row>
    <row r="3357" spans="6:18" ht="24" customHeight="1">
      <c r="J3357" s="704"/>
      <c r="M3357" s="775">
        <v>3.9E-2</v>
      </c>
      <c r="N3357" s="708" t="s">
        <v>878</v>
      </c>
      <c r="O3357" s="697" t="s">
        <v>309</v>
      </c>
      <c r="P3357" s="710">
        <f>P3288</f>
        <v>111600</v>
      </c>
      <c r="Q3357" s="698" t="s">
        <v>878</v>
      </c>
      <c r="R3357" s="710">
        <f>P3357*M3357</f>
        <v>4352.3999999999996</v>
      </c>
    </row>
    <row r="3358" spans="6:18" ht="24" customHeight="1">
      <c r="G3358" s="699"/>
      <c r="J3358" s="699"/>
      <c r="M3358" s="775">
        <v>1.8290000000000001E-2</v>
      </c>
      <c r="N3358" s="708" t="s">
        <v>878</v>
      </c>
      <c r="O3358" s="697" t="s">
        <v>310</v>
      </c>
      <c r="P3358" s="710">
        <f>P3289</f>
        <v>99400</v>
      </c>
      <c r="Q3358" s="698" t="s">
        <v>878</v>
      </c>
      <c r="R3358" s="710">
        <f t="shared" ref="R3358:R3367" si="318">P3358*M3358</f>
        <v>1818.03</v>
      </c>
    </row>
    <row r="3359" spans="6:18" ht="24" customHeight="1">
      <c r="G3359" s="699"/>
      <c r="J3359" s="699"/>
      <c r="M3359" s="775">
        <v>0.60819999999999996</v>
      </c>
      <c r="N3359" s="708" t="s">
        <v>615</v>
      </c>
      <c r="O3359" s="697" t="s">
        <v>2117</v>
      </c>
      <c r="P3359" s="710">
        <f>P3322</f>
        <v>387.4</v>
      </c>
      <c r="Q3359" s="698" t="s">
        <v>878</v>
      </c>
      <c r="R3359" s="710">
        <f t="shared" si="318"/>
        <v>235.62</v>
      </c>
    </row>
    <row r="3360" spans="6:18" ht="24" customHeight="1">
      <c r="G3360" s="699"/>
      <c r="J3360" s="699"/>
      <c r="M3360" s="776">
        <v>1.734</v>
      </c>
      <c r="N3360" s="708" t="s">
        <v>615</v>
      </c>
      <c r="O3360" s="697" t="s">
        <v>448</v>
      </c>
      <c r="P3360" s="710">
        <f>P3325</f>
        <v>1300.95</v>
      </c>
      <c r="Q3360" s="698" t="s">
        <v>615</v>
      </c>
      <c r="R3360" s="710">
        <f t="shared" si="318"/>
        <v>2255.85</v>
      </c>
    </row>
    <row r="3361" spans="6:18" ht="24" customHeight="1">
      <c r="H3361" s="758" t="s">
        <v>4347</v>
      </c>
      <c r="J3361" s="699"/>
      <c r="M3361" s="710">
        <v>2</v>
      </c>
      <c r="N3361" s="708" t="s">
        <v>778</v>
      </c>
      <c r="O3361" s="697" t="s">
        <v>3321</v>
      </c>
      <c r="P3361" s="710">
        <f t="shared" ref="P3361:P3366" si="319">P3292</f>
        <v>53.4</v>
      </c>
      <c r="Q3361" s="698" t="s">
        <v>877</v>
      </c>
      <c r="R3361" s="710">
        <f t="shared" si="318"/>
        <v>106.8</v>
      </c>
    </row>
    <row r="3362" spans="6:18" ht="24" customHeight="1">
      <c r="J3362" s="699"/>
      <c r="M3362" s="710">
        <v>4</v>
      </c>
      <c r="N3362" s="708" t="s">
        <v>877</v>
      </c>
      <c r="O3362" s="697" t="s">
        <v>1486</v>
      </c>
      <c r="P3362" s="710">
        <f t="shared" si="319"/>
        <v>83</v>
      </c>
      <c r="Q3362" s="698" t="s">
        <v>877</v>
      </c>
      <c r="R3362" s="710">
        <f t="shared" si="318"/>
        <v>332</v>
      </c>
    </row>
    <row r="3363" spans="6:18" ht="24" customHeight="1">
      <c r="F3363" s="699">
        <v>0.8</v>
      </c>
      <c r="G3363" s="708" t="s">
        <v>1256</v>
      </c>
      <c r="H3363" s="699" t="s">
        <v>1218</v>
      </c>
      <c r="I3363" s="785">
        <f>P1316</f>
        <v>292.7</v>
      </c>
      <c r="J3363" s="708" t="s">
        <v>1256</v>
      </c>
      <c r="K3363" s="699">
        <f>I3363*F3363</f>
        <v>234.16</v>
      </c>
      <c r="M3363" s="710">
        <v>2</v>
      </c>
      <c r="N3363" s="708" t="s">
        <v>877</v>
      </c>
      <c r="O3363" s="697" t="s">
        <v>3322</v>
      </c>
      <c r="P3363" s="710">
        <f t="shared" si="319"/>
        <v>90.6</v>
      </c>
      <c r="Q3363" s="698" t="s">
        <v>877</v>
      </c>
      <c r="R3363" s="710">
        <f t="shared" si="318"/>
        <v>181.2</v>
      </c>
    </row>
    <row r="3364" spans="6:18" ht="24" customHeight="1">
      <c r="F3364" s="699">
        <v>0.7</v>
      </c>
      <c r="G3364" s="708" t="s">
        <v>778</v>
      </c>
      <c r="H3364" s="699" t="s">
        <v>4348</v>
      </c>
      <c r="I3364" s="699">
        <f>I3338</f>
        <v>688</v>
      </c>
      <c r="J3364" s="708" t="s">
        <v>778</v>
      </c>
      <c r="K3364" s="699">
        <f>I3364*F3364</f>
        <v>481.6</v>
      </c>
      <c r="M3364" s="710">
        <v>1</v>
      </c>
      <c r="N3364" s="708" t="s">
        <v>877</v>
      </c>
      <c r="O3364" s="697" t="s">
        <v>3323</v>
      </c>
      <c r="P3364" s="710">
        <f t="shared" si="319"/>
        <v>194.4</v>
      </c>
      <c r="Q3364" s="698" t="s">
        <v>877</v>
      </c>
      <c r="R3364" s="710">
        <f t="shared" si="318"/>
        <v>194.4</v>
      </c>
    </row>
    <row r="3365" spans="6:18" ht="24" customHeight="1">
      <c r="F3365" s="699">
        <v>10</v>
      </c>
      <c r="G3365" s="700" t="s">
        <v>2308</v>
      </c>
      <c r="H3365" s="697" t="s">
        <v>3919</v>
      </c>
      <c r="I3365" s="699">
        <f>I3182</f>
        <v>3.83</v>
      </c>
      <c r="J3365" s="700" t="s">
        <v>2308</v>
      </c>
      <c r="K3365" s="699">
        <f>I3365*F3365</f>
        <v>38.299999999999997</v>
      </c>
      <c r="M3365" s="710">
        <v>1</v>
      </c>
      <c r="N3365" s="708" t="s">
        <v>877</v>
      </c>
      <c r="O3365" s="697" t="s">
        <v>3324</v>
      </c>
      <c r="P3365" s="710">
        <f t="shared" si="319"/>
        <v>22.9</v>
      </c>
      <c r="Q3365" s="698" t="s">
        <v>877</v>
      </c>
      <c r="R3365" s="710">
        <f t="shared" si="318"/>
        <v>22.9</v>
      </c>
    </row>
    <row r="3366" spans="6:18" ht="24" customHeight="1">
      <c r="H3366" s="697" t="s">
        <v>3095</v>
      </c>
      <c r="I3366" s="785" t="s">
        <v>3096</v>
      </c>
      <c r="J3366" s="704"/>
      <c r="K3366" s="699">
        <v>1.6</v>
      </c>
      <c r="M3366" s="710">
        <v>1</v>
      </c>
      <c r="N3366" s="708" t="s">
        <v>877</v>
      </c>
      <c r="O3366" s="697" t="s">
        <v>3325</v>
      </c>
      <c r="P3366" s="710">
        <f t="shared" si="319"/>
        <v>45.9</v>
      </c>
      <c r="Q3366" s="698" t="s">
        <v>877</v>
      </c>
      <c r="R3366" s="710">
        <f t="shared" si="318"/>
        <v>45.9</v>
      </c>
    </row>
    <row r="3367" spans="6:18" ht="24" customHeight="1">
      <c r="H3367" s="697" t="s">
        <v>442</v>
      </c>
      <c r="J3367" s="704"/>
      <c r="K3367" s="699">
        <f>SUM(K3363:K3366)</f>
        <v>755.66</v>
      </c>
      <c r="M3367" s="710">
        <v>58</v>
      </c>
      <c r="N3367" s="708" t="s">
        <v>877</v>
      </c>
      <c r="O3367" s="699" t="s">
        <v>1356</v>
      </c>
      <c r="P3367" s="699">
        <f>P3332</f>
        <v>2.39</v>
      </c>
      <c r="Q3367" s="698" t="s">
        <v>877</v>
      </c>
      <c r="R3367" s="710">
        <f t="shared" si="318"/>
        <v>138.62</v>
      </c>
    </row>
    <row r="3368" spans="6:18" ht="24" customHeight="1">
      <c r="H3368" s="701" t="s">
        <v>556</v>
      </c>
      <c r="J3368" s="704"/>
      <c r="K3368" s="699">
        <f>K3367/10</f>
        <v>75.569999999999993</v>
      </c>
      <c r="N3368" s="700"/>
      <c r="Q3368" s="704"/>
      <c r="R3368" s="705" t="s">
        <v>1609</v>
      </c>
    </row>
    <row r="3369" spans="6:18" ht="24" customHeight="1">
      <c r="N3369" s="700"/>
      <c r="O3369" s="697" t="s">
        <v>2808</v>
      </c>
      <c r="Q3369" s="704"/>
      <c r="R3369" s="710">
        <f>SUM(R3357:R3367)</f>
        <v>9683.7199999999993</v>
      </c>
    </row>
    <row r="3370" spans="6:18" ht="24" customHeight="1">
      <c r="N3370" s="700"/>
      <c r="Q3370" s="704"/>
      <c r="R3370" s="705" t="s">
        <v>1609</v>
      </c>
    </row>
    <row r="3371" spans="6:18" ht="24" customHeight="1">
      <c r="H3371" s="697"/>
      <c r="I3371" s="785"/>
      <c r="J3371" s="848"/>
      <c r="N3371" s="700"/>
      <c r="O3371" s="701" t="s">
        <v>556</v>
      </c>
      <c r="Q3371" s="877" t="s">
        <v>729</v>
      </c>
      <c r="R3371" s="709">
        <f>R3369/M3360</f>
        <v>5584.61</v>
      </c>
    </row>
    <row r="3372" spans="6:18" ht="24" customHeight="1">
      <c r="H3372" s="697" t="s">
        <v>5278</v>
      </c>
      <c r="I3372" s="785" t="s">
        <v>2080</v>
      </c>
      <c r="J3372" s="997">
        <v>3.9E-2</v>
      </c>
      <c r="K3372" s="699" t="s">
        <v>2176</v>
      </c>
      <c r="N3372" s="700"/>
      <c r="Q3372" s="702"/>
      <c r="R3372" s="705" t="s">
        <v>2080</v>
      </c>
    </row>
    <row r="3373" spans="6:18" ht="24" customHeight="1">
      <c r="H3373" s="697" t="s">
        <v>3316</v>
      </c>
      <c r="J3373" s="785"/>
      <c r="M3373" s="698"/>
      <c r="N3373" s="708" t="s">
        <v>2276</v>
      </c>
      <c r="O3373" s="697" t="s">
        <v>3346</v>
      </c>
      <c r="Q3373" s="704"/>
    </row>
    <row r="3374" spans="6:18" ht="24" customHeight="1">
      <c r="H3374" s="697" t="s">
        <v>2811</v>
      </c>
      <c r="I3374" s="785" t="s">
        <v>2080</v>
      </c>
      <c r="J3374" s="1063">
        <v>1.519E-2</v>
      </c>
      <c r="N3374" s="700"/>
      <c r="O3374" s="697" t="s">
        <v>255</v>
      </c>
      <c r="Q3374" s="704"/>
    </row>
    <row r="3375" spans="6:18" ht="24" customHeight="1">
      <c r="H3375" s="697" t="s">
        <v>2813</v>
      </c>
      <c r="I3375" s="785" t="s">
        <v>2080</v>
      </c>
      <c r="J3375" s="1069">
        <v>6.7499999999999999E-3</v>
      </c>
      <c r="K3375" s="775"/>
      <c r="N3375" s="700"/>
      <c r="O3375" s="951" t="s">
        <v>2809</v>
      </c>
      <c r="Q3375" s="704"/>
    </row>
    <row r="3376" spans="6:18" ht="24" customHeight="1">
      <c r="J3376" s="705" t="s">
        <v>1609</v>
      </c>
      <c r="N3376" s="700"/>
      <c r="O3376" s="705" t="s">
        <v>1609</v>
      </c>
      <c r="Q3376" s="704"/>
    </row>
    <row r="3377" spans="6:18" ht="24" customHeight="1">
      <c r="J3377" s="1064">
        <v>2.1940000000000001E-2</v>
      </c>
      <c r="K3377" s="699" t="s">
        <v>2176</v>
      </c>
      <c r="N3377" s="700"/>
      <c r="O3377" s="697" t="s">
        <v>2810</v>
      </c>
      <c r="P3377" s="785" t="s">
        <v>2080</v>
      </c>
      <c r="Q3377" s="848">
        <v>2.081</v>
      </c>
      <c r="R3377" s="699" t="s">
        <v>2308</v>
      </c>
    </row>
    <row r="3378" spans="6:18" ht="24" customHeight="1">
      <c r="J3378" s="705" t="s">
        <v>1609</v>
      </c>
      <c r="N3378" s="700"/>
      <c r="O3378" s="697"/>
      <c r="P3378" s="785"/>
      <c r="Q3378" s="848"/>
    </row>
    <row r="3379" spans="6:18" ht="24" customHeight="1">
      <c r="H3379" s="697" t="s">
        <v>3341</v>
      </c>
      <c r="J3379" s="1065">
        <v>0.58750000000000002</v>
      </c>
      <c r="K3379" s="775"/>
      <c r="N3379" s="700"/>
      <c r="O3379" s="697" t="s">
        <v>5278</v>
      </c>
      <c r="P3379" s="785" t="s">
        <v>2080</v>
      </c>
      <c r="Q3379" s="997">
        <v>3.9E-2</v>
      </c>
      <c r="R3379" s="699" t="s">
        <v>2176</v>
      </c>
    </row>
    <row r="3380" spans="6:18" ht="24" customHeight="1">
      <c r="H3380" s="697" t="s">
        <v>3342</v>
      </c>
      <c r="J3380" s="1066">
        <v>0.28129999999999999</v>
      </c>
      <c r="K3380" s="775"/>
      <c r="N3380" s="700"/>
      <c r="O3380" s="697" t="s">
        <v>3316</v>
      </c>
      <c r="Q3380" s="785"/>
    </row>
    <row r="3381" spans="6:18" ht="24" customHeight="1">
      <c r="H3381" s="697"/>
      <c r="J3381" s="705" t="s">
        <v>1609</v>
      </c>
      <c r="K3381" s="775"/>
      <c r="N3381" s="700"/>
      <c r="O3381" s="697" t="s">
        <v>2811</v>
      </c>
      <c r="P3381" s="785" t="s">
        <v>2080</v>
      </c>
      <c r="Q3381" s="1063">
        <v>1.519E-2</v>
      </c>
    </row>
    <row r="3382" spans="6:18" ht="24" customHeight="1">
      <c r="H3382" s="697"/>
      <c r="J3382" s="1067">
        <v>0.86880000000000002</v>
      </c>
      <c r="K3382" s="758"/>
      <c r="N3382" s="700"/>
      <c r="O3382" s="697" t="s">
        <v>2813</v>
      </c>
      <c r="P3382" s="785" t="s">
        <v>2080</v>
      </c>
      <c r="Q3382" s="1069">
        <v>6.7499999999999999E-3</v>
      </c>
      <c r="R3382" s="775"/>
    </row>
    <row r="3383" spans="6:18" ht="24" customHeight="1">
      <c r="J3383" s="705" t="s">
        <v>1609</v>
      </c>
      <c r="K3383" s="705"/>
      <c r="N3383" s="700"/>
      <c r="Q3383" s="705" t="s">
        <v>1609</v>
      </c>
    </row>
    <row r="3384" spans="6:18" ht="24" customHeight="1">
      <c r="F3384" s="775">
        <v>3.9E-2</v>
      </c>
      <c r="G3384" s="708" t="s">
        <v>878</v>
      </c>
      <c r="H3384" s="697" t="s">
        <v>309</v>
      </c>
      <c r="I3384" s="710">
        <f>C85</f>
        <v>111600</v>
      </c>
      <c r="J3384" s="698" t="s">
        <v>878</v>
      </c>
      <c r="K3384" s="710">
        <v>2868.26</v>
      </c>
      <c r="N3384" s="700"/>
      <c r="Q3384" s="1064">
        <v>2.1940000000000001E-2</v>
      </c>
      <c r="R3384" s="699" t="s">
        <v>2176</v>
      </c>
    </row>
    <row r="3385" spans="6:18" ht="24" customHeight="1">
      <c r="F3385" s="775">
        <v>2.1940000000000001E-2</v>
      </c>
      <c r="G3385" s="708" t="s">
        <v>878</v>
      </c>
      <c r="H3385" s="697" t="s">
        <v>310</v>
      </c>
      <c r="I3385" s="710">
        <f>C86</f>
        <v>99400</v>
      </c>
      <c r="J3385" s="698" t="s">
        <v>878</v>
      </c>
      <c r="K3385" s="710">
        <v>1435.86</v>
      </c>
      <c r="N3385" s="700"/>
      <c r="Q3385" s="705" t="s">
        <v>1609</v>
      </c>
    </row>
    <row r="3386" spans="6:18" ht="24" customHeight="1">
      <c r="F3386" s="775">
        <v>0.86880000000000002</v>
      </c>
      <c r="G3386" s="708" t="s">
        <v>615</v>
      </c>
      <c r="H3386" s="697" t="s">
        <v>2117</v>
      </c>
      <c r="I3386" s="710">
        <f>C781</f>
        <v>0</v>
      </c>
      <c r="J3386" s="698" t="s">
        <v>878</v>
      </c>
      <c r="K3386" s="710">
        <v>336.66</v>
      </c>
      <c r="N3386" s="700"/>
      <c r="O3386" s="697" t="s">
        <v>3341</v>
      </c>
      <c r="Q3386" s="1065">
        <v>0.58750000000000002</v>
      </c>
      <c r="R3386" s="775"/>
    </row>
    <row r="3387" spans="6:18" ht="24" customHeight="1">
      <c r="F3387" s="776">
        <v>2.081</v>
      </c>
      <c r="G3387" s="708" t="s">
        <v>615</v>
      </c>
      <c r="H3387" s="697" t="s">
        <v>448</v>
      </c>
      <c r="I3387" s="800">
        <v>363</v>
      </c>
      <c r="J3387" s="698" t="s">
        <v>615</v>
      </c>
      <c r="K3387" s="710">
        <v>755.4</v>
      </c>
      <c r="N3387" s="700"/>
      <c r="O3387" s="697" t="s">
        <v>3342</v>
      </c>
      <c r="Q3387" s="1066">
        <v>0.28129999999999999</v>
      </c>
      <c r="R3387" s="775"/>
    </row>
    <row r="3388" spans="6:18" ht="24" customHeight="1">
      <c r="F3388" s="710">
        <v>2</v>
      </c>
      <c r="G3388" s="708" t="s">
        <v>778</v>
      </c>
      <c r="H3388" s="990" t="s">
        <v>3583</v>
      </c>
      <c r="I3388" s="710">
        <f t="shared" ref="I3388:I3393" si="320">I3319</f>
        <v>53.4</v>
      </c>
      <c r="J3388" s="698" t="s">
        <v>877</v>
      </c>
      <c r="K3388" s="710">
        <v>84</v>
      </c>
      <c r="N3388" s="700"/>
      <c r="O3388" s="697"/>
      <c r="Q3388" s="705" t="s">
        <v>1609</v>
      </c>
      <c r="R3388" s="775"/>
    </row>
    <row r="3389" spans="6:18" ht="24" customHeight="1">
      <c r="F3389" s="710">
        <v>4</v>
      </c>
      <c r="G3389" s="708" t="s">
        <v>877</v>
      </c>
      <c r="H3389" s="990" t="s">
        <v>3584</v>
      </c>
      <c r="I3389" s="710">
        <f t="shared" si="320"/>
        <v>83</v>
      </c>
      <c r="J3389" s="698" t="s">
        <v>877</v>
      </c>
      <c r="K3389" s="710">
        <v>232</v>
      </c>
      <c r="N3389" s="700"/>
      <c r="O3389" s="697"/>
      <c r="Q3389" s="1067">
        <v>0.86880000000000002</v>
      </c>
      <c r="R3389" s="758"/>
    </row>
    <row r="3390" spans="6:18" ht="24" customHeight="1">
      <c r="F3390" s="710">
        <v>2</v>
      </c>
      <c r="G3390" s="708" t="s">
        <v>877</v>
      </c>
      <c r="H3390" s="990" t="s">
        <v>3585</v>
      </c>
      <c r="I3390" s="710">
        <f t="shared" si="320"/>
        <v>90.6</v>
      </c>
      <c r="J3390" s="698" t="s">
        <v>877</v>
      </c>
      <c r="K3390" s="710">
        <v>126</v>
      </c>
      <c r="N3390" s="700"/>
      <c r="Q3390" s="705" t="s">
        <v>1609</v>
      </c>
      <c r="R3390" s="705"/>
    </row>
    <row r="3391" spans="6:18" ht="24" customHeight="1">
      <c r="F3391" s="710">
        <v>1</v>
      </c>
      <c r="G3391" s="708" t="s">
        <v>877</v>
      </c>
      <c r="H3391" s="990" t="s">
        <v>3586</v>
      </c>
      <c r="I3391" s="710">
        <f t="shared" si="320"/>
        <v>194.4</v>
      </c>
      <c r="J3391" s="698" t="s">
        <v>877</v>
      </c>
      <c r="K3391" s="710">
        <v>152</v>
      </c>
      <c r="M3391" s="775">
        <v>3.9E-2</v>
      </c>
      <c r="N3391" s="708" t="s">
        <v>878</v>
      </c>
      <c r="O3391" s="697" t="s">
        <v>309</v>
      </c>
      <c r="P3391" s="710">
        <f>P3288</f>
        <v>111600</v>
      </c>
      <c r="Q3391" s="698" t="s">
        <v>878</v>
      </c>
      <c r="R3391" s="710">
        <f>P3391*M3391</f>
        <v>4352.3999999999996</v>
      </c>
    </row>
    <row r="3392" spans="6:18" ht="24" customHeight="1">
      <c r="F3392" s="710">
        <v>1</v>
      </c>
      <c r="G3392" s="708" t="s">
        <v>877</v>
      </c>
      <c r="H3392" s="990" t="s">
        <v>3324</v>
      </c>
      <c r="I3392" s="710">
        <f t="shared" si="320"/>
        <v>22.9</v>
      </c>
      <c r="J3392" s="698" t="s">
        <v>877</v>
      </c>
      <c r="K3392" s="710">
        <v>20</v>
      </c>
      <c r="M3392" s="775">
        <v>2.1940000000000001E-2</v>
      </c>
      <c r="N3392" s="708" t="s">
        <v>878</v>
      </c>
      <c r="O3392" s="697" t="s">
        <v>310</v>
      </c>
      <c r="P3392" s="710">
        <f>P3289</f>
        <v>99400</v>
      </c>
      <c r="Q3392" s="698" t="s">
        <v>878</v>
      </c>
      <c r="R3392" s="710">
        <f t="shared" ref="R3392:R3401" si="321">P3392*M3392</f>
        <v>2180.84</v>
      </c>
    </row>
    <row r="3393" spans="6:18" ht="24" customHeight="1">
      <c r="F3393" s="710">
        <v>1</v>
      </c>
      <c r="G3393" s="708" t="s">
        <v>877</v>
      </c>
      <c r="H3393" s="990" t="s">
        <v>3325</v>
      </c>
      <c r="I3393" s="710">
        <f t="shared" si="320"/>
        <v>45.9</v>
      </c>
      <c r="J3393" s="698" t="s">
        <v>877</v>
      </c>
      <c r="K3393" s="710">
        <v>37</v>
      </c>
      <c r="M3393" s="775">
        <v>0.86880000000000002</v>
      </c>
      <c r="N3393" s="708" t="s">
        <v>615</v>
      </c>
      <c r="O3393" s="697" t="s">
        <v>2117</v>
      </c>
      <c r="P3393" s="710">
        <f>P3359</f>
        <v>387.4</v>
      </c>
      <c r="Q3393" s="698" t="s">
        <v>878</v>
      </c>
      <c r="R3393" s="710">
        <f t="shared" si="321"/>
        <v>336.57</v>
      </c>
    </row>
    <row r="3394" spans="6:18" ht="24" customHeight="1">
      <c r="H3394" s="699" t="s">
        <v>1356</v>
      </c>
      <c r="J3394" s="704"/>
      <c r="K3394" s="1075"/>
      <c r="M3394" s="776">
        <v>2.081</v>
      </c>
      <c r="N3394" s="708" t="s">
        <v>615</v>
      </c>
      <c r="O3394" s="697" t="s">
        <v>448</v>
      </c>
      <c r="P3394" s="710">
        <f>P3291</f>
        <v>1105</v>
      </c>
      <c r="Q3394" s="698" t="s">
        <v>615</v>
      </c>
      <c r="R3394" s="710">
        <f t="shared" si="321"/>
        <v>2299.5100000000002</v>
      </c>
    </row>
    <row r="3395" spans="6:18" ht="24" customHeight="1">
      <c r="J3395" s="704"/>
      <c r="K3395" s="705" t="s">
        <v>1609</v>
      </c>
      <c r="M3395" s="710">
        <v>2</v>
      </c>
      <c r="N3395" s="708" t="s">
        <v>778</v>
      </c>
      <c r="O3395" s="697" t="s">
        <v>3321</v>
      </c>
      <c r="P3395" s="710">
        <f t="shared" ref="P3395:P3400" si="322">P3292</f>
        <v>53.4</v>
      </c>
      <c r="Q3395" s="698" t="s">
        <v>877</v>
      </c>
      <c r="R3395" s="710">
        <f t="shared" si="321"/>
        <v>106.8</v>
      </c>
    </row>
    <row r="3396" spans="6:18" ht="24" customHeight="1">
      <c r="H3396" s="697" t="s">
        <v>2814</v>
      </c>
      <c r="J3396" s="704"/>
      <c r="K3396" s="710">
        <v>6067.81</v>
      </c>
      <c r="M3396" s="710">
        <v>4</v>
      </c>
      <c r="N3396" s="708" t="s">
        <v>877</v>
      </c>
      <c r="O3396" s="697" t="s">
        <v>1486</v>
      </c>
      <c r="P3396" s="710">
        <f t="shared" si="322"/>
        <v>83</v>
      </c>
      <c r="Q3396" s="698" t="s">
        <v>877</v>
      </c>
      <c r="R3396" s="710">
        <f t="shared" si="321"/>
        <v>332</v>
      </c>
    </row>
    <row r="3397" spans="6:18" ht="24" customHeight="1">
      <c r="J3397" s="704"/>
      <c r="K3397" s="705" t="s">
        <v>1609</v>
      </c>
      <c r="M3397" s="710">
        <v>2</v>
      </c>
      <c r="N3397" s="708" t="s">
        <v>877</v>
      </c>
      <c r="O3397" s="697" t="s">
        <v>3322</v>
      </c>
      <c r="P3397" s="710">
        <f t="shared" si="322"/>
        <v>90.6</v>
      </c>
      <c r="Q3397" s="698" t="s">
        <v>877</v>
      </c>
      <c r="R3397" s="710">
        <f t="shared" si="321"/>
        <v>181.2</v>
      </c>
    </row>
    <row r="3398" spans="6:18" ht="24" customHeight="1">
      <c r="H3398" s="701" t="s">
        <v>556</v>
      </c>
      <c r="J3398" s="877" t="s">
        <v>729</v>
      </c>
      <c r="K3398" s="709">
        <v>2915.81</v>
      </c>
      <c r="M3398" s="710">
        <v>1</v>
      </c>
      <c r="N3398" s="708" t="s">
        <v>877</v>
      </c>
      <c r="O3398" s="697" t="s">
        <v>3323</v>
      </c>
      <c r="P3398" s="710">
        <f t="shared" si="322"/>
        <v>194.4</v>
      </c>
      <c r="Q3398" s="698" t="s">
        <v>877</v>
      </c>
      <c r="R3398" s="710">
        <f t="shared" si="321"/>
        <v>194.4</v>
      </c>
    </row>
    <row r="3399" spans="6:18" ht="24" customHeight="1">
      <c r="K3399" s="705" t="s">
        <v>2080</v>
      </c>
      <c r="M3399" s="710">
        <v>1</v>
      </c>
      <c r="N3399" s="708" t="s">
        <v>877</v>
      </c>
      <c r="O3399" s="697" t="s">
        <v>3324</v>
      </c>
      <c r="P3399" s="710">
        <f t="shared" si="322"/>
        <v>22.9</v>
      </c>
      <c r="Q3399" s="698" t="s">
        <v>877</v>
      </c>
      <c r="R3399" s="710">
        <f t="shared" si="321"/>
        <v>22.9</v>
      </c>
    </row>
    <row r="3400" spans="6:18" ht="24" customHeight="1">
      <c r="M3400" s="710">
        <v>1</v>
      </c>
      <c r="N3400" s="708" t="s">
        <v>877</v>
      </c>
      <c r="O3400" s="697" t="s">
        <v>3325</v>
      </c>
      <c r="P3400" s="710">
        <f t="shared" si="322"/>
        <v>45.9</v>
      </c>
      <c r="Q3400" s="698" t="s">
        <v>877</v>
      </c>
      <c r="R3400" s="710">
        <f t="shared" si="321"/>
        <v>45.9</v>
      </c>
    </row>
    <row r="3401" spans="6:18" ht="24" customHeight="1">
      <c r="M3401" s="710">
        <v>58</v>
      </c>
      <c r="N3401" s="708" t="s">
        <v>877</v>
      </c>
      <c r="O3401" s="699" t="s">
        <v>1356</v>
      </c>
      <c r="P3401" s="699">
        <f>P3367</f>
        <v>2.39</v>
      </c>
      <c r="Q3401" s="704"/>
      <c r="R3401" s="710">
        <f t="shared" si="321"/>
        <v>138.62</v>
      </c>
    </row>
    <row r="3402" spans="6:18" ht="24" customHeight="1">
      <c r="N3402" s="700"/>
      <c r="Q3402" s="704"/>
      <c r="R3402" s="705" t="s">
        <v>1609</v>
      </c>
    </row>
    <row r="3403" spans="6:18" ht="24" customHeight="1">
      <c r="H3403" s="984" t="s">
        <v>4008</v>
      </c>
      <c r="I3403" s="984"/>
      <c r="N3403" s="700"/>
      <c r="O3403" s="697" t="s">
        <v>2814</v>
      </c>
      <c r="Q3403" s="704"/>
      <c r="R3403" s="710">
        <f>SUM(R3391:R3401)</f>
        <v>10191.14</v>
      </c>
    </row>
    <row r="3404" spans="6:18" ht="24" customHeight="1">
      <c r="N3404" s="700"/>
      <c r="Q3404" s="704"/>
      <c r="R3404" s="705" t="s">
        <v>1609</v>
      </c>
    </row>
    <row r="3405" spans="6:18" ht="24" customHeight="1">
      <c r="F3405" s="699" t="s">
        <v>4009</v>
      </c>
      <c r="I3405" s="996">
        <f>2*0.95*2.325</f>
        <v>4.4175000000000004</v>
      </c>
      <c r="N3405" s="700"/>
      <c r="O3405" s="701" t="s">
        <v>556</v>
      </c>
      <c r="Q3405" s="877" t="s">
        <v>729</v>
      </c>
      <c r="R3405" s="709">
        <f>R3403/M3394</f>
        <v>4897.2299999999996</v>
      </c>
    </row>
    <row r="3406" spans="6:18" ht="24" customHeight="1">
      <c r="F3406" s="699" t="s">
        <v>4010</v>
      </c>
      <c r="I3406" s="996">
        <f>2*2*2.325*0.075*0.0375</f>
        <v>2.6200000000000001E-2</v>
      </c>
      <c r="N3406" s="700"/>
      <c r="Q3406" s="702"/>
      <c r="R3406" s="705" t="s">
        <v>2080</v>
      </c>
    </row>
    <row r="3407" spans="6:18" ht="24" customHeight="1">
      <c r="F3407" s="699" t="s">
        <v>2046</v>
      </c>
      <c r="I3407" s="796">
        <f>2*3*0.95*0.15*0.0375</f>
        <v>3.2099999999999997E-2</v>
      </c>
    </row>
    <row r="3408" spans="6:18" ht="24" customHeight="1">
      <c r="F3408" s="699" t="s">
        <v>4011</v>
      </c>
      <c r="G3408" s="700" t="s">
        <v>4012</v>
      </c>
      <c r="I3408" s="796">
        <f>2*2*0.95*0.075*0.0375</f>
        <v>1.0699999999999999E-2</v>
      </c>
      <c r="N3408" s="700"/>
      <c r="O3408" s="758"/>
      <c r="Q3408" s="702"/>
    </row>
    <row r="3409" spans="6:18" ht="24" customHeight="1">
      <c r="I3409" s="997">
        <f>SUM(I3407:I3408)</f>
        <v>4.2799999999999998E-2</v>
      </c>
    </row>
    <row r="3412" spans="6:18" ht="24" customHeight="1">
      <c r="F3412" s="699" t="s">
        <v>4013</v>
      </c>
      <c r="I3412" s="796">
        <f>2*4*0.825*0.36*0.01875</f>
        <v>4.4600000000000001E-2</v>
      </c>
    </row>
    <row r="3413" spans="6:18" ht="24" customHeight="1">
      <c r="F3413" s="699" t="s">
        <v>4014</v>
      </c>
      <c r="I3413" s="796">
        <f>2*0.825*0.36*0.01875</f>
        <v>1.11E-2</v>
      </c>
    </row>
    <row r="3414" spans="6:18" ht="24" customHeight="1">
      <c r="I3414" s="997">
        <f>SUM(I3412:I3413)</f>
        <v>5.57E-2</v>
      </c>
    </row>
    <row r="3415" spans="6:18" ht="24" customHeight="1">
      <c r="H3415" s="758" t="s">
        <v>1647</v>
      </c>
      <c r="M3415" s="698"/>
      <c r="N3415" s="708" t="s">
        <v>2276</v>
      </c>
      <c r="O3415" s="697" t="s">
        <v>3327</v>
      </c>
      <c r="Q3415" s="704"/>
    </row>
    <row r="3416" spans="6:18" ht="24" customHeight="1">
      <c r="N3416" s="700"/>
      <c r="O3416" s="697" t="s">
        <v>255</v>
      </c>
      <c r="Q3416" s="704"/>
    </row>
    <row r="3417" spans="6:18" ht="24" customHeight="1">
      <c r="F3417" s="796">
        <f>I3406</f>
        <v>2.6200000000000001E-2</v>
      </c>
      <c r="G3417" s="700" t="s">
        <v>878</v>
      </c>
      <c r="H3417" s="699" t="s">
        <v>2521</v>
      </c>
      <c r="I3417" s="699">
        <f>I2630</f>
        <v>111600</v>
      </c>
      <c r="J3417" s="702" t="s">
        <v>878</v>
      </c>
      <c r="K3417" s="699">
        <f>F3417*I3417</f>
        <v>2923.92</v>
      </c>
      <c r="N3417" s="700"/>
      <c r="O3417" s="951" t="s">
        <v>3333</v>
      </c>
      <c r="Q3417" s="704"/>
    </row>
    <row r="3418" spans="6:18" ht="24" customHeight="1">
      <c r="F3418" s="796">
        <f>I3409</f>
        <v>4.2799999999999998E-2</v>
      </c>
      <c r="G3418" s="700" t="s">
        <v>878</v>
      </c>
      <c r="H3418" s="699" t="s">
        <v>2522</v>
      </c>
      <c r="I3418" s="699">
        <f>I2631</f>
        <v>99400</v>
      </c>
      <c r="J3418" s="702" t="s">
        <v>878</v>
      </c>
      <c r="K3418" s="699">
        <f t="shared" ref="K3418:K3427" si="323">F3418*I3418</f>
        <v>4254.32</v>
      </c>
      <c r="N3418" s="700"/>
      <c r="O3418" s="705" t="s">
        <v>1609</v>
      </c>
      <c r="Q3418" s="704"/>
    </row>
    <row r="3419" spans="6:18" ht="24" customHeight="1">
      <c r="F3419" s="838">
        <f>I3414</f>
        <v>5.57E-2</v>
      </c>
      <c r="G3419" s="700" t="s">
        <v>878</v>
      </c>
      <c r="H3419" s="699" t="s">
        <v>4015</v>
      </c>
      <c r="I3419" s="699">
        <f>I2632</f>
        <v>107000</v>
      </c>
      <c r="J3419" s="702" t="s">
        <v>878</v>
      </c>
      <c r="K3419" s="699">
        <f t="shared" si="323"/>
        <v>5959.9</v>
      </c>
      <c r="N3419" s="700"/>
      <c r="O3419" s="697" t="s">
        <v>3334</v>
      </c>
      <c r="P3419" s="785" t="s">
        <v>2080</v>
      </c>
      <c r="Q3419" s="848">
        <v>2.4279999999999999</v>
      </c>
      <c r="R3419" s="699" t="s">
        <v>2308</v>
      </c>
    </row>
    <row r="3420" spans="6:18" ht="24" customHeight="1">
      <c r="F3420" s="796">
        <f>I3405</f>
        <v>4.4175000000000004</v>
      </c>
      <c r="G3420" s="700" t="s">
        <v>615</v>
      </c>
      <c r="H3420" s="699" t="s">
        <v>892</v>
      </c>
      <c r="I3420" s="699">
        <f>I2633</f>
        <v>1325</v>
      </c>
      <c r="J3420" s="702" t="s">
        <v>615</v>
      </c>
      <c r="K3420" s="699">
        <f t="shared" si="323"/>
        <v>5853.19</v>
      </c>
      <c r="N3420" s="700"/>
      <c r="O3420" s="697"/>
      <c r="P3420" s="785"/>
      <c r="Q3420" s="848"/>
    </row>
    <row r="3421" spans="6:18" ht="24" customHeight="1">
      <c r="F3421" s="699">
        <v>2</v>
      </c>
      <c r="G3421" s="700" t="s">
        <v>1898</v>
      </c>
      <c r="H3421" s="699" t="s">
        <v>3785</v>
      </c>
      <c r="I3421" s="998">
        <v>450</v>
      </c>
      <c r="J3421" s="702" t="s">
        <v>1418</v>
      </c>
      <c r="K3421" s="699">
        <f t="shared" si="323"/>
        <v>900</v>
      </c>
      <c r="N3421" s="700"/>
      <c r="O3421" s="697" t="s">
        <v>5275</v>
      </c>
      <c r="P3421" s="785" t="s">
        <v>2080</v>
      </c>
      <c r="Q3421" s="997">
        <v>5.1999999999999998E-2</v>
      </c>
      <c r="R3421" s="699" t="s">
        <v>2176</v>
      </c>
    </row>
    <row r="3422" spans="6:18" ht="24" customHeight="1">
      <c r="F3422" s="699">
        <v>6</v>
      </c>
      <c r="G3422" s="700" t="s">
        <v>1898</v>
      </c>
      <c r="H3422" s="699" t="s">
        <v>3786</v>
      </c>
      <c r="I3422" s="998">
        <v>79</v>
      </c>
      <c r="J3422" s="702" t="s">
        <v>1418</v>
      </c>
      <c r="K3422" s="699">
        <f t="shared" si="323"/>
        <v>474</v>
      </c>
      <c r="N3422" s="700"/>
      <c r="O3422" s="697" t="s">
        <v>3316</v>
      </c>
      <c r="Q3422" s="785"/>
    </row>
    <row r="3423" spans="6:18" ht="24" customHeight="1">
      <c r="F3423" s="699">
        <v>4</v>
      </c>
      <c r="G3423" s="700" t="s">
        <v>1898</v>
      </c>
      <c r="H3423" s="699" t="s">
        <v>3787</v>
      </c>
      <c r="I3423" s="998">
        <v>130</v>
      </c>
      <c r="J3423" s="702" t="s">
        <v>1418</v>
      </c>
      <c r="K3423" s="699">
        <f t="shared" si="323"/>
        <v>520</v>
      </c>
      <c r="N3423" s="700"/>
      <c r="O3423" s="697" t="s">
        <v>3335</v>
      </c>
      <c r="P3423" s="785" t="s">
        <v>2080</v>
      </c>
      <c r="Q3423" s="1063">
        <v>1.772E-2</v>
      </c>
    </row>
    <row r="3424" spans="6:18" ht="24" customHeight="1">
      <c r="F3424" s="699">
        <v>1</v>
      </c>
      <c r="G3424" s="700" t="s">
        <v>1898</v>
      </c>
      <c r="H3424" s="699" t="s">
        <v>3788</v>
      </c>
      <c r="I3424" s="998">
        <v>985</v>
      </c>
      <c r="J3424" s="702" t="s">
        <v>1418</v>
      </c>
      <c r="K3424" s="699">
        <f t="shared" si="323"/>
        <v>985</v>
      </c>
      <c r="N3424" s="700"/>
      <c r="O3424" s="697" t="s">
        <v>3336</v>
      </c>
      <c r="P3424" s="785" t="s">
        <v>2080</v>
      </c>
      <c r="Q3424" s="1069">
        <v>7.8750000000000001E-3</v>
      </c>
      <c r="R3424" s="775"/>
    </row>
    <row r="3425" spans="6:18" ht="24" customHeight="1">
      <c r="F3425" s="699">
        <v>2</v>
      </c>
      <c r="G3425" s="700" t="s">
        <v>1898</v>
      </c>
      <c r="H3425" s="699" t="s">
        <v>3780</v>
      </c>
      <c r="I3425" s="998">
        <v>21.5</v>
      </c>
      <c r="J3425" s="702" t="s">
        <v>1418</v>
      </c>
      <c r="K3425" s="699">
        <f t="shared" si="323"/>
        <v>43</v>
      </c>
      <c r="N3425" s="700"/>
      <c r="Q3425" s="705" t="s">
        <v>1609</v>
      </c>
    </row>
    <row r="3426" spans="6:18" ht="24" customHeight="1">
      <c r="F3426" s="699">
        <v>2</v>
      </c>
      <c r="G3426" s="700" t="s">
        <v>1898</v>
      </c>
      <c r="H3426" s="699" t="s">
        <v>2007</v>
      </c>
      <c r="I3426" s="699">
        <f>I3393</f>
        <v>45.9</v>
      </c>
      <c r="J3426" s="702" t="s">
        <v>1418</v>
      </c>
      <c r="K3426" s="699">
        <f t="shared" si="323"/>
        <v>91.8</v>
      </c>
      <c r="N3426" s="700"/>
      <c r="Q3426" s="1064">
        <v>2.5600000000000001E-2</v>
      </c>
      <c r="R3426" s="699" t="s">
        <v>2176</v>
      </c>
    </row>
    <row r="3427" spans="6:18" ht="24" customHeight="1">
      <c r="F3427" s="703">
        <v>130</v>
      </c>
      <c r="G3427" s="700" t="s">
        <v>1898</v>
      </c>
      <c r="H3427" s="699" t="s">
        <v>1159</v>
      </c>
      <c r="I3427" s="998">
        <f>I3325</f>
        <v>2.39</v>
      </c>
      <c r="K3427" s="699">
        <f t="shared" si="323"/>
        <v>310.7</v>
      </c>
      <c r="N3427" s="700"/>
      <c r="Q3427" s="705" t="s">
        <v>1609</v>
      </c>
    </row>
    <row r="3428" spans="6:18" ht="24" customHeight="1">
      <c r="K3428" s="747"/>
      <c r="N3428" s="700"/>
      <c r="O3428" s="697" t="s">
        <v>2407</v>
      </c>
      <c r="Q3428" s="997">
        <v>0.58750000000000002</v>
      </c>
      <c r="R3428" s="825" t="s">
        <v>2308</v>
      </c>
    </row>
    <row r="3429" spans="6:18" ht="24" customHeight="1">
      <c r="G3429" s="839"/>
      <c r="H3429" s="758" t="s">
        <v>4016</v>
      </c>
      <c r="K3429" s="758">
        <f>SUM(K3417:K3428)</f>
        <v>22315.83</v>
      </c>
      <c r="N3429" s="700"/>
      <c r="O3429" s="697" t="s">
        <v>2408</v>
      </c>
      <c r="Q3429" s="1067">
        <v>5.3E-3</v>
      </c>
      <c r="R3429" s="825" t="s">
        <v>2176</v>
      </c>
    </row>
    <row r="3430" spans="6:18" ht="24" customHeight="1">
      <c r="G3430" s="839"/>
      <c r="K3430" s="747" t="s">
        <v>148</v>
      </c>
      <c r="N3430" s="700"/>
      <c r="O3430" s="697" t="s">
        <v>2409</v>
      </c>
      <c r="Q3430" s="1067">
        <v>6.7</v>
      </c>
      <c r="R3430" s="825" t="s">
        <v>835</v>
      </c>
    </row>
    <row r="3431" spans="6:18" ht="24" customHeight="1">
      <c r="G3431" s="839"/>
      <c r="H3431" s="758" t="s">
        <v>556</v>
      </c>
      <c r="K3431" s="758">
        <f>K3429/F3420</f>
        <v>5051.6899999999996</v>
      </c>
      <c r="N3431" s="700"/>
      <c r="Q3431" s="705"/>
      <c r="R3431" s="705"/>
    </row>
    <row r="3432" spans="6:18" ht="24" customHeight="1">
      <c r="G3432" s="699"/>
      <c r="J3432" s="699"/>
      <c r="M3432" s="775">
        <v>5.1999999999999998E-2</v>
      </c>
      <c r="N3432" s="708" t="s">
        <v>878</v>
      </c>
      <c r="O3432" s="697" t="s">
        <v>309</v>
      </c>
      <c r="P3432" s="710">
        <f>P3218</f>
        <v>111600</v>
      </c>
      <c r="Q3432" s="698" t="s">
        <v>878</v>
      </c>
      <c r="R3432" s="710">
        <f>P3432*M3432</f>
        <v>5803.2</v>
      </c>
    </row>
    <row r="3433" spans="6:18" ht="24" customHeight="1">
      <c r="M3433" s="775">
        <v>2.5600000000000001E-2</v>
      </c>
      <c r="N3433" s="708" t="s">
        <v>878</v>
      </c>
      <c r="O3433" s="697" t="s">
        <v>310</v>
      </c>
      <c r="P3433" s="710">
        <f>P3219</f>
        <v>99400</v>
      </c>
      <c r="Q3433" s="698" t="s">
        <v>878</v>
      </c>
      <c r="R3433" s="710">
        <f t="shared" ref="R3433:R3445" si="324">P3433*M3433</f>
        <v>2544.64</v>
      </c>
    </row>
    <row r="3434" spans="6:18" ht="24" customHeight="1">
      <c r="M3434" s="775">
        <v>5.3E-3</v>
      </c>
      <c r="N3434" s="708" t="s">
        <v>878</v>
      </c>
      <c r="O3434" s="697" t="s">
        <v>3320</v>
      </c>
      <c r="P3434" s="710">
        <f>P3220</f>
        <v>101921.4</v>
      </c>
      <c r="Q3434" s="698" t="s">
        <v>878</v>
      </c>
      <c r="R3434" s="710">
        <f t="shared" si="324"/>
        <v>540.17999999999995</v>
      </c>
    </row>
    <row r="3435" spans="6:18" ht="24" customHeight="1">
      <c r="M3435" s="776"/>
      <c r="N3435" s="700"/>
      <c r="O3435" s="697" t="s">
        <v>956</v>
      </c>
      <c r="P3435" s="710"/>
      <c r="Q3435" s="704"/>
      <c r="R3435" s="710">
        <f t="shared" si="324"/>
        <v>0</v>
      </c>
    </row>
    <row r="3436" spans="6:18" ht="24" customHeight="1">
      <c r="M3436" s="776">
        <v>0.58750000000000002</v>
      </c>
      <c r="N3436" s="708" t="s">
        <v>615</v>
      </c>
      <c r="O3436" s="697" t="s">
        <v>3330</v>
      </c>
      <c r="P3436" s="710">
        <f>P3222</f>
        <v>359</v>
      </c>
      <c r="Q3436" s="704" t="s">
        <v>615</v>
      </c>
      <c r="R3436" s="710">
        <f t="shared" si="324"/>
        <v>210.91</v>
      </c>
    </row>
    <row r="3437" spans="6:18" ht="24" customHeight="1">
      <c r="M3437" s="776">
        <v>6.7</v>
      </c>
      <c r="N3437" s="708" t="s">
        <v>1796</v>
      </c>
      <c r="O3437" s="697" t="s">
        <v>3332</v>
      </c>
      <c r="P3437" s="710">
        <f>P3223</f>
        <v>15.3</v>
      </c>
      <c r="Q3437" s="704" t="s">
        <v>835</v>
      </c>
      <c r="R3437" s="710">
        <f t="shared" si="324"/>
        <v>102.51</v>
      </c>
    </row>
    <row r="3438" spans="6:18" ht="24" customHeight="1">
      <c r="M3438" s="776">
        <v>2.4279999999999999</v>
      </c>
      <c r="N3438" s="708" t="s">
        <v>615</v>
      </c>
      <c r="O3438" s="697" t="s">
        <v>448</v>
      </c>
      <c r="P3438" s="710">
        <f>P3224</f>
        <v>1300.95</v>
      </c>
      <c r="Q3438" s="698" t="s">
        <v>615</v>
      </c>
      <c r="R3438" s="710">
        <f t="shared" si="324"/>
        <v>3158.71</v>
      </c>
    </row>
    <row r="3439" spans="6:18" ht="55.5" customHeight="1">
      <c r="M3439" s="710">
        <v>4</v>
      </c>
      <c r="N3439" s="708" t="s">
        <v>778</v>
      </c>
      <c r="O3439" s="697" t="s">
        <v>3321</v>
      </c>
      <c r="P3439" s="710">
        <f t="shared" ref="P3439:P3444" si="325">P3225</f>
        <v>53.4</v>
      </c>
      <c r="Q3439" s="698" t="s">
        <v>877</v>
      </c>
      <c r="R3439" s="710">
        <f t="shared" si="324"/>
        <v>213.6</v>
      </c>
    </row>
    <row r="3440" spans="6:18" ht="24" customHeight="1">
      <c r="M3440" s="710">
        <v>8</v>
      </c>
      <c r="N3440" s="708" t="s">
        <v>877</v>
      </c>
      <c r="O3440" s="697" t="s">
        <v>1486</v>
      </c>
      <c r="P3440" s="710">
        <f t="shared" si="325"/>
        <v>83</v>
      </c>
      <c r="Q3440" s="698" t="s">
        <v>877</v>
      </c>
      <c r="R3440" s="710">
        <f t="shared" si="324"/>
        <v>664</v>
      </c>
    </row>
    <row r="3441" spans="6:18" ht="24" customHeight="1">
      <c r="M3441" s="710">
        <v>4</v>
      </c>
      <c r="N3441" s="708" t="s">
        <v>877</v>
      </c>
      <c r="O3441" s="697" t="s">
        <v>3322</v>
      </c>
      <c r="P3441" s="710">
        <f t="shared" si="325"/>
        <v>90.6</v>
      </c>
      <c r="Q3441" s="698" t="s">
        <v>877</v>
      </c>
      <c r="R3441" s="710">
        <f t="shared" si="324"/>
        <v>362.4</v>
      </c>
    </row>
    <row r="3442" spans="6:18" ht="24" customHeight="1">
      <c r="M3442" s="710">
        <v>1</v>
      </c>
      <c r="N3442" s="708" t="s">
        <v>877</v>
      </c>
      <c r="O3442" s="697" t="s">
        <v>3323</v>
      </c>
      <c r="P3442" s="710">
        <f t="shared" si="325"/>
        <v>194.4</v>
      </c>
      <c r="Q3442" s="698" t="s">
        <v>877</v>
      </c>
      <c r="R3442" s="710">
        <f t="shared" si="324"/>
        <v>194.4</v>
      </c>
    </row>
    <row r="3443" spans="6:18" ht="24" customHeight="1">
      <c r="M3443" s="710">
        <v>2</v>
      </c>
      <c r="N3443" s="708" t="s">
        <v>877</v>
      </c>
      <c r="O3443" s="697" t="s">
        <v>3324</v>
      </c>
      <c r="P3443" s="710">
        <f t="shared" si="325"/>
        <v>22.9</v>
      </c>
      <c r="Q3443" s="698" t="s">
        <v>877</v>
      </c>
      <c r="R3443" s="710">
        <f t="shared" si="324"/>
        <v>45.8</v>
      </c>
    </row>
    <row r="3444" spans="6:18" ht="24" customHeight="1">
      <c r="M3444" s="710">
        <v>2</v>
      </c>
      <c r="N3444" s="708" t="s">
        <v>877</v>
      </c>
      <c r="O3444" s="697" t="s">
        <v>3325</v>
      </c>
      <c r="P3444" s="710">
        <f t="shared" si="325"/>
        <v>45.9</v>
      </c>
      <c r="Q3444" s="698" t="s">
        <v>877</v>
      </c>
      <c r="R3444" s="710">
        <f t="shared" si="324"/>
        <v>91.8</v>
      </c>
    </row>
    <row r="3445" spans="6:18" ht="24" customHeight="1">
      <c r="M3445" s="699">
        <v>118</v>
      </c>
      <c r="N3445" s="708" t="s">
        <v>877</v>
      </c>
      <c r="O3445" s="699" t="s">
        <v>1356</v>
      </c>
      <c r="P3445" s="699">
        <f>P3401</f>
        <v>2.39</v>
      </c>
      <c r="Q3445" s="698" t="s">
        <v>877</v>
      </c>
      <c r="R3445" s="710">
        <f t="shared" si="324"/>
        <v>282.02</v>
      </c>
    </row>
    <row r="3446" spans="6:18" ht="24" customHeight="1">
      <c r="N3446" s="700"/>
      <c r="Q3446" s="704"/>
      <c r="R3446" s="705" t="s">
        <v>1609</v>
      </c>
    </row>
    <row r="3447" spans="6:18" ht="24" customHeight="1">
      <c r="F3447" s="753">
        <v>29.5</v>
      </c>
      <c r="G3447" s="708" t="s">
        <v>2276</v>
      </c>
      <c r="H3447" s="697" t="s">
        <v>3158</v>
      </c>
      <c r="J3447" s="704"/>
      <c r="N3447" s="700"/>
      <c r="O3447" s="697" t="s">
        <v>3340</v>
      </c>
      <c r="Q3447" s="704"/>
      <c r="R3447" s="710">
        <f>SUM(R3432:R3446)</f>
        <v>14214.17</v>
      </c>
    </row>
    <row r="3448" spans="6:18" ht="24" customHeight="1">
      <c r="H3448" s="697" t="s">
        <v>3159</v>
      </c>
      <c r="J3448" s="704"/>
      <c r="N3448" s="700"/>
      <c r="Q3448" s="704"/>
      <c r="R3448" s="705" t="s">
        <v>1609</v>
      </c>
    </row>
    <row r="3449" spans="6:18" ht="24" customHeight="1">
      <c r="H3449" s="697" t="s">
        <v>1961</v>
      </c>
      <c r="J3449" s="704"/>
      <c r="N3449" s="700"/>
      <c r="O3449" s="701" t="s">
        <v>556</v>
      </c>
      <c r="Q3449" s="877" t="s">
        <v>729</v>
      </c>
      <c r="R3449" s="709">
        <f>R3447/M3438</f>
        <v>5854.27</v>
      </c>
    </row>
    <row r="3450" spans="6:18" ht="24" customHeight="1">
      <c r="H3450" s="705" t="s">
        <v>1609</v>
      </c>
      <c r="I3450" s="705" t="s">
        <v>1609</v>
      </c>
      <c r="J3450" s="704"/>
      <c r="K3450" s="710"/>
    </row>
    <row r="3451" spans="6:18" ht="24" customHeight="1">
      <c r="F3451" s="710">
        <v>10</v>
      </c>
      <c r="G3451" s="708" t="s">
        <v>615</v>
      </c>
      <c r="H3451" s="701" t="s">
        <v>3491</v>
      </c>
      <c r="I3451" s="707">
        <v>416</v>
      </c>
      <c r="J3451" s="698" t="s">
        <v>615</v>
      </c>
      <c r="K3451" s="710">
        <f>F3451*I3451</f>
        <v>4160</v>
      </c>
    </row>
    <row r="3452" spans="6:18" ht="24" customHeight="1">
      <c r="F3452" s="710">
        <v>0.21</v>
      </c>
      <c r="G3452" s="708" t="s">
        <v>878</v>
      </c>
      <c r="H3452" s="697" t="s">
        <v>1901</v>
      </c>
      <c r="I3452" s="710">
        <f>K30</f>
        <v>4471.8999999999996</v>
      </c>
      <c r="J3452" s="698" t="s">
        <v>878</v>
      </c>
      <c r="K3452" s="710">
        <f>(F3452*I3452)</f>
        <v>939.1</v>
      </c>
    </row>
    <row r="3453" spans="6:18" ht="24" customHeight="1">
      <c r="H3453" s="697" t="s">
        <v>1902</v>
      </c>
      <c r="I3453" s="710"/>
      <c r="J3453" s="704"/>
      <c r="K3453" s="697" t="s">
        <v>987</v>
      </c>
      <c r="M3453" s="753">
        <v>29.5</v>
      </c>
      <c r="N3453" s="708" t="s">
        <v>2276</v>
      </c>
      <c r="O3453" s="697" t="s">
        <v>3158</v>
      </c>
      <c r="Q3453" s="704"/>
    </row>
    <row r="3454" spans="6:18" ht="24" customHeight="1">
      <c r="F3454" s="710">
        <v>1.1000000000000001</v>
      </c>
      <c r="G3454" s="708" t="s">
        <v>778</v>
      </c>
      <c r="H3454" s="697" t="s">
        <v>2034</v>
      </c>
      <c r="I3454" s="710">
        <f>C8</f>
        <v>861</v>
      </c>
      <c r="J3454" s="698" t="s">
        <v>778</v>
      </c>
      <c r="K3454" s="710">
        <f>(F3454*I3454)</f>
        <v>947.1</v>
      </c>
      <c r="N3454" s="700"/>
      <c r="O3454" s="697" t="s">
        <v>3159</v>
      </c>
      <c r="Q3454" s="704"/>
    </row>
    <row r="3455" spans="6:18" ht="24" customHeight="1">
      <c r="F3455" s="710">
        <v>1.1000000000000001</v>
      </c>
      <c r="G3455" s="708" t="s">
        <v>778</v>
      </c>
      <c r="H3455" s="697" t="s">
        <v>1737</v>
      </c>
      <c r="I3455" s="710">
        <f>C9</f>
        <v>804</v>
      </c>
      <c r="J3455" s="698" t="s">
        <v>778</v>
      </c>
      <c r="K3455" s="710">
        <f>(F3455*I3455)</f>
        <v>884.4</v>
      </c>
      <c r="N3455" s="700"/>
      <c r="O3455" s="697" t="s">
        <v>1961</v>
      </c>
      <c r="Q3455" s="704"/>
    </row>
    <row r="3456" spans="6:18" ht="24" customHeight="1">
      <c r="F3456" s="710">
        <v>2.2000000000000002</v>
      </c>
      <c r="G3456" s="708" t="s">
        <v>778</v>
      </c>
      <c r="H3456" s="697" t="s">
        <v>1927</v>
      </c>
      <c r="I3456" s="710">
        <f>C10</f>
        <v>562</v>
      </c>
      <c r="J3456" s="698" t="s">
        <v>778</v>
      </c>
      <c r="K3456" s="710">
        <f>(F3456*I3456)</f>
        <v>1236.4000000000001</v>
      </c>
      <c r="N3456" s="700"/>
      <c r="O3456" s="705" t="s">
        <v>1609</v>
      </c>
      <c r="P3456" s="705" t="s">
        <v>1609</v>
      </c>
      <c r="Q3456" s="704"/>
      <c r="R3456" s="710"/>
    </row>
    <row r="3457" spans="6:18" ht="24" customHeight="1">
      <c r="F3457" s="710">
        <v>2.2000000000000002</v>
      </c>
      <c r="G3457" s="708" t="s">
        <v>778</v>
      </c>
      <c r="H3457" s="697" t="s">
        <v>321</v>
      </c>
      <c r="I3457" s="710">
        <f>C11</f>
        <v>461</v>
      </c>
      <c r="J3457" s="698" t="s">
        <v>778</v>
      </c>
      <c r="K3457" s="710">
        <f>(F3457*I3457)</f>
        <v>1014.2</v>
      </c>
      <c r="M3457" s="710">
        <v>10</v>
      </c>
      <c r="N3457" s="708" t="s">
        <v>615</v>
      </c>
      <c r="O3457" s="701" t="s">
        <v>3491</v>
      </c>
      <c r="P3457" s="1076">
        <f>I3451</f>
        <v>416</v>
      </c>
      <c r="Q3457" s="698" t="s">
        <v>615</v>
      </c>
      <c r="R3457" s="710">
        <f>P3457*M3457</f>
        <v>4160</v>
      </c>
    </row>
    <row r="3458" spans="6:18" ht="24" customHeight="1">
      <c r="F3458" s="740">
        <v>20</v>
      </c>
      <c r="G3458" s="708" t="s">
        <v>1670</v>
      </c>
      <c r="H3458" s="697" t="s">
        <v>871</v>
      </c>
      <c r="I3458" s="710">
        <f>AC29</f>
        <v>5960</v>
      </c>
      <c r="J3458" s="698" t="s">
        <v>870</v>
      </c>
      <c r="K3458" s="710">
        <f>(F3458*I3458)/1000</f>
        <v>119.2</v>
      </c>
      <c r="M3458" s="710">
        <v>0.21</v>
      </c>
      <c r="N3458" s="708" t="s">
        <v>878</v>
      </c>
      <c r="O3458" s="697" t="s">
        <v>1901</v>
      </c>
      <c r="P3458" s="1077">
        <f t="shared" ref="P3458:P3468" si="326">I3452</f>
        <v>4471.8999999999996</v>
      </c>
      <c r="Q3458" s="698" t="s">
        <v>878</v>
      </c>
      <c r="R3458" s="710">
        <f t="shared" ref="R3458:R3468" si="327">P3458*M3458</f>
        <v>939.1</v>
      </c>
    </row>
    <row r="3459" spans="6:18" ht="24" customHeight="1">
      <c r="F3459" s="740">
        <v>2</v>
      </c>
      <c r="G3459" s="708" t="s">
        <v>1670</v>
      </c>
      <c r="H3459" s="697" t="s">
        <v>2107</v>
      </c>
      <c r="I3459" s="710">
        <f>I1253</f>
        <v>36.1</v>
      </c>
      <c r="J3459" s="698" t="s">
        <v>1670</v>
      </c>
      <c r="K3459" s="710">
        <f>(F3459*I3459)</f>
        <v>72.2</v>
      </c>
      <c r="N3459" s="700"/>
      <c r="O3459" s="697" t="s">
        <v>1902</v>
      </c>
      <c r="P3459" s="1077">
        <f t="shared" si="326"/>
        <v>0</v>
      </c>
      <c r="Q3459" s="704"/>
      <c r="R3459" s="710">
        <f t="shared" si="327"/>
        <v>0</v>
      </c>
    </row>
    <row r="3460" spans="6:18" ht="24" customHeight="1">
      <c r="F3460" s="710">
        <v>1.6</v>
      </c>
      <c r="G3460" s="708" t="s">
        <v>778</v>
      </c>
      <c r="H3460" s="697" t="s">
        <v>1737</v>
      </c>
      <c r="I3460" s="710">
        <f>I3455</f>
        <v>804</v>
      </c>
      <c r="J3460" s="698" t="s">
        <v>778</v>
      </c>
      <c r="K3460" s="710">
        <f>(F3460*I3460)</f>
        <v>1286.4000000000001</v>
      </c>
      <c r="M3460" s="710">
        <v>1.1000000000000001</v>
      </c>
      <c r="N3460" s="708" t="s">
        <v>778</v>
      </c>
      <c r="O3460" s="697" t="s">
        <v>2034</v>
      </c>
      <c r="P3460" s="1077">
        <f t="shared" si="326"/>
        <v>861</v>
      </c>
      <c r="Q3460" s="698" t="s">
        <v>778</v>
      </c>
      <c r="R3460" s="710">
        <f t="shared" si="327"/>
        <v>947.1</v>
      </c>
    </row>
    <row r="3461" spans="6:18" ht="24" customHeight="1">
      <c r="F3461" s="710">
        <v>0.5</v>
      </c>
      <c r="G3461" s="708" t="s">
        <v>778</v>
      </c>
      <c r="H3461" s="697" t="s">
        <v>1927</v>
      </c>
      <c r="I3461" s="710">
        <f>I3456</f>
        <v>562</v>
      </c>
      <c r="J3461" s="698" t="s">
        <v>778</v>
      </c>
      <c r="K3461" s="710">
        <f>(F3461*I3461)</f>
        <v>281</v>
      </c>
      <c r="M3461" s="710">
        <v>1.1000000000000001</v>
      </c>
      <c r="N3461" s="708" t="s">
        <v>778</v>
      </c>
      <c r="O3461" s="697" t="s">
        <v>1737</v>
      </c>
      <c r="P3461" s="1077">
        <f t="shared" si="326"/>
        <v>804</v>
      </c>
      <c r="Q3461" s="698" t="s">
        <v>778</v>
      </c>
      <c r="R3461" s="710">
        <f t="shared" si="327"/>
        <v>884.4</v>
      </c>
    </row>
    <row r="3462" spans="6:18" ht="24" customHeight="1">
      <c r="F3462" s="710">
        <v>1.1000000000000001</v>
      </c>
      <c r="G3462" s="708" t="s">
        <v>778</v>
      </c>
      <c r="H3462" s="697" t="s">
        <v>321</v>
      </c>
      <c r="I3462" s="710">
        <f>I3457</f>
        <v>461</v>
      </c>
      <c r="J3462" s="698" t="s">
        <v>778</v>
      </c>
      <c r="K3462" s="710">
        <f>(F3462*I3462)</f>
        <v>507.1</v>
      </c>
      <c r="M3462" s="710">
        <v>2.2000000000000002</v>
      </c>
      <c r="N3462" s="708" t="s">
        <v>778</v>
      </c>
      <c r="O3462" s="697" t="s">
        <v>1927</v>
      </c>
      <c r="P3462" s="1077">
        <f t="shared" si="326"/>
        <v>562</v>
      </c>
      <c r="Q3462" s="698" t="s">
        <v>778</v>
      </c>
      <c r="R3462" s="710">
        <f t="shared" si="327"/>
        <v>1236.4000000000001</v>
      </c>
    </row>
    <row r="3463" spans="6:18" ht="24" customHeight="1">
      <c r="G3463" s="708" t="s">
        <v>450</v>
      </c>
      <c r="H3463" s="697" t="s">
        <v>451</v>
      </c>
      <c r="I3463" s="710">
        <f>I1259</f>
        <v>0</v>
      </c>
      <c r="J3463" s="698" t="s">
        <v>450</v>
      </c>
      <c r="K3463" s="710">
        <v>0</v>
      </c>
      <c r="M3463" s="710">
        <v>2.2000000000000002</v>
      </c>
      <c r="N3463" s="708" t="s">
        <v>778</v>
      </c>
      <c r="O3463" s="697" t="s">
        <v>321</v>
      </c>
      <c r="P3463" s="1077">
        <f t="shared" si="326"/>
        <v>461</v>
      </c>
      <c r="Q3463" s="698" t="s">
        <v>778</v>
      </c>
      <c r="R3463" s="710">
        <f t="shared" si="327"/>
        <v>1014.2</v>
      </c>
    </row>
    <row r="3464" spans="6:18" ht="24" customHeight="1">
      <c r="J3464" s="704"/>
      <c r="K3464" s="705" t="s">
        <v>1609</v>
      </c>
      <c r="M3464" s="740">
        <v>20</v>
      </c>
      <c r="N3464" s="708" t="s">
        <v>1670</v>
      </c>
      <c r="O3464" s="697" t="s">
        <v>871</v>
      </c>
      <c r="P3464" s="1077">
        <f t="shared" si="326"/>
        <v>5960</v>
      </c>
      <c r="Q3464" s="698" t="s">
        <v>870</v>
      </c>
      <c r="R3464" s="710">
        <f>P3464*M3464/1000</f>
        <v>119.2</v>
      </c>
    </row>
    <row r="3465" spans="6:18" ht="24" customHeight="1">
      <c r="H3465" s="697" t="s">
        <v>442</v>
      </c>
      <c r="J3465" s="704"/>
      <c r="K3465" s="710">
        <f>SUM(K3451:K3463)</f>
        <v>11447.1</v>
      </c>
      <c r="M3465" s="740">
        <v>2</v>
      </c>
      <c r="N3465" s="708" t="s">
        <v>1670</v>
      </c>
      <c r="O3465" s="697" t="s">
        <v>2953</v>
      </c>
      <c r="P3465" s="1077">
        <f>I3641</f>
        <v>24.7</v>
      </c>
      <c r="Q3465" s="698" t="s">
        <v>1670</v>
      </c>
      <c r="R3465" s="710">
        <f t="shared" si="327"/>
        <v>49.4</v>
      </c>
    </row>
    <row r="3466" spans="6:18" ht="24" customHeight="1">
      <c r="J3466" s="704"/>
      <c r="K3466" s="705" t="s">
        <v>1609</v>
      </c>
      <c r="M3466" s="710">
        <v>1.6</v>
      </c>
      <c r="N3466" s="708" t="s">
        <v>778</v>
      </c>
      <c r="O3466" s="697" t="s">
        <v>1737</v>
      </c>
      <c r="P3466" s="1077">
        <f t="shared" si="326"/>
        <v>804</v>
      </c>
      <c r="Q3466" s="698" t="s">
        <v>778</v>
      </c>
      <c r="R3466" s="710">
        <f t="shared" si="327"/>
        <v>1286.4000000000001</v>
      </c>
    </row>
    <row r="3467" spans="6:18" ht="24" customHeight="1">
      <c r="H3467" s="697" t="s">
        <v>556</v>
      </c>
      <c r="J3467" s="704"/>
      <c r="K3467" s="709">
        <f>(K3465/10)</f>
        <v>1144.71</v>
      </c>
      <c r="M3467" s="710">
        <v>0.5</v>
      </c>
      <c r="N3467" s="708" t="s">
        <v>778</v>
      </c>
      <c r="O3467" s="697" t="s">
        <v>1927</v>
      </c>
      <c r="P3467" s="1077">
        <f t="shared" si="326"/>
        <v>562</v>
      </c>
      <c r="Q3467" s="698" t="s">
        <v>778</v>
      </c>
      <c r="R3467" s="710">
        <f t="shared" si="327"/>
        <v>281</v>
      </c>
    </row>
    <row r="3468" spans="6:18" ht="24" customHeight="1">
      <c r="J3468" s="704"/>
      <c r="K3468" s="705" t="s">
        <v>2080</v>
      </c>
      <c r="M3468" s="710">
        <v>1.1000000000000001</v>
      </c>
      <c r="N3468" s="708" t="s">
        <v>778</v>
      </c>
      <c r="O3468" s="697" t="s">
        <v>321</v>
      </c>
      <c r="P3468" s="1077">
        <f t="shared" si="326"/>
        <v>461</v>
      </c>
      <c r="Q3468" s="698" t="s">
        <v>778</v>
      </c>
      <c r="R3468" s="710">
        <f t="shared" si="327"/>
        <v>507.1</v>
      </c>
    </row>
    <row r="3469" spans="6:18" ht="24" customHeight="1">
      <c r="N3469" s="708" t="s">
        <v>450</v>
      </c>
      <c r="O3469" s="697" t="s">
        <v>451</v>
      </c>
      <c r="P3469" s="710">
        <v>0</v>
      </c>
      <c r="Q3469" s="698" t="s">
        <v>450</v>
      </c>
      <c r="R3469" s="710">
        <v>0</v>
      </c>
    </row>
    <row r="3470" spans="6:18" ht="24" customHeight="1">
      <c r="N3470" s="700"/>
      <c r="Q3470" s="704"/>
      <c r="R3470" s="705" t="s">
        <v>1609</v>
      </c>
    </row>
    <row r="3471" spans="6:18" ht="24" customHeight="1">
      <c r="N3471" s="700"/>
      <c r="O3471" s="697" t="s">
        <v>442</v>
      </c>
      <c r="Q3471" s="704"/>
      <c r="R3471" s="710">
        <f>SUM(R3457:R3470)</f>
        <v>11424.3</v>
      </c>
    </row>
    <row r="3472" spans="6:18" ht="24" customHeight="1">
      <c r="N3472" s="700"/>
      <c r="Q3472" s="704"/>
      <c r="R3472" s="705" t="s">
        <v>1609</v>
      </c>
    </row>
    <row r="3473" spans="6:19" ht="57.75" customHeight="1">
      <c r="G3473" s="1078">
        <v>90</v>
      </c>
      <c r="H3473" s="1079" t="s">
        <v>5279</v>
      </c>
      <c r="N3473" s="700"/>
      <c r="O3473" s="697" t="s">
        <v>556</v>
      </c>
      <c r="Q3473" s="704"/>
      <c r="R3473" s="709">
        <f>R3471/10</f>
        <v>1142.43</v>
      </c>
    </row>
    <row r="3474" spans="6:19" ht="24" customHeight="1">
      <c r="F3474" s="796">
        <v>3.8100000000000002E-2</v>
      </c>
      <c r="G3474" s="700" t="s">
        <v>878</v>
      </c>
      <c r="H3474" s="699" t="s">
        <v>2484</v>
      </c>
      <c r="I3474" s="699">
        <f>I3384</f>
        <v>111600</v>
      </c>
      <c r="J3474" s="699">
        <f>J2276</f>
        <v>0</v>
      </c>
      <c r="K3474" s="699">
        <f>F3474*I3474</f>
        <v>4251.96</v>
      </c>
      <c r="N3474" s="700"/>
      <c r="Q3474" s="704"/>
      <c r="R3474" s="705" t="s">
        <v>2080</v>
      </c>
    </row>
    <row r="3475" spans="6:19" ht="24" customHeight="1">
      <c r="F3475" s="703">
        <v>2.4E-2</v>
      </c>
      <c r="G3475" s="700" t="s">
        <v>878</v>
      </c>
      <c r="H3475" s="699" t="s">
        <v>2485</v>
      </c>
      <c r="I3475" s="699">
        <f>I3385</f>
        <v>99400</v>
      </c>
      <c r="J3475" s="699">
        <f>J2277</f>
        <v>0</v>
      </c>
      <c r="K3475" s="699">
        <f t="shared" ref="K3475:K3488" si="328">F3475*I3475</f>
        <v>2385.6</v>
      </c>
    </row>
    <row r="3476" spans="6:19" ht="24" customHeight="1">
      <c r="F3476" s="699">
        <v>0.01</v>
      </c>
      <c r="G3476" s="700" t="s">
        <v>878</v>
      </c>
      <c r="H3476" s="697" t="s">
        <v>311</v>
      </c>
      <c r="I3476" s="699">
        <f>I2812</f>
        <v>95000</v>
      </c>
      <c r="J3476" s="699">
        <f>J2278</f>
        <v>0</v>
      </c>
      <c r="K3476" s="699">
        <f t="shared" si="328"/>
        <v>950</v>
      </c>
    </row>
    <row r="3477" spans="6:19" ht="24" customHeight="1">
      <c r="H3477" s="697" t="s">
        <v>447</v>
      </c>
    </row>
    <row r="3478" spans="6:19" ht="24" customHeight="1">
      <c r="F3478" s="699">
        <v>1.05</v>
      </c>
      <c r="G3478" s="708" t="s">
        <v>615</v>
      </c>
      <c r="H3478" s="802" t="s">
        <v>2492</v>
      </c>
      <c r="I3478" s="744">
        <v>359</v>
      </c>
      <c r="J3478" s="702" t="s">
        <v>615</v>
      </c>
      <c r="K3478" s="699">
        <f t="shared" si="328"/>
        <v>376.95</v>
      </c>
    </row>
    <row r="3479" spans="6:19" ht="24" customHeight="1">
      <c r="F3479" s="699">
        <v>12</v>
      </c>
      <c r="G3479" s="708" t="s">
        <v>359</v>
      </c>
      <c r="H3479" s="699" t="s">
        <v>2486</v>
      </c>
      <c r="I3479" s="699">
        <f>I2534</f>
        <v>62.6</v>
      </c>
      <c r="J3479" s="702" t="s">
        <v>359</v>
      </c>
      <c r="K3479" s="699">
        <f t="shared" si="328"/>
        <v>751.2</v>
      </c>
      <c r="S3479" s="1070" t="s">
        <v>3554</v>
      </c>
    </row>
    <row r="3480" spans="6:19" ht="24" customHeight="1">
      <c r="F3480" s="699">
        <v>2.85</v>
      </c>
      <c r="G3480" s="708" t="s">
        <v>615</v>
      </c>
      <c r="H3480" s="699" t="s">
        <v>2487</v>
      </c>
      <c r="I3480" s="699">
        <f>D29</f>
        <v>1239</v>
      </c>
      <c r="J3480" s="702" t="s">
        <v>615</v>
      </c>
      <c r="K3480" s="699">
        <f t="shared" si="328"/>
        <v>3531.15</v>
      </c>
    </row>
    <row r="3481" spans="6:19" ht="24" customHeight="1">
      <c r="F3481" s="699">
        <v>6</v>
      </c>
      <c r="G3481" s="708" t="s">
        <v>1414</v>
      </c>
      <c r="H3481" s="697" t="s">
        <v>1486</v>
      </c>
      <c r="I3481" s="699">
        <f>I2816</f>
        <v>212</v>
      </c>
      <c r="J3481" s="702" t="s">
        <v>778</v>
      </c>
      <c r="K3481" s="699">
        <f t="shared" si="328"/>
        <v>1272</v>
      </c>
    </row>
    <row r="3482" spans="6:19" ht="24" customHeight="1">
      <c r="F3482" s="699">
        <v>1</v>
      </c>
      <c r="G3482" s="708" t="s">
        <v>1414</v>
      </c>
      <c r="H3482" s="699" t="s">
        <v>2488</v>
      </c>
      <c r="I3482" s="699">
        <f>I2818</f>
        <v>707</v>
      </c>
      <c r="J3482" s="702" t="s">
        <v>778</v>
      </c>
      <c r="K3482" s="699">
        <f t="shared" si="328"/>
        <v>707</v>
      </c>
    </row>
    <row r="3483" spans="6:19" ht="24" customHeight="1">
      <c r="F3483" s="699">
        <v>3</v>
      </c>
      <c r="G3483" s="708" t="s">
        <v>1414</v>
      </c>
      <c r="H3483" s="697" t="s">
        <v>1487</v>
      </c>
      <c r="I3483" s="699">
        <f>I2817</f>
        <v>404</v>
      </c>
      <c r="J3483" s="702" t="s">
        <v>778</v>
      </c>
      <c r="K3483" s="699">
        <f t="shared" si="328"/>
        <v>1212</v>
      </c>
    </row>
    <row r="3484" spans="6:19" ht="24" customHeight="1">
      <c r="F3484" s="699">
        <v>2</v>
      </c>
      <c r="G3484" s="708" t="s">
        <v>1414</v>
      </c>
      <c r="H3484" s="697" t="s">
        <v>2493</v>
      </c>
      <c r="I3484" s="699">
        <f>I2817</f>
        <v>404</v>
      </c>
      <c r="J3484" s="702" t="s">
        <v>778</v>
      </c>
      <c r="K3484" s="699">
        <f t="shared" si="328"/>
        <v>808</v>
      </c>
    </row>
    <row r="3485" spans="6:19" ht="24" customHeight="1">
      <c r="F3485" s="699">
        <v>2</v>
      </c>
      <c r="G3485" s="708" t="s">
        <v>1414</v>
      </c>
      <c r="H3485" s="697" t="s">
        <v>2007</v>
      </c>
      <c r="I3485" s="699">
        <f>I2820</f>
        <v>45.9</v>
      </c>
      <c r="J3485" s="702" t="s">
        <v>778</v>
      </c>
      <c r="K3485" s="699">
        <f t="shared" si="328"/>
        <v>91.8</v>
      </c>
    </row>
    <row r="3486" spans="6:19" ht="24" customHeight="1">
      <c r="F3486" s="699">
        <v>2</v>
      </c>
      <c r="G3486" s="708" t="s">
        <v>1414</v>
      </c>
      <c r="H3486" s="697" t="s">
        <v>1489</v>
      </c>
      <c r="I3486" s="699">
        <f>I2819</f>
        <v>22.9</v>
      </c>
      <c r="J3486" s="702" t="s">
        <v>778</v>
      </c>
      <c r="K3486" s="699">
        <f t="shared" si="328"/>
        <v>45.8</v>
      </c>
    </row>
    <row r="3487" spans="6:19" ht="24" customHeight="1">
      <c r="F3487" s="699">
        <v>1.05</v>
      </c>
      <c r="G3487" s="708" t="s">
        <v>615</v>
      </c>
      <c r="H3487" s="697" t="s">
        <v>2489</v>
      </c>
      <c r="I3487" s="699">
        <f>K1550</f>
        <v>125.87</v>
      </c>
      <c r="J3487" s="702" t="s">
        <v>615</v>
      </c>
      <c r="K3487" s="699">
        <f t="shared" si="328"/>
        <v>132.16</v>
      </c>
    </row>
    <row r="3488" spans="6:19" ht="24" customHeight="1">
      <c r="F3488" s="1080">
        <v>3.15</v>
      </c>
      <c r="G3488" s="708" t="s">
        <v>615</v>
      </c>
      <c r="H3488" s="697" t="s">
        <v>2490</v>
      </c>
      <c r="I3488" s="699">
        <f>K1164</f>
        <v>172.13</v>
      </c>
      <c r="J3488" s="702" t="s">
        <v>615</v>
      </c>
      <c r="K3488" s="699">
        <f t="shared" si="328"/>
        <v>542.21</v>
      </c>
    </row>
    <row r="3489" spans="6:18" ht="24" customHeight="1">
      <c r="G3489" s="708"/>
      <c r="H3489" s="697" t="s">
        <v>3596</v>
      </c>
      <c r="I3489" s="1873" t="s">
        <v>450</v>
      </c>
      <c r="J3489" s="1873"/>
      <c r="K3489" s="699">
        <f>R3196</f>
        <v>282.02</v>
      </c>
    </row>
    <row r="3490" spans="6:18" ht="24" customHeight="1">
      <c r="K3490" s="994" t="s">
        <v>2080</v>
      </c>
    </row>
    <row r="3491" spans="6:18" ht="24" customHeight="1">
      <c r="H3491" s="701" t="s">
        <v>2491</v>
      </c>
      <c r="I3491" s="758"/>
      <c r="J3491" s="759"/>
      <c r="K3491" s="758">
        <f>SUM(K3474:K3490)</f>
        <v>17339.849999999999</v>
      </c>
    </row>
    <row r="3492" spans="6:18" ht="24" customHeight="1">
      <c r="K3492" s="994" t="s">
        <v>2080</v>
      </c>
    </row>
    <row r="3494" spans="6:18" ht="24" customHeight="1">
      <c r="J3494" s="704"/>
    </row>
    <row r="3495" spans="6:18" ht="24" customHeight="1">
      <c r="G3495" s="702" t="s">
        <v>5280</v>
      </c>
      <c r="J3495" s="704"/>
    </row>
    <row r="3496" spans="6:18" ht="24" customHeight="1">
      <c r="J3496" s="704"/>
    </row>
    <row r="3497" spans="6:18" ht="24" customHeight="1">
      <c r="F3497" s="796">
        <v>1.8</v>
      </c>
      <c r="G3497" s="700" t="s">
        <v>878</v>
      </c>
      <c r="H3497" s="699" t="s">
        <v>3556</v>
      </c>
      <c r="I3497" s="699">
        <f>((493+569)/2)+Z13</f>
        <v>778.5</v>
      </c>
      <c r="J3497" s="704" t="s">
        <v>878</v>
      </c>
      <c r="K3497" s="785">
        <f>I3497*F3497</f>
        <v>1401.3</v>
      </c>
    </row>
    <row r="3498" spans="6:18" ht="24" customHeight="1">
      <c r="J3498" s="704"/>
      <c r="K3498" s="785"/>
    </row>
    <row r="3499" spans="6:18" ht="24" customHeight="1">
      <c r="F3499" s="796">
        <v>1.2</v>
      </c>
      <c r="G3499" s="700" t="s">
        <v>878</v>
      </c>
      <c r="H3499" s="699" t="s">
        <v>3557</v>
      </c>
      <c r="I3499" s="699">
        <f>((1029+884+1432+1329+977)/5)+Z13</f>
        <v>1377.7</v>
      </c>
      <c r="J3499" s="704" t="s">
        <v>878</v>
      </c>
      <c r="K3499" s="785">
        <f t="shared" ref="K3499:K3507" si="329">I3499*F3499</f>
        <v>1653.24</v>
      </c>
    </row>
    <row r="3500" spans="6:18" ht="24" customHeight="1">
      <c r="J3500" s="704"/>
      <c r="K3500" s="785"/>
    </row>
    <row r="3501" spans="6:18" ht="24" customHeight="1">
      <c r="F3501" s="796">
        <v>0.6</v>
      </c>
      <c r="G3501" s="700" t="s">
        <v>878</v>
      </c>
      <c r="H3501" s="699" t="s">
        <v>5378</v>
      </c>
      <c r="I3501" s="699">
        <f>AC14</f>
        <v>1511.1</v>
      </c>
      <c r="J3501" s="704" t="s">
        <v>878</v>
      </c>
      <c r="K3501" s="785">
        <f t="shared" si="329"/>
        <v>906.66</v>
      </c>
      <c r="O3501" s="758" t="s">
        <v>3546</v>
      </c>
    </row>
    <row r="3502" spans="6:18" ht="24" customHeight="1">
      <c r="J3502" s="704"/>
      <c r="K3502" s="785"/>
    </row>
    <row r="3503" spans="6:18" ht="24" customHeight="1">
      <c r="F3503" s="796">
        <v>3</v>
      </c>
      <c r="G3503" s="700" t="s">
        <v>878</v>
      </c>
      <c r="H3503" s="699" t="s">
        <v>5379</v>
      </c>
      <c r="I3503" s="699">
        <f>R3516</f>
        <v>1789.47</v>
      </c>
      <c r="J3503" s="704" t="s">
        <v>878</v>
      </c>
      <c r="K3503" s="785">
        <f t="shared" si="329"/>
        <v>5368.41</v>
      </c>
    </row>
    <row r="3504" spans="6:18" ht="24" customHeight="1">
      <c r="F3504" s="796"/>
      <c r="J3504" s="704"/>
      <c r="K3504" s="785"/>
      <c r="M3504" s="699">
        <f>(1.08/8)</f>
        <v>0.14000000000000001</v>
      </c>
      <c r="N3504" s="699" t="s">
        <v>878</v>
      </c>
      <c r="O3504" s="699" t="s">
        <v>1927</v>
      </c>
      <c r="P3504" s="699">
        <f>P3512</f>
        <v>562</v>
      </c>
      <c r="Q3504" s="699" t="s">
        <v>878</v>
      </c>
      <c r="R3504" s="699">
        <f>P3504*M3504</f>
        <v>78.680000000000007</v>
      </c>
    </row>
    <row r="3505" spans="6:18" ht="24" customHeight="1">
      <c r="F3505" s="796">
        <v>3</v>
      </c>
      <c r="G3505" s="700" t="s">
        <v>878</v>
      </c>
      <c r="H3505" s="699" t="s">
        <v>3555</v>
      </c>
      <c r="I3505" s="699">
        <f>R3518*1.1</f>
        <v>32.229999999999997</v>
      </c>
      <c r="J3505" s="704" t="s">
        <v>878</v>
      </c>
      <c r="K3505" s="785">
        <f t="shared" si="329"/>
        <v>96.69</v>
      </c>
      <c r="L3505" s="1081"/>
    </row>
    <row r="3506" spans="6:18" ht="24" customHeight="1">
      <c r="F3506" s="796"/>
      <c r="J3506" s="704"/>
      <c r="K3506" s="785"/>
      <c r="O3506" s="785" t="s">
        <v>3547</v>
      </c>
      <c r="R3506" s="699">
        <f>R3504</f>
        <v>78.680000000000007</v>
      </c>
    </row>
    <row r="3507" spans="6:18" ht="24" customHeight="1">
      <c r="F3507" s="796">
        <v>3</v>
      </c>
      <c r="G3507" s="700" t="s">
        <v>878</v>
      </c>
      <c r="H3507" s="699" t="s">
        <v>3551</v>
      </c>
      <c r="I3507" s="699">
        <f>AE24</f>
        <v>60.2</v>
      </c>
      <c r="J3507" s="704" t="s">
        <v>878</v>
      </c>
      <c r="K3507" s="785">
        <f t="shared" si="329"/>
        <v>180.6</v>
      </c>
      <c r="O3507" s="785" t="s">
        <v>3548</v>
      </c>
      <c r="R3507" s="699">
        <f>R3506/0.75</f>
        <v>104.91</v>
      </c>
    </row>
    <row r="3508" spans="6:18" ht="24" customHeight="1">
      <c r="J3508" s="704"/>
      <c r="K3508" s="785"/>
    </row>
    <row r="3509" spans="6:18" ht="24" customHeight="1">
      <c r="H3509" s="699" t="s">
        <v>3553</v>
      </c>
      <c r="J3509" s="704" t="s">
        <v>450</v>
      </c>
      <c r="K3509" s="785">
        <v>1.84</v>
      </c>
      <c r="O3509" s="758" t="s">
        <v>3549</v>
      </c>
    </row>
    <row r="3510" spans="6:18" ht="24" customHeight="1">
      <c r="J3510" s="704"/>
      <c r="K3510" s="785"/>
    </row>
    <row r="3511" spans="6:18" ht="24" customHeight="1">
      <c r="H3511" s="785" t="s">
        <v>5281</v>
      </c>
      <c r="J3511" s="704"/>
      <c r="K3511" s="877">
        <f>SUM(K3497:K3510)</f>
        <v>9608.74</v>
      </c>
      <c r="M3511" s="699">
        <v>1.8</v>
      </c>
      <c r="N3511" s="699" t="s">
        <v>1452</v>
      </c>
      <c r="O3511" s="699" t="s">
        <v>3550</v>
      </c>
      <c r="P3511" s="699">
        <f>AE8</f>
        <v>804</v>
      </c>
      <c r="Q3511" s="699" t="s">
        <v>1418</v>
      </c>
      <c r="R3511" s="699">
        <f>P3511*M3511</f>
        <v>1447.2</v>
      </c>
    </row>
    <row r="3512" spans="6:18" ht="24" customHeight="1">
      <c r="H3512" s="785" t="s">
        <v>3558</v>
      </c>
      <c r="J3512" s="704"/>
      <c r="K3512" s="758">
        <f>K3511/F3503</f>
        <v>3202.91</v>
      </c>
      <c r="M3512" s="699">
        <v>17.7</v>
      </c>
      <c r="N3512" s="699" t="s">
        <v>1452</v>
      </c>
      <c r="O3512" s="699" t="s">
        <v>2820</v>
      </c>
      <c r="P3512" s="699">
        <f>AE9</f>
        <v>562</v>
      </c>
      <c r="Q3512" s="699" t="s">
        <v>1418</v>
      </c>
      <c r="R3512" s="699">
        <f>P3512*M3512</f>
        <v>9947.4</v>
      </c>
    </row>
    <row r="3513" spans="6:18" ht="24" customHeight="1">
      <c r="J3513" s="704"/>
      <c r="K3513" s="994" t="s">
        <v>2080</v>
      </c>
      <c r="M3513" s="699">
        <v>14.1</v>
      </c>
      <c r="N3513" s="699" t="s">
        <v>1452</v>
      </c>
      <c r="O3513" s="699" t="s">
        <v>2821</v>
      </c>
      <c r="P3513" s="699">
        <f>AE10</f>
        <v>461</v>
      </c>
      <c r="Q3513" s="699" t="s">
        <v>1418</v>
      </c>
      <c r="R3513" s="699">
        <f>P3513*M3513</f>
        <v>6500.1</v>
      </c>
    </row>
    <row r="3515" spans="6:18" ht="24" customHeight="1">
      <c r="O3515" s="785" t="s">
        <v>3552</v>
      </c>
      <c r="R3515" s="699">
        <f>SUM(R3511:R3514)</f>
        <v>17894.7</v>
      </c>
    </row>
    <row r="3516" spans="6:18" ht="24" customHeight="1">
      <c r="O3516" s="785" t="s">
        <v>3548</v>
      </c>
      <c r="R3516" s="699">
        <f>R3515/10</f>
        <v>1789.47</v>
      </c>
    </row>
    <row r="3517" spans="6:18" ht="24" customHeight="1">
      <c r="F3517" s="948"/>
      <c r="G3517" s="946"/>
      <c r="H3517" s="948" t="s">
        <v>3693</v>
      </c>
      <c r="I3517" s="948"/>
      <c r="J3517" s="949"/>
      <c r="O3517" s="785"/>
    </row>
    <row r="3518" spans="6:18" ht="24" customHeight="1">
      <c r="H3518" s="1082" t="s">
        <v>3694</v>
      </c>
      <c r="I3518" s="948">
        <f>1.1*2.325</f>
        <v>2.56</v>
      </c>
      <c r="O3518" s="758" t="s">
        <v>3933</v>
      </c>
      <c r="R3518" s="758">
        <v>29.3</v>
      </c>
    </row>
    <row r="3519" spans="6:18" ht="24" customHeight="1">
      <c r="F3519" s="948">
        <f>I3518</f>
        <v>2.56</v>
      </c>
      <c r="G3519" s="946" t="s">
        <v>615</v>
      </c>
      <c r="H3519" s="948" t="s">
        <v>5120</v>
      </c>
      <c r="I3519" s="1083">
        <v>2233</v>
      </c>
      <c r="J3519" s="946" t="s">
        <v>615</v>
      </c>
      <c r="K3519" s="948">
        <f>I3519*F3519</f>
        <v>5716.48</v>
      </c>
    </row>
    <row r="3520" spans="6:18" ht="24" customHeight="1">
      <c r="F3520" s="948">
        <f>F3519</f>
        <v>2.56</v>
      </c>
      <c r="G3520" s="946" t="s">
        <v>615</v>
      </c>
      <c r="H3520" s="948" t="s">
        <v>4756</v>
      </c>
      <c r="I3520" s="1083">
        <f>AE50</f>
        <v>299.25</v>
      </c>
      <c r="J3520" s="946" t="s">
        <v>615</v>
      </c>
      <c r="K3520" s="948">
        <f t="shared" ref="K3520:K3527" si="330">I3520*F3520</f>
        <v>766.08</v>
      </c>
    </row>
    <row r="3521" spans="6:33" ht="24" customHeight="1">
      <c r="F3521" s="948">
        <v>4</v>
      </c>
      <c r="G3521" s="946" t="s">
        <v>778</v>
      </c>
      <c r="H3521" s="948" t="s">
        <v>3924</v>
      </c>
      <c r="I3521" s="948">
        <f>P3225</f>
        <v>53.4</v>
      </c>
      <c r="J3521" s="946" t="s">
        <v>778</v>
      </c>
      <c r="K3521" s="948">
        <f t="shared" si="330"/>
        <v>213.6</v>
      </c>
      <c r="M3521" s="948"/>
      <c r="N3521" s="946"/>
      <c r="O3521" s="847" t="s">
        <v>3801</v>
      </c>
      <c r="P3521" s="948"/>
      <c r="Q3521" s="949"/>
    </row>
    <row r="3522" spans="6:33" ht="24" customHeight="1">
      <c r="F3522" s="948">
        <v>8</v>
      </c>
      <c r="G3522" s="946" t="s">
        <v>778</v>
      </c>
      <c r="H3522" s="948" t="s">
        <v>3925</v>
      </c>
      <c r="I3522" s="948">
        <f>P3226</f>
        <v>83</v>
      </c>
      <c r="J3522" s="946" t="s">
        <v>778</v>
      </c>
      <c r="K3522" s="948">
        <f t="shared" si="330"/>
        <v>664</v>
      </c>
      <c r="N3522" s="700"/>
      <c r="O3522" s="1002" t="s">
        <v>3802</v>
      </c>
      <c r="P3522" s="1002">
        <f>1.4*2.325</f>
        <v>3.26</v>
      </c>
      <c r="Q3522" s="702"/>
    </row>
    <row r="3523" spans="6:33" ht="24" customHeight="1">
      <c r="F3523" s="948">
        <v>4</v>
      </c>
      <c r="G3523" s="946" t="s">
        <v>778</v>
      </c>
      <c r="H3523" s="948" t="s">
        <v>3926</v>
      </c>
      <c r="I3523" s="948">
        <f>C281</f>
        <v>60</v>
      </c>
      <c r="J3523" s="946" t="s">
        <v>778</v>
      </c>
      <c r="K3523" s="948">
        <f t="shared" si="330"/>
        <v>240</v>
      </c>
      <c r="M3523" s="948">
        <f>P3522</f>
        <v>3.26</v>
      </c>
      <c r="N3523" s="946" t="s">
        <v>615</v>
      </c>
      <c r="O3523" s="948" t="s">
        <v>4447</v>
      </c>
      <c r="P3523" s="948">
        <f>I3519</f>
        <v>2233</v>
      </c>
      <c r="Q3523" s="946" t="s">
        <v>615</v>
      </c>
      <c r="R3523" s="948">
        <f t="shared" ref="R3523:R3531" si="331">P3523*M3523</f>
        <v>7279.58</v>
      </c>
    </row>
    <row r="3524" spans="6:33" ht="24" customHeight="1">
      <c r="F3524" s="948">
        <v>1</v>
      </c>
      <c r="G3524" s="946" t="s">
        <v>778</v>
      </c>
      <c r="H3524" s="948" t="s">
        <v>3927</v>
      </c>
      <c r="I3524" s="948">
        <f>C283</f>
        <v>167.6</v>
      </c>
      <c r="J3524" s="946" t="s">
        <v>778</v>
      </c>
      <c r="K3524" s="948">
        <f t="shared" si="330"/>
        <v>167.6</v>
      </c>
      <c r="M3524" s="948">
        <f>M3523</f>
        <v>3.26</v>
      </c>
      <c r="N3524" s="946" t="s">
        <v>615</v>
      </c>
      <c r="O3524" s="948" t="s">
        <v>3934</v>
      </c>
      <c r="P3524" s="948">
        <f t="shared" ref="P3524:P3531" si="332">I3520</f>
        <v>299.25</v>
      </c>
      <c r="Q3524" s="946" t="s">
        <v>615</v>
      </c>
      <c r="R3524" s="948">
        <f t="shared" si="331"/>
        <v>975.56</v>
      </c>
    </row>
    <row r="3525" spans="6:33" ht="24" customHeight="1">
      <c r="F3525" s="948">
        <v>118</v>
      </c>
      <c r="G3525" s="946" t="s">
        <v>778</v>
      </c>
      <c r="H3525" s="948" t="s">
        <v>3686</v>
      </c>
      <c r="I3525" s="948">
        <f>P3445</f>
        <v>2.39</v>
      </c>
      <c r="J3525" s="946" t="s">
        <v>778</v>
      </c>
      <c r="K3525" s="948">
        <f t="shared" si="330"/>
        <v>282.02</v>
      </c>
      <c r="M3525" s="948">
        <v>4</v>
      </c>
      <c r="N3525" s="946" t="s">
        <v>778</v>
      </c>
      <c r="O3525" s="948" t="s">
        <v>3683</v>
      </c>
      <c r="P3525" s="948">
        <f t="shared" si="332"/>
        <v>53.4</v>
      </c>
      <c r="Q3525" s="946" t="s">
        <v>778</v>
      </c>
      <c r="R3525" s="948">
        <f t="shared" si="331"/>
        <v>213.6</v>
      </c>
    </row>
    <row r="3526" spans="6:33" ht="24" customHeight="1">
      <c r="F3526" s="948">
        <v>2</v>
      </c>
      <c r="G3526" s="946" t="s">
        <v>778</v>
      </c>
      <c r="H3526" s="948" t="s">
        <v>3928</v>
      </c>
      <c r="I3526" s="948">
        <f>P3194</f>
        <v>22.9</v>
      </c>
      <c r="J3526" s="946" t="s">
        <v>778</v>
      </c>
      <c r="K3526" s="948">
        <f t="shared" si="330"/>
        <v>45.8</v>
      </c>
      <c r="M3526" s="948">
        <v>10</v>
      </c>
      <c r="N3526" s="946" t="s">
        <v>778</v>
      </c>
      <c r="O3526" s="948" t="s">
        <v>3684</v>
      </c>
      <c r="P3526" s="948">
        <f t="shared" si="332"/>
        <v>83</v>
      </c>
      <c r="Q3526" s="946" t="s">
        <v>778</v>
      </c>
      <c r="R3526" s="948">
        <f t="shared" si="331"/>
        <v>830</v>
      </c>
    </row>
    <row r="3527" spans="6:33" ht="24" customHeight="1">
      <c r="F3527" s="948">
        <v>2</v>
      </c>
      <c r="G3527" s="946" t="s">
        <v>778</v>
      </c>
      <c r="H3527" s="948" t="s">
        <v>3688</v>
      </c>
      <c r="I3527" s="948">
        <f>P3400</f>
        <v>45.9</v>
      </c>
      <c r="J3527" s="946" t="s">
        <v>778</v>
      </c>
      <c r="K3527" s="948">
        <f t="shared" si="330"/>
        <v>91.8</v>
      </c>
      <c r="M3527" s="948">
        <v>3</v>
      </c>
      <c r="N3527" s="946" t="s">
        <v>778</v>
      </c>
      <c r="O3527" s="948" t="s">
        <v>3685</v>
      </c>
      <c r="P3527" s="948">
        <f t="shared" si="332"/>
        <v>60</v>
      </c>
      <c r="Q3527" s="946" t="s">
        <v>778</v>
      </c>
      <c r="R3527" s="948">
        <f t="shared" si="331"/>
        <v>180</v>
      </c>
    </row>
    <row r="3528" spans="6:33" ht="24" customHeight="1">
      <c r="F3528" s="952">
        <v>0.41099999999999998</v>
      </c>
      <c r="G3528" s="946" t="s">
        <v>615</v>
      </c>
      <c r="H3528" s="948" t="s">
        <v>3689</v>
      </c>
      <c r="I3528" s="948">
        <f>I1133</f>
        <v>172.13</v>
      </c>
      <c r="J3528" s="946" t="s">
        <v>615</v>
      </c>
      <c r="K3528" s="948"/>
      <c r="M3528" s="948">
        <v>1</v>
      </c>
      <c r="N3528" s="946" t="s">
        <v>778</v>
      </c>
      <c r="O3528" s="948" t="s">
        <v>2488</v>
      </c>
      <c r="P3528" s="948">
        <f t="shared" si="332"/>
        <v>167.6</v>
      </c>
      <c r="Q3528" s="946" t="s">
        <v>778</v>
      </c>
      <c r="R3528" s="948">
        <f t="shared" si="331"/>
        <v>167.6</v>
      </c>
    </row>
    <row r="3529" spans="6:33" ht="24" customHeight="1">
      <c r="F3529" s="948"/>
      <c r="G3529" s="946"/>
      <c r="H3529" s="948" t="s">
        <v>3806</v>
      </c>
      <c r="I3529" s="948"/>
      <c r="J3529" s="949"/>
      <c r="K3529" s="948">
        <f>SUM(K3519:K3528)</f>
        <v>8187.38</v>
      </c>
      <c r="M3529" s="948">
        <v>162</v>
      </c>
      <c r="N3529" s="946" t="s">
        <v>778</v>
      </c>
      <c r="O3529" s="948" t="s">
        <v>3686</v>
      </c>
      <c r="P3529" s="948">
        <f t="shared" si="332"/>
        <v>2.39</v>
      </c>
      <c r="Q3529" s="946" t="s">
        <v>778</v>
      </c>
      <c r="R3529" s="948">
        <f t="shared" si="331"/>
        <v>387.18</v>
      </c>
    </row>
    <row r="3530" spans="6:33" ht="24" customHeight="1">
      <c r="F3530" s="948"/>
      <c r="G3530" s="946"/>
      <c r="H3530" s="948" t="s">
        <v>3282</v>
      </c>
      <c r="I3530" s="948"/>
      <c r="J3530" s="949"/>
      <c r="K3530" s="948">
        <f>K3529/F3520</f>
        <v>3198.2</v>
      </c>
      <c r="M3530" s="948">
        <v>2</v>
      </c>
      <c r="N3530" s="946" t="s">
        <v>778</v>
      </c>
      <c r="O3530" s="948" t="s">
        <v>3687</v>
      </c>
      <c r="P3530" s="948">
        <f t="shared" si="332"/>
        <v>22.9</v>
      </c>
      <c r="Q3530" s="946" t="s">
        <v>778</v>
      </c>
      <c r="R3530" s="948">
        <f t="shared" si="331"/>
        <v>45.8</v>
      </c>
    </row>
    <row r="3531" spans="6:33" ht="24" customHeight="1">
      <c r="H3531" s="948"/>
      <c r="K3531" s="948"/>
      <c r="M3531" s="948">
        <v>2</v>
      </c>
      <c r="N3531" s="946" t="s">
        <v>778</v>
      </c>
      <c r="O3531" s="948" t="s">
        <v>3688</v>
      </c>
      <c r="P3531" s="948">
        <f t="shared" si="332"/>
        <v>45.9</v>
      </c>
      <c r="Q3531" s="946" t="s">
        <v>778</v>
      </c>
      <c r="R3531" s="948">
        <f t="shared" si="331"/>
        <v>91.8</v>
      </c>
    </row>
    <row r="3532" spans="6:33" ht="24" customHeight="1">
      <c r="M3532" s="952">
        <v>0</v>
      </c>
      <c r="N3532" s="946" t="s">
        <v>615</v>
      </c>
      <c r="O3532" s="948" t="s">
        <v>3689</v>
      </c>
      <c r="P3532" s="948">
        <f>I3528</f>
        <v>172.13</v>
      </c>
      <c r="Q3532" s="946" t="s">
        <v>615</v>
      </c>
      <c r="R3532" s="948">
        <f>P3532*M3532</f>
        <v>0</v>
      </c>
    </row>
    <row r="3533" spans="6:33" ht="24" customHeight="1">
      <c r="F3533" s="948"/>
      <c r="G3533" s="946"/>
      <c r="H3533" s="948" t="s">
        <v>3691</v>
      </c>
      <c r="I3533" s="948"/>
      <c r="J3533" s="949"/>
      <c r="M3533" s="948"/>
      <c r="N3533" s="946"/>
      <c r="O3533" s="948" t="s">
        <v>3803</v>
      </c>
      <c r="P3533" s="948"/>
      <c r="Q3533" s="949"/>
      <c r="R3533" s="948">
        <f>SUM(R3523:R3532)</f>
        <v>10171.120000000001</v>
      </c>
      <c r="S3533" s="948"/>
      <c r="T3533" s="946"/>
      <c r="U3533" s="948" t="s">
        <v>3811</v>
      </c>
      <c r="V3533" s="948"/>
      <c r="W3533" s="949"/>
      <c r="AB3533" s="948"/>
      <c r="AC3533" s="946"/>
      <c r="AD3533" s="948" t="s">
        <v>4474</v>
      </c>
      <c r="AE3533" s="948"/>
      <c r="AF3533" s="949"/>
    </row>
    <row r="3534" spans="6:33" ht="24" customHeight="1">
      <c r="H3534" s="948" t="s">
        <v>3818</v>
      </c>
      <c r="I3534" s="699">
        <f>0.9*2.025</f>
        <v>1.82</v>
      </c>
      <c r="M3534" s="948"/>
      <c r="N3534" s="946"/>
      <c r="O3534" s="948" t="s">
        <v>3282</v>
      </c>
      <c r="P3534" s="948"/>
      <c r="Q3534" s="949"/>
      <c r="R3534" s="948">
        <f>R3533/M3524</f>
        <v>3119.98</v>
      </c>
      <c r="S3534" s="699"/>
      <c r="T3534" s="700"/>
      <c r="U3534" s="948" t="s">
        <v>3819</v>
      </c>
      <c r="V3534" s="699">
        <f>0.9*2.325</f>
        <v>2.09</v>
      </c>
      <c r="W3534" s="702"/>
      <c r="AC3534" s="700"/>
      <c r="AD3534" s="948" t="s">
        <v>4801</v>
      </c>
      <c r="AE3534" s="699">
        <f>0.8*2.025</f>
        <v>1.62</v>
      </c>
      <c r="AF3534" s="702"/>
    </row>
    <row r="3535" spans="6:33" ht="24" customHeight="1">
      <c r="F3535" s="948">
        <f>I3534</f>
        <v>1.82</v>
      </c>
      <c r="G3535" s="946" t="s">
        <v>615</v>
      </c>
      <c r="H3535" s="948" t="s">
        <v>3681</v>
      </c>
      <c r="I3535" s="1083">
        <f>I3519</f>
        <v>2233</v>
      </c>
      <c r="J3535" s="946" t="s">
        <v>615</v>
      </c>
      <c r="K3535" s="948">
        <f>I3535*F3535</f>
        <v>4064.06</v>
      </c>
      <c r="Q3535" s="946"/>
      <c r="R3535" s="847"/>
      <c r="S3535" s="948">
        <f>V3534</f>
        <v>2.09</v>
      </c>
      <c r="T3535" s="946" t="s">
        <v>615</v>
      </c>
      <c r="U3535" s="948" t="s">
        <v>3681</v>
      </c>
      <c r="V3535" s="948">
        <f>I3535</f>
        <v>2233</v>
      </c>
      <c r="W3535" s="946" t="s">
        <v>615</v>
      </c>
      <c r="X3535" s="948">
        <f>V3535*S3535</f>
        <v>4666.97</v>
      </c>
      <c r="AB3535" s="948">
        <f>AE3534</f>
        <v>1.62</v>
      </c>
      <c r="AC3535" s="946" t="s">
        <v>615</v>
      </c>
      <c r="AD3535" s="948" t="s">
        <v>4477</v>
      </c>
      <c r="AE3535" s="1083">
        <f>I3519</f>
        <v>2233</v>
      </c>
      <c r="AF3535" s="946" t="s">
        <v>615</v>
      </c>
      <c r="AG3535" s="948">
        <f>AE3535*AB3535</f>
        <v>3617.46</v>
      </c>
    </row>
    <row r="3536" spans="6:33" ht="24" customHeight="1">
      <c r="F3536" s="948">
        <f>I3534</f>
        <v>1.82</v>
      </c>
      <c r="G3536" s="946" t="s">
        <v>615</v>
      </c>
      <c r="H3536" s="948" t="s">
        <v>4757</v>
      </c>
      <c r="I3536" s="1083">
        <f>AE49</f>
        <v>194.25</v>
      </c>
      <c r="J3536" s="946" t="s">
        <v>615</v>
      </c>
      <c r="K3536" s="948">
        <f t="shared" ref="K3536:K3543" si="333">I3536*F3536</f>
        <v>353.54</v>
      </c>
      <c r="S3536" s="948">
        <f>V3534</f>
        <v>2.09</v>
      </c>
      <c r="T3536" s="946" t="s">
        <v>615</v>
      </c>
      <c r="U3536" s="948" t="s">
        <v>3682</v>
      </c>
      <c r="V3536" s="948">
        <f t="shared" ref="V3536:V3544" si="334">I3536</f>
        <v>194.25</v>
      </c>
      <c r="W3536" s="946" t="s">
        <v>615</v>
      </c>
      <c r="X3536" s="948">
        <f t="shared" ref="X3536:X3543" si="335">V3536*S3536</f>
        <v>405.98</v>
      </c>
      <c r="AB3536" s="948">
        <f>AE3534</f>
        <v>1.62</v>
      </c>
      <c r="AC3536" s="946" t="s">
        <v>615</v>
      </c>
      <c r="AD3536" s="948" t="s">
        <v>3923</v>
      </c>
      <c r="AE3536" s="1083">
        <f>I3536</f>
        <v>194.25</v>
      </c>
      <c r="AF3536" s="946" t="s">
        <v>615</v>
      </c>
      <c r="AG3536" s="948">
        <f t="shared" ref="AG3536:AG3543" si="336">AE3536*AB3536</f>
        <v>314.69</v>
      </c>
    </row>
    <row r="3537" spans="6:33" ht="24" customHeight="1">
      <c r="F3537" s="948">
        <v>2</v>
      </c>
      <c r="G3537" s="946" t="s">
        <v>778</v>
      </c>
      <c r="H3537" s="948" t="s">
        <v>3683</v>
      </c>
      <c r="I3537" s="948">
        <f t="shared" ref="I3537:I3543" si="337">I3521</f>
        <v>53.4</v>
      </c>
      <c r="J3537" s="946" t="s">
        <v>778</v>
      </c>
      <c r="K3537" s="948">
        <f t="shared" si="333"/>
        <v>106.8</v>
      </c>
      <c r="M3537" s="948"/>
      <c r="N3537" s="946"/>
      <c r="O3537" s="948" t="s">
        <v>3804</v>
      </c>
      <c r="P3537" s="948"/>
      <c r="Q3537" s="949"/>
      <c r="S3537" s="948">
        <v>2</v>
      </c>
      <c r="T3537" s="946" t="s">
        <v>778</v>
      </c>
      <c r="U3537" s="948" t="s">
        <v>3683</v>
      </c>
      <c r="V3537" s="948">
        <f t="shared" si="334"/>
        <v>53.4</v>
      </c>
      <c r="W3537" s="946" t="s">
        <v>778</v>
      </c>
      <c r="X3537" s="948">
        <f t="shared" si="335"/>
        <v>106.8</v>
      </c>
      <c r="AB3537" s="948">
        <v>2</v>
      </c>
      <c r="AC3537" s="946" t="s">
        <v>778</v>
      </c>
      <c r="AD3537" s="948" t="s">
        <v>3683</v>
      </c>
      <c r="AE3537" s="1083">
        <f t="shared" ref="AE3537:AE3544" si="338">I3537</f>
        <v>53.4</v>
      </c>
      <c r="AF3537" s="946" t="s">
        <v>778</v>
      </c>
      <c r="AG3537" s="948">
        <f t="shared" si="336"/>
        <v>106.8</v>
      </c>
    </row>
    <row r="3538" spans="6:33" ht="24" customHeight="1">
      <c r="F3538" s="948">
        <v>3</v>
      </c>
      <c r="G3538" s="946" t="s">
        <v>778</v>
      </c>
      <c r="H3538" s="948" t="s">
        <v>3684</v>
      </c>
      <c r="I3538" s="948">
        <f t="shared" si="337"/>
        <v>83</v>
      </c>
      <c r="J3538" s="946" t="s">
        <v>778</v>
      </c>
      <c r="K3538" s="948">
        <f t="shared" si="333"/>
        <v>249</v>
      </c>
      <c r="N3538" s="700"/>
      <c r="O3538" s="1002" t="s">
        <v>3805</v>
      </c>
      <c r="P3538" s="1002">
        <f>1.1*2.325</f>
        <v>2.56</v>
      </c>
      <c r="Q3538" s="702"/>
      <c r="S3538" s="948">
        <v>4</v>
      </c>
      <c r="T3538" s="946" t="s">
        <v>778</v>
      </c>
      <c r="U3538" s="948" t="s">
        <v>3684</v>
      </c>
      <c r="V3538" s="948">
        <f t="shared" si="334"/>
        <v>83</v>
      </c>
      <c r="W3538" s="946" t="s">
        <v>778</v>
      </c>
      <c r="X3538" s="948">
        <f t="shared" si="335"/>
        <v>332</v>
      </c>
      <c r="AB3538" s="948">
        <v>3</v>
      </c>
      <c r="AC3538" s="946" t="s">
        <v>778</v>
      </c>
      <c r="AD3538" s="948" t="s">
        <v>3684</v>
      </c>
      <c r="AE3538" s="1083">
        <f t="shared" si="338"/>
        <v>83</v>
      </c>
      <c r="AF3538" s="946" t="s">
        <v>778</v>
      </c>
      <c r="AG3538" s="948">
        <f t="shared" si="336"/>
        <v>249</v>
      </c>
    </row>
    <row r="3539" spans="6:33" ht="24" customHeight="1">
      <c r="F3539" s="948">
        <v>2</v>
      </c>
      <c r="G3539" s="946" t="s">
        <v>778</v>
      </c>
      <c r="H3539" s="948" t="s">
        <v>3685</v>
      </c>
      <c r="I3539" s="948">
        <f t="shared" si="337"/>
        <v>60</v>
      </c>
      <c r="J3539" s="946" t="s">
        <v>778</v>
      </c>
      <c r="K3539" s="948">
        <f t="shared" si="333"/>
        <v>120</v>
      </c>
      <c r="M3539" s="948">
        <f>P3538</f>
        <v>2.56</v>
      </c>
      <c r="N3539" s="946" t="s">
        <v>615</v>
      </c>
      <c r="O3539" s="948" t="s">
        <v>3681</v>
      </c>
      <c r="P3539" s="948">
        <f>I3535</f>
        <v>2233</v>
      </c>
      <c r="Q3539" s="946" t="s">
        <v>615</v>
      </c>
      <c r="R3539" s="948">
        <f>P3539*M3539</f>
        <v>5716.48</v>
      </c>
      <c r="S3539" s="948">
        <v>2</v>
      </c>
      <c r="T3539" s="946" t="s">
        <v>778</v>
      </c>
      <c r="U3539" s="948" t="s">
        <v>3685</v>
      </c>
      <c r="V3539" s="948">
        <f t="shared" si="334"/>
        <v>60</v>
      </c>
      <c r="W3539" s="946" t="s">
        <v>778</v>
      </c>
      <c r="X3539" s="948">
        <f t="shared" si="335"/>
        <v>120</v>
      </c>
      <c r="AB3539" s="948">
        <v>2</v>
      </c>
      <c r="AC3539" s="946" t="s">
        <v>778</v>
      </c>
      <c r="AD3539" s="948" t="s">
        <v>3685</v>
      </c>
      <c r="AE3539" s="1083">
        <f t="shared" si="338"/>
        <v>60</v>
      </c>
      <c r="AF3539" s="946" t="s">
        <v>778</v>
      </c>
      <c r="AG3539" s="948">
        <f t="shared" si="336"/>
        <v>120</v>
      </c>
    </row>
    <row r="3540" spans="6:33" ht="24" customHeight="1">
      <c r="F3540" s="948">
        <v>1</v>
      </c>
      <c r="G3540" s="946" t="s">
        <v>778</v>
      </c>
      <c r="H3540" s="948" t="s">
        <v>2488</v>
      </c>
      <c r="I3540" s="948">
        <f t="shared" si="337"/>
        <v>167.6</v>
      </c>
      <c r="J3540" s="946" t="s">
        <v>778</v>
      </c>
      <c r="K3540" s="948">
        <f t="shared" si="333"/>
        <v>167.6</v>
      </c>
      <c r="M3540" s="948">
        <f>P3538</f>
        <v>2.56</v>
      </c>
      <c r="N3540" s="946" t="s">
        <v>615</v>
      </c>
      <c r="O3540" s="948" t="s">
        <v>4386</v>
      </c>
      <c r="P3540" s="948">
        <v>122</v>
      </c>
      <c r="Q3540" s="946" t="s">
        <v>615</v>
      </c>
      <c r="R3540" s="948">
        <f t="shared" ref="R3540:R3548" si="339">P3540*M3540</f>
        <v>312.32</v>
      </c>
      <c r="S3540" s="948">
        <v>1</v>
      </c>
      <c r="T3540" s="946" t="s">
        <v>778</v>
      </c>
      <c r="U3540" s="948" t="s">
        <v>2488</v>
      </c>
      <c r="V3540" s="948">
        <f t="shared" si="334"/>
        <v>167.6</v>
      </c>
      <c r="W3540" s="946" t="s">
        <v>778</v>
      </c>
      <c r="X3540" s="948">
        <f t="shared" si="335"/>
        <v>167.6</v>
      </c>
      <c r="AB3540" s="948">
        <v>1</v>
      </c>
      <c r="AC3540" s="946" t="s">
        <v>778</v>
      </c>
      <c r="AD3540" s="948" t="s">
        <v>2488</v>
      </c>
      <c r="AE3540" s="1083">
        <f t="shared" si="338"/>
        <v>167.6</v>
      </c>
      <c r="AF3540" s="946" t="s">
        <v>778</v>
      </c>
      <c r="AG3540" s="948">
        <f t="shared" si="336"/>
        <v>167.6</v>
      </c>
    </row>
    <row r="3541" spans="6:33" ht="24" customHeight="1">
      <c r="F3541" s="948">
        <v>92</v>
      </c>
      <c r="G3541" s="946" t="s">
        <v>778</v>
      </c>
      <c r="H3541" s="948" t="s">
        <v>3686</v>
      </c>
      <c r="I3541" s="948">
        <f t="shared" si="337"/>
        <v>2.39</v>
      </c>
      <c r="J3541" s="946" t="s">
        <v>778</v>
      </c>
      <c r="K3541" s="948">
        <f t="shared" si="333"/>
        <v>219.88</v>
      </c>
      <c r="M3541" s="948">
        <v>2</v>
      </c>
      <c r="N3541" s="946" t="s">
        <v>778</v>
      </c>
      <c r="O3541" s="948" t="s">
        <v>3683</v>
      </c>
      <c r="P3541" s="948">
        <f t="shared" ref="P3541:P3547" si="340">P3525</f>
        <v>53.4</v>
      </c>
      <c r="Q3541" s="946" t="s">
        <v>778</v>
      </c>
      <c r="R3541" s="948">
        <f t="shared" si="339"/>
        <v>106.8</v>
      </c>
      <c r="S3541" s="948">
        <v>92</v>
      </c>
      <c r="T3541" s="946" t="s">
        <v>778</v>
      </c>
      <c r="U3541" s="948" t="s">
        <v>3686</v>
      </c>
      <c r="V3541" s="948">
        <f t="shared" si="334"/>
        <v>2.39</v>
      </c>
      <c r="W3541" s="946" t="s">
        <v>778</v>
      </c>
      <c r="X3541" s="948">
        <f t="shared" si="335"/>
        <v>219.88</v>
      </c>
      <c r="AB3541" s="948">
        <v>92</v>
      </c>
      <c r="AC3541" s="946" t="s">
        <v>778</v>
      </c>
      <c r="AD3541" s="948" t="s">
        <v>3686</v>
      </c>
      <c r="AE3541" s="1083">
        <f t="shared" si="338"/>
        <v>2.39</v>
      </c>
      <c r="AF3541" s="946" t="s">
        <v>778</v>
      </c>
      <c r="AG3541" s="948">
        <f t="shared" si="336"/>
        <v>219.88</v>
      </c>
    </row>
    <row r="3542" spans="6:33" ht="24" customHeight="1">
      <c r="F3542" s="948">
        <v>1</v>
      </c>
      <c r="G3542" s="946" t="s">
        <v>778</v>
      </c>
      <c r="H3542" s="948" t="s">
        <v>3687</v>
      </c>
      <c r="I3542" s="948">
        <f t="shared" si="337"/>
        <v>22.9</v>
      </c>
      <c r="J3542" s="946" t="s">
        <v>778</v>
      </c>
      <c r="K3542" s="948">
        <f t="shared" si="333"/>
        <v>22.9</v>
      </c>
      <c r="M3542" s="948">
        <v>4</v>
      </c>
      <c r="N3542" s="946" t="s">
        <v>778</v>
      </c>
      <c r="O3542" s="948" t="s">
        <v>3684</v>
      </c>
      <c r="P3542" s="948">
        <f t="shared" si="340"/>
        <v>83</v>
      </c>
      <c r="Q3542" s="946" t="s">
        <v>778</v>
      </c>
      <c r="R3542" s="948">
        <f t="shared" si="339"/>
        <v>332</v>
      </c>
      <c r="S3542" s="948">
        <v>1</v>
      </c>
      <c r="T3542" s="946" t="s">
        <v>778</v>
      </c>
      <c r="U3542" s="948" t="s">
        <v>3687</v>
      </c>
      <c r="V3542" s="948">
        <f t="shared" si="334"/>
        <v>22.9</v>
      </c>
      <c r="W3542" s="946" t="s">
        <v>778</v>
      </c>
      <c r="X3542" s="948">
        <f t="shared" si="335"/>
        <v>22.9</v>
      </c>
      <c r="AB3542" s="948">
        <v>1</v>
      </c>
      <c r="AC3542" s="946" t="s">
        <v>778</v>
      </c>
      <c r="AD3542" s="948" t="s">
        <v>3687</v>
      </c>
      <c r="AE3542" s="1083">
        <f t="shared" si="338"/>
        <v>22.9</v>
      </c>
      <c r="AF3542" s="946" t="s">
        <v>778</v>
      </c>
      <c r="AG3542" s="948">
        <f t="shared" si="336"/>
        <v>22.9</v>
      </c>
    </row>
    <row r="3543" spans="6:33" ht="24" customHeight="1">
      <c r="F3543" s="948">
        <v>1</v>
      </c>
      <c r="G3543" s="946" t="s">
        <v>778</v>
      </c>
      <c r="H3543" s="948" t="s">
        <v>3688</v>
      </c>
      <c r="I3543" s="948">
        <f t="shared" si="337"/>
        <v>45.9</v>
      </c>
      <c r="J3543" s="946" t="s">
        <v>778</v>
      </c>
      <c r="K3543" s="948">
        <f t="shared" si="333"/>
        <v>45.9</v>
      </c>
      <c r="M3543" s="948">
        <v>2</v>
      </c>
      <c r="N3543" s="946" t="s">
        <v>778</v>
      </c>
      <c r="O3543" s="948" t="s">
        <v>3685</v>
      </c>
      <c r="P3543" s="948">
        <f t="shared" si="340"/>
        <v>60</v>
      </c>
      <c r="Q3543" s="946" t="s">
        <v>778</v>
      </c>
      <c r="R3543" s="948">
        <f t="shared" si="339"/>
        <v>120</v>
      </c>
      <c r="S3543" s="948">
        <v>1</v>
      </c>
      <c r="T3543" s="946" t="s">
        <v>778</v>
      </c>
      <c r="U3543" s="948" t="s">
        <v>3688</v>
      </c>
      <c r="V3543" s="948">
        <f t="shared" si="334"/>
        <v>45.9</v>
      </c>
      <c r="W3543" s="946" t="s">
        <v>778</v>
      </c>
      <c r="X3543" s="948">
        <f t="shared" si="335"/>
        <v>45.9</v>
      </c>
      <c r="AB3543" s="948">
        <v>1</v>
      </c>
      <c r="AC3543" s="946" t="s">
        <v>778</v>
      </c>
      <c r="AD3543" s="948" t="s">
        <v>3688</v>
      </c>
      <c r="AE3543" s="1083">
        <f t="shared" si="338"/>
        <v>45.9</v>
      </c>
      <c r="AF3543" s="946" t="s">
        <v>778</v>
      </c>
      <c r="AG3543" s="948">
        <f t="shared" si="336"/>
        <v>45.9</v>
      </c>
    </row>
    <row r="3544" spans="6:33" ht="24" customHeight="1">
      <c r="F3544" s="1084">
        <v>0.35</v>
      </c>
      <c r="G3544" s="1085" t="s">
        <v>615</v>
      </c>
      <c r="H3544" s="1083" t="s">
        <v>3810</v>
      </c>
      <c r="I3544" s="1083">
        <f>K1537</f>
        <v>212.24</v>
      </c>
      <c r="J3544" s="1085" t="s">
        <v>615</v>
      </c>
      <c r="K3544" s="1083"/>
      <c r="M3544" s="948">
        <v>1</v>
      </c>
      <c r="N3544" s="946" t="s">
        <v>778</v>
      </c>
      <c r="O3544" s="948" t="s">
        <v>2488</v>
      </c>
      <c r="P3544" s="948">
        <f t="shared" si="340"/>
        <v>167.6</v>
      </c>
      <c r="Q3544" s="946" t="s">
        <v>778</v>
      </c>
      <c r="R3544" s="948">
        <f t="shared" si="339"/>
        <v>167.6</v>
      </c>
      <c r="S3544" s="1084">
        <v>0.39</v>
      </c>
      <c r="T3544" s="1085" t="s">
        <v>615</v>
      </c>
      <c r="U3544" s="1083" t="s">
        <v>3810</v>
      </c>
      <c r="V3544" s="948">
        <f t="shared" si="334"/>
        <v>212.24</v>
      </c>
      <c r="W3544" s="1085" t="s">
        <v>615</v>
      </c>
      <c r="X3544" s="1083"/>
      <c r="AB3544" s="1084">
        <v>0.35</v>
      </c>
      <c r="AC3544" s="1085" t="s">
        <v>615</v>
      </c>
      <c r="AD3544" s="1083" t="s">
        <v>3810</v>
      </c>
      <c r="AE3544" s="1083">
        <f t="shared" si="338"/>
        <v>212.24</v>
      </c>
      <c r="AF3544" s="1085" t="s">
        <v>615</v>
      </c>
      <c r="AG3544" s="948"/>
    </row>
    <row r="3545" spans="6:33" ht="24" customHeight="1">
      <c r="F3545" s="948"/>
      <c r="G3545" s="946"/>
      <c r="H3545" s="948" t="s">
        <v>3692</v>
      </c>
      <c r="I3545" s="948"/>
      <c r="J3545" s="949"/>
      <c r="K3545" s="948">
        <f>SUM(K3535:K3544)</f>
        <v>5349.68</v>
      </c>
      <c r="M3545" s="948">
        <v>92</v>
      </c>
      <c r="N3545" s="946" t="s">
        <v>778</v>
      </c>
      <c r="O3545" s="948" t="s">
        <v>3686</v>
      </c>
      <c r="P3545" s="948">
        <f t="shared" si="340"/>
        <v>2.39</v>
      </c>
      <c r="Q3545" s="946" t="s">
        <v>778</v>
      </c>
      <c r="R3545" s="948">
        <f t="shared" si="339"/>
        <v>219.88</v>
      </c>
      <c r="S3545" s="948"/>
      <c r="T3545" s="946"/>
      <c r="U3545" s="948" t="s">
        <v>3812</v>
      </c>
      <c r="V3545" s="948"/>
      <c r="W3545" s="949"/>
      <c r="X3545" s="948">
        <f>SUM(X3535:X3544)</f>
        <v>6088.03</v>
      </c>
      <c r="AB3545" s="948"/>
      <c r="AC3545" s="946"/>
      <c r="AD3545" s="948" t="s">
        <v>4475</v>
      </c>
      <c r="AE3545" s="948"/>
      <c r="AF3545" s="949"/>
      <c r="AG3545" s="948">
        <f>SUM(AG3535:AG3544)</f>
        <v>4864.2299999999996</v>
      </c>
    </row>
    <row r="3546" spans="6:33" ht="24" customHeight="1">
      <c r="F3546" s="948"/>
      <c r="G3546" s="946"/>
      <c r="H3546" s="948" t="s">
        <v>3282</v>
      </c>
      <c r="I3546" s="948"/>
      <c r="J3546" s="949"/>
      <c r="K3546" s="948">
        <f>K3545/F3536</f>
        <v>2939.38</v>
      </c>
      <c r="M3546" s="948">
        <v>1</v>
      </c>
      <c r="N3546" s="946" t="s">
        <v>778</v>
      </c>
      <c r="O3546" s="948" t="s">
        <v>3687</v>
      </c>
      <c r="P3546" s="948">
        <f t="shared" si="340"/>
        <v>22.9</v>
      </c>
      <c r="Q3546" s="946" t="s">
        <v>778</v>
      </c>
      <c r="R3546" s="948">
        <f t="shared" si="339"/>
        <v>22.9</v>
      </c>
      <c r="S3546" s="948"/>
      <c r="T3546" s="946"/>
      <c r="U3546" s="948" t="s">
        <v>3282</v>
      </c>
      <c r="V3546" s="948"/>
      <c r="W3546" s="949"/>
      <c r="X3546" s="948">
        <f>X3545/S3536</f>
        <v>2912.93</v>
      </c>
      <c r="AB3546" s="948"/>
      <c r="AC3546" s="946"/>
      <c r="AD3546" s="948" t="s">
        <v>3282</v>
      </c>
      <c r="AE3546" s="948"/>
      <c r="AF3546" s="949"/>
      <c r="AG3546" s="948">
        <f>AG3545/AB3536</f>
        <v>3002.61</v>
      </c>
    </row>
    <row r="3547" spans="6:33" ht="24" customHeight="1">
      <c r="M3547" s="948">
        <v>1</v>
      </c>
      <c r="N3547" s="946" t="s">
        <v>778</v>
      </c>
      <c r="O3547" s="948" t="s">
        <v>3688</v>
      </c>
      <c r="P3547" s="948">
        <f t="shared" si="340"/>
        <v>45.9</v>
      </c>
      <c r="Q3547" s="946" t="s">
        <v>778</v>
      </c>
      <c r="R3547" s="948">
        <f t="shared" si="339"/>
        <v>45.9</v>
      </c>
      <c r="AC3547" s="700"/>
      <c r="AF3547" s="702"/>
    </row>
    <row r="3548" spans="6:33" ht="24" customHeight="1">
      <c r="M3548" s="952"/>
      <c r="N3548" s="946" t="s">
        <v>615</v>
      </c>
      <c r="O3548" s="948" t="s">
        <v>3689</v>
      </c>
      <c r="P3548" s="948">
        <f>P3532</f>
        <v>172.13</v>
      </c>
      <c r="Q3548" s="946" t="s">
        <v>615</v>
      </c>
      <c r="R3548" s="948">
        <f t="shared" si="339"/>
        <v>0</v>
      </c>
    </row>
    <row r="3549" spans="6:33" ht="24" customHeight="1">
      <c r="F3549" s="753"/>
      <c r="G3549" s="708" t="s">
        <v>2276</v>
      </c>
      <c r="H3549" s="697" t="s">
        <v>2244</v>
      </c>
      <c r="M3549" s="948"/>
      <c r="N3549" s="946"/>
      <c r="O3549" s="948" t="s">
        <v>3806</v>
      </c>
      <c r="P3549" s="948"/>
      <c r="Q3549" s="949"/>
      <c r="R3549" s="948">
        <f>SUM(R3539:R3548)</f>
        <v>7043.88</v>
      </c>
      <c r="S3549" s="948"/>
      <c r="T3549" s="946"/>
      <c r="U3549" s="948" t="s">
        <v>3813</v>
      </c>
      <c r="V3549" s="948"/>
      <c r="W3549" s="949"/>
      <c r="AB3549" s="948"/>
      <c r="AC3549" s="946"/>
      <c r="AD3549" s="948" t="s">
        <v>4798</v>
      </c>
      <c r="AE3549" s="948"/>
      <c r="AF3549" s="949"/>
    </row>
    <row r="3550" spans="6:33" ht="24" customHeight="1">
      <c r="H3550" s="701" t="s">
        <v>5282</v>
      </c>
      <c r="M3550" s="948"/>
      <c r="N3550" s="946"/>
      <c r="O3550" s="948" t="s">
        <v>3282</v>
      </c>
      <c r="P3550" s="948"/>
      <c r="Q3550" s="949"/>
      <c r="R3550" s="948">
        <f>R3549/M3540</f>
        <v>2751.52</v>
      </c>
      <c r="S3550" s="699"/>
      <c r="T3550" s="700"/>
      <c r="U3550" s="948" t="s">
        <v>3816</v>
      </c>
      <c r="V3550" s="699">
        <f>1.4*2.025</f>
        <v>2.84</v>
      </c>
      <c r="W3550" s="702"/>
      <c r="AC3550" s="700"/>
      <c r="AD3550" s="948" t="s">
        <v>4799</v>
      </c>
      <c r="AE3550" s="699">
        <f>0.8*2.325</f>
        <v>1.86</v>
      </c>
      <c r="AF3550" s="702"/>
    </row>
    <row r="3551" spans="6:33" ht="24" customHeight="1">
      <c r="H3551" s="697" t="s">
        <v>1160</v>
      </c>
      <c r="N3551" s="700"/>
      <c r="Q3551" s="702"/>
      <c r="S3551" s="948">
        <f>V3550</f>
        <v>2.84</v>
      </c>
      <c r="T3551" s="946" t="s">
        <v>615</v>
      </c>
      <c r="U3551" s="948" t="s">
        <v>3681</v>
      </c>
      <c r="V3551" s="948">
        <f>P3523</f>
        <v>2233</v>
      </c>
      <c r="W3551" s="946" t="s">
        <v>615</v>
      </c>
      <c r="X3551" s="948">
        <f>V3551*S3551</f>
        <v>6341.72</v>
      </c>
      <c r="AB3551" s="948">
        <f>AE3550</f>
        <v>1.86</v>
      </c>
      <c r="AC3551" s="946" t="s">
        <v>615</v>
      </c>
      <c r="AD3551" s="948" t="s">
        <v>3681</v>
      </c>
      <c r="AE3551" s="948">
        <f>AE3535</f>
        <v>2233</v>
      </c>
      <c r="AF3551" s="946" t="s">
        <v>615</v>
      </c>
      <c r="AG3551" s="948">
        <f>AE3551*AB3551</f>
        <v>4153.38</v>
      </c>
    </row>
    <row r="3552" spans="6:33" ht="24" customHeight="1">
      <c r="H3552" s="697" t="s">
        <v>1161</v>
      </c>
      <c r="M3552" s="753"/>
      <c r="N3552" s="708" t="s">
        <v>2276</v>
      </c>
      <c r="O3552" s="697" t="s">
        <v>2244</v>
      </c>
      <c r="Q3552" s="702"/>
      <c r="S3552" s="948">
        <f>V3550</f>
        <v>2.84</v>
      </c>
      <c r="T3552" s="946" t="s">
        <v>615</v>
      </c>
      <c r="U3552" s="948" t="s">
        <v>3682</v>
      </c>
      <c r="V3552" s="948">
        <f>P3524</f>
        <v>299.25</v>
      </c>
      <c r="W3552" s="946" t="s">
        <v>615</v>
      </c>
      <c r="X3552" s="948">
        <f t="shared" ref="X3552:X3559" si="341">V3552*S3552</f>
        <v>849.87</v>
      </c>
      <c r="AB3552" s="948">
        <f>AE3550</f>
        <v>1.86</v>
      </c>
      <c r="AC3552" s="946" t="s">
        <v>615</v>
      </c>
      <c r="AD3552" s="948" t="s">
        <v>3682</v>
      </c>
      <c r="AE3552" s="948">
        <f t="shared" ref="AE3552:AE3560" si="342">AE3536</f>
        <v>194.25</v>
      </c>
      <c r="AF3552" s="946" t="s">
        <v>615</v>
      </c>
      <c r="AG3552" s="948">
        <f t="shared" ref="AG3552:AG3559" si="343">AE3552*AB3552</f>
        <v>361.31</v>
      </c>
    </row>
    <row r="3553" spans="6:33" ht="46.5" customHeight="1">
      <c r="H3553" s="705" t="s">
        <v>1609</v>
      </c>
      <c r="N3553" s="700"/>
      <c r="O3553" s="701" t="s">
        <v>5282</v>
      </c>
      <c r="Q3553" s="702"/>
      <c r="S3553" s="948">
        <v>4</v>
      </c>
      <c r="T3553" s="946" t="s">
        <v>778</v>
      </c>
      <c r="U3553" s="948" t="s">
        <v>3683</v>
      </c>
      <c r="V3553" s="948">
        <f t="shared" ref="V3553:V3560" si="344">V3537</f>
        <v>53.4</v>
      </c>
      <c r="W3553" s="946" t="s">
        <v>778</v>
      </c>
      <c r="X3553" s="948">
        <f t="shared" si="341"/>
        <v>213.6</v>
      </c>
      <c r="AB3553" s="948">
        <v>2</v>
      </c>
      <c r="AC3553" s="946" t="s">
        <v>778</v>
      </c>
      <c r="AD3553" s="948" t="s">
        <v>3683</v>
      </c>
      <c r="AE3553" s="948">
        <f t="shared" si="342"/>
        <v>53.4</v>
      </c>
      <c r="AF3553" s="946" t="s">
        <v>778</v>
      </c>
      <c r="AG3553" s="948">
        <f t="shared" si="343"/>
        <v>106.8</v>
      </c>
    </row>
    <row r="3554" spans="6:33" ht="33.75" customHeight="1">
      <c r="F3554" s="934">
        <v>1</v>
      </c>
      <c r="G3554" s="934" t="s">
        <v>877</v>
      </c>
      <c r="H3554" s="762" t="s">
        <v>4758</v>
      </c>
      <c r="I3554" s="1086">
        <v>1656</v>
      </c>
      <c r="J3554" s="935" t="s">
        <v>877</v>
      </c>
      <c r="K3554" s="934">
        <f>(F3554*I3554)</f>
        <v>1656</v>
      </c>
      <c r="N3554" s="700"/>
      <c r="O3554" s="697" t="s">
        <v>1160</v>
      </c>
      <c r="Q3554" s="702"/>
      <c r="S3554" s="948">
        <v>6</v>
      </c>
      <c r="T3554" s="946" t="s">
        <v>778</v>
      </c>
      <c r="U3554" s="948" t="s">
        <v>3684</v>
      </c>
      <c r="V3554" s="948">
        <f t="shared" si="344"/>
        <v>83</v>
      </c>
      <c r="W3554" s="946" t="s">
        <v>778</v>
      </c>
      <c r="X3554" s="948">
        <f t="shared" si="341"/>
        <v>498</v>
      </c>
      <c r="AB3554" s="948">
        <v>4</v>
      </c>
      <c r="AC3554" s="946" t="s">
        <v>778</v>
      </c>
      <c r="AD3554" s="948" t="s">
        <v>3684</v>
      </c>
      <c r="AE3554" s="948">
        <f t="shared" si="342"/>
        <v>83</v>
      </c>
      <c r="AF3554" s="946" t="s">
        <v>778</v>
      </c>
      <c r="AG3554" s="948">
        <f t="shared" si="343"/>
        <v>332</v>
      </c>
    </row>
    <row r="3555" spans="6:33" ht="24" customHeight="1">
      <c r="F3555" s="710"/>
      <c r="G3555" s="708"/>
      <c r="H3555" s="697"/>
      <c r="I3555" s="710"/>
      <c r="J3555" s="697"/>
      <c r="K3555" s="710"/>
      <c r="N3555" s="700"/>
      <c r="O3555" s="697" t="s">
        <v>1161</v>
      </c>
      <c r="Q3555" s="702"/>
      <c r="S3555" s="948">
        <v>4</v>
      </c>
      <c r="T3555" s="946" t="s">
        <v>778</v>
      </c>
      <c r="U3555" s="948" t="s">
        <v>3685</v>
      </c>
      <c r="V3555" s="948">
        <f t="shared" si="344"/>
        <v>60</v>
      </c>
      <c r="W3555" s="946" t="s">
        <v>778</v>
      </c>
      <c r="X3555" s="948">
        <f t="shared" si="341"/>
        <v>240</v>
      </c>
      <c r="AB3555" s="948">
        <v>2</v>
      </c>
      <c r="AC3555" s="946" t="s">
        <v>778</v>
      </c>
      <c r="AD3555" s="948" t="s">
        <v>3685</v>
      </c>
      <c r="AE3555" s="948">
        <f t="shared" si="342"/>
        <v>60</v>
      </c>
      <c r="AF3555" s="946" t="s">
        <v>778</v>
      </c>
      <c r="AG3555" s="948">
        <f t="shared" si="343"/>
        <v>120</v>
      </c>
    </row>
    <row r="3556" spans="6:33" ht="24" customHeight="1">
      <c r="F3556" s="710"/>
      <c r="G3556" s="708"/>
      <c r="H3556" s="697"/>
      <c r="I3556" s="710"/>
      <c r="J3556" s="698"/>
      <c r="K3556" s="710"/>
      <c r="N3556" s="700"/>
      <c r="O3556" s="705" t="s">
        <v>1609</v>
      </c>
      <c r="Q3556" s="702"/>
      <c r="S3556" s="948">
        <v>1</v>
      </c>
      <c r="T3556" s="946" t="s">
        <v>778</v>
      </c>
      <c r="U3556" s="948" t="s">
        <v>2488</v>
      </c>
      <c r="V3556" s="948">
        <f t="shared" si="344"/>
        <v>167.6</v>
      </c>
      <c r="W3556" s="946" t="s">
        <v>778</v>
      </c>
      <c r="X3556" s="948">
        <f t="shared" si="341"/>
        <v>167.6</v>
      </c>
      <c r="AB3556" s="948">
        <v>1</v>
      </c>
      <c r="AC3556" s="946" t="s">
        <v>778</v>
      </c>
      <c r="AD3556" s="948" t="s">
        <v>2488</v>
      </c>
      <c r="AE3556" s="948">
        <f t="shared" si="342"/>
        <v>167.6</v>
      </c>
      <c r="AF3556" s="946" t="s">
        <v>778</v>
      </c>
      <c r="AG3556" s="948">
        <f t="shared" si="343"/>
        <v>167.6</v>
      </c>
    </row>
    <row r="3557" spans="6:33" ht="24" customHeight="1">
      <c r="F3557" s="934">
        <v>1</v>
      </c>
      <c r="G3557" s="934" t="s">
        <v>877</v>
      </c>
      <c r="H3557" s="697" t="s">
        <v>2156</v>
      </c>
      <c r="I3557" s="967">
        <f>I1936</f>
        <v>-167</v>
      </c>
      <c r="J3557" s="697" t="s">
        <v>877</v>
      </c>
      <c r="K3557" s="934">
        <f>(F3557*I3557)</f>
        <v>-167</v>
      </c>
      <c r="M3557" s="934">
        <v>1</v>
      </c>
      <c r="N3557" s="934" t="s">
        <v>877</v>
      </c>
      <c r="O3557" s="762" t="s">
        <v>4758</v>
      </c>
      <c r="P3557" s="1086">
        <v>1656</v>
      </c>
      <c r="Q3557" s="935" t="s">
        <v>877</v>
      </c>
      <c r="R3557" s="934">
        <f>(M3557*P3557)</f>
        <v>1656</v>
      </c>
      <c r="S3557" s="948">
        <v>118</v>
      </c>
      <c r="T3557" s="946" t="s">
        <v>778</v>
      </c>
      <c r="U3557" s="948" t="s">
        <v>3686</v>
      </c>
      <c r="V3557" s="948">
        <f t="shared" si="344"/>
        <v>2.39</v>
      </c>
      <c r="W3557" s="946" t="s">
        <v>778</v>
      </c>
      <c r="X3557" s="948">
        <f t="shared" si="341"/>
        <v>282.02</v>
      </c>
      <c r="AB3557" s="948">
        <v>92</v>
      </c>
      <c r="AC3557" s="946" t="s">
        <v>778</v>
      </c>
      <c r="AD3557" s="948" t="s">
        <v>3686</v>
      </c>
      <c r="AE3557" s="948">
        <f t="shared" si="342"/>
        <v>2.39</v>
      </c>
      <c r="AF3557" s="946" t="s">
        <v>778</v>
      </c>
      <c r="AG3557" s="948">
        <f t="shared" si="343"/>
        <v>219.88</v>
      </c>
    </row>
    <row r="3558" spans="6:33" ht="24" customHeight="1">
      <c r="F3558" s="710"/>
      <c r="G3558" s="708"/>
      <c r="H3558" s="697"/>
      <c r="I3558" s="710"/>
      <c r="J3558" s="698"/>
      <c r="K3558" s="710"/>
      <c r="M3558" s="710"/>
      <c r="N3558" s="708"/>
      <c r="O3558" s="697"/>
      <c r="P3558" s="710"/>
      <c r="Q3558" s="697"/>
      <c r="R3558" s="710"/>
      <c r="S3558" s="948">
        <v>2</v>
      </c>
      <c r="T3558" s="946" t="s">
        <v>778</v>
      </c>
      <c r="U3558" s="948" t="s">
        <v>3687</v>
      </c>
      <c r="V3558" s="948">
        <f t="shared" si="344"/>
        <v>22.9</v>
      </c>
      <c r="W3558" s="946" t="s">
        <v>778</v>
      </c>
      <c r="X3558" s="948">
        <f t="shared" si="341"/>
        <v>45.8</v>
      </c>
      <c r="AB3558" s="948">
        <v>1</v>
      </c>
      <c r="AC3558" s="946" t="s">
        <v>778</v>
      </c>
      <c r="AD3558" s="948" t="s">
        <v>3687</v>
      </c>
      <c r="AE3558" s="948">
        <f t="shared" si="342"/>
        <v>22.9</v>
      </c>
      <c r="AF3558" s="946" t="s">
        <v>778</v>
      </c>
      <c r="AG3558" s="948">
        <f t="shared" si="343"/>
        <v>22.9</v>
      </c>
    </row>
    <row r="3559" spans="6:33" ht="24" customHeight="1">
      <c r="F3559" s="710">
        <v>1</v>
      </c>
      <c r="G3559" s="708" t="s">
        <v>877</v>
      </c>
      <c r="H3559" s="697" t="s">
        <v>2157</v>
      </c>
      <c r="I3559" s="1087">
        <v>250</v>
      </c>
      <c r="J3559" s="697" t="s">
        <v>877</v>
      </c>
      <c r="K3559" s="1088">
        <f>(F3559*I3559)</f>
        <v>250</v>
      </c>
      <c r="M3559" s="710"/>
      <c r="N3559" s="708"/>
      <c r="O3559" s="697"/>
      <c r="P3559" s="710"/>
      <c r="Q3559" s="698"/>
      <c r="R3559" s="710"/>
      <c r="S3559" s="948">
        <v>2</v>
      </c>
      <c r="T3559" s="946" t="s">
        <v>778</v>
      </c>
      <c r="U3559" s="948" t="s">
        <v>3688</v>
      </c>
      <c r="V3559" s="948">
        <f t="shared" si="344"/>
        <v>45.9</v>
      </c>
      <c r="W3559" s="946" t="s">
        <v>778</v>
      </c>
      <c r="X3559" s="948">
        <f t="shared" si="341"/>
        <v>91.8</v>
      </c>
      <c r="AB3559" s="948">
        <v>1</v>
      </c>
      <c r="AC3559" s="946" t="s">
        <v>778</v>
      </c>
      <c r="AD3559" s="948" t="s">
        <v>3688</v>
      </c>
      <c r="AE3559" s="948">
        <f t="shared" si="342"/>
        <v>45.9</v>
      </c>
      <c r="AF3559" s="946" t="s">
        <v>778</v>
      </c>
      <c r="AG3559" s="948">
        <f t="shared" si="343"/>
        <v>45.9</v>
      </c>
    </row>
    <row r="3560" spans="6:33" ht="24" customHeight="1">
      <c r="F3560" s="710"/>
      <c r="G3560" s="708"/>
      <c r="H3560" s="697"/>
      <c r="I3560" s="710"/>
      <c r="J3560" s="697"/>
      <c r="K3560" s="710"/>
      <c r="M3560" s="934">
        <v>1</v>
      </c>
      <c r="N3560" s="934" t="s">
        <v>877</v>
      </c>
      <c r="O3560" s="697" t="s">
        <v>2156</v>
      </c>
      <c r="P3560" s="967">
        <f>I3557</f>
        <v>-167</v>
      </c>
      <c r="Q3560" s="697" t="s">
        <v>877</v>
      </c>
      <c r="R3560" s="934">
        <f>(M3560*P3560)</f>
        <v>-167</v>
      </c>
      <c r="S3560" s="1084">
        <v>0.65</v>
      </c>
      <c r="T3560" s="1085" t="s">
        <v>615</v>
      </c>
      <c r="U3560" s="1083" t="s">
        <v>3810</v>
      </c>
      <c r="V3560" s="948">
        <f t="shared" si="344"/>
        <v>212.24</v>
      </c>
      <c r="W3560" s="1085" t="s">
        <v>615</v>
      </c>
      <c r="X3560" s="1083"/>
      <c r="AB3560" s="1084">
        <v>0.39</v>
      </c>
      <c r="AC3560" s="1085" t="s">
        <v>615</v>
      </c>
      <c r="AD3560" s="1083" t="s">
        <v>3810</v>
      </c>
      <c r="AE3560" s="948">
        <f t="shared" si="342"/>
        <v>212.24</v>
      </c>
      <c r="AF3560" s="1085" t="s">
        <v>615</v>
      </c>
      <c r="AG3560" s="1083"/>
    </row>
    <row r="3561" spans="6:33" ht="24" customHeight="1">
      <c r="F3561" s="710">
        <v>0.5</v>
      </c>
      <c r="G3561" s="708" t="s">
        <v>877</v>
      </c>
      <c r="H3561" s="697" t="s">
        <v>2130</v>
      </c>
      <c r="I3561" s="710">
        <f>I1940</f>
        <v>747</v>
      </c>
      <c r="J3561" s="697" t="s">
        <v>877</v>
      </c>
      <c r="K3561" s="710">
        <f>(F3561*I3561)</f>
        <v>373.5</v>
      </c>
      <c r="M3561" s="710"/>
      <c r="N3561" s="708"/>
      <c r="O3561" s="697"/>
      <c r="P3561" s="710"/>
      <c r="Q3561" s="698"/>
      <c r="R3561" s="710"/>
      <c r="S3561" s="948"/>
      <c r="T3561" s="946"/>
      <c r="U3561" s="948" t="s">
        <v>3817</v>
      </c>
      <c r="V3561" s="948"/>
      <c r="W3561" s="949"/>
      <c r="X3561" s="948">
        <f>SUM(X3551:X3560)</f>
        <v>8730.41</v>
      </c>
      <c r="AB3561" s="948"/>
      <c r="AC3561" s="946"/>
      <c r="AD3561" s="948" t="s">
        <v>4800</v>
      </c>
      <c r="AE3561" s="948"/>
      <c r="AF3561" s="949"/>
      <c r="AG3561" s="948">
        <f>SUM(AG3551:AG3560)</f>
        <v>5529.77</v>
      </c>
    </row>
    <row r="3562" spans="6:33" ht="24" customHeight="1">
      <c r="F3562" s="710">
        <v>1</v>
      </c>
      <c r="G3562" s="708" t="s">
        <v>877</v>
      </c>
      <c r="H3562" s="697" t="s">
        <v>1927</v>
      </c>
      <c r="I3562" s="710">
        <f>I1941</f>
        <v>562</v>
      </c>
      <c r="J3562" s="697" t="s">
        <v>877</v>
      </c>
      <c r="K3562" s="710">
        <f>(F3562*I3562)</f>
        <v>562</v>
      </c>
      <c r="M3562" s="710">
        <v>1</v>
      </c>
      <c r="N3562" s="708" t="s">
        <v>877</v>
      </c>
      <c r="O3562" s="697" t="s">
        <v>2157</v>
      </c>
      <c r="P3562" s="1087">
        <v>250</v>
      </c>
      <c r="Q3562" s="697" t="s">
        <v>877</v>
      </c>
      <c r="R3562" s="1088">
        <f>(M3562*P3562)</f>
        <v>250</v>
      </c>
      <c r="S3562" s="948"/>
      <c r="T3562" s="946"/>
      <c r="U3562" s="948" t="s">
        <v>3282</v>
      </c>
      <c r="V3562" s="948"/>
      <c r="W3562" s="949"/>
      <c r="X3562" s="948">
        <f>X3561/S3552</f>
        <v>3074.09</v>
      </c>
      <c r="AB3562" s="948"/>
      <c r="AC3562" s="946"/>
      <c r="AD3562" s="948" t="s">
        <v>3282</v>
      </c>
      <c r="AE3562" s="948"/>
      <c r="AF3562" s="949"/>
      <c r="AG3562" s="948">
        <f>AG3561/AB3552</f>
        <v>2972.99</v>
      </c>
    </row>
    <row r="3563" spans="6:33" ht="24" customHeight="1">
      <c r="F3563" s="710">
        <v>0.5</v>
      </c>
      <c r="G3563" s="708" t="s">
        <v>877</v>
      </c>
      <c r="H3563" s="697" t="s">
        <v>2034</v>
      </c>
      <c r="I3563" s="710">
        <f>I1942</f>
        <v>861</v>
      </c>
      <c r="J3563" s="697" t="s">
        <v>877</v>
      </c>
      <c r="K3563" s="710">
        <f>(F3563*I3563)</f>
        <v>430.5</v>
      </c>
      <c r="M3563" s="710"/>
      <c r="N3563" s="708"/>
      <c r="O3563" s="697"/>
      <c r="P3563" s="710"/>
      <c r="Q3563" s="697"/>
      <c r="R3563" s="710"/>
    </row>
    <row r="3564" spans="6:33" ht="24" customHeight="1">
      <c r="G3564" s="708" t="s">
        <v>450</v>
      </c>
      <c r="H3564" s="697" t="s">
        <v>1162</v>
      </c>
      <c r="J3564" s="697" t="s">
        <v>450</v>
      </c>
      <c r="K3564" s="710">
        <v>0.82</v>
      </c>
      <c r="M3564" s="710">
        <v>0.5</v>
      </c>
      <c r="N3564" s="708" t="s">
        <v>877</v>
      </c>
      <c r="O3564" s="697" t="s">
        <v>2130</v>
      </c>
      <c r="P3564" s="710">
        <f>I3561</f>
        <v>747</v>
      </c>
      <c r="Q3564" s="697" t="s">
        <v>877</v>
      </c>
      <c r="R3564" s="710">
        <f>(M3564*P3564)</f>
        <v>373.5</v>
      </c>
    </row>
    <row r="3565" spans="6:33" ht="24" customHeight="1">
      <c r="K3565" s="705" t="s">
        <v>1609</v>
      </c>
      <c r="M3565" s="710">
        <v>1</v>
      </c>
      <c r="N3565" s="708" t="s">
        <v>877</v>
      </c>
      <c r="O3565" s="697" t="s">
        <v>1927</v>
      </c>
      <c r="P3565" s="710">
        <f>I3562</f>
        <v>562</v>
      </c>
      <c r="Q3565" s="697" t="s">
        <v>877</v>
      </c>
      <c r="R3565" s="710">
        <f>(M3565*P3565)</f>
        <v>562</v>
      </c>
      <c r="S3565" s="948"/>
      <c r="T3565" s="946"/>
      <c r="U3565" s="948" t="s">
        <v>3814</v>
      </c>
      <c r="V3565" s="948"/>
      <c r="W3565" s="949"/>
    </row>
    <row r="3566" spans="6:33" ht="24" customHeight="1">
      <c r="H3566" s="697" t="s">
        <v>1776</v>
      </c>
      <c r="K3566" s="709">
        <f>SUM(K3554:K3564)</f>
        <v>3105.82</v>
      </c>
      <c r="M3566" s="710">
        <v>0.5</v>
      </c>
      <c r="N3566" s="708" t="s">
        <v>877</v>
      </c>
      <c r="O3566" s="697" t="s">
        <v>2034</v>
      </c>
      <c r="P3566" s="710">
        <f>I3563</f>
        <v>861</v>
      </c>
      <c r="Q3566" s="697" t="s">
        <v>877</v>
      </c>
      <c r="R3566" s="710">
        <f>(M3566*P3566)</f>
        <v>430.5</v>
      </c>
      <c r="S3566" s="699"/>
      <c r="T3566" s="700"/>
      <c r="U3566" s="948" t="s">
        <v>3815</v>
      </c>
      <c r="V3566" s="699">
        <f>1.4*2.325</f>
        <v>3.26</v>
      </c>
      <c r="W3566" s="702"/>
    </row>
    <row r="3567" spans="6:33" ht="24" customHeight="1">
      <c r="K3567" s="705" t="s">
        <v>1609</v>
      </c>
      <c r="N3567" s="708" t="s">
        <v>450</v>
      </c>
      <c r="O3567" s="697" t="s">
        <v>1162</v>
      </c>
      <c r="Q3567" s="697" t="s">
        <v>450</v>
      </c>
      <c r="R3567" s="710">
        <v>0.82</v>
      </c>
      <c r="S3567" s="948">
        <f>V3566</f>
        <v>3.26</v>
      </c>
      <c r="T3567" s="946" t="s">
        <v>615</v>
      </c>
      <c r="U3567" s="948" t="s">
        <v>3681</v>
      </c>
      <c r="V3567" s="948">
        <f>V3551</f>
        <v>2233</v>
      </c>
      <c r="W3567" s="946" t="s">
        <v>615</v>
      </c>
      <c r="X3567" s="948">
        <f>V3567*S3567</f>
        <v>7279.58</v>
      </c>
    </row>
    <row r="3568" spans="6:33" ht="24" customHeight="1">
      <c r="G3568" s="699"/>
      <c r="I3568" s="703"/>
      <c r="J3568" s="699"/>
      <c r="N3568" s="700"/>
      <c r="Q3568" s="702"/>
      <c r="R3568" s="705" t="s">
        <v>1609</v>
      </c>
      <c r="S3568" s="948">
        <f>V3566</f>
        <v>3.26</v>
      </c>
      <c r="T3568" s="946" t="s">
        <v>615</v>
      </c>
      <c r="U3568" s="948" t="s">
        <v>3682</v>
      </c>
      <c r="V3568" s="948">
        <f t="shared" ref="V3568:V3576" si="345">V3552</f>
        <v>299.25</v>
      </c>
      <c r="W3568" s="946" t="s">
        <v>615</v>
      </c>
      <c r="X3568" s="948">
        <f t="shared" ref="X3568:X3575" si="346">V3568*S3568</f>
        <v>975.56</v>
      </c>
    </row>
    <row r="3569" spans="1:39" ht="35.1" customHeight="1">
      <c r="G3569" s="699"/>
      <c r="H3569" s="1089" t="s">
        <v>3777</v>
      </c>
      <c r="I3569" s="703"/>
      <c r="J3569" s="699"/>
      <c r="N3569" s="700"/>
      <c r="O3569" s="697" t="s">
        <v>1776</v>
      </c>
      <c r="Q3569" s="702"/>
      <c r="R3569" s="709">
        <f>SUM(R3557:R3567)</f>
        <v>3105.82</v>
      </c>
      <c r="S3569" s="948">
        <v>4</v>
      </c>
      <c r="T3569" s="946" t="s">
        <v>778</v>
      </c>
      <c r="U3569" s="948" t="s">
        <v>3683</v>
      </c>
      <c r="V3569" s="948">
        <f t="shared" si="345"/>
        <v>53.4</v>
      </c>
      <c r="W3569" s="946" t="s">
        <v>778</v>
      </c>
      <c r="X3569" s="948">
        <f t="shared" si="346"/>
        <v>213.6</v>
      </c>
    </row>
    <row r="3570" spans="1:39" ht="35.1" customHeight="1">
      <c r="F3570" s="699">
        <v>70</v>
      </c>
      <c r="G3570" s="700" t="s">
        <v>835</v>
      </c>
      <c r="H3570" s="802" t="s">
        <v>4113</v>
      </c>
      <c r="I3570" s="699">
        <f>P1350</f>
        <v>33</v>
      </c>
      <c r="J3570" s="702" t="s">
        <v>2390</v>
      </c>
      <c r="K3570" s="699">
        <f>I3570*F3570</f>
        <v>2310</v>
      </c>
      <c r="N3570" s="700"/>
      <c r="Q3570" s="702"/>
      <c r="R3570" s="705" t="s">
        <v>1609</v>
      </c>
      <c r="S3570" s="948">
        <v>6</v>
      </c>
      <c r="T3570" s="946" t="s">
        <v>778</v>
      </c>
      <c r="U3570" s="948" t="s">
        <v>3684</v>
      </c>
      <c r="V3570" s="948">
        <f t="shared" si="345"/>
        <v>83</v>
      </c>
      <c r="W3570" s="946" t="s">
        <v>778</v>
      </c>
      <c r="X3570" s="948">
        <f t="shared" si="346"/>
        <v>498</v>
      </c>
    </row>
    <row r="3571" spans="1:39" ht="35.1" customHeight="1">
      <c r="F3571" s="699">
        <v>0.3</v>
      </c>
      <c r="G3571" s="700" t="s">
        <v>1361</v>
      </c>
      <c r="H3571" s="802" t="s">
        <v>4114</v>
      </c>
      <c r="I3571" s="699">
        <f>P1352</f>
        <v>17600</v>
      </c>
      <c r="J3571" s="702" t="s">
        <v>3741</v>
      </c>
      <c r="K3571" s="699">
        <f>I3571*F3571</f>
        <v>5280</v>
      </c>
      <c r="S3571" s="948">
        <v>4</v>
      </c>
      <c r="T3571" s="946" t="s">
        <v>778</v>
      </c>
      <c r="U3571" s="948" t="s">
        <v>3685</v>
      </c>
      <c r="V3571" s="948">
        <f t="shared" si="345"/>
        <v>60</v>
      </c>
      <c r="W3571" s="946" t="s">
        <v>778</v>
      </c>
      <c r="X3571" s="948">
        <f t="shared" si="346"/>
        <v>240</v>
      </c>
    </row>
    <row r="3572" spans="1:39" ht="35.1" customHeight="1">
      <c r="H3572" s="699" t="s">
        <v>3758</v>
      </c>
      <c r="K3572" s="699">
        <f>SUM(K3570:K3571)</f>
        <v>7590</v>
      </c>
      <c r="S3572" s="948">
        <v>1</v>
      </c>
      <c r="T3572" s="946" t="s">
        <v>778</v>
      </c>
      <c r="U3572" s="948" t="s">
        <v>2488</v>
      </c>
      <c r="V3572" s="948">
        <f t="shared" si="345"/>
        <v>167.6</v>
      </c>
      <c r="W3572" s="946" t="s">
        <v>778</v>
      </c>
      <c r="X3572" s="948">
        <f t="shared" si="346"/>
        <v>167.6</v>
      </c>
    </row>
    <row r="3573" spans="1:39" ht="35.1" customHeight="1">
      <c r="H3573" s="758" t="s">
        <v>3759</v>
      </c>
      <c r="I3573" s="758"/>
      <c r="J3573" s="759"/>
      <c r="K3573" s="758">
        <f>K3572/10</f>
        <v>759</v>
      </c>
      <c r="S3573" s="948">
        <v>118</v>
      </c>
      <c r="T3573" s="946" t="s">
        <v>778</v>
      </c>
      <c r="U3573" s="948" t="s">
        <v>3686</v>
      </c>
      <c r="V3573" s="948">
        <f t="shared" si="345"/>
        <v>2.39</v>
      </c>
      <c r="W3573" s="946" t="s">
        <v>778</v>
      </c>
      <c r="X3573" s="948">
        <f t="shared" si="346"/>
        <v>282.02</v>
      </c>
    </row>
    <row r="3574" spans="1:39" ht="35.1" customHeight="1">
      <c r="F3574" s="699">
        <v>1</v>
      </c>
      <c r="G3574" s="700" t="s">
        <v>3760</v>
      </c>
      <c r="H3574" s="699" t="s">
        <v>3761</v>
      </c>
      <c r="I3574" s="699">
        <f>K3573</f>
        <v>759</v>
      </c>
      <c r="J3574" s="702" t="s">
        <v>3760</v>
      </c>
      <c r="K3574" s="699">
        <f>I3574*F3574</f>
        <v>759</v>
      </c>
      <c r="S3574" s="948">
        <v>2</v>
      </c>
      <c r="T3574" s="946" t="s">
        <v>778</v>
      </c>
      <c r="U3574" s="948" t="s">
        <v>3687</v>
      </c>
      <c r="V3574" s="948">
        <f t="shared" si="345"/>
        <v>22.9</v>
      </c>
      <c r="W3574" s="946" t="s">
        <v>778</v>
      </c>
      <c r="X3574" s="948">
        <f t="shared" si="346"/>
        <v>45.8</v>
      </c>
    </row>
    <row r="3575" spans="1:39" ht="35.1" customHeight="1">
      <c r="F3575" s="699">
        <v>2</v>
      </c>
      <c r="G3575" s="700" t="s">
        <v>1452</v>
      </c>
      <c r="H3575" s="802" t="s">
        <v>146</v>
      </c>
      <c r="I3575" s="699">
        <f>I2346</f>
        <v>562</v>
      </c>
      <c r="J3575" s="702" t="s">
        <v>1418</v>
      </c>
      <c r="K3575" s="699">
        <f>I3575*F3575</f>
        <v>1124</v>
      </c>
      <c r="S3575" s="948">
        <v>2</v>
      </c>
      <c r="T3575" s="946" t="s">
        <v>778</v>
      </c>
      <c r="U3575" s="948" t="s">
        <v>3688</v>
      </c>
      <c r="V3575" s="948">
        <f t="shared" si="345"/>
        <v>45.9</v>
      </c>
      <c r="W3575" s="946" t="s">
        <v>778</v>
      </c>
      <c r="X3575" s="948">
        <f t="shared" si="346"/>
        <v>91.8</v>
      </c>
    </row>
    <row r="3576" spans="1:39" ht="35.1" customHeight="1">
      <c r="H3576" s="699" t="s">
        <v>3762</v>
      </c>
      <c r="K3576" s="699">
        <v>10.3</v>
      </c>
      <c r="S3576" s="1084">
        <v>0.73</v>
      </c>
      <c r="T3576" s="1085" t="s">
        <v>615</v>
      </c>
      <c r="U3576" s="1083" t="s">
        <v>3810</v>
      </c>
      <c r="V3576" s="948">
        <f t="shared" si="345"/>
        <v>212.24</v>
      </c>
      <c r="W3576" s="1085" t="s">
        <v>615</v>
      </c>
      <c r="X3576" s="1083"/>
    </row>
    <row r="3577" spans="1:39" ht="35.1" customHeight="1">
      <c r="H3577" s="699" t="s">
        <v>3764</v>
      </c>
      <c r="K3577" s="699">
        <f>SUM(K3574:K3576)</f>
        <v>1893.3</v>
      </c>
      <c r="S3577" s="948"/>
      <c r="T3577" s="946"/>
      <c r="U3577" s="948" t="s">
        <v>3803</v>
      </c>
      <c r="V3577" s="948"/>
      <c r="W3577" s="949"/>
      <c r="X3577" s="948">
        <f>SUM(X3567:X3576)</f>
        <v>9793.9599999999991</v>
      </c>
    </row>
    <row r="3578" spans="1:39" s="25" customFormat="1" ht="35.1" customHeight="1">
      <c r="A3578" s="758"/>
      <c r="B3578" s="758"/>
      <c r="C3578" s="758"/>
      <c r="D3578" s="758"/>
      <c r="E3578" s="758"/>
      <c r="F3578" s="758"/>
      <c r="G3578" s="839"/>
      <c r="H3578" s="758" t="s">
        <v>3763</v>
      </c>
      <c r="I3578" s="758"/>
      <c r="J3578" s="759"/>
      <c r="K3578" s="758">
        <f>K3577/6</f>
        <v>315.55</v>
      </c>
      <c r="L3578" s="758"/>
      <c r="M3578" s="758"/>
      <c r="N3578" s="758"/>
      <c r="O3578" s="758"/>
      <c r="P3578" s="758"/>
      <c r="Q3578" s="758"/>
      <c r="R3578" s="758"/>
      <c r="S3578" s="948"/>
      <c r="T3578" s="946"/>
      <c r="U3578" s="948" t="s">
        <v>3282</v>
      </c>
      <c r="V3578" s="948"/>
      <c r="W3578" s="949"/>
      <c r="X3578" s="948">
        <f>X3577/S3568</f>
        <v>3004.28</v>
      </c>
      <c r="Y3578" s="758"/>
      <c r="Z3578" s="758"/>
      <c r="AA3578" s="758"/>
      <c r="AB3578" s="758"/>
      <c r="AC3578" s="758"/>
      <c r="AD3578" s="758"/>
      <c r="AE3578" s="758"/>
      <c r="AF3578" s="758"/>
      <c r="AG3578" s="758"/>
      <c r="AH3578" s="758"/>
      <c r="AI3578" s="758"/>
      <c r="AJ3578" s="758"/>
      <c r="AK3578" s="758"/>
      <c r="AL3578" s="758"/>
      <c r="AM3578" s="758"/>
    </row>
    <row r="3579" spans="1:39" ht="35.1" customHeight="1">
      <c r="H3579" s="758" t="s">
        <v>3765</v>
      </c>
    </row>
    <row r="3580" spans="1:39" ht="35.1" customHeight="1">
      <c r="F3580" s="699">
        <v>49</v>
      </c>
      <c r="G3580" s="700" t="s">
        <v>3500</v>
      </c>
      <c r="H3580" s="699" t="s">
        <v>3766</v>
      </c>
      <c r="I3580" s="699">
        <f>I3570</f>
        <v>33</v>
      </c>
      <c r="J3580" s="702" t="s">
        <v>2390</v>
      </c>
      <c r="K3580" s="699">
        <f>F3580*I3580</f>
        <v>1617</v>
      </c>
      <c r="S3580" s="948"/>
      <c r="T3580" s="946"/>
      <c r="U3580" s="948" t="s">
        <v>4175</v>
      </c>
      <c r="V3580" s="948"/>
      <c r="W3580" s="949"/>
    </row>
    <row r="3581" spans="1:39" ht="35.1" customHeight="1">
      <c r="F3581" s="699">
        <v>0.3</v>
      </c>
      <c r="G3581" s="700" t="s">
        <v>1361</v>
      </c>
      <c r="H3581" s="699" t="s">
        <v>3767</v>
      </c>
      <c r="I3581" s="699">
        <f>I3571</f>
        <v>17600</v>
      </c>
      <c r="J3581" s="702" t="s">
        <v>1361</v>
      </c>
      <c r="K3581" s="699">
        <f>F3581*I3581</f>
        <v>5280</v>
      </c>
      <c r="S3581" s="699"/>
      <c r="T3581" s="700"/>
      <c r="U3581" s="1082" t="s">
        <v>4176</v>
      </c>
      <c r="V3581" s="948">
        <f>1.7*2.325</f>
        <v>3.95</v>
      </c>
      <c r="W3581" s="702"/>
    </row>
    <row r="3582" spans="1:39" ht="35.1" customHeight="1">
      <c r="H3582" s="758" t="s">
        <v>3768</v>
      </c>
      <c r="K3582" s="758">
        <f>SUM(K3580:K3581)</f>
        <v>6897</v>
      </c>
      <c r="S3582" s="948">
        <f>V3581</f>
        <v>3.95</v>
      </c>
      <c r="T3582" s="946" t="s">
        <v>615</v>
      </c>
      <c r="U3582" s="948" t="s">
        <v>3681</v>
      </c>
      <c r="V3582" s="948">
        <f>V3567</f>
        <v>2233</v>
      </c>
      <c r="W3582" s="946" t="s">
        <v>615</v>
      </c>
      <c r="X3582" s="948">
        <f>V3582*S3582</f>
        <v>8820.35</v>
      </c>
    </row>
    <row r="3583" spans="1:39" ht="35.1" customHeight="1">
      <c r="H3583" s="758" t="s">
        <v>3759</v>
      </c>
      <c r="K3583" s="758">
        <f>K3582/10</f>
        <v>689.7</v>
      </c>
      <c r="S3583" s="948">
        <f>S3582</f>
        <v>3.95</v>
      </c>
      <c r="T3583" s="946" t="s">
        <v>615</v>
      </c>
      <c r="U3583" s="948" t="s">
        <v>3682</v>
      </c>
      <c r="V3583" s="948">
        <f t="shared" ref="V3583:V3590" si="347">V3568</f>
        <v>299.25</v>
      </c>
      <c r="W3583" s="946" t="s">
        <v>615</v>
      </c>
      <c r="X3583" s="948">
        <f t="shared" ref="X3583:X3590" si="348">V3583*S3583</f>
        <v>1182.04</v>
      </c>
    </row>
    <row r="3584" spans="1:39" ht="35.1" customHeight="1">
      <c r="F3584" s="699">
        <v>2</v>
      </c>
      <c r="G3584" s="700" t="s">
        <v>258</v>
      </c>
      <c r="H3584" s="699" t="s">
        <v>146</v>
      </c>
      <c r="I3584" s="699">
        <f>I3575</f>
        <v>562</v>
      </c>
      <c r="J3584" s="702" t="s">
        <v>258</v>
      </c>
      <c r="K3584" s="699">
        <f>F3584*I3584</f>
        <v>1124</v>
      </c>
      <c r="S3584" s="948">
        <v>4</v>
      </c>
      <c r="T3584" s="946" t="s">
        <v>778</v>
      </c>
      <c r="U3584" s="948" t="s">
        <v>3683</v>
      </c>
      <c r="V3584" s="948">
        <f t="shared" si="347"/>
        <v>53.4</v>
      </c>
      <c r="W3584" s="946" t="s">
        <v>778</v>
      </c>
      <c r="X3584" s="948">
        <f t="shared" si="348"/>
        <v>213.6</v>
      </c>
    </row>
    <row r="3585" spans="1:39" ht="35.1" customHeight="1">
      <c r="H3585" s="699" t="s">
        <v>3769</v>
      </c>
      <c r="K3585" s="699">
        <v>4.3499999999999996</v>
      </c>
      <c r="S3585" s="948">
        <v>8</v>
      </c>
      <c r="T3585" s="946" t="s">
        <v>778</v>
      </c>
      <c r="U3585" s="948" t="s">
        <v>3684</v>
      </c>
      <c r="V3585" s="948">
        <f t="shared" si="347"/>
        <v>83</v>
      </c>
      <c r="W3585" s="946" t="s">
        <v>778</v>
      </c>
      <c r="X3585" s="948">
        <f t="shared" si="348"/>
        <v>664</v>
      </c>
    </row>
    <row r="3586" spans="1:39" ht="35.1" customHeight="1">
      <c r="H3586" s="699" t="s">
        <v>3770</v>
      </c>
      <c r="K3586" s="699">
        <f>SUM(K3583:K3585)</f>
        <v>1818.05</v>
      </c>
      <c r="S3586" s="948">
        <v>4</v>
      </c>
      <c r="T3586" s="946" t="s">
        <v>778</v>
      </c>
      <c r="U3586" s="948" t="s">
        <v>3685</v>
      </c>
      <c r="V3586" s="948">
        <f t="shared" si="347"/>
        <v>60</v>
      </c>
      <c r="W3586" s="946" t="s">
        <v>778</v>
      </c>
      <c r="X3586" s="948">
        <f t="shared" si="348"/>
        <v>240</v>
      </c>
    </row>
    <row r="3587" spans="1:39" ht="35.1" customHeight="1">
      <c r="H3587" s="758" t="s">
        <v>3771</v>
      </c>
      <c r="I3587" s="758"/>
      <c r="J3587" s="759"/>
      <c r="K3587" s="758">
        <f>K3586/6</f>
        <v>303.01</v>
      </c>
      <c r="S3587" s="948">
        <v>1</v>
      </c>
      <c r="T3587" s="946" t="s">
        <v>778</v>
      </c>
      <c r="U3587" s="948" t="s">
        <v>2488</v>
      </c>
      <c r="V3587" s="948">
        <f t="shared" si="347"/>
        <v>167.6</v>
      </c>
      <c r="W3587" s="946" t="s">
        <v>778</v>
      </c>
      <c r="X3587" s="948">
        <f t="shared" si="348"/>
        <v>167.6</v>
      </c>
    </row>
    <row r="3588" spans="1:39" s="25" customFormat="1" ht="35.1" customHeight="1">
      <c r="A3588" s="758"/>
      <c r="B3588" s="758"/>
      <c r="C3588" s="758"/>
      <c r="D3588" s="758"/>
      <c r="E3588" s="758"/>
      <c r="F3588" s="758"/>
      <c r="G3588" s="839"/>
      <c r="H3588" s="699" t="s">
        <v>3772</v>
      </c>
      <c r="I3588" s="699"/>
      <c r="J3588" s="702"/>
      <c r="K3588" s="699">
        <f>K3578</f>
        <v>315.55</v>
      </c>
      <c r="L3588" s="758"/>
      <c r="M3588" s="758"/>
      <c r="N3588" s="758"/>
      <c r="O3588" s="758"/>
      <c r="P3588" s="758"/>
      <c r="Q3588" s="758"/>
      <c r="R3588" s="758"/>
      <c r="S3588" s="948">
        <v>118</v>
      </c>
      <c r="T3588" s="946" t="s">
        <v>778</v>
      </c>
      <c r="U3588" s="948" t="s">
        <v>3686</v>
      </c>
      <c r="V3588" s="948">
        <f t="shared" si="347"/>
        <v>2.39</v>
      </c>
      <c r="W3588" s="946" t="s">
        <v>778</v>
      </c>
      <c r="X3588" s="948">
        <f t="shared" si="348"/>
        <v>282.02</v>
      </c>
      <c r="Y3588" s="758"/>
      <c r="Z3588" s="758"/>
      <c r="AA3588" s="758"/>
      <c r="AB3588" s="758"/>
      <c r="AC3588" s="758"/>
      <c r="AD3588" s="758"/>
      <c r="AE3588" s="758"/>
      <c r="AF3588" s="758"/>
      <c r="AG3588" s="758"/>
      <c r="AH3588" s="758"/>
      <c r="AI3588" s="758"/>
      <c r="AJ3588" s="758"/>
      <c r="AK3588" s="758"/>
      <c r="AL3588" s="758"/>
      <c r="AM3588" s="758"/>
    </row>
    <row r="3589" spans="1:39" s="25" customFormat="1" ht="35.1" customHeight="1">
      <c r="A3589" s="758"/>
      <c r="B3589" s="758"/>
      <c r="C3589" s="758"/>
      <c r="D3589" s="758"/>
      <c r="E3589" s="758"/>
      <c r="F3589" s="758"/>
      <c r="G3589" s="839"/>
      <c r="H3589" s="699" t="s">
        <v>3773</v>
      </c>
      <c r="I3589" s="699">
        <f>K3588</f>
        <v>315.55</v>
      </c>
      <c r="J3589" s="702">
        <f>K3587</f>
        <v>303.01</v>
      </c>
      <c r="K3589" s="699">
        <f>SUM(I3589:J3589)</f>
        <v>618.55999999999995</v>
      </c>
      <c r="L3589" s="758"/>
      <c r="M3589" s="758"/>
      <c r="N3589" s="758"/>
      <c r="O3589" s="758"/>
      <c r="P3589" s="758"/>
      <c r="Q3589" s="758"/>
      <c r="R3589" s="758"/>
      <c r="S3589" s="948">
        <v>2</v>
      </c>
      <c r="T3589" s="946" t="s">
        <v>778</v>
      </c>
      <c r="U3589" s="948" t="s">
        <v>3687</v>
      </c>
      <c r="V3589" s="948">
        <f t="shared" si="347"/>
        <v>22.9</v>
      </c>
      <c r="W3589" s="946" t="s">
        <v>778</v>
      </c>
      <c r="X3589" s="948">
        <f t="shared" si="348"/>
        <v>45.8</v>
      </c>
      <c r="Y3589" s="758"/>
      <c r="Z3589" s="758"/>
      <c r="AA3589" s="758"/>
      <c r="AB3589" s="758"/>
      <c r="AC3589" s="758"/>
      <c r="AD3589" s="758"/>
      <c r="AE3589" s="758"/>
      <c r="AF3589" s="758"/>
      <c r="AG3589" s="758"/>
      <c r="AH3589" s="758"/>
      <c r="AI3589" s="758"/>
      <c r="AJ3589" s="758"/>
      <c r="AK3589" s="758"/>
      <c r="AL3589" s="758"/>
      <c r="AM3589" s="758"/>
    </row>
    <row r="3590" spans="1:39" s="25" customFormat="1" ht="35.1" customHeight="1">
      <c r="A3590" s="758"/>
      <c r="B3590" s="758"/>
      <c r="C3590" s="758"/>
      <c r="D3590" s="758"/>
      <c r="E3590" s="758"/>
      <c r="F3590" s="758"/>
      <c r="G3590" s="839"/>
      <c r="H3590" s="699" t="s">
        <v>3774</v>
      </c>
      <c r="I3590" s="699">
        <f>K3589</f>
        <v>618.55999999999995</v>
      </c>
      <c r="J3590" s="702">
        <f>J3589</f>
        <v>303.01</v>
      </c>
      <c r="K3590" s="699">
        <f>SUM(I3590:J3590)</f>
        <v>921.57</v>
      </c>
      <c r="L3590" s="758"/>
      <c r="M3590" s="758"/>
      <c r="N3590" s="758"/>
      <c r="O3590" s="758"/>
      <c r="P3590" s="758"/>
      <c r="Q3590" s="758"/>
      <c r="R3590" s="758"/>
      <c r="S3590" s="948">
        <v>2</v>
      </c>
      <c r="T3590" s="946" t="s">
        <v>778</v>
      </c>
      <c r="U3590" s="948" t="s">
        <v>3688</v>
      </c>
      <c r="V3590" s="948">
        <f t="shared" si="347"/>
        <v>45.9</v>
      </c>
      <c r="W3590" s="946" t="s">
        <v>778</v>
      </c>
      <c r="X3590" s="948">
        <f t="shared" si="348"/>
        <v>91.8</v>
      </c>
      <c r="Y3590" s="758"/>
      <c r="Z3590" s="758"/>
      <c r="AA3590" s="758"/>
      <c r="AB3590" s="758"/>
      <c r="AC3590" s="758"/>
      <c r="AD3590" s="758"/>
      <c r="AE3590" s="758"/>
      <c r="AF3590" s="758"/>
      <c r="AG3590" s="758"/>
      <c r="AH3590" s="758"/>
      <c r="AI3590" s="758"/>
      <c r="AJ3590" s="758"/>
      <c r="AK3590" s="758"/>
      <c r="AL3590" s="758"/>
      <c r="AM3590" s="758"/>
    </row>
    <row r="3591" spans="1:39" s="25" customFormat="1" ht="35.1" customHeight="1">
      <c r="A3591" s="758"/>
      <c r="B3591" s="758"/>
      <c r="C3591" s="758"/>
      <c r="D3591" s="758"/>
      <c r="E3591" s="758"/>
      <c r="F3591" s="758"/>
      <c r="G3591" s="839"/>
      <c r="H3591" s="699" t="s">
        <v>3775</v>
      </c>
      <c r="I3591" s="699">
        <f>K3590</f>
        <v>921.57</v>
      </c>
      <c r="J3591" s="702">
        <f>J3590</f>
        <v>303.01</v>
      </c>
      <c r="K3591" s="699">
        <f>SUM(I3591:J3591)</f>
        <v>1224.58</v>
      </c>
      <c r="L3591" s="758"/>
      <c r="M3591" s="758"/>
      <c r="N3591" s="758"/>
      <c r="O3591" s="758"/>
      <c r="P3591" s="758"/>
      <c r="Q3591" s="758"/>
      <c r="R3591" s="758"/>
      <c r="S3591" s="952"/>
      <c r="T3591" s="946"/>
      <c r="U3591" s="948"/>
      <c r="V3591" s="948"/>
      <c r="W3591" s="946" t="s">
        <v>615</v>
      </c>
      <c r="X3591" s="948">
        <f>V3591*S3591</f>
        <v>0</v>
      </c>
      <c r="Y3591" s="758"/>
      <c r="Z3591" s="758"/>
      <c r="AA3591" s="758"/>
      <c r="AB3591" s="758"/>
      <c r="AC3591" s="758"/>
      <c r="AD3591" s="758"/>
      <c r="AE3591" s="758"/>
      <c r="AF3591" s="758"/>
      <c r="AG3591" s="758"/>
      <c r="AH3591" s="758"/>
      <c r="AI3591" s="758"/>
      <c r="AJ3591" s="758"/>
      <c r="AK3591" s="758"/>
      <c r="AL3591" s="758"/>
      <c r="AM3591" s="758"/>
    </row>
    <row r="3592" spans="1:39" s="25" customFormat="1" ht="35.1" customHeight="1">
      <c r="A3592" s="758"/>
      <c r="B3592" s="758"/>
      <c r="C3592" s="758"/>
      <c r="D3592" s="758"/>
      <c r="E3592" s="758"/>
      <c r="F3592" s="758"/>
      <c r="G3592" s="839"/>
      <c r="H3592" s="699" t="s">
        <v>3776</v>
      </c>
      <c r="I3592" s="699">
        <f>K3591</f>
        <v>1224.58</v>
      </c>
      <c r="J3592" s="702">
        <f>J3591</f>
        <v>303.01</v>
      </c>
      <c r="K3592" s="699">
        <f>SUM(I3592:J3592)</f>
        <v>1527.59</v>
      </c>
      <c r="L3592" s="758"/>
      <c r="M3592" s="758"/>
      <c r="N3592" s="758"/>
      <c r="O3592" s="758"/>
      <c r="P3592" s="758"/>
      <c r="Q3592" s="758"/>
      <c r="R3592" s="758"/>
      <c r="S3592" s="948"/>
      <c r="T3592" s="946"/>
      <c r="U3592" s="948" t="s">
        <v>4177</v>
      </c>
      <c r="V3592" s="948"/>
      <c r="W3592" s="949"/>
      <c r="X3592" s="948">
        <f>SUM(X3582:X3591)</f>
        <v>11707.21</v>
      </c>
      <c r="Y3592" s="758"/>
      <c r="Z3592" s="758"/>
      <c r="AA3592" s="758"/>
      <c r="AB3592" s="758"/>
      <c r="AC3592" s="758"/>
      <c r="AD3592" s="758"/>
      <c r="AE3592" s="758"/>
      <c r="AF3592" s="758"/>
      <c r="AG3592" s="758"/>
      <c r="AH3592" s="758"/>
      <c r="AI3592" s="758"/>
      <c r="AJ3592" s="758"/>
      <c r="AK3592" s="758"/>
      <c r="AL3592" s="758"/>
      <c r="AM3592" s="758"/>
    </row>
    <row r="3593" spans="1:39" ht="24" customHeight="1">
      <c r="S3593" s="948"/>
      <c r="T3593" s="946"/>
      <c r="U3593" s="948" t="s">
        <v>3282</v>
      </c>
      <c r="V3593" s="948"/>
      <c r="W3593" s="949"/>
      <c r="X3593" s="948">
        <f>X3592/S3583</f>
        <v>2963.85</v>
      </c>
    </row>
    <row r="3594" spans="1:39" ht="24" customHeight="1">
      <c r="F3594" s="698"/>
      <c r="G3594" s="708" t="s">
        <v>2276</v>
      </c>
      <c r="H3594" s="701" t="s">
        <v>3859</v>
      </c>
      <c r="L3594" s="702"/>
      <c r="S3594" s="699"/>
      <c r="T3594" s="700"/>
      <c r="U3594" s="948"/>
      <c r="W3594" s="702"/>
      <c r="X3594" s="948"/>
    </row>
    <row r="3595" spans="1:39" ht="24" customHeight="1">
      <c r="H3595" s="701" t="s">
        <v>3860</v>
      </c>
      <c r="L3595" s="697"/>
    </row>
    <row r="3596" spans="1:39" ht="24" customHeight="1">
      <c r="H3596" s="705" t="s">
        <v>1609</v>
      </c>
      <c r="L3596" s="697"/>
    </row>
    <row r="3597" spans="1:39" ht="24" customHeight="1">
      <c r="F3597" s="830">
        <v>7.0699999999999999E-2</v>
      </c>
      <c r="G3597" s="708" t="s">
        <v>1361</v>
      </c>
      <c r="H3597" s="697" t="s">
        <v>1362</v>
      </c>
      <c r="I3597" s="710">
        <f>I2811</f>
        <v>99400</v>
      </c>
      <c r="J3597" s="697" t="s">
        <v>878</v>
      </c>
      <c r="K3597" s="710">
        <f t="shared" ref="K3597:K3605" si="349">(F3597*I3597)</f>
        <v>7027.58</v>
      </c>
      <c r="L3597" s="697"/>
      <c r="S3597" s="948"/>
      <c r="T3597" s="946"/>
      <c r="U3597" s="948" t="s">
        <v>4178</v>
      </c>
      <c r="V3597" s="948"/>
      <c r="W3597" s="949"/>
    </row>
    <row r="3598" spans="1:39" ht="24" customHeight="1">
      <c r="F3598" s="830">
        <v>5.16</v>
      </c>
      <c r="G3598" s="708" t="s">
        <v>615</v>
      </c>
      <c r="H3598" s="697" t="s">
        <v>3861</v>
      </c>
      <c r="I3598" s="718">
        <f>AE54</f>
        <v>1400.7</v>
      </c>
      <c r="J3598" s="697" t="s">
        <v>878</v>
      </c>
      <c r="K3598" s="710">
        <f t="shared" si="349"/>
        <v>7227.61</v>
      </c>
      <c r="L3598" s="697"/>
      <c r="S3598" s="699"/>
      <c r="T3598" s="700"/>
      <c r="U3598" s="1082" t="s">
        <v>4179</v>
      </c>
      <c r="V3598" s="948">
        <f>1.7*2.025</f>
        <v>3.44</v>
      </c>
      <c r="W3598" s="702"/>
    </row>
    <row r="3599" spans="1:39" ht="24" customHeight="1">
      <c r="F3599" s="830">
        <v>3.6659999999999999</v>
      </c>
      <c r="G3599" s="708" t="s">
        <v>615</v>
      </c>
      <c r="H3599" s="697" t="s">
        <v>3862</v>
      </c>
      <c r="I3599" s="710">
        <f>P1392</f>
        <v>303.89999999999998</v>
      </c>
      <c r="J3599" s="697" t="s">
        <v>615</v>
      </c>
      <c r="K3599" s="710">
        <f t="shared" si="349"/>
        <v>1114.0999999999999</v>
      </c>
      <c r="L3599" s="697"/>
      <c r="S3599" s="948">
        <f>V3598</f>
        <v>3.44</v>
      </c>
      <c r="T3599" s="946" t="s">
        <v>615</v>
      </c>
      <c r="U3599" s="948" t="s">
        <v>3681</v>
      </c>
      <c r="V3599" s="948">
        <f>V3582</f>
        <v>2233</v>
      </c>
      <c r="W3599" s="946" t="s">
        <v>615</v>
      </c>
      <c r="X3599" s="948">
        <f>V3599*S3599</f>
        <v>7681.52</v>
      </c>
    </row>
    <row r="3600" spans="1:39" ht="24" customHeight="1">
      <c r="F3600" s="710">
        <v>22.66</v>
      </c>
      <c r="G3600" s="708" t="s">
        <v>835</v>
      </c>
      <c r="H3600" s="697" t="s">
        <v>3863</v>
      </c>
      <c r="I3600" s="718">
        <v>15.3</v>
      </c>
      <c r="J3600" s="708" t="s">
        <v>835</v>
      </c>
      <c r="K3600" s="710">
        <f t="shared" si="349"/>
        <v>346.7</v>
      </c>
      <c r="L3600" s="697"/>
      <c r="S3600" s="948">
        <f>S3599</f>
        <v>3.44</v>
      </c>
      <c r="T3600" s="946" t="s">
        <v>615</v>
      </c>
      <c r="U3600" s="948" t="s">
        <v>3682</v>
      </c>
      <c r="V3600" s="948">
        <f t="shared" ref="V3600:V3607" si="350">V3583</f>
        <v>299.25</v>
      </c>
      <c r="W3600" s="946" t="s">
        <v>615</v>
      </c>
      <c r="X3600" s="948">
        <f t="shared" ref="X3600:X3607" si="351">V3600*S3600</f>
        <v>1029.42</v>
      </c>
    </row>
    <row r="3601" spans="6:24" ht="24" customHeight="1">
      <c r="F3601" s="710">
        <v>15</v>
      </c>
      <c r="G3601" s="708" t="s">
        <v>877</v>
      </c>
      <c r="H3601" s="697" t="s">
        <v>1539</v>
      </c>
      <c r="I3601" s="718">
        <v>83</v>
      </c>
      <c r="J3601" s="697" t="s">
        <v>877</v>
      </c>
      <c r="K3601" s="710">
        <f>(F3600*I3601)</f>
        <v>1880.78</v>
      </c>
      <c r="L3601" s="697"/>
      <c r="S3601" s="948">
        <v>4</v>
      </c>
      <c r="T3601" s="946" t="s">
        <v>778</v>
      </c>
      <c r="U3601" s="948" t="s">
        <v>3683</v>
      </c>
      <c r="V3601" s="948">
        <f t="shared" si="350"/>
        <v>53.4</v>
      </c>
      <c r="W3601" s="946" t="s">
        <v>778</v>
      </c>
      <c r="X3601" s="948">
        <f t="shared" si="351"/>
        <v>213.6</v>
      </c>
    </row>
    <row r="3602" spans="6:24" ht="24" customHeight="1">
      <c r="F3602" s="710">
        <v>10</v>
      </c>
      <c r="G3602" s="708" t="s">
        <v>877</v>
      </c>
      <c r="H3602" s="697" t="s">
        <v>3864</v>
      </c>
      <c r="I3602" s="718">
        <v>76.2</v>
      </c>
      <c r="J3602" s="697" t="s">
        <v>877</v>
      </c>
      <c r="K3602" s="710">
        <f>(F3601*I3602)</f>
        <v>1143</v>
      </c>
      <c r="L3602" s="697"/>
      <c r="S3602" s="948">
        <v>6</v>
      </c>
      <c r="T3602" s="946" t="s">
        <v>778</v>
      </c>
      <c r="U3602" s="948" t="s">
        <v>3684</v>
      </c>
      <c r="V3602" s="948">
        <f t="shared" si="350"/>
        <v>83</v>
      </c>
      <c r="W3602" s="946" t="s">
        <v>778</v>
      </c>
      <c r="X3602" s="948">
        <f t="shared" si="351"/>
        <v>498</v>
      </c>
    </row>
    <row r="3603" spans="6:24" ht="24" customHeight="1">
      <c r="F3603" s="710">
        <v>5</v>
      </c>
      <c r="G3603" s="708" t="s">
        <v>877</v>
      </c>
      <c r="H3603" s="697" t="s">
        <v>3865</v>
      </c>
      <c r="I3603" s="718">
        <v>53.4</v>
      </c>
      <c r="J3603" s="697" t="s">
        <v>877</v>
      </c>
      <c r="K3603" s="710">
        <f>(F3604*I3603)</f>
        <v>267</v>
      </c>
      <c r="L3603" s="702"/>
      <c r="S3603" s="948">
        <v>4</v>
      </c>
      <c r="T3603" s="946" t="s">
        <v>778</v>
      </c>
      <c r="U3603" s="948" t="s">
        <v>3685</v>
      </c>
      <c r="V3603" s="948">
        <f t="shared" si="350"/>
        <v>60</v>
      </c>
      <c r="W3603" s="946" t="s">
        <v>778</v>
      </c>
      <c r="X3603" s="948">
        <f t="shared" si="351"/>
        <v>240</v>
      </c>
    </row>
    <row r="3604" spans="6:24" ht="24" customHeight="1">
      <c r="F3604" s="710">
        <v>5</v>
      </c>
      <c r="G3604" s="708" t="s">
        <v>877</v>
      </c>
      <c r="H3604" s="697" t="s">
        <v>2135</v>
      </c>
      <c r="I3604" s="737">
        <v>7.3</v>
      </c>
      <c r="J3604" s="697" t="s">
        <v>877</v>
      </c>
      <c r="K3604" s="710">
        <f>(F3602*I3604)</f>
        <v>73</v>
      </c>
      <c r="L3604" s="702"/>
      <c r="S3604" s="948">
        <v>1</v>
      </c>
      <c r="T3604" s="946" t="s">
        <v>778</v>
      </c>
      <c r="U3604" s="948" t="s">
        <v>2488</v>
      </c>
      <c r="V3604" s="948">
        <f t="shared" si="350"/>
        <v>167.6</v>
      </c>
      <c r="W3604" s="946" t="s">
        <v>778</v>
      </c>
      <c r="X3604" s="948">
        <f t="shared" si="351"/>
        <v>167.6</v>
      </c>
    </row>
    <row r="3605" spans="6:24" ht="24" customHeight="1">
      <c r="F3605" s="710">
        <v>10</v>
      </c>
      <c r="H3605" s="697" t="s">
        <v>1159</v>
      </c>
      <c r="I3605" s="710">
        <f>I3427</f>
        <v>2.39</v>
      </c>
      <c r="J3605" s="697" t="s">
        <v>877</v>
      </c>
      <c r="K3605" s="710">
        <f t="shared" si="349"/>
        <v>23.9</v>
      </c>
      <c r="L3605" s="702"/>
      <c r="S3605" s="948">
        <v>118</v>
      </c>
      <c r="T3605" s="946" t="s">
        <v>778</v>
      </c>
      <c r="U3605" s="948" t="s">
        <v>3686</v>
      </c>
      <c r="V3605" s="948">
        <f t="shared" si="350"/>
        <v>2.39</v>
      </c>
      <c r="W3605" s="946" t="s">
        <v>778</v>
      </c>
      <c r="X3605" s="948">
        <f t="shared" si="351"/>
        <v>282.02</v>
      </c>
    </row>
    <row r="3606" spans="6:24" ht="24" customHeight="1">
      <c r="K3606" s="705" t="s">
        <v>1609</v>
      </c>
      <c r="L3606" s="702"/>
      <c r="S3606" s="948">
        <v>2</v>
      </c>
      <c r="T3606" s="946" t="s">
        <v>778</v>
      </c>
      <c r="U3606" s="948" t="s">
        <v>3687</v>
      </c>
      <c r="V3606" s="948">
        <f t="shared" si="350"/>
        <v>22.9</v>
      </c>
      <c r="W3606" s="946" t="s">
        <v>778</v>
      </c>
      <c r="X3606" s="948">
        <f t="shared" si="351"/>
        <v>45.8</v>
      </c>
    </row>
    <row r="3607" spans="6:24" ht="24" customHeight="1">
      <c r="H3607" s="698" t="s">
        <v>3866</v>
      </c>
      <c r="K3607" s="710">
        <f>SUM(K3593:K3605)</f>
        <v>19103.669999999998</v>
      </c>
      <c r="L3607" s="702"/>
      <c r="S3607" s="948">
        <v>2</v>
      </c>
      <c r="T3607" s="946" t="s">
        <v>778</v>
      </c>
      <c r="U3607" s="948" t="s">
        <v>3688</v>
      </c>
      <c r="V3607" s="948">
        <f t="shared" si="350"/>
        <v>45.9</v>
      </c>
      <c r="W3607" s="946" t="s">
        <v>778</v>
      </c>
      <c r="X3607" s="948">
        <f t="shared" si="351"/>
        <v>91.8</v>
      </c>
    </row>
    <row r="3608" spans="6:24" ht="24" customHeight="1">
      <c r="K3608" s="705" t="s">
        <v>1609</v>
      </c>
      <c r="L3608" s="702"/>
      <c r="S3608" s="952"/>
      <c r="T3608" s="946"/>
      <c r="U3608" s="948"/>
      <c r="V3608" s="948"/>
      <c r="W3608" s="946" t="s">
        <v>615</v>
      </c>
      <c r="X3608" s="948">
        <f>V3608*S3608</f>
        <v>0</v>
      </c>
    </row>
    <row r="3609" spans="6:24" ht="24" customHeight="1">
      <c r="H3609" s="711" t="s">
        <v>556</v>
      </c>
      <c r="I3609" s="697" t="s">
        <v>987</v>
      </c>
      <c r="K3609" s="709">
        <f>K3607/F3598</f>
        <v>3702.26</v>
      </c>
      <c r="S3609" s="948"/>
      <c r="T3609" s="946"/>
      <c r="U3609" s="948" t="s">
        <v>4180</v>
      </c>
      <c r="V3609" s="948"/>
      <c r="W3609" s="949"/>
      <c r="X3609" s="948">
        <f>SUM(X3599:X3608)</f>
        <v>10249.76</v>
      </c>
    </row>
    <row r="3610" spans="6:24" ht="24" customHeight="1">
      <c r="K3610" s="705" t="s">
        <v>2080</v>
      </c>
      <c r="S3610" s="948"/>
      <c r="T3610" s="946"/>
      <c r="U3610" s="948" t="s">
        <v>3282</v>
      </c>
      <c r="V3610" s="948"/>
      <c r="W3610" s="949"/>
      <c r="X3610" s="948">
        <f>X3609/S3600</f>
        <v>2979.58</v>
      </c>
    </row>
    <row r="3611" spans="6:24" ht="24" customHeight="1">
      <c r="F3611" s="698" t="s">
        <v>1640</v>
      </c>
      <c r="G3611" s="708" t="s">
        <v>2276</v>
      </c>
      <c r="H3611" s="697" t="s">
        <v>3880</v>
      </c>
      <c r="S3611" s="699"/>
    </row>
    <row r="3612" spans="6:24" ht="24" customHeight="1">
      <c r="H3612" s="697" t="s">
        <v>3881</v>
      </c>
      <c r="S3612" s="948"/>
      <c r="T3612" s="946"/>
      <c r="U3612" s="948" t="s">
        <v>4803</v>
      </c>
      <c r="V3612" s="948"/>
      <c r="W3612" s="949"/>
    </row>
    <row r="3613" spans="6:24" ht="18.75" customHeight="1">
      <c r="H3613" s="705" t="s">
        <v>1609</v>
      </c>
      <c r="S3613" s="699"/>
      <c r="T3613" s="700"/>
      <c r="U3613" s="1082" t="s">
        <v>4804</v>
      </c>
      <c r="W3613" s="702">
        <f>1.1*2.025</f>
        <v>2.23</v>
      </c>
    </row>
    <row r="3614" spans="6:24" ht="18.75" customHeight="1">
      <c r="H3614" s="697" t="s">
        <v>3882</v>
      </c>
      <c r="I3614" s="785" t="s">
        <v>2080</v>
      </c>
      <c r="J3614" s="997">
        <f>0.65*0.65</f>
        <v>0.42249999999999999</v>
      </c>
      <c r="K3614" s="699" t="s">
        <v>2308</v>
      </c>
      <c r="S3614" s="948">
        <f>W3613</f>
        <v>2.23</v>
      </c>
      <c r="T3614" s="946" t="s">
        <v>615</v>
      </c>
      <c r="U3614" s="948" t="s">
        <v>3681</v>
      </c>
      <c r="V3614" s="948">
        <f>AE3551</f>
        <v>2233</v>
      </c>
      <c r="W3614" s="946" t="s">
        <v>615</v>
      </c>
      <c r="X3614" s="948">
        <f>V3614*S3614</f>
        <v>4979.59</v>
      </c>
    </row>
    <row r="3615" spans="6:24" ht="18.75" customHeight="1">
      <c r="H3615" s="697"/>
      <c r="I3615" s="785"/>
      <c r="J3615" s="848"/>
      <c r="S3615" s="948">
        <f>S3614</f>
        <v>2.23</v>
      </c>
      <c r="T3615" s="946" t="s">
        <v>615</v>
      </c>
      <c r="U3615" s="948" t="s">
        <v>3682</v>
      </c>
      <c r="V3615" s="948">
        <f>V3600</f>
        <v>299.25</v>
      </c>
      <c r="W3615" s="946" t="s">
        <v>615</v>
      </c>
      <c r="X3615" s="948">
        <f t="shared" ref="X3615:X3622" si="352">V3615*S3615</f>
        <v>667.33</v>
      </c>
    </row>
    <row r="3616" spans="6:24" ht="18.75" customHeight="1">
      <c r="H3616" s="697" t="s">
        <v>5283</v>
      </c>
      <c r="I3616" s="785" t="s">
        <v>2080</v>
      </c>
      <c r="J3616" s="997">
        <v>5.1999999999999998E-2</v>
      </c>
      <c r="K3616" s="699" t="s">
        <v>2176</v>
      </c>
      <c r="S3616" s="948">
        <v>4</v>
      </c>
      <c r="T3616" s="946" t="s">
        <v>778</v>
      </c>
      <c r="U3616" s="948" t="s">
        <v>3683</v>
      </c>
      <c r="V3616" s="948">
        <f t="shared" ref="V3616:V3622" si="353">AE3553</f>
        <v>53.4</v>
      </c>
      <c r="W3616" s="946" t="s">
        <v>778</v>
      </c>
      <c r="X3616" s="948">
        <f t="shared" si="352"/>
        <v>213.6</v>
      </c>
    </row>
    <row r="3617" spans="6:24" ht="18.75" customHeight="1">
      <c r="H3617" s="697" t="s">
        <v>3316</v>
      </c>
      <c r="J3617" s="785"/>
      <c r="S3617" s="948">
        <v>6</v>
      </c>
      <c r="T3617" s="946" t="s">
        <v>778</v>
      </c>
      <c r="U3617" s="948" t="s">
        <v>3684</v>
      </c>
      <c r="V3617" s="948">
        <f t="shared" si="353"/>
        <v>83</v>
      </c>
      <c r="W3617" s="946" t="s">
        <v>778</v>
      </c>
      <c r="X3617" s="948">
        <f t="shared" si="352"/>
        <v>498</v>
      </c>
    </row>
    <row r="3618" spans="6:24" ht="18.75" customHeight="1">
      <c r="H3618" s="697" t="s">
        <v>3883</v>
      </c>
      <c r="I3618" s="785" t="s">
        <v>2080</v>
      </c>
      <c r="J3618" s="1063">
        <v>1.772E-2</v>
      </c>
      <c r="S3618" s="948">
        <v>4</v>
      </c>
      <c r="T3618" s="946" t="s">
        <v>778</v>
      </c>
      <c r="U3618" s="948" t="s">
        <v>3685</v>
      </c>
      <c r="V3618" s="948">
        <f t="shared" si="353"/>
        <v>60</v>
      </c>
      <c r="W3618" s="946" t="s">
        <v>778</v>
      </c>
      <c r="X3618" s="948">
        <f t="shared" si="352"/>
        <v>240</v>
      </c>
    </row>
    <row r="3619" spans="6:24" ht="18.75" customHeight="1">
      <c r="H3619" s="705"/>
      <c r="S3619" s="948">
        <v>1</v>
      </c>
      <c r="T3619" s="946" t="s">
        <v>778</v>
      </c>
      <c r="U3619" s="948" t="s">
        <v>2488</v>
      </c>
      <c r="V3619" s="948">
        <f t="shared" si="353"/>
        <v>167.6</v>
      </c>
      <c r="W3619" s="946" t="s">
        <v>778</v>
      </c>
      <c r="X3619" s="948">
        <f t="shared" si="352"/>
        <v>167.6</v>
      </c>
    </row>
    <row r="3620" spans="6:24" ht="24" customHeight="1">
      <c r="F3620" s="830">
        <v>5.3E-3</v>
      </c>
      <c r="G3620" s="708" t="s">
        <v>1361</v>
      </c>
      <c r="H3620" s="697" t="s">
        <v>1362</v>
      </c>
      <c r="I3620" s="710">
        <f>I3597</f>
        <v>99400</v>
      </c>
      <c r="J3620" s="697" t="s">
        <v>878</v>
      </c>
      <c r="K3620" s="710">
        <f t="shared" ref="K3620:K3626" si="354">(F3620*I3620)</f>
        <v>526.82000000000005</v>
      </c>
      <c r="S3620" s="948">
        <v>118</v>
      </c>
      <c r="T3620" s="946" t="s">
        <v>778</v>
      </c>
      <c r="U3620" s="948" t="s">
        <v>3686</v>
      </c>
      <c r="V3620" s="948">
        <f t="shared" si="353"/>
        <v>2.39</v>
      </c>
      <c r="W3620" s="946" t="s">
        <v>778</v>
      </c>
      <c r="X3620" s="948">
        <f t="shared" si="352"/>
        <v>282.02</v>
      </c>
    </row>
    <row r="3621" spans="6:24" ht="24" customHeight="1">
      <c r="F3621" s="830">
        <v>0.27450000000000002</v>
      </c>
      <c r="G3621" s="708" t="s">
        <v>615</v>
      </c>
      <c r="H3621" s="697" t="str">
        <f>H3599</f>
        <v>4 mm thicj frosted glass</v>
      </c>
      <c r="I3621" s="710">
        <f>I3599</f>
        <v>303.89999999999998</v>
      </c>
      <c r="J3621" s="697" t="s">
        <v>878</v>
      </c>
      <c r="K3621" s="710">
        <f t="shared" si="354"/>
        <v>83.42</v>
      </c>
      <c r="S3621" s="948">
        <v>2</v>
      </c>
      <c r="T3621" s="946" t="s">
        <v>778</v>
      </c>
      <c r="U3621" s="948" t="s">
        <v>3687</v>
      </c>
      <c r="V3621" s="948">
        <f t="shared" si="353"/>
        <v>22.9</v>
      </c>
      <c r="W3621" s="946" t="s">
        <v>778</v>
      </c>
      <c r="X3621" s="948">
        <f t="shared" si="352"/>
        <v>45.8</v>
      </c>
    </row>
    <row r="3622" spans="6:24" ht="24" customHeight="1">
      <c r="F3622" s="830">
        <v>0.4</v>
      </c>
      <c r="G3622" s="708" t="s">
        <v>615</v>
      </c>
      <c r="H3622" s="697" t="s">
        <v>2118</v>
      </c>
      <c r="I3622" s="710">
        <f>AE32</f>
        <v>1035</v>
      </c>
      <c r="J3622" s="697" t="s">
        <v>615</v>
      </c>
      <c r="K3622" s="710">
        <f t="shared" si="354"/>
        <v>414</v>
      </c>
      <c r="S3622" s="948">
        <v>2</v>
      </c>
      <c r="T3622" s="946" t="s">
        <v>778</v>
      </c>
      <c r="U3622" s="948" t="s">
        <v>3688</v>
      </c>
      <c r="V3622" s="948">
        <f t="shared" si="353"/>
        <v>45.9</v>
      </c>
      <c r="W3622" s="946" t="s">
        <v>778</v>
      </c>
      <c r="X3622" s="948">
        <f t="shared" si="352"/>
        <v>91.8</v>
      </c>
    </row>
    <row r="3623" spans="6:24" ht="24" customHeight="1">
      <c r="F3623" s="710">
        <v>2</v>
      </c>
      <c r="G3623" s="708" t="s">
        <v>2020</v>
      </c>
      <c r="H3623" s="697" t="s">
        <v>2021</v>
      </c>
      <c r="I3623" s="737">
        <v>148</v>
      </c>
      <c r="J3623" s="697" t="s">
        <v>2020</v>
      </c>
      <c r="K3623" s="710">
        <f t="shared" si="354"/>
        <v>296</v>
      </c>
      <c r="S3623" s="952"/>
      <c r="T3623" s="946" t="s">
        <v>615</v>
      </c>
      <c r="U3623" s="948"/>
      <c r="W3623" s="946" t="s">
        <v>615</v>
      </c>
      <c r="X3623" s="948">
        <f>V3622*S3623</f>
        <v>0</v>
      </c>
    </row>
    <row r="3624" spans="6:24" ht="24" customHeight="1">
      <c r="F3624" s="710">
        <v>1</v>
      </c>
      <c r="G3624" s="708" t="s">
        <v>877</v>
      </c>
      <c r="H3624" s="697" t="s">
        <v>2022</v>
      </c>
      <c r="I3624" s="710">
        <f>C2805</f>
        <v>0</v>
      </c>
      <c r="J3624" s="697" t="s">
        <v>877</v>
      </c>
      <c r="K3624" s="710">
        <f t="shared" si="354"/>
        <v>0</v>
      </c>
      <c r="S3624" s="948"/>
      <c r="T3624" s="946"/>
      <c r="U3624" s="948" t="s">
        <v>3690</v>
      </c>
      <c r="V3624" s="948"/>
      <c r="W3624" s="949"/>
      <c r="X3624" s="948">
        <f>SUM(X3614:X3623)</f>
        <v>7185.74</v>
      </c>
    </row>
    <row r="3625" spans="6:24" ht="24" customHeight="1">
      <c r="F3625" s="710">
        <v>1</v>
      </c>
      <c r="G3625" s="708" t="s">
        <v>877</v>
      </c>
      <c r="H3625" s="697" t="s">
        <v>2023</v>
      </c>
      <c r="I3625" s="710">
        <f>C2803</f>
        <v>0</v>
      </c>
      <c r="J3625" s="697" t="s">
        <v>877</v>
      </c>
      <c r="K3625" s="710">
        <f t="shared" si="354"/>
        <v>0</v>
      </c>
      <c r="S3625" s="948"/>
      <c r="T3625" s="946"/>
      <c r="U3625" s="948" t="s">
        <v>3282</v>
      </c>
      <c r="V3625" s="948"/>
      <c r="W3625" s="949"/>
      <c r="X3625" s="948">
        <f>X3624/S3615</f>
        <v>3222.3</v>
      </c>
    </row>
    <row r="3626" spans="6:24" ht="24" customHeight="1">
      <c r="F3626" s="710">
        <v>10</v>
      </c>
      <c r="H3626" s="697" t="s">
        <v>1159</v>
      </c>
      <c r="I3626" s="710">
        <f>I3605</f>
        <v>2.39</v>
      </c>
      <c r="J3626" s="697" t="s">
        <v>877</v>
      </c>
      <c r="K3626" s="710">
        <f t="shared" si="354"/>
        <v>23.9</v>
      </c>
    </row>
    <row r="3627" spans="6:24" ht="24" customHeight="1">
      <c r="K3627" s="705" t="s">
        <v>1609</v>
      </c>
      <c r="S3627" s="699"/>
      <c r="U3627" s="701" t="s">
        <v>1766</v>
      </c>
    </row>
    <row r="3628" spans="6:24" ht="24" customHeight="1">
      <c r="H3628" s="698" t="s">
        <v>36</v>
      </c>
      <c r="K3628" s="710">
        <f>SUM(K3610:K3626)</f>
        <v>1344.14</v>
      </c>
      <c r="S3628" s="699"/>
      <c r="U3628" s="984" t="s">
        <v>3970</v>
      </c>
    </row>
    <row r="3629" spans="6:24" ht="24" customHeight="1">
      <c r="K3629" s="705" t="s">
        <v>1609</v>
      </c>
      <c r="S3629" s="699"/>
    </row>
    <row r="3630" spans="6:24" ht="24" customHeight="1">
      <c r="H3630" s="711" t="s">
        <v>556</v>
      </c>
      <c r="I3630" s="697" t="s">
        <v>987</v>
      </c>
      <c r="K3630" s="709">
        <f>K3628/F3622</f>
        <v>3360.35</v>
      </c>
      <c r="S3630" s="699"/>
    </row>
    <row r="3631" spans="6:24" ht="24" customHeight="1">
      <c r="F3631" s="697" t="s">
        <v>987</v>
      </c>
      <c r="S3631" s="796">
        <v>2.2800000000000001E-2</v>
      </c>
      <c r="T3631" s="700" t="s">
        <v>878</v>
      </c>
      <c r="U3631" s="699" t="s">
        <v>3181</v>
      </c>
      <c r="V3631" s="699">
        <f>V3609</f>
        <v>0</v>
      </c>
      <c r="W3631" s="702" t="s">
        <v>878</v>
      </c>
      <c r="X3631" s="699">
        <f>V3631*S3631</f>
        <v>0</v>
      </c>
    </row>
    <row r="3632" spans="6:24" ht="24" customHeight="1">
      <c r="K3632" s="705" t="s">
        <v>2080</v>
      </c>
      <c r="S3632" s="796">
        <v>3.5400000000000001E-2</v>
      </c>
      <c r="T3632" s="700" t="s">
        <v>878</v>
      </c>
      <c r="U3632" s="699" t="s">
        <v>2522</v>
      </c>
      <c r="V3632" s="699">
        <f>V3610</f>
        <v>0</v>
      </c>
      <c r="W3632" s="702" t="s">
        <v>878</v>
      </c>
      <c r="X3632" s="699">
        <f t="shared" ref="X3632:X3641" si="355">V3632*S3632</f>
        <v>0</v>
      </c>
    </row>
    <row r="3633" spans="6:25" ht="24" customHeight="1">
      <c r="F3633" s="699">
        <v>45</v>
      </c>
      <c r="H3633" s="1861" t="s">
        <v>4045</v>
      </c>
      <c r="I3633" s="1861"/>
      <c r="J3633" s="1861"/>
      <c r="S3633" s="838">
        <v>3.2300000000000002E-2</v>
      </c>
      <c r="T3633" s="700" t="s">
        <v>878</v>
      </c>
      <c r="U3633" s="699" t="s">
        <v>947</v>
      </c>
      <c r="V3633" s="699">
        <f>V3611</f>
        <v>0</v>
      </c>
      <c r="W3633" s="702" t="s">
        <v>878</v>
      </c>
      <c r="X3633" s="699">
        <f t="shared" si="355"/>
        <v>0</v>
      </c>
    </row>
    <row r="3634" spans="6:25" ht="24" customHeight="1">
      <c r="H3634" s="1861"/>
      <c r="I3634" s="1861"/>
      <c r="J3634" s="1861"/>
      <c r="S3634" s="703">
        <v>2.835</v>
      </c>
      <c r="T3634" s="700" t="s">
        <v>615</v>
      </c>
      <c r="U3634" s="699" t="s">
        <v>892</v>
      </c>
      <c r="V3634" s="699">
        <v>698</v>
      </c>
      <c r="W3634" s="702" t="s">
        <v>615</v>
      </c>
      <c r="X3634" s="699">
        <f t="shared" si="355"/>
        <v>1978.83</v>
      </c>
    </row>
    <row r="3635" spans="6:25" ht="24" customHeight="1">
      <c r="S3635" s="699">
        <v>2</v>
      </c>
      <c r="T3635" s="700" t="s">
        <v>1898</v>
      </c>
      <c r="U3635" s="699" t="s">
        <v>3785</v>
      </c>
      <c r="V3635" s="998">
        <v>450</v>
      </c>
      <c r="W3635" s="702" t="s">
        <v>1418</v>
      </c>
      <c r="X3635" s="699">
        <f t="shared" si="355"/>
        <v>900</v>
      </c>
    </row>
    <row r="3636" spans="6:25" ht="33" customHeight="1">
      <c r="F3636" s="710">
        <v>0.15</v>
      </c>
      <c r="G3636" s="700" t="s">
        <v>878</v>
      </c>
      <c r="H3636" s="933" t="s">
        <v>5122</v>
      </c>
      <c r="I3636" s="744">
        <f>90.2/0.0354</f>
        <v>2548.02</v>
      </c>
      <c r="J3636" s="702" t="s">
        <v>878</v>
      </c>
      <c r="K3636" s="699">
        <f t="shared" ref="K3636:K3641" si="356">I3636*F3636</f>
        <v>382.2</v>
      </c>
      <c r="S3636" s="699">
        <v>6</v>
      </c>
      <c r="T3636" s="700" t="s">
        <v>1898</v>
      </c>
      <c r="U3636" s="699" t="s">
        <v>3786</v>
      </c>
      <c r="V3636" s="998">
        <v>79</v>
      </c>
      <c r="W3636" s="702" t="s">
        <v>1418</v>
      </c>
      <c r="X3636" s="699">
        <f t="shared" si="355"/>
        <v>474</v>
      </c>
    </row>
    <row r="3637" spans="6:25" ht="24" customHeight="1">
      <c r="F3637" s="776">
        <v>7.1999999999999995E-2</v>
      </c>
      <c r="G3637" s="700" t="s">
        <v>870</v>
      </c>
      <c r="H3637" s="699" t="s">
        <v>871</v>
      </c>
      <c r="I3637" s="699">
        <f>I1642</f>
        <v>5960</v>
      </c>
      <c r="J3637" s="702" t="s">
        <v>870</v>
      </c>
      <c r="K3637" s="699">
        <f t="shared" si="356"/>
        <v>429.12</v>
      </c>
      <c r="S3637" s="699">
        <v>4</v>
      </c>
      <c r="T3637" s="700" t="s">
        <v>1898</v>
      </c>
      <c r="U3637" s="699" t="s">
        <v>3787</v>
      </c>
      <c r="V3637" s="998">
        <v>130</v>
      </c>
      <c r="W3637" s="702" t="s">
        <v>1418</v>
      </c>
      <c r="X3637" s="699">
        <f t="shared" si="355"/>
        <v>520</v>
      </c>
    </row>
    <row r="3638" spans="6:25" ht="24" customHeight="1">
      <c r="F3638" s="710">
        <v>1.6</v>
      </c>
      <c r="G3638" s="700" t="s">
        <v>778</v>
      </c>
      <c r="H3638" s="699" t="s">
        <v>2034</v>
      </c>
      <c r="I3638" s="699">
        <f>I1643</f>
        <v>861</v>
      </c>
      <c r="J3638" s="702" t="s">
        <v>778</v>
      </c>
      <c r="K3638" s="699">
        <f t="shared" si="356"/>
        <v>1377.6</v>
      </c>
      <c r="S3638" s="699">
        <v>1</v>
      </c>
      <c r="T3638" s="700" t="s">
        <v>1898</v>
      </c>
      <c r="U3638" s="699" t="s">
        <v>3788</v>
      </c>
      <c r="V3638" s="998">
        <v>985</v>
      </c>
      <c r="W3638" s="702" t="s">
        <v>1418</v>
      </c>
      <c r="X3638" s="699">
        <f t="shared" si="355"/>
        <v>985</v>
      </c>
    </row>
    <row r="3639" spans="6:25" ht="24" customHeight="1">
      <c r="F3639" s="710">
        <v>0.5</v>
      </c>
      <c r="G3639" s="700" t="s">
        <v>778</v>
      </c>
      <c r="H3639" s="699" t="s">
        <v>1927</v>
      </c>
      <c r="I3639" s="699">
        <f>I1644</f>
        <v>562</v>
      </c>
      <c r="J3639" s="702" t="s">
        <v>778</v>
      </c>
      <c r="K3639" s="699">
        <f t="shared" si="356"/>
        <v>281</v>
      </c>
      <c r="S3639" s="699">
        <v>2</v>
      </c>
      <c r="T3639" s="700" t="s">
        <v>1898</v>
      </c>
      <c r="U3639" s="699" t="s">
        <v>3780</v>
      </c>
      <c r="V3639" s="998">
        <v>24.2</v>
      </c>
      <c r="W3639" s="702" t="s">
        <v>1418</v>
      </c>
      <c r="X3639" s="699">
        <f t="shared" si="355"/>
        <v>48.4</v>
      </c>
    </row>
    <row r="3640" spans="6:25" ht="24" customHeight="1">
      <c r="F3640" s="710">
        <v>1.1000000000000001</v>
      </c>
      <c r="G3640" s="700" t="s">
        <v>778</v>
      </c>
      <c r="H3640" s="699" t="s">
        <v>321</v>
      </c>
      <c r="I3640" s="699">
        <f>I1645</f>
        <v>461</v>
      </c>
      <c r="J3640" s="702" t="s">
        <v>778</v>
      </c>
      <c r="K3640" s="699">
        <f t="shared" si="356"/>
        <v>507.1</v>
      </c>
      <c r="S3640" s="699">
        <v>2</v>
      </c>
      <c r="T3640" s="700" t="s">
        <v>1898</v>
      </c>
      <c r="U3640" s="699" t="s">
        <v>2007</v>
      </c>
      <c r="V3640" s="699">
        <v>48.9</v>
      </c>
      <c r="W3640" s="702" t="s">
        <v>1418</v>
      </c>
      <c r="X3640" s="699">
        <f t="shared" si="355"/>
        <v>97.8</v>
      </c>
    </row>
    <row r="3641" spans="6:25" ht="24" customHeight="1">
      <c r="F3641" s="710">
        <v>14.5</v>
      </c>
      <c r="G3641" s="700" t="s">
        <v>359</v>
      </c>
      <c r="H3641" s="699" t="s">
        <v>4046</v>
      </c>
      <c r="I3641" s="699">
        <f>I3744</f>
        <v>24.7</v>
      </c>
      <c r="J3641" s="702" t="s">
        <v>359</v>
      </c>
      <c r="K3641" s="699">
        <f t="shared" si="356"/>
        <v>358.15</v>
      </c>
      <c r="S3641" s="699">
        <v>118</v>
      </c>
      <c r="T3641" s="839"/>
      <c r="U3641" s="699" t="s">
        <v>1159</v>
      </c>
      <c r="V3641" s="699">
        <v>2.4</v>
      </c>
      <c r="W3641" s="702"/>
      <c r="X3641" s="699">
        <f t="shared" si="355"/>
        <v>283.2</v>
      </c>
    </row>
    <row r="3642" spans="6:25" ht="24" customHeight="1">
      <c r="G3642" s="700" t="s">
        <v>663</v>
      </c>
      <c r="H3642" s="699" t="s">
        <v>451</v>
      </c>
      <c r="J3642" s="702" t="s">
        <v>663</v>
      </c>
      <c r="K3642" s="699">
        <v>7</v>
      </c>
      <c r="S3642" s="699"/>
      <c r="W3642" s="702"/>
      <c r="X3642" s="758">
        <f>SUM(X3631:X3641)</f>
        <v>5287.23</v>
      </c>
    </row>
    <row r="3643" spans="6:25" ht="24" customHeight="1">
      <c r="S3643" s="699"/>
      <c r="T3643" s="839"/>
      <c r="U3643" s="758"/>
      <c r="W3643" s="702"/>
      <c r="X3643" s="747" t="s">
        <v>148</v>
      </c>
    </row>
    <row r="3644" spans="6:25" ht="24" customHeight="1">
      <c r="H3644" s="699" t="s">
        <v>442</v>
      </c>
      <c r="K3644" s="699">
        <f>SUM(K3636:K3643)</f>
        <v>3342.17</v>
      </c>
      <c r="S3644" s="699"/>
      <c r="T3644" s="839"/>
      <c r="U3644" s="758" t="s">
        <v>2108</v>
      </c>
      <c r="W3644" s="702"/>
      <c r="X3644" s="758">
        <f>X3642/2.835</f>
        <v>1864.98</v>
      </c>
    </row>
    <row r="3645" spans="6:25" ht="24" customHeight="1">
      <c r="H3645" s="699" t="s">
        <v>556</v>
      </c>
      <c r="K3645" s="699">
        <f>K3644/10</f>
        <v>334.22</v>
      </c>
      <c r="S3645" s="699"/>
      <c r="T3645" s="839"/>
      <c r="W3645" s="702"/>
      <c r="X3645" s="747" t="s">
        <v>148</v>
      </c>
    </row>
    <row r="3646" spans="6:25" ht="24" customHeight="1">
      <c r="S3646" s="699"/>
    </row>
    <row r="3647" spans="6:25" ht="24" customHeight="1">
      <c r="K3647" s="699" t="s">
        <v>2080</v>
      </c>
      <c r="S3647" s="1090" t="s">
        <v>4215</v>
      </c>
      <c r="T3647" s="1090"/>
      <c r="U3647" s="1090"/>
      <c r="V3647" s="1090"/>
      <c r="W3647" s="1091"/>
      <c r="X3647" s="1091"/>
      <c r="Y3647" s="882"/>
    </row>
    <row r="3648" spans="6:25" ht="24" customHeight="1">
      <c r="S3648" s="884"/>
      <c r="T3648" s="885"/>
      <c r="U3648" s="886"/>
      <c r="V3648" s="887"/>
      <c r="W3648" s="885"/>
      <c r="X3648" s="887"/>
      <c r="Y3648" s="882"/>
    </row>
    <row r="3649" spans="6:25" ht="24" customHeight="1">
      <c r="G3649" s="699"/>
      <c r="H3649" s="711" t="s">
        <v>3872</v>
      </c>
      <c r="J3649" s="699"/>
      <c r="S3649" s="884"/>
      <c r="T3649" s="885"/>
      <c r="U3649" s="888"/>
      <c r="V3649" s="1092"/>
      <c r="W3649" s="885"/>
      <c r="X3649" s="887"/>
      <c r="Y3649" s="882"/>
    </row>
    <row r="3650" spans="6:25" ht="24" customHeight="1">
      <c r="G3650" s="699"/>
      <c r="H3650" s="705" t="s">
        <v>1609</v>
      </c>
      <c r="J3650" s="699"/>
      <c r="S3650" s="884">
        <v>28.49</v>
      </c>
      <c r="T3650" s="885" t="s">
        <v>922</v>
      </c>
      <c r="U3650" s="1093" t="s">
        <v>4217</v>
      </c>
      <c r="V3650" s="1094">
        <f>I3778</f>
        <v>301</v>
      </c>
      <c r="W3650" s="885" t="s">
        <v>922</v>
      </c>
      <c r="X3650" s="887">
        <f>V3650*S3650</f>
        <v>8575.49</v>
      </c>
      <c r="Y3650" s="882"/>
    </row>
    <row r="3651" spans="6:25" ht="24" customHeight="1">
      <c r="G3651" s="697" t="s">
        <v>2276</v>
      </c>
      <c r="H3651" s="701" t="s">
        <v>3873</v>
      </c>
      <c r="J3651" s="699"/>
      <c r="S3651" s="1095">
        <v>3.82</v>
      </c>
      <c r="T3651" s="885" t="s">
        <v>835</v>
      </c>
      <c r="U3651" s="888" t="s">
        <v>4448</v>
      </c>
      <c r="V3651" s="1094">
        <v>37.9</v>
      </c>
      <c r="W3651" s="885" t="s">
        <v>835</v>
      </c>
      <c r="X3651" s="887">
        <v>501.66</v>
      </c>
      <c r="Y3651" s="882"/>
    </row>
    <row r="3652" spans="6:25" ht="24" customHeight="1">
      <c r="G3652" s="699"/>
      <c r="H3652" s="701" t="s">
        <v>3874</v>
      </c>
      <c r="J3652" s="699"/>
      <c r="S3652" s="884">
        <v>1.52</v>
      </c>
      <c r="T3652" s="885" t="s">
        <v>236</v>
      </c>
      <c r="U3652" s="888" t="s">
        <v>4126</v>
      </c>
      <c r="V3652" s="1094">
        <v>359</v>
      </c>
      <c r="W3652" s="885" t="s">
        <v>236</v>
      </c>
      <c r="X3652" s="887">
        <f t="shared" ref="X3652:X3661" si="357">V3652*S3652</f>
        <v>545.67999999999995</v>
      </c>
      <c r="Y3652" s="882"/>
    </row>
    <row r="3653" spans="6:25" ht="24" customHeight="1">
      <c r="G3653" s="699"/>
      <c r="H3653" s="701" t="s">
        <v>155</v>
      </c>
      <c r="J3653" s="699"/>
      <c r="S3653" s="884">
        <v>1.52</v>
      </c>
      <c r="T3653" s="885" t="s">
        <v>236</v>
      </c>
      <c r="U3653" s="888" t="s">
        <v>4127</v>
      </c>
      <c r="V3653" s="1092">
        <v>695</v>
      </c>
      <c r="W3653" s="885" t="s">
        <v>778</v>
      </c>
      <c r="X3653" s="887">
        <f t="shared" si="357"/>
        <v>1056.4000000000001</v>
      </c>
      <c r="Y3653" s="882"/>
    </row>
    <row r="3654" spans="6:25" ht="24" customHeight="1">
      <c r="G3654" s="699"/>
      <c r="H3654" s="705" t="s">
        <v>1609</v>
      </c>
      <c r="J3654" s="699"/>
      <c r="S3654" s="884">
        <v>3</v>
      </c>
      <c r="T3654" s="885" t="s">
        <v>225</v>
      </c>
      <c r="U3654" s="888" t="s">
        <v>4218</v>
      </c>
      <c r="V3654" s="1094">
        <v>11.8</v>
      </c>
      <c r="W3654" s="885" t="s">
        <v>225</v>
      </c>
      <c r="X3654" s="887">
        <f t="shared" si="357"/>
        <v>35.4</v>
      </c>
      <c r="Y3654" s="882"/>
    </row>
    <row r="3655" spans="6:25" ht="24" customHeight="1">
      <c r="G3655" s="697" t="s">
        <v>156</v>
      </c>
      <c r="H3655" s="1096" t="s">
        <v>3875</v>
      </c>
      <c r="J3655" s="699"/>
      <c r="S3655" s="884">
        <v>4.2</v>
      </c>
      <c r="T3655" s="885" t="s">
        <v>1418</v>
      </c>
      <c r="U3655" s="888" t="s">
        <v>5153</v>
      </c>
      <c r="V3655" s="1094">
        <v>7.6</v>
      </c>
      <c r="W3655" s="885" t="s">
        <v>778</v>
      </c>
      <c r="X3655" s="887">
        <f t="shared" si="357"/>
        <v>31.92</v>
      </c>
      <c r="Y3655" s="882"/>
    </row>
    <row r="3656" spans="6:25" ht="24" customHeight="1">
      <c r="G3656" s="699"/>
      <c r="H3656" s="705" t="s">
        <v>1609</v>
      </c>
      <c r="J3656" s="699"/>
      <c r="S3656" s="884">
        <v>3.15</v>
      </c>
      <c r="T3656" s="885" t="s">
        <v>2308</v>
      </c>
      <c r="U3656" s="888" t="s">
        <v>3977</v>
      </c>
      <c r="V3656" s="882">
        <f>X3672</f>
        <v>1724</v>
      </c>
      <c r="W3656" s="885" t="s">
        <v>2308</v>
      </c>
      <c r="X3656" s="887">
        <f t="shared" si="357"/>
        <v>5430.6</v>
      </c>
      <c r="Y3656" s="882"/>
    </row>
    <row r="3657" spans="6:25" ht="24" customHeight="1">
      <c r="F3657" s="710">
        <v>18.899999999999999</v>
      </c>
      <c r="G3657" s="697" t="s">
        <v>878</v>
      </c>
      <c r="H3657" s="697" t="s">
        <v>623</v>
      </c>
      <c r="I3657" s="710">
        <f>P428</f>
        <v>193.2</v>
      </c>
      <c r="J3657" s="697" t="s">
        <v>878</v>
      </c>
      <c r="K3657" s="710">
        <f>(F3657*I3657)</f>
        <v>3651.48</v>
      </c>
      <c r="S3657" s="758">
        <v>1</v>
      </c>
      <c r="T3657" s="839" t="s">
        <v>1898</v>
      </c>
      <c r="U3657" s="758" t="s">
        <v>5154</v>
      </c>
      <c r="V3657" s="1074">
        <v>45.9</v>
      </c>
      <c r="W3657" s="759" t="s">
        <v>1418</v>
      </c>
      <c r="X3657" s="758">
        <f t="shared" si="357"/>
        <v>45.9</v>
      </c>
      <c r="Y3657" s="882"/>
    </row>
    <row r="3658" spans="6:25" ht="24" customHeight="1">
      <c r="F3658" s="710">
        <v>18.63</v>
      </c>
      <c r="G3658" s="697" t="s">
        <v>878</v>
      </c>
      <c r="H3658" s="697" t="s">
        <v>2182</v>
      </c>
      <c r="I3658" s="710">
        <f>P429</f>
        <v>33.6</v>
      </c>
      <c r="J3658" s="697" t="s">
        <v>878</v>
      </c>
      <c r="K3658" s="710">
        <f>(F3658*I3658)</f>
        <v>625.97</v>
      </c>
      <c r="S3658" s="758">
        <v>1</v>
      </c>
      <c r="T3658" s="839" t="s">
        <v>1898</v>
      </c>
      <c r="U3658" s="758" t="s">
        <v>4219</v>
      </c>
      <c r="V3658" s="841">
        <v>934</v>
      </c>
      <c r="W3658" s="759" t="s">
        <v>1418</v>
      </c>
      <c r="X3658" s="758">
        <f t="shared" si="357"/>
        <v>934</v>
      </c>
      <c r="Y3658" s="882"/>
    </row>
    <row r="3659" spans="6:25" ht="45.75" customHeight="1">
      <c r="F3659" s="710">
        <v>30</v>
      </c>
      <c r="G3659" s="697" t="s">
        <v>1796</v>
      </c>
      <c r="H3659" s="760" t="s">
        <v>5123</v>
      </c>
      <c r="I3659" s="709">
        <v>201</v>
      </c>
      <c r="J3659" s="697" t="s">
        <v>1796</v>
      </c>
      <c r="K3659" s="710">
        <f>(F3659*I3659)</f>
        <v>6030</v>
      </c>
      <c r="S3659" s="1097">
        <v>45</v>
      </c>
      <c r="T3659" s="1098" t="s">
        <v>1898</v>
      </c>
      <c r="U3659" s="1097" t="s">
        <v>5155</v>
      </c>
      <c r="V3659" s="958">
        <v>2.19</v>
      </c>
      <c r="W3659" s="1099" t="s">
        <v>1414</v>
      </c>
      <c r="X3659" s="887">
        <f t="shared" si="357"/>
        <v>98.55</v>
      </c>
      <c r="Y3659" s="882"/>
    </row>
    <row r="3660" spans="6:25" ht="24" customHeight="1">
      <c r="G3660" s="699"/>
      <c r="J3660" s="699"/>
      <c r="S3660" s="1097">
        <v>2</v>
      </c>
      <c r="T3660" s="1098" t="s">
        <v>1898</v>
      </c>
      <c r="U3660" s="1097" t="s">
        <v>4208</v>
      </c>
      <c r="V3660" s="1100">
        <v>108.7</v>
      </c>
      <c r="W3660" s="759" t="s">
        <v>1418</v>
      </c>
      <c r="X3660" s="887">
        <f t="shared" si="357"/>
        <v>217.4</v>
      </c>
      <c r="Y3660" s="882"/>
    </row>
    <row r="3661" spans="6:25" ht="24" customHeight="1">
      <c r="F3661" s="710">
        <v>30</v>
      </c>
      <c r="G3661" s="697" t="s">
        <v>1796</v>
      </c>
      <c r="H3661" s="697" t="s">
        <v>2183</v>
      </c>
      <c r="I3661" s="710">
        <v>15.58</v>
      </c>
      <c r="J3661" s="697" t="s">
        <v>1796</v>
      </c>
      <c r="K3661" s="710">
        <f>(F3661*I3661)</f>
        <v>467.4</v>
      </c>
      <c r="S3661" s="1097">
        <v>2</v>
      </c>
      <c r="T3661" s="1098" t="s">
        <v>1898</v>
      </c>
      <c r="U3661" s="1097" t="s">
        <v>4209</v>
      </c>
      <c r="V3661" s="1100">
        <v>54</v>
      </c>
      <c r="W3661" s="759" t="s">
        <v>1418</v>
      </c>
      <c r="X3661" s="887">
        <f t="shared" si="357"/>
        <v>108</v>
      </c>
      <c r="Y3661" s="882"/>
    </row>
    <row r="3662" spans="6:25" ht="24" customHeight="1">
      <c r="G3662" s="699"/>
      <c r="H3662" s="697" t="s">
        <v>2184</v>
      </c>
      <c r="J3662" s="699"/>
      <c r="S3662" s="699"/>
      <c r="X3662" s="703"/>
      <c r="Y3662" s="882"/>
    </row>
    <row r="3663" spans="6:25" ht="24" customHeight="1">
      <c r="G3663" s="699"/>
      <c r="H3663" s="697" t="s">
        <v>2185</v>
      </c>
      <c r="J3663" s="699"/>
      <c r="S3663" s="884"/>
      <c r="T3663" s="885"/>
      <c r="U3663" s="888"/>
      <c r="V3663" s="882"/>
      <c r="W3663" s="889"/>
      <c r="X3663" s="887"/>
      <c r="Y3663" s="882"/>
    </row>
    <row r="3664" spans="6:25" ht="24" customHeight="1">
      <c r="G3664" s="699"/>
      <c r="H3664" s="697" t="s">
        <v>2186</v>
      </c>
      <c r="J3664" s="699"/>
      <c r="S3664" s="884"/>
      <c r="T3664" s="885"/>
      <c r="U3664" s="697" t="s">
        <v>4210</v>
      </c>
      <c r="W3664" s="885"/>
      <c r="X3664" s="887">
        <f>SUM(X3650:X3663)</f>
        <v>17581</v>
      </c>
      <c r="Y3664" s="882"/>
    </row>
    <row r="3665" spans="6:25" ht="24" customHeight="1">
      <c r="G3665" s="699"/>
      <c r="H3665" s="697" t="s">
        <v>4233</v>
      </c>
      <c r="J3665" s="699"/>
      <c r="S3665" s="884"/>
      <c r="T3665" s="885"/>
      <c r="U3665" s="697" t="s">
        <v>556</v>
      </c>
      <c r="W3665" s="1091"/>
      <c r="X3665" s="891">
        <f>X3664/3.15</f>
        <v>5581.27</v>
      </c>
      <c r="Y3665" s="893" t="s">
        <v>1418</v>
      </c>
    </row>
    <row r="3666" spans="6:25" ht="24.75" customHeight="1">
      <c r="G3666" s="699"/>
      <c r="H3666" s="697"/>
      <c r="J3666" s="699"/>
      <c r="S3666" s="882"/>
      <c r="T3666" s="882"/>
      <c r="U3666" s="894"/>
      <c r="V3666" s="882"/>
      <c r="W3666" s="882"/>
      <c r="X3666" s="882"/>
      <c r="Y3666" s="882"/>
    </row>
    <row r="3667" spans="6:25" ht="30" customHeight="1">
      <c r="F3667" s="710">
        <v>5</v>
      </c>
      <c r="G3667" s="697" t="s">
        <v>778</v>
      </c>
      <c r="H3667" s="762" t="s">
        <v>4759</v>
      </c>
      <c r="I3667" s="718">
        <v>35.6</v>
      </c>
      <c r="J3667" s="697" t="s">
        <v>778</v>
      </c>
      <c r="K3667" s="710">
        <f>(F3667*I3667)</f>
        <v>178</v>
      </c>
      <c r="L3667" s="1101">
        <v>35.6</v>
      </c>
      <c r="S3667" s="887">
        <v>1</v>
      </c>
      <c r="T3667" s="885" t="s">
        <v>877</v>
      </c>
      <c r="U3667" s="888" t="s">
        <v>5253</v>
      </c>
      <c r="V3667" s="887">
        <f>AE15</f>
        <v>760</v>
      </c>
      <c r="W3667" s="888" t="s">
        <v>877</v>
      </c>
      <c r="X3667" s="887">
        <f>V3667*S3667</f>
        <v>760</v>
      </c>
      <c r="Y3667" s="882"/>
    </row>
    <row r="3668" spans="6:25" ht="24" customHeight="1">
      <c r="F3668" s="710">
        <v>1</v>
      </c>
      <c r="G3668" s="697" t="s">
        <v>450</v>
      </c>
      <c r="H3668" s="697" t="s">
        <v>1709</v>
      </c>
      <c r="I3668" s="710">
        <v>12.1</v>
      </c>
      <c r="J3668" s="697" t="s">
        <v>450</v>
      </c>
      <c r="K3668" s="710">
        <f>(F3668*I3668)</f>
        <v>12.1</v>
      </c>
      <c r="S3668" s="887">
        <v>1</v>
      </c>
      <c r="T3668" s="885" t="s">
        <v>877</v>
      </c>
      <c r="U3668" s="888" t="s">
        <v>5254</v>
      </c>
      <c r="V3668" s="887">
        <f>AE9</f>
        <v>562</v>
      </c>
      <c r="W3668" s="888" t="s">
        <v>877</v>
      </c>
      <c r="X3668" s="887">
        <f>V3668*S3668</f>
        <v>562</v>
      </c>
      <c r="Y3668" s="882"/>
    </row>
    <row r="3669" spans="6:25" ht="24" customHeight="1">
      <c r="F3669" s="710"/>
      <c r="G3669" s="697" t="s">
        <v>450</v>
      </c>
      <c r="H3669" s="697" t="s">
        <v>451</v>
      </c>
      <c r="J3669" s="697" t="s">
        <v>450</v>
      </c>
      <c r="K3669" s="710">
        <v>17.100000000000001</v>
      </c>
      <c r="S3669" s="887">
        <v>0.5</v>
      </c>
      <c r="T3669" s="885" t="s">
        <v>877</v>
      </c>
      <c r="U3669" s="888" t="s">
        <v>5255</v>
      </c>
      <c r="V3669" s="887">
        <f>AE18</f>
        <v>804</v>
      </c>
      <c r="W3669" s="888" t="s">
        <v>877</v>
      </c>
      <c r="X3669" s="887">
        <f>V3669*S3669</f>
        <v>402</v>
      </c>
      <c r="Y3669" s="882"/>
    </row>
    <row r="3670" spans="6:25" ht="24" customHeight="1">
      <c r="G3670" s="699"/>
      <c r="J3670" s="699"/>
      <c r="S3670" s="882"/>
      <c r="T3670" s="885" t="s">
        <v>450</v>
      </c>
      <c r="U3670" s="888"/>
      <c r="V3670" s="887"/>
      <c r="W3670" s="888" t="s">
        <v>450</v>
      </c>
      <c r="X3670" s="887"/>
      <c r="Y3670" s="882"/>
    </row>
    <row r="3671" spans="6:25" ht="24" customHeight="1">
      <c r="G3671" s="699"/>
      <c r="J3671" s="699"/>
      <c r="K3671" s="705" t="s">
        <v>1609</v>
      </c>
      <c r="S3671" s="882"/>
      <c r="T3671" s="890"/>
      <c r="U3671" s="882"/>
      <c r="V3671" s="882"/>
      <c r="W3671" s="895"/>
      <c r="X3671" s="896" t="s">
        <v>1609</v>
      </c>
      <c r="Y3671" s="882"/>
    </row>
    <row r="3672" spans="6:25" ht="24" customHeight="1">
      <c r="G3672" s="699"/>
      <c r="H3672" s="697" t="s">
        <v>1566</v>
      </c>
      <c r="J3672" s="699"/>
      <c r="K3672" s="710">
        <f>SUM(K3657:K3669)</f>
        <v>10982.05</v>
      </c>
      <c r="S3672" s="882"/>
      <c r="T3672" s="890"/>
      <c r="U3672" s="888" t="s">
        <v>3986</v>
      </c>
      <c r="V3672" s="882"/>
      <c r="W3672" s="895"/>
      <c r="X3672" s="891">
        <f>SUM(X3667:X3671)</f>
        <v>1724</v>
      </c>
      <c r="Y3672" s="882"/>
    </row>
    <row r="3673" spans="6:25" ht="24" customHeight="1">
      <c r="G3673" s="699"/>
      <c r="J3673" s="699"/>
      <c r="K3673" s="705" t="s">
        <v>1609</v>
      </c>
      <c r="S3673" s="882"/>
      <c r="T3673" s="890"/>
      <c r="U3673" s="882"/>
      <c r="V3673" s="882"/>
      <c r="W3673" s="895"/>
      <c r="X3673" s="896" t="s">
        <v>1609</v>
      </c>
      <c r="Y3673" s="882"/>
    </row>
    <row r="3674" spans="6:25" ht="24" customHeight="1">
      <c r="G3674" s="699"/>
      <c r="H3674" s="697" t="s">
        <v>1567</v>
      </c>
      <c r="J3674" s="699"/>
      <c r="K3674" s="709">
        <f>(K3672/30)</f>
        <v>366.07</v>
      </c>
      <c r="S3674" s="699"/>
    </row>
    <row r="3675" spans="6:25" ht="24" customHeight="1">
      <c r="G3675" s="699"/>
      <c r="J3675" s="699"/>
      <c r="K3675" s="705" t="s">
        <v>1609</v>
      </c>
      <c r="S3675" s="699"/>
    </row>
    <row r="3676" spans="6:25" ht="24" customHeight="1">
      <c r="G3676" s="697" t="s">
        <v>1577</v>
      </c>
      <c r="H3676" s="1096" t="s">
        <v>3876</v>
      </c>
      <c r="J3676" s="699"/>
      <c r="S3676" s="1102"/>
      <c r="T3676" s="1102"/>
      <c r="U3676" s="1102"/>
      <c r="V3676" s="1102"/>
      <c r="W3676" s="1102"/>
      <c r="X3676" s="1102"/>
    </row>
    <row r="3677" spans="6:25" ht="24" customHeight="1">
      <c r="G3677" s="699"/>
      <c r="H3677" s="705" t="s">
        <v>1609</v>
      </c>
      <c r="J3677" s="699"/>
      <c r="S3677" s="1864" t="s">
        <v>4216</v>
      </c>
      <c r="T3677" s="1864"/>
      <c r="U3677" s="1864"/>
      <c r="V3677" s="1864"/>
      <c r="W3677" s="1091"/>
      <c r="X3677" s="1091"/>
    </row>
    <row r="3678" spans="6:25" ht="24" customHeight="1">
      <c r="F3678" s="710">
        <f>F3657</f>
        <v>18.899999999999999</v>
      </c>
      <c r="G3678" s="697" t="s">
        <v>878</v>
      </c>
      <c r="H3678" s="697" t="str">
        <f>H3657</f>
        <v>E.W EXCLUDING REFILLING</v>
      </c>
      <c r="I3678" s="710">
        <f>I3657</f>
        <v>193.2</v>
      </c>
      <c r="J3678" s="697" t="s">
        <v>878</v>
      </c>
      <c r="K3678" s="710">
        <f>(F3678*I3678)</f>
        <v>3651.48</v>
      </c>
      <c r="S3678" s="884"/>
      <c r="T3678" s="885"/>
      <c r="U3678" s="886"/>
      <c r="V3678" s="887"/>
      <c r="W3678" s="885"/>
      <c r="X3678" s="887"/>
    </row>
    <row r="3679" spans="6:25" ht="24" customHeight="1">
      <c r="F3679" s="710">
        <v>18.3</v>
      </c>
      <c r="G3679" s="697" t="s">
        <v>878</v>
      </c>
      <c r="H3679" s="697" t="str">
        <f>H3658</f>
        <v>REFILLING CHARGE</v>
      </c>
      <c r="I3679" s="710">
        <f>I3658</f>
        <v>33.6</v>
      </c>
      <c r="J3679" s="697" t="s">
        <v>878</v>
      </c>
      <c r="K3679" s="710">
        <f>(F3679*I3679)</f>
        <v>614.88</v>
      </c>
      <c r="S3679" s="884"/>
      <c r="T3679" s="885"/>
      <c r="U3679" s="888"/>
      <c r="V3679" s="887"/>
      <c r="W3679" s="885"/>
      <c r="X3679" s="887"/>
    </row>
    <row r="3680" spans="6:25" ht="39" customHeight="1">
      <c r="F3680" s="710">
        <f>F3659</f>
        <v>30</v>
      </c>
      <c r="G3680" s="697" t="s">
        <v>1796</v>
      </c>
      <c r="H3680" s="760" t="s">
        <v>5124</v>
      </c>
      <c r="I3680" s="709">
        <v>422</v>
      </c>
      <c r="J3680" s="697" t="s">
        <v>1796</v>
      </c>
      <c r="K3680" s="710">
        <f>(F3680*I3680)</f>
        <v>12660</v>
      </c>
      <c r="S3680" s="884">
        <v>29.06</v>
      </c>
      <c r="T3680" s="885" t="s">
        <v>922</v>
      </c>
      <c r="U3680" s="1093" t="s">
        <v>4217</v>
      </c>
      <c r="V3680" s="887">
        <f>V3650</f>
        <v>301</v>
      </c>
      <c r="W3680" s="885" t="s">
        <v>922</v>
      </c>
      <c r="X3680" s="887">
        <f>V3680*S3680</f>
        <v>8747.06</v>
      </c>
    </row>
    <row r="3681" spans="6:26" ht="24" customHeight="1">
      <c r="F3681" s="710"/>
      <c r="G3681" s="699"/>
      <c r="H3681" s="697"/>
      <c r="I3681" s="710"/>
      <c r="J3681" s="699"/>
      <c r="K3681" s="710"/>
      <c r="S3681" s="1095">
        <v>9.24</v>
      </c>
      <c r="T3681" s="885" t="s">
        <v>835</v>
      </c>
      <c r="U3681" s="888" t="s">
        <v>4128</v>
      </c>
      <c r="V3681" s="887">
        <f t="shared" ref="V3681:V3691" si="358">V3651</f>
        <v>37.9</v>
      </c>
      <c r="W3681" s="885" t="s">
        <v>835</v>
      </c>
      <c r="X3681" s="887">
        <f t="shared" ref="X3681:X3691" si="359">V3681*S3681</f>
        <v>350.2</v>
      </c>
    </row>
    <row r="3682" spans="6:26" ht="24" customHeight="1">
      <c r="F3682" s="710">
        <f>F3661</f>
        <v>30</v>
      </c>
      <c r="G3682" s="699"/>
      <c r="H3682" s="697" t="str">
        <f>H3661</f>
        <v>CONVEYING,LOWERING  ANDLAYING</v>
      </c>
      <c r="I3682" s="710">
        <v>21.97</v>
      </c>
      <c r="J3682" s="697" t="s">
        <v>1796</v>
      </c>
      <c r="K3682" s="710">
        <f>(F3682*I3682)</f>
        <v>659.1</v>
      </c>
      <c r="S3682" s="884">
        <v>1.49</v>
      </c>
      <c r="T3682" s="885" t="s">
        <v>236</v>
      </c>
      <c r="U3682" s="888" t="s">
        <v>4126</v>
      </c>
      <c r="V3682" s="887">
        <f t="shared" si="358"/>
        <v>359</v>
      </c>
      <c r="W3682" s="885" t="s">
        <v>236</v>
      </c>
      <c r="X3682" s="887">
        <f t="shared" si="359"/>
        <v>534.91</v>
      </c>
    </row>
    <row r="3683" spans="6:26" ht="24" customHeight="1">
      <c r="F3683" s="710"/>
      <c r="G3683" s="699"/>
      <c r="H3683" s="697" t="str">
        <f>H3662</f>
        <v>TO PROPER GRADEAND</v>
      </c>
      <c r="I3683" s="710"/>
      <c r="J3683" s="699"/>
      <c r="S3683" s="884">
        <v>0.75</v>
      </c>
      <c r="T3683" s="885" t="s">
        <v>236</v>
      </c>
      <c r="U3683" s="888" t="s">
        <v>4127</v>
      </c>
      <c r="V3683" s="887">
        <f t="shared" si="358"/>
        <v>695</v>
      </c>
      <c r="W3683" s="885" t="s">
        <v>778</v>
      </c>
      <c r="X3683" s="887">
        <f t="shared" si="359"/>
        <v>521.25</v>
      </c>
    </row>
    <row r="3684" spans="6:26" ht="24" customHeight="1">
      <c r="F3684" s="710"/>
      <c r="G3684" s="699"/>
      <c r="H3684" s="697" t="str">
        <f>H3663</f>
        <v>ALIGNMENT,JOINTING</v>
      </c>
      <c r="I3684" s="710"/>
      <c r="J3684" s="699"/>
      <c r="S3684" s="1103">
        <v>2</v>
      </c>
      <c r="T3684" s="885" t="s">
        <v>225</v>
      </c>
      <c r="U3684" s="888" t="s">
        <v>4218</v>
      </c>
      <c r="V3684" s="887">
        <f t="shared" si="358"/>
        <v>11.8</v>
      </c>
      <c r="W3684" s="885" t="s">
        <v>225</v>
      </c>
      <c r="X3684" s="887">
        <f t="shared" si="359"/>
        <v>23.6</v>
      </c>
    </row>
    <row r="3685" spans="6:26" ht="24" customHeight="1">
      <c r="F3685" s="710"/>
      <c r="G3685" s="697"/>
      <c r="H3685" s="697" t="str">
        <f>H3664</f>
        <v>ETC BUT EXCLUDING  COST OF</v>
      </c>
      <c r="I3685" s="710"/>
      <c r="J3685" s="697"/>
      <c r="K3685" s="710"/>
      <c r="S3685" s="884">
        <v>7.08</v>
      </c>
      <c r="T3685" s="885" t="s">
        <v>1418</v>
      </c>
      <c r="U3685" s="888" t="s">
        <v>4204</v>
      </c>
      <c r="V3685" s="887">
        <f t="shared" si="358"/>
        <v>7.6</v>
      </c>
      <c r="W3685" s="885" t="s">
        <v>778</v>
      </c>
      <c r="X3685" s="887">
        <f t="shared" si="359"/>
        <v>53.81</v>
      </c>
    </row>
    <row r="3686" spans="6:26" ht="24" customHeight="1">
      <c r="F3686" s="710"/>
      <c r="G3686" s="697"/>
      <c r="H3686" s="697" t="str">
        <f>H3665</f>
        <v>JOINTING MATERIALS. (TWAD SR 17-18 11-b)</v>
      </c>
      <c r="I3686" s="710"/>
      <c r="J3686" s="697"/>
      <c r="K3686" s="710"/>
      <c r="S3686" s="884">
        <v>2.1</v>
      </c>
      <c r="T3686" s="885" t="s">
        <v>2308</v>
      </c>
      <c r="U3686" s="888" t="s">
        <v>3977</v>
      </c>
      <c r="V3686" s="887">
        <f t="shared" si="358"/>
        <v>1724</v>
      </c>
      <c r="W3686" s="885" t="s">
        <v>2308</v>
      </c>
      <c r="X3686" s="887">
        <f t="shared" si="359"/>
        <v>3620.4</v>
      </c>
    </row>
    <row r="3687" spans="6:26" ht="24" customHeight="1">
      <c r="F3687" s="710"/>
      <c r="G3687" s="697"/>
      <c r="H3687" s="697"/>
      <c r="I3687" s="710"/>
      <c r="J3687" s="697"/>
      <c r="K3687" s="710"/>
      <c r="S3687" s="1104">
        <v>1</v>
      </c>
      <c r="T3687" s="1105" t="s">
        <v>1898</v>
      </c>
      <c r="U3687" s="758" t="s">
        <v>4205</v>
      </c>
      <c r="V3687" s="887">
        <f t="shared" si="358"/>
        <v>45.9</v>
      </c>
      <c r="W3687" s="1106" t="s">
        <v>1418</v>
      </c>
      <c r="X3687" s="887">
        <f t="shared" si="359"/>
        <v>45.9</v>
      </c>
    </row>
    <row r="3688" spans="6:26" ht="24" customHeight="1">
      <c r="F3688" s="710">
        <f>F3667</f>
        <v>5</v>
      </c>
      <c r="G3688" s="697" t="s">
        <v>450</v>
      </c>
      <c r="H3688" s="697" t="str">
        <f>H3667</f>
        <v>CUTTING CHARGES ( P-32/141)</v>
      </c>
      <c r="I3688" s="718">
        <f>I3667</f>
        <v>35.6</v>
      </c>
      <c r="J3688" s="697" t="s">
        <v>778</v>
      </c>
      <c r="K3688" s="710">
        <f>(F3688*I3688)</f>
        <v>178</v>
      </c>
      <c r="S3688" s="1104">
        <v>1</v>
      </c>
      <c r="T3688" s="1105" t="s">
        <v>1898</v>
      </c>
      <c r="U3688" s="758" t="s">
        <v>4219</v>
      </c>
      <c r="V3688" s="887">
        <f t="shared" si="358"/>
        <v>934</v>
      </c>
      <c r="W3688" s="1106" t="s">
        <v>1418</v>
      </c>
      <c r="X3688" s="887">
        <f t="shared" si="359"/>
        <v>934</v>
      </c>
    </row>
    <row r="3689" spans="6:26" ht="24" customHeight="1">
      <c r="F3689" s="710">
        <f>F3668</f>
        <v>1</v>
      </c>
      <c r="G3689" s="699"/>
      <c r="H3689" s="697" t="str">
        <f>H3668</f>
        <v>COST OF JOINTING  MATERIALS</v>
      </c>
      <c r="I3689" s="710">
        <f>I3668</f>
        <v>12.1</v>
      </c>
      <c r="J3689" s="697" t="s">
        <v>450</v>
      </c>
      <c r="K3689" s="710">
        <f>(F3689*I3689)</f>
        <v>12.1</v>
      </c>
      <c r="S3689" s="1097">
        <v>6</v>
      </c>
      <c r="T3689" s="1098" t="s">
        <v>1898</v>
      </c>
      <c r="U3689" s="1097" t="s">
        <v>4213</v>
      </c>
      <c r="V3689" s="887">
        <f t="shared" si="358"/>
        <v>2.19</v>
      </c>
      <c r="W3689" s="1099" t="s">
        <v>1414</v>
      </c>
      <c r="X3689" s="887">
        <f t="shared" si="359"/>
        <v>13.14</v>
      </c>
    </row>
    <row r="3690" spans="6:26" ht="24" customHeight="1">
      <c r="G3690" s="699"/>
      <c r="H3690" s="697" t="str">
        <f>H3669</f>
        <v>SUNDRIES</v>
      </c>
      <c r="J3690" s="697" t="s">
        <v>450</v>
      </c>
      <c r="K3690" s="710">
        <v>24.3</v>
      </c>
      <c r="S3690" s="1097">
        <v>2</v>
      </c>
      <c r="T3690" s="1098" t="s">
        <v>1898</v>
      </c>
      <c r="U3690" s="1097" t="s">
        <v>4220</v>
      </c>
      <c r="V3690" s="887">
        <f t="shared" si="358"/>
        <v>108.7</v>
      </c>
      <c r="W3690" s="1106" t="s">
        <v>1418</v>
      </c>
      <c r="X3690" s="887">
        <f t="shared" si="359"/>
        <v>217.4</v>
      </c>
    </row>
    <row r="3691" spans="6:26" ht="24" customHeight="1">
      <c r="G3691" s="699"/>
      <c r="J3691" s="699"/>
      <c r="K3691" s="710"/>
      <c r="S3691" s="1097">
        <v>2</v>
      </c>
      <c r="T3691" s="1098" t="s">
        <v>1898</v>
      </c>
      <c r="U3691" s="1097" t="s">
        <v>4209</v>
      </c>
      <c r="V3691" s="887">
        <f t="shared" si="358"/>
        <v>54</v>
      </c>
      <c r="W3691" s="1106" t="s">
        <v>1418</v>
      </c>
      <c r="X3691" s="887">
        <f t="shared" si="359"/>
        <v>108</v>
      </c>
    </row>
    <row r="3692" spans="6:26" ht="24" customHeight="1">
      <c r="G3692" s="699"/>
      <c r="H3692" s="697" t="s">
        <v>1566</v>
      </c>
      <c r="J3692" s="699"/>
      <c r="K3692" s="710">
        <f>SUM(K3678:K3691)</f>
        <v>17799.86</v>
      </c>
      <c r="S3692" s="879"/>
      <c r="T3692" s="879"/>
      <c r="U3692" s="697" t="s">
        <v>4221</v>
      </c>
      <c r="W3692" s="885"/>
      <c r="X3692" s="887">
        <f>SUM(X3680:X3691)</f>
        <v>15169.67</v>
      </c>
      <c r="Y3692" s="882"/>
    </row>
    <row r="3693" spans="6:26" ht="24" customHeight="1">
      <c r="G3693" s="699"/>
      <c r="J3693" s="699"/>
      <c r="K3693" s="705" t="s">
        <v>1609</v>
      </c>
      <c r="S3693" s="1102"/>
      <c r="T3693" s="1102"/>
      <c r="U3693" s="697" t="s">
        <v>556</v>
      </c>
      <c r="W3693" s="1091"/>
      <c r="X3693" s="891">
        <f>X3692/2.1</f>
        <v>7223.65</v>
      </c>
      <c r="Y3693" s="893"/>
    </row>
    <row r="3694" spans="6:26" ht="24" customHeight="1">
      <c r="G3694" s="699"/>
      <c r="H3694" s="697" t="s">
        <v>1567</v>
      </c>
      <c r="J3694" s="699"/>
      <c r="K3694" s="709">
        <f>(K3692/30)</f>
        <v>593.33000000000004</v>
      </c>
      <c r="S3694" s="1102"/>
      <c r="T3694" s="1102"/>
      <c r="U3694" s="1102"/>
      <c r="V3694" s="1102"/>
      <c r="W3694" s="1102"/>
      <c r="X3694" s="1102"/>
    </row>
    <row r="3695" spans="6:26" ht="24" customHeight="1">
      <c r="G3695" s="699"/>
      <c r="J3695" s="699"/>
      <c r="S3695" s="699"/>
      <c r="U3695" s="758" t="s">
        <v>4320</v>
      </c>
    </row>
    <row r="3696" spans="6:26" ht="240.75" customHeight="1">
      <c r="S3696" s="1090"/>
      <c r="T3696" s="1090"/>
      <c r="U3696" s="1107" t="s">
        <v>5284</v>
      </c>
      <c r="V3696" s="1107"/>
      <c r="W3696" s="1107"/>
      <c r="X3696" s="1107"/>
      <c r="Y3696" s="1107"/>
      <c r="Z3696" s="1107"/>
    </row>
    <row r="3697" spans="6:26" ht="25.5" customHeight="1">
      <c r="S3697" s="1090"/>
      <c r="T3697" s="1090"/>
      <c r="U3697" s="1107"/>
      <c r="V3697" s="1107"/>
      <c r="W3697" s="1107"/>
      <c r="X3697" s="1107"/>
      <c r="Y3697" s="1107"/>
      <c r="Z3697" s="1107"/>
    </row>
    <row r="3698" spans="6:26" ht="24" customHeight="1">
      <c r="F3698" s="1102"/>
      <c r="G3698" s="1102"/>
      <c r="H3698" s="1102"/>
      <c r="I3698" s="1102"/>
      <c r="J3698" s="1102"/>
      <c r="K3698" s="1102"/>
      <c r="L3698" s="1102"/>
      <c r="M3698" s="1102"/>
      <c r="N3698" s="1102"/>
      <c r="S3698" s="884">
        <v>17.440000000000001</v>
      </c>
      <c r="T3698" s="885" t="s">
        <v>922</v>
      </c>
      <c r="U3698" s="1093" t="s">
        <v>4449</v>
      </c>
      <c r="V3698" s="887">
        <f>V3680</f>
        <v>301</v>
      </c>
      <c r="W3698" s="885" t="s">
        <v>922</v>
      </c>
      <c r="X3698" s="887">
        <f>V3698*S3698</f>
        <v>5249.44</v>
      </c>
      <c r="Y3698" s="882"/>
    </row>
    <row r="3699" spans="6:26" ht="24" customHeight="1">
      <c r="F3699" s="1102"/>
      <c r="G3699" s="1102"/>
      <c r="H3699" s="1108" t="s">
        <v>4132</v>
      </c>
      <c r="I3699" s="1108"/>
      <c r="J3699" s="1108"/>
      <c r="K3699" s="1108"/>
      <c r="L3699" s="1102"/>
      <c r="M3699" s="1102"/>
      <c r="N3699" s="1102"/>
      <c r="S3699" s="1095">
        <v>13.56</v>
      </c>
      <c r="T3699" s="885" t="s">
        <v>835</v>
      </c>
      <c r="U3699" s="888" t="s">
        <v>5156</v>
      </c>
      <c r="V3699" s="1092">
        <v>37.9</v>
      </c>
      <c r="W3699" s="885" t="s">
        <v>835</v>
      </c>
      <c r="X3699" s="887">
        <v>501.66</v>
      </c>
      <c r="Y3699" s="882"/>
    </row>
    <row r="3700" spans="6:26" ht="24" customHeight="1">
      <c r="F3700" s="1102">
        <v>11</v>
      </c>
      <c r="G3700" s="1109" t="s">
        <v>2308</v>
      </c>
      <c r="H3700" s="1102" t="s">
        <v>4133</v>
      </c>
      <c r="I3700" s="1110">
        <v>378</v>
      </c>
      <c r="J3700" s="1109" t="s">
        <v>2308</v>
      </c>
      <c r="K3700" s="1020">
        <f>I3700*F3700</f>
        <v>4158</v>
      </c>
      <c r="L3700" s="1102"/>
      <c r="M3700" s="1102"/>
      <c r="N3700" s="1102"/>
      <c r="S3700" s="884">
        <v>2.62</v>
      </c>
      <c r="T3700" s="885" t="s">
        <v>236</v>
      </c>
      <c r="U3700" s="888" t="s">
        <v>5157</v>
      </c>
      <c r="V3700" s="1092">
        <v>303</v>
      </c>
      <c r="W3700" s="885" t="s">
        <v>236</v>
      </c>
      <c r="X3700" s="887">
        <f>V3700*S3700</f>
        <v>793.86</v>
      </c>
      <c r="Y3700" s="882"/>
    </row>
    <row r="3701" spans="6:26" ht="24" customHeight="1">
      <c r="F3701" s="1102">
        <v>2.2000000000000002</v>
      </c>
      <c r="G3701" s="1102" t="s">
        <v>1418</v>
      </c>
      <c r="H3701" s="1102" t="s">
        <v>4149</v>
      </c>
      <c r="I3701" s="879">
        <f>AE15</f>
        <v>760</v>
      </c>
      <c r="J3701" s="1102" t="s">
        <v>1418</v>
      </c>
      <c r="K3701" s="1020">
        <f>I3701*F3701</f>
        <v>1672</v>
      </c>
      <c r="L3701" s="1102"/>
      <c r="M3701" s="1102"/>
      <c r="N3701" s="1102"/>
      <c r="S3701" s="884">
        <v>8</v>
      </c>
      <c r="T3701" s="885" t="s">
        <v>1452</v>
      </c>
      <c r="U3701" s="888" t="s">
        <v>5158</v>
      </c>
      <c r="V3701" s="1092">
        <v>13.95</v>
      </c>
      <c r="W3701" s="885" t="s">
        <v>1452</v>
      </c>
      <c r="X3701" s="887">
        <f>V3701*S3701</f>
        <v>111.6</v>
      </c>
      <c r="Y3701" s="882"/>
    </row>
    <row r="3702" spans="6:26" ht="24" customHeight="1">
      <c r="F3702" s="1102">
        <v>1.1000000000000001</v>
      </c>
      <c r="G3702" s="1102" t="s">
        <v>1418</v>
      </c>
      <c r="H3702" s="1102" t="s">
        <v>4134</v>
      </c>
      <c r="I3702" s="879">
        <f>AE17</f>
        <v>842</v>
      </c>
      <c r="J3702" s="1102" t="s">
        <v>1418</v>
      </c>
      <c r="K3702" s="1020">
        <f>I3702*F3702</f>
        <v>926.2</v>
      </c>
      <c r="L3702" s="1102"/>
      <c r="M3702" s="1102"/>
      <c r="N3702" s="1102"/>
      <c r="S3702" s="884">
        <v>3</v>
      </c>
      <c r="T3702" s="885" t="s">
        <v>1452</v>
      </c>
      <c r="U3702" s="888" t="s">
        <v>5159</v>
      </c>
      <c r="V3702" s="1092">
        <v>65.900000000000006</v>
      </c>
      <c r="W3702" s="885" t="s">
        <v>225</v>
      </c>
      <c r="X3702" s="887">
        <f>V3702*S3702</f>
        <v>197.7</v>
      </c>
      <c r="Y3702" s="882"/>
    </row>
    <row r="3703" spans="6:26" ht="24" customHeight="1">
      <c r="F3703" s="1102">
        <v>3.2</v>
      </c>
      <c r="G3703" s="1102" t="s">
        <v>1418</v>
      </c>
      <c r="H3703" s="1053" t="s">
        <v>4135</v>
      </c>
      <c r="I3703" s="879">
        <f>AE9</f>
        <v>562</v>
      </c>
      <c r="J3703" s="1102" t="s">
        <v>1418</v>
      </c>
      <c r="K3703" s="1020">
        <f>I3703*F3703</f>
        <v>1798.4</v>
      </c>
      <c r="L3703" s="1102"/>
      <c r="M3703" s="1102"/>
      <c r="N3703" s="1102"/>
      <c r="S3703" s="884">
        <v>4</v>
      </c>
      <c r="T3703" s="885" t="s">
        <v>1452</v>
      </c>
      <c r="U3703" s="888" t="s">
        <v>5160</v>
      </c>
      <c r="V3703" s="1092">
        <v>32.700000000000003</v>
      </c>
      <c r="W3703" s="885" t="s">
        <v>778</v>
      </c>
      <c r="X3703" s="887">
        <f>V3703*S3703</f>
        <v>130.80000000000001</v>
      </c>
      <c r="Y3703" s="882"/>
    </row>
    <row r="3704" spans="6:26" ht="24" customHeight="1">
      <c r="F3704" s="1102"/>
      <c r="G3704" s="1102" t="s">
        <v>4136</v>
      </c>
      <c r="H3704" s="1102" t="s">
        <v>4137</v>
      </c>
      <c r="I3704" s="1102" t="s">
        <v>4136</v>
      </c>
      <c r="J3704" s="1102"/>
      <c r="K3704" s="1102">
        <v>107.11</v>
      </c>
      <c r="L3704" s="1102"/>
      <c r="M3704" s="1102"/>
      <c r="N3704" s="1102"/>
      <c r="S3704" s="884">
        <v>2.4300000000000002</v>
      </c>
      <c r="T3704" s="885" t="s">
        <v>2308</v>
      </c>
      <c r="U3704" s="888" t="s">
        <v>3977</v>
      </c>
      <c r="V3704" s="882">
        <f>X3672</f>
        <v>1724</v>
      </c>
      <c r="W3704" s="885" t="s">
        <v>2308</v>
      </c>
      <c r="X3704" s="887">
        <f>V3704*S3704</f>
        <v>4189.32</v>
      </c>
      <c r="Y3704" s="882"/>
    </row>
    <row r="3705" spans="6:26" ht="24" customHeight="1">
      <c r="F3705" s="1102"/>
      <c r="G3705" s="1102"/>
      <c r="H3705" s="1102" t="s">
        <v>4138</v>
      </c>
      <c r="I3705" s="1102"/>
      <c r="J3705" s="1102"/>
      <c r="K3705" s="1020">
        <f>SUM(K3700:K3704)</f>
        <v>8661.7099999999991</v>
      </c>
      <c r="L3705" s="1102"/>
      <c r="M3705" s="1102"/>
      <c r="N3705" s="1102"/>
      <c r="S3705" s="758"/>
      <c r="T3705" s="839" t="s">
        <v>663</v>
      </c>
      <c r="U3705" s="758" t="s">
        <v>4315</v>
      </c>
      <c r="V3705" s="758"/>
      <c r="W3705" s="759" t="s">
        <v>663</v>
      </c>
      <c r="X3705" s="758">
        <v>130</v>
      </c>
      <c r="Y3705" s="882"/>
    </row>
    <row r="3706" spans="6:26" ht="24" customHeight="1">
      <c r="F3706" s="1102"/>
      <c r="G3706" s="1102"/>
      <c r="H3706" s="1102" t="s">
        <v>4139</v>
      </c>
      <c r="I3706" s="1102"/>
      <c r="J3706" s="1102"/>
      <c r="K3706" s="1111">
        <f>K3705/10</f>
        <v>866.17</v>
      </c>
      <c r="L3706" s="1102"/>
      <c r="M3706" s="1102"/>
      <c r="N3706" s="1102">
        <f>L3706</f>
        <v>0</v>
      </c>
      <c r="S3706" s="758"/>
      <c r="T3706" s="839"/>
      <c r="U3706" s="758"/>
      <c r="V3706" s="758"/>
      <c r="W3706" s="759"/>
      <c r="X3706" s="758">
        <f>SUM(X3698:X3705)</f>
        <v>11304.38</v>
      </c>
      <c r="Y3706" s="882"/>
    </row>
    <row r="3707" spans="6:26" ht="24" customHeight="1">
      <c r="F3707" s="1102"/>
      <c r="G3707" s="1102"/>
      <c r="H3707" s="1102"/>
      <c r="I3707" s="1102"/>
      <c r="J3707" s="1102"/>
      <c r="K3707" s="1102"/>
      <c r="L3707" s="1102"/>
      <c r="M3707" s="1102"/>
      <c r="N3707" s="1102"/>
      <c r="X3707" s="758">
        <f>X3706/S3704</f>
        <v>4652.01</v>
      </c>
      <c r="Y3707" s="882" t="s">
        <v>2308</v>
      </c>
    </row>
    <row r="3708" spans="6:26" ht="52.5" customHeight="1">
      <c r="F3708" s="1112" t="s">
        <v>4150</v>
      </c>
      <c r="G3708" s="1112"/>
      <c r="H3708" s="1112"/>
      <c r="I3708" s="1112"/>
      <c r="J3708" s="1112"/>
      <c r="K3708" s="1112"/>
      <c r="L3708" s="1112"/>
      <c r="M3708" s="1112"/>
      <c r="N3708" s="1102"/>
      <c r="O3708" s="1870" t="s">
        <v>4865</v>
      </c>
      <c r="P3708" s="1870"/>
      <c r="W3708" s="699" t="s">
        <v>4322</v>
      </c>
      <c r="X3708" s="699">
        <v>3584</v>
      </c>
      <c r="Y3708" s="882"/>
    </row>
    <row r="3709" spans="6:26" ht="36.75" customHeight="1">
      <c r="F3709" s="1113"/>
      <c r="G3709" s="1113"/>
      <c r="H3709" s="1114" t="s">
        <v>4140</v>
      </c>
      <c r="I3709" s="1114"/>
      <c r="J3709" s="1114"/>
      <c r="K3709" s="1114"/>
      <c r="L3709" s="1113"/>
      <c r="M3709" s="1115">
        <v>12.72</v>
      </c>
      <c r="N3709" s="1113" t="s">
        <v>1670</v>
      </c>
      <c r="O3709" s="699" t="s">
        <v>4869</v>
      </c>
      <c r="P3709" s="699">
        <f>V3712</f>
        <v>301</v>
      </c>
      <c r="Q3709" s="1113" t="s">
        <v>1670</v>
      </c>
      <c r="R3709" s="1116">
        <f>P3709*M3709</f>
        <v>3828.72</v>
      </c>
      <c r="S3709" s="699"/>
      <c r="U3709" s="758" t="s">
        <v>4321</v>
      </c>
      <c r="Y3709" s="882"/>
    </row>
    <row r="3710" spans="6:26" ht="81" customHeight="1">
      <c r="F3710" s="1117">
        <v>36</v>
      </c>
      <c r="G3710" s="1113" t="s">
        <v>835</v>
      </c>
      <c r="H3710" s="1118" t="s">
        <v>5125</v>
      </c>
      <c r="I3710" s="1119">
        <v>34.6</v>
      </c>
      <c r="J3710" s="1115" t="str">
        <f>G3710</f>
        <v>Rmt</v>
      </c>
      <c r="K3710" s="1117">
        <f>I3710*F3710</f>
        <v>1245.5999999999999</v>
      </c>
      <c r="L3710" s="1113"/>
      <c r="M3710" s="1120">
        <v>9.4</v>
      </c>
      <c r="N3710" s="1121" t="s">
        <v>2308</v>
      </c>
      <c r="O3710" s="1122" t="s">
        <v>4867</v>
      </c>
      <c r="P3710" s="1123">
        <v>807</v>
      </c>
      <c r="Q3710" s="1121" t="s">
        <v>2308</v>
      </c>
      <c r="R3710" s="1116">
        <f t="shared" ref="R3710:R3715" si="360">P3710*M3710</f>
        <v>7585.8</v>
      </c>
      <c r="S3710" s="1090"/>
      <c r="T3710" s="1090"/>
      <c r="U3710" s="1107" t="s">
        <v>5285</v>
      </c>
      <c r="V3710" s="1107"/>
      <c r="W3710" s="1107"/>
      <c r="X3710" s="1107"/>
      <c r="Y3710" s="882"/>
    </row>
    <row r="3711" spans="6:26" ht="36.75" customHeight="1">
      <c r="F3711" s="1117">
        <v>9</v>
      </c>
      <c r="G3711" s="1115" t="s">
        <v>2308</v>
      </c>
      <c r="H3711" s="1124" t="s">
        <v>4141</v>
      </c>
      <c r="I3711" s="1125">
        <v>350</v>
      </c>
      <c r="J3711" s="1115" t="str">
        <f>G3711</f>
        <v>Sqm</v>
      </c>
      <c r="K3711" s="1117">
        <f>I3711*F3711</f>
        <v>3150</v>
      </c>
      <c r="L3711" s="1113"/>
      <c r="M3711" s="1117">
        <v>9.4</v>
      </c>
      <c r="N3711" s="1115" t="s">
        <v>2308</v>
      </c>
      <c r="O3711" s="1124" t="s">
        <v>5148</v>
      </c>
      <c r="P3711" s="1119">
        <v>408</v>
      </c>
      <c r="Q3711" s="1115" t="s">
        <v>2308</v>
      </c>
      <c r="R3711" s="1116">
        <f t="shared" si="360"/>
        <v>3835.2</v>
      </c>
      <c r="S3711" s="1090"/>
      <c r="T3711" s="1090"/>
      <c r="U3711" s="1107"/>
      <c r="V3711" s="1107"/>
      <c r="W3711" s="1107"/>
      <c r="X3711" s="1107"/>
      <c r="Y3711" s="882"/>
    </row>
    <row r="3712" spans="6:26" ht="36.75" customHeight="1">
      <c r="F3712" s="1117">
        <v>9</v>
      </c>
      <c r="G3712" s="1115" t="s">
        <v>2308</v>
      </c>
      <c r="H3712" s="1124" t="s">
        <v>4142</v>
      </c>
      <c r="I3712" s="1125">
        <v>860.8</v>
      </c>
      <c r="J3712" s="1115" t="str">
        <f>G3712</f>
        <v>Sqm</v>
      </c>
      <c r="K3712" s="1117">
        <f>I3712*F3712</f>
        <v>7747.2</v>
      </c>
      <c r="L3712" s="1113"/>
      <c r="M3712" s="1117">
        <v>40</v>
      </c>
      <c r="N3712" s="1115" t="s">
        <v>258</v>
      </c>
      <c r="O3712" s="1124" t="s">
        <v>4866</v>
      </c>
      <c r="P3712" s="1125">
        <v>10</v>
      </c>
      <c r="Q3712" s="1115" t="s">
        <v>258</v>
      </c>
      <c r="R3712" s="1116">
        <f t="shared" si="360"/>
        <v>400</v>
      </c>
      <c r="S3712" s="884">
        <v>14.43</v>
      </c>
      <c r="T3712" s="885" t="s">
        <v>922</v>
      </c>
      <c r="U3712" s="1093" t="s">
        <v>4217</v>
      </c>
      <c r="V3712" s="887">
        <f>V3698</f>
        <v>301</v>
      </c>
      <c r="W3712" s="885" t="s">
        <v>922</v>
      </c>
      <c r="X3712" s="887">
        <f>V3712*S3712</f>
        <v>4343.43</v>
      </c>
      <c r="Y3712" s="882"/>
    </row>
    <row r="3713" spans="6:25" ht="36.75" customHeight="1">
      <c r="F3713" s="1117">
        <v>9</v>
      </c>
      <c r="G3713" s="1115" t="s">
        <v>2308</v>
      </c>
      <c r="H3713" s="1118" t="s">
        <v>5126</v>
      </c>
      <c r="I3713" s="1119">
        <v>642</v>
      </c>
      <c r="J3713" s="1115" t="str">
        <f>G3713</f>
        <v>Sqm</v>
      </c>
      <c r="K3713" s="1117">
        <f>I3713*F3713</f>
        <v>5778</v>
      </c>
      <c r="L3713" s="1113"/>
      <c r="M3713" s="1117">
        <v>2.25</v>
      </c>
      <c r="N3713" s="1115" t="s">
        <v>1670</v>
      </c>
      <c r="O3713" s="1118" t="s">
        <v>5149</v>
      </c>
      <c r="P3713" s="1119">
        <v>197.8</v>
      </c>
      <c r="Q3713" s="1115" t="s">
        <v>1670</v>
      </c>
      <c r="R3713" s="1116">
        <f t="shared" si="360"/>
        <v>445.05</v>
      </c>
      <c r="S3713" s="1095">
        <v>10.433999999999999</v>
      </c>
      <c r="T3713" s="885" t="s">
        <v>835</v>
      </c>
      <c r="U3713" s="888" t="s">
        <v>4128</v>
      </c>
      <c r="V3713" s="887">
        <f t="shared" ref="V3713:V3718" si="361">V3699</f>
        <v>37.9</v>
      </c>
      <c r="W3713" s="885" t="s">
        <v>835</v>
      </c>
      <c r="X3713" s="887">
        <v>501.66</v>
      </c>
      <c r="Y3713" s="882"/>
    </row>
    <row r="3714" spans="6:25" ht="36.75" customHeight="1">
      <c r="F3714" s="1117">
        <v>9</v>
      </c>
      <c r="G3714" s="1115" t="s">
        <v>2308</v>
      </c>
      <c r="H3714" s="1113" t="s">
        <v>4143</v>
      </c>
      <c r="I3714" s="1117">
        <f>K3722</f>
        <v>1552.5</v>
      </c>
      <c r="J3714" s="1115" t="str">
        <f>G3714</f>
        <v>Sqm</v>
      </c>
      <c r="K3714" s="1117">
        <f>I3714*F3714</f>
        <v>13972.5</v>
      </c>
      <c r="L3714" s="1113"/>
      <c r="M3714" s="1126">
        <v>9.4</v>
      </c>
      <c r="N3714" s="1115" t="s">
        <v>2308</v>
      </c>
      <c r="O3714" s="1113" t="s">
        <v>4143</v>
      </c>
      <c r="P3714" s="1117">
        <f>R3722</f>
        <v>2376.5</v>
      </c>
      <c r="Q3714" s="1115" t="s">
        <v>2308</v>
      </c>
      <c r="R3714" s="1116">
        <f t="shared" si="360"/>
        <v>22339.1</v>
      </c>
      <c r="S3714" s="884">
        <v>2.16</v>
      </c>
      <c r="T3714" s="885" t="s">
        <v>236</v>
      </c>
      <c r="U3714" s="888" t="s">
        <v>4316</v>
      </c>
      <c r="V3714" s="887">
        <f t="shared" si="361"/>
        <v>303</v>
      </c>
      <c r="W3714" s="885" t="s">
        <v>236</v>
      </c>
      <c r="X3714" s="887">
        <f>V3714*S3714</f>
        <v>654.48</v>
      </c>
      <c r="Y3714" s="882"/>
    </row>
    <row r="3715" spans="6:25" ht="36.75" customHeight="1">
      <c r="F3715" s="1113"/>
      <c r="G3715" s="1113"/>
      <c r="H3715" s="1113"/>
      <c r="I3715" s="1113"/>
      <c r="J3715" s="1113"/>
      <c r="K3715" s="1117">
        <f>SUM(K3710:K3714)</f>
        <v>31893.3</v>
      </c>
      <c r="L3715" s="1113"/>
      <c r="M3715" s="1126">
        <v>0.25</v>
      </c>
      <c r="N3715" s="1127" t="s">
        <v>1670</v>
      </c>
      <c r="O3715" s="1113" t="s">
        <v>5150</v>
      </c>
      <c r="P3715" s="1128">
        <v>63.4</v>
      </c>
      <c r="Q3715" s="1127" t="s">
        <v>1670</v>
      </c>
      <c r="R3715" s="1116">
        <f t="shared" si="360"/>
        <v>15.85</v>
      </c>
      <c r="S3715" s="884">
        <v>6</v>
      </c>
      <c r="T3715" s="885" t="s">
        <v>1452</v>
      </c>
      <c r="U3715" s="888" t="s">
        <v>4318</v>
      </c>
      <c r="V3715" s="887">
        <f t="shared" si="361"/>
        <v>13.95</v>
      </c>
      <c r="W3715" s="885" t="s">
        <v>1452</v>
      </c>
      <c r="X3715" s="887">
        <f>V3715*S3715</f>
        <v>83.7</v>
      </c>
      <c r="Y3715" s="893"/>
    </row>
    <row r="3716" spans="6:25" ht="36.75" customHeight="1">
      <c r="F3716" s="1113"/>
      <c r="G3716" s="1113"/>
      <c r="H3716" s="1113" t="s">
        <v>4144</v>
      </c>
      <c r="I3716" s="1113"/>
      <c r="J3716" s="1115"/>
      <c r="K3716" s="1117">
        <f>K3715/9</f>
        <v>3543.7</v>
      </c>
      <c r="L3716" s="1113"/>
      <c r="M3716" s="1113"/>
      <c r="N3716" s="1113"/>
      <c r="O3716" s="1113" t="s">
        <v>4868</v>
      </c>
      <c r="P3716" s="1113"/>
      <c r="Q3716" s="1115"/>
      <c r="R3716" s="1117">
        <f>SUM(R3709:R3715)</f>
        <v>38449.72</v>
      </c>
      <c r="S3716" s="884">
        <v>2</v>
      </c>
      <c r="T3716" s="885" t="s">
        <v>1452</v>
      </c>
      <c r="U3716" s="888" t="s">
        <v>4317</v>
      </c>
      <c r="V3716" s="887">
        <f t="shared" si="361"/>
        <v>65.900000000000006</v>
      </c>
      <c r="W3716" s="885" t="s">
        <v>225</v>
      </c>
      <c r="X3716" s="887">
        <f>V3716*S3716</f>
        <v>131.80000000000001</v>
      </c>
      <c r="Y3716" s="882"/>
    </row>
    <row r="3717" spans="6:25" ht="24" customHeight="1">
      <c r="F3717" s="1113"/>
      <c r="G3717" s="1113"/>
      <c r="H3717" s="1129" t="s">
        <v>4145</v>
      </c>
      <c r="I3717" s="1114" t="s">
        <v>4146</v>
      </c>
      <c r="J3717" s="1113"/>
      <c r="K3717" s="1130">
        <v>3282</v>
      </c>
      <c r="L3717" s="1113"/>
      <c r="M3717" s="1113"/>
      <c r="N3717" s="1113"/>
      <c r="O3717" s="1129" t="s">
        <v>4145</v>
      </c>
      <c r="P3717" s="1114" t="s">
        <v>4146</v>
      </c>
      <c r="Q3717" s="1113"/>
      <c r="R3717" s="1130">
        <f>R3716/M3714</f>
        <v>4090.4</v>
      </c>
      <c r="S3717" s="884">
        <v>3</v>
      </c>
      <c r="T3717" s="885" t="s">
        <v>1452</v>
      </c>
      <c r="U3717" s="888" t="s">
        <v>4319</v>
      </c>
      <c r="V3717" s="887">
        <f t="shared" si="361"/>
        <v>32.700000000000003</v>
      </c>
      <c r="W3717" s="885" t="s">
        <v>778</v>
      </c>
      <c r="X3717" s="887">
        <f>V3717*S3717</f>
        <v>98.1</v>
      </c>
      <c r="Y3717" s="882"/>
    </row>
    <row r="3718" spans="6:25" ht="24" customHeight="1">
      <c r="F3718" s="1113"/>
      <c r="G3718" s="1113"/>
      <c r="H3718" s="1113" t="s">
        <v>4147</v>
      </c>
      <c r="I3718" s="1113"/>
      <c r="J3718" s="1113"/>
      <c r="K3718" s="1113"/>
      <c r="L3718" s="1113"/>
      <c r="M3718" s="1113"/>
      <c r="N3718" s="1113"/>
      <c r="O3718" s="1113" t="s">
        <v>4147</v>
      </c>
      <c r="P3718" s="1113"/>
      <c r="Q3718" s="1113"/>
      <c r="R3718" s="1113"/>
      <c r="S3718" s="884">
        <v>1.823</v>
      </c>
      <c r="T3718" s="885" t="s">
        <v>2308</v>
      </c>
      <c r="U3718" s="888" t="s">
        <v>3977</v>
      </c>
      <c r="V3718" s="887">
        <f t="shared" si="361"/>
        <v>1724</v>
      </c>
      <c r="W3718" s="885" t="s">
        <v>2308</v>
      </c>
      <c r="X3718" s="887">
        <f>V3718*S3718</f>
        <v>3142.85</v>
      </c>
      <c r="Y3718" s="882"/>
    </row>
    <row r="3719" spans="6:25" ht="24" customHeight="1">
      <c r="F3719" s="1117">
        <v>1</v>
      </c>
      <c r="G3719" s="1115" t="s">
        <v>258</v>
      </c>
      <c r="H3719" s="1117" t="s">
        <v>4148</v>
      </c>
      <c r="I3719" s="1117">
        <f>AE15</f>
        <v>760</v>
      </c>
      <c r="J3719" s="1115" t="s">
        <v>258</v>
      </c>
      <c r="K3719" s="1113">
        <f>I3719*F3719</f>
        <v>760</v>
      </c>
      <c r="L3719" s="1113"/>
      <c r="M3719" s="1117">
        <v>1</v>
      </c>
      <c r="N3719" s="1115" t="s">
        <v>258</v>
      </c>
      <c r="O3719" s="1117" t="s">
        <v>4165</v>
      </c>
      <c r="P3719" s="1117">
        <f>AE17</f>
        <v>842</v>
      </c>
      <c r="Q3719" s="1115" t="s">
        <v>258</v>
      </c>
      <c r="R3719" s="1131">
        <f>P3719*M3719</f>
        <v>842</v>
      </c>
      <c r="S3719" s="758"/>
      <c r="T3719" s="839" t="s">
        <v>663</v>
      </c>
      <c r="U3719" s="758" t="s">
        <v>4315</v>
      </c>
      <c r="V3719" s="758"/>
      <c r="W3719" s="759" t="s">
        <v>663</v>
      </c>
      <c r="X3719" s="758">
        <v>110</v>
      </c>
      <c r="Y3719" s="882"/>
    </row>
    <row r="3720" spans="6:25" ht="24" customHeight="1">
      <c r="F3720" s="1117">
        <v>1</v>
      </c>
      <c r="G3720" s="1115" t="s">
        <v>258</v>
      </c>
      <c r="H3720" s="1118" t="s">
        <v>1927</v>
      </c>
      <c r="I3720" s="1117">
        <f>AE9</f>
        <v>562</v>
      </c>
      <c r="J3720" s="1115" t="s">
        <v>258</v>
      </c>
      <c r="K3720" s="1113">
        <f>I3720*F3720</f>
        <v>562</v>
      </c>
      <c r="L3720" s="1113"/>
      <c r="M3720" s="1117">
        <v>1.5</v>
      </c>
      <c r="N3720" s="1115" t="s">
        <v>258</v>
      </c>
      <c r="O3720" s="1118" t="s">
        <v>1927</v>
      </c>
      <c r="P3720" s="1117">
        <f>I3720</f>
        <v>562</v>
      </c>
      <c r="Q3720" s="1115" t="s">
        <v>258</v>
      </c>
      <c r="R3720" s="1131">
        <f>P3720*M3720</f>
        <v>843</v>
      </c>
      <c r="S3720" s="758"/>
      <c r="T3720" s="839"/>
      <c r="U3720" s="758"/>
      <c r="V3720" s="758"/>
      <c r="W3720" s="759"/>
      <c r="X3720" s="758">
        <f>SUM(X3712:X3719)</f>
        <v>9066.02</v>
      </c>
      <c r="Y3720" s="882"/>
    </row>
    <row r="3721" spans="6:25" ht="24" customHeight="1">
      <c r="F3721" s="1117">
        <v>0.5</v>
      </c>
      <c r="G3721" s="1115" t="s">
        <v>258</v>
      </c>
      <c r="H3721" s="1118" t="s">
        <v>321</v>
      </c>
      <c r="I3721" s="1117">
        <f>AE10</f>
        <v>461</v>
      </c>
      <c r="J3721" s="1115" t="s">
        <v>258</v>
      </c>
      <c r="K3721" s="1113">
        <f>I3721*F3721</f>
        <v>230.5</v>
      </c>
      <c r="L3721" s="1113"/>
      <c r="M3721" s="1117">
        <v>1.5</v>
      </c>
      <c r="N3721" s="1115" t="s">
        <v>258</v>
      </c>
      <c r="O3721" s="1118" t="s">
        <v>321</v>
      </c>
      <c r="P3721" s="1117">
        <f>I3721</f>
        <v>461</v>
      </c>
      <c r="Q3721" s="1115" t="s">
        <v>258</v>
      </c>
      <c r="R3721" s="1131">
        <f>P3721*M3721</f>
        <v>691.5</v>
      </c>
      <c r="X3721" s="758">
        <f>X3720/S3718</f>
        <v>4973.13</v>
      </c>
      <c r="Y3721" s="882"/>
    </row>
    <row r="3722" spans="6:25" ht="24" customHeight="1">
      <c r="F3722" s="1113"/>
      <c r="G3722" s="1113"/>
      <c r="H3722" s="1113"/>
      <c r="I3722" s="1113"/>
      <c r="J3722" s="1113"/>
      <c r="K3722" s="1113">
        <f>SUM(K3719:K3721)</f>
        <v>1552.5</v>
      </c>
      <c r="L3722" s="1113"/>
      <c r="M3722" s="1113"/>
      <c r="N3722" s="1113"/>
      <c r="O3722" s="1113"/>
      <c r="P3722" s="1113"/>
      <c r="Q3722" s="1113"/>
      <c r="R3722" s="1131">
        <f>SUM(R3719:R3721)</f>
        <v>2376.5</v>
      </c>
      <c r="X3722" s="699">
        <v>3873</v>
      </c>
      <c r="Y3722" s="882"/>
    </row>
    <row r="3723" spans="6:25" ht="24" customHeight="1">
      <c r="F3723" s="1113"/>
      <c r="G3723" s="1113"/>
      <c r="H3723" s="1113"/>
      <c r="I3723" s="1113"/>
      <c r="J3723" s="1113"/>
      <c r="K3723" s="1113"/>
      <c r="L3723" s="1113"/>
      <c r="M3723" s="1113"/>
      <c r="N3723" s="1113"/>
      <c r="O3723" s="1113"/>
      <c r="P3723" s="1113"/>
      <c r="Q3723" s="1113"/>
      <c r="R3723" s="1113"/>
      <c r="S3723" s="882"/>
      <c r="T3723" s="890"/>
      <c r="U3723" s="882"/>
      <c r="V3723" s="882"/>
      <c r="W3723" s="895"/>
      <c r="X3723" s="896"/>
      <c r="Y3723" s="882"/>
    </row>
    <row r="3724" spans="6:25" ht="24" customHeight="1">
      <c r="F3724" s="1102"/>
      <c r="G3724" s="1102"/>
      <c r="H3724" s="1102"/>
      <c r="I3724" s="1102"/>
      <c r="J3724" s="1102"/>
      <c r="K3724" s="1102"/>
      <c r="L3724" s="1102"/>
      <c r="M3724" s="1102"/>
      <c r="N3724" s="1102"/>
      <c r="S3724" s="699"/>
    </row>
    <row r="3725" spans="6:25" ht="24" customHeight="1">
      <c r="F3725" s="879"/>
      <c r="G3725" s="879"/>
      <c r="H3725" s="805"/>
      <c r="I3725" s="879"/>
      <c r="J3725" s="879"/>
      <c r="K3725" s="1102"/>
      <c r="L3725" s="1102"/>
      <c r="M3725" s="1102"/>
      <c r="N3725" s="1102"/>
    </row>
    <row r="3726" spans="6:25" ht="24" customHeight="1">
      <c r="F3726" s="1102"/>
      <c r="G3726" s="1102"/>
      <c r="H3726" s="1132" t="s">
        <v>4151</v>
      </c>
      <c r="I3726" s="1108"/>
      <c r="J3726" s="1102"/>
      <c r="K3726" s="1102"/>
      <c r="L3726" s="1102"/>
      <c r="M3726" s="1102"/>
      <c r="N3726" s="1102"/>
    </row>
    <row r="3727" spans="6:25" ht="24" customHeight="1">
      <c r="F3727" s="1102"/>
      <c r="G3727" s="1102"/>
      <c r="H3727" s="1102"/>
      <c r="I3727" s="1102"/>
      <c r="J3727" s="1102"/>
      <c r="K3727" s="1102"/>
      <c r="L3727" s="1102"/>
      <c r="M3727" s="1102"/>
      <c r="N3727" s="1102"/>
    </row>
    <row r="3728" spans="6:25" ht="24" customHeight="1">
      <c r="F3728" s="1133"/>
      <c r="G3728" s="1109"/>
      <c r="H3728" s="1134" t="s">
        <v>5286</v>
      </c>
      <c r="I3728" s="1133"/>
      <c r="J3728" s="1133"/>
      <c r="K3728" s="1102"/>
      <c r="L3728" s="1102"/>
      <c r="M3728" s="1102"/>
      <c r="N3728" s="1102"/>
    </row>
    <row r="3729" spans="6:14" ht="24" customHeight="1">
      <c r="F3729" s="1133"/>
      <c r="G3729" s="1109"/>
      <c r="H3729" s="1053"/>
      <c r="I3729" s="1133"/>
      <c r="J3729" s="1133"/>
      <c r="K3729" s="1102"/>
      <c r="L3729" s="1102"/>
      <c r="M3729" s="1102"/>
      <c r="N3729" s="1102"/>
    </row>
    <row r="3730" spans="6:14" ht="24" customHeight="1">
      <c r="F3730" s="1102"/>
      <c r="G3730" s="1102"/>
      <c r="H3730" s="701" t="s">
        <v>5127</v>
      </c>
      <c r="I3730" s="1133"/>
      <c r="J3730" s="1102"/>
      <c r="K3730" s="1102"/>
      <c r="L3730" s="1102"/>
      <c r="M3730" s="1102"/>
      <c r="N3730" s="1102"/>
    </row>
    <row r="3731" spans="6:14" ht="24" customHeight="1">
      <c r="F3731" s="1133">
        <v>5</v>
      </c>
      <c r="G3731" s="1109" t="s">
        <v>1670</v>
      </c>
      <c r="H3731" s="1133" t="s">
        <v>5128</v>
      </c>
      <c r="I3731" s="1135">
        <v>27.2</v>
      </c>
      <c r="J3731" s="1109" t="s">
        <v>1670</v>
      </c>
      <c r="K3731" s="1109">
        <f>I3731*F3731</f>
        <v>136</v>
      </c>
      <c r="L3731" s="1102"/>
      <c r="M3731" s="1102"/>
      <c r="N3731" s="1102"/>
    </row>
    <row r="3732" spans="6:14" ht="24" customHeight="1">
      <c r="F3732" s="1133">
        <v>1</v>
      </c>
      <c r="G3732" s="1109" t="s">
        <v>1414</v>
      </c>
      <c r="H3732" s="1133" t="s">
        <v>4152</v>
      </c>
      <c r="I3732" s="1133">
        <f>AE11</f>
        <v>688</v>
      </c>
      <c r="J3732" s="1109" t="s">
        <v>1414</v>
      </c>
      <c r="K3732" s="1109">
        <f>I3732*F3732</f>
        <v>688</v>
      </c>
      <c r="L3732" s="1102"/>
      <c r="M3732" s="1102"/>
      <c r="N3732" s="1102"/>
    </row>
    <row r="3733" spans="6:14" ht="24" customHeight="1">
      <c r="F3733" s="1133"/>
      <c r="G3733" s="1136" t="s">
        <v>663</v>
      </c>
      <c r="H3733" s="1053" t="s">
        <v>3095</v>
      </c>
      <c r="I3733" s="1102"/>
      <c r="J3733" s="1136" t="s">
        <v>663</v>
      </c>
      <c r="K3733" s="1109">
        <f>(121.1+90.9)/12</f>
        <v>17.670000000000002</v>
      </c>
      <c r="L3733" s="1102"/>
      <c r="M3733" s="1102"/>
      <c r="N3733" s="1102"/>
    </row>
    <row r="3734" spans="6:14" ht="24" customHeight="1">
      <c r="F3734" s="1102"/>
      <c r="G3734" s="1102"/>
      <c r="H3734" s="1053" t="s">
        <v>1481</v>
      </c>
      <c r="I3734" s="1102"/>
      <c r="J3734" s="1102"/>
      <c r="K3734" s="1137">
        <f>SUM(K3731:K3733)</f>
        <v>841.67</v>
      </c>
      <c r="L3734" s="1102"/>
      <c r="M3734" s="1102"/>
      <c r="N3734" s="1102"/>
    </row>
    <row r="3735" spans="6:14" ht="24" customHeight="1">
      <c r="F3735" s="1102"/>
      <c r="G3735" s="1102"/>
      <c r="H3735" s="1053" t="s">
        <v>3282</v>
      </c>
      <c r="I3735" s="1102"/>
      <c r="J3735" s="1102"/>
      <c r="K3735" s="1138">
        <f>K3734/10</f>
        <v>84.17</v>
      </c>
      <c r="L3735" s="1102"/>
      <c r="M3735" s="1102"/>
      <c r="N3735" s="1102"/>
    </row>
    <row r="3738" spans="6:14" ht="24" customHeight="1">
      <c r="F3738" s="1102"/>
      <c r="G3738" s="1102"/>
      <c r="H3738" s="1102"/>
      <c r="I3738" s="1102"/>
      <c r="J3738" s="1102"/>
      <c r="K3738" s="1102"/>
      <c r="L3738" s="1102"/>
      <c r="M3738" s="1102"/>
      <c r="N3738" s="1102"/>
    </row>
    <row r="3739" spans="6:14" ht="24" customHeight="1">
      <c r="F3739" s="1133"/>
      <c r="G3739" s="1109"/>
      <c r="H3739" s="1134" t="s">
        <v>4153</v>
      </c>
      <c r="I3739" s="1133"/>
      <c r="J3739" s="1133"/>
      <c r="K3739" s="1102"/>
      <c r="L3739" s="1102"/>
      <c r="M3739" s="1102"/>
      <c r="N3739" s="1102"/>
    </row>
    <row r="3740" spans="6:14" ht="24" customHeight="1">
      <c r="F3740" s="1133" t="s">
        <v>1055</v>
      </c>
      <c r="G3740" s="1109" t="s">
        <v>225</v>
      </c>
      <c r="H3740" s="1053"/>
      <c r="I3740" s="1133" t="s">
        <v>99</v>
      </c>
      <c r="J3740" s="1109" t="s">
        <v>225</v>
      </c>
      <c r="K3740" s="1109" t="s">
        <v>986</v>
      </c>
      <c r="L3740" s="1102"/>
      <c r="M3740" s="1102"/>
      <c r="N3740" s="1102"/>
    </row>
    <row r="3741" spans="6:14" ht="24" customHeight="1">
      <c r="F3741" s="1133"/>
      <c r="G3741" s="1109"/>
      <c r="H3741" s="1053"/>
      <c r="I3741" s="1133"/>
      <c r="J3741" s="1133"/>
      <c r="K3741" s="1102"/>
      <c r="L3741" s="1102"/>
      <c r="M3741" s="1102"/>
      <c r="N3741" s="1102"/>
    </row>
    <row r="3742" spans="6:14" ht="40.5" customHeight="1">
      <c r="F3742" s="1133">
        <v>0.15</v>
      </c>
      <c r="G3742" s="1109" t="s">
        <v>2176</v>
      </c>
      <c r="H3742" s="1139" t="s">
        <v>4387</v>
      </c>
      <c r="I3742" s="1135">
        <f>I3636</f>
        <v>2548.02</v>
      </c>
      <c r="J3742" s="1109" t="s">
        <v>2176</v>
      </c>
      <c r="K3742" s="1133">
        <f t="shared" ref="K3742:K3747" si="362">I3742*F3742</f>
        <v>382.2</v>
      </c>
      <c r="L3742" s="1102"/>
      <c r="M3742" s="1102"/>
      <c r="N3742" s="1102"/>
    </row>
    <row r="3743" spans="6:14" ht="24" customHeight="1">
      <c r="F3743" s="1140">
        <v>7.1999999999999995E-2</v>
      </c>
      <c r="G3743" s="1109" t="s">
        <v>530</v>
      </c>
      <c r="H3743" s="1053" t="s">
        <v>390</v>
      </c>
      <c r="I3743" s="1133">
        <f>I7</f>
        <v>5960</v>
      </c>
      <c r="J3743" s="1109" t="s">
        <v>530</v>
      </c>
      <c r="K3743" s="1133">
        <f t="shared" si="362"/>
        <v>429.12</v>
      </c>
      <c r="L3743" s="1102"/>
      <c r="M3743" s="1102"/>
      <c r="N3743" s="1102"/>
    </row>
    <row r="3744" spans="6:14" ht="24" customHeight="1">
      <c r="F3744" s="1133">
        <v>14.5</v>
      </c>
      <c r="G3744" s="1109" t="s">
        <v>922</v>
      </c>
      <c r="H3744" s="701" t="s">
        <v>4021</v>
      </c>
      <c r="I3744" s="1135">
        <f>P2430</f>
        <v>24.7</v>
      </c>
      <c r="J3744" s="1109" t="s">
        <v>922</v>
      </c>
      <c r="K3744" s="1133">
        <f t="shared" si="362"/>
        <v>358.15</v>
      </c>
      <c r="L3744" s="1102"/>
      <c r="M3744" s="1102"/>
      <c r="N3744" s="1102"/>
    </row>
    <row r="3745" spans="6:14" ht="24" customHeight="1">
      <c r="F3745" s="1133">
        <v>1.6</v>
      </c>
      <c r="G3745" s="1109" t="s">
        <v>258</v>
      </c>
      <c r="H3745" s="1133" t="s">
        <v>4154</v>
      </c>
      <c r="I3745" s="1133">
        <f>AE7</f>
        <v>861</v>
      </c>
      <c r="J3745" s="1109" t="s">
        <v>258</v>
      </c>
      <c r="K3745" s="1133">
        <f t="shared" si="362"/>
        <v>1377.6</v>
      </c>
      <c r="L3745" s="1102"/>
      <c r="M3745" s="1102"/>
      <c r="N3745" s="1102"/>
    </row>
    <row r="3746" spans="6:14" ht="24" customHeight="1">
      <c r="F3746" s="1133">
        <v>0.5</v>
      </c>
      <c r="G3746" s="1109" t="s">
        <v>258</v>
      </c>
      <c r="H3746" s="1053" t="s">
        <v>1927</v>
      </c>
      <c r="I3746" s="1133">
        <f>AE9</f>
        <v>562</v>
      </c>
      <c r="J3746" s="1109" t="s">
        <v>258</v>
      </c>
      <c r="K3746" s="1133">
        <f t="shared" si="362"/>
        <v>281</v>
      </c>
      <c r="L3746" s="1102"/>
      <c r="M3746" s="1102"/>
      <c r="N3746" s="1102"/>
    </row>
    <row r="3747" spans="6:14" ht="24" customHeight="1">
      <c r="F3747" s="1133">
        <v>1.1000000000000001</v>
      </c>
      <c r="G3747" s="1109" t="s">
        <v>258</v>
      </c>
      <c r="H3747" s="1053" t="s">
        <v>321</v>
      </c>
      <c r="I3747" s="1133">
        <v>280</v>
      </c>
      <c r="J3747" s="1109" t="s">
        <v>258</v>
      </c>
      <c r="K3747" s="1133">
        <f t="shared" si="362"/>
        <v>308</v>
      </c>
      <c r="L3747" s="1102"/>
      <c r="M3747" s="1102"/>
      <c r="N3747" s="1102"/>
    </row>
    <row r="3748" spans="6:14" ht="24" customHeight="1">
      <c r="F3748" s="1133"/>
      <c r="G3748" s="1109"/>
      <c r="H3748" s="1053" t="s">
        <v>3095</v>
      </c>
      <c r="I3748" s="1141" t="s">
        <v>663</v>
      </c>
      <c r="J3748" s="1109"/>
      <c r="K3748" s="1133">
        <v>52.63</v>
      </c>
      <c r="L3748" s="1102"/>
      <c r="M3748" s="1102"/>
      <c r="N3748" s="1102"/>
    </row>
    <row r="3749" spans="6:14" ht="24" customHeight="1">
      <c r="F3749" s="1133"/>
      <c r="G3749" s="1109"/>
      <c r="H3749" s="1053" t="s">
        <v>1481</v>
      </c>
      <c r="I3749" s="1102"/>
      <c r="J3749" s="1102"/>
      <c r="K3749" s="1133">
        <f>SUM(K3742:K3748)</f>
        <v>3188.7</v>
      </c>
      <c r="L3749" s="1102"/>
      <c r="M3749" s="1102"/>
      <c r="N3749" s="1102"/>
    </row>
    <row r="3750" spans="6:14" ht="24" customHeight="1">
      <c r="F3750" s="1102"/>
      <c r="G3750" s="1102"/>
      <c r="H3750" s="1053" t="s">
        <v>3282</v>
      </c>
      <c r="I3750" s="1102"/>
      <c r="J3750" s="1102"/>
      <c r="K3750" s="1142">
        <f>K3749/10</f>
        <v>318.87</v>
      </c>
      <c r="L3750" s="1102"/>
      <c r="M3750" s="1102"/>
      <c r="N3750" s="1102"/>
    </row>
    <row r="3751" spans="6:14" ht="24" customHeight="1">
      <c r="F3751" s="1102"/>
      <c r="G3751" s="1102"/>
      <c r="H3751" s="1102"/>
      <c r="I3751" s="1102"/>
      <c r="J3751" s="1102"/>
      <c r="K3751" s="1102"/>
      <c r="L3751" s="1102"/>
      <c r="M3751" s="1102"/>
      <c r="N3751" s="1102"/>
    </row>
    <row r="3752" spans="6:14" ht="24" customHeight="1">
      <c r="F3752" s="733"/>
      <c r="G3752" s="708" t="s">
        <v>2276</v>
      </c>
      <c r="I3752" s="1143"/>
      <c r="J3752" s="1144"/>
      <c r="K3752" s="879"/>
      <c r="L3752" s="879"/>
    </row>
    <row r="3753" spans="6:14" ht="24" customHeight="1">
      <c r="F3753" s="879"/>
      <c r="G3753" s="1145"/>
      <c r="H3753" s="697"/>
      <c r="I3753" s="879"/>
      <c r="J3753" s="1146"/>
      <c r="K3753" s="879"/>
      <c r="L3753" s="879"/>
    </row>
    <row r="3754" spans="6:14" ht="24" customHeight="1">
      <c r="F3754" s="879"/>
      <c r="G3754" s="1145"/>
      <c r="H3754" s="1147" t="s">
        <v>4155</v>
      </c>
      <c r="I3754" s="879"/>
      <c r="J3754" s="1146"/>
      <c r="K3754" s="879"/>
      <c r="L3754" s="879"/>
    </row>
    <row r="3755" spans="6:14" ht="24" customHeight="1">
      <c r="F3755" s="879"/>
      <c r="G3755" s="1145"/>
      <c r="H3755" s="705" t="s">
        <v>1609</v>
      </c>
      <c r="I3755" s="879"/>
      <c r="J3755" s="1146"/>
      <c r="K3755" s="879"/>
      <c r="L3755" s="879"/>
    </row>
    <row r="3756" spans="6:14" ht="24" customHeight="1">
      <c r="F3756" s="710">
        <v>21.55</v>
      </c>
      <c r="G3756" s="708" t="s">
        <v>1670</v>
      </c>
      <c r="H3756" s="697" t="s">
        <v>4156</v>
      </c>
      <c r="I3756" s="710">
        <f>I3732</f>
        <v>688</v>
      </c>
      <c r="J3756" s="708" t="s">
        <v>1670</v>
      </c>
      <c r="K3756" s="710">
        <f>I3756*F3756</f>
        <v>14826.4</v>
      </c>
      <c r="L3756" s="879"/>
    </row>
    <row r="3757" spans="6:14" ht="24" customHeight="1">
      <c r="F3757" s="710"/>
      <c r="G3757" s="708"/>
      <c r="H3757" s="697" t="s">
        <v>4157</v>
      </c>
      <c r="I3757" s="710"/>
      <c r="J3757" s="708"/>
      <c r="K3757" s="710">
        <f>K3756*10/100</f>
        <v>1482.64</v>
      </c>
      <c r="L3757" s="879"/>
    </row>
    <row r="3758" spans="6:14" ht="24" customHeight="1">
      <c r="F3758" s="710">
        <v>3.7</v>
      </c>
      <c r="G3758" s="708" t="s">
        <v>1670</v>
      </c>
      <c r="H3758" s="697" t="s">
        <v>4158</v>
      </c>
      <c r="I3758" s="710">
        <f>Y30</f>
        <v>51750</v>
      </c>
      <c r="J3758" s="708" t="s">
        <v>530</v>
      </c>
      <c r="K3758" s="710">
        <f>I3758*F3758/10000</f>
        <v>19.149999999999999</v>
      </c>
      <c r="L3758" s="879"/>
    </row>
    <row r="3759" spans="6:14" ht="24" customHeight="1">
      <c r="F3759" s="1102"/>
      <c r="G3759" s="1102"/>
      <c r="H3759" s="697" t="s">
        <v>4159</v>
      </c>
      <c r="I3759" s="710"/>
      <c r="J3759" s="697"/>
      <c r="K3759" s="710">
        <f>K3758*5/100</f>
        <v>0.96</v>
      </c>
      <c r="L3759" s="879"/>
    </row>
    <row r="3760" spans="6:14" ht="24" customHeight="1">
      <c r="F3760" s="710">
        <v>18</v>
      </c>
      <c r="G3760" s="708" t="s">
        <v>1898</v>
      </c>
      <c r="H3760" s="697" t="s">
        <v>4160</v>
      </c>
      <c r="I3760" s="710">
        <v>15</v>
      </c>
      <c r="J3760" s="708" t="s">
        <v>1452</v>
      </c>
      <c r="K3760" s="710">
        <f>I3760*F3760</f>
        <v>270</v>
      </c>
      <c r="L3760" s="879"/>
    </row>
    <row r="3761" spans="6:12" ht="24" customHeight="1">
      <c r="F3761" s="710"/>
      <c r="G3761" s="708"/>
      <c r="H3761" s="697" t="s">
        <v>4161</v>
      </c>
      <c r="I3761" s="710"/>
      <c r="J3761" s="697"/>
      <c r="K3761" s="710">
        <f>K3760*10/100</f>
        <v>27</v>
      </c>
      <c r="L3761" s="879"/>
    </row>
    <row r="3762" spans="6:12" ht="24" customHeight="1">
      <c r="F3762" s="710">
        <v>28</v>
      </c>
      <c r="G3762" s="708" t="s">
        <v>1898</v>
      </c>
      <c r="H3762" s="697" t="s">
        <v>4162</v>
      </c>
      <c r="I3762" s="710">
        <v>1</v>
      </c>
      <c r="J3762" s="708" t="s">
        <v>1898</v>
      </c>
      <c r="K3762" s="710">
        <f>I3762*F3762</f>
        <v>28</v>
      </c>
      <c r="L3762" s="879"/>
    </row>
    <row r="3763" spans="6:12" ht="33" customHeight="1">
      <c r="F3763" s="710">
        <v>28</v>
      </c>
      <c r="G3763" s="708" t="s">
        <v>1898</v>
      </c>
      <c r="H3763" s="697" t="s">
        <v>4163</v>
      </c>
      <c r="I3763" s="710">
        <v>2</v>
      </c>
      <c r="J3763" s="708" t="s">
        <v>1898</v>
      </c>
      <c r="K3763" s="710">
        <f>I3763*F3763</f>
        <v>56</v>
      </c>
      <c r="L3763" s="879"/>
    </row>
    <row r="3764" spans="6:12" ht="36" customHeight="1">
      <c r="F3764" s="710">
        <v>4</v>
      </c>
      <c r="G3764" s="708" t="s">
        <v>1898</v>
      </c>
      <c r="H3764" s="1148" t="s">
        <v>4164</v>
      </c>
      <c r="I3764" s="710">
        <f>AE15</f>
        <v>760</v>
      </c>
      <c r="J3764" s="708" t="s">
        <v>1898</v>
      </c>
      <c r="K3764" s="710">
        <f>I3764*F3764</f>
        <v>3040</v>
      </c>
      <c r="L3764" s="879"/>
    </row>
    <row r="3765" spans="6:12" ht="24" customHeight="1">
      <c r="F3765" s="710">
        <v>2</v>
      </c>
      <c r="G3765" s="708" t="s">
        <v>1898</v>
      </c>
      <c r="H3765" s="1149" t="s">
        <v>4165</v>
      </c>
      <c r="I3765" s="710">
        <f>AE17</f>
        <v>842</v>
      </c>
      <c r="J3765" s="708" t="s">
        <v>1898</v>
      </c>
      <c r="K3765" s="710">
        <f>I3765*F3765</f>
        <v>1684</v>
      </c>
      <c r="L3765" s="879"/>
    </row>
    <row r="3766" spans="6:12" ht="24" customHeight="1">
      <c r="F3766" s="710">
        <v>6</v>
      </c>
      <c r="G3766" s="708" t="s">
        <v>1898</v>
      </c>
      <c r="H3766" s="1149" t="s">
        <v>4166</v>
      </c>
      <c r="I3766" s="710">
        <f>AE9</f>
        <v>562</v>
      </c>
      <c r="J3766" s="708" t="s">
        <v>1898</v>
      </c>
      <c r="K3766" s="710">
        <f>I3766*F3766</f>
        <v>3372</v>
      </c>
      <c r="L3766" s="879"/>
    </row>
    <row r="3767" spans="6:12" ht="24" customHeight="1">
      <c r="F3767" s="710"/>
      <c r="G3767" s="708" t="s">
        <v>450</v>
      </c>
      <c r="H3767" s="697" t="s">
        <v>3095</v>
      </c>
      <c r="I3767" s="697" t="s">
        <v>987</v>
      </c>
      <c r="J3767" s="697" t="s">
        <v>450</v>
      </c>
      <c r="K3767" s="710">
        <v>5.38</v>
      </c>
      <c r="L3767" s="879"/>
    </row>
    <row r="3768" spans="6:12" ht="24" customHeight="1">
      <c r="F3768" s="710"/>
      <c r="G3768" s="708"/>
      <c r="H3768" s="697"/>
      <c r="I3768" s="710"/>
      <c r="J3768" s="708"/>
      <c r="K3768" s="710"/>
      <c r="L3768" s="879"/>
    </row>
    <row r="3769" spans="6:12" ht="24" customHeight="1">
      <c r="F3769" s="879"/>
      <c r="G3769" s="1145"/>
      <c r="H3769" s="697" t="s">
        <v>4167</v>
      </c>
      <c r="I3769" s="879"/>
      <c r="J3769" s="1146"/>
      <c r="K3769" s="710">
        <f>SUM(K3756:K3768)</f>
        <v>24811.53</v>
      </c>
      <c r="L3769" s="879"/>
    </row>
    <row r="3770" spans="6:12" ht="24" customHeight="1">
      <c r="F3770" s="879"/>
      <c r="G3770" s="1145"/>
      <c r="H3770" s="879"/>
      <c r="I3770" s="879"/>
      <c r="J3770" s="1146"/>
      <c r="K3770" s="705" t="s">
        <v>1609</v>
      </c>
      <c r="L3770" s="879"/>
    </row>
    <row r="3771" spans="6:12" ht="24" customHeight="1">
      <c r="F3771" s="879"/>
      <c r="G3771" s="1145"/>
      <c r="H3771" s="707" t="s">
        <v>4168</v>
      </c>
      <c r="I3771" s="1104"/>
      <c r="J3771" s="1150" t="s">
        <v>729</v>
      </c>
      <c r="K3771" s="709">
        <f>K3769/18</f>
        <v>1378.42</v>
      </c>
      <c r="L3771" s="879"/>
    </row>
    <row r="3772" spans="6:12" ht="24" customHeight="1">
      <c r="F3772" s="879"/>
      <c r="G3772" s="1145"/>
      <c r="H3772" s="707"/>
      <c r="I3772" s="1104"/>
      <c r="J3772" s="1150"/>
      <c r="K3772" s="705" t="s">
        <v>1609</v>
      </c>
      <c r="L3772" s="879"/>
    </row>
    <row r="3773" spans="6:12" ht="24" customHeight="1">
      <c r="F3773" s="879"/>
      <c r="G3773" s="1145"/>
      <c r="H3773" s="707"/>
      <c r="I3773" s="1104"/>
      <c r="J3773" s="1150"/>
      <c r="K3773" s="709"/>
      <c r="L3773" s="879"/>
    </row>
    <row r="3774" spans="6:12" ht="24" customHeight="1">
      <c r="F3774" s="1102"/>
      <c r="G3774" s="1102"/>
      <c r="H3774" s="1151" t="s">
        <v>4450</v>
      </c>
      <c r="I3774" s="1102"/>
      <c r="J3774" s="1102"/>
      <c r="K3774" s="1102"/>
      <c r="L3774" s="1102"/>
    </row>
    <row r="3775" spans="6:12" ht="24" customHeight="1">
      <c r="F3775" s="879"/>
      <c r="G3775" s="1090" t="s">
        <v>4125</v>
      </c>
      <c r="H3775" s="1090"/>
      <c r="I3775" s="1090"/>
      <c r="J3775" s="1090"/>
      <c r="K3775" s="1091"/>
      <c r="L3775" s="1091"/>
    </row>
    <row r="3776" spans="6:12" ht="24" customHeight="1">
      <c r="F3776" s="879"/>
      <c r="G3776" s="884"/>
      <c r="H3776" s="885"/>
      <c r="I3776" s="886"/>
      <c r="J3776" s="887"/>
      <c r="K3776" s="885"/>
      <c r="L3776" s="887"/>
    </row>
    <row r="3777" spans="6:12" ht="24" customHeight="1">
      <c r="F3777" s="879"/>
      <c r="G3777" s="884"/>
      <c r="H3777" s="885"/>
      <c r="I3777" s="888"/>
      <c r="J3777" s="887"/>
      <c r="K3777" s="885"/>
      <c r="L3777" s="887"/>
    </row>
    <row r="3778" spans="6:12" ht="24" customHeight="1">
      <c r="F3778" s="884">
        <v>38.86</v>
      </c>
      <c r="G3778" s="885" t="s">
        <v>922</v>
      </c>
      <c r="H3778" s="888" t="s">
        <v>5129</v>
      </c>
      <c r="I3778" s="1094">
        <v>301</v>
      </c>
      <c r="J3778" s="885" t="s">
        <v>922</v>
      </c>
      <c r="K3778" s="887">
        <f t="shared" ref="K3778:K3785" si="363">I3778*F3778</f>
        <v>11696.86</v>
      </c>
      <c r="L3778" s="882"/>
    </row>
    <row r="3779" spans="6:12" ht="24" customHeight="1">
      <c r="F3779" s="884">
        <v>2.4300000000000002</v>
      </c>
      <c r="G3779" s="1152" t="s">
        <v>236</v>
      </c>
      <c r="H3779" s="1153" t="s">
        <v>4126</v>
      </c>
      <c r="I3779" s="1094">
        <v>359</v>
      </c>
      <c r="J3779" s="885" t="s">
        <v>236</v>
      </c>
      <c r="K3779" s="887">
        <f t="shared" si="363"/>
        <v>872.37</v>
      </c>
      <c r="L3779" s="882"/>
    </row>
    <row r="3780" spans="6:12" ht="24" customHeight="1">
      <c r="F3780" s="884">
        <v>4.8499999999999996</v>
      </c>
      <c r="G3780" s="1152" t="s">
        <v>236</v>
      </c>
      <c r="H3780" s="1153" t="s">
        <v>4127</v>
      </c>
      <c r="I3780" s="1092">
        <v>695</v>
      </c>
      <c r="J3780" s="885" t="s">
        <v>778</v>
      </c>
      <c r="K3780" s="887">
        <f t="shared" si="363"/>
        <v>3370.75</v>
      </c>
      <c r="L3780" s="882"/>
    </row>
    <row r="3781" spans="6:12" ht="24" customHeight="1">
      <c r="F3781" s="1095">
        <v>34.65</v>
      </c>
      <c r="G3781" s="1152" t="s">
        <v>835</v>
      </c>
      <c r="H3781" s="1153" t="s">
        <v>4128</v>
      </c>
      <c r="I3781" s="1094">
        <v>37.9</v>
      </c>
      <c r="J3781" s="885" t="s">
        <v>835</v>
      </c>
      <c r="K3781" s="887">
        <f t="shared" si="363"/>
        <v>1313.24</v>
      </c>
      <c r="L3781" s="882"/>
    </row>
    <row r="3782" spans="6:12" ht="24" customHeight="1">
      <c r="F3782" s="1097">
        <v>144</v>
      </c>
      <c r="G3782" s="1154" t="s">
        <v>1898</v>
      </c>
      <c r="H3782" s="1155" t="s">
        <v>5130</v>
      </c>
      <c r="I3782" s="1156">
        <v>2.39</v>
      </c>
      <c r="J3782" s="1099" t="s">
        <v>1414</v>
      </c>
      <c r="K3782" s="887">
        <f t="shared" si="363"/>
        <v>344.16</v>
      </c>
      <c r="L3782" s="882"/>
    </row>
    <row r="3783" spans="6:12" ht="24" customHeight="1">
      <c r="F3783" s="1097">
        <v>12</v>
      </c>
      <c r="G3783" s="1154" t="s">
        <v>1898</v>
      </c>
      <c r="H3783" s="1155" t="s">
        <v>5131</v>
      </c>
      <c r="I3783" s="1156">
        <v>4.84</v>
      </c>
      <c r="J3783" s="1099" t="s">
        <v>1414</v>
      </c>
      <c r="K3783" s="887">
        <f t="shared" si="363"/>
        <v>58.08</v>
      </c>
      <c r="L3783" s="882"/>
    </row>
    <row r="3784" spans="6:12" ht="24" customHeight="1">
      <c r="F3784" s="1097">
        <v>12</v>
      </c>
      <c r="G3784" s="1154" t="s">
        <v>1898</v>
      </c>
      <c r="H3784" s="1155" t="s">
        <v>4129</v>
      </c>
      <c r="I3784" s="958">
        <v>1.07</v>
      </c>
      <c r="J3784" s="1099" t="s">
        <v>1414</v>
      </c>
      <c r="K3784" s="887">
        <f t="shared" si="363"/>
        <v>12.84</v>
      </c>
      <c r="L3784" s="882"/>
    </row>
    <row r="3785" spans="6:12" ht="24" customHeight="1">
      <c r="F3785" s="884">
        <v>2</v>
      </c>
      <c r="G3785" s="1152" t="s">
        <v>225</v>
      </c>
      <c r="H3785" s="1153" t="s">
        <v>4388</v>
      </c>
      <c r="I3785" s="887">
        <v>11.8</v>
      </c>
      <c r="J3785" s="885" t="s">
        <v>225</v>
      </c>
      <c r="K3785" s="887">
        <f t="shared" si="363"/>
        <v>23.6</v>
      </c>
      <c r="L3785" s="882"/>
    </row>
    <row r="3786" spans="6:12" ht="24" customHeight="1">
      <c r="F3786" s="884">
        <v>6.6150000000000002</v>
      </c>
      <c r="G3786" s="1152" t="s">
        <v>2308</v>
      </c>
      <c r="H3786" s="1153" t="s">
        <v>3977</v>
      </c>
      <c r="I3786" s="882">
        <f>K3796</f>
        <v>1724</v>
      </c>
      <c r="J3786" s="885" t="s">
        <v>2308</v>
      </c>
      <c r="K3786" s="887">
        <f>1059.95*6.615</f>
        <v>7011.57</v>
      </c>
      <c r="L3786" s="882"/>
    </row>
    <row r="3787" spans="6:12" ht="24" customHeight="1">
      <c r="F3787" s="884"/>
      <c r="G3787" s="1152"/>
      <c r="H3787" s="1153"/>
      <c r="I3787" s="882"/>
      <c r="J3787" s="889"/>
      <c r="K3787" s="887"/>
      <c r="L3787" s="882"/>
    </row>
    <row r="3788" spans="6:12" ht="24" customHeight="1">
      <c r="F3788" s="884"/>
      <c r="G3788" s="1152"/>
      <c r="H3788" s="778" t="s">
        <v>4131</v>
      </c>
      <c r="I3788" s="879"/>
      <c r="J3788" s="885"/>
      <c r="K3788" s="887">
        <f>SUM(K3778:K3787)</f>
        <v>24703.47</v>
      </c>
      <c r="L3788" s="882"/>
    </row>
    <row r="3789" spans="6:12" ht="24" customHeight="1">
      <c r="F3789" s="884"/>
      <c r="G3789" s="1152"/>
      <c r="H3789" s="778" t="s">
        <v>556</v>
      </c>
      <c r="I3789" s="879"/>
      <c r="J3789" s="1091"/>
      <c r="K3789" s="891">
        <f>K3788/6.615</f>
        <v>3734.46</v>
      </c>
      <c r="L3789" s="893" t="s">
        <v>1418</v>
      </c>
    </row>
    <row r="3790" spans="6:12" ht="24" customHeight="1">
      <c r="F3790" s="882"/>
      <c r="G3790" s="1157"/>
      <c r="H3790" s="1158"/>
      <c r="I3790" s="882"/>
      <c r="J3790" s="882"/>
      <c r="K3790" s="882"/>
      <c r="L3790" s="882"/>
    </row>
    <row r="3791" spans="6:12" ht="24" customHeight="1">
      <c r="F3791" s="887">
        <v>1</v>
      </c>
      <c r="G3791" s="885" t="s">
        <v>877</v>
      </c>
      <c r="H3791" s="888" t="s">
        <v>5253</v>
      </c>
      <c r="I3791" s="887">
        <f>AE15</f>
        <v>760</v>
      </c>
      <c r="J3791" s="888" t="s">
        <v>877</v>
      </c>
      <c r="K3791" s="887">
        <f>I3791*F3791</f>
        <v>760</v>
      </c>
      <c r="L3791" s="882"/>
    </row>
    <row r="3792" spans="6:12" ht="24" customHeight="1">
      <c r="F3792" s="887">
        <v>1</v>
      </c>
      <c r="G3792" s="885" t="s">
        <v>877</v>
      </c>
      <c r="H3792" s="888" t="s">
        <v>5254</v>
      </c>
      <c r="I3792" s="887">
        <f>AE9</f>
        <v>562</v>
      </c>
      <c r="J3792" s="888" t="s">
        <v>877</v>
      </c>
      <c r="K3792" s="887">
        <f>I3792*F3792</f>
        <v>562</v>
      </c>
      <c r="L3792" s="882"/>
    </row>
    <row r="3793" spans="6:12" ht="24" customHeight="1">
      <c r="F3793" s="887">
        <v>0.5</v>
      </c>
      <c r="G3793" s="885" t="s">
        <v>877</v>
      </c>
      <c r="H3793" s="888" t="s">
        <v>5255</v>
      </c>
      <c r="I3793" s="887">
        <f>AE18</f>
        <v>804</v>
      </c>
      <c r="J3793" s="888" t="s">
        <v>877</v>
      </c>
      <c r="K3793" s="887">
        <f>I3793*F3793</f>
        <v>402</v>
      </c>
      <c r="L3793" s="882"/>
    </row>
    <row r="3794" spans="6:12" ht="24" customHeight="1">
      <c r="F3794" s="882"/>
      <c r="G3794" s="885" t="s">
        <v>450</v>
      </c>
      <c r="H3794" s="888"/>
      <c r="I3794" s="887"/>
      <c r="J3794" s="888" t="s">
        <v>450</v>
      </c>
      <c r="K3794" s="887"/>
      <c r="L3794" s="882"/>
    </row>
    <row r="3795" spans="6:12" ht="24" customHeight="1">
      <c r="F3795" s="879"/>
      <c r="G3795" s="882"/>
      <c r="H3795" s="890"/>
      <c r="I3795" s="882"/>
      <c r="J3795" s="882"/>
      <c r="K3795" s="896" t="s">
        <v>1609</v>
      </c>
      <c r="L3795" s="1102"/>
    </row>
    <row r="3796" spans="6:12" ht="24" customHeight="1">
      <c r="F3796" s="879"/>
      <c r="G3796" s="882"/>
      <c r="H3796" s="890"/>
      <c r="I3796" s="888" t="s">
        <v>3986</v>
      </c>
      <c r="J3796" s="882"/>
      <c r="K3796" s="891">
        <f>SUM(K3791:K3795)</f>
        <v>1724</v>
      </c>
      <c r="L3796" s="1102"/>
    </row>
    <row r="3797" spans="6:12" ht="24" customHeight="1">
      <c r="F3797" s="879"/>
      <c r="G3797" s="882"/>
      <c r="H3797" s="890"/>
      <c r="I3797" s="882"/>
      <c r="J3797" s="882"/>
      <c r="K3797" s="896" t="s">
        <v>1609</v>
      </c>
      <c r="L3797" s="1102"/>
    </row>
    <row r="3798" spans="6:12" ht="24" customHeight="1">
      <c r="F3798" s="879"/>
      <c r="G3798" s="879"/>
      <c r="H3798" s="879"/>
      <c r="I3798" s="879"/>
      <c r="J3798" s="879"/>
      <c r="K3798" s="703"/>
      <c r="L3798" s="879"/>
    </row>
    <row r="3799" spans="6:12" ht="24" customHeight="1">
      <c r="F3799" s="753"/>
      <c r="G3799" s="708" t="s">
        <v>2276</v>
      </c>
      <c r="H3799" s="697" t="s">
        <v>5242</v>
      </c>
    </row>
    <row r="3800" spans="6:12" ht="24" customHeight="1">
      <c r="H3800" s="697"/>
    </row>
    <row r="3801" spans="6:12" ht="24" customHeight="1">
      <c r="H3801" s="705" t="s">
        <v>1609</v>
      </c>
    </row>
    <row r="3802" spans="6:12" ht="24" customHeight="1">
      <c r="F3802" s="710">
        <v>1.86</v>
      </c>
      <c r="G3802" s="708" t="s">
        <v>615</v>
      </c>
      <c r="H3802" s="697" t="s">
        <v>3650</v>
      </c>
      <c r="I3802" s="737">
        <v>699.4</v>
      </c>
      <c r="J3802" s="697" t="s">
        <v>615</v>
      </c>
      <c r="K3802" s="710">
        <f>(F3802*I3802)</f>
        <v>1300.8800000000001</v>
      </c>
    </row>
    <row r="3803" spans="6:12" ht="24" customHeight="1">
      <c r="F3803" s="710">
        <v>0.4</v>
      </c>
      <c r="G3803" s="708" t="s">
        <v>1670</v>
      </c>
      <c r="H3803" s="697" t="s">
        <v>2107</v>
      </c>
      <c r="I3803" s="871">
        <f>I3459</f>
        <v>36.1</v>
      </c>
      <c r="J3803" s="697" t="s">
        <v>1670</v>
      </c>
      <c r="K3803" s="710">
        <f>(F3803*I3803)</f>
        <v>14.44</v>
      </c>
    </row>
    <row r="3804" spans="6:12" ht="24" customHeight="1">
      <c r="F3804" s="710">
        <v>0.02</v>
      </c>
      <c r="G3804" s="708" t="s">
        <v>878</v>
      </c>
      <c r="H3804" s="697" t="s">
        <v>417</v>
      </c>
      <c r="I3804" s="710">
        <f>K21</f>
        <v>5902.3</v>
      </c>
      <c r="J3804" s="697" t="s">
        <v>878</v>
      </c>
      <c r="K3804" s="710">
        <f>(F3804*I3804)</f>
        <v>118.05</v>
      </c>
    </row>
    <row r="3805" spans="6:12" ht="24" customHeight="1">
      <c r="F3805" s="710">
        <v>1</v>
      </c>
      <c r="G3805" s="708" t="s">
        <v>778</v>
      </c>
      <c r="H3805" s="697" t="s">
        <v>2034</v>
      </c>
      <c r="I3805" s="710">
        <f>I3745</f>
        <v>861</v>
      </c>
      <c r="J3805" s="697" t="s">
        <v>778</v>
      </c>
      <c r="K3805" s="710">
        <f>(F3805*I3805)</f>
        <v>861</v>
      </c>
    </row>
    <row r="3806" spans="6:12" ht="24" customHeight="1">
      <c r="F3806" s="710">
        <v>1</v>
      </c>
      <c r="G3806" s="708" t="s">
        <v>778</v>
      </c>
      <c r="H3806" s="697" t="s">
        <v>1713</v>
      </c>
      <c r="I3806" s="710">
        <f>I3792</f>
        <v>562</v>
      </c>
      <c r="J3806" s="697" t="s">
        <v>778</v>
      </c>
      <c r="K3806" s="710">
        <f>(F3806*I3806)</f>
        <v>562</v>
      </c>
    </row>
    <row r="3807" spans="6:12" ht="24" customHeight="1">
      <c r="G3807" s="708" t="s">
        <v>450</v>
      </c>
      <c r="H3807" s="697" t="s">
        <v>451</v>
      </c>
      <c r="J3807" s="697" t="s">
        <v>450</v>
      </c>
      <c r="K3807" s="710"/>
    </row>
    <row r="3808" spans="6:12" ht="24" customHeight="1">
      <c r="K3808" s="705" t="s">
        <v>1609</v>
      </c>
    </row>
    <row r="3809" spans="6:11" ht="24" customHeight="1">
      <c r="H3809" s="697" t="s">
        <v>1714</v>
      </c>
      <c r="K3809" s="710">
        <f>SUM(K3802:K3807)</f>
        <v>2856.37</v>
      </c>
    </row>
    <row r="3810" spans="6:11" ht="24" customHeight="1">
      <c r="K3810" s="705" t="s">
        <v>1609</v>
      </c>
    </row>
    <row r="3811" spans="6:11" ht="24" customHeight="1">
      <c r="H3811" s="711" t="s">
        <v>556</v>
      </c>
      <c r="K3811" s="709">
        <f>(K3809/1.86)</f>
        <v>1535.68</v>
      </c>
    </row>
    <row r="3812" spans="6:11" ht="24" customHeight="1">
      <c r="K3812" s="705" t="s">
        <v>2080</v>
      </c>
    </row>
    <row r="3814" spans="6:11" ht="24" customHeight="1">
      <c r="F3814" s="753"/>
      <c r="G3814" s="708" t="s">
        <v>2276</v>
      </c>
      <c r="H3814" s="697" t="s">
        <v>5241</v>
      </c>
    </row>
    <row r="3815" spans="6:11" ht="24" customHeight="1">
      <c r="H3815" s="697"/>
    </row>
    <row r="3816" spans="6:11" ht="24" customHeight="1">
      <c r="H3816" s="697"/>
    </row>
    <row r="3817" spans="6:11" ht="24" customHeight="1">
      <c r="H3817" s="705" t="s">
        <v>1609</v>
      </c>
      <c r="I3817" s="705" t="s">
        <v>1609</v>
      </c>
    </row>
    <row r="3818" spans="6:11" ht="36" customHeight="1">
      <c r="F3818" s="710">
        <v>10</v>
      </c>
      <c r="G3818" s="708" t="s">
        <v>615</v>
      </c>
      <c r="H3818" s="766" t="s">
        <v>3649</v>
      </c>
      <c r="I3818" s="737">
        <v>538.21</v>
      </c>
      <c r="J3818" s="697" t="s">
        <v>615</v>
      </c>
      <c r="K3818" s="710">
        <f>(F3818*I3818)</f>
        <v>5382.1</v>
      </c>
    </row>
    <row r="3819" spans="6:11" ht="32.25" customHeight="1">
      <c r="F3819" s="710">
        <v>0.21</v>
      </c>
      <c r="G3819" s="708" t="s">
        <v>878</v>
      </c>
      <c r="H3819" s="697" t="s">
        <v>1901</v>
      </c>
      <c r="I3819" s="710">
        <f>I3452</f>
        <v>4471.8999999999996</v>
      </c>
      <c r="J3819" s="697" t="s">
        <v>878</v>
      </c>
      <c r="K3819" s="710">
        <f>(F3819*I3819)</f>
        <v>939.1</v>
      </c>
    </row>
    <row r="3820" spans="6:11" ht="24" customHeight="1">
      <c r="H3820" s="697" t="s">
        <v>1902</v>
      </c>
      <c r="I3820" s="710"/>
      <c r="K3820" s="697" t="s">
        <v>987</v>
      </c>
    </row>
    <row r="3821" spans="6:11" ht="24" customHeight="1">
      <c r="F3821" s="710">
        <v>1.1000000000000001</v>
      </c>
      <c r="G3821" s="708" t="s">
        <v>778</v>
      </c>
      <c r="H3821" s="697" t="s">
        <v>2034</v>
      </c>
      <c r="I3821" s="710">
        <f>I3454</f>
        <v>861</v>
      </c>
      <c r="J3821" s="697" t="s">
        <v>778</v>
      </c>
      <c r="K3821" s="710">
        <f>(F3821*I3821)</f>
        <v>947.1</v>
      </c>
    </row>
    <row r="3822" spans="6:11" ht="24" customHeight="1">
      <c r="F3822" s="710">
        <v>1.1000000000000001</v>
      </c>
      <c r="G3822" s="708" t="s">
        <v>778</v>
      </c>
      <c r="H3822" s="697" t="s">
        <v>1737</v>
      </c>
      <c r="I3822" s="710">
        <f t="shared" ref="I3822:I3829" si="364">I3455</f>
        <v>804</v>
      </c>
      <c r="J3822" s="697" t="s">
        <v>778</v>
      </c>
      <c r="K3822" s="710">
        <f>(F3822*I3822)</f>
        <v>884.4</v>
      </c>
    </row>
    <row r="3823" spans="6:11" ht="24" customHeight="1">
      <c r="F3823" s="710">
        <v>2.2000000000000002</v>
      </c>
      <c r="G3823" s="708" t="s">
        <v>778</v>
      </c>
      <c r="H3823" s="697" t="s">
        <v>1927</v>
      </c>
      <c r="I3823" s="710">
        <f t="shared" si="364"/>
        <v>562</v>
      </c>
      <c r="J3823" s="697" t="s">
        <v>778</v>
      </c>
      <c r="K3823" s="710">
        <f>(F3823*I3823)</f>
        <v>1236.4000000000001</v>
      </c>
    </row>
    <row r="3824" spans="6:11" ht="24" customHeight="1">
      <c r="F3824" s="710">
        <v>2.2000000000000002</v>
      </c>
      <c r="G3824" s="708" t="s">
        <v>778</v>
      </c>
      <c r="H3824" s="697" t="s">
        <v>321</v>
      </c>
      <c r="I3824" s="710">
        <f t="shared" si="364"/>
        <v>461</v>
      </c>
      <c r="J3824" s="697" t="s">
        <v>778</v>
      </c>
      <c r="K3824" s="710">
        <f>(F3824*I3824)</f>
        <v>1014.2</v>
      </c>
    </row>
    <row r="3825" spans="5:11" ht="24" customHeight="1">
      <c r="F3825" s="740">
        <v>20</v>
      </c>
      <c r="G3825" s="708" t="s">
        <v>1670</v>
      </c>
      <c r="H3825" s="697" t="s">
        <v>871</v>
      </c>
      <c r="I3825" s="710">
        <f t="shared" si="364"/>
        <v>5960</v>
      </c>
      <c r="J3825" s="697" t="s">
        <v>870</v>
      </c>
      <c r="K3825" s="710">
        <f>(F3825*I3825)/1000</f>
        <v>119.2</v>
      </c>
    </row>
    <row r="3826" spans="5:11" ht="24" customHeight="1">
      <c r="F3826" s="740">
        <v>2</v>
      </c>
      <c r="G3826" s="708" t="s">
        <v>1670</v>
      </c>
      <c r="H3826" s="697" t="s">
        <v>2107</v>
      </c>
      <c r="I3826" s="710">
        <f t="shared" si="364"/>
        <v>36.1</v>
      </c>
      <c r="J3826" s="697" t="s">
        <v>1670</v>
      </c>
      <c r="K3826" s="710">
        <f>(F3826*I3826)</f>
        <v>72.2</v>
      </c>
    </row>
    <row r="3827" spans="5:11" ht="24" customHeight="1">
      <c r="F3827" s="710">
        <v>1.6</v>
      </c>
      <c r="G3827" s="708" t="s">
        <v>778</v>
      </c>
      <c r="H3827" s="697" t="s">
        <v>1737</v>
      </c>
      <c r="I3827" s="710">
        <f t="shared" si="364"/>
        <v>804</v>
      </c>
      <c r="J3827" s="697" t="s">
        <v>778</v>
      </c>
      <c r="K3827" s="710">
        <f>(F3827*I3827)</f>
        <v>1286.4000000000001</v>
      </c>
    </row>
    <row r="3828" spans="5:11" ht="24" customHeight="1">
      <c r="F3828" s="710">
        <v>0.5</v>
      </c>
      <c r="G3828" s="708" t="s">
        <v>778</v>
      </c>
      <c r="H3828" s="697" t="s">
        <v>1927</v>
      </c>
      <c r="I3828" s="710">
        <f t="shared" si="364"/>
        <v>562</v>
      </c>
      <c r="J3828" s="697" t="s">
        <v>778</v>
      </c>
      <c r="K3828" s="710">
        <f>(F3828*I3828)</f>
        <v>281</v>
      </c>
    </row>
    <row r="3829" spans="5:11" ht="24" customHeight="1">
      <c r="F3829" s="710">
        <v>1.1000000000000001</v>
      </c>
      <c r="G3829" s="708" t="s">
        <v>778</v>
      </c>
      <c r="H3829" s="697" t="s">
        <v>321</v>
      </c>
      <c r="I3829" s="710">
        <f t="shared" si="364"/>
        <v>461</v>
      </c>
      <c r="J3829" s="697" t="s">
        <v>778</v>
      </c>
      <c r="K3829" s="710">
        <f>(F3829*I3829)</f>
        <v>507.1</v>
      </c>
    </row>
    <row r="3830" spans="5:11" ht="24" customHeight="1">
      <c r="G3830" s="708" t="s">
        <v>450</v>
      </c>
      <c r="H3830" s="697" t="s">
        <v>451</v>
      </c>
      <c r="J3830" s="697" t="s">
        <v>450</v>
      </c>
      <c r="K3830" s="710">
        <v>0</v>
      </c>
    </row>
    <row r="3831" spans="5:11" ht="24" customHeight="1">
      <c r="K3831" s="705" t="s">
        <v>1609</v>
      </c>
    </row>
    <row r="3832" spans="5:11" ht="24" customHeight="1">
      <c r="H3832" s="697" t="s">
        <v>442</v>
      </c>
      <c r="K3832" s="710">
        <f>SUM(K3818:K3830)</f>
        <v>12669.2</v>
      </c>
    </row>
    <row r="3833" spans="5:11" ht="24" customHeight="1">
      <c r="K3833" s="705" t="s">
        <v>1609</v>
      </c>
    </row>
    <row r="3834" spans="5:11" ht="24" customHeight="1">
      <c r="F3834" s="703"/>
      <c r="G3834" s="699"/>
      <c r="H3834" s="711" t="s">
        <v>556</v>
      </c>
      <c r="K3834" s="709">
        <f>(K3832/10)</f>
        <v>1266.92</v>
      </c>
    </row>
    <row r="3835" spans="5:11" ht="24" customHeight="1">
      <c r="F3835" s="703"/>
      <c r="G3835" s="699"/>
      <c r="K3835" s="705" t="s">
        <v>2080</v>
      </c>
    </row>
    <row r="3837" spans="5:11" ht="24" customHeight="1">
      <c r="F3837" s="700"/>
      <c r="G3837" s="758" t="s">
        <v>4190</v>
      </c>
      <c r="I3837" s="702">
        <f>1.2*0.8</f>
        <v>0.96</v>
      </c>
      <c r="J3837" s="699"/>
      <c r="K3837" s="703"/>
    </row>
    <row r="3838" spans="5:11" ht="24" customHeight="1">
      <c r="F3838" s="700"/>
      <c r="G3838" s="699"/>
      <c r="I3838" s="702"/>
      <c r="J3838" s="699"/>
      <c r="K3838" s="703"/>
    </row>
    <row r="3839" spans="5:11" ht="24" customHeight="1">
      <c r="E3839" s="702" t="s">
        <v>4191</v>
      </c>
      <c r="F3839" s="702"/>
      <c r="G3839" s="702"/>
      <c r="H3839" s="703">
        <f>4*3.9</f>
        <v>15.6</v>
      </c>
      <c r="I3839" s="702" t="s">
        <v>359</v>
      </c>
      <c r="K3839" s="703"/>
    </row>
    <row r="3840" spans="5:11" ht="24" customHeight="1">
      <c r="E3840" s="699" t="s">
        <v>4192</v>
      </c>
      <c r="F3840" s="700"/>
      <c r="G3840" s="699"/>
      <c r="H3840" s="699">
        <f>11*0.8*3.14</f>
        <v>27.63</v>
      </c>
      <c r="I3840" s="702" t="s">
        <v>359</v>
      </c>
      <c r="K3840" s="703"/>
    </row>
    <row r="3841" spans="5:11" ht="24" customHeight="1">
      <c r="E3841" s="699" t="s">
        <v>4193</v>
      </c>
      <c r="F3841" s="700"/>
      <c r="G3841" s="699"/>
      <c r="H3841" s="699">
        <f>2*1.2*1.2</f>
        <v>2.88</v>
      </c>
      <c r="I3841" s="702" t="s">
        <v>359</v>
      </c>
      <c r="K3841" s="703"/>
    </row>
    <row r="3842" spans="5:11" ht="24" customHeight="1">
      <c r="E3842" s="699" t="s">
        <v>4194</v>
      </c>
      <c r="F3842" s="700"/>
      <c r="G3842" s="699"/>
      <c r="H3842" s="699">
        <f>3*0.8*1.2</f>
        <v>2.88</v>
      </c>
      <c r="I3842" s="702" t="s">
        <v>359</v>
      </c>
      <c r="K3842" s="703"/>
    </row>
    <row r="3843" spans="5:11" ht="24" customHeight="1">
      <c r="E3843" s="699" t="s">
        <v>4195</v>
      </c>
      <c r="F3843" s="700"/>
      <c r="G3843" s="699"/>
      <c r="H3843" s="699">
        <v>5</v>
      </c>
      <c r="I3843" s="702"/>
      <c r="K3843" s="703"/>
    </row>
    <row r="3844" spans="5:11" ht="24" customHeight="1">
      <c r="F3844" s="700"/>
      <c r="G3844" s="699"/>
      <c r="H3844" s="747" t="s">
        <v>888</v>
      </c>
      <c r="I3844" s="702"/>
      <c r="K3844" s="703"/>
    </row>
    <row r="3845" spans="5:11" ht="24" customHeight="1">
      <c r="F3845" s="700"/>
      <c r="G3845" s="699"/>
      <c r="H3845" s="796">
        <f>SUM(H3839:H3843)</f>
        <v>53.99</v>
      </c>
      <c r="I3845" s="702" t="s">
        <v>359</v>
      </c>
      <c r="J3845" s="702">
        <f>H3845-51.7</f>
        <v>2.29</v>
      </c>
      <c r="K3845" s="703"/>
    </row>
    <row r="3846" spans="5:11" ht="24" customHeight="1">
      <c r="F3846" s="700"/>
      <c r="G3846" s="699"/>
      <c r="H3846" s="747" t="s">
        <v>888</v>
      </c>
      <c r="I3846" s="702"/>
      <c r="J3846" s="699"/>
      <c r="K3846" s="703"/>
    </row>
    <row r="3847" spans="5:11" ht="24" customHeight="1">
      <c r="F3847" s="700"/>
      <c r="G3847" s="699"/>
      <c r="I3847" s="702"/>
      <c r="J3847" s="699"/>
      <c r="K3847" s="703"/>
    </row>
    <row r="3848" spans="5:11" ht="24" customHeight="1">
      <c r="F3848" s="700"/>
      <c r="G3848" s="699"/>
      <c r="I3848" s="702"/>
      <c r="J3848" s="699"/>
      <c r="K3848" s="703"/>
    </row>
    <row r="3849" spans="5:11" ht="24" customHeight="1">
      <c r="E3849" s="703">
        <f>H3845</f>
        <v>53.99</v>
      </c>
      <c r="F3849" s="700" t="s">
        <v>1670</v>
      </c>
      <c r="G3849" s="699" t="s">
        <v>515</v>
      </c>
      <c r="H3849" s="699">
        <f>I2604</f>
        <v>62.6</v>
      </c>
      <c r="I3849" s="702" t="s">
        <v>1670</v>
      </c>
      <c r="J3849" s="699">
        <f>H3849*E3849</f>
        <v>3379.77</v>
      </c>
      <c r="K3849" s="703"/>
    </row>
    <row r="3850" spans="5:11" ht="24" customHeight="1">
      <c r="E3850" s="703">
        <v>0.96</v>
      </c>
      <c r="F3850" s="700" t="s">
        <v>2308</v>
      </c>
      <c r="G3850" s="699" t="s">
        <v>2149</v>
      </c>
      <c r="H3850" s="699">
        <f>I2605</f>
        <v>339</v>
      </c>
      <c r="I3850" s="702" t="s">
        <v>2308</v>
      </c>
      <c r="J3850" s="699">
        <f>H3850*E3850</f>
        <v>325.44</v>
      </c>
      <c r="K3850" s="703"/>
    </row>
    <row r="3851" spans="5:11" ht="24" customHeight="1">
      <c r="E3851" s="703">
        <v>0.96</v>
      </c>
      <c r="F3851" s="700" t="s">
        <v>2308</v>
      </c>
      <c r="G3851" s="699" t="s">
        <v>516</v>
      </c>
      <c r="H3851" s="699">
        <f>I2606</f>
        <v>36.299999999999997</v>
      </c>
      <c r="I3851" s="702" t="s">
        <v>2308</v>
      </c>
      <c r="J3851" s="699">
        <f>H3851*E3851</f>
        <v>34.85</v>
      </c>
      <c r="K3851" s="703"/>
    </row>
    <row r="3852" spans="5:11" ht="24" customHeight="1">
      <c r="F3852" s="700"/>
      <c r="G3852" s="699" t="s">
        <v>575</v>
      </c>
      <c r="H3852" s="699">
        <f>I2607</f>
        <v>266.81</v>
      </c>
      <c r="I3852" s="702" t="s">
        <v>450</v>
      </c>
      <c r="J3852" s="699">
        <f>H3852</f>
        <v>266.81</v>
      </c>
      <c r="K3852" s="703"/>
    </row>
    <row r="3853" spans="5:11" ht="24" customHeight="1">
      <c r="F3853" s="700"/>
      <c r="G3853" s="699"/>
      <c r="I3853" s="702"/>
      <c r="J3853" s="747" t="s">
        <v>148</v>
      </c>
      <c r="K3853" s="703"/>
    </row>
    <row r="3854" spans="5:11" ht="24" customHeight="1">
      <c r="F3854" s="700"/>
      <c r="G3854" s="758" t="s">
        <v>518</v>
      </c>
      <c r="I3854" s="702"/>
      <c r="J3854" s="758">
        <f>SUM(J3849:J3853)</f>
        <v>4006.87</v>
      </c>
      <c r="K3854" s="703"/>
    </row>
    <row r="3855" spans="5:11" ht="24" customHeight="1">
      <c r="F3855" s="700"/>
      <c r="G3855" s="699"/>
      <c r="I3855" s="702"/>
      <c r="J3855" s="747" t="s">
        <v>148</v>
      </c>
      <c r="K3855" s="703"/>
    </row>
    <row r="3856" spans="5:11" ht="24" customHeight="1">
      <c r="F3856" s="700"/>
      <c r="G3856" s="877" t="s">
        <v>2835</v>
      </c>
      <c r="I3856" s="702"/>
      <c r="J3856" s="758">
        <f>J3854/E3850</f>
        <v>4173.82</v>
      </c>
      <c r="K3856" s="703"/>
    </row>
    <row r="3857" spans="5:11" ht="24" customHeight="1">
      <c r="G3857" s="699"/>
      <c r="J3857" s="699"/>
      <c r="K3857" s="703"/>
    </row>
    <row r="3858" spans="5:11" ht="24" customHeight="1">
      <c r="F3858" s="700"/>
      <c r="G3858" s="758" t="s">
        <v>4196</v>
      </c>
      <c r="I3858" s="702">
        <f>1*0.8</f>
        <v>0.8</v>
      </c>
      <c r="J3858" s="699"/>
      <c r="K3858" s="703"/>
    </row>
    <row r="3859" spans="5:11" ht="24" customHeight="1">
      <c r="F3859" s="700"/>
      <c r="G3859" s="699"/>
      <c r="I3859" s="702"/>
      <c r="J3859" s="699"/>
      <c r="K3859" s="703"/>
    </row>
    <row r="3860" spans="5:11" ht="24" customHeight="1">
      <c r="E3860" s="702" t="s">
        <v>4197</v>
      </c>
      <c r="F3860" s="702"/>
      <c r="G3860" s="702"/>
      <c r="H3860" s="703">
        <f>3.6*3.9</f>
        <v>14.04</v>
      </c>
      <c r="I3860" s="702" t="s">
        <v>359</v>
      </c>
      <c r="K3860" s="703"/>
    </row>
    <row r="3861" spans="5:11" ht="24" customHeight="1">
      <c r="E3861" s="699" t="s">
        <v>4198</v>
      </c>
      <c r="F3861" s="700"/>
      <c r="G3861" s="699"/>
      <c r="H3861" s="699">
        <f>9*0.8*3.14</f>
        <v>22.61</v>
      </c>
      <c r="I3861" s="702" t="s">
        <v>359</v>
      </c>
      <c r="K3861" s="703"/>
    </row>
    <row r="3862" spans="5:11" ht="24" customHeight="1">
      <c r="E3862" s="699" t="s">
        <v>4199</v>
      </c>
      <c r="F3862" s="700"/>
      <c r="G3862" s="699"/>
      <c r="H3862" s="699">
        <f>2*1*1.2</f>
        <v>2.4</v>
      </c>
      <c r="I3862" s="702" t="s">
        <v>359</v>
      </c>
      <c r="K3862" s="703"/>
    </row>
    <row r="3863" spans="5:11" ht="24" customHeight="1">
      <c r="E3863" s="699" t="s">
        <v>4194</v>
      </c>
      <c r="F3863" s="700"/>
      <c r="G3863" s="699"/>
      <c r="H3863" s="699">
        <f>3*0.8*1.2</f>
        <v>2.88</v>
      </c>
      <c r="I3863" s="702" t="s">
        <v>359</v>
      </c>
      <c r="K3863" s="703"/>
    </row>
    <row r="3864" spans="5:11" ht="24" customHeight="1">
      <c r="E3864" s="699" t="s">
        <v>4195</v>
      </c>
      <c r="F3864" s="700"/>
      <c r="G3864" s="699"/>
      <c r="H3864" s="699">
        <v>5</v>
      </c>
      <c r="I3864" s="702"/>
      <c r="K3864" s="703"/>
    </row>
    <row r="3865" spans="5:11" ht="24" customHeight="1">
      <c r="F3865" s="700"/>
      <c r="G3865" s="699"/>
      <c r="H3865" s="747" t="s">
        <v>888</v>
      </c>
      <c r="I3865" s="702"/>
      <c r="K3865" s="703"/>
    </row>
    <row r="3866" spans="5:11" ht="24" customHeight="1">
      <c r="F3866" s="700"/>
      <c r="G3866" s="699"/>
      <c r="H3866" s="796">
        <f>SUM(H3860:H3864)</f>
        <v>46.93</v>
      </c>
      <c r="I3866" s="702" t="s">
        <v>359</v>
      </c>
      <c r="K3866" s="703"/>
    </row>
    <row r="3867" spans="5:11" ht="24" customHeight="1">
      <c r="F3867" s="700"/>
      <c r="G3867" s="699"/>
      <c r="H3867" s="747" t="s">
        <v>888</v>
      </c>
      <c r="I3867" s="702"/>
      <c r="J3867" s="699"/>
      <c r="K3867" s="703"/>
    </row>
    <row r="3868" spans="5:11" ht="24" customHeight="1">
      <c r="F3868" s="700"/>
      <c r="G3868" s="699"/>
      <c r="I3868" s="702"/>
      <c r="J3868" s="699"/>
      <c r="K3868" s="703"/>
    </row>
    <row r="3869" spans="5:11" ht="24" customHeight="1">
      <c r="F3869" s="700"/>
      <c r="G3869" s="699"/>
      <c r="I3869" s="702"/>
      <c r="J3869" s="699"/>
      <c r="K3869" s="703"/>
    </row>
    <row r="3870" spans="5:11" ht="24" customHeight="1">
      <c r="E3870" s="703">
        <f>H3866</f>
        <v>46.93</v>
      </c>
      <c r="F3870" s="700" t="s">
        <v>1670</v>
      </c>
      <c r="G3870" s="699" t="s">
        <v>515</v>
      </c>
      <c r="H3870" s="699">
        <f>H3849</f>
        <v>62.6</v>
      </c>
      <c r="I3870" s="702" t="s">
        <v>1670</v>
      </c>
      <c r="J3870" s="699">
        <f>H3870*E3870</f>
        <v>2937.82</v>
      </c>
      <c r="K3870" s="703"/>
    </row>
    <row r="3871" spans="5:11" ht="24" customHeight="1">
      <c r="E3871" s="699">
        <v>0.8</v>
      </c>
      <c r="F3871" s="700" t="s">
        <v>2308</v>
      </c>
      <c r="G3871" s="699" t="s">
        <v>2149</v>
      </c>
      <c r="H3871" s="699">
        <f>H3850</f>
        <v>339</v>
      </c>
      <c r="I3871" s="702" t="s">
        <v>2308</v>
      </c>
      <c r="J3871" s="699">
        <f>H3871*E3871</f>
        <v>271.2</v>
      </c>
      <c r="K3871" s="703"/>
    </row>
    <row r="3872" spans="5:11" ht="24" customHeight="1">
      <c r="E3872" s="699">
        <v>0.8</v>
      </c>
      <c r="F3872" s="700" t="s">
        <v>2308</v>
      </c>
      <c r="G3872" s="699" t="s">
        <v>516</v>
      </c>
      <c r="H3872" s="699">
        <f>H3851</f>
        <v>36.299999999999997</v>
      </c>
      <c r="I3872" s="702" t="s">
        <v>2308</v>
      </c>
      <c r="J3872" s="699">
        <f>H3872*E3872</f>
        <v>29.04</v>
      </c>
      <c r="K3872" s="703"/>
    </row>
    <row r="3873" spans="5:11" ht="24" customHeight="1">
      <c r="F3873" s="700"/>
      <c r="G3873" s="699" t="s">
        <v>575</v>
      </c>
      <c r="H3873" s="699">
        <f>H3852</f>
        <v>266.81</v>
      </c>
      <c r="I3873" s="702" t="s">
        <v>450</v>
      </c>
      <c r="J3873" s="699">
        <v>47.1</v>
      </c>
      <c r="K3873" s="703"/>
    </row>
    <row r="3874" spans="5:11" ht="24" customHeight="1">
      <c r="F3874" s="700"/>
      <c r="G3874" s="699"/>
      <c r="I3874" s="702"/>
      <c r="J3874" s="747" t="s">
        <v>148</v>
      </c>
      <c r="K3874" s="703"/>
    </row>
    <row r="3875" spans="5:11" ht="24" customHeight="1">
      <c r="F3875" s="700"/>
      <c r="G3875" s="758" t="s">
        <v>518</v>
      </c>
      <c r="I3875" s="702"/>
      <c r="J3875" s="758">
        <f>SUM(J3870:J3874)</f>
        <v>3285.16</v>
      </c>
      <c r="K3875" s="703"/>
    </row>
    <row r="3876" spans="5:11" ht="24" customHeight="1">
      <c r="F3876" s="700"/>
      <c r="G3876" s="699"/>
      <c r="I3876" s="702"/>
      <c r="J3876" s="747" t="s">
        <v>148</v>
      </c>
      <c r="K3876" s="703"/>
    </row>
    <row r="3877" spans="5:11" ht="24" customHeight="1">
      <c r="F3877" s="700"/>
      <c r="G3877" s="877" t="s">
        <v>2835</v>
      </c>
      <c r="I3877" s="702"/>
      <c r="J3877" s="758">
        <f>J3875/E3871</f>
        <v>4106.45</v>
      </c>
      <c r="K3877" s="703"/>
    </row>
    <row r="3878" spans="5:11" ht="24" customHeight="1">
      <c r="E3878" s="699" t="s">
        <v>513</v>
      </c>
      <c r="F3878" s="700"/>
      <c r="G3878" s="699"/>
      <c r="H3878" s="699">
        <v>3.24</v>
      </c>
      <c r="I3878" s="702" t="s">
        <v>359</v>
      </c>
      <c r="J3878" s="699"/>
      <c r="K3878" s="703"/>
    </row>
    <row r="3879" spans="5:11" ht="24" customHeight="1">
      <c r="E3879" s="699" t="s">
        <v>514</v>
      </c>
      <c r="F3879" s="700"/>
      <c r="G3879" s="699"/>
      <c r="H3879" s="699">
        <v>2.16</v>
      </c>
      <c r="I3879" s="702" t="s">
        <v>359</v>
      </c>
      <c r="J3879" s="699"/>
      <c r="K3879" s="703"/>
    </row>
    <row r="3880" spans="5:11" ht="24" customHeight="1">
      <c r="F3880" s="700"/>
      <c r="G3880" s="699"/>
      <c r="I3880" s="702"/>
      <c r="J3880" s="699"/>
      <c r="K3880" s="703"/>
    </row>
    <row r="3881" spans="5:11" ht="24" customHeight="1">
      <c r="F3881" s="700"/>
      <c r="G3881" s="699"/>
      <c r="H3881" s="747" t="s">
        <v>148</v>
      </c>
      <c r="I3881" s="702"/>
      <c r="J3881" s="699"/>
      <c r="K3881" s="703"/>
    </row>
    <row r="3882" spans="5:11" ht="24" customHeight="1">
      <c r="F3882" s="700"/>
      <c r="G3882" s="699"/>
      <c r="H3882" s="699">
        <f>SUM(H3876:H3880)</f>
        <v>5.4</v>
      </c>
      <c r="I3882" s="702"/>
      <c r="J3882" s="699"/>
      <c r="K3882" s="703"/>
    </row>
    <row r="3883" spans="5:11" ht="24" customHeight="1">
      <c r="F3883" s="700"/>
      <c r="G3883" s="699"/>
      <c r="H3883" s="699" t="s">
        <v>1710</v>
      </c>
      <c r="I3883" s="702"/>
      <c r="J3883" s="699"/>
      <c r="K3883" s="703"/>
    </row>
    <row r="3884" spans="5:11" ht="24" customHeight="1">
      <c r="F3884" s="700"/>
      <c r="G3884" s="699"/>
      <c r="I3884" s="702"/>
      <c r="J3884" s="699"/>
      <c r="K3884" s="703"/>
    </row>
    <row r="3885" spans="5:11" ht="24" customHeight="1">
      <c r="F3885" s="700"/>
      <c r="G3885" s="699"/>
      <c r="I3885" s="702"/>
      <c r="J3885" s="699"/>
      <c r="K3885" s="703"/>
    </row>
    <row r="3886" spans="5:11" ht="24" customHeight="1">
      <c r="E3886" s="699">
        <v>42.81</v>
      </c>
      <c r="F3886" s="700" t="s">
        <v>1670</v>
      </c>
      <c r="G3886" s="699" t="s">
        <v>515</v>
      </c>
      <c r="H3886" s="699">
        <f>H3870</f>
        <v>62.6</v>
      </c>
      <c r="I3886" s="702" t="s">
        <v>1670</v>
      </c>
      <c r="J3886" s="699">
        <f>H3886*E3886</f>
        <v>2679.91</v>
      </c>
      <c r="K3886" s="703"/>
    </row>
    <row r="3887" spans="5:11" ht="24" customHeight="1">
      <c r="E3887" s="699">
        <v>0.77</v>
      </c>
      <c r="F3887" s="700" t="s">
        <v>2308</v>
      </c>
      <c r="G3887" s="699" t="s">
        <v>2483</v>
      </c>
      <c r="H3887" s="699">
        <f>H3871</f>
        <v>339</v>
      </c>
      <c r="I3887" s="702" t="s">
        <v>2308</v>
      </c>
      <c r="J3887" s="699">
        <f>H3887*E3887</f>
        <v>261.02999999999997</v>
      </c>
      <c r="K3887" s="703"/>
    </row>
    <row r="3888" spans="5:11" ht="24" customHeight="1">
      <c r="E3888" s="699">
        <v>0.77</v>
      </c>
      <c r="F3888" s="700" t="s">
        <v>2308</v>
      </c>
      <c r="G3888" s="876" t="s">
        <v>1976</v>
      </c>
      <c r="H3888" s="699">
        <f>H3872</f>
        <v>36.299999999999997</v>
      </c>
      <c r="I3888" s="702" t="s">
        <v>2308</v>
      </c>
      <c r="J3888" s="699">
        <f>H3888*E3888</f>
        <v>27.95</v>
      </c>
      <c r="K3888" s="703"/>
    </row>
    <row r="3889" spans="5:11" ht="24" customHeight="1">
      <c r="F3889" s="700"/>
      <c r="G3889" s="699" t="s">
        <v>517</v>
      </c>
      <c r="H3889" s="699">
        <f>H3873</f>
        <v>266.81</v>
      </c>
      <c r="I3889" s="702" t="s">
        <v>450</v>
      </c>
      <c r="J3889" s="699">
        <f>H3889</f>
        <v>266.81</v>
      </c>
      <c r="K3889" s="703"/>
    </row>
    <row r="3890" spans="5:11" ht="24" customHeight="1">
      <c r="F3890" s="700"/>
      <c r="G3890" s="699"/>
      <c r="I3890" s="702"/>
      <c r="J3890" s="747" t="s">
        <v>148</v>
      </c>
      <c r="K3890" s="703"/>
    </row>
    <row r="3891" spans="5:11" ht="24" customHeight="1">
      <c r="F3891" s="700"/>
      <c r="G3891" s="758" t="s">
        <v>518</v>
      </c>
      <c r="I3891" s="702"/>
      <c r="J3891" s="758">
        <f>SUM(J3886:J3889)</f>
        <v>3235.7</v>
      </c>
      <c r="K3891" s="703"/>
    </row>
    <row r="3892" spans="5:11" ht="24" customHeight="1">
      <c r="F3892" s="700"/>
      <c r="G3892" s="699"/>
      <c r="I3892" s="702"/>
      <c r="J3892" s="747" t="s">
        <v>148</v>
      </c>
      <c r="K3892" s="703"/>
    </row>
    <row r="3893" spans="5:11" ht="24" customHeight="1">
      <c r="F3893" s="700"/>
      <c r="G3893" s="1159">
        <f>1.285*0.6</f>
        <v>0.77</v>
      </c>
      <c r="I3893" s="702"/>
      <c r="J3893" s="699">
        <f>J3891/G3893</f>
        <v>4202.21</v>
      </c>
      <c r="K3893" s="703"/>
    </row>
    <row r="3894" spans="5:11" ht="24" customHeight="1">
      <c r="E3894" s="699">
        <f>C3887</f>
        <v>0</v>
      </c>
      <c r="G3894" s="702">
        <f>E3894*D3853</f>
        <v>0</v>
      </c>
      <c r="J3894" s="699"/>
      <c r="K3894" s="703"/>
    </row>
    <row r="3895" spans="5:11" ht="24" customHeight="1">
      <c r="G3895" s="702">
        <v>0.8</v>
      </c>
      <c r="J3895" s="699"/>
      <c r="K3895" s="703"/>
    </row>
    <row r="3896" spans="5:11" ht="24" customHeight="1">
      <c r="G3896" s="702">
        <f>SUM(G3892:G3895)</f>
        <v>1.57</v>
      </c>
      <c r="J3896" s="699"/>
      <c r="K3896" s="703"/>
    </row>
    <row r="3897" spans="5:11" ht="24" customHeight="1">
      <c r="G3897" s="702">
        <f>G3896/0.77</f>
        <v>2.04</v>
      </c>
      <c r="J3897" s="699"/>
      <c r="K3897" s="703"/>
    </row>
    <row r="3898" spans="5:11" ht="24" customHeight="1">
      <c r="G3898" s="699"/>
      <c r="H3898" s="758" t="s">
        <v>4430</v>
      </c>
      <c r="J3898" s="699"/>
      <c r="K3898" s="703"/>
    </row>
    <row r="3899" spans="5:11" ht="24" customHeight="1">
      <c r="F3899" s="698" t="s">
        <v>1343</v>
      </c>
      <c r="G3899" s="708" t="s">
        <v>2276</v>
      </c>
      <c r="H3899" s="697" t="s">
        <v>2056</v>
      </c>
    </row>
    <row r="3900" spans="5:11" ht="24" customHeight="1">
      <c r="H3900" s="697" t="s">
        <v>2057</v>
      </c>
    </row>
    <row r="3901" spans="5:11" ht="24" customHeight="1">
      <c r="H3901" s="697" t="s">
        <v>2058</v>
      </c>
    </row>
    <row r="3902" spans="5:11" ht="24" customHeight="1">
      <c r="H3902" s="697" t="s">
        <v>900</v>
      </c>
    </row>
    <row r="3903" spans="5:11" ht="24" customHeight="1">
      <c r="H3903" s="697" t="s">
        <v>901</v>
      </c>
    </row>
    <row r="3904" spans="5:11" ht="24" customHeight="1">
      <c r="H3904" s="697" t="s">
        <v>1746</v>
      </c>
    </row>
    <row r="3905" spans="6:11" ht="24" customHeight="1">
      <c r="H3905" s="697" t="s">
        <v>95</v>
      </c>
    </row>
    <row r="3906" spans="6:11" ht="24" customHeight="1">
      <c r="H3906" s="697" t="s">
        <v>96</v>
      </c>
    </row>
    <row r="3907" spans="6:11" ht="24" customHeight="1">
      <c r="H3907" s="697" t="s">
        <v>97</v>
      </c>
    </row>
    <row r="3908" spans="6:11" ht="24" customHeight="1">
      <c r="H3908" s="697" t="s">
        <v>98</v>
      </c>
    </row>
    <row r="3909" spans="6:11" ht="24" customHeight="1">
      <c r="H3909" s="697" t="s">
        <v>2078</v>
      </c>
    </row>
    <row r="3910" spans="6:11" ht="24" customHeight="1">
      <c r="H3910" s="697" t="s">
        <v>1044</v>
      </c>
    </row>
    <row r="3911" spans="6:11" ht="24" customHeight="1">
      <c r="H3911" s="697" t="s">
        <v>1803</v>
      </c>
    </row>
    <row r="3912" spans="6:11" ht="24" customHeight="1">
      <c r="H3912" s="697" t="s">
        <v>1804</v>
      </c>
    </row>
    <row r="3915" spans="6:11" ht="24" customHeight="1">
      <c r="G3915" s="708" t="s">
        <v>317</v>
      </c>
      <c r="H3915" s="698" t="s">
        <v>1801</v>
      </c>
    </row>
    <row r="3916" spans="6:11" ht="24" customHeight="1">
      <c r="H3916" s="698" t="s">
        <v>1806</v>
      </c>
    </row>
    <row r="3917" spans="6:11" ht="24" customHeight="1">
      <c r="F3917" s="775">
        <v>3.8100000000000002E-2</v>
      </c>
      <c r="G3917" s="708" t="s">
        <v>878</v>
      </c>
      <c r="H3917" s="697" t="s">
        <v>2099</v>
      </c>
      <c r="I3917" s="710">
        <f>K818</f>
        <v>7940.58</v>
      </c>
      <c r="J3917" s="697" t="s">
        <v>878</v>
      </c>
      <c r="K3917" s="710">
        <f>F3917*I3917</f>
        <v>302.54000000000002</v>
      </c>
    </row>
    <row r="3918" spans="6:11" ht="24" customHeight="1">
      <c r="F3918" s="820">
        <v>5.01</v>
      </c>
      <c r="G3918" s="708" t="s">
        <v>1670</v>
      </c>
      <c r="H3918" s="697" t="s">
        <v>2100</v>
      </c>
      <c r="I3918" s="710">
        <f>K1605</f>
        <v>77593</v>
      </c>
      <c r="J3918" s="697" t="s">
        <v>870</v>
      </c>
      <c r="K3918" s="710">
        <f>F3918*I3918/1000</f>
        <v>388.74</v>
      </c>
    </row>
    <row r="3919" spans="6:11" ht="24" customHeight="1">
      <c r="F3919" s="710">
        <v>3</v>
      </c>
      <c r="G3919" s="708" t="s">
        <v>877</v>
      </c>
      <c r="H3919" s="697" t="s">
        <v>1204</v>
      </c>
      <c r="I3919" s="774">
        <v>14.8</v>
      </c>
      <c r="J3919" s="697" t="s">
        <v>877</v>
      </c>
      <c r="K3919" s="710">
        <f t="shared" ref="K3919:K3926" si="365">F3919*I3919</f>
        <v>44.4</v>
      </c>
    </row>
    <row r="3920" spans="6:11" ht="24" customHeight="1">
      <c r="F3920" s="710">
        <v>12</v>
      </c>
      <c r="G3920" s="708" t="s">
        <v>877</v>
      </c>
      <c r="H3920" s="697" t="s">
        <v>1205</v>
      </c>
      <c r="I3920" s="774">
        <v>2</v>
      </c>
      <c r="J3920" s="697" t="s">
        <v>877</v>
      </c>
      <c r="K3920" s="710">
        <f t="shared" si="365"/>
        <v>24</v>
      </c>
    </row>
    <row r="3921" spans="6:11" ht="24" customHeight="1">
      <c r="F3921" s="710">
        <v>2</v>
      </c>
      <c r="G3921" s="708" t="s">
        <v>877</v>
      </c>
      <c r="H3921" s="697" t="s">
        <v>1206</v>
      </c>
      <c r="I3921" s="774">
        <v>4.9000000000000004</v>
      </c>
      <c r="J3921" s="697" t="s">
        <v>877</v>
      </c>
      <c r="K3921" s="710">
        <f t="shared" si="365"/>
        <v>9.8000000000000007</v>
      </c>
    </row>
    <row r="3922" spans="6:11" ht="24" customHeight="1">
      <c r="F3922" s="710">
        <v>6</v>
      </c>
      <c r="G3922" s="708" t="s">
        <v>877</v>
      </c>
      <c r="H3922" s="697" t="s">
        <v>2245</v>
      </c>
      <c r="I3922" s="774">
        <v>4.45</v>
      </c>
      <c r="J3922" s="697" t="s">
        <v>877</v>
      </c>
      <c r="K3922" s="710">
        <f t="shared" si="365"/>
        <v>26.7</v>
      </c>
    </row>
    <row r="3923" spans="6:11" ht="24" customHeight="1">
      <c r="F3923" s="710">
        <v>1</v>
      </c>
      <c r="G3923" s="708" t="s">
        <v>877</v>
      </c>
      <c r="H3923" s="697" t="s">
        <v>1211</v>
      </c>
      <c r="I3923" s="710">
        <f>I862</f>
        <v>861</v>
      </c>
      <c r="J3923" s="697" t="s">
        <v>877</v>
      </c>
      <c r="K3923" s="710">
        <f t="shared" si="365"/>
        <v>861</v>
      </c>
    </row>
    <row r="3924" spans="6:11" ht="24" customHeight="1">
      <c r="F3924" s="710">
        <v>1</v>
      </c>
      <c r="G3924" s="708" t="s">
        <v>877</v>
      </c>
      <c r="H3924" s="697" t="s">
        <v>1212</v>
      </c>
      <c r="I3924" s="710">
        <f>I863</f>
        <v>562</v>
      </c>
      <c r="J3924" s="697" t="s">
        <v>877</v>
      </c>
      <c r="K3924" s="710">
        <f t="shared" si="365"/>
        <v>562</v>
      </c>
    </row>
    <row r="3925" spans="6:11" ht="24" customHeight="1">
      <c r="F3925" s="710">
        <v>1</v>
      </c>
      <c r="G3925" s="708" t="s">
        <v>877</v>
      </c>
      <c r="H3925" s="697" t="s">
        <v>1213</v>
      </c>
      <c r="I3925" s="774">
        <v>25</v>
      </c>
      <c r="J3925" s="697" t="s">
        <v>877</v>
      </c>
      <c r="K3925" s="710">
        <f t="shared" si="365"/>
        <v>25</v>
      </c>
    </row>
    <row r="3926" spans="6:11" ht="24" customHeight="1">
      <c r="F3926" s="710">
        <v>0.5</v>
      </c>
      <c r="G3926" s="708" t="s">
        <v>877</v>
      </c>
      <c r="H3926" s="697" t="s">
        <v>1214</v>
      </c>
      <c r="I3926" s="710">
        <f>I865</f>
        <v>461</v>
      </c>
      <c r="J3926" s="697" t="s">
        <v>877</v>
      </c>
      <c r="K3926" s="710">
        <f t="shared" si="365"/>
        <v>230.5</v>
      </c>
    </row>
    <row r="3927" spans="6:11" ht="24" customHeight="1">
      <c r="G3927" s="708" t="s">
        <v>450</v>
      </c>
      <c r="H3927" s="697" t="s">
        <v>2163</v>
      </c>
      <c r="J3927" s="697" t="s">
        <v>450</v>
      </c>
      <c r="K3927" s="710">
        <v>1.1299999999999999</v>
      </c>
    </row>
    <row r="3928" spans="6:11" ht="24" customHeight="1">
      <c r="K3928" s="705" t="s">
        <v>1609</v>
      </c>
    </row>
    <row r="3929" spans="6:11" ht="24" customHeight="1">
      <c r="H3929" s="711" t="s">
        <v>283</v>
      </c>
      <c r="K3929" s="709">
        <f>SUM(K3917:K3927)</f>
        <v>2475.81</v>
      </c>
    </row>
    <row r="3930" spans="6:11" ht="24" customHeight="1">
      <c r="K3930" s="705" t="s">
        <v>1609</v>
      </c>
    </row>
    <row r="3933" spans="6:11" ht="24" customHeight="1">
      <c r="G3933" s="708" t="s">
        <v>1932</v>
      </c>
      <c r="H3933" s="698" t="s">
        <v>1805</v>
      </c>
    </row>
    <row r="3934" spans="6:11" ht="24" customHeight="1">
      <c r="H3934" s="698" t="s">
        <v>1806</v>
      </c>
    </row>
    <row r="3935" spans="6:11" ht="46.5" customHeight="1">
      <c r="F3935" s="775">
        <v>3.6799999999999999E-2</v>
      </c>
      <c r="G3935" s="708" t="s">
        <v>878</v>
      </c>
      <c r="H3935" s="762" t="s">
        <v>5287</v>
      </c>
      <c r="I3935" s="710">
        <f t="shared" ref="I3935:I3942" si="366">I3917</f>
        <v>7940.58</v>
      </c>
      <c r="J3935" s="697" t="s">
        <v>878</v>
      </c>
      <c r="K3935" s="710">
        <f>F3935*I3935</f>
        <v>292.20999999999998</v>
      </c>
    </row>
    <row r="3936" spans="6:11" ht="24" customHeight="1">
      <c r="F3936" s="710">
        <v>4.87</v>
      </c>
      <c r="G3936" s="708" t="s">
        <v>1670</v>
      </c>
      <c r="H3936" s="697" t="s">
        <v>2100</v>
      </c>
      <c r="I3936" s="710">
        <f t="shared" si="366"/>
        <v>77593</v>
      </c>
      <c r="J3936" s="697" t="s">
        <v>870</v>
      </c>
      <c r="K3936" s="710">
        <f>F3936*I3936/1000</f>
        <v>377.88</v>
      </c>
    </row>
    <row r="3937" spans="6:12" ht="24" customHeight="1">
      <c r="F3937" s="710">
        <v>3</v>
      </c>
      <c r="G3937" s="708" t="s">
        <v>877</v>
      </c>
      <c r="H3937" s="697" t="s">
        <v>1204</v>
      </c>
      <c r="I3937" s="816">
        <f t="shared" si="366"/>
        <v>14.8</v>
      </c>
      <c r="J3937" s="697" t="s">
        <v>877</v>
      </c>
      <c r="K3937" s="710">
        <f t="shared" ref="K3937:K3944" si="367">F3937*I3937</f>
        <v>44.4</v>
      </c>
    </row>
    <row r="3938" spans="6:12" ht="24" customHeight="1">
      <c r="F3938" s="710">
        <v>12</v>
      </c>
      <c r="G3938" s="708" t="s">
        <v>877</v>
      </c>
      <c r="H3938" s="697" t="s">
        <v>1205</v>
      </c>
      <c r="I3938" s="816">
        <f t="shared" si="366"/>
        <v>2</v>
      </c>
      <c r="J3938" s="697" t="s">
        <v>877</v>
      </c>
      <c r="K3938" s="710">
        <f t="shared" si="367"/>
        <v>24</v>
      </c>
    </row>
    <row r="3939" spans="6:12" ht="24" customHeight="1">
      <c r="F3939" s="710">
        <v>2</v>
      </c>
      <c r="G3939" s="708" t="s">
        <v>877</v>
      </c>
      <c r="H3939" s="697" t="s">
        <v>1206</v>
      </c>
      <c r="I3939" s="816">
        <f t="shared" si="366"/>
        <v>4.9000000000000004</v>
      </c>
      <c r="J3939" s="697" t="s">
        <v>877</v>
      </c>
      <c r="K3939" s="710">
        <f t="shared" si="367"/>
        <v>9.8000000000000007</v>
      </c>
    </row>
    <row r="3940" spans="6:12" ht="24" customHeight="1">
      <c r="F3940" s="710">
        <v>6</v>
      </c>
      <c r="G3940" s="708" t="s">
        <v>877</v>
      </c>
      <c r="H3940" s="697" t="s">
        <v>2245</v>
      </c>
      <c r="I3940" s="816">
        <f t="shared" si="366"/>
        <v>4.45</v>
      </c>
      <c r="J3940" s="697" t="s">
        <v>877</v>
      </c>
      <c r="K3940" s="710">
        <f t="shared" si="367"/>
        <v>26.7</v>
      </c>
    </row>
    <row r="3941" spans="6:12" ht="24" customHeight="1">
      <c r="F3941" s="710">
        <v>1</v>
      </c>
      <c r="G3941" s="708" t="s">
        <v>877</v>
      </c>
      <c r="H3941" s="697" t="s">
        <v>1211</v>
      </c>
      <c r="I3941" s="710">
        <f t="shared" si="366"/>
        <v>861</v>
      </c>
      <c r="J3941" s="697" t="s">
        <v>877</v>
      </c>
      <c r="K3941" s="710">
        <f t="shared" si="367"/>
        <v>861</v>
      </c>
    </row>
    <row r="3942" spans="6:12" ht="24" customHeight="1">
      <c r="F3942" s="710">
        <v>1</v>
      </c>
      <c r="G3942" s="708" t="s">
        <v>877</v>
      </c>
      <c r="H3942" s="697" t="s">
        <v>1212</v>
      </c>
      <c r="I3942" s="710">
        <f t="shared" si="366"/>
        <v>562</v>
      </c>
      <c r="J3942" s="697" t="s">
        <v>877</v>
      </c>
      <c r="K3942" s="710">
        <f t="shared" si="367"/>
        <v>562</v>
      </c>
    </row>
    <row r="3943" spans="6:12" ht="24" customHeight="1">
      <c r="F3943" s="710">
        <v>1</v>
      </c>
      <c r="G3943" s="708" t="s">
        <v>877</v>
      </c>
      <c r="H3943" s="697" t="s">
        <v>1213</v>
      </c>
      <c r="I3943" s="800">
        <v>25</v>
      </c>
      <c r="J3943" s="697" t="s">
        <v>877</v>
      </c>
      <c r="K3943" s="710">
        <f t="shared" si="367"/>
        <v>25</v>
      </c>
    </row>
    <row r="3944" spans="6:12" ht="24" customHeight="1">
      <c r="F3944" s="710">
        <v>0.5</v>
      </c>
      <c r="G3944" s="708" t="s">
        <v>877</v>
      </c>
      <c r="H3944" s="697" t="s">
        <v>1214</v>
      </c>
      <c r="I3944" s="710">
        <f>I3926</f>
        <v>461</v>
      </c>
      <c r="J3944" s="697" t="s">
        <v>877</v>
      </c>
      <c r="K3944" s="710">
        <f t="shared" si="367"/>
        <v>230.5</v>
      </c>
    </row>
    <row r="3945" spans="6:12" ht="24" customHeight="1">
      <c r="G3945" s="708" t="s">
        <v>450</v>
      </c>
      <c r="H3945" s="697" t="s">
        <v>2163</v>
      </c>
      <c r="J3945" s="697" t="s">
        <v>450</v>
      </c>
      <c r="K3945" s="710">
        <f>1.9+0.08</f>
        <v>1.98</v>
      </c>
    </row>
    <row r="3946" spans="6:12" ht="24" customHeight="1">
      <c r="K3946" s="705" t="s">
        <v>1609</v>
      </c>
    </row>
    <row r="3947" spans="6:12" ht="24" customHeight="1">
      <c r="H3947" s="711" t="s">
        <v>283</v>
      </c>
      <c r="K3947" s="709">
        <f>SUM(K3935:K3945)</f>
        <v>2455.4699999999998</v>
      </c>
      <c r="L3947" s="699">
        <f>K3947-1729</f>
        <v>726.47</v>
      </c>
    </row>
    <row r="3948" spans="6:12" ht="24" customHeight="1">
      <c r="K3948" s="705" t="s">
        <v>1609</v>
      </c>
    </row>
    <row r="3949" spans="6:12" ht="24" customHeight="1">
      <c r="F3949" s="698"/>
      <c r="G3949" s="708" t="s">
        <v>522</v>
      </c>
      <c r="H3949" s="698" t="s">
        <v>567</v>
      </c>
    </row>
    <row r="3950" spans="6:12" ht="24" customHeight="1">
      <c r="H3950" s="698" t="s">
        <v>1806</v>
      </c>
    </row>
    <row r="3951" spans="6:12" ht="24" customHeight="1">
      <c r="F3951" s="775">
        <v>3.5299999999999998E-2</v>
      </c>
      <c r="G3951" s="708" t="s">
        <v>878</v>
      </c>
      <c r="H3951" s="697" t="s">
        <v>2099</v>
      </c>
      <c r="I3951" s="710">
        <f t="shared" ref="I3951:I3956" si="368">I3935</f>
        <v>7940.58</v>
      </c>
      <c r="J3951" s="697" t="s">
        <v>878</v>
      </c>
      <c r="K3951" s="710">
        <f>F3951*I3951</f>
        <v>280.3</v>
      </c>
    </row>
    <row r="3952" spans="6:12" ht="24" customHeight="1">
      <c r="F3952" s="710">
        <v>4.59</v>
      </c>
      <c r="G3952" s="708" t="s">
        <v>1670</v>
      </c>
      <c r="H3952" s="697" t="s">
        <v>2100</v>
      </c>
      <c r="I3952" s="710">
        <f t="shared" si="368"/>
        <v>77593</v>
      </c>
      <c r="J3952" s="697" t="s">
        <v>870</v>
      </c>
      <c r="K3952" s="710">
        <f>F3952*I3952/1000</f>
        <v>356.15</v>
      </c>
    </row>
    <row r="3953" spans="6:11" ht="24" customHeight="1">
      <c r="F3953" s="710">
        <v>3</v>
      </c>
      <c r="G3953" s="708" t="s">
        <v>877</v>
      </c>
      <c r="H3953" s="697" t="s">
        <v>1204</v>
      </c>
      <c r="I3953" s="816">
        <f t="shared" si="368"/>
        <v>14.8</v>
      </c>
      <c r="J3953" s="697" t="s">
        <v>877</v>
      </c>
      <c r="K3953" s="710">
        <f t="shared" ref="K3953:K3960" si="369">F3953*I3953</f>
        <v>44.4</v>
      </c>
    </row>
    <row r="3954" spans="6:11" ht="24" customHeight="1">
      <c r="F3954" s="710">
        <v>12</v>
      </c>
      <c r="G3954" s="708" t="s">
        <v>877</v>
      </c>
      <c r="H3954" s="697" t="s">
        <v>1205</v>
      </c>
      <c r="I3954" s="816">
        <f t="shared" si="368"/>
        <v>2</v>
      </c>
      <c r="J3954" s="697" t="s">
        <v>877</v>
      </c>
      <c r="K3954" s="710">
        <f t="shared" si="369"/>
        <v>24</v>
      </c>
    </row>
    <row r="3955" spans="6:11" ht="24" customHeight="1">
      <c r="F3955" s="710">
        <v>2</v>
      </c>
      <c r="G3955" s="708" t="s">
        <v>877</v>
      </c>
      <c r="H3955" s="710" t="str">
        <f>H3939</f>
        <v>TOWER BOLT RECEIVER</v>
      </c>
      <c r="I3955" s="816">
        <f t="shared" si="368"/>
        <v>4.9000000000000004</v>
      </c>
      <c r="J3955" s="697" t="s">
        <v>877</v>
      </c>
      <c r="K3955" s="710">
        <f t="shared" si="369"/>
        <v>9.8000000000000007</v>
      </c>
    </row>
    <row r="3956" spans="6:11" ht="24" customHeight="1">
      <c r="F3956" s="710">
        <v>6</v>
      </c>
      <c r="G3956" s="708" t="s">
        <v>877</v>
      </c>
      <c r="H3956" s="697" t="s">
        <v>2245</v>
      </c>
      <c r="I3956" s="816">
        <f t="shared" si="368"/>
        <v>4.45</v>
      </c>
      <c r="J3956" s="697" t="s">
        <v>877</v>
      </c>
      <c r="K3956" s="710">
        <f t="shared" si="369"/>
        <v>26.7</v>
      </c>
    </row>
    <row r="3957" spans="6:11" ht="24" customHeight="1">
      <c r="F3957" s="710">
        <v>1</v>
      </c>
      <c r="G3957" s="708" t="s">
        <v>877</v>
      </c>
      <c r="H3957" s="697" t="s">
        <v>1211</v>
      </c>
      <c r="I3957" s="710">
        <f>I3941</f>
        <v>861</v>
      </c>
      <c r="J3957" s="697" t="s">
        <v>877</v>
      </c>
      <c r="K3957" s="710">
        <f t="shared" si="369"/>
        <v>861</v>
      </c>
    </row>
    <row r="3958" spans="6:11" ht="24" customHeight="1">
      <c r="F3958" s="710">
        <v>1</v>
      </c>
      <c r="G3958" s="708" t="s">
        <v>877</v>
      </c>
      <c r="H3958" s="697" t="s">
        <v>1212</v>
      </c>
      <c r="I3958" s="710">
        <f>I3942</f>
        <v>562</v>
      </c>
      <c r="J3958" s="697" t="s">
        <v>877</v>
      </c>
      <c r="K3958" s="710">
        <f t="shared" si="369"/>
        <v>562</v>
      </c>
    </row>
    <row r="3959" spans="6:11" ht="24" customHeight="1">
      <c r="F3959" s="710">
        <v>1</v>
      </c>
      <c r="G3959" s="708" t="s">
        <v>877</v>
      </c>
      <c r="H3959" s="710" t="str">
        <f>H3943</f>
        <v>MOULDING CHARGES</v>
      </c>
      <c r="I3959" s="710">
        <f>I3943</f>
        <v>25</v>
      </c>
      <c r="J3959" s="697" t="s">
        <v>877</v>
      </c>
      <c r="K3959" s="710">
        <f t="shared" si="369"/>
        <v>25</v>
      </c>
    </row>
    <row r="3960" spans="6:11" ht="24" customHeight="1">
      <c r="F3960" s="710">
        <v>0.5</v>
      </c>
      <c r="G3960" s="708" t="s">
        <v>877</v>
      </c>
      <c r="H3960" s="697" t="s">
        <v>1214</v>
      </c>
      <c r="I3960" s="710">
        <f>I3944</f>
        <v>461</v>
      </c>
      <c r="J3960" s="697" t="s">
        <v>877</v>
      </c>
      <c r="K3960" s="710">
        <f t="shared" si="369"/>
        <v>230.5</v>
      </c>
    </row>
    <row r="3961" spans="6:11" ht="24" customHeight="1">
      <c r="G3961" s="708" t="s">
        <v>450</v>
      </c>
      <c r="H3961" s="697" t="s">
        <v>2163</v>
      </c>
      <c r="I3961" s="710">
        <f>I3945</f>
        <v>0</v>
      </c>
      <c r="J3961" s="697" t="s">
        <v>450</v>
      </c>
      <c r="K3961" s="710">
        <v>1.39</v>
      </c>
    </row>
    <row r="3962" spans="6:11" ht="24" customHeight="1">
      <c r="K3962" s="705" t="s">
        <v>1609</v>
      </c>
    </row>
    <row r="3963" spans="6:11" ht="24" customHeight="1">
      <c r="H3963" s="711" t="s">
        <v>283</v>
      </c>
      <c r="K3963" s="709">
        <f>SUM(K3951:K3961)</f>
        <v>2421.2399999999998</v>
      </c>
    </row>
    <row r="3964" spans="6:11" ht="24" customHeight="1">
      <c r="K3964" s="705" t="s">
        <v>1609</v>
      </c>
    </row>
    <row r="3966" spans="6:11" ht="24" customHeight="1">
      <c r="G3966" s="699"/>
      <c r="H3966" s="698" t="s">
        <v>1768</v>
      </c>
      <c r="J3966" s="699"/>
      <c r="K3966" s="705"/>
    </row>
    <row r="3967" spans="6:11" ht="24" customHeight="1">
      <c r="G3967" s="699"/>
      <c r="J3967" s="699"/>
      <c r="K3967" s="705"/>
    </row>
    <row r="3968" spans="6:11" ht="24" customHeight="1">
      <c r="F3968" s="775">
        <v>6.5000000000000002E-2</v>
      </c>
      <c r="G3968" s="708" t="s">
        <v>878</v>
      </c>
      <c r="H3968" s="697" t="s">
        <v>2099</v>
      </c>
      <c r="I3968" s="710">
        <f>I3951</f>
        <v>7940.58</v>
      </c>
      <c r="J3968" s="697" t="s">
        <v>878</v>
      </c>
      <c r="K3968" s="710">
        <f>I3968*F3968</f>
        <v>516.14</v>
      </c>
    </row>
    <row r="3969" spans="6:11" ht="24" customHeight="1">
      <c r="F3969" s="819">
        <v>8.4499999999999993</v>
      </c>
      <c r="G3969" s="708" t="s">
        <v>1670</v>
      </c>
      <c r="H3969" s="697" t="s">
        <v>2100</v>
      </c>
      <c r="I3969" s="710">
        <f t="shared" ref="I3969:I3978" si="370">I3952</f>
        <v>77593</v>
      </c>
      <c r="J3969" s="697" t="s">
        <v>870</v>
      </c>
      <c r="K3969" s="710">
        <f>I3969*F3969/1000</f>
        <v>655.66</v>
      </c>
    </row>
    <row r="3970" spans="6:11" ht="24" customHeight="1">
      <c r="F3970" s="710">
        <v>3</v>
      </c>
      <c r="G3970" s="708" t="s">
        <v>877</v>
      </c>
      <c r="H3970" s="697" t="s">
        <v>1204</v>
      </c>
      <c r="I3970" s="710">
        <f t="shared" si="370"/>
        <v>14.8</v>
      </c>
      <c r="J3970" s="697" t="s">
        <v>877</v>
      </c>
      <c r="K3970" s="710">
        <f t="shared" ref="K3970:K3977" si="371">I3970*F3970</f>
        <v>44.4</v>
      </c>
    </row>
    <row r="3971" spans="6:11" ht="24" customHeight="1">
      <c r="F3971" s="710">
        <v>12</v>
      </c>
      <c r="G3971" s="708" t="s">
        <v>877</v>
      </c>
      <c r="H3971" s="697" t="s">
        <v>1205</v>
      </c>
      <c r="I3971" s="710">
        <f t="shared" si="370"/>
        <v>2</v>
      </c>
      <c r="J3971" s="697" t="s">
        <v>877</v>
      </c>
      <c r="K3971" s="710">
        <f t="shared" si="371"/>
        <v>24</v>
      </c>
    </row>
    <row r="3972" spans="6:11" ht="24" customHeight="1">
      <c r="F3972" s="710">
        <v>2</v>
      </c>
      <c r="G3972" s="708" t="s">
        <v>877</v>
      </c>
      <c r="H3972" s="697" t="s">
        <v>1206</v>
      </c>
      <c r="I3972" s="710">
        <f t="shared" si="370"/>
        <v>4.9000000000000004</v>
      </c>
      <c r="J3972" s="697" t="s">
        <v>877</v>
      </c>
      <c r="K3972" s="710">
        <f t="shared" si="371"/>
        <v>9.8000000000000007</v>
      </c>
    </row>
    <row r="3973" spans="6:11" ht="24" customHeight="1">
      <c r="F3973" s="710">
        <v>6</v>
      </c>
      <c r="G3973" s="708" t="s">
        <v>877</v>
      </c>
      <c r="H3973" s="697" t="s">
        <v>2245</v>
      </c>
      <c r="I3973" s="710">
        <f t="shared" si="370"/>
        <v>4.45</v>
      </c>
      <c r="J3973" s="697" t="s">
        <v>877</v>
      </c>
      <c r="K3973" s="710">
        <f t="shared" si="371"/>
        <v>26.7</v>
      </c>
    </row>
    <row r="3974" spans="6:11" ht="24" customHeight="1">
      <c r="F3974" s="710">
        <v>1</v>
      </c>
      <c r="G3974" s="708" t="s">
        <v>877</v>
      </c>
      <c r="H3974" s="697" t="s">
        <v>1211</v>
      </c>
      <c r="I3974" s="710">
        <f t="shared" si="370"/>
        <v>861</v>
      </c>
      <c r="J3974" s="697" t="s">
        <v>877</v>
      </c>
      <c r="K3974" s="710">
        <f t="shared" si="371"/>
        <v>861</v>
      </c>
    </row>
    <row r="3975" spans="6:11" ht="24" customHeight="1">
      <c r="F3975" s="710">
        <v>1</v>
      </c>
      <c r="G3975" s="708" t="s">
        <v>877</v>
      </c>
      <c r="H3975" s="697" t="s">
        <v>1212</v>
      </c>
      <c r="I3975" s="710">
        <f t="shared" si="370"/>
        <v>562</v>
      </c>
      <c r="J3975" s="697" t="s">
        <v>877</v>
      </c>
      <c r="K3975" s="710">
        <f t="shared" si="371"/>
        <v>562</v>
      </c>
    </row>
    <row r="3976" spans="6:11" ht="24" customHeight="1">
      <c r="F3976" s="710">
        <v>1</v>
      </c>
      <c r="G3976" s="708" t="s">
        <v>877</v>
      </c>
      <c r="H3976" s="697" t="s">
        <v>1213</v>
      </c>
      <c r="I3976" s="710">
        <f t="shared" si="370"/>
        <v>25</v>
      </c>
      <c r="J3976" s="697" t="s">
        <v>877</v>
      </c>
      <c r="K3976" s="710">
        <f t="shared" si="371"/>
        <v>25</v>
      </c>
    </row>
    <row r="3977" spans="6:11" ht="24" customHeight="1">
      <c r="F3977" s="710">
        <v>0.5</v>
      </c>
      <c r="G3977" s="708" t="s">
        <v>877</v>
      </c>
      <c r="H3977" s="697" t="s">
        <v>1214</v>
      </c>
      <c r="I3977" s="710">
        <f t="shared" si="370"/>
        <v>461</v>
      </c>
      <c r="J3977" s="697" t="s">
        <v>877</v>
      </c>
      <c r="K3977" s="710">
        <f t="shared" si="371"/>
        <v>230.5</v>
      </c>
    </row>
    <row r="3978" spans="6:11" ht="24" customHeight="1">
      <c r="G3978" s="708" t="s">
        <v>450</v>
      </c>
      <c r="H3978" s="697" t="s">
        <v>2163</v>
      </c>
      <c r="I3978" s="710">
        <f t="shared" si="370"/>
        <v>0</v>
      </c>
      <c r="J3978" s="697" t="s">
        <v>450</v>
      </c>
      <c r="K3978" s="710">
        <v>2.1</v>
      </c>
    </row>
    <row r="3979" spans="6:11" ht="24" customHeight="1">
      <c r="K3979" s="705" t="s">
        <v>1609</v>
      </c>
    </row>
    <row r="3980" spans="6:11" ht="24" customHeight="1">
      <c r="H3980" s="711" t="s">
        <v>283</v>
      </c>
      <c r="K3980" s="821">
        <f>SUM(K3968:K3978)</f>
        <v>2957.3</v>
      </c>
    </row>
    <row r="3981" spans="6:11" ht="24" customHeight="1">
      <c r="K3981" s="705" t="s">
        <v>1609</v>
      </c>
    </row>
    <row r="3982" spans="6:11" ht="24" customHeight="1">
      <c r="F3982" s="1871" t="s">
        <v>4432</v>
      </c>
      <c r="G3982" s="1871"/>
      <c r="H3982" s="1871"/>
      <c r="I3982" s="878"/>
      <c r="J3982" s="878"/>
    </row>
    <row r="3983" spans="6:11" ht="24" customHeight="1">
      <c r="F3983" s="703"/>
      <c r="H3983" s="847" t="s">
        <v>4433</v>
      </c>
    </row>
    <row r="3984" spans="6:11" ht="24" customHeight="1">
      <c r="F3984" s="740">
        <v>4.88</v>
      </c>
      <c r="G3984" s="708" t="s">
        <v>922</v>
      </c>
      <c r="H3984" s="697" t="s">
        <v>1879</v>
      </c>
      <c r="I3984" s="710">
        <f>AB1347</f>
        <v>301</v>
      </c>
      <c r="J3984" s="708" t="s">
        <v>922</v>
      </c>
      <c r="K3984" s="710">
        <f t="shared" ref="K3984:K3993" si="372">I3984*F3984</f>
        <v>1468.88</v>
      </c>
    </row>
    <row r="3985" spans="6:11" ht="24" customHeight="1">
      <c r="F3985" s="740">
        <v>7.76</v>
      </c>
      <c r="G3985" s="708" t="s">
        <v>922</v>
      </c>
      <c r="H3985" s="697" t="s">
        <v>1879</v>
      </c>
      <c r="I3985" s="710">
        <f>I3984</f>
        <v>301</v>
      </c>
      <c r="J3985" s="708" t="s">
        <v>922</v>
      </c>
      <c r="K3985" s="710">
        <f t="shared" si="372"/>
        <v>2335.7600000000002</v>
      </c>
    </row>
    <row r="3986" spans="6:11" ht="24" customHeight="1">
      <c r="F3986" s="740">
        <v>3.03</v>
      </c>
      <c r="G3986" s="708" t="s">
        <v>922</v>
      </c>
      <c r="H3986" s="697" t="s">
        <v>1879</v>
      </c>
      <c r="I3986" s="710">
        <f>I3985</f>
        <v>301</v>
      </c>
      <c r="J3986" s="708" t="s">
        <v>922</v>
      </c>
      <c r="K3986" s="710">
        <f t="shared" si="372"/>
        <v>912.03</v>
      </c>
    </row>
    <row r="3987" spans="6:11" ht="24" customHeight="1">
      <c r="F3987" s="740">
        <v>1.45</v>
      </c>
      <c r="G3987" s="708" t="s">
        <v>922</v>
      </c>
      <c r="H3987" s="697" t="s">
        <v>1879</v>
      </c>
      <c r="I3987" s="710">
        <f>I3986</f>
        <v>301</v>
      </c>
      <c r="J3987" s="708" t="s">
        <v>922</v>
      </c>
      <c r="K3987" s="710">
        <f t="shared" si="372"/>
        <v>436.45</v>
      </c>
    </row>
    <row r="3988" spans="6:11" ht="24" customHeight="1">
      <c r="F3988" s="740">
        <v>2.4300000000000002</v>
      </c>
      <c r="G3988" s="708" t="s">
        <v>236</v>
      </c>
      <c r="H3988" s="697" t="s">
        <v>1880</v>
      </c>
      <c r="I3988" s="710">
        <f>AB1351</f>
        <v>303.89999999999998</v>
      </c>
      <c r="J3988" s="708" t="s">
        <v>236</v>
      </c>
      <c r="K3988" s="710">
        <f t="shared" si="372"/>
        <v>738.48</v>
      </c>
    </row>
    <row r="3989" spans="6:11" ht="24" customHeight="1">
      <c r="F3989" s="740">
        <v>11.7</v>
      </c>
      <c r="G3989" s="708" t="s">
        <v>835</v>
      </c>
      <c r="H3989" s="697" t="s">
        <v>1881</v>
      </c>
      <c r="I3989" s="710">
        <f>AB1352</f>
        <v>28.8</v>
      </c>
      <c r="J3989" s="708" t="s">
        <v>835</v>
      </c>
      <c r="K3989" s="710">
        <f t="shared" si="372"/>
        <v>336.96</v>
      </c>
    </row>
    <row r="3990" spans="6:11" ht="24" customHeight="1">
      <c r="F3990" s="740">
        <v>3</v>
      </c>
      <c r="G3990" s="708" t="s">
        <v>778</v>
      </c>
      <c r="H3990" s="697" t="s">
        <v>4434</v>
      </c>
      <c r="I3990" s="710">
        <v>350</v>
      </c>
      <c r="J3990" s="708" t="s">
        <v>778</v>
      </c>
      <c r="K3990" s="710">
        <f t="shared" si="372"/>
        <v>1050</v>
      </c>
    </row>
    <row r="3991" spans="6:11" ht="24" customHeight="1">
      <c r="F3991" s="740">
        <v>3</v>
      </c>
      <c r="G3991" s="708" t="s">
        <v>778</v>
      </c>
      <c r="H3991" s="697" t="s">
        <v>1883</v>
      </c>
      <c r="I3991" s="710">
        <f>V1356</f>
        <v>53.4</v>
      </c>
      <c r="J3991" s="708" t="s">
        <v>778</v>
      </c>
      <c r="K3991" s="710">
        <f t="shared" si="372"/>
        <v>160.19999999999999</v>
      </c>
    </row>
    <row r="3992" spans="6:11" ht="24" customHeight="1">
      <c r="F3992" s="740">
        <v>4</v>
      </c>
      <c r="G3992" s="708" t="s">
        <v>778</v>
      </c>
      <c r="H3992" s="697" t="s">
        <v>1886</v>
      </c>
      <c r="I3992" s="710">
        <f>AB1357</f>
        <v>15</v>
      </c>
      <c r="J3992" s="708" t="s">
        <v>778</v>
      </c>
      <c r="K3992" s="710">
        <f t="shared" si="372"/>
        <v>60</v>
      </c>
    </row>
    <row r="3993" spans="6:11" ht="24" customHeight="1">
      <c r="F3993" s="740">
        <v>2.4300000000000002</v>
      </c>
      <c r="G3993" s="708" t="s">
        <v>2308</v>
      </c>
      <c r="H3993" s="697" t="s">
        <v>1887</v>
      </c>
      <c r="I3993" s="710">
        <f>AB1358</f>
        <v>1724</v>
      </c>
      <c r="J3993" s="708" t="s">
        <v>778</v>
      </c>
      <c r="K3993" s="710">
        <f t="shared" si="372"/>
        <v>4189.32</v>
      </c>
    </row>
    <row r="3994" spans="6:11" ht="24" customHeight="1">
      <c r="F3994" s="703"/>
      <c r="H3994" s="697" t="s">
        <v>1888</v>
      </c>
      <c r="J3994" s="708"/>
      <c r="K3994" s="710"/>
    </row>
    <row r="3995" spans="6:11" ht="24" customHeight="1">
      <c r="F3995" s="703"/>
      <c r="G3995" s="699"/>
      <c r="H3995" s="707" t="s">
        <v>3594</v>
      </c>
      <c r="J3995" s="699"/>
      <c r="K3995" s="710">
        <f>SUM(K3984:K3994)</f>
        <v>11688.08</v>
      </c>
    </row>
    <row r="3996" spans="6:11" ht="24" customHeight="1">
      <c r="F3996" s="703"/>
      <c r="G3996" s="699"/>
      <c r="H3996" s="707" t="s">
        <v>4435</v>
      </c>
      <c r="J3996" s="708" t="s">
        <v>2308</v>
      </c>
      <c r="K3996" s="710">
        <f>K3995/F3993</f>
        <v>4809.91</v>
      </c>
    </row>
    <row r="3997" spans="6:11" ht="24" customHeight="1">
      <c r="F3997" s="703"/>
      <c r="G3997" s="699"/>
      <c r="J3997" s="699"/>
      <c r="K3997" s="709"/>
    </row>
    <row r="3998" spans="6:11" ht="24" customHeight="1">
      <c r="F3998" s="703"/>
      <c r="G3998" s="699"/>
      <c r="J3998" s="699"/>
    </row>
    <row r="3999" spans="6:11" ht="24" customHeight="1">
      <c r="F3999" s="879"/>
      <c r="G3999" s="1145"/>
      <c r="H3999" s="1871" t="s">
        <v>4436</v>
      </c>
      <c r="I3999" s="1871"/>
      <c r="J3999" s="1871"/>
      <c r="K3999" s="1871"/>
    </row>
    <row r="4000" spans="6:11" ht="24" customHeight="1">
      <c r="F4000" s="776"/>
      <c r="G4000" s="708"/>
      <c r="H4000" s="697"/>
      <c r="I4000" s="710"/>
      <c r="J4000" s="708"/>
      <c r="K4000" s="710"/>
    </row>
    <row r="4001" spans="6:11" ht="24" customHeight="1">
      <c r="F4001" s="776"/>
      <c r="G4001" s="708"/>
      <c r="H4001" s="697"/>
      <c r="I4001" s="710"/>
      <c r="J4001" s="708"/>
      <c r="K4001" s="710"/>
    </row>
    <row r="4002" spans="6:11" ht="24" customHeight="1">
      <c r="F4002" s="776"/>
      <c r="G4002" s="708"/>
      <c r="H4002" s="697"/>
      <c r="I4002" s="710"/>
      <c r="J4002" s="708"/>
      <c r="K4002" s="710"/>
    </row>
    <row r="4003" spans="6:11" ht="24" customHeight="1">
      <c r="F4003" s="776">
        <v>12.08</v>
      </c>
      <c r="G4003" s="708" t="s">
        <v>922</v>
      </c>
      <c r="H4003" s="697" t="s">
        <v>1879</v>
      </c>
      <c r="I4003" s="710">
        <f>I3984</f>
        <v>301</v>
      </c>
      <c r="J4003" s="708" t="s">
        <v>922</v>
      </c>
      <c r="K4003" s="710">
        <f>I4003*F4003</f>
        <v>3636.08</v>
      </c>
    </row>
    <row r="4004" spans="6:11" ht="24" customHeight="1">
      <c r="F4004" s="776">
        <v>1.823</v>
      </c>
      <c r="G4004" s="708" t="s">
        <v>236</v>
      </c>
      <c r="H4004" s="697" t="s">
        <v>1880</v>
      </c>
      <c r="I4004" s="710">
        <f>I3988</f>
        <v>303.89999999999998</v>
      </c>
      <c r="J4004" s="708" t="s">
        <v>236</v>
      </c>
      <c r="K4004" s="710">
        <f t="shared" ref="K4004:K4009" si="373">I4004*F4004</f>
        <v>554.01</v>
      </c>
    </row>
    <row r="4005" spans="6:11" ht="24" customHeight="1">
      <c r="F4005" s="776">
        <v>8.1</v>
      </c>
      <c r="G4005" s="708" t="s">
        <v>835</v>
      </c>
      <c r="H4005" s="697" t="s">
        <v>1881</v>
      </c>
      <c r="I4005" s="710">
        <f>I3989</f>
        <v>28.8</v>
      </c>
      <c r="J4005" s="708" t="s">
        <v>835</v>
      </c>
      <c r="K4005" s="710">
        <f t="shared" si="373"/>
        <v>233.28</v>
      </c>
    </row>
    <row r="4006" spans="6:11" ht="24" customHeight="1">
      <c r="F4006" s="776">
        <v>2</v>
      </c>
      <c r="G4006" s="708" t="s">
        <v>3981</v>
      </c>
      <c r="H4006" s="697" t="s">
        <v>4437</v>
      </c>
      <c r="I4006" s="710">
        <f>I3990</f>
        <v>350</v>
      </c>
      <c r="J4006" s="708" t="s">
        <v>778</v>
      </c>
      <c r="K4006" s="710">
        <f t="shared" si="373"/>
        <v>700</v>
      </c>
    </row>
    <row r="4007" spans="6:11" ht="24" customHeight="1">
      <c r="F4007" s="776">
        <v>2</v>
      </c>
      <c r="G4007" s="708" t="s">
        <v>778</v>
      </c>
      <c r="H4007" s="697" t="s">
        <v>1883</v>
      </c>
      <c r="I4007" s="710">
        <f>I3991</f>
        <v>53.4</v>
      </c>
      <c r="J4007" s="708" t="s">
        <v>778</v>
      </c>
      <c r="K4007" s="710">
        <f t="shared" si="373"/>
        <v>106.8</v>
      </c>
    </row>
    <row r="4008" spans="6:11" ht="24" customHeight="1">
      <c r="F4008" s="776">
        <v>4</v>
      </c>
      <c r="G4008" s="708" t="s">
        <v>778</v>
      </c>
      <c r="H4008" s="697" t="s">
        <v>1886</v>
      </c>
      <c r="I4008" s="737">
        <v>15</v>
      </c>
      <c r="J4008" s="708" t="s">
        <v>778</v>
      </c>
      <c r="K4008" s="710">
        <f t="shared" si="373"/>
        <v>60</v>
      </c>
    </row>
    <row r="4009" spans="6:11" ht="24" customHeight="1">
      <c r="F4009" s="776">
        <v>1.823</v>
      </c>
      <c r="G4009" s="708" t="s">
        <v>2308</v>
      </c>
      <c r="H4009" s="697" t="s">
        <v>1887</v>
      </c>
      <c r="I4009" s="879">
        <f>I3993</f>
        <v>1724</v>
      </c>
      <c r="J4009" s="708" t="s">
        <v>2308</v>
      </c>
      <c r="K4009" s="710">
        <f t="shared" si="373"/>
        <v>3142.85</v>
      </c>
    </row>
    <row r="4010" spans="6:11" ht="24" customHeight="1">
      <c r="F4010" s="879"/>
      <c r="G4010" s="1145"/>
      <c r="H4010" s="697"/>
      <c r="I4010" s="879"/>
      <c r="J4010" s="880"/>
      <c r="K4010" s="710"/>
    </row>
    <row r="4011" spans="6:11" ht="24" customHeight="1">
      <c r="F4011" s="879"/>
      <c r="G4011" s="879"/>
      <c r="H4011" s="805" t="s">
        <v>4438</v>
      </c>
      <c r="I4011" s="879"/>
      <c r="J4011" s="879"/>
      <c r="K4011" s="710">
        <f>SUM(K4003:K4010)</f>
        <v>8433.02</v>
      </c>
    </row>
    <row r="4012" spans="6:11" ht="24" customHeight="1">
      <c r="F4012" s="879"/>
      <c r="G4012" s="879"/>
      <c r="H4012" s="805" t="s">
        <v>4439</v>
      </c>
      <c r="I4012" s="879"/>
      <c r="J4012" s="879"/>
      <c r="K4012" s="1104">
        <f>K4011/F4009</f>
        <v>4625.8999999999996</v>
      </c>
    </row>
    <row r="4013" spans="6:11" ht="24" customHeight="1">
      <c r="F4013" s="879"/>
      <c r="G4013" s="879"/>
      <c r="H4013" s="805"/>
      <c r="I4013" s="879"/>
      <c r="J4013" s="879"/>
      <c r="K4013" s="879"/>
    </row>
    <row r="4014" spans="6:11" ht="24" customHeight="1">
      <c r="F4014" s="703"/>
      <c r="H4014" s="847" t="s">
        <v>4440</v>
      </c>
    </row>
    <row r="4015" spans="6:11" ht="24" customHeight="1">
      <c r="F4015" s="740">
        <v>3.72</v>
      </c>
      <c r="G4015" s="708" t="s">
        <v>922</v>
      </c>
      <c r="H4015" s="697" t="s">
        <v>1879</v>
      </c>
      <c r="I4015" s="710">
        <f>I3984</f>
        <v>301</v>
      </c>
      <c r="J4015" s="708" t="s">
        <v>922</v>
      </c>
      <c r="K4015" s="710">
        <f>I4015*F4015</f>
        <v>1119.72</v>
      </c>
    </row>
    <row r="4016" spans="6:11" ht="24" customHeight="1">
      <c r="F4016" s="740">
        <v>4.57</v>
      </c>
      <c r="G4016" s="708" t="s">
        <v>922</v>
      </c>
      <c r="H4016" s="697" t="s">
        <v>1879</v>
      </c>
      <c r="I4016" s="710">
        <f>I4015</f>
        <v>301</v>
      </c>
      <c r="J4016" s="708" t="s">
        <v>922</v>
      </c>
      <c r="K4016" s="710">
        <f t="shared" ref="K4016:K4022" si="374">I4016*F4016</f>
        <v>1375.57</v>
      </c>
    </row>
    <row r="4017" spans="6:11" ht="24" customHeight="1">
      <c r="F4017" s="740">
        <v>1.18</v>
      </c>
      <c r="G4017" s="708" t="s">
        <v>922</v>
      </c>
      <c r="H4017" s="697" t="s">
        <v>1879</v>
      </c>
      <c r="I4017" s="710">
        <f>I4016</f>
        <v>301</v>
      </c>
      <c r="J4017" s="708" t="s">
        <v>922</v>
      </c>
      <c r="K4017" s="710">
        <f t="shared" si="374"/>
        <v>355.18</v>
      </c>
    </row>
    <row r="4018" spans="6:11" ht="24" customHeight="1">
      <c r="F4018" s="740">
        <v>0.86</v>
      </c>
      <c r="G4018" s="708" t="s">
        <v>922</v>
      </c>
      <c r="H4018" s="697" t="s">
        <v>1879</v>
      </c>
      <c r="I4018" s="710">
        <f>I4017</f>
        <v>301</v>
      </c>
      <c r="J4018" s="708" t="s">
        <v>922</v>
      </c>
      <c r="K4018" s="710">
        <f t="shared" si="374"/>
        <v>258.86</v>
      </c>
    </row>
    <row r="4019" spans="6:11" ht="24" customHeight="1">
      <c r="F4019" s="740">
        <v>1.42</v>
      </c>
      <c r="G4019" s="708" t="s">
        <v>236</v>
      </c>
      <c r="H4019" s="697" t="s">
        <v>1880</v>
      </c>
      <c r="I4019" s="710">
        <f t="shared" ref="I4019:I4024" si="375">I4004</f>
        <v>303.89999999999998</v>
      </c>
      <c r="J4019" s="708" t="s">
        <v>236</v>
      </c>
      <c r="K4019" s="710">
        <f t="shared" si="374"/>
        <v>431.54</v>
      </c>
    </row>
    <row r="4020" spans="6:11" ht="24" customHeight="1">
      <c r="F4020" s="740">
        <v>6.9</v>
      </c>
      <c r="G4020" s="708" t="s">
        <v>835</v>
      </c>
      <c r="H4020" s="697" t="s">
        <v>1881</v>
      </c>
      <c r="I4020" s="710">
        <f t="shared" si="375"/>
        <v>28.8</v>
      </c>
      <c r="J4020" s="708" t="s">
        <v>835</v>
      </c>
      <c r="K4020" s="710">
        <f t="shared" si="374"/>
        <v>198.72</v>
      </c>
    </row>
    <row r="4021" spans="6:11" ht="24" customHeight="1">
      <c r="F4021" s="740">
        <v>2</v>
      </c>
      <c r="G4021" s="708" t="s">
        <v>778</v>
      </c>
      <c r="H4021" s="697" t="s">
        <v>4437</v>
      </c>
      <c r="I4021" s="710">
        <f t="shared" si="375"/>
        <v>350</v>
      </c>
      <c r="J4021" s="708" t="s">
        <v>778</v>
      </c>
      <c r="K4021" s="710">
        <f t="shared" si="374"/>
        <v>700</v>
      </c>
    </row>
    <row r="4022" spans="6:11" ht="24" customHeight="1">
      <c r="F4022" s="740">
        <v>2</v>
      </c>
      <c r="G4022" s="708" t="s">
        <v>778</v>
      </c>
      <c r="H4022" s="697" t="s">
        <v>1883</v>
      </c>
      <c r="I4022" s="710">
        <f t="shared" si="375"/>
        <v>53.4</v>
      </c>
      <c r="J4022" s="708" t="s">
        <v>778</v>
      </c>
      <c r="K4022" s="710">
        <f t="shared" si="374"/>
        <v>106.8</v>
      </c>
    </row>
    <row r="4023" spans="6:11" ht="24" customHeight="1">
      <c r="F4023" s="740">
        <v>4</v>
      </c>
      <c r="G4023" s="708" t="s">
        <v>778</v>
      </c>
      <c r="H4023" s="697" t="s">
        <v>1886</v>
      </c>
      <c r="I4023" s="710">
        <f t="shared" si="375"/>
        <v>15</v>
      </c>
      <c r="J4023" s="708" t="s">
        <v>778</v>
      </c>
      <c r="K4023" s="710">
        <f>I4023*F4023</f>
        <v>60</v>
      </c>
    </row>
    <row r="4024" spans="6:11" ht="24" customHeight="1">
      <c r="F4024" s="740">
        <v>1.42</v>
      </c>
      <c r="G4024" s="708" t="s">
        <v>2308</v>
      </c>
      <c r="H4024" s="697" t="s">
        <v>1887</v>
      </c>
      <c r="I4024" s="710">
        <f t="shared" si="375"/>
        <v>1724</v>
      </c>
      <c r="J4024" s="708" t="s">
        <v>2308</v>
      </c>
      <c r="K4024" s="710">
        <f>I4024*F4024</f>
        <v>2448.08</v>
      </c>
    </row>
    <row r="4025" spans="6:11" ht="24" customHeight="1">
      <c r="F4025" s="703"/>
      <c r="H4025" s="697" t="s">
        <v>1888</v>
      </c>
      <c r="J4025" s="704"/>
      <c r="K4025" s="710"/>
    </row>
    <row r="4026" spans="6:11" ht="24" customHeight="1">
      <c r="F4026" s="703"/>
      <c r="G4026" s="699"/>
      <c r="H4026" s="707" t="s">
        <v>3594</v>
      </c>
      <c r="J4026" s="699"/>
      <c r="K4026" s="710">
        <f>SUM(K4015:K4025)</f>
        <v>7054.47</v>
      </c>
    </row>
    <row r="4027" spans="6:11" ht="24" customHeight="1">
      <c r="F4027" s="703"/>
      <c r="G4027" s="699"/>
      <c r="H4027" s="805" t="s">
        <v>4439</v>
      </c>
      <c r="J4027" s="699"/>
      <c r="K4027" s="758">
        <f>K4026/F4024</f>
        <v>4967.9399999999996</v>
      </c>
    </row>
    <row r="4028" spans="6:11" ht="24" customHeight="1">
      <c r="F4028" s="703"/>
      <c r="G4028" s="699"/>
      <c r="J4028" s="699"/>
      <c r="K4028" s="709"/>
    </row>
    <row r="4029" spans="6:11" ht="24" customHeight="1">
      <c r="F4029" s="703"/>
      <c r="G4029" s="699"/>
      <c r="H4029" s="847" t="s">
        <v>4441</v>
      </c>
    </row>
    <row r="4030" spans="6:11" ht="24" customHeight="1">
      <c r="F4030" s="884">
        <v>11.61</v>
      </c>
      <c r="G4030" s="885" t="s">
        <v>922</v>
      </c>
      <c r="H4030" s="888" t="s">
        <v>1879</v>
      </c>
      <c r="I4030" s="887">
        <f>I4015</f>
        <v>301</v>
      </c>
      <c r="J4030" s="885" t="s">
        <v>922</v>
      </c>
      <c r="K4030" s="887">
        <f>I4030*F4030</f>
        <v>3494.61</v>
      </c>
    </row>
    <row r="4031" spans="6:11" ht="24" customHeight="1">
      <c r="F4031" s="884">
        <v>7.8</v>
      </c>
      <c r="G4031" s="885" t="s">
        <v>835</v>
      </c>
      <c r="H4031" s="888" t="s">
        <v>3972</v>
      </c>
      <c r="I4031" s="887">
        <f>I4020</f>
        <v>28.8</v>
      </c>
      <c r="J4031" s="885" t="s">
        <v>835</v>
      </c>
      <c r="K4031" s="887">
        <f t="shared" ref="K4031:K4036" si="376">I4031*F4031</f>
        <v>224.64</v>
      </c>
    </row>
    <row r="4032" spans="6:11" ht="24" customHeight="1">
      <c r="F4032" s="884">
        <v>1.62</v>
      </c>
      <c r="G4032" s="885" t="s">
        <v>236</v>
      </c>
      <c r="H4032" s="888" t="s">
        <v>3973</v>
      </c>
      <c r="I4032" s="887">
        <f>I4019</f>
        <v>303.89999999999998</v>
      </c>
      <c r="J4032" s="885" t="s">
        <v>236</v>
      </c>
      <c r="K4032" s="887">
        <f t="shared" si="376"/>
        <v>492.32</v>
      </c>
    </row>
    <row r="4033" spans="6:13" ht="24" customHeight="1">
      <c r="F4033" s="884">
        <v>2</v>
      </c>
      <c r="G4033" s="885" t="s">
        <v>778</v>
      </c>
      <c r="H4033" s="888" t="s">
        <v>3974</v>
      </c>
      <c r="I4033" s="887">
        <f>I4022</f>
        <v>53.4</v>
      </c>
      <c r="J4033" s="885" t="s">
        <v>778</v>
      </c>
      <c r="K4033" s="887">
        <f t="shared" si="376"/>
        <v>106.8</v>
      </c>
    </row>
    <row r="4034" spans="6:13" ht="24" customHeight="1">
      <c r="F4034" s="884">
        <v>2</v>
      </c>
      <c r="G4034" s="885" t="s">
        <v>778</v>
      </c>
      <c r="H4034" s="888" t="s">
        <v>4442</v>
      </c>
      <c r="I4034" s="887">
        <f>I4021</f>
        <v>350</v>
      </c>
      <c r="J4034" s="885" t="s">
        <v>778</v>
      </c>
      <c r="K4034" s="887">
        <f t="shared" si="376"/>
        <v>700</v>
      </c>
    </row>
    <row r="4035" spans="6:13" ht="24" customHeight="1">
      <c r="F4035" s="884">
        <v>4</v>
      </c>
      <c r="G4035" s="885" t="s">
        <v>778</v>
      </c>
      <c r="H4035" s="888" t="s">
        <v>3976</v>
      </c>
      <c r="I4035" s="887">
        <f>I4023</f>
        <v>15</v>
      </c>
      <c r="J4035" s="885" t="s">
        <v>778</v>
      </c>
      <c r="K4035" s="887">
        <f t="shared" si="376"/>
        <v>60</v>
      </c>
    </row>
    <row r="4036" spans="6:13" ht="24" customHeight="1">
      <c r="F4036" s="884">
        <v>1.62</v>
      </c>
      <c r="G4036" s="885" t="s">
        <v>2308</v>
      </c>
      <c r="H4036" s="888" t="s">
        <v>3977</v>
      </c>
      <c r="I4036" s="887">
        <f>I4024</f>
        <v>1724</v>
      </c>
      <c r="J4036" s="885" t="s">
        <v>2308</v>
      </c>
      <c r="K4036" s="887">
        <f t="shared" si="376"/>
        <v>2792.88</v>
      </c>
    </row>
    <row r="4037" spans="6:13" ht="24" customHeight="1">
      <c r="F4037" s="882"/>
      <c r="G4037" s="890"/>
      <c r="H4037" s="888" t="s">
        <v>2296</v>
      </c>
      <c r="I4037" s="882"/>
      <c r="J4037" s="889"/>
      <c r="K4037" s="887"/>
    </row>
    <row r="4038" spans="6:13" ht="24" customHeight="1">
      <c r="F4038" s="882"/>
      <c r="G4038" s="882"/>
      <c r="H4038" s="707" t="s">
        <v>3594</v>
      </c>
      <c r="J4038" s="699"/>
      <c r="K4038" s="710">
        <f>SUM(K4030:K4037)</f>
        <v>7871.25</v>
      </c>
    </row>
    <row r="4039" spans="6:13" ht="24" customHeight="1">
      <c r="F4039" s="703"/>
      <c r="G4039" s="699"/>
      <c r="H4039" s="805" t="s">
        <v>4439</v>
      </c>
      <c r="J4039" s="699"/>
      <c r="K4039" s="758">
        <f>K4038/F4036</f>
        <v>4858.8</v>
      </c>
    </row>
    <row r="4040" spans="6:13" ht="24" customHeight="1">
      <c r="F4040" s="703"/>
      <c r="G4040" s="699"/>
      <c r="J4040" s="699"/>
    </row>
    <row r="4042" spans="6:13" ht="24" customHeight="1">
      <c r="F4042" s="879"/>
      <c r="G4042" s="1145"/>
      <c r="H4042" s="697" t="s">
        <v>5288</v>
      </c>
      <c r="I4042" s="879"/>
      <c r="J4042" s="880"/>
      <c r="K4042" s="879"/>
      <c r="L4042" s="703"/>
      <c r="M4042" s="703"/>
    </row>
    <row r="4043" spans="6:13" ht="24" customHeight="1">
      <c r="F4043" s="879"/>
      <c r="G4043" s="1145"/>
      <c r="H4043" s="951" t="s">
        <v>4485</v>
      </c>
      <c r="I4043" s="879"/>
      <c r="J4043" s="880"/>
      <c r="K4043" s="879"/>
      <c r="L4043" s="703"/>
      <c r="M4043" s="703"/>
    </row>
    <row r="4044" spans="6:13" ht="24" customHeight="1">
      <c r="F4044" s="879"/>
      <c r="G4044" s="1145"/>
      <c r="H4044" s="705" t="s">
        <v>1609</v>
      </c>
      <c r="I4044" s="879"/>
      <c r="J4044" s="880"/>
      <c r="K4044" s="879"/>
      <c r="L4044" s="703"/>
      <c r="M4044" s="703"/>
    </row>
    <row r="4045" spans="6:13" ht="24" customHeight="1">
      <c r="F4045" s="879"/>
      <c r="G4045" s="1145"/>
      <c r="H4045" s="701" t="s">
        <v>4486</v>
      </c>
      <c r="I4045" s="879"/>
      <c r="J4045" s="879"/>
      <c r="K4045" s="879"/>
      <c r="L4045" s="703"/>
      <c r="M4045" s="703"/>
    </row>
    <row r="4046" spans="6:13" ht="33.950000000000003" customHeight="1">
      <c r="F4046" s="879"/>
      <c r="G4046" s="1145"/>
      <c r="H4046" s="825" t="s">
        <v>4487</v>
      </c>
      <c r="I4046" s="1102"/>
      <c r="J4046" s="997">
        <f>3*2*1.9*0.075*0.0375</f>
        <v>3.2099999999999997E-2</v>
      </c>
      <c r="K4046" s="879" t="s">
        <v>2176</v>
      </c>
      <c r="L4046" s="703"/>
      <c r="M4046" s="703"/>
    </row>
    <row r="4047" spans="6:13" ht="33.950000000000003" customHeight="1">
      <c r="F4047" s="879"/>
      <c r="G4047" s="1145"/>
      <c r="H4047" s="697" t="s">
        <v>4488</v>
      </c>
      <c r="I4047" s="1102"/>
      <c r="J4047" s="997">
        <f>3*2*0.5*0.075*0.0375</f>
        <v>8.3999999999999995E-3</v>
      </c>
      <c r="K4047" s="879" t="s">
        <v>2176</v>
      </c>
      <c r="L4047" s="703"/>
      <c r="M4047" s="703"/>
    </row>
    <row r="4048" spans="6:13" ht="24" customHeight="1">
      <c r="F4048" s="879"/>
      <c r="G4048" s="1145"/>
      <c r="H4048" s="697"/>
      <c r="I4048" s="1160"/>
      <c r="J4048" s="705" t="s">
        <v>1609</v>
      </c>
      <c r="K4048" s="775"/>
      <c r="L4048" s="703"/>
      <c r="M4048" s="703"/>
    </row>
    <row r="4049" spans="6:13" ht="24" customHeight="1">
      <c r="F4049" s="879"/>
      <c r="G4049" s="1145"/>
      <c r="H4049" s="879"/>
      <c r="I4049" s="879"/>
      <c r="J4049" s="1161">
        <f>SUM(J4046:J4048)</f>
        <v>4.0500000000000001E-2</v>
      </c>
      <c r="K4049" s="879" t="s">
        <v>2176</v>
      </c>
      <c r="L4049" s="703"/>
      <c r="M4049" s="703"/>
    </row>
    <row r="4050" spans="6:13" ht="24" customHeight="1">
      <c r="F4050" s="879"/>
      <c r="G4050" s="1145"/>
      <c r="H4050" s="879"/>
      <c r="I4050" s="879"/>
      <c r="J4050" s="705" t="s">
        <v>1609</v>
      </c>
      <c r="K4050" s="879"/>
      <c r="L4050" s="703"/>
      <c r="M4050" s="703"/>
    </row>
    <row r="4051" spans="6:13" ht="24" customHeight="1">
      <c r="F4051" s="879"/>
      <c r="G4051" s="1145"/>
      <c r="H4051" s="697" t="s">
        <v>448</v>
      </c>
      <c r="I4051" s="1102"/>
      <c r="J4051" s="1102"/>
      <c r="K4051" s="1102"/>
      <c r="L4051" s="703"/>
      <c r="M4051" s="703"/>
    </row>
    <row r="4052" spans="6:13" ht="24" customHeight="1">
      <c r="F4052" s="879"/>
      <c r="G4052" s="1145"/>
      <c r="H4052" s="697" t="s">
        <v>4489</v>
      </c>
      <c r="I4052" s="1063"/>
      <c r="J4052" s="848">
        <f>3*1.9*0.5</f>
        <v>2.85</v>
      </c>
      <c r="K4052" s="708" t="s">
        <v>615</v>
      </c>
      <c r="L4052" s="703"/>
      <c r="M4052" s="703"/>
    </row>
    <row r="4053" spans="6:13" ht="24" customHeight="1">
      <c r="F4053" s="879"/>
      <c r="G4053" s="1145"/>
      <c r="H4053" s="697"/>
      <c r="I4053" s="1063"/>
      <c r="J4053" s="848"/>
      <c r="K4053" s="775"/>
      <c r="L4053" s="703"/>
      <c r="M4053" s="703"/>
    </row>
    <row r="4054" spans="6:13" ht="33.950000000000003" customHeight="1">
      <c r="F4054" s="879"/>
      <c r="G4054" s="1145"/>
      <c r="H4054" s="697" t="s">
        <v>4490</v>
      </c>
      <c r="I4054" s="1063"/>
      <c r="J4054" s="848"/>
      <c r="K4054" s="775"/>
      <c r="L4054" s="703"/>
      <c r="M4054" s="703"/>
    </row>
    <row r="4055" spans="6:13" ht="33.950000000000003" customHeight="1">
      <c r="F4055" s="879"/>
      <c r="G4055" s="1145"/>
      <c r="H4055" s="697" t="s">
        <v>4491</v>
      </c>
      <c r="I4055" s="1063"/>
      <c r="J4055" s="997">
        <f>3*1.775*0.375</f>
        <v>1.9968999999999999</v>
      </c>
      <c r="K4055" s="775" t="str">
        <f>K4052</f>
        <v>SQM</v>
      </c>
      <c r="L4055" s="703"/>
      <c r="M4055" s="703"/>
    </row>
    <row r="4056" spans="6:13" ht="33.950000000000003" customHeight="1">
      <c r="F4056" s="879"/>
      <c r="G4056" s="1145"/>
      <c r="H4056" s="697" t="s">
        <v>4492</v>
      </c>
      <c r="I4056" s="879"/>
      <c r="J4056" s="1067"/>
      <c r="K4056" s="825"/>
      <c r="L4056" s="703"/>
      <c r="M4056" s="703"/>
    </row>
    <row r="4057" spans="6:13" ht="33.950000000000003" customHeight="1">
      <c r="F4057" s="796"/>
      <c r="G4057" s="1145"/>
      <c r="H4057" s="697" t="s">
        <v>4493</v>
      </c>
      <c r="I4057" s="1063"/>
      <c r="J4057" s="1162">
        <f>1.775+0.375</f>
        <v>2.15</v>
      </c>
      <c r="K4057" s="775"/>
      <c r="L4057" s="710"/>
      <c r="M4057" s="703"/>
    </row>
    <row r="4058" spans="6:13" ht="33.950000000000003" customHeight="1">
      <c r="F4058" s="796"/>
      <c r="G4058" s="1145"/>
      <c r="H4058" s="879"/>
      <c r="I4058" s="1163"/>
      <c r="J4058" s="711">
        <f>J4057*6</f>
        <v>12.9</v>
      </c>
      <c r="K4058" s="710" t="s">
        <v>835</v>
      </c>
      <c r="L4058" s="710"/>
      <c r="M4058" s="703"/>
    </row>
    <row r="4059" spans="6:13" ht="33.950000000000003" customHeight="1">
      <c r="F4059" s="796"/>
      <c r="G4059" s="1145"/>
      <c r="H4059" s="1164" t="s">
        <v>4494</v>
      </c>
      <c r="I4059" s="1163"/>
      <c r="J4059" s="698"/>
      <c r="K4059" s="710"/>
      <c r="L4059" s="710"/>
      <c r="M4059" s="703"/>
    </row>
    <row r="4060" spans="6:13" ht="33.950000000000003" customHeight="1">
      <c r="F4060" s="776"/>
      <c r="G4060" s="1145"/>
      <c r="H4060" s="701" t="s">
        <v>4495</v>
      </c>
      <c r="I4060" s="1102"/>
      <c r="J4060" s="710"/>
      <c r="K4060" s="880"/>
      <c r="L4060" s="710"/>
      <c r="M4060" s="703"/>
    </row>
    <row r="4061" spans="6:13" ht="33.950000000000003" customHeight="1">
      <c r="F4061" s="775">
        <f>J4049</f>
        <v>4.0500000000000001E-2</v>
      </c>
      <c r="G4061" s="697" t="s">
        <v>878</v>
      </c>
      <c r="H4061" s="697" t="s">
        <v>4496</v>
      </c>
      <c r="I4061" s="710">
        <f>V3111</f>
        <v>99400</v>
      </c>
      <c r="J4061" s="698" t="s">
        <v>878</v>
      </c>
      <c r="K4061" s="710">
        <f>(F4061*I4061)</f>
        <v>4025.7</v>
      </c>
      <c r="L4061" s="710"/>
      <c r="M4061" s="703"/>
    </row>
    <row r="4062" spans="6:13" ht="33.950000000000003" customHeight="1">
      <c r="F4062" s="775">
        <f>J4052</f>
        <v>2.85</v>
      </c>
      <c r="G4062" s="708" t="s">
        <v>615</v>
      </c>
      <c r="H4062" s="697" t="s">
        <v>448</v>
      </c>
      <c r="I4062" s="710">
        <f>V3113</f>
        <v>1239</v>
      </c>
      <c r="J4062" s="708" t="s">
        <v>615</v>
      </c>
      <c r="K4062" s="710">
        <f>(F4062*I4062)</f>
        <v>3531.15</v>
      </c>
      <c r="L4062" s="710"/>
      <c r="M4062" s="703"/>
    </row>
    <row r="4063" spans="6:13" ht="33.950000000000003" customHeight="1">
      <c r="F4063" s="775">
        <f>J4055</f>
        <v>1.9968999999999999</v>
      </c>
      <c r="G4063" s="708" t="s">
        <v>615</v>
      </c>
      <c r="H4063" s="697" t="s">
        <v>4490</v>
      </c>
      <c r="I4063" s="710">
        <f>V3112</f>
        <v>208.8</v>
      </c>
      <c r="J4063" s="708" t="s">
        <v>615</v>
      </c>
      <c r="K4063" s="710">
        <f t="shared" ref="K4063:K4069" si="377">(F4063*I4063)</f>
        <v>416.95</v>
      </c>
      <c r="L4063" s="710"/>
      <c r="M4063" s="703"/>
    </row>
    <row r="4064" spans="6:13" ht="33.950000000000003" customHeight="1">
      <c r="F4064" s="710">
        <f>J4058</f>
        <v>12.9</v>
      </c>
      <c r="G4064" s="710" t="s">
        <v>835</v>
      </c>
      <c r="H4064" s="701" t="s">
        <v>4497</v>
      </c>
      <c r="I4064" s="710">
        <f t="shared" ref="I4064:I4069" si="378">V3114</f>
        <v>48.7</v>
      </c>
      <c r="J4064" s="710" t="s">
        <v>835</v>
      </c>
      <c r="K4064" s="710">
        <f t="shared" si="377"/>
        <v>628.23</v>
      </c>
      <c r="L4064" s="710"/>
      <c r="M4064" s="703"/>
    </row>
    <row r="4065" spans="6:13" ht="33.950000000000003" customHeight="1">
      <c r="F4065" s="710">
        <v>9</v>
      </c>
      <c r="G4065" s="708" t="s">
        <v>877</v>
      </c>
      <c r="H4065" s="697" t="s">
        <v>1539</v>
      </c>
      <c r="I4065" s="710">
        <f t="shared" si="378"/>
        <v>83</v>
      </c>
      <c r="J4065" s="697" t="s">
        <v>877</v>
      </c>
      <c r="K4065" s="710">
        <f t="shared" si="377"/>
        <v>747</v>
      </c>
      <c r="L4065" s="710"/>
      <c r="M4065" s="703"/>
    </row>
    <row r="4066" spans="6:13" ht="33.950000000000003" customHeight="1">
      <c r="F4066" s="710">
        <v>6</v>
      </c>
      <c r="G4066" s="708" t="s">
        <v>877</v>
      </c>
      <c r="H4066" s="697" t="s">
        <v>3605</v>
      </c>
      <c r="I4066" s="710">
        <f t="shared" si="378"/>
        <v>68.5</v>
      </c>
      <c r="J4066" s="697" t="s">
        <v>877</v>
      </c>
      <c r="K4066" s="710">
        <f t="shared" si="377"/>
        <v>411</v>
      </c>
      <c r="L4066" s="710"/>
      <c r="M4066" s="703"/>
    </row>
    <row r="4067" spans="6:13" ht="33.950000000000003" customHeight="1">
      <c r="F4067" s="710">
        <v>3</v>
      </c>
      <c r="G4067" s="708" t="s">
        <v>877</v>
      </c>
      <c r="H4067" s="697" t="s">
        <v>3606</v>
      </c>
      <c r="I4067" s="710">
        <f t="shared" si="378"/>
        <v>53.4</v>
      </c>
      <c r="J4067" s="697" t="s">
        <v>877</v>
      </c>
      <c r="K4067" s="710">
        <f t="shared" si="377"/>
        <v>160.19999999999999</v>
      </c>
      <c r="L4067" s="710"/>
      <c r="M4067" s="703"/>
    </row>
    <row r="4068" spans="6:13" ht="33.950000000000003" customHeight="1">
      <c r="F4068" s="710">
        <v>3</v>
      </c>
      <c r="G4068" s="708" t="s">
        <v>877</v>
      </c>
      <c r="H4068" s="697" t="s">
        <v>2005</v>
      </c>
      <c r="I4068" s="710">
        <f t="shared" si="378"/>
        <v>7.3</v>
      </c>
      <c r="J4068" s="697" t="s">
        <v>877</v>
      </c>
      <c r="K4068" s="710">
        <f t="shared" si="377"/>
        <v>21.9</v>
      </c>
      <c r="L4068" s="710"/>
      <c r="M4068" s="703"/>
    </row>
    <row r="4069" spans="6:13" ht="33.950000000000003" customHeight="1">
      <c r="F4069" s="710">
        <v>120</v>
      </c>
      <c r="G4069" s="708" t="s">
        <v>877</v>
      </c>
      <c r="H4069" s="697" t="s">
        <v>4498</v>
      </c>
      <c r="I4069" s="710">
        <f t="shared" si="378"/>
        <v>2.39</v>
      </c>
      <c r="J4069" s="697" t="s">
        <v>877</v>
      </c>
      <c r="K4069" s="710">
        <f t="shared" si="377"/>
        <v>286.8</v>
      </c>
      <c r="L4069" s="710"/>
      <c r="M4069" s="703"/>
    </row>
    <row r="4070" spans="6:13" ht="33.950000000000003" customHeight="1">
      <c r="F4070" s="710"/>
      <c r="G4070" s="708"/>
      <c r="H4070" s="697"/>
      <c r="I4070" s="1102"/>
      <c r="J4070" s="710"/>
      <c r="K4070" s="705" t="s">
        <v>1609</v>
      </c>
      <c r="L4070" s="710"/>
      <c r="M4070" s="703"/>
    </row>
    <row r="4071" spans="6:13" ht="33.950000000000003" customHeight="1">
      <c r="F4071" s="879"/>
      <c r="G4071" s="1145"/>
      <c r="H4071" s="697" t="s">
        <v>4499</v>
      </c>
      <c r="I4071" s="1102"/>
      <c r="J4071" s="698"/>
      <c r="K4071" s="1160">
        <f>SUM(K4061:K4070)</f>
        <v>10228.93</v>
      </c>
      <c r="L4071" s="1075"/>
      <c r="M4071" s="703"/>
    </row>
    <row r="4072" spans="6:13" ht="33.950000000000003" customHeight="1">
      <c r="F4072" s="879"/>
      <c r="G4072" s="1145"/>
      <c r="H4072" s="1102"/>
      <c r="I4072" s="710"/>
      <c r="J4072" s="880"/>
      <c r="K4072" s="705" t="s">
        <v>1609</v>
      </c>
      <c r="L4072" s="1102"/>
      <c r="M4072" s="703"/>
    </row>
    <row r="4073" spans="6:13" ht="33.950000000000003" customHeight="1">
      <c r="F4073" s="879"/>
      <c r="G4073" s="1145"/>
      <c r="H4073" s="1160" t="s">
        <v>4139</v>
      </c>
      <c r="I4073" s="710"/>
      <c r="J4073" s="880"/>
      <c r="K4073" s="1111">
        <f>K4071/F4062</f>
        <v>3589.1</v>
      </c>
      <c r="L4073" s="710">
        <f>SUM(L4057:L4072)</f>
        <v>0</v>
      </c>
      <c r="M4073" s="703"/>
    </row>
    <row r="4074" spans="6:13" ht="33.950000000000003" customHeight="1">
      <c r="F4074" s="879"/>
      <c r="G4074" s="1145"/>
      <c r="H4074" s="879"/>
      <c r="I4074" s="710"/>
      <c r="J4074" s="880"/>
      <c r="K4074" s="1102"/>
      <c r="L4074" s="1102"/>
      <c r="M4074" s="703"/>
    </row>
    <row r="4075" spans="6:13" ht="24" customHeight="1">
      <c r="F4075" s="879"/>
      <c r="G4075" s="1145"/>
      <c r="H4075" s="701"/>
      <c r="I4075" s="879"/>
      <c r="J4075" s="1872"/>
      <c r="K4075" s="1872"/>
      <c r="L4075" s="1872"/>
      <c r="M4075" s="1872"/>
    </row>
    <row r="4076" spans="6:13" ht="24" customHeight="1">
      <c r="F4076" s="879"/>
      <c r="G4076" s="879"/>
      <c r="H4076" s="879"/>
      <c r="I4076" s="879"/>
      <c r="J4076" s="879"/>
      <c r="K4076" s="879"/>
      <c r="L4076" s="703"/>
      <c r="M4076" s="703"/>
    </row>
  </sheetData>
  <mergeCells count="21">
    <mergeCell ref="U1:W1"/>
    <mergeCell ref="I3043:J3043"/>
    <mergeCell ref="O2340:Q2340"/>
    <mergeCell ref="O2350:Q2350"/>
    <mergeCell ref="S3677:V3677"/>
    <mergeCell ref="O3708:P3708"/>
    <mergeCell ref="S1471:U1471"/>
    <mergeCell ref="J4075:M4075"/>
    <mergeCell ref="F3982:H3982"/>
    <mergeCell ref="H3999:K3999"/>
    <mergeCell ref="I3489:J3489"/>
    <mergeCell ref="AD2598:AG2598"/>
    <mergeCell ref="S3145:T3145"/>
    <mergeCell ref="O2424:R2424"/>
    <mergeCell ref="O2426:O2427"/>
    <mergeCell ref="P1471:R1471"/>
    <mergeCell ref="AA547:AB547"/>
    <mergeCell ref="H3633:J3634"/>
    <mergeCell ref="H2419:H2420"/>
    <mergeCell ref="H2417:K2417"/>
    <mergeCell ref="N1528:R1528"/>
  </mergeCells>
  <phoneticPr fontId="0" type="noConversion"/>
  <hyperlinks>
    <hyperlink ref="J267" r:id="rId1" display="G:\2273"/>
    <hyperlink ref="C267" r:id="rId2" display="G:\2273"/>
  </hyperlinks>
  <printOptions horizontalCentered="1"/>
  <pageMargins left="0.41" right="0.28999999999999998" top="0.43" bottom="0.35433070866141703" header="0.23622047244094499" footer="0.196850393700787"/>
  <pageSetup paperSize="9" scale="84" orientation="portrait" r:id="rId3"/>
  <headerFooter alignWithMargins="0">
    <oddHeader>&amp;CData Based on 2021-2022&amp;R&amp;P</oddHeader>
  </headerFooter>
  <drawing r:id="rId4"/>
</worksheet>
</file>

<file path=xl/worksheets/sheet10.xml><?xml version="1.0" encoding="utf-8"?>
<worksheet xmlns="http://schemas.openxmlformats.org/spreadsheetml/2006/main" xmlns:r="http://schemas.openxmlformats.org/officeDocument/2006/relationships">
  <sheetPr>
    <tabColor rgb="FFFFFF00"/>
  </sheetPr>
  <dimension ref="A1:F123"/>
  <sheetViews>
    <sheetView view="pageBreakPreview" topLeftCell="A112" zoomScale="85" zoomScaleSheetLayoutView="85" workbookViewId="0">
      <selection activeCell="F107" sqref="F107:F111"/>
    </sheetView>
  </sheetViews>
  <sheetFormatPr defaultRowHeight="15.75"/>
  <cols>
    <col min="1" max="1" width="9" style="699" bestFit="1" customWidth="1"/>
    <col min="2" max="2" width="8.88671875" style="699"/>
    <col min="3" max="3" width="29.88671875" style="699" customWidth="1"/>
    <col min="4" max="4" width="12.109375" style="699" customWidth="1"/>
    <col min="5" max="5" width="8.88671875" style="699"/>
    <col min="6" max="6" width="10.109375" style="699" bestFit="1" customWidth="1"/>
  </cols>
  <sheetData>
    <row r="1" spans="1:6">
      <c r="C1" s="699" t="s">
        <v>247</v>
      </c>
    </row>
    <row r="2" spans="1:6">
      <c r="C2" s="699" t="s">
        <v>658</v>
      </c>
    </row>
    <row r="3" spans="1:6">
      <c r="A3" s="758" t="s">
        <v>1608</v>
      </c>
      <c r="B3" s="758" t="s">
        <v>987</v>
      </c>
      <c r="C3" s="758" t="s">
        <v>5393</v>
      </c>
      <c r="D3" s="758"/>
      <c r="E3" s="758" t="s">
        <v>4912</v>
      </c>
      <c r="F3" s="758"/>
    </row>
    <row r="4" spans="1:6">
      <c r="A4" s="699" t="s">
        <v>1609</v>
      </c>
      <c r="B4" s="699" t="s">
        <v>1609</v>
      </c>
      <c r="C4" s="699" t="s">
        <v>1609</v>
      </c>
      <c r="D4" s="699" t="s">
        <v>1609</v>
      </c>
      <c r="E4" s="699" t="s">
        <v>1609</v>
      </c>
      <c r="F4" s="699" t="s">
        <v>1609</v>
      </c>
    </row>
    <row r="5" spans="1:6">
      <c r="A5" s="699" t="s">
        <v>1611</v>
      </c>
      <c r="B5" s="699" t="s">
        <v>987</v>
      </c>
      <c r="C5" s="699" t="s">
        <v>1612</v>
      </c>
      <c r="D5" s="699" t="s">
        <v>1613</v>
      </c>
      <c r="E5" s="699" t="s">
        <v>1614</v>
      </c>
      <c r="F5" s="699" t="s">
        <v>1615</v>
      </c>
    </row>
    <row r="6" spans="1:6">
      <c r="A6" s="1044"/>
      <c r="B6" s="1044"/>
      <c r="C6" s="1215"/>
      <c r="D6" s="1044"/>
      <c r="E6" s="1044"/>
      <c r="F6" s="1044"/>
    </row>
    <row r="7" spans="1:6">
      <c r="A7" s="1044"/>
      <c r="B7" s="1044" t="s">
        <v>2276</v>
      </c>
      <c r="C7" s="1044" t="s">
        <v>2277</v>
      </c>
      <c r="D7" s="1044"/>
      <c r="E7" s="1044"/>
      <c r="F7" s="1044"/>
    </row>
    <row r="8" spans="1:6">
      <c r="A8" s="1044">
        <v>0.96</v>
      </c>
      <c r="B8" s="1044" t="s">
        <v>870</v>
      </c>
      <c r="C8" s="1044" t="s">
        <v>871</v>
      </c>
      <c r="D8" s="1044">
        <v>5960</v>
      </c>
      <c r="E8" s="1044" t="s">
        <v>870</v>
      </c>
      <c r="F8" s="1044">
        <v>5721.6</v>
      </c>
    </row>
    <row r="9" spans="1:6">
      <c r="A9" s="1044">
        <v>1</v>
      </c>
      <c r="B9" s="1044" t="s">
        <v>878</v>
      </c>
      <c r="C9" s="1044" t="s">
        <v>5354</v>
      </c>
      <c r="D9" s="1044">
        <v>1511.1</v>
      </c>
      <c r="E9" s="1044" t="s">
        <v>878</v>
      </c>
      <c r="F9" s="1044">
        <v>1511.1</v>
      </c>
    </row>
    <row r="10" spans="1:6">
      <c r="A10" s="1044">
        <v>1</v>
      </c>
      <c r="B10" s="1044" t="s">
        <v>878</v>
      </c>
      <c r="C10" s="1044" t="s">
        <v>883</v>
      </c>
      <c r="D10" s="1044">
        <v>100</v>
      </c>
      <c r="E10" s="1044" t="s">
        <v>878</v>
      </c>
      <c r="F10" s="1044">
        <v>100</v>
      </c>
    </row>
    <row r="11" spans="1:6">
      <c r="A11" s="1044"/>
      <c r="B11" s="1044" t="s">
        <v>450</v>
      </c>
      <c r="C11" s="1044" t="s">
        <v>451</v>
      </c>
      <c r="D11" s="1044" t="s">
        <v>987</v>
      </c>
      <c r="E11" s="1044" t="s">
        <v>450</v>
      </c>
      <c r="F11" s="1044">
        <v>0</v>
      </c>
    </row>
    <row r="12" spans="1:6">
      <c r="A12" s="1044"/>
      <c r="B12" s="1044"/>
      <c r="C12" s="1044" t="s">
        <v>1538</v>
      </c>
      <c r="D12" s="1044"/>
      <c r="E12" s="1044"/>
      <c r="F12" s="750">
        <v>7332.7</v>
      </c>
    </row>
    <row r="13" spans="1:6">
      <c r="A13" s="1044"/>
      <c r="B13" s="1044"/>
      <c r="C13" s="1044"/>
      <c r="D13" s="1044"/>
      <c r="E13" s="1044"/>
      <c r="F13" s="1044" t="s">
        <v>1609</v>
      </c>
    </row>
    <row r="14" spans="1:6">
      <c r="A14" s="1044"/>
      <c r="B14" s="1044" t="s">
        <v>2276</v>
      </c>
      <c r="C14" s="1044" t="s">
        <v>121</v>
      </c>
      <c r="D14" s="1044"/>
      <c r="E14" s="1044"/>
      <c r="F14" s="1044"/>
    </row>
    <row r="15" spans="1:6">
      <c r="A15" s="1044">
        <v>0.72</v>
      </c>
      <c r="B15" s="1044" t="s">
        <v>870</v>
      </c>
      <c r="C15" s="1044" t="s">
        <v>871</v>
      </c>
      <c r="D15" s="1044">
        <v>5960</v>
      </c>
      <c r="E15" s="1044" t="s">
        <v>870</v>
      </c>
      <c r="F15" s="1044">
        <v>4291.2</v>
      </c>
    </row>
    <row r="16" spans="1:6">
      <c r="A16" s="1044">
        <v>1</v>
      </c>
      <c r="B16" s="1044" t="s">
        <v>878</v>
      </c>
      <c r="C16" s="1044" t="s">
        <v>5354</v>
      </c>
      <c r="D16" s="1044">
        <v>1511.1</v>
      </c>
      <c r="E16" s="1044" t="s">
        <v>878</v>
      </c>
      <c r="F16" s="1044">
        <v>1511.1</v>
      </c>
    </row>
    <row r="17" spans="1:6">
      <c r="A17" s="1044">
        <v>1</v>
      </c>
      <c r="B17" s="1044" t="s">
        <v>878</v>
      </c>
      <c r="C17" s="1044" t="s">
        <v>883</v>
      </c>
      <c r="D17" s="1044">
        <v>100</v>
      </c>
      <c r="E17" s="1044" t="s">
        <v>878</v>
      </c>
      <c r="F17" s="1044">
        <v>100</v>
      </c>
    </row>
    <row r="18" spans="1:6">
      <c r="A18" s="1044"/>
      <c r="B18" s="1044" t="s">
        <v>450</v>
      </c>
      <c r="C18" s="1044" t="s">
        <v>451</v>
      </c>
      <c r="D18" s="1044" t="s">
        <v>987</v>
      </c>
      <c r="E18" s="1044" t="s">
        <v>450</v>
      </c>
      <c r="F18" s="1044">
        <v>0</v>
      </c>
    </row>
    <row r="19" spans="1:6">
      <c r="A19" s="1044"/>
      <c r="B19" s="1044"/>
      <c r="C19" s="1044" t="s">
        <v>1538</v>
      </c>
      <c r="D19" s="1044"/>
      <c r="E19" s="1044"/>
      <c r="F19" s="750">
        <v>5902.3</v>
      </c>
    </row>
    <row r="20" spans="1:6">
      <c r="A20" s="1044"/>
      <c r="B20" s="1044"/>
      <c r="C20" s="1044"/>
      <c r="D20" s="1044"/>
      <c r="E20" s="1044"/>
      <c r="F20" s="1044" t="s">
        <v>1609</v>
      </c>
    </row>
    <row r="21" spans="1:6">
      <c r="A21" s="1044"/>
      <c r="B21" s="1044" t="s">
        <v>2276</v>
      </c>
      <c r="C21" s="1044" t="s">
        <v>1373</v>
      </c>
      <c r="D21" s="1044"/>
      <c r="E21" s="1044"/>
      <c r="F21" s="1044"/>
    </row>
    <row r="22" spans="1:6">
      <c r="A22" s="1044">
        <v>0.48</v>
      </c>
      <c r="B22" s="1044" t="s">
        <v>870</v>
      </c>
      <c r="C22" s="1044" t="s">
        <v>871</v>
      </c>
      <c r="D22" s="1044">
        <v>5960</v>
      </c>
      <c r="E22" s="1044" t="s">
        <v>870</v>
      </c>
      <c r="F22" s="1044">
        <v>2860.8</v>
      </c>
    </row>
    <row r="23" spans="1:6">
      <c r="A23" s="1044">
        <v>1</v>
      </c>
      <c r="B23" s="1044" t="s">
        <v>878</v>
      </c>
      <c r="C23" s="1215" t="s">
        <v>5354</v>
      </c>
      <c r="D23" s="1044">
        <v>1511.1</v>
      </c>
      <c r="E23" s="1044" t="s">
        <v>878</v>
      </c>
      <c r="F23" s="1044">
        <v>1511.1</v>
      </c>
    </row>
    <row r="24" spans="1:6">
      <c r="A24" s="1044">
        <v>1</v>
      </c>
      <c r="B24" s="1044" t="s">
        <v>878</v>
      </c>
      <c r="C24" s="1044" t="s">
        <v>883</v>
      </c>
      <c r="D24" s="1044">
        <v>100</v>
      </c>
      <c r="E24" s="1044" t="s">
        <v>878</v>
      </c>
      <c r="F24" s="1044">
        <v>100</v>
      </c>
    </row>
    <row r="25" spans="1:6">
      <c r="A25" s="1044"/>
      <c r="B25" s="1044" t="s">
        <v>450</v>
      </c>
      <c r="C25" s="1044" t="s">
        <v>451</v>
      </c>
      <c r="D25" s="1044" t="s">
        <v>987</v>
      </c>
      <c r="E25" s="1044" t="s">
        <v>450</v>
      </c>
      <c r="F25" s="1044">
        <v>0</v>
      </c>
    </row>
    <row r="26" spans="1:6">
      <c r="A26" s="1044"/>
      <c r="B26" s="1044"/>
      <c r="C26" s="1044" t="s">
        <v>1538</v>
      </c>
      <c r="D26" s="1044"/>
      <c r="E26" s="1044"/>
      <c r="F26" s="750">
        <v>4471.8999999999996</v>
      </c>
    </row>
    <row r="27" spans="1:6">
      <c r="A27" s="1044"/>
      <c r="B27" s="1044"/>
      <c r="C27" s="1044"/>
      <c r="D27" s="1044"/>
      <c r="E27" s="1044"/>
      <c r="F27" s="1044" t="s">
        <v>1609</v>
      </c>
    </row>
    <row r="28" spans="1:6">
      <c r="A28" s="1044"/>
      <c r="B28" s="1044" t="s">
        <v>2276</v>
      </c>
      <c r="C28" s="1044" t="s">
        <v>1327</v>
      </c>
      <c r="D28" s="1044"/>
      <c r="E28" s="1044"/>
      <c r="F28" s="1044"/>
    </row>
    <row r="29" spans="1:6">
      <c r="A29" s="1044">
        <v>0.36</v>
      </c>
      <c r="B29" s="1044" t="s">
        <v>870</v>
      </c>
      <c r="C29" s="1215" t="s">
        <v>871</v>
      </c>
      <c r="D29" s="1044">
        <v>5960</v>
      </c>
      <c r="E29" s="1044" t="s">
        <v>870</v>
      </c>
      <c r="F29" s="1044">
        <v>2145.6</v>
      </c>
    </row>
    <row r="30" spans="1:6">
      <c r="A30" s="1044">
        <v>1</v>
      </c>
      <c r="B30" s="1044" t="s">
        <v>878</v>
      </c>
      <c r="C30" s="1044" t="s">
        <v>5354</v>
      </c>
      <c r="D30" s="1044">
        <v>1511.1</v>
      </c>
      <c r="E30" s="1044" t="s">
        <v>878</v>
      </c>
      <c r="F30" s="1044">
        <v>1511.1</v>
      </c>
    </row>
    <row r="31" spans="1:6">
      <c r="A31" s="1044">
        <v>1</v>
      </c>
      <c r="B31" s="1044" t="s">
        <v>878</v>
      </c>
      <c r="C31" s="1044" t="s">
        <v>883</v>
      </c>
      <c r="D31" s="1044">
        <v>100</v>
      </c>
      <c r="E31" s="1044" t="s">
        <v>878</v>
      </c>
      <c r="F31" s="1044">
        <v>100</v>
      </c>
    </row>
    <row r="32" spans="1:6">
      <c r="A32" s="1044"/>
      <c r="B32" s="1044" t="s">
        <v>450</v>
      </c>
      <c r="C32" s="1044" t="s">
        <v>451</v>
      </c>
      <c r="D32" s="1044" t="s">
        <v>987</v>
      </c>
      <c r="E32" s="1044" t="s">
        <v>450</v>
      </c>
      <c r="F32" s="1044">
        <v>0</v>
      </c>
    </row>
    <row r="33" spans="1:6">
      <c r="A33" s="1044"/>
      <c r="B33" s="1044"/>
      <c r="C33" s="1044" t="s">
        <v>1538</v>
      </c>
      <c r="D33" s="1044"/>
      <c r="E33" s="1044"/>
      <c r="F33" s="750">
        <v>3756.7</v>
      </c>
    </row>
    <row r="34" spans="1:6">
      <c r="A34" s="1044"/>
      <c r="B34" s="1044"/>
      <c r="C34" s="1044"/>
      <c r="D34" s="1044"/>
      <c r="E34" s="1044"/>
      <c r="F34" s="1044" t="s">
        <v>1609</v>
      </c>
    </row>
    <row r="35" spans="1:6">
      <c r="A35" s="1044"/>
      <c r="B35" s="1044" t="s">
        <v>2276</v>
      </c>
      <c r="C35" s="1044" t="s">
        <v>1650</v>
      </c>
      <c r="D35" s="1044"/>
      <c r="E35" s="1044"/>
      <c r="F35" s="1044"/>
    </row>
    <row r="36" spans="1:6">
      <c r="A36" s="1044">
        <v>0.28799999999999998</v>
      </c>
      <c r="B36" s="1044" t="s">
        <v>870</v>
      </c>
      <c r="C36" s="1044" t="s">
        <v>871</v>
      </c>
      <c r="D36" s="1044">
        <v>5960</v>
      </c>
      <c r="E36" s="1044" t="s">
        <v>870</v>
      </c>
      <c r="F36" s="1044">
        <v>1716.48</v>
      </c>
    </row>
    <row r="37" spans="1:6">
      <c r="A37" s="1044">
        <v>1</v>
      </c>
      <c r="B37" s="1044" t="s">
        <v>878</v>
      </c>
      <c r="C37" s="1044" t="s">
        <v>5354</v>
      </c>
      <c r="D37" s="1044">
        <v>1511.1</v>
      </c>
      <c r="E37" s="1044" t="s">
        <v>878</v>
      </c>
      <c r="F37" s="1044">
        <v>1511.1</v>
      </c>
    </row>
    <row r="38" spans="1:6">
      <c r="A38" s="1044">
        <v>1</v>
      </c>
      <c r="B38" s="1044" t="s">
        <v>878</v>
      </c>
      <c r="C38" s="1044" t="s">
        <v>883</v>
      </c>
      <c r="D38" s="1044">
        <v>100</v>
      </c>
      <c r="E38" s="1044" t="s">
        <v>878</v>
      </c>
      <c r="F38" s="1044">
        <v>100</v>
      </c>
    </row>
    <row r="39" spans="1:6">
      <c r="A39" s="1044"/>
      <c r="B39" s="1044" t="s">
        <v>450</v>
      </c>
      <c r="C39" s="1044" t="s">
        <v>451</v>
      </c>
      <c r="D39" s="1044" t="s">
        <v>987</v>
      </c>
      <c r="E39" s="1044" t="s">
        <v>450</v>
      </c>
      <c r="F39" s="1044">
        <v>0</v>
      </c>
    </row>
    <row r="40" spans="1:6">
      <c r="A40" s="1044"/>
      <c r="B40" s="1044"/>
      <c r="C40" s="1044" t="s">
        <v>1538</v>
      </c>
      <c r="D40" s="1044"/>
      <c r="E40" s="1044"/>
      <c r="F40" s="750">
        <v>3327.58</v>
      </c>
    </row>
    <row r="41" spans="1:6">
      <c r="A41" s="1044"/>
      <c r="B41" s="1044"/>
      <c r="C41" s="1044"/>
      <c r="D41" s="1044"/>
      <c r="E41" s="1044"/>
      <c r="F41" s="1044" t="s">
        <v>1609</v>
      </c>
    </row>
    <row r="42" spans="1:6">
      <c r="A42" s="1044"/>
      <c r="B42" s="1044" t="s">
        <v>2276</v>
      </c>
      <c r="C42" s="1215" t="s">
        <v>1656</v>
      </c>
      <c r="D42" s="1044"/>
      <c r="E42" s="1044"/>
      <c r="F42" s="1044"/>
    </row>
    <row r="43" spans="1:6">
      <c r="A43" s="1044">
        <v>0.24</v>
      </c>
      <c r="B43" s="1044" t="s">
        <v>870</v>
      </c>
      <c r="C43" s="1044" t="s">
        <v>871</v>
      </c>
      <c r="D43" s="1044">
        <v>5960</v>
      </c>
      <c r="E43" s="1044" t="s">
        <v>870</v>
      </c>
      <c r="F43" s="1044">
        <v>1430.4</v>
      </c>
    </row>
    <row r="44" spans="1:6">
      <c r="A44" s="1044">
        <v>1</v>
      </c>
      <c r="B44" s="1044" t="s">
        <v>878</v>
      </c>
      <c r="C44" s="1044" t="s">
        <v>5354</v>
      </c>
      <c r="D44" s="1044">
        <v>1511.1</v>
      </c>
      <c r="E44" s="1044" t="s">
        <v>878</v>
      </c>
      <c r="F44" s="1044">
        <v>1511.1</v>
      </c>
    </row>
    <row r="45" spans="1:6">
      <c r="A45" s="1044">
        <v>1</v>
      </c>
      <c r="B45" s="1044" t="s">
        <v>878</v>
      </c>
      <c r="C45" s="1044" t="s">
        <v>883</v>
      </c>
      <c r="D45" s="1044">
        <v>100</v>
      </c>
      <c r="E45" s="1044" t="s">
        <v>878</v>
      </c>
      <c r="F45" s="1044">
        <v>100</v>
      </c>
    </row>
    <row r="46" spans="1:6">
      <c r="A46" s="1044"/>
      <c r="B46" s="1044" t="s">
        <v>450</v>
      </c>
      <c r="C46" s="1044" t="s">
        <v>451</v>
      </c>
      <c r="D46" s="1044" t="s">
        <v>987</v>
      </c>
      <c r="E46" s="1044" t="s">
        <v>450</v>
      </c>
      <c r="F46" s="1044">
        <v>0</v>
      </c>
    </row>
    <row r="47" spans="1:6">
      <c r="A47" s="1044"/>
      <c r="B47" s="1044"/>
      <c r="C47" s="1044" t="s">
        <v>1538</v>
      </c>
      <c r="D47" s="1044"/>
      <c r="E47" s="1044"/>
      <c r="F47" s="750">
        <v>3041.5</v>
      </c>
    </row>
    <row r="48" spans="1:6">
      <c r="A48" s="1044" t="s">
        <v>987</v>
      </c>
      <c r="B48" s="1044"/>
      <c r="C48" s="1044"/>
      <c r="D48" s="1044"/>
      <c r="E48" s="1044"/>
      <c r="F48" s="1044"/>
    </row>
    <row r="49" spans="1:6">
      <c r="A49" s="1044"/>
      <c r="B49" s="1044" t="s">
        <v>2276</v>
      </c>
      <c r="C49" s="1044" t="s">
        <v>2105</v>
      </c>
      <c r="D49" s="1044"/>
      <c r="E49" s="1044"/>
      <c r="F49" s="1044"/>
    </row>
    <row r="50" spans="1:6">
      <c r="A50" s="1044">
        <v>0.20599999999999999</v>
      </c>
      <c r="B50" s="1044" t="s">
        <v>870</v>
      </c>
      <c r="C50" s="1044" t="s">
        <v>871</v>
      </c>
      <c r="D50" s="1044">
        <v>5960</v>
      </c>
      <c r="E50" s="1044" t="s">
        <v>870</v>
      </c>
      <c r="F50" s="1044">
        <v>1227.76</v>
      </c>
    </row>
    <row r="51" spans="1:6">
      <c r="A51" s="1044">
        <v>1</v>
      </c>
      <c r="B51" s="1044" t="s">
        <v>878</v>
      </c>
      <c r="C51" s="1044" t="s">
        <v>5354</v>
      </c>
      <c r="D51" s="1044">
        <v>1511.1</v>
      </c>
      <c r="E51" s="1044" t="s">
        <v>878</v>
      </c>
      <c r="F51" s="1044">
        <v>1511.1</v>
      </c>
    </row>
    <row r="52" spans="1:6">
      <c r="A52" s="1044">
        <v>1</v>
      </c>
      <c r="B52" s="1044" t="s">
        <v>878</v>
      </c>
      <c r="C52" s="1044" t="s">
        <v>883</v>
      </c>
      <c r="D52" s="1044">
        <v>100</v>
      </c>
      <c r="E52" s="1044" t="s">
        <v>878</v>
      </c>
      <c r="F52" s="1044">
        <v>100</v>
      </c>
    </row>
    <row r="53" spans="1:6">
      <c r="A53" s="1044"/>
      <c r="B53" s="1044" t="s">
        <v>450</v>
      </c>
      <c r="C53" s="1044" t="s">
        <v>451</v>
      </c>
      <c r="D53" s="1044" t="s">
        <v>987</v>
      </c>
      <c r="E53" s="1044" t="s">
        <v>450</v>
      </c>
      <c r="F53" s="1044">
        <v>0</v>
      </c>
    </row>
    <row r="54" spans="1:6">
      <c r="A54" s="1044"/>
      <c r="B54" s="1044"/>
      <c r="C54" s="1044"/>
      <c r="D54" s="1044"/>
      <c r="E54" s="1044"/>
      <c r="F54" s="1044" t="s">
        <v>1609</v>
      </c>
    </row>
    <row r="55" spans="1:6">
      <c r="A55" s="1044"/>
      <c r="B55" s="1044"/>
      <c r="C55" s="1044" t="s">
        <v>1538</v>
      </c>
      <c r="D55" s="1044"/>
      <c r="E55" s="1044"/>
      <c r="F55" s="750">
        <v>2838.86</v>
      </c>
    </row>
    <row r="56" spans="1:6">
      <c r="A56" s="1044"/>
      <c r="B56" s="1044"/>
      <c r="C56" s="1044"/>
      <c r="D56" s="1044"/>
      <c r="E56" s="1044"/>
      <c r="F56" s="1044" t="s">
        <v>1609</v>
      </c>
    </row>
    <row r="57" spans="1:6">
      <c r="A57" s="1044"/>
      <c r="B57" s="1044" t="s">
        <v>2276</v>
      </c>
      <c r="C57" s="1044" t="s">
        <v>1657</v>
      </c>
      <c r="D57" s="1044"/>
      <c r="E57" s="1044"/>
      <c r="F57" s="1044"/>
    </row>
    <row r="58" spans="1:6">
      <c r="A58" s="1044">
        <v>0.18</v>
      </c>
      <c r="B58" s="1044" t="s">
        <v>870</v>
      </c>
      <c r="C58" s="1044" t="s">
        <v>871</v>
      </c>
      <c r="D58" s="1044">
        <v>5960</v>
      </c>
      <c r="E58" s="1044" t="s">
        <v>870</v>
      </c>
      <c r="F58" s="1044">
        <v>1072.8</v>
      </c>
    </row>
    <row r="59" spans="1:6">
      <c r="A59" s="1044">
        <v>1</v>
      </c>
      <c r="B59" s="1044" t="s">
        <v>878</v>
      </c>
      <c r="C59" s="1215" t="s">
        <v>5354</v>
      </c>
      <c r="D59" s="1044">
        <v>1511.1</v>
      </c>
      <c r="E59" s="1044" t="s">
        <v>878</v>
      </c>
      <c r="F59" s="1044">
        <v>1511.1</v>
      </c>
    </row>
    <row r="60" spans="1:6">
      <c r="A60" s="1044">
        <v>1</v>
      </c>
      <c r="B60" s="1044" t="s">
        <v>878</v>
      </c>
      <c r="C60" s="1044" t="s">
        <v>883</v>
      </c>
      <c r="D60" s="1044">
        <v>100</v>
      </c>
      <c r="E60" s="1044" t="s">
        <v>878</v>
      </c>
      <c r="F60" s="1044">
        <v>100</v>
      </c>
    </row>
    <row r="61" spans="1:6">
      <c r="A61" s="1044"/>
      <c r="B61" s="1044" t="s">
        <v>450</v>
      </c>
      <c r="C61" s="1044" t="s">
        <v>451</v>
      </c>
      <c r="D61" s="1044" t="s">
        <v>987</v>
      </c>
      <c r="E61" s="1044" t="s">
        <v>450</v>
      </c>
      <c r="F61" s="1044">
        <v>0</v>
      </c>
    </row>
    <row r="62" spans="1:6">
      <c r="A62" s="1044"/>
      <c r="B62" s="1044"/>
      <c r="C62" s="1044" t="s">
        <v>1538</v>
      </c>
      <c r="D62" s="1044"/>
      <c r="E62" s="1044"/>
      <c r="F62" s="750">
        <v>2683.9</v>
      </c>
    </row>
    <row r="63" spans="1:6">
      <c r="A63" s="1044"/>
      <c r="B63" s="1044"/>
      <c r="C63" s="1044"/>
      <c r="D63" s="1044"/>
      <c r="E63" s="1044"/>
      <c r="F63" s="1044" t="s">
        <v>1609</v>
      </c>
    </row>
    <row r="64" spans="1:6" ht="31.5">
      <c r="A64" s="1044">
        <v>1.5</v>
      </c>
      <c r="B64" s="1044"/>
      <c r="C64" s="1226" t="s">
        <v>2060</v>
      </c>
      <c r="D64" s="1044" t="s">
        <v>1419</v>
      </c>
      <c r="E64" s="1044"/>
      <c r="F64" s="750">
        <v>96.6</v>
      </c>
    </row>
    <row r="65" spans="1:6">
      <c r="A65" s="1044"/>
      <c r="B65" s="1044"/>
      <c r="C65" s="1215"/>
      <c r="D65" s="1044"/>
      <c r="E65" s="1044"/>
      <c r="F65" s="1044"/>
    </row>
    <row r="66" spans="1:6">
      <c r="A66" s="1044" t="s">
        <v>384</v>
      </c>
      <c r="B66" s="1044" t="s">
        <v>2276</v>
      </c>
      <c r="C66" s="1044" t="s">
        <v>385</v>
      </c>
      <c r="D66" s="1044"/>
      <c r="E66" s="1044"/>
      <c r="F66" s="1044"/>
    </row>
    <row r="67" spans="1:6">
      <c r="A67" s="1044"/>
      <c r="B67" s="1044"/>
      <c r="C67" s="1044" t="s">
        <v>5366</v>
      </c>
      <c r="D67" s="1044"/>
      <c r="E67" s="1044"/>
      <c r="F67" s="1044"/>
    </row>
    <row r="68" spans="1:6">
      <c r="A68" s="1044">
        <v>1</v>
      </c>
      <c r="B68" s="1044" t="s">
        <v>878</v>
      </c>
      <c r="C68" s="1044" t="s">
        <v>5367</v>
      </c>
      <c r="D68" s="1044">
        <v>1511.1</v>
      </c>
      <c r="E68" s="1044" t="s">
        <v>878</v>
      </c>
      <c r="F68" s="1044">
        <v>1511.1</v>
      </c>
    </row>
    <row r="69" spans="1:6">
      <c r="A69" s="1044">
        <v>1</v>
      </c>
      <c r="B69" s="1044" t="s">
        <v>878</v>
      </c>
      <c r="C69" s="1044" t="s">
        <v>1374</v>
      </c>
      <c r="D69" s="1044">
        <v>29.5</v>
      </c>
      <c r="E69" s="1044" t="s">
        <v>878</v>
      </c>
      <c r="F69" s="1044">
        <v>29.5</v>
      </c>
    </row>
    <row r="70" spans="1:6">
      <c r="A70" s="1044"/>
      <c r="B70" s="1044" t="s">
        <v>450</v>
      </c>
      <c r="C70" s="1044" t="s">
        <v>451</v>
      </c>
      <c r="D70" s="1044" t="s">
        <v>987</v>
      </c>
      <c r="E70" s="1044" t="s">
        <v>450</v>
      </c>
      <c r="F70" s="1044">
        <v>0</v>
      </c>
    </row>
    <row r="71" spans="1:6">
      <c r="A71" s="1044"/>
      <c r="B71" s="1044"/>
      <c r="C71" s="1044" t="s">
        <v>195</v>
      </c>
      <c r="D71" s="1044"/>
      <c r="E71" s="1044"/>
      <c r="F71" s="750">
        <v>1540.6</v>
      </c>
    </row>
    <row r="72" spans="1:6">
      <c r="A72" s="1044"/>
      <c r="B72" s="1044"/>
      <c r="C72" s="1044"/>
      <c r="D72" s="1044"/>
      <c r="E72" s="1044"/>
      <c r="F72" s="1044"/>
    </row>
    <row r="73" spans="1:6">
      <c r="A73" s="1044"/>
      <c r="B73" s="1044">
        <v>4.2</v>
      </c>
      <c r="C73" s="1044" t="s">
        <v>4075</v>
      </c>
      <c r="D73" s="1044"/>
      <c r="E73" s="1044"/>
      <c r="F73" s="1044"/>
    </row>
    <row r="74" spans="1:6">
      <c r="A74" s="1044">
        <v>5</v>
      </c>
      <c r="B74" s="1044" t="s">
        <v>1361</v>
      </c>
      <c r="C74" s="1044" t="s">
        <v>5380</v>
      </c>
      <c r="D74" s="1044">
        <v>1679.5</v>
      </c>
      <c r="E74" s="1044"/>
      <c r="F74" s="1044">
        <v>8397.5</v>
      </c>
    </row>
    <row r="75" spans="1:6">
      <c r="A75" s="1044">
        <v>3.3</v>
      </c>
      <c r="B75" s="1044" t="s">
        <v>1361</v>
      </c>
      <c r="C75" s="1044" t="s">
        <v>5381</v>
      </c>
      <c r="D75" s="1044">
        <v>1400.5</v>
      </c>
      <c r="E75" s="1044"/>
      <c r="F75" s="1044">
        <v>4621.6499999999996</v>
      </c>
    </row>
    <row r="76" spans="1:6">
      <c r="A76" s="1044">
        <v>4.79</v>
      </c>
      <c r="B76" s="1044" t="s">
        <v>1361</v>
      </c>
      <c r="C76" s="1044" t="s">
        <v>5371</v>
      </c>
      <c r="D76" s="1044">
        <v>1511.1</v>
      </c>
      <c r="E76" s="1044"/>
      <c r="F76" s="1044">
        <v>7238.17</v>
      </c>
    </row>
    <row r="77" spans="1:6">
      <c r="A77" s="1044">
        <v>4</v>
      </c>
      <c r="B77" s="1044" t="s">
        <v>530</v>
      </c>
      <c r="C77" s="1228" t="s">
        <v>390</v>
      </c>
      <c r="D77" s="1044">
        <v>5960</v>
      </c>
      <c r="E77" s="1044"/>
      <c r="F77" s="1044">
        <v>23840</v>
      </c>
    </row>
    <row r="78" spans="1:6">
      <c r="A78" s="1044">
        <v>40</v>
      </c>
      <c r="B78" s="1044" t="s">
        <v>1670</v>
      </c>
      <c r="C78" s="1044" t="s">
        <v>4092</v>
      </c>
      <c r="D78" s="1044">
        <v>42.8</v>
      </c>
      <c r="E78" s="1044"/>
      <c r="F78" s="1044">
        <v>1712</v>
      </c>
    </row>
    <row r="79" spans="1:6">
      <c r="A79" s="1044">
        <v>3.5</v>
      </c>
      <c r="B79" s="1044" t="s">
        <v>1452</v>
      </c>
      <c r="C79" s="1044" t="s">
        <v>466</v>
      </c>
      <c r="D79" s="1044">
        <v>804</v>
      </c>
      <c r="E79" s="1044"/>
      <c r="F79" s="1044">
        <v>2814</v>
      </c>
    </row>
    <row r="80" spans="1:6">
      <c r="A80" s="1044">
        <v>21.2</v>
      </c>
      <c r="B80" s="1044" t="s">
        <v>1452</v>
      </c>
      <c r="C80" s="1044" t="s">
        <v>3523</v>
      </c>
      <c r="D80" s="1044">
        <v>562</v>
      </c>
      <c r="E80" s="1044"/>
      <c r="F80" s="1044">
        <v>11914.4</v>
      </c>
    </row>
    <row r="81" spans="1:6">
      <c r="A81" s="1044">
        <v>35.299999999999997</v>
      </c>
      <c r="B81" s="1044" t="s">
        <v>1452</v>
      </c>
      <c r="C81" s="1044" t="s">
        <v>3524</v>
      </c>
      <c r="D81" s="1044">
        <v>461</v>
      </c>
      <c r="E81" s="1044"/>
      <c r="F81" s="1044">
        <v>16273.3</v>
      </c>
    </row>
    <row r="82" spans="1:6" ht="18" customHeight="1">
      <c r="A82" s="1044"/>
      <c r="B82" s="1044"/>
      <c r="C82" s="1226" t="s">
        <v>4087</v>
      </c>
      <c r="D82" s="1044"/>
      <c r="E82" s="1044"/>
      <c r="F82" s="1044">
        <v>76811.02</v>
      </c>
    </row>
    <row r="83" spans="1:6">
      <c r="A83" s="1044"/>
      <c r="B83" s="1044"/>
      <c r="C83" s="1044" t="s">
        <v>4088</v>
      </c>
      <c r="D83" s="1044"/>
      <c r="E83" s="1044"/>
      <c r="F83" s="1044">
        <v>7681.1</v>
      </c>
    </row>
    <row r="84" spans="1:6">
      <c r="A84" s="1044">
        <v>1</v>
      </c>
      <c r="B84" s="1044" t="s">
        <v>1361</v>
      </c>
      <c r="C84" s="1044" t="s">
        <v>4116</v>
      </c>
      <c r="D84" s="1044">
        <v>81.3</v>
      </c>
      <c r="E84" s="1044"/>
      <c r="F84" s="1044">
        <v>81.3</v>
      </c>
    </row>
    <row r="85" spans="1:6">
      <c r="A85" s="1044"/>
      <c r="B85" s="1044"/>
      <c r="C85" s="1044" t="s">
        <v>4089</v>
      </c>
      <c r="D85" s="1044"/>
      <c r="E85" s="1044"/>
      <c r="F85" s="1044">
        <v>7762.4</v>
      </c>
    </row>
    <row r="86" spans="1:6">
      <c r="A86" s="1044" t="s">
        <v>663</v>
      </c>
      <c r="B86" s="1044"/>
      <c r="C86" s="1215" t="s">
        <v>4090</v>
      </c>
      <c r="D86" s="1044" t="s">
        <v>663</v>
      </c>
      <c r="E86" s="1044"/>
      <c r="F86" s="1044">
        <v>38.81</v>
      </c>
    </row>
    <row r="87" spans="1:6">
      <c r="A87" s="1044"/>
      <c r="B87" s="1044"/>
      <c r="C87" s="1044" t="s">
        <v>3637</v>
      </c>
      <c r="D87" s="1044"/>
      <c r="E87" s="1044"/>
      <c r="F87" s="750">
        <v>7801.21</v>
      </c>
    </row>
    <row r="88" spans="1:6" ht="11.25" customHeight="1">
      <c r="A88" s="1044"/>
      <c r="B88" s="1044"/>
      <c r="C88" s="1044"/>
      <c r="D88" s="1044"/>
      <c r="E88" s="1044"/>
      <c r="F88" s="1044"/>
    </row>
    <row r="89" spans="1:6">
      <c r="A89" s="1044"/>
      <c r="B89" s="1044"/>
      <c r="C89" s="1044" t="s">
        <v>5385</v>
      </c>
      <c r="D89" s="1044"/>
      <c r="E89" s="1044"/>
      <c r="F89" s="1044"/>
    </row>
    <row r="90" spans="1:6">
      <c r="A90" s="1044"/>
      <c r="B90" s="1044"/>
      <c r="C90" s="1044" t="s">
        <v>5386</v>
      </c>
      <c r="D90" s="1044"/>
      <c r="E90" s="1044"/>
      <c r="F90" s="1044"/>
    </row>
    <row r="91" spans="1:6">
      <c r="A91" s="1044"/>
      <c r="B91" s="1044"/>
      <c r="C91" s="1044" t="s">
        <v>5387</v>
      </c>
      <c r="D91" s="1044"/>
      <c r="E91" s="1044"/>
      <c r="F91" s="1044"/>
    </row>
    <row r="92" spans="1:6">
      <c r="C92" s="699" t="s">
        <v>1418</v>
      </c>
      <c r="F92" s="750">
        <v>7230</v>
      </c>
    </row>
    <row r="93" spans="1:6">
      <c r="A93" s="1044"/>
      <c r="B93" s="1044"/>
      <c r="C93" s="1044" t="s">
        <v>5388</v>
      </c>
      <c r="D93" s="1044"/>
      <c r="E93" s="1044"/>
      <c r="F93" s="1044"/>
    </row>
    <row r="94" spans="1:6" ht="11.25" customHeight="1"/>
    <row r="95" spans="1:6">
      <c r="C95" s="699" t="s">
        <v>5389</v>
      </c>
      <c r="F95" s="750">
        <v>2991</v>
      </c>
    </row>
    <row r="96" spans="1:6" ht="9" customHeight="1"/>
    <row r="97" spans="1:6">
      <c r="C97" s="699" t="s">
        <v>4121</v>
      </c>
    </row>
    <row r="98" spans="1:6" ht="141.75">
      <c r="C98" s="933" t="s">
        <v>5394</v>
      </c>
    </row>
    <row r="99" spans="1:6">
      <c r="C99" s="699" t="s">
        <v>3178</v>
      </c>
      <c r="F99" s="699">
        <v>10730.71</v>
      </c>
    </row>
    <row r="100" spans="1:6">
      <c r="A100" s="699">
        <v>180</v>
      </c>
      <c r="B100" s="699" t="s">
        <v>835</v>
      </c>
      <c r="C100" s="699" t="s">
        <v>4418</v>
      </c>
      <c r="D100" s="699">
        <v>38.299999999999997</v>
      </c>
      <c r="E100" s="699" t="s">
        <v>835</v>
      </c>
      <c r="F100" s="699">
        <v>6894</v>
      </c>
    </row>
    <row r="101" spans="1:6">
      <c r="A101" s="699">
        <v>180</v>
      </c>
      <c r="B101" s="699" t="s">
        <v>835</v>
      </c>
      <c r="C101" s="699" t="s">
        <v>2999</v>
      </c>
      <c r="D101" s="699">
        <v>15.5</v>
      </c>
      <c r="E101" s="699" t="s">
        <v>2573</v>
      </c>
      <c r="F101" s="699">
        <v>2790</v>
      </c>
    </row>
    <row r="102" spans="1:6">
      <c r="C102" s="699" t="s">
        <v>2296</v>
      </c>
    </row>
    <row r="103" spans="1:6">
      <c r="C103" s="699" t="s">
        <v>3000</v>
      </c>
      <c r="F103" s="699">
        <v>14834.71</v>
      </c>
    </row>
    <row r="104" spans="1:6">
      <c r="C104" s="699" t="s">
        <v>2419</v>
      </c>
      <c r="F104" s="750">
        <v>164.83</v>
      </c>
    </row>
    <row r="105" spans="1:6">
      <c r="A105">
        <v>2.7</v>
      </c>
      <c r="B105" t="s">
        <v>2276</v>
      </c>
      <c r="C105" t="s">
        <v>6391</v>
      </c>
      <c r="D105"/>
      <c r="E105"/>
      <c r="F105"/>
    </row>
    <row r="106" spans="1:6">
      <c r="A106"/>
      <c r="B106"/>
      <c r="C106" t="s">
        <v>1609</v>
      </c>
      <c r="D106"/>
      <c r="E106"/>
      <c r="F106"/>
    </row>
    <row r="107" spans="1:6">
      <c r="A107">
        <v>1</v>
      </c>
      <c r="B107" t="s">
        <v>878</v>
      </c>
      <c r="C107" t="s">
        <v>841</v>
      </c>
      <c r="D107">
        <f>Data!Y12</f>
        <v>1432</v>
      </c>
      <c r="E107" t="s">
        <v>878</v>
      </c>
      <c r="F107" s="8">
        <f>D107*A107</f>
        <v>1432</v>
      </c>
    </row>
    <row r="108" spans="1:6">
      <c r="A108">
        <v>1</v>
      </c>
      <c r="B108" t="s">
        <v>878</v>
      </c>
      <c r="C108" t="s">
        <v>1374</v>
      </c>
      <c r="D108">
        <v>33.6</v>
      </c>
      <c r="E108" t="s">
        <v>878</v>
      </c>
      <c r="F108">
        <v>33.6</v>
      </c>
    </row>
    <row r="109" spans="1:6">
      <c r="A109"/>
      <c r="B109" t="s">
        <v>450</v>
      </c>
      <c r="C109" t="s">
        <v>451</v>
      </c>
      <c r="D109" t="s">
        <v>987</v>
      </c>
      <c r="E109" t="s">
        <v>450</v>
      </c>
      <c r="F109">
        <v>0</v>
      </c>
    </row>
    <row r="110" spans="1:6">
      <c r="A110"/>
      <c r="B110"/>
      <c r="C110"/>
      <c r="D110"/>
      <c r="E110"/>
      <c r="F110" t="s">
        <v>1609</v>
      </c>
    </row>
    <row r="111" spans="1:6">
      <c r="A111"/>
      <c r="B111"/>
      <c r="C111" t="s">
        <v>195</v>
      </c>
      <c r="D111"/>
      <c r="E111"/>
      <c r="F111">
        <f>SUM(F107:F110)</f>
        <v>1465.6</v>
      </c>
    </row>
    <row r="112" spans="1:6">
      <c r="A112"/>
      <c r="B112"/>
      <c r="C112"/>
      <c r="D112"/>
      <c r="E112"/>
      <c r="F112" t="s">
        <v>1609</v>
      </c>
    </row>
    <row r="113" spans="1:6" ht="78.75">
      <c r="A113" s="346"/>
      <c r="B113" s="391"/>
      <c r="C113" s="1603" t="s">
        <v>6228</v>
      </c>
      <c r="D113" s="346"/>
      <c r="E113" s="347"/>
      <c r="F113" s="346"/>
    </row>
    <row r="114" spans="1:6">
      <c r="A114" s="346"/>
      <c r="B114" s="391"/>
      <c r="C114" s="346"/>
      <c r="D114" s="346"/>
      <c r="E114" s="347"/>
      <c r="F114" s="346"/>
    </row>
    <row r="115" spans="1:6" ht="31.5">
      <c r="A115" s="8">
        <v>10</v>
      </c>
      <c r="B115" s="7" t="s">
        <v>2308</v>
      </c>
      <c r="C115" s="19" t="s">
        <v>6395</v>
      </c>
      <c r="D115" s="1604">
        <v>547</v>
      </c>
      <c r="E115" s="2" t="s">
        <v>2308</v>
      </c>
      <c r="F115" s="8">
        <f>D115*A115</f>
        <v>5470</v>
      </c>
    </row>
    <row r="116" spans="1:6">
      <c r="A116" s="8"/>
      <c r="B116" s="7"/>
      <c r="C116" s="1"/>
      <c r="D116" s="8"/>
      <c r="E116" s="2"/>
      <c r="F116" s="8"/>
    </row>
    <row r="117" spans="1:6">
      <c r="A117" s="8">
        <v>1.8</v>
      </c>
      <c r="B117" s="7" t="s">
        <v>1046</v>
      </c>
      <c r="C117" s="1" t="s">
        <v>2034</v>
      </c>
      <c r="D117" s="8">
        <v>861</v>
      </c>
      <c r="E117" s="2" t="s">
        <v>778</v>
      </c>
      <c r="F117" s="8">
        <f>D117*A117</f>
        <v>1549.8</v>
      </c>
    </row>
    <row r="118" spans="1:6">
      <c r="A118" s="8">
        <v>3.6</v>
      </c>
      <c r="B118" s="7" t="s">
        <v>1046</v>
      </c>
      <c r="C118" s="1" t="s">
        <v>1737</v>
      </c>
      <c r="D118" s="8">
        <v>804</v>
      </c>
      <c r="E118" s="2" t="s">
        <v>778</v>
      </c>
      <c r="F118" s="8">
        <f>D118*A118</f>
        <v>2894.4</v>
      </c>
    </row>
    <row r="119" spans="1:6">
      <c r="A119" s="8">
        <v>2.2000000000000002</v>
      </c>
      <c r="B119" s="7" t="s">
        <v>1046</v>
      </c>
      <c r="C119" s="1" t="s">
        <v>1927</v>
      </c>
      <c r="D119" s="8">
        <v>562</v>
      </c>
      <c r="E119" s="2" t="s">
        <v>778</v>
      </c>
      <c r="F119" s="8">
        <f>D119*A119</f>
        <v>1236.4000000000001</v>
      </c>
    </row>
    <row r="120" spans="1:6">
      <c r="A120" s="8">
        <v>0.5</v>
      </c>
      <c r="B120" s="7" t="s">
        <v>1046</v>
      </c>
      <c r="C120" s="1" t="s">
        <v>6392</v>
      </c>
      <c r="D120" s="8">
        <v>661</v>
      </c>
      <c r="E120" s="2" t="s">
        <v>778</v>
      </c>
      <c r="F120" s="8">
        <f>D120*A120</f>
        <v>330.5</v>
      </c>
    </row>
    <row r="121" spans="1:6">
      <c r="A121" s="8">
        <v>0.08</v>
      </c>
      <c r="B121" s="7" t="s">
        <v>1361</v>
      </c>
      <c r="C121" s="1" t="s">
        <v>6393</v>
      </c>
      <c r="D121" s="258">
        <f>Data!K141</f>
        <v>1540.6</v>
      </c>
      <c r="E121" s="2" t="s">
        <v>1361</v>
      </c>
      <c r="F121" s="8">
        <f>D121*A121</f>
        <v>123.25</v>
      </c>
    </row>
    <row r="122" spans="1:6">
      <c r="A122" s="346"/>
      <c r="B122" s="346"/>
      <c r="C122" s="41" t="s">
        <v>442</v>
      </c>
      <c r="D122" s="346"/>
      <c r="E122" s="346"/>
      <c r="F122" s="26">
        <f>SUM(F115:F121)</f>
        <v>11604.35</v>
      </c>
    </row>
    <row r="123" spans="1:6">
      <c r="A123" s="8"/>
      <c r="B123" s="7"/>
      <c r="C123" s="41" t="s">
        <v>6394</v>
      </c>
      <c r="D123" s="8"/>
      <c r="E123" s="2"/>
      <c r="F123" s="1605">
        <f>F122/10</f>
        <v>1160.44</v>
      </c>
    </row>
  </sheetData>
  <pageMargins left="0.7" right="0.7" top="0.75" bottom="0.75" header="0.3" footer="0.3"/>
  <pageSetup paperSize="9" scale="88" orientation="portrait" horizontalDpi="300" verticalDpi="0" r:id="rId1"/>
</worksheet>
</file>

<file path=xl/worksheets/sheet11.xml><?xml version="1.0" encoding="utf-8"?>
<worksheet xmlns="http://schemas.openxmlformats.org/spreadsheetml/2006/main" xmlns:r="http://schemas.openxmlformats.org/officeDocument/2006/relationships">
  <sheetPr>
    <tabColor rgb="FFFFFF00"/>
  </sheetPr>
  <dimension ref="A1:IG1536"/>
  <sheetViews>
    <sheetView tabSelected="1" view="pageBreakPreview" zoomScale="80" zoomScaleSheetLayoutView="80" workbookViewId="0">
      <selection activeCell="G1222" sqref="G1222"/>
    </sheetView>
  </sheetViews>
  <sheetFormatPr defaultRowHeight="24.95" customHeight="1"/>
  <cols>
    <col min="1" max="1" width="7.44140625" style="1308" customWidth="1"/>
    <col min="2" max="2" width="40.5546875" style="1309" customWidth="1"/>
    <col min="3" max="3" width="5.88671875" style="1307" customWidth="1"/>
    <col min="4" max="4" width="5.5546875" style="1307" customWidth="1"/>
    <col min="5" max="5" width="6.44140625" style="1307" customWidth="1"/>
    <col min="6" max="8" width="8.6640625" style="1310" customWidth="1"/>
    <col min="9" max="9" width="10.5546875" style="1310" customWidth="1"/>
    <col min="10" max="10" width="6.44140625" style="1311" customWidth="1"/>
    <col min="11" max="12" width="8.88671875" style="1230" customWidth="1"/>
    <col min="13" max="13" width="10.77734375" style="1230" customWidth="1"/>
    <col min="14" max="16" width="8.88671875" style="1230" customWidth="1"/>
    <col min="17" max="17" width="9.109375" style="1230" customWidth="1"/>
    <col min="18" max="256" width="8.88671875" style="1230"/>
    <col min="257" max="257" width="7.44140625" style="1230" customWidth="1"/>
    <col min="258" max="258" width="40.5546875" style="1230" customWidth="1"/>
    <col min="259" max="259" width="5.88671875" style="1230" customWidth="1"/>
    <col min="260" max="260" width="5.5546875" style="1230" customWidth="1"/>
    <col min="261" max="261" width="6.44140625" style="1230" customWidth="1"/>
    <col min="262" max="264" width="8.6640625" style="1230" customWidth="1"/>
    <col min="265" max="265" width="10.5546875" style="1230" customWidth="1"/>
    <col min="266" max="266" width="6.44140625" style="1230" customWidth="1"/>
    <col min="267" max="268" width="8.88671875" style="1230" customWidth="1"/>
    <col min="269" max="269" width="10.77734375" style="1230" customWidth="1"/>
    <col min="270" max="272" width="8.88671875" style="1230" customWidth="1"/>
    <col min="273" max="273" width="9.109375" style="1230" customWidth="1"/>
    <col min="274" max="512" width="8.88671875" style="1230"/>
    <col min="513" max="513" width="7.44140625" style="1230" customWidth="1"/>
    <col min="514" max="514" width="40.5546875" style="1230" customWidth="1"/>
    <col min="515" max="515" width="5.88671875" style="1230" customWidth="1"/>
    <col min="516" max="516" width="5.5546875" style="1230" customWidth="1"/>
    <col min="517" max="517" width="6.44140625" style="1230" customWidth="1"/>
    <col min="518" max="520" width="8.6640625" style="1230" customWidth="1"/>
    <col min="521" max="521" width="10.5546875" style="1230" customWidth="1"/>
    <col min="522" max="522" width="6.44140625" style="1230" customWidth="1"/>
    <col min="523" max="524" width="8.88671875" style="1230" customWidth="1"/>
    <col min="525" max="525" width="10.77734375" style="1230" customWidth="1"/>
    <col min="526" max="528" width="8.88671875" style="1230" customWidth="1"/>
    <col min="529" max="529" width="9.109375" style="1230" customWidth="1"/>
    <col min="530" max="768" width="8.88671875" style="1230"/>
    <col min="769" max="769" width="7.44140625" style="1230" customWidth="1"/>
    <col min="770" max="770" width="40.5546875" style="1230" customWidth="1"/>
    <col min="771" max="771" width="5.88671875" style="1230" customWidth="1"/>
    <col min="772" max="772" width="5.5546875" style="1230" customWidth="1"/>
    <col min="773" max="773" width="6.44140625" style="1230" customWidth="1"/>
    <col min="774" max="776" width="8.6640625" style="1230" customWidth="1"/>
    <col min="777" max="777" width="10.5546875" style="1230" customWidth="1"/>
    <col min="778" max="778" width="6.44140625" style="1230" customWidth="1"/>
    <col min="779" max="780" width="8.88671875" style="1230" customWidth="1"/>
    <col min="781" max="781" width="10.77734375" style="1230" customWidth="1"/>
    <col min="782" max="784" width="8.88671875" style="1230" customWidth="1"/>
    <col min="785" max="785" width="9.109375" style="1230" customWidth="1"/>
    <col min="786" max="1024" width="8.88671875" style="1230"/>
    <col min="1025" max="1025" width="7.44140625" style="1230" customWidth="1"/>
    <col min="1026" max="1026" width="40.5546875" style="1230" customWidth="1"/>
    <col min="1027" max="1027" width="5.88671875" style="1230" customWidth="1"/>
    <col min="1028" max="1028" width="5.5546875" style="1230" customWidth="1"/>
    <col min="1029" max="1029" width="6.44140625" style="1230" customWidth="1"/>
    <col min="1030" max="1032" width="8.6640625" style="1230" customWidth="1"/>
    <col min="1033" max="1033" width="10.5546875" style="1230" customWidth="1"/>
    <col min="1034" max="1034" width="6.44140625" style="1230" customWidth="1"/>
    <col min="1035" max="1036" width="8.88671875" style="1230" customWidth="1"/>
    <col min="1037" max="1037" width="10.77734375" style="1230" customWidth="1"/>
    <col min="1038" max="1040" width="8.88671875" style="1230" customWidth="1"/>
    <col min="1041" max="1041" width="9.109375" style="1230" customWidth="1"/>
    <col min="1042" max="1280" width="8.88671875" style="1230"/>
    <col min="1281" max="1281" width="7.44140625" style="1230" customWidth="1"/>
    <col min="1282" max="1282" width="40.5546875" style="1230" customWidth="1"/>
    <col min="1283" max="1283" width="5.88671875" style="1230" customWidth="1"/>
    <col min="1284" max="1284" width="5.5546875" style="1230" customWidth="1"/>
    <col min="1285" max="1285" width="6.44140625" style="1230" customWidth="1"/>
    <col min="1286" max="1288" width="8.6640625" style="1230" customWidth="1"/>
    <col min="1289" max="1289" width="10.5546875" style="1230" customWidth="1"/>
    <col min="1290" max="1290" width="6.44140625" style="1230" customWidth="1"/>
    <col min="1291" max="1292" width="8.88671875" style="1230" customWidth="1"/>
    <col min="1293" max="1293" width="10.77734375" style="1230" customWidth="1"/>
    <col min="1294" max="1296" width="8.88671875" style="1230" customWidth="1"/>
    <col min="1297" max="1297" width="9.109375" style="1230" customWidth="1"/>
    <col min="1298" max="1536" width="8.88671875" style="1230"/>
    <col min="1537" max="1537" width="7.44140625" style="1230" customWidth="1"/>
    <col min="1538" max="1538" width="40.5546875" style="1230" customWidth="1"/>
    <col min="1539" max="1539" width="5.88671875" style="1230" customWidth="1"/>
    <col min="1540" max="1540" width="5.5546875" style="1230" customWidth="1"/>
    <col min="1541" max="1541" width="6.44140625" style="1230" customWidth="1"/>
    <col min="1542" max="1544" width="8.6640625" style="1230" customWidth="1"/>
    <col min="1545" max="1545" width="10.5546875" style="1230" customWidth="1"/>
    <col min="1546" max="1546" width="6.44140625" style="1230" customWidth="1"/>
    <col min="1547" max="1548" width="8.88671875" style="1230" customWidth="1"/>
    <col min="1549" max="1549" width="10.77734375" style="1230" customWidth="1"/>
    <col min="1550" max="1552" width="8.88671875" style="1230" customWidth="1"/>
    <col min="1553" max="1553" width="9.109375" style="1230" customWidth="1"/>
    <col min="1554" max="1792" width="8.88671875" style="1230"/>
    <col min="1793" max="1793" width="7.44140625" style="1230" customWidth="1"/>
    <col min="1794" max="1794" width="40.5546875" style="1230" customWidth="1"/>
    <col min="1795" max="1795" width="5.88671875" style="1230" customWidth="1"/>
    <col min="1796" max="1796" width="5.5546875" style="1230" customWidth="1"/>
    <col min="1797" max="1797" width="6.44140625" style="1230" customWidth="1"/>
    <col min="1798" max="1800" width="8.6640625" style="1230" customWidth="1"/>
    <col min="1801" max="1801" width="10.5546875" style="1230" customWidth="1"/>
    <col min="1802" max="1802" width="6.44140625" style="1230" customWidth="1"/>
    <col min="1803" max="1804" width="8.88671875" style="1230" customWidth="1"/>
    <col min="1805" max="1805" width="10.77734375" style="1230" customWidth="1"/>
    <col min="1806" max="1808" width="8.88671875" style="1230" customWidth="1"/>
    <col min="1809" max="1809" width="9.109375" style="1230" customWidth="1"/>
    <col min="1810" max="2048" width="8.88671875" style="1230"/>
    <col min="2049" max="2049" width="7.44140625" style="1230" customWidth="1"/>
    <col min="2050" max="2050" width="40.5546875" style="1230" customWidth="1"/>
    <col min="2051" max="2051" width="5.88671875" style="1230" customWidth="1"/>
    <col min="2052" max="2052" width="5.5546875" style="1230" customWidth="1"/>
    <col min="2053" max="2053" width="6.44140625" style="1230" customWidth="1"/>
    <col min="2054" max="2056" width="8.6640625" style="1230" customWidth="1"/>
    <col min="2057" max="2057" width="10.5546875" style="1230" customWidth="1"/>
    <col min="2058" max="2058" width="6.44140625" style="1230" customWidth="1"/>
    <col min="2059" max="2060" width="8.88671875" style="1230" customWidth="1"/>
    <col min="2061" max="2061" width="10.77734375" style="1230" customWidth="1"/>
    <col min="2062" max="2064" width="8.88671875" style="1230" customWidth="1"/>
    <col min="2065" max="2065" width="9.109375" style="1230" customWidth="1"/>
    <col min="2066" max="2304" width="8.88671875" style="1230"/>
    <col min="2305" max="2305" width="7.44140625" style="1230" customWidth="1"/>
    <col min="2306" max="2306" width="40.5546875" style="1230" customWidth="1"/>
    <col min="2307" max="2307" width="5.88671875" style="1230" customWidth="1"/>
    <col min="2308" max="2308" width="5.5546875" style="1230" customWidth="1"/>
    <col min="2309" max="2309" width="6.44140625" style="1230" customWidth="1"/>
    <col min="2310" max="2312" width="8.6640625" style="1230" customWidth="1"/>
    <col min="2313" max="2313" width="10.5546875" style="1230" customWidth="1"/>
    <col min="2314" max="2314" width="6.44140625" style="1230" customWidth="1"/>
    <col min="2315" max="2316" width="8.88671875" style="1230" customWidth="1"/>
    <col min="2317" max="2317" width="10.77734375" style="1230" customWidth="1"/>
    <col min="2318" max="2320" width="8.88671875" style="1230" customWidth="1"/>
    <col min="2321" max="2321" width="9.109375" style="1230" customWidth="1"/>
    <col min="2322" max="2560" width="8.88671875" style="1230"/>
    <col min="2561" max="2561" width="7.44140625" style="1230" customWidth="1"/>
    <col min="2562" max="2562" width="40.5546875" style="1230" customWidth="1"/>
    <col min="2563" max="2563" width="5.88671875" style="1230" customWidth="1"/>
    <col min="2564" max="2564" width="5.5546875" style="1230" customWidth="1"/>
    <col min="2565" max="2565" width="6.44140625" style="1230" customWidth="1"/>
    <col min="2566" max="2568" width="8.6640625" style="1230" customWidth="1"/>
    <col min="2569" max="2569" width="10.5546875" style="1230" customWidth="1"/>
    <col min="2570" max="2570" width="6.44140625" style="1230" customWidth="1"/>
    <col min="2571" max="2572" width="8.88671875" style="1230" customWidth="1"/>
    <col min="2573" max="2573" width="10.77734375" style="1230" customWidth="1"/>
    <col min="2574" max="2576" width="8.88671875" style="1230" customWidth="1"/>
    <col min="2577" max="2577" width="9.109375" style="1230" customWidth="1"/>
    <col min="2578" max="2816" width="8.88671875" style="1230"/>
    <col min="2817" max="2817" width="7.44140625" style="1230" customWidth="1"/>
    <col min="2818" max="2818" width="40.5546875" style="1230" customWidth="1"/>
    <col min="2819" max="2819" width="5.88671875" style="1230" customWidth="1"/>
    <col min="2820" max="2820" width="5.5546875" style="1230" customWidth="1"/>
    <col min="2821" max="2821" width="6.44140625" style="1230" customWidth="1"/>
    <col min="2822" max="2824" width="8.6640625" style="1230" customWidth="1"/>
    <col min="2825" max="2825" width="10.5546875" style="1230" customWidth="1"/>
    <col min="2826" max="2826" width="6.44140625" style="1230" customWidth="1"/>
    <col min="2827" max="2828" width="8.88671875" style="1230" customWidth="1"/>
    <col min="2829" max="2829" width="10.77734375" style="1230" customWidth="1"/>
    <col min="2830" max="2832" width="8.88671875" style="1230" customWidth="1"/>
    <col min="2833" max="2833" width="9.109375" style="1230" customWidth="1"/>
    <col min="2834" max="3072" width="8.88671875" style="1230"/>
    <col min="3073" max="3073" width="7.44140625" style="1230" customWidth="1"/>
    <col min="3074" max="3074" width="40.5546875" style="1230" customWidth="1"/>
    <col min="3075" max="3075" width="5.88671875" style="1230" customWidth="1"/>
    <col min="3076" max="3076" width="5.5546875" style="1230" customWidth="1"/>
    <col min="3077" max="3077" width="6.44140625" style="1230" customWidth="1"/>
    <col min="3078" max="3080" width="8.6640625" style="1230" customWidth="1"/>
    <col min="3081" max="3081" width="10.5546875" style="1230" customWidth="1"/>
    <col min="3082" max="3082" width="6.44140625" style="1230" customWidth="1"/>
    <col min="3083" max="3084" width="8.88671875" style="1230" customWidth="1"/>
    <col min="3085" max="3085" width="10.77734375" style="1230" customWidth="1"/>
    <col min="3086" max="3088" width="8.88671875" style="1230" customWidth="1"/>
    <col min="3089" max="3089" width="9.109375" style="1230" customWidth="1"/>
    <col min="3090" max="3328" width="8.88671875" style="1230"/>
    <col min="3329" max="3329" width="7.44140625" style="1230" customWidth="1"/>
    <col min="3330" max="3330" width="40.5546875" style="1230" customWidth="1"/>
    <col min="3331" max="3331" width="5.88671875" style="1230" customWidth="1"/>
    <col min="3332" max="3332" width="5.5546875" style="1230" customWidth="1"/>
    <col min="3333" max="3333" width="6.44140625" style="1230" customWidth="1"/>
    <col min="3334" max="3336" width="8.6640625" style="1230" customWidth="1"/>
    <col min="3337" max="3337" width="10.5546875" style="1230" customWidth="1"/>
    <col min="3338" max="3338" width="6.44140625" style="1230" customWidth="1"/>
    <col min="3339" max="3340" width="8.88671875" style="1230" customWidth="1"/>
    <col min="3341" max="3341" width="10.77734375" style="1230" customWidth="1"/>
    <col min="3342" max="3344" width="8.88671875" style="1230" customWidth="1"/>
    <col min="3345" max="3345" width="9.109375" style="1230" customWidth="1"/>
    <col min="3346" max="3584" width="8.88671875" style="1230"/>
    <col min="3585" max="3585" width="7.44140625" style="1230" customWidth="1"/>
    <col min="3586" max="3586" width="40.5546875" style="1230" customWidth="1"/>
    <col min="3587" max="3587" width="5.88671875" style="1230" customWidth="1"/>
    <col min="3588" max="3588" width="5.5546875" style="1230" customWidth="1"/>
    <col min="3589" max="3589" width="6.44140625" style="1230" customWidth="1"/>
    <col min="3590" max="3592" width="8.6640625" style="1230" customWidth="1"/>
    <col min="3593" max="3593" width="10.5546875" style="1230" customWidth="1"/>
    <col min="3594" max="3594" width="6.44140625" style="1230" customWidth="1"/>
    <col min="3595" max="3596" width="8.88671875" style="1230" customWidth="1"/>
    <col min="3597" max="3597" width="10.77734375" style="1230" customWidth="1"/>
    <col min="3598" max="3600" width="8.88671875" style="1230" customWidth="1"/>
    <col min="3601" max="3601" width="9.109375" style="1230" customWidth="1"/>
    <col min="3602" max="3840" width="8.88671875" style="1230"/>
    <col min="3841" max="3841" width="7.44140625" style="1230" customWidth="1"/>
    <col min="3842" max="3842" width="40.5546875" style="1230" customWidth="1"/>
    <col min="3843" max="3843" width="5.88671875" style="1230" customWidth="1"/>
    <col min="3844" max="3844" width="5.5546875" style="1230" customWidth="1"/>
    <col min="3845" max="3845" width="6.44140625" style="1230" customWidth="1"/>
    <col min="3846" max="3848" width="8.6640625" style="1230" customWidth="1"/>
    <col min="3849" max="3849" width="10.5546875" style="1230" customWidth="1"/>
    <col min="3850" max="3850" width="6.44140625" style="1230" customWidth="1"/>
    <col min="3851" max="3852" width="8.88671875" style="1230" customWidth="1"/>
    <col min="3853" max="3853" width="10.77734375" style="1230" customWidth="1"/>
    <col min="3854" max="3856" width="8.88671875" style="1230" customWidth="1"/>
    <col min="3857" max="3857" width="9.109375" style="1230" customWidth="1"/>
    <col min="3858" max="4096" width="8.88671875" style="1230"/>
    <col min="4097" max="4097" width="7.44140625" style="1230" customWidth="1"/>
    <col min="4098" max="4098" width="40.5546875" style="1230" customWidth="1"/>
    <col min="4099" max="4099" width="5.88671875" style="1230" customWidth="1"/>
    <col min="4100" max="4100" width="5.5546875" style="1230" customWidth="1"/>
    <col min="4101" max="4101" width="6.44140625" style="1230" customWidth="1"/>
    <col min="4102" max="4104" width="8.6640625" style="1230" customWidth="1"/>
    <col min="4105" max="4105" width="10.5546875" style="1230" customWidth="1"/>
    <col min="4106" max="4106" width="6.44140625" style="1230" customWidth="1"/>
    <col min="4107" max="4108" width="8.88671875" style="1230" customWidth="1"/>
    <col min="4109" max="4109" width="10.77734375" style="1230" customWidth="1"/>
    <col min="4110" max="4112" width="8.88671875" style="1230" customWidth="1"/>
    <col min="4113" max="4113" width="9.109375" style="1230" customWidth="1"/>
    <col min="4114" max="4352" width="8.88671875" style="1230"/>
    <col min="4353" max="4353" width="7.44140625" style="1230" customWidth="1"/>
    <col min="4354" max="4354" width="40.5546875" style="1230" customWidth="1"/>
    <col min="4355" max="4355" width="5.88671875" style="1230" customWidth="1"/>
    <col min="4356" max="4356" width="5.5546875" style="1230" customWidth="1"/>
    <col min="4357" max="4357" width="6.44140625" style="1230" customWidth="1"/>
    <col min="4358" max="4360" width="8.6640625" style="1230" customWidth="1"/>
    <col min="4361" max="4361" width="10.5546875" style="1230" customWidth="1"/>
    <col min="4362" max="4362" width="6.44140625" style="1230" customWidth="1"/>
    <col min="4363" max="4364" width="8.88671875" style="1230" customWidth="1"/>
    <col min="4365" max="4365" width="10.77734375" style="1230" customWidth="1"/>
    <col min="4366" max="4368" width="8.88671875" style="1230" customWidth="1"/>
    <col min="4369" max="4369" width="9.109375" style="1230" customWidth="1"/>
    <col min="4370" max="4608" width="8.88671875" style="1230"/>
    <col min="4609" max="4609" width="7.44140625" style="1230" customWidth="1"/>
    <col min="4610" max="4610" width="40.5546875" style="1230" customWidth="1"/>
    <col min="4611" max="4611" width="5.88671875" style="1230" customWidth="1"/>
    <col min="4612" max="4612" width="5.5546875" style="1230" customWidth="1"/>
    <col min="4613" max="4613" width="6.44140625" style="1230" customWidth="1"/>
    <col min="4614" max="4616" width="8.6640625" style="1230" customWidth="1"/>
    <col min="4617" max="4617" width="10.5546875" style="1230" customWidth="1"/>
    <col min="4618" max="4618" width="6.44140625" style="1230" customWidth="1"/>
    <col min="4619" max="4620" width="8.88671875" style="1230" customWidth="1"/>
    <col min="4621" max="4621" width="10.77734375" style="1230" customWidth="1"/>
    <col min="4622" max="4624" width="8.88671875" style="1230" customWidth="1"/>
    <col min="4625" max="4625" width="9.109375" style="1230" customWidth="1"/>
    <col min="4626" max="4864" width="8.88671875" style="1230"/>
    <col min="4865" max="4865" width="7.44140625" style="1230" customWidth="1"/>
    <col min="4866" max="4866" width="40.5546875" style="1230" customWidth="1"/>
    <col min="4867" max="4867" width="5.88671875" style="1230" customWidth="1"/>
    <col min="4868" max="4868" width="5.5546875" style="1230" customWidth="1"/>
    <col min="4869" max="4869" width="6.44140625" style="1230" customWidth="1"/>
    <col min="4870" max="4872" width="8.6640625" style="1230" customWidth="1"/>
    <col min="4873" max="4873" width="10.5546875" style="1230" customWidth="1"/>
    <col min="4874" max="4874" width="6.44140625" style="1230" customWidth="1"/>
    <col min="4875" max="4876" width="8.88671875" style="1230" customWidth="1"/>
    <col min="4877" max="4877" width="10.77734375" style="1230" customWidth="1"/>
    <col min="4878" max="4880" width="8.88671875" style="1230" customWidth="1"/>
    <col min="4881" max="4881" width="9.109375" style="1230" customWidth="1"/>
    <col min="4882" max="5120" width="8.88671875" style="1230"/>
    <col min="5121" max="5121" width="7.44140625" style="1230" customWidth="1"/>
    <col min="5122" max="5122" width="40.5546875" style="1230" customWidth="1"/>
    <col min="5123" max="5123" width="5.88671875" style="1230" customWidth="1"/>
    <col min="5124" max="5124" width="5.5546875" style="1230" customWidth="1"/>
    <col min="5125" max="5125" width="6.44140625" style="1230" customWidth="1"/>
    <col min="5126" max="5128" width="8.6640625" style="1230" customWidth="1"/>
    <col min="5129" max="5129" width="10.5546875" style="1230" customWidth="1"/>
    <col min="5130" max="5130" width="6.44140625" style="1230" customWidth="1"/>
    <col min="5131" max="5132" width="8.88671875" style="1230" customWidth="1"/>
    <col min="5133" max="5133" width="10.77734375" style="1230" customWidth="1"/>
    <col min="5134" max="5136" width="8.88671875" style="1230" customWidth="1"/>
    <col min="5137" max="5137" width="9.109375" style="1230" customWidth="1"/>
    <col min="5138" max="5376" width="8.88671875" style="1230"/>
    <col min="5377" max="5377" width="7.44140625" style="1230" customWidth="1"/>
    <col min="5378" max="5378" width="40.5546875" style="1230" customWidth="1"/>
    <col min="5379" max="5379" width="5.88671875" style="1230" customWidth="1"/>
    <col min="5380" max="5380" width="5.5546875" style="1230" customWidth="1"/>
    <col min="5381" max="5381" width="6.44140625" style="1230" customWidth="1"/>
    <col min="5382" max="5384" width="8.6640625" style="1230" customWidth="1"/>
    <col min="5385" max="5385" width="10.5546875" style="1230" customWidth="1"/>
    <col min="5386" max="5386" width="6.44140625" style="1230" customWidth="1"/>
    <col min="5387" max="5388" width="8.88671875" style="1230" customWidth="1"/>
    <col min="5389" max="5389" width="10.77734375" style="1230" customWidth="1"/>
    <col min="5390" max="5392" width="8.88671875" style="1230" customWidth="1"/>
    <col min="5393" max="5393" width="9.109375" style="1230" customWidth="1"/>
    <col min="5394" max="5632" width="8.88671875" style="1230"/>
    <col min="5633" max="5633" width="7.44140625" style="1230" customWidth="1"/>
    <col min="5634" max="5634" width="40.5546875" style="1230" customWidth="1"/>
    <col min="5635" max="5635" width="5.88671875" style="1230" customWidth="1"/>
    <col min="5636" max="5636" width="5.5546875" style="1230" customWidth="1"/>
    <col min="5637" max="5637" width="6.44140625" style="1230" customWidth="1"/>
    <col min="5638" max="5640" width="8.6640625" style="1230" customWidth="1"/>
    <col min="5641" max="5641" width="10.5546875" style="1230" customWidth="1"/>
    <col min="5642" max="5642" width="6.44140625" style="1230" customWidth="1"/>
    <col min="5643" max="5644" width="8.88671875" style="1230" customWidth="1"/>
    <col min="5645" max="5645" width="10.77734375" style="1230" customWidth="1"/>
    <col min="5646" max="5648" width="8.88671875" style="1230" customWidth="1"/>
    <col min="5649" max="5649" width="9.109375" style="1230" customWidth="1"/>
    <col min="5650" max="5888" width="8.88671875" style="1230"/>
    <col min="5889" max="5889" width="7.44140625" style="1230" customWidth="1"/>
    <col min="5890" max="5890" width="40.5546875" style="1230" customWidth="1"/>
    <col min="5891" max="5891" width="5.88671875" style="1230" customWidth="1"/>
    <col min="5892" max="5892" width="5.5546875" style="1230" customWidth="1"/>
    <col min="5893" max="5893" width="6.44140625" style="1230" customWidth="1"/>
    <col min="5894" max="5896" width="8.6640625" style="1230" customWidth="1"/>
    <col min="5897" max="5897" width="10.5546875" style="1230" customWidth="1"/>
    <col min="5898" max="5898" width="6.44140625" style="1230" customWidth="1"/>
    <col min="5899" max="5900" width="8.88671875" style="1230" customWidth="1"/>
    <col min="5901" max="5901" width="10.77734375" style="1230" customWidth="1"/>
    <col min="5902" max="5904" width="8.88671875" style="1230" customWidth="1"/>
    <col min="5905" max="5905" width="9.109375" style="1230" customWidth="1"/>
    <col min="5906" max="6144" width="8.88671875" style="1230"/>
    <col min="6145" max="6145" width="7.44140625" style="1230" customWidth="1"/>
    <col min="6146" max="6146" width="40.5546875" style="1230" customWidth="1"/>
    <col min="6147" max="6147" width="5.88671875" style="1230" customWidth="1"/>
    <col min="6148" max="6148" width="5.5546875" style="1230" customWidth="1"/>
    <col min="6149" max="6149" width="6.44140625" style="1230" customWidth="1"/>
    <col min="6150" max="6152" width="8.6640625" style="1230" customWidth="1"/>
    <col min="6153" max="6153" width="10.5546875" style="1230" customWidth="1"/>
    <col min="6154" max="6154" width="6.44140625" style="1230" customWidth="1"/>
    <col min="6155" max="6156" width="8.88671875" style="1230" customWidth="1"/>
    <col min="6157" max="6157" width="10.77734375" style="1230" customWidth="1"/>
    <col min="6158" max="6160" width="8.88671875" style="1230" customWidth="1"/>
    <col min="6161" max="6161" width="9.109375" style="1230" customWidth="1"/>
    <col min="6162" max="6400" width="8.88671875" style="1230"/>
    <col min="6401" max="6401" width="7.44140625" style="1230" customWidth="1"/>
    <col min="6402" max="6402" width="40.5546875" style="1230" customWidth="1"/>
    <col min="6403" max="6403" width="5.88671875" style="1230" customWidth="1"/>
    <col min="6404" max="6404" width="5.5546875" style="1230" customWidth="1"/>
    <col min="6405" max="6405" width="6.44140625" style="1230" customWidth="1"/>
    <col min="6406" max="6408" width="8.6640625" style="1230" customWidth="1"/>
    <col min="6409" max="6409" width="10.5546875" style="1230" customWidth="1"/>
    <col min="6410" max="6410" width="6.44140625" style="1230" customWidth="1"/>
    <col min="6411" max="6412" width="8.88671875" style="1230" customWidth="1"/>
    <col min="6413" max="6413" width="10.77734375" style="1230" customWidth="1"/>
    <col min="6414" max="6416" width="8.88671875" style="1230" customWidth="1"/>
    <col min="6417" max="6417" width="9.109375" style="1230" customWidth="1"/>
    <col min="6418" max="6656" width="8.88671875" style="1230"/>
    <col min="6657" max="6657" width="7.44140625" style="1230" customWidth="1"/>
    <col min="6658" max="6658" width="40.5546875" style="1230" customWidth="1"/>
    <col min="6659" max="6659" width="5.88671875" style="1230" customWidth="1"/>
    <col min="6660" max="6660" width="5.5546875" style="1230" customWidth="1"/>
    <col min="6661" max="6661" width="6.44140625" style="1230" customWidth="1"/>
    <col min="6662" max="6664" width="8.6640625" style="1230" customWidth="1"/>
    <col min="6665" max="6665" width="10.5546875" style="1230" customWidth="1"/>
    <col min="6666" max="6666" width="6.44140625" style="1230" customWidth="1"/>
    <col min="6667" max="6668" width="8.88671875" style="1230" customWidth="1"/>
    <col min="6669" max="6669" width="10.77734375" style="1230" customWidth="1"/>
    <col min="6670" max="6672" width="8.88671875" style="1230" customWidth="1"/>
    <col min="6673" max="6673" width="9.109375" style="1230" customWidth="1"/>
    <col min="6674" max="6912" width="8.88671875" style="1230"/>
    <col min="6913" max="6913" width="7.44140625" style="1230" customWidth="1"/>
    <col min="6914" max="6914" width="40.5546875" style="1230" customWidth="1"/>
    <col min="6915" max="6915" width="5.88671875" style="1230" customWidth="1"/>
    <col min="6916" max="6916" width="5.5546875" style="1230" customWidth="1"/>
    <col min="6917" max="6917" width="6.44140625" style="1230" customWidth="1"/>
    <col min="6918" max="6920" width="8.6640625" style="1230" customWidth="1"/>
    <col min="6921" max="6921" width="10.5546875" style="1230" customWidth="1"/>
    <col min="6922" max="6922" width="6.44140625" style="1230" customWidth="1"/>
    <col min="6923" max="6924" width="8.88671875" style="1230" customWidth="1"/>
    <col min="6925" max="6925" width="10.77734375" style="1230" customWidth="1"/>
    <col min="6926" max="6928" width="8.88671875" style="1230" customWidth="1"/>
    <col min="6929" max="6929" width="9.109375" style="1230" customWidth="1"/>
    <col min="6930" max="7168" width="8.88671875" style="1230"/>
    <col min="7169" max="7169" width="7.44140625" style="1230" customWidth="1"/>
    <col min="7170" max="7170" width="40.5546875" style="1230" customWidth="1"/>
    <col min="7171" max="7171" width="5.88671875" style="1230" customWidth="1"/>
    <col min="7172" max="7172" width="5.5546875" style="1230" customWidth="1"/>
    <col min="7173" max="7173" width="6.44140625" style="1230" customWidth="1"/>
    <col min="7174" max="7176" width="8.6640625" style="1230" customWidth="1"/>
    <col min="7177" max="7177" width="10.5546875" style="1230" customWidth="1"/>
    <col min="7178" max="7178" width="6.44140625" style="1230" customWidth="1"/>
    <col min="7179" max="7180" width="8.88671875" style="1230" customWidth="1"/>
    <col min="7181" max="7181" width="10.77734375" style="1230" customWidth="1"/>
    <col min="7182" max="7184" width="8.88671875" style="1230" customWidth="1"/>
    <col min="7185" max="7185" width="9.109375" style="1230" customWidth="1"/>
    <col min="7186" max="7424" width="8.88671875" style="1230"/>
    <col min="7425" max="7425" width="7.44140625" style="1230" customWidth="1"/>
    <col min="7426" max="7426" width="40.5546875" style="1230" customWidth="1"/>
    <col min="7427" max="7427" width="5.88671875" style="1230" customWidth="1"/>
    <col min="7428" max="7428" width="5.5546875" style="1230" customWidth="1"/>
    <col min="7429" max="7429" width="6.44140625" style="1230" customWidth="1"/>
    <col min="7430" max="7432" width="8.6640625" style="1230" customWidth="1"/>
    <col min="7433" max="7433" width="10.5546875" style="1230" customWidth="1"/>
    <col min="7434" max="7434" width="6.44140625" style="1230" customWidth="1"/>
    <col min="7435" max="7436" width="8.88671875" style="1230" customWidth="1"/>
    <col min="7437" max="7437" width="10.77734375" style="1230" customWidth="1"/>
    <col min="7438" max="7440" width="8.88671875" style="1230" customWidth="1"/>
    <col min="7441" max="7441" width="9.109375" style="1230" customWidth="1"/>
    <col min="7442" max="7680" width="8.88671875" style="1230"/>
    <col min="7681" max="7681" width="7.44140625" style="1230" customWidth="1"/>
    <col min="7682" max="7682" width="40.5546875" style="1230" customWidth="1"/>
    <col min="7683" max="7683" width="5.88671875" style="1230" customWidth="1"/>
    <col min="7684" max="7684" width="5.5546875" style="1230" customWidth="1"/>
    <col min="7685" max="7685" width="6.44140625" style="1230" customWidth="1"/>
    <col min="7686" max="7688" width="8.6640625" style="1230" customWidth="1"/>
    <col min="7689" max="7689" width="10.5546875" style="1230" customWidth="1"/>
    <col min="7690" max="7690" width="6.44140625" style="1230" customWidth="1"/>
    <col min="7691" max="7692" width="8.88671875" style="1230" customWidth="1"/>
    <col min="7693" max="7693" width="10.77734375" style="1230" customWidth="1"/>
    <col min="7694" max="7696" width="8.88671875" style="1230" customWidth="1"/>
    <col min="7697" max="7697" width="9.109375" style="1230" customWidth="1"/>
    <col min="7698" max="7936" width="8.88671875" style="1230"/>
    <col min="7937" max="7937" width="7.44140625" style="1230" customWidth="1"/>
    <col min="7938" max="7938" width="40.5546875" style="1230" customWidth="1"/>
    <col min="7939" max="7939" width="5.88671875" style="1230" customWidth="1"/>
    <col min="7940" max="7940" width="5.5546875" style="1230" customWidth="1"/>
    <col min="7941" max="7941" width="6.44140625" style="1230" customWidth="1"/>
    <col min="7942" max="7944" width="8.6640625" style="1230" customWidth="1"/>
    <col min="7945" max="7945" width="10.5546875" style="1230" customWidth="1"/>
    <col min="7946" max="7946" width="6.44140625" style="1230" customWidth="1"/>
    <col min="7947" max="7948" width="8.88671875" style="1230" customWidth="1"/>
    <col min="7949" max="7949" width="10.77734375" style="1230" customWidth="1"/>
    <col min="7950" max="7952" width="8.88671875" style="1230" customWidth="1"/>
    <col min="7953" max="7953" width="9.109375" style="1230" customWidth="1"/>
    <col min="7954" max="8192" width="8.88671875" style="1230"/>
    <col min="8193" max="8193" width="7.44140625" style="1230" customWidth="1"/>
    <col min="8194" max="8194" width="40.5546875" style="1230" customWidth="1"/>
    <col min="8195" max="8195" width="5.88671875" style="1230" customWidth="1"/>
    <col min="8196" max="8196" width="5.5546875" style="1230" customWidth="1"/>
    <col min="8197" max="8197" width="6.44140625" style="1230" customWidth="1"/>
    <col min="8198" max="8200" width="8.6640625" style="1230" customWidth="1"/>
    <col min="8201" max="8201" width="10.5546875" style="1230" customWidth="1"/>
    <col min="8202" max="8202" width="6.44140625" style="1230" customWidth="1"/>
    <col min="8203" max="8204" width="8.88671875" style="1230" customWidth="1"/>
    <col min="8205" max="8205" width="10.77734375" style="1230" customWidth="1"/>
    <col min="8206" max="8208" width="8.88671875" style="1230" customWidth="1"/>
    <col min="8209" max="8209" width="9.109375" style="1230" customWidth="1"/>
    <col min="8210" max="8448" width="8.88671875" style="1230"/>
    <col min="8449" max="8449" width="7.44140625" style="1230" customWidth="1"/>
    <col min="8450" max="8450" width="40.5546875" style="1230" customWidth="1"/>
    <col min="8451" max="8451" width="5.88671875" style="1230" customWidth="1"/>
    <col min="8452" max="8452" width="5.5546875" style="1230" customWidth="1"/>
    <col min="8453" max="8453" width="6.44140625" style="1230" customWidth="1"/>
    <col min="8454" max="8456" width="8.6640625" style="1230" customWidth="1"/>
    <col min="8457" max="8457" width="10.5546875" style="1230" customWidth="1"/>
    <col min="8458" max="8458" width="6.44140625" style="1230" customWidth="1"/>
    <col min="8459" max="8460" width="8.88671875" style="1230" customWidth="1"/>
    <col min="8461" max="8461" width="10.77734375" style="1230" customWidth="1"/>
    <col min="8462" max="8464" width="8.88671875" style="1230" customWidth="1"/>
    <col min="8465" max="8465" width="9.109375" style="1230" customWidth="1"/>
    <col min="8466" max="8704" width="8.88671875" style="1230"/>
    <col min="8705" max="8705" width="7.44140625" style="1230" customWidth="1"/>
    <col min="8706" max="8706" width="40.5546875" style="1230" customWidth="1"/>
    <col min="8707" max="8707" width="5.88671875" style="1230" customWidth="1"/>
    <col min="8708" max="8708" width="5.5546875" style="1230" customWidth="1"/>
    <col min="8709" max="8709" width="6.44140625" style="1230" customWidth="1"/>
    <col min="8710" max="8712" width="8.6640625" style="1230" customWidth="1"/>
    <col min="8713" max="8713" width="10.5546875" style="1230" customWidth="1"/>
    <col min="8714" max="8714" width="6.44140625" style="1230" customWidth="1"/>
    <col min="8715" max="8716" width="8.88671875" style="1230" customWidth="1"/>
    <col min="8717" max="8717" width="10.77734375" style="1230" customWidth="1"/>
    <col min="8718" max="8720" width="8.88671875" style="1230" customWidth="1"/>
    <col min="8721" max="8721" width="9.109375" style="1230" customWidth="1"/>
    <col min="8722" max="8960" width="8.88671875" style="1230"/>
    <col min="8961" max="8961" width="7.44140625" style="1230" customWidth="1"/>
    <col min="8962" max="8962" width="40.5546875" style="1230" customWidth="1"/>
    <col min="8963" max="8963" width="5.88671875" style="1230" customWidth="1"/>
    <col min="8964" max="8964" width="5.5546875" style="1230" customWidth="1"/>
    <col min="8965" max="8965" width="6.44140625" style="1230" customWidth="1"/>
    <col min="8966" max="8968" width="8.6640625" style="1230" customWidth="1"/>
    <col min="8969" max="8969" width="10.5546875" style="1230" customWidth="1"/>
    <col min="8970" max="8970" width="6.44140625" style="1230" customWidth="1"/>
    <col min="8971" max="8972" width="8.88671875" style="1230" customWidth="1"/>
    <col min="8973" max="8973" width="10.77734375" style="1230" customWidth="1"/>
    <col min="8974" max="8976" width="8.88671875" style="1230" customWidth="1"/>
    <col min="8977" max="8977" width="9.109375" style="1230" customWidth="1"/>
    <col min="8978" max="9216" width="8.88671875" style="1230"/>
    <col min="9217" max="9217" width="7.44140625" style="1230" customWidth="1"/>
    <col min="9218" max="9218" width="40.5546875" style="1230" customWidth="1"/>
    <col min="9219" max="9219" width="5.88671875" style="1230" customWidth="1"/>
    <col min="9220" max="9220" width="5.5546875" style="1230" customWidth="1"/>
    <col min="9221" max="9221" width="6.44140625" style="1230" customWidth="1"/>
    <col min="9222" max="9224" width="8.6640625" style="1230" customWidth="1"/>
    <col min="9225" max="9225" width="10.5546875" style="1230" customWidth="1"/>
    <col min="9226" max="9226" width="6.44140625" style="1230" customWidth="1"/>
    <col min="9227" max="9228" width="8.88671875" style="1230" customWidth="1"/>
    <col min="9229" max="9229" width="10.77734375" style="1230" customWidth="1"/>
    <col min="9230" max="9232" width="8.88671875" style="1230" customWidth="1"/>
    <col min="9233" max="9233" width="9.109375" style="1230" customWidth="1"/>
    <col min="9234" max="9472" width="8.88671875" style="1230"/>
    <col min="9473" max="9473" width="7.44140625" style="1230" customWidth="1"/>
    <col min="9474" max="9474" width="40.5546875" style="1230" customWidth="1"/>
    <col min="9475" max="9475" width="5.88671875" style="1230" customWidth="1"/>
    <col min="9476" max="9476" width="5.5546875" style="1230" customWidth="1"/>
    <col min="9477" max="9477" width="6.44140625" style="1230" customWidth="1"/>
    <col min="9478" max="9480" width="8.6640625" style="1230" customWidth="1"/>
    <col min="9481" max="9481" width="10.5546875" style="1230" customWidth="1"/>
    <col min="9482" max="9482" width="6.44140625" style="1230" customWidth="1"/>
    <col min="9483" max="9484" width="8.88671875" style="1230" customWidth="1"/>
    <col min="9485" max="9485" width="10.77734375" style="1230" customWidth="1"/>
    <col min="9486" max="9488" width="8.88671875" style="1230" customWidth="1"/>
    <col min="9489" max="9489" width="9.109375" style="1230" customWidth="1"/>
    <col min="9490" max="9728" width="8.88671875" style="1230"/>
    <col min="9729" max="9729" width="7.44140625" style="1230" customWidth="1"/>
    <col min="9730" max="9730" width="40.5546875" style="1230" customWidth="1"/>
    <col min="9731" max="9731" width="5.88671875" style="1230" customWidth="1"/>
    <col min="9732" max="9732" width="5.5546875" style="1230" customWidth="1"/>
    <col min="9733" max="9733" width="6.44140625" style="1230" customWidth="1"/>
    <col min="9734" max="9736" width="8.6640625" style="1230" customWidth="1"/>
    <col min="9737" max="9737" width="10.5546875" style="1230" customWidth="1"/>
    <col min="9738" max="9738" width="6.44140625" style="1230" customWidth="1"/>
    <col min="9739" max="9740" width="8.88671875" style="1230" customWidth="1"/>
    <col min="9741" max="9741" width="10.77734375" style="1230" customWidth="1"/>
    <col min="9742" max="9744" width="8.88671875" style="1230" customWidth="1"/>
    <col min="9745" max="9745" width="9.109375" style="1230" customWidth="1"/>
    <col min="9746" max="9984" width="8.88671875" style="1230"/>
    <col min="9985" max="9985" width="7.44140625" style="1230" customWidth="1"/>
    <col min="9986" max="9986" width="40.5546875" style="1230" customWidth="1"/>
    <col min="9987" max="9987" width="5.88671875" style="1230" customWidth="1"/>
    <col min="9988" max="9988" width="5.5546875" style="1230" customWidth="1"/>
    <col min="9989" max="9989" width="6.44140625" style="1230" customWidth="1"/>
    <col min="9990" max="9992" width="8.6640625" style="1230" customWidth="1"/>
    <col min="9993" max="9993" width="10.5546875" style="1230" customWidth="1"/>
    <col min="9994" max="9994" width="6.44140625" style="1230" customWidth="1"/>
    <col min="9995" max="9996" width="8.88671875" style="1230" customWidth="1"/>
    <col min="9997" max="9997" width="10.77734375" style="1230" customWidth="1"/>
    <col min="9998" max="10000" width="8.88671875" style="1230" customWidth="1"/>
    <col min="10001" max="10001" width="9.109375" style="1230" customWidth="1"/>
    <col min="10002" max="10240" width="8.88671875" style="1230"/>
    <col min="10241" max="10241" width="7.44140625" style="1230" customWidth="1"/>
    <col min="10242" max="10242" width="40.5546875" style="1230" customWidth="1"/>
    <col min="10243" max="10243" width="5.88671875" style="1230" customWidth="1"/>
    <col min="10244" max="10244" width="5.5546875" style="1230" customWidth="1"/>
    <col min="10245" max="10245" width="6.44140625" style="1230" customWidth="1"/>
    <col min="10246" max="10248" width="8.6640625" style="1230" customWidth="1"/>
    <col min="10249" max="10249" width="10.5546875" style="1230" customWidth="1"/>
    <col min="10250" max="10250" width="6.44140625" style="1230" customWidth="1"/>
    <col min="10251" max="10252" width="8.88671875" style="1230" customWidth="1"/>
    <col min="10253" max="10253" width="10.77734375" style="1230" customWidth="1"/>
    <col min="10254" max="10256" width="8.88671875" style="1230" customWidth="1"/>
    <col min="10257" max="10257" width="9.109375" style="1230" customWidth="1"/>
    <col min="10258" max="10496" width="8.88671875" style="1230"/>
    <col min="10497" max="10497" width="7.44140625" style="1230" customWidth="1"/>
    <col min="10498" max="10498" width="40.5546875" style="1230" customWidth="1"/>
    <col min="10499" max="10499" width="5.88671875" style="1230" customWidth="1"/>
    <col min="10500" max="10500" width="5.5546875" style="1230" customWidth="1"/>
    <col min="10501" max="10501" width="6.44140625" style="1230" customWidth="1"/>
    <col min="10502" max="10504" width="8.6640625" style="1230" customWidth="1"/>
    <col min="10505" max="10505" width="10.5546875" style="1230" customWidth="1"/>
    <col min="10506" max="10506" width="6.44140625" style="1230" customWidth="1"/>
    <col min="10507" max="10508" width="8.88671875" style="1230" customWidth="1"/>
    <col min="10509" max="10509" width="10.77734375" style="1230" customWidth="1"/>
    <col min="10510" max="10512" width="8.88671875" style="1230" customWidth="1"/>
    <col min="10513" max="10513" width="9.109375" style="1230" customWidth="1"/>
    <col min="10514" max="10752" width="8.88671875" style="1230"/>
    <col min="10753" max="10753" width="7.44140625" style="1230" customWidth="1"/>
    <col min="10754" max="10754" width="40.5546875" style="1230" customWidth="1"/>
    <col min="10755" max="10755" width="5.88671875" style="1230" customWidth="1"/>
    <col min="10756" max="10756" width="5.5546875" style="1230" customWidth="1"/>
    <col min="10757" max="10757" width="6.44140625" style="1230" customWidth="1"/>
    <col min="10758" max="10760" width="8.6640625" style="1230" customWidth="1"/>
    <col min="10761" max="10761" width="10.5546875" style="1230" customWidth="1"/>
    <col min="10762" max="10762" width="6.44140625" style="1230" customWidth="1"/>
    <col min="10763" max="10764" width="8.88671875" style="1230" customWidth="1"/>
    <col min="10765" max="10765" width="10.77734375" style="1230" customWidth="1"/>
    <col min="10766" max="10768" width="8.88671875" style="1230" customWidth="1"/>
    <col min="10769" max="10769" width="9.109375" style="1230" customWidth="1"/>
    <col min="10770" max="11008" width="8.88671875" style="1230"/>
    <col min="11009" max="11009" width="7.44140625" style="1230" customWidth="1"/>
    <col min="11010" max="11010" width="40.5546875" style="1230" customWidth="1"/>
    <col min="11011" max="11011" width="5.88671875" style="1230" customWidth="1"/>
    <col min="11012" max="11012" width="5.5546875" style="1230" customWidth="1"/>
    <col min="11013" max="11013" width="6.44140625" style="1230" customWidth="1"/>
    <col min="11014" max="11016" width="8.6640625" style="1230" customWidth="1"/>
    <col min="11017" max="11017" width="10.5546875" style="1230" customWidth="1"/>
    <col min="11018" max="11018" width="6.44140625" style="1230" customWidth="1"/>
    <col min="11019" max="11020" width="8.88671875" style="1230" customWidth="1"/>
    <col min="11021" max="11021" width="10.77734375" style="1230" customWidth="1"/>
    <col min="11022" max="11024" width="8.88671875" style="1230" customWidth="1"/>
    <col min="11025" max="11025" width="9.109375" style="1230" customWidth="1"/>
    <col min="11026" max="11264" width="8.88671875" style="1230"/>
    <col min="11265" max="11265" width="7.44140625" style="1230" customWidth="1"/>
    <col min="11266" max="11266" width="40.5546875" style="1230" customWidth="1"/>
    <col min="11267" max="11267" width="5.88671875" style="1230" customWidth="1"/>
    <col min="11268" max="11268" width="5.5546875" style="1230" customWidth="1"/>
    <col min="11269" max="11269" width="6.44140625" style="1230" customWidth="1"/>
    <col min="11270" max="11272" width="8.6640625" style="1230" customWidth="1"/>
    <col min="11273" max="11273" width="10.5546875" style="1230" customWidth="1"/>
    <col min="11274" max="11274" width="6.44140625" style="1230" customWidth="1"/>
    <col min="11275" max="11276" width="8.88671875" style="1230" customWidth="1"/>
    <col min="11277" max="11277" width="10.77734375" style="1230" customWidth="1"/>
    <col min="11278" max="11280" width="8.88671875" style="1230" customWidth="1"/>
    <col min="11281" max="11281" width="9.109375" style="1230" customWidth="1"/>
    <col min="11282" max="11520" width="8.88671875" style="1230"/>
    <col min="11521" max="11521" width="7.44140625" style="1230" customWidth="1"/>
    <col min="11522" max="11522" width="40.5546875" style="1230" customWidth="1"/>
    <col min="11523" max="11523" width="5.88671875" style="1230" customWidth="1"/>
    <col min="11524" max="11524" width="5.5546875" style="1230" customWidth="1"/>
    <col min="11525" max="11525" width="6.44140625" style="1230" customWidth="1"/>
    <col min="11526" max="11528" width="8.6640625" style="1230" customWidth="1"/>
    <col min="11529" max="11529" width="10.5546875" style="1230" customWidth="1"/>
    <col min="11530" max="11530" width="6.44140625" style="1230" customWidth="1"/>
    <col min="11531" max="11532" width="8.88671875" style="1230" customWidth="1"/>
    <col min="11533" max="11533" width="10.77734375" style="1230" customWidth="1"/>
    <col min="11534" max="11536" width="8.88671875" style="1230" customWidth="1"/>
    <col min="11537" max="11537" width="9.109375" style="1230" customWidth="1"/>
    <col min="11538" max="11776" width="8.88671875" style="1230"/>
    <col min="11777" max="11777" width="7.44140625" style="1230" customWidth="1"/>
    <col min="11778" max="11778" width="40.5546875" style="1230" customWidth="1"/>
    <col min="11779" max="11779" width="5.88671875" style="1230" customWidth="1"/>
    <col min="11780" max="11780" width="5.5546875" style="1230" customWidth="1"/>
    <col min="11781" max="11781" width="6.44140625" style="1230" customWidth="1"/>
    <col min="11782" max="11784" width="8.6640625" style="1230" customWidth="1"/>
    <col min="11785" max="11785" width="10.5546875" style="1230" customWidth="1"/>
    <col min="11786" max="11786" width="6.44140625" style="1230" customWidth="1"/>
    <col min="11787" max="11788" width="8.88671875" style="1230" customWidth="1"/>
    <col min="11789" max="11789" width="10.77734375" style="1230" customWidth="1"/>
    <col min="11790" max="11792" width="8.88671875" style="1230" customWidth="1"/>
    <col min="11793" max="11793" width="9.109375" style="1230" customWidth="1"/>
    <col min="11794" max="12032" width="8.88671875" style="1230"/>
    <col min="12033" max="12033" width="7.44140625" style="1230" customWidth="1"/>
    <col min="12034" max="12034" width="40.5546875" style="1230" customWidth="1"/>
    <col min="12035" max="12035" width="5.88671875" style="1230" customWidth="1"/>
    <col min="12036" max="12036" width="5.5546875" style="1230" customWidth="1"/>
    <col min="12037" max="12037" width="6.44140625" style="1230" customWidth="1"/>
    <col min="12038" max="12040" width="8.6640625" style="1230" customWidth="1"/>
    <col min="12041" max="12041" width="10.5546875" style="1230" customWidth="1"/>
    <col min="12042" max="12042" width="6.44140625" style="1230" customWidth="1"/>
    <col min="12043" max="12044" width="8.88671875" style="1230" customWidth="1"/>
    <col min="12045" max="12045" width="10.77734375" style="1230" customWidth="1"/>
    <col min="12046" max="12048" width="8.88671875" style="1230" customWidth="1"/>
    <col min="12049" max="12049" width="9.109375" style="1230" customWidth="1"/>
    <col min="12050" max="12288" width="8.88671875" style="1230"/>
    <col min="12289" max="12289" width="7.44140625" style="1230" customWidth="1"/>
    <col min="12290" max="12290" width="40.5546875" style="1230" customWidth="1"/>
    <col min="12291" max="12291" width="5.88671875" style="1230" customWidth="1"/>
    <col min="12292" max="12292" width="5.5546875" style="1230" customWidth="1"/>
    <col min="12293" max="12293" width="6.44140625" style="1230" customWidth="1"/>
    <col min="12294" max="12296" width="8.6640625" style="1230" customWidth="1"/>
    <col min="12297" max="12297" width="10.5546875" style="1230" customWidth="1"/>
    <col min="12298" max="12298" width="6.44140625" style="1230" customWidth="1"/>
    <col min="12299" max="12300" width="8.88671875" style="1230" customWidth="1"/>
    <col min="12301" max="12301" width="10.77734375" style="1230" customWidth="1"/>
    <col min="12302" max="12304" width="8.88671875" style="1230" customWidth="1"/>
    <col min="12305" max="12305" width="9.109375" style="1230" customWidth="1"/>
    <col min="12306" max="12544" width="8.88671875" style="1230"/>
    <col min="12545" max="12545" width="7.44140625" style="1230" customWidth="1"/>
    <col min="12546" max="12546" width="40.5546875" style="1230" customWidth="1"/>
    <col min="12547" max="12547" width="5.88671875" style="1230" customWidth="1"/>
    <col min="12548" max="12548" width="5.5546875" style="1230" customWidth="1"/>
    <col min="12549" max="12549" width="6.44140625" style="1230" customWidth="1"/>
    <col min="12550" max="12552" width="8.6640625" style="1230" customWidth="1"/>
    <col min="12553" max="12553" width="10.5546875" style="1230" customWidth="1"/>
    <col min="12554" max="12554" width="6.44140625" style="1230" customWidth="1"/>
    <col min="12555" max="12556" width="8.88671875" style="1230" customWidth="1"/>
    <col min="12557" max="12557" width="10.77734375" style="1230" customWidth="1"/>
    <col min="12558" max="12560" width="8.88671875" style="1230" customWidth="1"/>
    <col min="12561" max="12561" width="9.109375" style="1230" customWidth="1"/>
    <col min="12562" max="12800" width="8.88671875" style="1230"/>
    <col min="12801" max="12801" width="7.44140625" style="1230" customWidth="1"/>
    <col min="12802" max="12802" width="40.5546875" style="1230" customWidth="1"/>
    <col min="12803" max="12803" width="5.88671875" style="1230" customWidth="1"/>
    <col min="12804" max="12804" width="5.5546875" style="1230" customWidth="1"/>
    <col min="12805" max="12805" width="6.44140625" style="1230" customWidth="1"/>
    <col min="12806" max="12808" width="8.6640625" style="1230" customWidth="1"/>
    <col min="12809" max="12809" width="10.5546875" style="1230" customWidth="1"/>
    <col min="12810" max="12810" width="6.44140625" style="1230" customWidth="1"/>
    <col min="12811" max="12812" width="8.88671875" style="1230" customWidth="1"/>
    <col min="12813" max="12813" width="10.77734375" style="1230" customWidth="1"/>
    <col min="12814" max="12816" width="8.88671875" style="1230" customWidth="1"/>
    <col min="12817" max="12817" width="9.109375" style="1230" customWidth="1"/>
    <col min="12818" max="13056" width="8.88671875" style="1230"/>
    <col min="13057" max="13057" width="7.44140625" style="1230" customWidth="1"/>
    <col min="13058" max="13058" width="40.5546875" style="1230" customWidth="1"/>
    <col min="13059" max="13059" width="5.88671875" style="1230" customWidth="1"/>
    <col min="13060" max="13060" width="5.5546875" style="1230" customWidth="1"/>
    <col min="13061" max="13061" width="6.44140625" style="1230" customWidth="1"/>
    <col min="13062" max="13064" width="8.6640625" style="1230" customWidth="1"/>
    <col min="13065" max="13065" width="10.5546875" style="1230" customWidth="1"/>
    <col min="13066" max="13066" width="6.44140625" style="1230" customWidth="1"/>
    <col min="13067" max="13068" width="8.88671875" style="1230" customWidth="1"/>
    <col min="13069" max="13069" width="10.77734375" style="1230" customWidth="1"/>
    <col min="13070" max="13072" width="8.88671875" style="1230" customWidth="1"/>
    <col min="13073" max="13073" width="9.109375" style="1230" customWidth="1"/>
    <col min="13074" max="13312" width="8.88671875" style="1230"/>
    <col min="13313" max="13313" width="7.44140625" style="1230" customWidth="1"/>
    <col min="13314" max="13314" width="40.5546875" style="1230" customWidth="1"/>
    <col min="13315" max="13315" width="5.88671875" style="1230" customWidth="1"/>
    <col min="13316" max="13316" width="5.5546875" style="1230" customWidth="1"/>
    <col min="13317" max="13317" width="6.44140625" style="1230" customWidth="1"/>
    <col min="13318" max="13320" width="8.6640625" style="1230" customWidth="1"/>
    <col min="13321" max="13321" width="10.5546875" style="1230" customWidth="1"/>
    <col min="13322" max="13322" width="6.44140625" style="1230" customWidth="1"/>
    <col min="13323" max="13324" width="8.88671875" style="1230" customWidth="1"/>
    <col min="13325" max="13325" width="10.77734375" style="1230" customWidth="1"/>
    <col min="13326" max="13328" width="8.88671875" style="1230" customWidth="1"/>
    <col min="13329" max="13329" width="9.109375" style="1230" customWidth="1"/>
    <col min="13330" max="13568" width="8.88671875" style="1230"/>
    <col min="13569" max="13569" width="7.44140625" style="1230" customWidth="1"/>
    <col min="13570" max="13570" width="40.5546875" style="1230" customWidth="1"/>
    <col min="13571" max="13571" width="5.88671875" style="1230" customWidth="1"/>
    <col min="13572" max="13572" width="5.5546875" style="1230" customWidth="1"/>
    <col min="13573" max="13573" width="6.44140625" style="1230" customWidth="1"/>
    <col min="13574" max="13576" width="8.6640625" style="1230" customWidth="1"/>
    <col min="13577" max="13577" width="10.5546875" style="1230" customWidth="1"/>
    <col min="13578" max="13578" width="6.44140625" style="1230" customWidth="1"/>
    <col min="13579" max="13580" width="8.88671875" style="1230" customWidth="1"/>
    <col min="13581" max="13581" width="10.77734375" style="1230" customWidth="1"/>
    <col min="13582" max="13584" width="8.88671875" style="1230" customWidth="1"/>
    <col min="13585" max="13585" width="9.109375" style="1230" customWidth="1"/>
    <col min="13586" max="13824" width="8.88671875" style="1230"/>
    <col min="13825" max="13825" width="7.44140625" style="1230" customWidth="1"/>
    <col min="13826" max="13826" width="40.5546875" style="1230" customWidth="1"/>
    <col min="13827" max="13827" width="5.88671875" style="1230" customWidth="1"/>
    <col min="13828" max="13828" width="5.5546875" style="1230" customWidth="1"/>
    <col min="13829" max="13829" width="6.44140625" style="1230" customWidth="1"/>
    <col min="13830" max="13832" width="8.6640625" style="1230" customWidth="1"/>
    <col min="13833" max="13833" width="10.5546875" style="1230" customWidth="1"/>
    <col min="13834" max="13834" width="6.44140625" style="1230" customWidth="1"/>
    <col min="13835" max="13836" width="8.88671875" style="1230" customWidth="1"/>
    <col min="13837" max="13837" width="10.77734375" style="1230" customWidth="1"/>
    <col min="13838" max="13840" width="8.88671875" style="1230" customWidth="1"/>
    <col min="13841" max="13841" width="9.109375" style="1230" customWidth="1"/>
    <col min="13842" max="14080" width="8.88671875" style="1230"/>
    <col min="14081" max="14081" width="7.44140625" style="1230" customWidth="1"/>
    <col min="14082" max="14082" width="40.5546875" style="1230" customWidth="1"/>
    <col min="14083" max="14083" width="5.88671875" style="1230" customWidth="1"/>
    <col min="14084" max="14084" width="5.5546875" style="1230" customWidth="1"/>
    <col min="14085" max="14085" width="6.44140625" style="1230" customWidth="1"/>
    <col min="14086" max="14088" width="8.6640625" style="1230" customWidth="1"/>
    <col min="14089" max="14089" width="10.5546875" style="1230" customWidth="1"/>
    <col min="14090" max="14090" width="6.44140625" style="1230" customWidth="1"/>
    <col min="14091" max="14092" width="8.88671875" style="1230" customWidth="1"/>
    <col min="14093" max="14093" width="10.77734375" style="1230" customWidth="1"/>
    <col min="14094" max="14096" width="8.88671875" style="1230" customWidth="1"/>
    <col min="14097" max="14097" width="9.109375" style="1230" customWidth="1"/>
    <col min="14098" max="14336" width="8.88671875" style="1230"/>
    <col min="14337" max="14337" width="7.44140625" style="1230" customWidth="1"/>
    <col min="14338" max="14338" width="40.5546875" style="1230" customWidth="1"/>
    <col min="14339" max="14339" width="5.88671875" style="1230" customWidth="1"/>
    <col min="14340" max="14340" width="5.5546875" style="1230" customWidth="1"/>
    <col min="14341" max="14341" width="6.44140625" style="1230" customWidth="1"/>
    <col min="14342" max="14344" width="8.6640625" style="1230" customWidth="1"/>
    <col min="14345" max="14345" width="10.5546875" style="1230" customWidth="1"/>
    <col min="14346" max="14346" width="6.44140625" style="1230" customWidth="1"/>
    <col min="14347" max="14348" width="8.88671875" style="1230" customWidth="1"/>
    <col min="14349" max="14349" width="10.77734375" style="1230" customWidth="1"/>
    <col min="14350" max="14352" width="8.88671875" style="1230" customWidth="1"/>
    <col min="14353" max="14353" width="9.109375" style="1230" customWidth="1"/>
    <col min="14354" max="14592" width="8.88671875" style="1230"/>
    <col min="14593" max="14593" width="7.44140625" style="1230" customWidth="1"/>
    <col min="14594" max="14594" width="40.5546875" style="1230" customWidth="1"/>
    <col min="14595" max="14595" width="5.88671875" style="1230" customWidth="1"/>
    <col min="14596" max="14596" width="5.5546875" style="1230" customWidth="1"/>
    <col min="14597" max="14597" width="6.44140625" style="1230" customWidth="1"/>
    <col min="14598" max="14600" width="8.6640625" style="1230" customWidth="1"/>
    <col min="14601" max="14601" width="10.5546875" style="1230" customWidth="1"/>
    <col min="14602" max="14602" width="6.44140625" style="1230" customWidth="1"/>
    <col min="14603" max="14604" width="8.88671875" style="1230" customWidth="1"/>
    <col min="14605" max="14605" width="10.77734375" style="1230" customWidth="1"/>
    <col min="14606" max="14608" width="8.88671875" style="1230" customWidth="1"/>
    <col min="14609" max="14609" width="9.109375" style="1230" customWidth="1"/>
    <col min="14610" max="14848" width="8.88671875" style="1230"/>
    <col min="14849" max="14849" width="7.44140625" style="1230" customWidth="1"/>
    <col min="14850" max="14850" width="40.5546875" style="1230" customWidth="1"/>
    <col min="14851" max="14851" width="5.88671875" style="1230" customWidth="1"/>
    <col min="14852" max="14852" width="5.5546875" style="1230" customWidth="1"/>
    <col min="14853" max="14853" width="6.44140625" style="1230" customWidth="1"/>
    <col min="14854" max="14856" width="8.6640625" style="1230" customWidth="1"/>
    <col min="14857" max="14857" width="10.5546875" style="1230" customWidth="1"/>
    <col min="14858" max="14858" width="6.44140625" style="1230" customWidth="1"/>
    <col min="14859" max="14860" width="8.88671875" style="1230" customWidth="1"/>
    <col min="14861" max="14861" width="10.77734375" style="1230" customWidth="1"/>
    <col min="14862" max="14864" width="8.88671875" style="1230" customWidth="1"/>
    <col min="14865" max="14865" width="9.109375" style="1230" customWidth="1"/>
    <col min="14866" max="15104" width="8.88671875" style="1230"/>
    <col min="15105" max="15105" width="7.44140625" style="1230" customWidth="1"/>
    <col min="15106" max="15106" width="40.5546875" style="1230" customWidth="1"/>
    <col min="15107" max="15107" width="5.88671875" style="1230" customWidth="1"/>
    <col min="15108" max="15108" width="5.5546875" style="1230" customWidth="1"/>
    <col min="15109" max="15109" width="6.44140625" style="1230" customWidth="1"/>
    <col min="15110" max="15112" width="8.6640625" style="1230" customWidth="1"/>
    <col min="15113" max="15113" width="10.5546875" style="1230" customWidth="1"/>
    <col min="15114" max="15114" width="6.44140625" style="1230" customWidth="1"/>
    <col min="15115" max="15116" width="8.88671875" style="1230" customWidth="1"/>
    <col min="15117" max="15117" width="10.77734375" style="1230" customWidth="1"/>
    <col min="15118" max="15120" width="8.88671875" style="1230" customWidth="1"/>
    <col min="15121" max="15121" width="9.109375" style="1230" customWidth="1"/>
    <col min="15122" max="15360" width="8.88671875" style="1230"/>
    <col min="15361" max="15361" width="7.44140625" style="1230" customWidth="1"/>
    <col min="15362" max="15362" width="40.5546875" style="1230" customWidth="1"/>
    <col min="15363" max="15363" width="5.88671875" style="1230" customWidth="1"/>
    <col min="15364" max="15364" width="5.5546875" style="1230" customWidth="1"/>
    <col min="15365" max="15365" width="6.44140625" style="1230" customWidth="1"/>
    <col min="15366" max="15368" width="8.6640625" style="1230" customWidth="1"/>
    <col min="15369" max="15369" width="10.5546875" style="1230" customWidth="1"/>
    <col min="15370" max="15370" width="6.44140625" style="1230" customWidth="1"/>
    <col min="15371" max="15372" width="8.88671875" style="1230" customWidth="1"/>
    <col min="15373" max="15373" width="10.77734375" style="1230" customWidth="1"/>
    <col min="15374" max="15376" width="8.88671875" style="1230" customWidth="1"/>
    <col min="15377" max="15377" width="9.109375" style="1230" customWidth="1"/>
    <col min="15378" max="15616" width="8.88671875" style="1230"/>
    <col min="15617" max="15617" width="7.44140625" style="1230" customWidth="1"/>
    <col min="15618" max="15618" width="40.5546875" style="1230" customWidth="1"/>
    <col min="15619" max="15619" width="5.88671875" style="1230" customWidth="1"/>
    <col min="15620" max="15620" width="5.5546875" style="1230" customWidth="1"/>
    <col min="15621" max="15621" width="6.44140625" style="1230" customWidth="1"/>
    <col min="15622" max="15624" width="8.6640625" style="1230" customWidth="1"/>
    <col min="15625" max="15625" width="10.5546875" style="1230" customWidth="1"/>
    <col min="15626" max="15626" width="6.44140625" style="1230" customWidth="1"/>
    <col min="15627" max="15628" width="8.88671875" style="1230" customWidth="1"/>
    <col min="15629" max="15629" width="10.77734375" style="1230" customWidth="1"/>
    <col min="15630" max="15632" width="8.88671875" style="1230" customWidth="1"/>
    <col min="15633" max="15633" width="9.109375" style="1230" customWidth="1"/>
    <col min="15634" max="15872" width="8.88671875" style="1230"/>
    <col min="15873" max="15873" width="7.44140625" style="1230" customWidth="1"/>
    <col min="15874" max="15874" width="40.5546875" style="1230" customWidth="1"/>
    <col min="15875" max="15875" width="5.88671875" style="1230" customWidth="1"/>
    <col min="15876" max="15876" width="5.5546875" style="1230" customWidth="1"/>
    <col min="15877" max="15877" width="6.44140625" style="1230" customWidth="1"/>
    <col min="15878" max="15880" width="8.6640625" style="1230" customWidth="1"/>
    <col min="15881" max="15881" width="10.5546875" style="1230" customWidth="1"/>
    <col min="15882" max="15882" width="6.44140625" style="1230" customWidth="1"/>
    <col min="15883" max="15884" width="8.88671875" style="1230" customWidth="1"/>
    <col min="15885" max="15885" width="10.77734375" style="1230" customWidth="1"/>
    <col min="15886" max="15888" width="8.88671875" style="1230" customWidth="1"/>
    <col min="15889" max="15889" width="9.109375" style="1230" customWidth="1"/>
    <col min="15890" max="16128" width="8.88671875" style="1230"/>
    <col min="16129" max="16129" width="7.44140625" style="1230" customWidth="1"/>
    <col min="16130" max="16130" width="40.5546875" style="1230" customWidth="1"/>
    <col min="16131" max="16131" width="5.88671875" style="1230" customWidth="1"/>
    <col min="16132" max="16132" width="5.5546875" style="1230" customWidth="1"/>
    <col min="16133" max="16133" width="6.44140625" style="1230" customWidth="1"/>
    <col min="16134" max="16136" width="8.6640625" style="1230" customWidth="1"/>
    <col min="16137" max="16137" width="10.5546875" style="1230" customWidth="1"/>
    <col min="16138" max="16138" width="6.44140625" style="1230" customWidth="1"/>
    <col min="16139" max="16140" width="8.88671875" style="1230" customWidth="1"/>
    <col min="16141" max="16141" width="10.77734375" style="1230" customWidth="1"/>
    <col min="16142" max="16144" width="8.88671875" style="1230" customWidth="1"/>
    <col min="16145" max="16145" width="9.109375" style="1230" customWidth="1"/>
    <col min="16146" max="16384" width="8.88671875" style="1230"/>
  </cols>
  <sheetData>
    <row r="1" spans="1:13" s="1229" customFormat="1" ht="72" customHeight="1">
      <c r="A1" s="1885" t="s">
        <v>5395</v>
      </c>
      <c r="B1" s="1885"/>
      <c r="C1" s="1885"/>
      <c r="D1" s="1885"/>
      <c r="E1" s="1885"/>
      <c r="F1" s="1885"/>
      <c r="G1" s="1885"/>
      <c r="H1" s="1885"/>
      <c r="I1" s="1885"/>
      <c r="J1" s="1885"/>
    </row>
    <row r="2" spans="1:13" s="1229" customFormat="1" ht="27" customHeight="1">
      <c r="A2" s="1886" t="s">
        <v>5396</v>
      </c>
      <c r="B2" s="1886"/>
      <c r="C2" s="1886"/>
      <c r="D2" s="1886"/>
      <c r="E2" s="1886"/>
      <c r="F2" s="1886"/>
      <c r="G2" s="1886"/>
      <c r="H2" s="1886"/>
      <c r="I2" s="1886"/>
      <c r="J2" s="1886"/>
    </row>
    <row r="3" spans="1:13" ht="24.95" customHeight="1">
      <c r="A3" s="1887" t="s">
        <v>227</v>
      </c>
      <c r="B3" s="1889" t="s">
        <v>5397</v>
      </c>
      <c r="C3" s="1891" t="s">
        <v>1046</v>
      </c>
      <c r="D3" s="1892"/>
      <c r="E3" s="1893"/>
      <c r="F3" s="1897" t="s">
        <v>5398</v>
      </c>
      <c r="G3" s="1898"/>
      <c r="H3" s="1899"/>
      <c r="I3" s="1900" t="s">
        <v>2139</v>
      </c>
      <c r="J3" s="1900" t="s">
        <v>225</v>
      </c>
    </row>
    <row r="4" spans="1:13" ht="24.95" customHeight="1">
      <c r="A4" s="1888"/>
      <c r="B4" s="1890"/>
      <c r="C4" s="1894"/>
      <c r="D4" s="1895"/>
      <c r="E4" s="1896"/>
      <c r="F4" s="1231" t="s">
        <v>5399</v>
      </c>
      <c r="G4" s="1231" t="s">
        <v>1577</v>
      </c>
      <c r="H4" s="1231" t="s">
        <v>5384</v>
      </c>
      <c r="I4" s="1901"/>
      <c r="J4" s="1901"/>
    </row>
    <row r="5" spans="1:13" ht="47.45" customHeight="1">
      <c r="A5" s="1232">
        <v>1.1000000000000001</v>
      </c>
      <c r="B5" s="1233" t="s">
        <v>5400</v>
      </c>
      <c r="C5" s="1234"/>
      <c r="D5" s="1234"/>
      <c r="E5" s="1234"/>
      <c r="F5" s="1235"/>
      <c r="G5" s="1235"/>
      <c r="H5" s="1235"/>
      <c r="I5" s="1235"/>
      <c r="J5" s="1236"/>
      <c r="L5" s="1230">
        <v>64.88</v>
      </c>
    </row>
    <row r="6" spans="1:13" ht="22.5" customHeight="1">
      <c r="A6" s="1237"/>
      <c r="B6" s="1233" t="s">
        <v>5401</v>
      </c>
      <c r="C6" s="1234"/>
      <c r="D6" s="1234"/>
      <c r="E6" s="1234"/>
      <c r="F6" s="1235"/>
      <c r="G6" s="1235"/>
      <c r="H6" s="1235"/>
      <c r="I6" s="1235"/>
      <c r="J6" s="1236"/>
    </row>
    <row r="7" spans="1:13" ht="24.95" customHeight="1">
      <c r="A7" s="1237"/>
      <c r="B7" s="1233" t="s">
        <v>5402</v>
      </c>
      <c r="C7" s="1234"/>
      <c r="D7" s="1234"/>
      <c r="E7" s="1234"/>
      <c r="F7" s="1235"/>
      <c r="G7" s="1235"/>
      <c r="H7" s="1235"/>
      <c r="I7" s="1235"/>
      <c r="J7" s="1236"/>
    </row>
    <row r="8" spans="1:13" ht="24.95" customHeight="1">
      <c r="A8" s="1237"/>
      <c r="B8" s="1238" t="s">
        <v>5403</v>
      </c>
      <c r="C8" s="1239">
        <v>1</v>
      </c>
      <c r="D8" s="1239" t="s">
        <v>5404</v>
      </c>
      <c r="E8" s="1239">
        <v>14</v>
      </c>
      <c r="F8" s="1240">
        <v>1.7</v>
      </c>
      <c r="G8" s="1240">
        <v>1.7</v>
      </c>
      <c r="H8" s="1240">
        <v>2</v>
      </c>
      <c r="I8" s="1240">
        <f>PRODUCT(C8:H8)</f>
        <v>80.92</v>
      </c>
      <c r="J8" s="1236"/>
      <c r="L8" s="1230">
        <v>2.1</v>
      </c>
      <c r="M8" s="1230">
        <f>2.1-1.8</f>
        <v>0.3</v>
      </c>
    </row>
    <row r="9" spans="1:13" ht="24.95" customHeight="1">
      <c r="A9" s="1237"/>
      <c r="B9" s="1238" t="s">
        <v>5405</v>
      </c>
      <c r="C9" s="1239">
        <v>1</v>
      </c>
      <c r="D9" s="1239" t="s">
        <v>5404</v>
      </c>
      <c r="E9" s="1239">
        <v>4</v>
      </c>
      <c r="F9" s="1240">
        <v>2.1</v>
      </c>
      <c r="G9" s="1240">
        <v>2.1</v>
      </c>
      <c r="H9" s="1240">
        <v>2</v>
      </c>
      <c r="I9" s="1240">
        <f>PRODUCT(C9:H9)</f>
        <v>35.28</v>
      </c>
      <c r="J9" s="1236"/>
      <c r="M9" s="1230">
        <f>0.075+0.075</f>
        <v>0.15</v>
      </c>
    </row>
    <row r="10" spans="1:13" ht="24.95" customHeight="1">
      <c r="A10" s="1237"/>
      <c r="B10" s="1238" t="s">
        <v>5406</v>
      </c>
      <c r="C10" s="1239">
        <v>1</v>
      </c>
      <c r="D10" s="1239" t="s">
        <v>5404</v>
      </c>
      <c r="E10" s="1239">
        <v>9</v>
      </c>
      <c r="F10" s="1240">
        <v>2.2999999999999998</v>
      </c>
      <c r="G10" s="1240">
        <v>2.2999999999999998</v>
      </c>
      <c r="H10" s="1240">
        <v>2</v>
      </c>
      <c r="I10" s="1240">
        <f>PRODUCT(C10:H10)</f>
        <v>95.22</v>
      </c>
      <c r="J10" s="1236"/>
    </row>
    <row r="11" spans="1:13" ht="24.95" customHeight="1">
      <c r="A11" s="1237"/>
      <c r="B11" s="1241" t="s">
        <v>5407</v>
      </c>
      <c r="C11" s="1239"/>
      <c r="D11" s="1239"/>
      <c r="E11" s="1239"/>
      <c r="F11" s="1240"/>
      <c r="G11" s="1240"/>
      <c r="H11" s="1240"/>
      <c r="I11" s="1242"/>
      <c r="J11" s="1236"/>
    </row>
    <row r="12" spans="1:13" ht="30" customHeight="1">
      <c r="A12" s="1237"/>
      <c r="B12" s="1238" t="s">
        <v>5877</v>
      </c>
      <c r="C12" s="1239">
        <v>1</v>
      </c>
      <c r="D12" s="1239" t="s">
        <v>5404</v>
      </c>
      <c r="E12" s="1239">
        <v>1</v>
      </c>
      <c r="F12" s="1240">
        <v>64.88</v>
      </c>
      <c r="G12" s="1240">
        <v>0.38</v>
      </c>
      <c r="H12" s="1240">
        <v>0.4</v>
      </c>
      <c r="I12" s="1240">
        <f t="shared" ref="I12:I23" si="0">PRODUCT(C12:H12)</f>
        <v>9.86</v>
      </c>
      <c r="J12" s="1243"/>
    </row>
    <row r="13" spans="1:13" ht="24.95" customHeight="1">
      <c r="A13" s="1237"/>
      <c r="B13" s="1238" t="s">
        <v>5878</v>
      </c>
      <c r="C13" s="1239">
        <v>1</v>
      </c>
      <c r="D13" s="1239" t="s">
        <v>5404</v>
      </c>
      <c r="E13" s="1239">
        <v>1</v>
      </c>
      <c r="F13" s="1240">
        <v>19.97</v>
      </c>
      <c r="G13" s="1240">
        <v>0.38</v>
      </c>
      <c r="H13" s="1240">
        <v>0.4</v>
      </c>
      <c r="I13" s="1240">
        <f t="shared" si="0"/>
        <v>3.04</v>
      </c>
      <c r="J13" s="1243"/>
    </row>
    <row r="14" spans="1:13" ht="24.95" customHeight="1">
      <c r="A14" s="1237"/>
      <c r="B14" s="1238"/>
      <c r="C14" s="1239">
        <v>1</v>
      </c>
      <c r="D14" s="1239" t="s">
        <v>5404</v>
      </c>
      <c r="E14" s="1239">
        <v>1</v>
      </c>
      <c r="F14" s="1240">
        <v>16.440000000000001</v>
      </c>
      <c r="G14" s="1240">
        <v>0.38</v>
      </c>
      <c r="H14" s="1240">
        <v>0.4</v>
      </c>
      <c r="I14" s="1240">
        <f t="shared" si="0"/>
        <v>2.5</v>
      </c>
      <c r="J14" s="1243"/>
    </row>
    <row r="15" spans="1:13" ht="24.95" customHeight="1">
      <c r="A15" s="1237"/>
      <c r="B15" s="1238" t="s">
        <v>5879</v>
      </c>
      <c r="C15" s="1239">
        <v>1</v>
      </c>
      <c r="D15" s="1239" t="s">
        <v>5404</v>
      </c>
      <c r="E15" s="1239">
        <v>1</v>
      </c>
      <c r="F15" s="1240">
        <v>3.15</v>
      </c>
      <c r="G15" s="1240">
        <v>0.38</v>
      </c>
      <c r="H15" s="1240">
        <v>0.4</v>
      </c>
      <c r="I15" s="1240">
        <f t="shared" si="0"/>
        <v>0.48</v>
      </c>
      <c r="J15" s="1243"/>
    </row>
    <row r="16" spans="1:13" ht="24.95" customHeight="1">
      <c r="A16" s="1237"/>
      <c r="B16" s="1238" t="s">
        <v>5880</v>
      </c>
      <c r="C16" s="1239">
        <v>1</v>
      </c>
      <c r="D16" s="1239" t="s">
        <v>5404</v>
      </c>
      <c r="E16" s="1239">
        <v>3</v>
      </c>
      <c r="F16" s="1240">
        <v>3.45</v>
      </c>
      <c r="G16" s="1240">
        <v>0.38</v>
      </c>
      <c r="H16" s="1240">
        <v>0.4</v>
      </c>
      <c r="I16" s="1240">
        <f t="shared" si="0"/>
        <v>1.57</v>
      </c>
      <c r="J16" s="1243"/>
    </row>
    <row r="17" spans="1:16" ht="24.95" customHeight="1">
      <c r="A17" s="1237"/>
      <c r="B17" s="1238" t="s">
        <v>5881</v>
      </c>
      <c r="C17" s="1239">
        <v>1</v>
      </c>
      <c r="D17" s="1239" t="s">
        <v>5404</v>
      </c>
      <c r="E17" s="1239">
        <v>2</v>
      </c>
      <c r="F17" s="1240">
        <v>5.85</v>
      </c>
      <c r="G17" s="1240">
        <v>0.38</v>
      </c>
      <c r="H17" s="1240">
        <v>0.4</v>
      </c>
      <c r="I17" s="1240">
        <f t="shared" si="0"/>
        <v>1.78</v>
      </c>
      <c r="J17" s="1243"/>
    </row>
    <row r="18" spans="1:16" ht="24.95" customHeight="1">
      <c r="A18" s="1237"/>
      <c r="B18" s="1238" t="s">
        <v>5882</v>
      </c>
      <c r="C18" s="1239">
        <v>1</v>
      </c>
      <c r="D18" s="1239" t="s">
        <v>5404</v>
      </c>
      <c r="E18" s="1239">
        <v>1</v>
      </c>
      <c r="F18" s="1240">
        <v>7.88</v>
      </c>
      <c r="G18" s="1240">
        <v>0.38</v>
      </c>
      <c r="H18" s="1240">
        <v>0.4</v>
      </c>
      <c r="I18" s="1240">
        <f t="shared" si="0"/>
        <v>1.2</v>
      </c>
      <c r="J18" s="1243"/>
    </row>
    <row r="19" spans="1:16" ht="24.95" customHeight="1">
      <c r="A19" s="1237"/>
      <c r="B19" s="1238" t="s">
        <v>5883</v>
      </c>
      <c r="C19" s="1244">
        <v>1</v>
      </c>
      <c r="D19" s="1244" t="s">
        <v>5404</v>
      </c>
      <c r="E19" s="1244">
        <v>2</v>
      </c>
      <c r="F19" s="1242">
        <v>17</v>
      </c>
      <c r="G19" s="1242">
        <v>0.38</v>
      </c>
      <c r="H19" s="1240">
        <v>0.4</v>
      </c>
      <c r="I19" s="1242">
        <f t="shared" si="0"/>
        <v>5.17</v>
      </c>
      <c r="J19" s="1236"/>
      <c r="M19" s="1235">
        <v>4.87</v>
      </c>
      <c r="N19" s="1235">
        <v>1.5</v>
      </c>
      <c r="O19" s="1235">
        <v>1.8</v>
      </c>
      <c r="P19" s="1235">
        <f>PRODUCT(K19:O19)</f>
        <v>13.15</v>
      </c>
    </row>
    <row r="20" spans="1:16" ht="24.95" customHeight="1">
      <c r="A20" s="1237"/>
      <c r="B20" s="1238" t="s">
        <v>5884</v>
      </c>
      <c r="C20" s="1244">
        <v>1</v>
      </c>
      <c r="D20" s="1244" t="s">
        <v>5404</v>
      </c>
      <c r="E20" s="1244">
        <v>4</v>
      </c>
      <c r="F20" s="1242">
        <v>4.8099999999999996</v>
      </c>
      <c r="G20" s="1242">
        <v>0.38</v>
      </c>
      <c r="H20" s="1240">
        <v>0.4</v>
      </c>
      <c r="I20" s="1242">
        <f t="shared" si="0"/>
        <v>2.92</v>
      </c>
      <c r="J20" s="1236"/>
    </row>
    <row r="21" spans="1:16" ht="24.95" customHeight="1">
      <c r="A21" s="1237"/>
      <c r="B21" s="1238" t="s">
        <v>5884</v>
      </c>
      <c r="C21" s="1244">
        <v>1</v>
      </c>
      <c r="D21" s="1244" t="s">
        <v>5404</v>
      </c>
      <c r="E21" s="1244">
        <v>4</v>
      </c>
      <c r="F21" s="1242">
        <v>5.63</v>
      </c>
      <c r="G21" s="1242">
        <v>0.38</v>
      </c>
      <c r="H21" s="1240">
        <v>0.4</v>
      </c>
      <c r="I21" s="1242">
        <f t="shared" ref="I21" si="1">PRODUCT(C21:H21)</f>
        <v>3.42</v>
      </c>
      <c r="J21" s="1236"/>
    </row>
    <row r="22" spans="1:16" ht="24.95" customHeight="1">
      <c r="A22" s="1237"/>
      <c r="B22" s="1238" t="s">
        <v>6413</v>
      </c>
      <c r="C22" s="1244">
        <v>1</v>
      </c>
      <c r="D22" s="1244" t="s">
        <v>5404</v>
      </c>
      <c r="E22" s="1244">
        <v>9</v>
      </c>
      <c r="F22" s="1242">
        <v>1.5</v>
      </c>
      <c r="G22" s="1242">
        <v>1.5</v>
      </c>
      <c r="H22" s="1240">
        <v>0.9</v>
      </c>
      <c r="I22" s="1242">
        <f t="shared" si="0"/>
        <v>18.23</v>
      </c>
      <c r="J22" s="1236"/>
    </row>
    <row r="23" spans="1:16" ht="24.95" customHeight="1">
      <c r="A23" s="1237"/>
      <c r="B23" s="1238" t="s">
        <v>6414</v>
      </c>
      <c r="C23" s="1244">
        <v>1</v>
      </c>
      <c r="D23" s="1244" t="s">
        <v>5404</v>
      </c>
      <c r="E23" s="1244">
        <v>4</v>
      </c>
      <c r="F23" s="1242">
        <v>1.5</v>
      </c>
      <c r="G23" s="1242">
        <v>1.5</v>
      </c>
      <c r="H23" s="1240">
        <v>0.9</v>
      </c>
      <c r="I23" s="1242">
        <f t="shared" si="0"/>
        <v>8.1</v>
      </c>
      <c r="J23" s="1236"/>
    </row>
    <row r="24" spans="1:16" ht="24.95" customHeight="1">
      <c r="A24" s="1237"/>
      <c r="B24" s="1238" t="s">
        <v>5409</v>
      </c>
      <c r="C24" s="1244"/>
      <c r="D24" s="1244"/>
      <c r="E24" s="1244"/>
      <c r="F24" s="1242"/>
      <c r="G24" s="1242"/>
      <c r="H24" s="1240"/>
      <c r="I24" s="1242"/>
      <c r="J24" s="1236"/>
    </row>
    <row r="25" spans="1:16" ht="24.95" customHeight="1">
      <c r="A25" s="1237"/>
      <c r="B25" s="1238" t="s">
        <v>5410</v>
      </c>
      <c r="C25" s="1239">
        <v>-1</v>
      </c>
      <c r="D25" s="1239" t="s">
        <v>5404</v>
      </c>
      <c r="E25" s="1239">
        <v>14</v>
      </c>
      <c r="F25" s="1240">
        <v>1.7</v>
      </c>
      <c r="G25" s="1242">
        <v>0.38</v>
      </c>
      <c r="H25" s="1240">
        <v>0.4</v>
      </c>
      <c r="I25" s="1240">
        <f>PRODUCT(C25:H25)</f>
        <v>-3.62</v>
      </c>
      <c r="J25" s="1236"/>
    </row>
    <row r="26" spans="1:16" ht="24.95" customHeight="1">
      <c r="A26" s="1237"/>
      <c r="B26" s="1238" t="s">
        <v>5405</v>
      </c>
      <c r="C26" s="1239">
        <v>-1</v>
      </c>
      <c r="D26" s="1239" t="s">
        <v>5404</v>
      </c>
      <c r="E26" s="1239">
        <v>4</v>
      </c>
      <c r="F26" s="1240">
        <v>2.1</v>
      </c>
      <c r="G26" s="1242">
        <v>0.38</v>
      </c>
      <c r="H26" s="1240">
        <v>0.4</v>
      </c>
      <c r="I26" s="1240">
        <f>PRODUCT(C26:H26)</f>
        <v>-1.28</v>
      </c>
      <c r="J26" s="1236"/>
    </row>
    <row r="27" spans="1:16" ht="24.95" customHeight="1">
      <c r="A27" s="1237"/>
      <c r="B27" s="1238" t="s">
        <v>5411</v>
      </c>
      <c r="C27" s="1239">
        <v>-1</v>
      </c>
      <c r="D27" s="1239" t="s">
        <v>5404</v>
      </c>
      <c r="E27" s="1239">
        <v>9</v>
      </c>
      <c r="F27" s="1240">
        <v>2.2999999999999998</v>
      </c>
      <c r="G27" s="1242">
        <v>0.38</v>
      </c>
      <c r="H27" s="1240">
        <v>0.4</v>
      </c>
      <c r="I27" s="1240">
        <f>PRODUCT(C27:H27)</f>
        <v>-3.15</v>
      </c>
      <c r="J27" s="1236"/>
    </row>
    <row r="28" spans="1:16" ht="24.95" customHeight="1">
      <c r="A28" s="1237"/>
      <c r="B28" s="1238"/>
      <c r="C28" s="1244"/>
      <c r="D28" s="1244"/>
      <c r="E28" s="1244"/>
      <c r="F28" s="1242"/>
      <c r="G28" s="1242"/>
      <c r="H28" s="1240"/>
      <c r="I28" s="1242">
        <f>SUM(I8:I27)</f>
        <v>261.64</v>
      </c>
      <c r="J28" s="1236"/>
    </row>
    <row r="29" spans="1:16" ht="24.95" customHeight="1">
      <c r="A29" s="1237"/>
      <c r="B29" s="1238"/>
      <c r="C29" s="1239"/>
      <c r="D29" s="1239"/>
      <c r="E29" s="1239"/>
      <c r="F29" s="1240"/>
      <c r="G29" s="1240"/>
      <c r="H29" s="1245" t="s">
        <v>4322</v>
      </c>
      <c r="I29" s="1225">
        <f>ROUNDUP(I28,1)</f>
        <v>261.7</v>
      </c>
      <c r="J29" s="1246" t="s">
        <v>2176</v>
      </c>
    </row>
    <row r="30" spans="1:16" ht="24.95" customHeight="1">
      <c r="A30" s="1237"/>
      <c r="B30" s="1238"/>
      <c r="C30" s="1239"/>
      <c r="D30" s="1239"/>
      <c r="E30" s="1239"/>
      <c r="F30" s="1240"/>
      <c r="G30" s="1240"/>
      <c r="H30" s="1240"/>
      <c r="I30" s="1242"/>
      <c r="J30" s="1236"/>
    </row>
    <row r="31" spans="1:16" ht="45.75" customHeight="1">
      <c r="A31" s="1232">
        <v>2.1</v>
      </c>
      <c r="B31" s="1233" t="s">
        <v>5413</v>
      </c>
      <c r="C31" s="1234"/>
      <c r="D31" s="1234"/>
      <c r="E31" s="1234"/>
      <c r="F31" s="1235"/>
      <c r="G31" s="1235"/>
      <c r="H31" s="1235"/>
      <c r="I31" s="1235"/>
      <c r="J31" s="1236"/>
    </row>
    <row r="32" spans="1:16" ht="24" customHeight="1">
      <c r="A32" s="1237"/>
      <c r="B32" s="1247" t="s">
        <v>5608</v>
      </c>
      <c r="C32" s="1234">
        <v>1</v>
      </c>
      <c r="D32" s="1234" t="s">
        <v>5404</v>
      </c>
      <c r="E32" s="1234">
        <v>1</v>
      </c>
      <c r="F32" s="1248">
        <v>3.6</v>
      </c>
      <c r="G32" s="1248">
        <v>5</v>
      </c>
      <c r="H32" s="1248">
        <v>0.15</v>
      </c>
      <c r="I32" s="1240">
        <f t="shared" ref="I32:I44" si="2">PRODUCT(C32:H32)</f>
        <v>2.7</v>
      </c>
      <c r="J32" s="1236"/>
    </row>
    <row r="33" spans="1:10" ht="24" customHeight="1">
      <c r="A33" s="1237"/>
      <c r="B33" s="1247" t="s">
        <v>5885</v>
      </c>
      <c r="C33" s="1234">
        <v>1</v>
      </c>
      <c r="D33" s="1234" t="s">
        <v>5404</v>
      </c>
      <c r="E33" s="1234">
        <v>1</v>
      </c>
      <c r="F33" s="1248">
        <v>3.6</v>
      </c>
      <c r="G33" s="1248">
        <v>2</v>
      </c>
      <c r="H33" s="1248">
        <v>0.15</v>
      </c>
      <c r="I33" s="1240">
        <f t="shared" si="2"/>
        <v>1.08</v>
      </c>
      <c r="J33" s="1236"/>
    </row>
    <row r="34" spans="1:10" ht="24" customHeight="1">
      <c r="A34" s="1237"/>
      <c r="B34" s="1247" t="s">
        <v>5414</v>
      </c>
      <c r="C34" s="1234">
        <v>1</v>
      </c>
      <c r="D34" s="1234" t="s">
        <v>5404</v>
      </c>
      <c r="E34" s="1234">
        <v>1</v>
      </c>
      <c r="F34" s="1248">
        <v>3.6</v>
      </c>
      <c r="G34" s="1248">
        <v>7.55</v>
      </c>
      <c r="H34" s="1248">
        <v>0.15</v>
      </c>
      <c r="I34" s="1240">
        <f t="shared" si="2"/>
        <v>4.08</v>
      </c>
      <c r="J34" s="1236"/>
    </row>
    <row r="35" spans="1:10" ht="24" customHeight="1">
      <c r="A35" s="1237"/>
      <c r="B35" s="1247" t="s">
        <v>5886</v>
      </c>
      <c r="C35" s="1234">
        <v>1</v>
      </c>
      <c r="D35" s="1234" t="s">
        <v>5404</v>
      </c>
      <c r="E35" s="1234">
        <v>1</v>
      </c>
      <c r="F35" s="1251">
        <v>3.72</v>
      </c>
      <c r="G35" s="1248">
        <v>5.94</v>
      </c>
      <c r="H35" s="1248">
        <v>0.15</v>
      </c>
      <c r="I35" s="1240">
        <f t="shared" si="2"/>
        <v>3.31</v>
      </c>
      <c r="J35" s="1236"/>
    </row>
    <row r="36" spans="1:10" ht="24" customHeight="1">
      <c r="A36" s="1237"/>
      <c r="B36" s="1247" t="s">
        <v>5578</v>
      </c>
      <c r="C36" s="1234">
        <v>1</v>
      </c>
      <c r="D36" s="1234" t="s">
        <v>5404</v>
      </c>
      <c r="E36" s="1234">
        <v>1</v>
      </c>
      <c r="F36" s="1248">
        <v>1.65</v>
      </c>
      <c r="G36" s="1248">
        <v>2.66</v>
      </c>
      <c r="H36" s="1248">
        <v>0.15</v>
      </c>
      <c r="I36" s="1240">
        <f t="shared" si="2"/>
        <v>0.66</v>
      </c>
      <c r="J36" s="1236"/>
    </row>
    <row r="37" spans="1:10" ht="24" customHeight="1">
      <c r="A37" s="1237"/>
      <c r="B37" s="1247" t="s">
        <v>5417</v>
      </c>
      <c r="C37" s="1234">
        <v>1</v>
      </c>
      <c r="D37" s="1234" t="s">
        <v>5404</v>
      </c>
      <c r="E37" s="1234">
        <v>1</v>
      </c>
      <c r="F37" s="1248">
        <v>1.8</v>
      </c>
      <c r="G37" s="1248">
        <v>14.04</v>
      </c>
      <c r="H37" s="1248">
        <v>0.15</v>
      </c>
      <c r="I37" s="1240">
        <f t="shared" si="2"/>
        <v>3.79</v>
      </c>
      <c r="J37" s="1236"/>
    </row>
    <row r="38" spans="1:10" ht="24" customHeight="1">
      <c r="A38" s="1237"/>
      <c r="B38" s="1247" t="s">
        <v>5416</v>
      </c>
      <c r="C38" s="1234">
        <v>1</v>
      </c>
      <c r="D38" s="1234" t="s">
        <v>5404</v>
      </c>
      <c r="E38" s="1234">
        <v>1</v>
      </c>
      <c r="F38" s="1248">
        <v>3.3</v>
      </c>
      <c r="G38" s="1248">
        <v>3.3</v>
      </c>
      <c r="H38" s="1248">
        <v>0.15</v>
      </c>
      <c r="I38" s="1240">
        <f t="shared" si="2"/>
        <v>1.63</v>
      </c>
      <c r="J38" s="1236"/>
    </row>
    <row r="39" spans="1:10" ht="24" customHeight="1">
      <c r="A39" s="1237"/>
      <c r="B39" s="1247" t="s">
        <v>5418</v>
      </c>
      <c r="C39" s="1234">
        <v>1</v>
      </c>
      <c r="D39" s="1234" t="s">
        <v>5404</v>
      </c>
      <c r="E39" s="1234">
        <v>1</v>
      </c>
      <c r="F39" s="1248">
        <v>4.5</v>
      </c>
      <c r="G39" s="1248">
        <v>3.3</v>
      </c>
      <c r="H39" s="1248">
        <v>0.15</v>
      </c>
      <c r="I39" s="1240">
        <f t="shared" si="2"/>
        <v>2.23</v>
      </c>
      <c r="J39" s="1236"/>
    </row>
    <row r="40" spans="1:10" ht="24" customHeight="1">
      <c r="A40" s="1237"/>
      <c r="B40" s="1247" t="s">
        <v>5419</v>
      </c>
      <c r="C40" s="1234">
        <v>1</v>
      </c>
      <c r="D40" s="1234" t="s">
        <v>5404</v>
      </c>
      <c r="E40" s="1234">
        <v>1</v>
      </c>
      <c r="F40" s="1248">
        <v>6</v>
      </c>
      <c r="G40" s="1248">
        <v>6</v>
      </c>
      <c r="H40" s="1248">
        <v>0.15</v>
      </c>
      <c r="I40" s="1240">
        <f t="shared" si="2"/>
        <v>5.4</v>
      </c>
      <c r="J40" s="1236"/>
    </row>
    <row r="41" spans="1:10" ht="24" customHeight="1">
      <c r="A41" s="1237"/>
      <c r="B41" s="1247" t="s">
        <v>5887</v>
      </c>
      <c r="C41" s="1234">
        <v>1</v>
      </c>
      <c r="D41" s="1234" t="s">
        <v>5404</v>
      </c>
      <c r="E41" s="1234">
        <v>1</v>
      </c>
      <c r="F41" s="1248">
        <v>5.03</v>
      </c>
      <c r="G41" s="1248">
        <v>2</v>
      </c>
      <c r="H41" s="1248">
        <v>0.15</v>
      </c>
      <c r="I41" s="1240">
        <f t="shared" si="2"/>
        <v>1.51</v>
      </c>
      <c r="J41" s="1236"/>
    </row>
    <row r="42" spans="1:10" ht="24" customHeight="1">
      <c r="A42" s="1237"/>
      <c r="B42" s="1247" t="s">
        <v>5888</v>
      </c>
      <c r="C42" s="1234">
        <v>1</v>
      </c>
      <c r="D42" s="1234" t="s">
        <v>5404</v>
      </c>
      <c r="E42" s="1234">
        <v>1</v>
      </c>
      <c r="F42" s="1248">
        <v>1.2</v>
      </c>
      <c r="G42" s="1248">
        <v>2</v>
      </c>
      <c r="H42" s="1248">
        <v>0.15</v>
      </c>
      <c r="I42" s="1240">
        <f t="shared" si="2"/>
        <v>0.36</v>
      </c>
      <c r="J42" s="1236"/>
    </row>
    <row r="43" spans="1:10" ht="24" customHeight="1">
      <c r="A43" s="1237"/>
      <c r="B43" s="1247" t="s">
        <v>5415</v>
      </c>
      <c r="C43" s="1234">
        <v>1</v>
      </c>
      <c r="D43" s="1234" t="s">
        <v>5404</v>
      </c>
      <c r="E43" s="1234">
        <v>1</v>
      </c>
      <c r="F43" s="1248">
        <v>6</v>
      </c>
      <c r="G43" s="1248">
        <v>8.0299999999999994</v>
      </c>
      <c r="H43" s="1248">
        <v>0.15</v>
      </c>
      <c r="I43" s="1240">
        <f t="shared" si="2"/>
        <v>7.23</v>
      </c>
      <c r="J43" s="1236"/>
    </row>
    <row r="44" spans="1:10" ht="24" customHeight="1">
      <c r="A44" s="1237"/>
      <c r="B44" s="1247" t="s">
        <v>5477</v>
      </c>
      <c r="C44" s="1234">
        <v>1</v>
      </c>
      <c r="D44" s="1234" t="s">
        <v>5404</v>
      </c>
      <c r="E44" s="1234">
        <v>1</v>
      </c>
      <c r="F44" s="1248">
        <v>10.97</v>
      </c>
      <c r="G44" s="1248">
        <f>17-0.46</f>
        <v>16.54</v>
      </c>
      <c r="H44" s="1248">
        <v>0.15</v>
      </c>
      <c r="I44" s="1240">
        <f t="shared" si="2"/>
        <v>27.22</v>
      </c>
      <c r="J44" s="1236"/>
    </row>
    <row r="45" spans="1:10" ht="29.25" customHeight="1">
      <c r="A45" s="1237"/>
      <c r="B45" s="1247"/>
      <c r="C45" s="1234"/>
      <c r="D45" s="1234"/>
      <c r="E45" s="1234"/>
      <c r="F45" s="1248"/>
      <c r="G45" s="1248"/>
      <c r="H45" s="1248"/>
      <c r="I45" s="1240">
        <f>SUM(I32:I44)</f>
        <v>61.2</v>
      </c>
      <c r="J45" s="1236"/>
    </row>
    <row r="46" spans="1:10" ht="24.95" customHeight="1">
      <c r="A46" s="1237"/>
      <c r="B46" s="1233"/>
      <c r="C46" s="1234"/>
      <c r="D46" s="1234"/>
      <c r="E46" s="1234"/>
      <c r="F46" s="1248"/>
      <c r="G46" s="1248"/>
      <c r="H46" s="1249" t="s">
        <v>4322</v>
      </c>
      <c r="I46" s="1225">
        <f>ROUNDUP(I45,1)</f>
        <v>61.2</v>
      </c>
      <c r="J46" s="1246" t="s">
        <v>2176</v>
      </c>
    </row>
    <row r="47" spans="1:10" ht="38.25" customHeight="1">
      <c r="A47" s="1250" t="s">
        <v>5420</v>
      </c>
      <c r="B47" s="1233" t="s">
        <v>5421</v>
      </c>
      <c r="C47" s="1234"/>
      <c r="D47" s="1234"/>
      <c r="E47" s="1234"/>
      <c r="F47" s="1235"/>
      <c r="G47" s="1235"/>
      <c r="H47" s="1235"/>
      <c r="I47" s="1235"/>
      <c r="J47" s="1236"/>
    </row>
    <row r="48" spans="1:10" ht="24.95" customHeight="1">
      <c r="A48" s="1237"/>
      <c r="B48" s="1247" t="s">
        <v>5608</v>
      </c>
      <c r="C48" s="1234">
        <v>1</v>
      </c>
      <c r="D48" s="1234" t="s">
        <v>5404</v>
      </c>
      <c r="E48" s="1234">
        <v>1</v>
      </c>
      <c r="F48" s="1248">
        <v>3.6</v>
      </c>
      <c r="G48" s="1248">
        <v>5</v>
      </c>
      <c r="H48" s="1795">
        <v>1.3</v>
      </c>
      <c r="I48" s="1240">
        <f t="shared" ref="I48:I61" si="3">PRODUCT(C48:H48)</f>
        <v>23.4</v>
      </c>
      <c r="J48" s="1236"/>
    </row>
    <row r="49" spans="1:12" ht="24.95" customHeight="1">
      <c r="A49" s="1237"/>
      <c r="B49" s="1247" t="s">
        <v>5885</v>
      </c>
      <c r="C49" s="1234">
        <v>1</v>
      </c>
      <c r="D49" s="1234" t="s">
        <v>5404</v>
      </c>
      <c r="E49" s="1234">
        <v>1</v>
      </c>
      <c r="F49" s="1248">
        <v>3.6</v>
      </c>
      <c r="G49" s="1248">
        <v>2</v>
      </c>
      <c r="H49" s="1795">
        <v>1.3</v>
      </c>
      <c r="I49" s="1240">
        <f t="shared" si="3"/>
        <v>9.36</v>
      </c>
      <c r="J49" s="1236"/>
    </row>
    <row r="50" spans="1:12" ht="24.95" customHeight="1">
      <c r="A50" s="1237"/>
      <c r="B50" s="1247" t="s">
        <v>5414</v>
      </c>
      <c r="C50" s="1234">
        <v>1</v>
      </c>
      <c r="D50" s="1234" t="s">
        <v>5404</v>
      </c>
      <c r="E50" s="1234">
        <v>1</v>
      </c>
      <c r="F50" s="1248">
        <v>3.6</v>
      </c>
      <c r="G50" s="1248">
        <v>7.55</v>
      </c>
      <c r="H50" s="1795">
        <v>1.3</v>
      </c>
      <c r="I50" s="1240">
        <f t="shared" si="3"/>
        <v>35.33</v>
      </c>
      <c r="J50" s="1236"/>
    </row>
    <row r="51" spans="1:12" ht="24.95" customHeight="1">
      <c r="A51" s="1237"/>
      <c r="B51" s="1247" t="s">
        <v>5886</v>
      </c>
      <c r="C51" s="1234">
        <v>1</v>
      </c>
      <c r="D51" s="1234" t="s">
        <v>5404</v>
      </c>
      <c r="E51" s="1234">
        <v>1</v>
      </c>
      <c r="F51" s="1251">
        <v>3.72</v>
      </c>
      <c r="G51" s="1248">
        <v>5.94</v>
      </c>
      <c r="H51" s="1795">
        <v>1.3</v>
      </c>
      <c r="I51" s="1240">
        <f t="shared" si="3"/>
        <v>28.73</v>
      </c>
      <c r="J51" s="1236"/>
      <c r="L51" s="1230">
        <f>1.45-0.15-0.075</f>
        <v>1.23</v>
      </c>
    </row>
    <row r="52" spans="1:12" ht="24.95" customHeight="1">
      <c r="A52" s="1237"/>
      <c r="B52" s="1247" t="s">
        <v>5578</v>
      </c>
      <c r="C52" s="1234">
        <v>1</v>
      </c>
      <c r="D52" s="1234" t="s">
        <v>5404</v>
      </c>
      <c r="E52" s="1234">
        <v>1</v>
      </c>
      <c r="F52" s="1248">
        <v>1.65</v>
      </c>
      <c r="G52" s="1248">
        <v>2.66</v>
      </c>
      <c r="H52" s="1795">
        <v>1.3</v>
      </c>
      <c r="I52" s="1240">
        <f t="shared" si="3"/>
        <v>5.71</v>
      </c>
      <c r="J52" s="1236"/>
    </row>
    <row r="53" spans="1:12" ht="24.95" customHeight="1">
      <c r="A53" s="1237"/>
      <c r="B53" s="1247" t="s">
        <v>5417</v>
      </c>
      <c r="C53" s="1234">
        <v>1</v>
      </c>
      <c r="D53" s="1234" t="s">
        <v>5404</v>
      </c>
      <c r="E53" s="1234">
        <v>1</v>
      </c>
      <c r="F53" s="1248">
        <v>1.8</v>
      </c>
      <c r="G53" s="1248">
        <v>14.04</v>
      </c>
      <c r="H53" s="1795">
        <v>1.3</v>
      </c>
      <c r="I53" s="1240">
        <f t="shared" si="3"/>
        <v>32.85</v>
      </c>
      <c r="J53" s="1236"/>
    </row>
    <row r="54" spans="1:12" ht="24.95" customHeight="1">
      <c r="A54" s="1237"/>
      <c r="B54" s="1247" t="s">
        <v>5416</v>
      </c>
      <c r="C54" s="1234">
        <v>1</v>
      </c>
      <c r="D54" s="1234" t="s">
        <v>5404</v>
      </c>
      <c r="E54" s="1234">
        <v>1</v>
      </c>
      <c r="F54" s="1248">
        <v>3.3</v>
      </c>
      <c r="G54" s="1248">
        <v>3.3</v>
      </c>
      <c r="H54" s="1795">
        <v>1.3</v>
      </c>
      <c r="I54" s="1240">
        <f t="shared" si="3"/>
        <v>14.16</v>
      </c>
      <c r="J54" s="1236"/>
    </row>
    <row r="55" spans="1:12" ht="24.95" customHeight="1">
      <c r="A55" s="1237"/>
      <c r="B55" s="1247" t="s">
        <v>5418</v>
      </c>
      <c r="C55" s="1234">
        <v>1</v>
      </c>
      <c r="D55" s="1234" t="s">
        <v>5404</v>
      </c>
      <c r="E55" s="1234">
        <v>1</v>
      </c>
      <c r="F55" s="1248">
        <v>4.5</v>
      </c>
      <c r="G55" s="1248">
        <v>3.3</v>
      </c>
      <c r="H55" s="1795">
        <v>1.3</v>
      </c>
      <c r="I55" s="1240">
        <f t="shared" si="3"/>
        <v>19.309999999999999</v>
      </c>
      <c r="J55" s="1236"/>
    </row>
    <row r="56" spans="1:12" ht="24.95" customHeight="1">
      <c r="A56" s="1237"/>
      <c r="B56" s="1247" t="s">
        <v>5419</v>
      </c>
      <c r="C56" s="1234">
        <v>1</v>
      </c>
      <c r="D56" s="1234" t="s">
        <v>5404</v>
      </c>
      <c r="E56" s="1234">
        <v>1</v>
      </c>
      <c r="F56" s="1248">
        <v>6</v>
      </c>
      <c r="G56" s="1248">
        <v>6</v>
      </c>
      <c r="H56" s="1795">
        <v>1.3</v>
      </c>
      <c r="I56" s="1240">
        <f t="shared" si="3"/>
        <v>46.8</v>
      </c>
      <c r="J56" s="1236"/>
    </row>
    <row r="57" spans="1:12" ht="24.95" customHeight="1">
      <c r="A57" s="1237"/>
      <c r="B57" s="1247" t="s">
        <v>5887</v>
      </c>
      <c r="C57" s="1234">
        <v>1</v>
      </c>
      <c r="D57" s="1234" t="s">
        <v>5404</v>
      </c>
      <c r="E57" s="1234">
        <v>1</v>
      </c>
      <c r="F57" s="1248">
        <v>5.03</v>
      </c>
      <c r="G57" s="1248">
        <v>2</v>
      </c>
      <c r="H57" s="1795">
        <v>1.3</v>
      </c>
      <c r="I57" s="1240">
        <f t="shared" si="3"/>
        <v>13.08</v>
      </c>
      <c r="J57" s="1236"/>
    </row>
    <row r="58" spans="1:12" ht="24.95" customHeight="1">
      <c r="A58" s="1237"/>
      <c r="B58" s="1247" t="s">
        <v>5888</v>
      </c>
      <c r="C58" s="1234">
        <v>1</v>
      </c>
      <c r="D58" s="1234" t="s">
        <v>5404</v>
      </c>
      <c r="E58" s="1234">
        <v>1</v>
      </c>
      <c r="F58" s="1248">
        <v>1.2</v>
      </c>
      <c r="G58" s="1248">
        <v>2</v>
      </c>
      <c r="H58" s="1795">
        <v>1.3</v>
      </c>
      <c r="I58" s="1240">
        <f t="shared" si="3"/>
        <v>3.12</v>
      </c>
      <c r="J58" s="1236"/>
    </row>
    <row r="59" spans="1:12" ht="24.95" customHeight="1">
      <c r="A59" s="1237"/>
      <c r="B59" s="1247" t="s">
        <v>5415</v>
      </c>
      <c r="C59" s="1234">
        <v>1</v>
      </c>
      <c r="D59" s="1234" t="s">
        <v>5404</v>
      </c>
      <c r="E59" s="1234">
        <v>1</v>
      </c>
      <c r="F59" s="1248">
        <v>6</v>
      </c>
      <c r="G59" s="1248">
        <v>8.0299999999999994</v>
      </c>
      <c r="H59" s="1795">
        <v>1.3</v>
      </c>
      <c r="I59" s="1240">
        <f t="shared" si="3"/>
        <v>62.63</v>
      </c>
      <c r="J59" s="1236"/>
    </row>
    <row r="60" spans="1:12" ht="24.95" customHeight="1">
      <c r="A60" s="1237"/>
      <c r="B60" s="1247" t="s">
        <v>5477</v>
      </c>
      <c r="C60" s="1234">
        <v>1</v>
      </c>
      <c r="D60" s="1234" t="s">
        <v>5404</v>
      </c>
      <c r="E60" s="1234">
        <v>1</v>
      </c>
      <c r="F60" s="1248">
        <v>10.97</v>
      </c>
      <c r="G60" s="1248">
        <f>17-0.46</f>
        <v>16.54</v>
      </c>
      <c r="H60" s="1248">
        <v>0.95</v>
      </c>
      <c r="I60" s="1240">
        <f t="shared" si="3"/>
        <v>172.37</v>
      </c>
      <c r="J60" s="1236"/>
    </row>
    <row r="61" spans="1:12" ht="24.95" customHeight="1">
      <c r="A61" s="1237"/>
      <c r="B61" s="1247" t="s">
        <v>5422</v>
      </c>
      <c r="C61" s="1234">
        <v>1</v>
      </c>
      <c r="D61" s="1234" t="s">
        <v>5404</v>
      </c>
      <c r="E61" s="1234">
        <v>-1</v>
      </c>
      <c r="F61" s="1248">
        <v>4.96</v>
      </c>
      <c r="G61" s="1248">
        <v>1.66</v>
      </c>
      <c r="H61" s="1248">
        <v>0.95</v>
      </c>
      <c r="I61" s="1240">
        <f t="shared" si="3"/>
        <v>-7.82</v>
      </c>
      <c r="J61" s="1236"/>
    </row>
    <row r="62" spans="1:12" ht="24.95" customHeight="1">
      <c r="A62" s="1237"/>
      <c r="B62" s="1247" t="s">
        <v>6415</v>
      </c>
      <c r="C62" s="1234"/>
      <c r="D62" s="1234"/>
      <c r="E62" s="1234"/>
      <c r="F62" s="1248"/>
      <c r="G62" s="1248"/>
      <c r="H62" s="1248"/>
      <c r="I62" s="1240">
        <f>-I91</f>
        <v>-21.17</v>
      </c>
      <c r="J62" s="1236"/>
    </row>
    <row r="63" spans="1:12" ht="24.95" customHeight="1">
      <c r="A63" s="1237"/>
      <c r="B63" s="1247" t="s">
        <v>6416</v>
      </c>
      <c r="C63" s="1234"/>
      <c r="D63" s="1234"/>
      <c r="E63" s="1234"/>
      <c r="F63" s="1248"/>
      <c r="G63" s="1248"/>
      <c r="H63" s="1248"/>
      <c r="I63" s="1240">
        <v>-56.68</v>
      </c>
      <c r="J63" s="1236"/>
    </row>
    <row r="64" spans="1:12" ht="24.95" customHeight="1">
      <c r="A64" s="1237"/>
      <c r="B64" s="1247"/>
      <c r="C64" s="1234"/>
      <c r="D64" s="1234"/>
      <c r="E64" s="1234"/>
      <c r="F64" s="1248"/>
      <c r="G64" s="1248"/>
      <c r="H64" s="1251"/>
      <c r="I64" s="1240">
        <f>+SUM(I48:I63)</f>
        <v>381.18</v>
      </c>
      <c r="J64" s="1236"/>
    </row>
    <row r="65" spans="1:13" ht="24.95" customHeight="1">
      <c r="A65" s="1237"/>
      <c r="B65" s="1247"/>
      <c r="C65" s="1234"/>
      <c r="D65" s="1234"/>
      <c r="E65" s="1234"/>
      <c r="F65" s="1248"/>
      <c r="G65" s="1248"/>
      <c r="H65" s="1252" t="s">
        <v>5423</v>
      </c>
      <c r="I65" s="1225">
        <f>ROUNDUP(I64,1)</f>
        <v>381.2</v>
      </c>
      <c r="J65" s="1236" t="s">
        <v>2176</v>
      </c>
    </row>
    <row r="66" spans="1:13" ht="24.95" customHeight="1">
      <c r="A66" s="1250">
        <v>3.1</v>
      </c>
      <c r="B66" s="1233" t="s">
        <v>5424</v>
      </c>
      <c r="C66" s="1234"/>
      <c r="D66" s="1234"/>
      <c r="E66" s="1234"/>
      <c r="F66" s="1235"/>
      <c r="G66" s="1235"/>
      <c r="H66" s="1235"/>
      <c r="I66" s="1235"/>
      <c r="J66" s="1236"/>
    </row>
    <row r="67" spans="1:13" ht="24.95" customHeight="1">
      <c r="A67" s="1237"/>
      <c r="B67" s="1233" t="s">
        <v>5402</v>
      </c>
      <c r="C67" s="1234"/>
      <c r="D67" s="1234"/>
      <c r="E67" s="1234"/>
      <c r="F67" s="1235"/>
      <c r="G67" s="1235"/>
      <c r="H67" s="1235"/>
      <c r="I67" s="1235"/>
      <c r="J67" s="1236"/>
    </row>
    <row r="68" spans="1:13" ht="24.95" customHeight="1">
      <c r="A68" s="1237"/>
      <c r="B68" s="1238" t="s">
        <v>5403</v>
      </c>
      <c r="C68" s="1239">
        <v>1</v>
      </c>
      <c r="D68" s="1239" t="s">
        <v>5404</v>
      </c>
      <c r="E68" s="1239">
        <v>14</v>
      </c>
      <c r="F68" s="1240">
        <v>1.7</v>
      </c>
      <c r="G68" s="1240">
        <v>1.7</v>
      </c>
      <c r="H68" s="1240">
        <v>0.1</v>
      </c>
      <c r="I68" s="1240">
        <f>PRODUCT(E68:H68)</f>
        <v>4.05</v>
      </c>
      <c r="J68" s="1243"/>
      <c r="L68" s="1230" t="e">
        <f>C68*D68*E68*F68*G68*H68*I68</f>
        <v>#VALUE!</v>
      </c>
      <c r="M68" s="1230">
        <f>(C68*E68*F68*G68*H68)</f>
        <v>4.05</v>
      </c>
    </row>
    <row r="69" spans="1:13" ht="24.95" customHeight="1">
      <c r="A69" s="1237"/>
      <c r="B69" s="1238" t="s">
        <v>5405</v>
      </c>
      <c r="C69" s="1239">
        <v>1</v>
      </c>
      <c r="D69" s="1239" t="s">
        <v>5404</v>
      </c>
      <c r="E69" s="1239">
        <v>4</v>
      </c>
      <c r="F69" s="1240">
        <v>2.1</v>
      </c>
      <c r="G69" s="1240">
        <v>2.1</v>
      </c>
      <c r="H69" s="1240">
        <v>0.1</v>
      </c>
      <c r="I69" s="1240">
        <f>PRODUCT(E69:H69)</f>
        <v>1.76</v>
      </c>
      <c r="J69" s="1243"/>
    </row>
    <row r="70" spans="1:13" ht="24.95" customHeight="1">
      <c r="A70" s="1237"/>
      <c r="B70" s="1238" t="s">
        <v>5406</v>
      </c>
      <c r="C70" s="1239">
        <v>1</v>
      </c>
      <c r="D70" s="1239" t="s">
        <v>5404</v>
      </c>
      <c r="E70" s="1239">
        <v>9</v>
      </c>
      <c r="F70" s="1240">
        <v>2.2999999999999998</v>
      </c>
      <c r="G70" s="1240">
        <v>2.2999999999999998</v>
      </c>
      <c r="H70" s="1240">
        <v>0.1</v>
      </c>
      <c r="I70" s="1240">
        <f>PRODUCT(E70:H70)</f>
        <v>4.76</v>
      </c>
      <c r="J70" s="1243"/>
    </row>
    <row r="71" spans="1:13" ht="24.95" customHeight="1">
      <c r="A71" s="1237"/>
      <c r="B71" s="1241" t="s">
        <v>5425</v>
      </c>
      <c r="C71" s="1239"/>
      <c r="D71" s="1239"/>
      <c r="E71" s="1239"/>
      <c r="F71" s="1240"/>
      <c r="G71" s="1240"/>
      <c r="H71" s="1240"/>
      <c r="I71" s="1240"/>
      <c r="J71" s="1243"/>
    </row>
    <row r="72" spans="1:13" ht="24.95" customHeight="1">
      <c r="A72" s="1237"/>
      <c r="B72" s="1238" t="s">
        <v>5877</v>
      </c>
      <c r="C72" s="1239">
        <v>1</v>
      </c>
      <c r="D72" s="1239" t="s">
        <v>5404</v>
      </c>
      <c r="E72" s="1239">
        <v>1</v>
      </c>
      <c r="F72" s="1240">
        <v>64.88</v>
      </c>
      <c r="G72" s="1240">
        <v>0.38</v>
      </c>
      <c r="H72" s="1240">
        <v>0.1</v>
      </c>
      <c r="I72" s="1240">
        <f t="shared" ref="I72:I80" si="4">PRODUCT(E72:H72)</f>
        <v>2.4700000000000002</v>
      </c>
      <c r="J72" s="1243"/>
      <c r="L72" s="1230">
        <f>SUM(I71:I72)</f>
        <v>2.4700000000000002</v>
      </c>
    </row>
    <row r="73" spans="1:13" ht="24.95" customHeight="1">
      <c r="A73" s="1237"/>
      <c r="B73" s="1238" t="s">
        <v>5878</v>
      </c>
      <c r="C73" s="1239">
        <v>1</v>
      </c>
      <c r="D73" s="1239" t="s">
        <v>5404</v>
      </c>
      <c r="E73" s="1239">
        <v>1</v>
      </c>
      <c r="F73" s="1240">
        <v>19.97</v>
      </c>
      <c r="G73" s="1240">
        <v>0.38</v>
      </c>
      <c r="H73" s="1240">
        <v>0.1</v>
      </c>
      <c r="I73" s="1240">
        <f t="shared" si="4"/>
        <v>0.76</v>
      </c>
      <c r="J73" s="1243"/>
    </row>
    <row r="74" spans="1:13" ht="25.5" customHeight="1">
      <c r="A74" s="1237"/>
      <c r="B74" s="1238"/>
      <c r="C74" s="1239">
        <v>1</v>
      </c>
      <c r="D74" s="1239" t="s">
        <v>5404</v>
      </c>
      <c r="E74" s="1239">
        <v>1</v>
      </c>
      <c r="F74" s="1240">
        <v>16.440000000000001</v>
      </c>
      <c r="G74" s="1240">
        <v>0.38</v>
      </c>
      <c r="H74" s="1240">
        <v>0.1</v>
      </c>
      <c r="I74" s="1240">
        <f t="shared" si="4"/>
        <v>0.62</v>
      </c>
      <c r="J74" s="1243"/>
    </row>
    <row r="75" spans="1:13" ht="24.95" customHeight="1">
      <c r="A75" s="1237"/>
      <c r="B75" s="1238" t="s">
        <v>5879</v>
      </c>
      <c r="C75" s="1239">
        <v>1</v>
      </c>
      <c r="D75" s="1239" t="s">
        <v>5404</v>
      </c>
      <c r="E75" s="1239">
        <v>1</v>
      </c>
      <c r="F75" s="1240">
        <v>3.15</v>
      </c>
      <c r="G75" s="1240">
        <v>0.38</v>
      </c>
      <c r="H75" s="1240">
        <v>0.1</v>
      </c>
      <c r="I75" s="1240">
        <f t="shared" si="4"/>
        <v>0.12</v>
      </c>
      <c r="J75" s="1243"/>
    </row>
    <row r="76" spans="1:13" ht="24.95" customHeight="1">
      <c r="A76" s="1237"/>
      <c r="B76" s="1238" t="s">
        <v>5880</v>
      </c>
      <c r="C76" s="1239">
        <v>1</v>
      </c>
      <c r="D76" s="1239" t="s">
        <v>5404</v>
      </c>
      <c r="E76" s="1239">
        <v>3</v>
      </c>
      <c r="F76" s="1240">
        <v>3.45</v>
      </c>
      <c r="G76" s="1240">
        <v>0.38</v>
      </c>
      <c r="H76" s="1240">
        <v>0.1</v>
      </c>
      <c r="I76" s="1240">
        <f t="shared" si="4"/>
        <v>0.39</v>
      </c>
      <c r="J76" s="1243"/>
    </row>
    <row r="77" spans="1:13" ht="24.95" customHeight="1">
      <c r="A77" s="1237"/>
      <c r="B77" s="1238" t="s">
        <v>5881</v>
      </c>
      <c r="C77" s="1239">
        <v>1</v>
      </c>
      <c r="D77" s="1239" t="s">
        <v>5404</v>
      </c>
      <c r="E77" s="1239">
        <v>2</v>
      </c>
      <c r="F77" s="1240">
        <v>5.85</v>
      </c>
      <c r="G77" s="1240">
        <v>0.38</v>
      </c>
      <c r="H77" s="1240">
        <v>0.1</v>
      </c>
      <c r="I77" s="1240">
        <f t="shared" si="4"/>
        <v>0.44</v>
      </c>
      <c r="J77" s="1243"/>
    </row>
    <row r="78" spans="1:13" ht="24.95" customHeight="1">
      <c r="A78" s="1237"/>
      <c r="B78" s="1238" t="s">
        <v>5882</v>
      </c>
      <c r="C78" s="1239">
        <v>1</v>
      </c>
      <c r="D78" s="1239" t="s">
        <v>5404</v>
      </c>
      <c r="E78" s="1239">
        <v>1</v>
      </c>
      <c r="F78" s="1240">
        <v>7.88</v>
      </c>
      <c r="G78" s="1240">
        <v>0.38</v>
      </c>
      <c r="H78" s="1240">
        <v>0.1</v>
      </c>
      <c r="I78" s="1240">
        <f t="shared" si="4"/>
        <v>0.3</v>
      </c>
      <c r="J78" s="1243"/>
    </row>
    <row r="79" spans="1:13" ht="24.95" customHeight="1">
      <c r="A79" s="1237"/>
      <c r="B79" s="1238" t="s">
        <v>5883</v>
      </c>
      <c r="C79" s="1244">
        <v>1</v>
      </c>
      <c r="D79" s="1244" t="s">
        <v>5404</v>
      </c>
      <c r="E79" s="1244">
        <v>2</v>
      </c>
      <c r="F79" s="1242">
        <v>17</v>
      </c>
      <c r="G79" s="1242">
        <v>0.38</v>
      </c>
      <c r="H79" s="1240">
        <v>0.1</v>
      </c>
      <c r="I79" s="1240">
        <f t="shared" si="4"/>
        <v>1.29</v>
      </c>
      <c r="J79" s="1243"/>
    </row>
    <row r="80" spans="1:13" ht="24.95" customHeight="1">
      <c r="A80" s="1237"/>
      <c r="B80" s="1238" t="s">
        <v>5884</v>
      </c>
      <c r="C80" s="1244">
        <v>1</v>
      </c>
      <c r="D80" s="1244" t="s">
        <v>5404</v>
      </c>
      <c r="E80" s="1244">
        <v>4</v>
      </c>
      <c r="F80" s="1242">
        <v>4.8099999999999996</v>
      </c>
      <c r="G80" s="1242">
        <v>0.38</v>
      </c>
      <c r="H80" s="1240">
        <v>0.1</v>
      </c>
      <c r="I80" s="1240">
        <f t="shared" si="4"/>
        <v>0.73</v>
      </c>
      <c r="J80" s="1243"/>
    </row>
    <row r="81" spans="1:10" ht="24.95" customHeight="1">
      <c r="A81" s="1237"/>
      <c r="B81" s="1238" t="s">
        <v>5884</v>
      </c>
      <c r="C81" s="1244">
        <v>1</v>
      </c>
      <c r="D81" s="1244" t="s">
        <v>5404</v>
      </c>
      <c r="E81" s="1244">
        <v>4</v>
      </c>
      <c r="F81" s="1242">
        <v>5.63</v>
      </c>
      <c r="G81" s="1242">
        <v>0.38</v>
      </c>
      <c r="H81" s="1240">
        <v>0.1</v>
      </c>
      <c r="I81" s="1240">
        <f t="shared" ref="I81:I83" si="5">PRODUCT(E81:H81)</f>
        <v>0.86</v>
      </c>
      <c r="J81" s="1243"/>
    </row>
    <row r="82" spans="1:10" ht="24.95" customHeight="1">
      <c r="A82" s="1237"/>
      <c r="B82" s="1238" t="s">
        <v>6413</v>
      </c>
      <c r="C82" s="1244">
        <v>1</v>
      </c>
      <c r="D82" s="1244" t="s">
        <v>5404</v>
      </c>
      <c r="E82" s="1244">
        <v>9</v>
      </c>
      <c r="F82" s="1242">
        <v>1.5</v>
      </c>
      <c r="G82" s="1242">
        <v>1.5</v>
      </c>
      <c r="H82" s="1240">
        <v>0.1</v>
      </c>
      <c r="I82" s="1240">
        <f t="shared" si="5"/>
        <v>2.0299999999999998</v>
      </c>
      <c r="J82" s="1243"/>
    </row>
    <row r="83" spans="1:10" ht="24.95" customHeight="1">
      <c r="A83" s="1237"/>
      <c r="B83" s="1238" t="s">
        <v>6414</v>
      </c>
      <c r="C83" s="1244">
        <v>1</v>
      </c>
      <c r="D83" s="1244" t="s">
        <v>5404</v>
      </c>
      <c r="E83" s="1244">
        <v>4</v>
      </c>
      <c r="F83" s="1242">
        <v>1.5</v>
      </c>
      <c r="G83" s="1242">
        <v>1.5</v>
      </c>
      <c r="H83" s="1240">
        <v>0.1</v>
      </c>
      <c r="I83" s="1240">
        <f t="shared" si="5"/>
        <v>0.9</v>
      </c>
      <c r="J83" s="1243"/>
    </row>
    <row r="84" spans="1:10" ht="24.95" customHeight="1">
      <c r="A84" s="1237"/>
      <c r="B84" s="1241" t="s">
        <v>5426</v>
      </c>
      <c r="C84" s="1239"/>
      <c r="D84" s="1239"/>
      <c r="E84" s="1239"/>
      <c r="F84" s="1240"/>
      <c r="G84" s="1240"/>
      <c r="H84" s="1245"/>
      <c r="I84" s="1240"/>
      <c r="J84" s="1253"/>
    </row>
    <row r="85" spans="1:10" ht="24.95" customHeight="1">
      <c r="A85" s="1237"/>
      <c r="B85" s="1238" t="s">
        <v>5434</v>
      </c>
      <c r="C85" s="1239">
        <v>-1</v>
      </c>
      <c r="D85" s="1239" t="s">
        <v>5404</v>
      </c>
      <c r="E85" s="1239">
        <v>5</v>
      </c>
      <c r="F85" s="1240">
        <v>0.23</v>
      </c>
      <c r="G85" s="1240">
        <v>0.38</v>
      </c>
      <c r="H85" s="1240">
        <v>0.1</v>
      </c>
      <c r="I85" s="1240">
        <f t="shared" ref="I85:I90" si="6">PRODUCT(C85:H85)</f>
        <v>-0.04</v>
      </c>
      <c r="J85" s="1243"/>
    </row>
    <row r="86" spans="1:10" ht="24.95" customHeight="1">
      <c r="A86" s="1237"/>
      <c r="B86" s="1238" t="s">
        <v>5430</v>
      </c>
      <c r="C86" s="1239">
        <v>-1</v>
      </c>
      <c r="D86" s="1239" t="s">
        <v>5404</v>
      </c>
      <c r="E86" s="1239">
        <v>4</v>
      </c>
      <c r="F86" s="1240">
        <v>0.23</v>
      </c>
      <c r="G86" s="1240">
        <v>0.45</v>
      </c>
      <c r="H86" s="1240">
        <v>0.1</v>
      </c>
      <c r="I86" s="1240">
        <f t="shared" si="6"/>
        <v>-0.04</v>
      </c>
      <c r="J86" s="1243"/>
    </row>
    <row r="87" spans="1:10" ht="24.95" customHeight="1">
      <c r="A87" s="1237"/>
      <c r="B87" s="1238" t="s">
        <v>5435</v>
      </c>
      <c r="C87" s="1239">
        <v>-1</v>
      </c>
      <c r="D87" s="1239" t="s">
        <v>5404</v>
      </c>
      <c r="E87" s="1239">
        <v>3</v>
      </c>
      <c r="F87" s="1240">
        <v>0.23</v>
      </c>
      <c r="G87" s="1240">
        <v>0.6</v>
      </c>
      <c r="H87" s="1240">
        <v>0.1</v>
      </c>
      <c r="I87" s="1240">
        <f t="shared" si="6"/>
        <v>-0.04</v>
      </c>
      <c r="J87" s="1243"/>
    </row>
    <row r="88" spans="1:10" ht="24.95" customHeight="1">
      <c r="A88" s="1237"/>
      <c r="B88" s="1238" t="s">
        <v>5432</v>
      </c>
      <c r="C88" s="1239">
        <v>-1</v>
      </c>
      <c r="D88" s="1239" t="s">
        <v>5404</v>
      </c>
      <c r="E88" s="1239">
        <v>2</v>
      </c>
      <c r="F88" s="1240">
        <v>0.3</v>
      </c>
      <c r="G88" s="1240">
        <v>0.38</v>
      </c>
      <c r="H88" s="1240">
        <v>0.1</v>
      </c>
      <c r="I88" s="1240">
        <f t="shared" si="6"/>
        <v>-0.02</v>
      </c>
      <c r="J88" s="1243"/>
    </row>
    <row r="89" spans="1:10" ht="24.95" customHeight="1">
      <c r="A89" s="1237"/>
      <c r="B89" s="1238" t="s">
        <v>5436</v>
      </c>
      <c r="C89" s="1239">
        <v>-1</v>
      </c>
      <c r="D89" s="1239" t="s">
        <v>5404</v>
      </c>
      <c r="E89" s="1239">
        <v>4</v>
      </c>
      <c r="F89" s="1240">
        <v>0.3</v>
      </c>
      <c r="G89" s="1240">
        <v>0.6</v>
      </c>
      <c r="H89" s="1240">
        <v>0.1</v>
      </c>
      <c r="I89" s="1240">
        <f t="shared" si="6"/>
        <v>-7.0000000000000007E-2</v>
      </c>
      <c r="J89" s="1243"/>
    </row>
    <row r="90" spans="1:10" ht="24.95" customHeight="1">
      <c r="A90" s="1237"/>
      <c r="B90" s="1238" t="s">
        <v>5437</v>
      </c>
      <c r="C90" s="1239">
        <v>-1</v>
      </c>
      <c r="D90" s="1239" t="s">
        <v>5404</v>
      </c>
      <c r="E90" s="1239">
        <v>9</v>
      </c>
      <c r="F90" s="1240">
        <v>0.3</v>
      </c>
      <c r="G90" s="1240">
        <v>0.38</v>
      </c>
      <c r="H90" s="1240">
        <v>0.1</v>
      </c>
      <c r="I90" s="1240">
        <f t="shared" si="6"/>
        <v>-0.1</v>
      </c>
      <c r="J90" s="1243"/>
    </row>
    <row r="91" spans="1:10" ht="24.95" customHeight="1">
      <c r="A91" s="1237"/>
      <c r="B91" s="1241"/>
      <c r="C91" s="1239"/>
      <c r="D91" s="1239"/>
      <c r="E91" s="1239"/>
      <c r="F91" s="1240"/>
      <c r="G91" s="1240"/>
      <c r="H91" s="1240"/>
      <c r="I91" s="1240">
        <f>SUM(I68:I90)</f>
        <v>21.17</v>
      </c>
      <c r="J91" s="1253"/>
    </row>
    <row r="92" spans="1:10" ht="24.95" customHeight="1">
      <c r="A92" s="1237"/>
      <c r="B92" s="1241"/>
      <c r="C92" s="1239"/>
      <c r="D92" s="1239"/>
      <c r="E92" s="1239"/>
      <c r="F92" s="1240"/>
      <c r="G92" s="1240"/>
      <c r="H92" s="1252" t="s">
        <v>5423</v>
      </c>
      <c r="I92" s="1225">
        <f>ROUNDUP(I91,1)</f>
        <v>21.2</v>
      </c>
      <c r="J92" s="1236" t="s">
        <v>2176</v>
      </c>
    </row>
    <row r="93" spans="1:10" s="1257" customFormat="1" ht="24.95" customHeight="1">
      <c r="A93" s="1232"/>
      <c r="B93" s="1254"/>
      <c r="C93" s="1244"/>
      <c r="D93" s="1244"/>
      <c r="E93" s="1244"/>
      <c r="F93" s="1242"/>
      <c r="G93" s="1242"/>
      <c r="H93" s="1255"/>
      <c r="I93" s="1255"/>
      <c r="J93" s="1256"/>
    </row>
    <row r="94" spans="1:10" ht="45" customHeight="1">
      <c r="A94" s="1258">
        <v>4.0999999999999996</v>
      </c>
      <c r="B94" s="1233" t="s">
        <v>5427</v>
      </c>
      <c r="C94" s="1234"/>
      <c r="D94" s="1234"/>
      <c r="E94" s="1234"/>
      <c r="F94" s="1235"/>
      <c r="G94" s="1235"/>
      <c r="H94" s="1235"/>
      <c r="I94" s="1235"/>
      <c r="J94" s="1236"/>
    </row>
    <row r="95" spans="1:10" ht="30" customHeight="1">
      <c r="A95" s="1237"/>
      <c r="B95" s="1233" t="s">
        <v>5428</v>
      </c>
      <c r="C95" s="1234"/>
      <c r="D95" s="1234"/>
      <c r="E95" s="1234"/>
      <c r="F95" s="1235"/>
      <c r="G95" s="1235"/>
      <c r="H95" s="1235"/>
      <c r="I95" s="1235"/>
      <c r="J95" s="1236"/>
    </row>
    <row r="96" spans="1:10" ht="24.95" customHeight="1">
      <c r="A96" s="1237"/>
      <c r="B96" s="1233" t="s">
        <v>5402</v>
      </c>
      <c r="C96" s="1234"/>
      <c r="D96" s="1234"/>
      <c r="E96" s="1234"/>
      <c r="F96" s="1235"/>
      <c r="G96" s="1235"/>
      <c r="H96" s="1235"/>
      <c r="I96" s="1235"/>
      <c r="J96" s="1236"/>
    </row>
    <row r="97" spans="1:10" ht="24.95" customHeight="1">
      <c r="A97" s="1237"/>
      <c r="B97" s="1238" t="s">
        <v>5429</v>
      </c>
      <c r="C97" s="1239">
        <v>1</v>
      </c>
      <c r="D97" s="1239" t="s">
        <v>5404</v>
      </c>
      <c r="E97" s="1239">
        <v>14</v>
      </c>
      <c r="F97" s="1240">
        <v>1.4</v>
      </c>
      <c r="G97" s="1240">
        <v>1.4</v>
      </c>
      <c r="H97" s="1240">
        <v>0.38</v>
      </c>
      <c r="I97" s="1240">
        <f>PRODUCT(C97:H97)</f>
        <v>10.43</v>
      </c>
      <c r="J97" s="1243"/>
    </row>
    <row r="98" spans="1:10" ht="24.95" customHeight="1">
      <c r="A98" s="1237"/>
      <c r="B98" s="1238" t="s">
        <v>5430</v>
      </c>
      <c r="C98" s="1239">
        <v>1</v>
      </c>
      <c r="D98" s="1239" t="s">
        <v>5404</v>
      </c>
      <c r="E98" s="1239">
        <v>4</v>
      </c>
      <c r="F98" s="1240">
        <v>1.8</v>
      </c>
      <c r="G98" s="1240">
        <v>1.8</v>
      </c>
      <c r="H98" s="1240">
        <v>0.45</v>
      </c>
      <c r="I98" s="1240">
        <f>PRODUCT(C98:H98)</f>
        <v>5.83</v>
      </c>
      <c r="J98" s="1243"/>
    </row>
    <row r="99" spans="1:10" ht="24.95" customHeight="1">
      <c r="A99" s="1237"/>
      <c r="B99" s="1238" t="s">
        <v>5431</v>
      </c>
      <c r="C99" s="1239">
        <v>1</v>
      </c>
      <c r="D99" s="1239" t="s">
        <v>5404</v>
      </c>
      <c r="E99" s="1239">
        <v>7</v>
      </c>
      <c r="F99" s="1240">
        <v>2</v>
      </c>
      <c r="G99" s="1240">
        <v>2</v>
      </c>
      <c r="H99" s="1240">
        <v>0.45</v>
      </c>
      <c r="I99" s="1240">
        <f>PRODUCT(C99:H99)</f>
        <v>12.6</v>
      </c>
      <c r="J99" s="1243"/>
    </row>
    <row r="100" spans="1:10" ht="24.95" customHeight="1">
      <c r="A100" s="1237"/>
      <c r="B100" s="1238" t="s">
        <v>5432</v>
      </c>
      <c r="C100" s="1239">
        <v>1</v>
      </c>
      <c r="D100" s="1239" t="s">
        <v>5404</v>
      </c>
      <c r="E100" s="1239">
        <v>2</v>
      </c>
      <c r="F100" s="1240">
        <v>2</v>
      </c>
      <c r="G100" s="1240">
        <v>2</v>
      </c>
      <c r="H100" s="1240">
        <v>0.6</v>
      </c>
      <c r="I100" s="1240">
        <f>PRODUCT(C100:H100)</f>
        <v>4.8</v>
      </c>
      <c r="J100" s="1243"/>
    </row>
    <row r="101" spans="1:10" ht="24.95" customHeight="1">
      <c r="A101" s="1237"/>
      <c r="B101" s="1241" t="s">
        <v>5433</v>
      </c>
      <c r="C101" s="1239"/>
      <c r="D101" s="1239"/>
      <c r="E101" s="1239"/>
      <c r="F101" s="1240"/>
      <c r="G101" s="1240"/>
      <c r="H101" s="1240"/>
      <c r="I101" s="1240"/>
      <c r="J101" s="1243"/>
    </row>
    <row r="102" spans="1:10" ht="24.95" customHeight="1">
      <c r="A102" s="1237"/>
      <c r="B102" s="1238" t="s">
        <v>5434</v>
      </c>
      <c r="C102" s="1239">
        <v>1</v>
      </c>
      <c r="D102" s="1239" t="s">
        <v>5404</v>
      </c>
      <c r="E102" s="1239">
        <v>5</v>
      </c>
      <c r="F102" s="1240">
        <v>0.23</v>
      </c>
      <c r="G102" s="1240">
        <v>0.38</v>
      </c>
      <c r="H102" s="1240">
        <f>2-0.1-0.38-0.4</f>
        <v>1.1200000000000001</v>
      </c>
      <c r="I102" s="1240">
        <f t="shared" ref="I102:I107" si="7">PRODUCT(C102:H102)</f>
        <v>0.49</v>
      </c>
      <c r="J102" s="1243"/>
    </row>
    <row r="103" spans="1:10" ht="24.95" customHeight="1">
      <c r="A103" s="1237"/>
      <c r="B103" s="1238" t="s">
        <v>5430</v>
      </c>
      <c r="C103" s="1239">
        <v>1</v>
      </c>
      <c r="D103" s="1239" t="s">
        <v>5404</v>
      </c>
      <c r="E103" s="1239">
        <v>4</v>
      </c>
      <c r="F103" s="1240">
        <v>0.23</v>
      </c>
      <c r="G103" s="1240">
        <v>0.45</v>
      </c>
      <c r="H103" s="1240">
        <f>2-0.1-0.45-0.4</f>
        <v>1.05</v>
      </c>
      <c r="I103" s="1240">
        <f t="shared" si="7"/>
        <v>0.43</v>
      </c>
      <c r="J103" s="1243"/>
    </row>
    <row r="104" spans="1:10" ht="24.95" customHeight="1">
      <c r="A104" s="1237"/>
      <c r="B104" s="1238" t="s">
        <v>5435</v>
      </c>
      <c r="C104" s="1239">
        <v>1</v>
      </c>
      <c r="D104" s="1239" t="s">
        <v>5404</v>
      </c>
      <c r="E104" s="1239">
        <v>3</v>
      </c>
      <c r="F104" s="1240">
        <v>0.23</v>
      </c>
      <c r="G104" s="1240">
        <v>0.6</v>
      </c>
      <c r="H104" s="1240">
        <v>1.05</v>
      </c>
      <c r="I104" s="1240">
        <f t="shared" si="7"/>
        <v>0.43</v>
      </c>
      <c r="J104" s="1243"/>
    </row>
    <row r="105" spans="1:10" ht="24.95" customHeight="1">
      <c r="A105" s="1237"/>
      <c r="B105" s="1238" t="s">
        <v>5432</v>
      </c>
      <c r="C105" s="1239">
        <v>1</v>
      </c>
      <c r="D105" s="1239" t="s">
        <v>5404</v>
      </c>
      <c r="E105" s="1239">
        <v>2</v>
      </c>
      <c r="F105" s="1240">
        <v>0.3</v>
      </c>
      <c r="G105" s="1240">
        <v>0.38</v>
      </c>
      <c r="H105" s="1240">
        <f>2-0.1-0.6-0.4</f>
        <v>0.9</v>
      </c>
      <c r="I105" s="1240">
        <f t="shared" si="7"/>
        <v>0.21</v>
      </c>
      <c r="J105" s="1243"/>
    </row>
    <row r="106" spans="1:10" ht="24.95" customHeight="1">
      <c r="A106" s="1237"/>
      <c r="B106" s="1238" t="s">
        <v>5436</v>
      </c>
      <c r="C106" s="1239">
        <v>1</v>
      </c>
      <c r="D106" s="1239" t="s">
        <v>5404</v>
      </c>
      <c r="E106" s="1239">
        <v>4</v>
      </c>
      <c r="F106" s="1240">
        <v>0.3</v>
      </c>
      <c r="G106" s="1240">
        <v>0.6</v>
      </c>
      <c r="H106" s="1240">
        <v>1.05</v>
      </c>
      <c r="I106" s="1240">
        <f t="shared" si="7"/>
        <v>0.76</v>
      </c>
      <c r="J106" s="1243"/>
    </row>
    <row r="107" spans="1:10" ht="24.95" customHeight="1">
      <c r="A107" s="1237"/>
      <c r="B107" s="1238" t="s">
        <v>5437</v>
      </c>
      <c r="C107" s="1239">
        <v>1</v>
      </c>
      <c r="D107" s="1239" t="s">
        <v>5404</v>
      </c>
      <c r="E107" s="1239">
        <v>9</v>
      </c>
      <c r="F107" s="1240">
        <v>0.3</v>
      </c>
      <c r="G107" s="1240">
        <v>0.38</v>
      </c>
      <c r="H107" s="1240">
        <f>H102</f>
        <v>1.1200000000000001</v>
      </c>
      <c r="I107" s="1240">
        <f t="shared" si="7"/>
        <v>1.1499999999999999</v>
      </c>
      <c r="J107" s="1243"/>
    </row>
    <row r="108" spans="1:10" ht="24.95" customHeight="1">
      <c r="A108" s="1237"/>
      <c r="B108" s="1241" t="s">
        <v>5407</v>
      </c>
      <c r="C108" s="1239"/>
      <c r="D108" s="1239"/>
      <c r="E108" s="1239"/>
      <c r="F108" s="1240"/>
      <c r="G108" s="1240"/>
      <c r="H108" s="1240"/>
      <c r="I108" s="1240"/>
      <c r="J108" s="1243"/>
    </row>
    <row r="109" spans="1:10" ht="24.95" customHeight="1">
      <c r="A109" s="1237"/>
      <c r="B109" s="1238" t="s">
        <v>5877</v>
      </c>
      <c r="C109" s="1239">
        <v>1</v>
      </c>
      <c r="D109" s="1239" t="s">
        <v>5404</v>
      </c>
      <c r="E109" s="1239">
        <v>1</v>
      </c>
      <c r="F109" s="1240">
        <v>64.88</v>
      </c>
      <c r="G109" s="1240">
        <v>0.23</v>
      </c>
      <c r="H109" s="1240">
        <v>0.38</v>
      </c>
      <c r="I109" s="1240">
        <f t="shared" ref="I109:I125" si="8">PRODUCT(C109:H109)</f>
        <v>5.67</v>
      </c>
      <c r="J109" s="1243"/>
    </row>
    <row r="110" spans="1:10" ht="24.95" customHeight="1">
      <c r="A110" s="1237"/>
      <c r="B110" s="1238" t="s">
        <v>5878</v>
      </c>
      <c r="C110" s="1239">
        <v>1</v>
      </c>
      <c r="D110" s="1239" t="s">
        <v>5404</v>
      </c>
      <c r="E110" s="1239">
        <v>1</v>
      </c>
      <c r="F110" s="1240">
        <v>20.12</v>
      </c>
      <c r="G110" s="1240">
        <v>0.23</v>
      </c>
      <c r="H110" s="1240">
        <v>0.38</v>
      </c>
      <c r="I110" s="1240">
        <f t="shared" si="8"/>
        <v>1.76</v>
      </c>
      <c r="J110" s="1243"/>
    </row>
    <row r="111" spans="1:10" ht="24.95" customHeight="1">
      <c r="A111" s="1237"/>
      <c r="B111" s="1238"/>
      <c r="C111" s="1239">
        <v>1</v>
      </c>
      <c r="D111" s="1239" t="s">
        <v>5404</v>
      </c>
      <c r="E111" s="1239">
        <v>1</v>
      </c>
      <c r="F111" s="1240">
        <v>16.59</v>
      </c>
      <c r="G111" s="1240">
        <v>0.23</v>
      </c>
      <c r="H111" s="1240">
        <v>0.38</v>
      </c>
      <c r="I111" s="1240">
        <f t="shared" si="8"/>
        <v>1.45</v>
      </c>
      <c r="J111" s="1243"/>
    </row>
    <row r="112" spans="1:10" ht="24.95" customHeight="1">
      <c r="A112" s="1237"/>
      <c r="B112" s="1238" t="s">
        <v>5879</v>
      </c>
      <c r="C112" s="1239">
        <v>1</v>
      </c>
      <c r="D112" s="1239" t="s">
        <v>5404</v>
      </c>
      <c r="E112" s="1239">
        <v>1</v>
      </c>
      <c r="F112" s="1240">
        <v>3.3</v>
      </c>
      <c r="G112" s="1240">
        <v>0.23</v>
      </c>
      <c r="H112" s="1240">
        <v>0.38</v>
      </c>
      <c r="I112" s="1240">
        <f t="shared" si="8"/>
        <v>0.28999999999999998</v>
      </c>
      <c r="J112" s="1243"/>
    </row>
    <row r="113" spans="1:10" ht="24.95" customHeight="1">
      <c r="A113" s="1237"/>
      <c r="B113" s="1238" t="s">
        <v>5880</v>
      </c>
      <c r="C113" s="1239">
        <v>1</v>
      </c>
      <c r="D113" s="1239" t="s">
        <v>5404</v>
      </c>
      <c r="E113" s="1239">
        <v>3</v>
      </c>
      <c r="F113" s="1240">
        <v>3.6</v>
      </c>
      <c r="G113" s="1240">
        <v>0.23</v>
      </c>
      <c r="H113" s="1240">
        <v>0.38</v>
      </c>
      <c r="I113" s="1240">
        <f t="shared" si="8"/>
        <v>0.94</v>
      </c>
      <c r="J113" s="1243"/>
    </row>
    <row r="114" spans="1:10" ht="24.95" customHeight="1">
      <c r="A114" s="1237"/>
      <c r="B114" s="1238" t="s">
        <v>5881</v>
      </c>
      <c r="C114" s="1239">
        <v>1</v>
      </c>
      <c r="D114" s="1239" t="s">
        <v>5404</v>
      </c>
      <c r="E114" s="1239">
        <v>2</v>
      </c>
      <c r="F114" s="1240">
        <v>6</v>
      </c>
      <c r="G114" s="1240">
        <v>0.23</v>
      </c>
      <c r="H114" s="1240">
        <v>0.38</v>
      </c>
      <c r="I114" s="1240">
        <f t="shared" si="8"/>
        <v>1.05</v>
      </c>
      <c r="J114" s="1243"/>
    </row>
    <row r="115" spans="1:10" ht="24.95" customHeight="1">
      <c r="A115" s="1237"/>
      <c r="B115" s="1238" t="s">
        <v>5882</v>
      </c>
      <c r="C115" s="1239">
        <v>1</v>
      </c>
      <c r="D115" s="1239" t="s">
        <v>5404</v>
      </c>
      <c r="E115" s="1239">
        <v>1</v>
      </c>
      <c r="F115" s="1240">
        <v>8.0299999999999994</v>
      </c>
      <c r="G115" s="1240">
        <v>0.23</v>
      </c>
      <c r="H115" s="1240">
        <v>0.38</v>
      </c>
      <c r="I115" s="1240">
        <f t="shared" si="8"/>
        <v>0.7</v>
      </c>
      <c r="J115" s="1243"/>
    </row>
    <row r="116" spans="1:10" ht="24.95" customHeight="1">
      <c r="A116" s="1237"/>
      <c r="B116" s="1238" t="s">
        <v>5883</v>
      </c>
      <c r="C116" s="1244">
        <v>1</v>
      </c>
      <c r="D116" s="1244" t="s">
        <v>5404</v>
      </c>
      <c r="E116" s="1244">
        <v>2</v>
      </c>
      <c r="F116" s="1242">
        <v>17</v>
      </c>
      <c r="G116" s="1240">
        <v>0.23</v>
      </c>
      <c r="H116" s="1240">
        <v>0.38</v>
      </c>
      <c r="I116" s="1240">
        <f t="shared" ref="I116" si="9">PRODUCT(C116:H116)</f>
        <v>2.97</v>
      </c>
      <c r="J116" s="1243"/>
    </row>
    <row r="117" spans="1:10" ht="24.95" customHeight="1">
      <c r="A117" s="1237"/>
      <c r="B117" s="1238" t="s">
        <v>5884</v>
      </c>
      <c r="C117" s="1244">
        <v>1</v>
      </c>
      <c r="D117" s="1244" t="s">
        <v>5404</v>
      </c>
      <c r="E117" s="1244">
        <v>4</v>
      </c>
      <c r="F117" s="1242">
        <v>4.96</v>
      </c>
      <c r="G117" s="1240">
        <v>0.23</v>
      </c>
      <c r="H117" s="1240">
        <v>0.38</v>
      </c>
      <c r="I117" s="1242">
        <f t="shared" si="8"/>
        <v>1.73</v>
      </c>
      <c r="J117" s="1243"/>
    </row>
    <row r="118" spans="1:10" ht="24.95" customHeight="1">
      <c r="A118" s="1237"/>
      <c r="B118" s="1238" t="s">
        <v>5884</v>
      </c>
      <c r="C118" s="1244">
        <v>1</v>
      </c>
      <c r="D118" s="1244" t="s">
        <v>5404</v>
      </c>
      <c r="E118" s="1244">
        <v>4</v>
      </c>
      <c r="F118" s="1242">
        <v>5.78</v>
      </c>
      <c r="G118" s="1240">
        <v>0.23</v>
      </c>
      <c r="H118" s="1240">
        <v>0.38</v>
      </c>
      <c r="I118" s="1242">
        <f t="shared" si="8"/>
        <v>2.02</v>
      </c>
      <c r="J118" s="1243"/>
    </row>
    <row r="119" spans="1:10" ht="24.95" customHeight="1">
      <c r="A119" s="1237"/>
      <c r="B119" s="1238" t="s">
        <v>5438</v>
      </c>
      <c r="C119" s="1244"/>
      <c r="D119" s="1244"/>
      <c r="E119" s="1244"/>
      <c r="F119" s="1242"/>
      <c r="G119" s="1240"/>
      <c r="H119" s="1240"/>
      <c r="I119" s="1242"/>
      <c r="J119" s="1243"/>
    </row>
    <row r="120" spans="1:10" ht="24.95" customHeight="1">
      <c r="A120" s="1237"/>
      <c r="B120" s="1238" t="s">
        <v>5434</v>
      </c>
      <c r="C120" s="1239">
        <v>-1</v>
      </c>
      <c r="D120" s="1239" t="s">
        <v>5404</v>
      </c>
      <c r="E120" s="1239">
        <v>5</v>
      </c>
      <c r="F120" s="1240">
        <v>0.23</v>
      </c>
      <c r="G120" s="1240">
        <v>0.23</v>
      </c>
      <c r="H120" s="1240">
        <v>0.38</v>
      </c>
      <c r="I120" s="1242">
        <f t="shared" si="8"/>
        <v>-0.1</v>
      </c>
      <c r="J120" s="1243"/>
    </row>
    <row r="121" spans="1:10" ht="24.95" customHeight="1">
      <c r="A121" s="1237"/>
      <c r="B121" s="1238" t="s">
        <v>5430</v>
      </c>
      <c r="C121" s="1239">
        <v>-1</v>
      </c>
      <c r="D121" s="1239" t="s">
        <v>5404</v>
      </c>
      <c r="E121" s="1239">
        <v>4</v>
      </c>
      <c r="F121" s="1240">
        <v>0.23</v>
      </c>
      <c r="G121" s="1240">
        <v>0.23</v>
      </c>
      <c r="H121" s="1240">
        <v>0.38</v>
      </c>
      <c r="I121" s="1242">
        <f t="shared" si="8"/>
        <v>-0.08</v>
      </c>
      <c r="J121" s="1243"/>
    </row>
    <row r="122" spans="1:10" ht="24.95" customHeight="1">
      <c r="A122" s="1237"/>
      <c r="B122" s="1238" t="s">
        <v>5435</v>
      </c>
      <c r="C122" s="1239">
        <v>-1</v>
      </c>
      <c r="D122" s="1239" t="s">
        <v>5404</v>
      </c>
      <c r="E122" s="1239">
        <v>3</v>
      </c>
      <c r="F122" s="1240">
        <v>0.23</v>
      </c>
      <c r="G122" s="1240">
        <v>0.23</v>
      </c>
      <c r="H122" s="1240">
        <v>0.38</v>
      </c>
      <c r="I122" s="1242">
        <f t="shared" si="8"/>
        <v>-0.06</v>
      </c>
      <c r="J122" s="1243"/>
    </row>
    <row r="123" spans="1:10" ht="24.95" customHeight="1">
      <c r="A123" s="1237"/>
      <c r="B123" s="1238" t="s">
        <v>5432</v>
      </c>
      <c r="C123" s="1239">
        <v>-1</v>
      </c>
      <c r="D123" s="1239" t="s">
        <v>5404</v>
      </c>
      <c r="E123" s="1239">
        <v>2</v>
      </c>
      <c r="F123" s="1240">
        <v>0.3</v>
      </c>
      <c r="G123" s="1240">
        <v>0.23</v>
      </c>
      <c r="H123" s="1240">
        <v>0.38</v>
      </c>
      <c r="I123" s="1242">
        <f t="shared" si="8"/>
        <v>-0.05</v>
      </c>
      <c r="J123" s="1243"/>
    </row>
    <row r="124" spans="1:10" ht="24.95" customHeight="1">
      <c r="A124" s="1237"/>
      <c r="B124" s="1238" t="s">
        <v>5436</v>
      </c>
      <c r="C124" s="1239">
        <v>-1</v>
      </c>
      <c r="D124" s="1239" t="s">
        <v>5404</v>
      </c>
      <c r="E124" s="1239">
        <v>4</v>
      </c>
      <c r="F124" s="1240">
        <v>0.3</v>
      </c>
      <c r="G124" s="1240">
        <v>0.23</v>
      </c>
      <c r="H124" s="1240">
        <v>0.38</v>
      </c>
      <c r="I124" s="1242">
        <f t="shared" si="8"/>
        <v>-0.1</v>
      </c>
      <c r="J124" s="1243"/>
    </row>
    <row r="125" spans="1:10" ht="24.95" customHeight="1">
      <c r="A125" s="1237"/>
      <c r="B125" s="1238" t="s">
        <v>5437</v>
      </c>
      <c r="C125" s="1239">
        <v>-1</v>
      </c>
      <c r="D125" s="1239" t="s">
        <v>5404</v>
      </c>
      <c r="E125" s="1239">
        <v>9</v>
      </c>
      <c r="F125" s="1240">
        <v>0.3</v>
      </c>
      <c r="G125" s="1240">
        <v>0.23</v>
      </c>
      <c r="H125" s="1240">
        <v>0.38</v>
      </c>
      <c r="I125" s="1242">
        <f t="shared" si="8"/>
        <v>-0.24</v>
      </c>
      <c r="J125" s="1243"/>
    </row>
    <row r="126" spans="1:10" ht="24.95" customHeight="1">
      <c r="A126" s="1237"/>
      <c r="B126" s="1241" t="s">
        <v>5439</v>
      </c>
      <c r="C126" s="1239"/>
      <c r="D126" s="1239"/>
      <c r="E126" s="1239"/>
      <c r="F126" s="1240"/>
      <c r="G126" s="1240"/>
      <c r="H126" s="1240"/>
      <c r="I126" s="1240"/>
      <c r="J126" s="1243"/>
    </row>
    <row r="127" spans="1:10" ht="24.95" customHeight="1">
      <c r="A127" s="1237"/>
      <c r="B127" s="1238" t="s">
        <v>5434</v>
      </c>
      <c r="C127" s="1239">
        <v>1</v>
      </c>
      <c r="D127" s="1239" t="s">
        <v>5404</v>
      </c>
      <c r="E127" s="1239">
        <v>5</v>
      </c>
      <c r="F127" s="1240">
        <v>0.23</v>
      </c>
      <c r="G127" s="1240">
        <v>0.38</v>
      </c>
      <c r="H127" s="1796">
        <v>1.33</v>
      </c>
      <c r="I127" s="1240">
        <f t="shared" ref="I127:I132" si="10">PRODUCT(C127:H127)</f>
        <v>0.57999999999999996</v>
      </c>
      <c r="J127" s="1243"/>
    </row>
    <row r="128" spans="1:10" ht="24.95" customHeight="1">
      <c r="A128" s="1237"/>
      <c r="B128" s="1238" t="s">
        <v>5430</v>
      </c>
      <c r="C128" s="1239">
        <v>1</v>
      </c>
      <c r="D128" s="1239" t="s">
        <v>5404</v>
      </c>
      <c r="E128" s="1239">
        <v>4</v>
      </c>
      <c r="F128" s="1240">
        <v>0.23</v>
      </c>
      <c r="G128" s="1240">
        <v>0.45</v>
      </c>
      <c r="H128" s="1796">
        <v>1.33</v>
      </c>
      <c r="I128" s="1240">
        <f t="shared" si="10"/>
        <v>0.55000000000000004</v>
      </c>
      <c r="J128" s="1243"/>
    </row>
    <row r="129" spans="1:13" ht="24.95" customHeight="1">
      <c r="A129" s="1237"/>
      <c r="B129" s="1238" t="s">
        <v>5435</v>
      </c>
      <c r="C129" s="1239">
        <v>1</v>
      </c>
      <c r="D129" s="1239" t="s">
        <v>5404</v>
      </c>
      <c r="E129" s="1239">
        <v>3</v>
      </c>
      <c r="F129" s="1240">
        <v>0.23</v>
      </c>
      <c r="G129" s="1240">
        <v>0.6</v>
      </c>
      <c r="H129" s="1796">
        <v>1.33</v>
      </c>
      <c r="I129" s="1240">
        <f t="shared" si="10"/>
        <v>0.55000000000000004</v>
      </c>
      <c r="J129" s="1243"/>
    </row>
    <row r="130" spans="1:13" ht="24.95" customHeight="1">
      <c r="A130" s="1237"/>
      <c r="B130" s="1238" t="s">
        <v>5432</v>
      </c>
      <c r="C130" s="1239">
        <v>1</v>
      </c>
      <c r="D130" s="1239" t="s">
        <v>5404</v>
      </c>
      <c r="E130" s="1239">
        <v>2</v>
      </c>
      <c r="F130" s="1240">
        <v>0.3</v>
      </c>
      <c r="G130" s="1240">
        <v>0.38</v>
      </c>
      <c r="H130" s="1796">
        <v>1.33</v>
      </c>
      <c r="I130" s="1240">
        <f t="shared" si="10"/>
        <v>0.3</v>
      </c>
      <c r="J130" s="1243"/>
    </row>
    <row r="131" spans="1:13" ht="24.95" customHeight="1">
      <c r="A131" s="1237"/>
      <c r="B131" s="1238" t="s">
        <v>5436</v>
      </c>
      <c r="C131" s="1239">
        <v>1</v>
      </c>
      <c r="D131" s="1239" t="s">
        <v>5404</v>
      </c>
      <c r="E131" s="1239">
        <v>4</v>
      </c>
      <c r="F131" s="1240">
        <v>0.3</v>
      </c>
      <c r="G131" s="1240">
        <v>0.6</v>
      </c>
      <c r="H131" s="1796">
        <v>1.33</v>
      </c>
      <c r="I131" s="1240">
        <f t="shared" si="10"/>
        <v>0.96</v>
      </c>
      <c r="J131" s="1243"/>
    </row>
    <row r="132" spans="1:13" ht="24.95" customHeight="1">
      <c r="A132" s="1237"/>
      <c r="B132" s="1238" t="s">
        <v>5437</v>
      </c>
      <c r="C132" s="1239">
        <v>1</v>
      </c>
      <c r="D132" s="1239" t="s">
        <v>5404</v>
      </c>
      <c r="E132" s="1239">
        <v>9</v>
      </c>
      <c r="F132" s="1240">
        <v>0.3</v>
      </c>
      <c r="G132" s="1240">
        <v>0.38</v>
      </c>
      <c r="H132" s="1796">
        <v>1.33</v>
      </c>
      <c r="I132" s="1240">
        <f t="shared" si="10"/>
        <v>1.36</v>
      </c>
      <c r="J132" s="1243"/>
    </row>
    <row r="133" spans="1:13" ht="24.95" customHeight="1">
      <c r="A133" s="1237"/>
      <c r="B133" s="1241" t="s">
        <v>5440</v>
      </c>
      <c r="C133" s="1239"/>
      <c r="D133" s="1239"/>
      <c r="E133" s="1239"/>
      <c r="F133" s="1240"/>
      <c r="G133" s="1240"/>
      <c r="H133" s="1240"/>
      <c r="I133" s="1240"/>
      <c r="J133" s="1243"/>
    </row>
    <row r="134" spans="1:13" ht="27.75" customHeight="1">
      <c r="A134" s="1237"/>
      <c r="B134" s="1238" t="s">
        <v>5877</v>
      </c>
      <c r="C134" s="1239">
        <v>1</v>
      </c>
      <c r="D134" s="1239" t="s">
        <v>5404</v>
      </c>
      <c r="E134" s="1239">
        <v>1</v>
      </c>
      <c r="F134" s="1240">
        <v>64.88</v>
      </c>
      <c r="G134" s="1240">
        <v>0.23</v>
      </c>
      <c r="H134" s="1240">
        <v>0.1</v>
      </c>
      <c r="I134" s="1240">
        <f t="shared" ref="I134:I146" si="11">PRODUCT(C134:H134)</f>
        <v>1.49</v>
      </c>
      <c r="J134" s="1243"/>
    </row>
    <row r="135" spans="1:13" ht="24.95" customHeight="1">
      <c r="A135" s="1237"/>
      <c r="B135" s="1238" t="s">
        <v>5878</v>
      </c>
      <c r="C135" s="1239">
        <v>1</v>
      </c>
      <c r="D135" s="1239" t="s">
        <v>5404</v>
      </c>
      <c r="E135" s="1239">
        <v>1</v>
      </c>
      <c r="F135" s="1240">
        <v>20.12</v>
      </c>
      <c r="G135" s="1240">
        <v>0.23</v>
      </c>
      <c r="H135" s="1240">
        <v>0.1</v>
      </c>
      <c r="I135" s="1240">
        <f t="shared" si="11"/>
        <v>0.46</v>
      </c>
      <c r="J135" s="1243"/>
    </row>
    <row r="136" spans="1:13" ht="24.95" customHeight="1">
      <c r="A136" s="1237"/>
      <c r="B136" s="1238"/>
      <c r="C136" s="1239">
        <v>1</v>
      </c>
      <c r="D136" s="1239" t="s">
        <v>5404</v>
      </c>
      <c r="E136" s="1239">
        <v>1</v>
      </c>
      <c r="F136" s="1240">
        <v>16.59</v>
      </c>
      <c r="G136" s="1240">
        <v>0.23</v>
      </c>
      <c r="H136" s="1240">
        <v>0.1</v>
      </c>
      <c r="I136" s="1240">
        <f t="shared" si="11"/>
        <v>0.38</v>
      </c>
      <c r="J136" s="1243"/>
    </row>
    <row r="137" spans="1:13" ht="24.95" customHeight="1">
      <c r="A137" s="1237"/>
      <c r="B137" s="1238" t="s">
        <v>5879</v>
      </c>
      <c r="C137" s="1239">
        <v>1</v>
      </c>
      <c r="D137" s="1239" t="s">
        <v>5404</v>
      </c>
      <c r="E137" s="1239">
        <v>1</v>
      </c>
      <c r="F137" s="1240">
        <v>3.3</v>
      </c>
      <c r="G137" s="1240">
        <v>0.23</v>
      </c>
      <c r="H137" s="1240">
        <v>0.1</v>
      </c>
      <c r="I137" s="1240">
        <f t="shared" si="11"/>
        <v>0.08</v>
      </c>
      <c r="J137" s="1243"/>
    </row>
    <row r="138" spans="1:13" ht="24.95" customHeight="1">
      <c r="A138" s="1237"/>
      <c r="B138" s="1238" t="s">
        <v>5880</v>
      </c>
      <c r="C138" s="1239">
        <v>1</v>
      </c>
      <c r="D138" s="1239" t="s">
        <v>5404</v>
      </c>
      <c r="E138" s="1239">
        <v>3</v>
      </c>
      <c r="F138" s="1240">
        <v>3.6</v>
      </c>
      <c r="G138" s="1240">
        <v>0.23</v>
      </c>
      <c r="H138" s="1240">
        <v>0.1</v>
      </c>
      <c r="I138" s="1240">
        <f t="shared" si="11"/>
        <v>0.25</v>
      </c>
      <c r="J138" s="1243"/>
    </row>
    <row r="139" spans="1:13" ht="24.95" customHeight="1">
      <c r="A139" s="1237"/>
      <c r="B139" s="1238" t="s">
        <v>5881</v>
      </c>
      <c r="C139" s="1239">
        <v>1</v>
      </c>
      <c r="D139" s="1239" t="s">
        <v>5404</v>
      </c>
      <c r="E139" s="1239">
        <v>2</v>
      </c>
      <c r="F139" s="1240">
        <v>6</v>
      </c>
      <c r="G139" s="1240">
        <v>0.23</v>
      </c>
      <c r="H139" s="1240">
        <v>0.1</v>
      </c>
      <c r="I139" s="1240">
        <f t="shared" si="11"/>
        <v>0.28000000000000003</v>
      </c>
      <c r="J139" s="1243"/>
    </row>
    <row r="140" spans="1:13" ht="24.95" customHeight="1">
      <c r="A140" s="1237"/>
      <c r="B140" s="1238" t="s">
        <v>5882</v>
      </c>
      <c r="C140" s="1239">
        <v>1</v>
      </c>
      <c r="D140" s="1239" t="s">
        <v>5404</v>
      </c>
      <c r="E140" s="1239">
        <v>1</v>
      </c>
      <c r="F140" s="1240">
        <v>8.0299999999999994</v>
      </c>
      <c r="G140" s="1240">
        <v>0.23</v>
      </c>
      <c r="H140" s="1240">
        <v>0.1</v>
      </c>
      <c r="I140" s="1240">
        <f t="shared" si="11"/>
        <v>0.18</v>
      </c>
      <c r="J140" s="1256"/>
    </row>
    <row r="141" spans="1:13" ht="24.95" customHeight="1">
      <c r="A141" s="1237"/>
      <c r="B141" s="1238" t="s">
        <v>5883</v>
      </c>
      <c r="C141" s="1244">
        <v>1</v>
      </c>
      <c r="D141" s="1244" t="s">
        <v>5404</v>
      </c>
      <c r="E141" s="1244">
        <v>2</v>
      </c>
      <c r="F141" s="1242">
        <v>17</v>
      </c>
      <c r="G141" s="1240">
        <v>0.23</v>
      </c>
      <c r="H141" s="1240">
        <v>0.1</v>
      </c>
      <c r="I141" s="1242">
        <f t="shared" si="11"/>
        <v>0.78</v>
      </c>
      <c r="J141" s="1243"/>
    </row>
    <row r="142" spans="1:13" ht="24.95" customHeight="1">
      <c r="A142" s="1237"/>
      <c r="B142" s="1238" t="s">
        <v>5884</v>
      </c>
      <c r="C142" s="1244">
        <v>1</v>
      </c>
      <c r="D142" s="1244" t="s">
        <v>5404</v>
      </c>
      <c r="E142" s="1244">
        <v>4</v>
      </c>
      <c r="F142" s="1242">
        <v>4.96</v>
      </c>
      <c r="G142" s="1240">
        <v>0.23</v>
      </c>
      <c r="H142" s="1240">
        <v>0.1</v>
      </c>
      <c r="I142" s="1242">
        <f t="shared" si="11"/>
        <v>0.46</v>
      </c>
      <c r="J142" s="1243"/>
      <c r="M142" s="1230">
        <v>2.98</v>
      </c>
    </row>
    <row r="143" spans="1:13" ht="24.95" customHeight="1">
      <c r="A143" s="1237"/>
      <c r="B143" s="1238" t="s">
        <v>5884</v>
      </c>
      <c r="C143" s="1244">
        <v>1</v>
      </c>
      <c r="D143" s="1244" t="s">
        <v>5404</v>
      </c>
      <c r="E143" s="1244">
        <v>4</v>
      </c>
      <c r="F143" s="1242">
        <v>5.78</v>
      </c>
      <c r="G143" s="1240">
        <v>0.23</v>
      </c>
      <c r="H143" s="1240">
        <v>0.1</v>
      </c>
      <c r="I143" s="1242">
        <f t="shared" si="11"/>
        <v>0.53</v>
      </c>
      <c r="J143" s="1243"/>
      <c r="M143" s="1230">
        <v>1.49</v>
      </c>
    </row>
    <row r="144" spans="1:13" ht="24.95" customHeight="1">
      <c r="A144" s="1237"/>
      <c r="B144" s="1238" t="s">
        <v>5890</v>
      </c>
      <c r="C144" s="1244">
        <v>1</v>
      </c>
      <c r="D144" s="1244" t="s">
        <v>5404</v>
      </c>
      <c r="E144" s="1244">
        <v>1</v>
      </c>
      <c r="F144" s="1242">
        <v>21.32</v>
      </c>
      <c r="G144" s="1240">
        <v>0.23</v>
      </c>
      <c r="H144" s="1240">
        <v>0.1</v>
      </c>
      <c r="I144" s="1242">
        <f t="shared" ref="I144" si="12">PRODUCT(C144:H144)</f>
        <v>0.49</v>
      </c>
      <c r="J144" s="1243"/>
    </row>
    <row r="145" spans="1:16" ht="24.95" customHeight="1">
      <c r="A145" s="1237"/>
      <c r="B145" s="1247" t="s">
        <v>5441</v>
      </c>
      <c r="C145" s="1234">
        <v>1</v>
      </c>
      <c r="D145" s="1234" t="s">
        <v>5404</v>
      </c>
      <c r="E145" s="1234">
        <v>1</v>
      </c>
      <c r="F145" s="1248">
        <v>11.2</v>
      </c>
      <c r="G145" s="1248">
        <v>17</v>
      </c>
      <c r="H145" s="1248">
        <v>0.1</v>
      </c>
      <c r="I145" s="1248">
        <f t="shared" si="11"/>
        <v>19.04</v>
      </c>
      <c r="J145" s="1236"/>
    </row>
    <row r="146" spans="1:16" ht="24.95" customHeight="1">
      <c r="A146" s="1237"/>
      <c r="B146" s="1247" t="s">
        <v>5442</v>
      </c>
      <c r="C146" s="1234">
        <v>1</v>
      </c>
      <c r="D146" s="1234" t="s">
        <v>5404</v>
      </c>
      <c r="E146" s="1234">
        <v>1</v>
      </c>
      <c r="F146" s="1248">
        <v>5</v>
      </c>
      <c r="G146" s="1248">
        <v>1.5</v>
      </c>
      <c r="H146" s="1248">
        <v>0.1</v>
      </c>
      <c r="I146" s="1248">
        <f t="shared" si="11"/>
        <v>0.75</v>
      </c>
      <c r="J146" s="1236"/>
    </row>
    <row r="147" spans="1:16" ht="24.95" customHeight="1">
      <c r="A147" s="1237"/>
      <c r="B147" s="1247" t="s">
        <v>5443</v>
      </c>
      <c r="C147" s="1234">
        <v>1</v>
      </c>
      <c r="D147" s="1234" t="s">
        <v>5404</v>
      </c>
      <c r="E147" s="1234">
        <v>1</v>
      </c>
      <c r="F147" s="1248">
        <v>11.8</v>
      </c>
      <c r="G147" s="1248">
        <v>0.2</v>
      </c>
      <c r="H147" s="1248">
        <v>1.2</v>
      </c>
      <c r="I147" s="1248">
        <f>PRODUCT(C147:H147)</f>
        <v>2.83</v>
      </c>
      <c r="J147" s="1236"/>
    </row>
    <row r="148" spans="1:16" ht="24.95" customHeight="1">
      <c r="A148" s="1237"/>
      <c r="B148" s="1238"/>
      <c r="C148" s="1244"/>
      <c r="D148" s="1244"/>
      <c r="E148" s="1244"/>
      <c r="F148" s="1242"/>
      <c r="G148" s="1240"/>
      <c r="H148" s="1240"/>
      <c r="I148" s="1242">
        <f>SUM(I97:I147)</f>
        <v>87.38</v>
      </c>
      <c r="J148" s="1236"/>
    </row>
    <row r="149" spans="1:16" ht="24.95" customHeight="1">
      <c r="A149" s="1237"/>
      <c r="B149" s="1247"/>
      <c r="C149" s="1234"/>
      <c r="D149" s="1234"/>
      <c r="E149" s="1234"/>
      <c r="F149" s="1248"/>
      <c r="G149" s="1248"/>
      <c r="H149" s="1252" t="s">
        <v>5423</v>
      </c>
      <c r="I149" s="1225">
        <f>ROUNDUP(I148,1)</f>
        <v>87.4</v>
      </c>
      <c r="J149" s="1236" t="s">
        <v>2176</v>
      </c>
      <c r="M149" s="1230">
        <v>120</v>
      </c>
    </row>
    <row r="150" spans="1:16" ht="24.95" customHeight="1">
      <c r="A150" s="1237"/>
      <c r="B150" s="1247"/>
      <c r="C150" s="1234"/>
      <c r="D150" s="1234"/>
      <c r="E150" s="1234"/>
      <c r="F150" s="1248"/>
      <c r="G150" s="1259"/>
      <c r="H150" s="1260"/>
      <c r="I150" s="1261"/>
      <c r="J150" s="1246"/>
    </row>
    <row r="151" spans="1:16" ht="43.15" customHeight="1">
      <c r="A151" s="1258">
        <v>6.5</v>
      </c>
      <c r="B151" s="1241" t="s">
        <v>5444</v>
      </c>
      <c r="C151" s="1239"/>
      <c r="D151" s="1239"/>
      <c r="E151" s="1239"/>
      <c r="F151" s="1262"/>
      <c r="G151" s="1878" t="s">
        <v>5445</v>
      </c>
      <c r="H151" s="1879"/>
      <c r="I151" s="1880"/>
      <c r="J151" s="1243"/>
      <c r="M151" s="1230" t="e">
        <f>#REF!*M149</f>
        <v>#REF!</v>
      </c>
    </row>
    <row r="152" spans="1:16" ht="25.5" customHeight="1">
      <c r="A152" s="1237"/>
      <c r="B152" s="1238" t="s">
        <v>5877</v>
      </c>
      <c r="C152" s="1239">
        <v>1</v>
      </c>
      <c r="D152" s="1239" t="s">
        <v>5404</v>
      </c>
      <c r="E152" s="1239">
        <v>1</v>
      </c>
      <c r="F152" s="1240">
        <v>64.88</v>
      </c>
      <c r="G152" s="1240">
        <v>0.23</v>
      </c>
      <c r="H152" s="1240">
        <v>1.33</v>
      </c>
      <c r="I152" s="1240">
        <f t="shared" ref="I152:I157" si="13">PRODUCT(C152:H152)</f>
        <v>19.850000000000001</v>
      </c>
      <c r="J152" s="1243"/>
    </row>
    <row r="153" spans="1:16" ht="24.95" customHeight="1">
      <c r="A153" s="1237"/>
      <c r="B153" s="1238" t="s">
        <v>5878</v>
      </c>
      <c r="C153" s="1239">
        <v>1</v>
      </c>
      <c r="D153" s="1239" t="s">
        <v>5404</v>
      </c>
      <c r="E153" s="1239">
        <v>1</v>
      </c>
      <c r="F153" s="1240">
        <v>20.12</v>
      </c>
      <c r="G153" s="1240">
        <v>0.23</v>
      </c>
      <c r="H153" s="1240">
        <v>1.33</v>
      </c>
      <c r="I153" s="1240">
        <f t="shared" si="13"/>
        <v>6.15</v>
      </c>
      <c r="J153" s="1243"/>
    </row>
    <row r="154" spans="1:16" ht="24.95" customHeight="1">
      <c r="A154" s="1237"/>
      <c r="B154" s="1238"/>
      <c r="C154" s="1239">
        <v>1</v>
      </c>
      <c r="D154" s="1239" t="s">
        <v>5404</v>
      </c>
      <c r="E154" s="1239">
        <v>1</v>
      </c>
      <c r="F154" s="1240">
        <v>16.59</v>
      </c>
      <c r="G154" s="1240">
        <v>0.23</v>
      </c>
      <c r="H154" s="1240">
        <v>1.33</v>
      </c>
      <c r="I154" s="1240">
        <f t="shared" si="13"/>
        <v>5.07</v>
      </c>
      <c r="J154" s="1243"/>
    </row>
    <row r="155" spans="1:16" ht="26.25" customHeight="1">
      <c r="A155" s="1237"/>
      <c r="B155" s="1238" t="s">
        <v>5879</v>
      </c>
      <c r="C155" s="1239">
        <v>1</v>
      </c>
      <c r="D155" s="1239" t="s">
        <v>5404</v>
      </c>
      <c r="E155" s="1239">
        <v>1</v>
      </c>
      <c r="F155" s="1240">
        <v>3.3</v>
      </c>
      <c r="G155" s="1240">
        <v>0.23</v>
      </c>
      <c r="H155" s="1240">
        <v>1.33</v>
      </c>
      <c r="I155" s="1240">
        <f t="shared" si="13"/>
        <v>1.01</v>
      </c>
      <c r="J155" s="1243"/>
    </row>
    <row r="156" spans="1:16" ht="24.95" customHeight="1">
      <c r="A156" s="1237"/>
      <c r="B156" s="1238" t="s">
        <v>5880</v>
      </c>
      <c r="C156" s="1239">
        <v>1</v>
      </c>
      <c r="D156" s="1239" t="s">
        <v>5404</v>
      </c>
      <c r="E156" s="1239">
        <v>3</v>
      </c>
      <c r="F156" s="1240">
        <v>3.6</v>
      </c>
      <c r="G156" s="1240">
        <v>0.23</v>
      </c>
      <c r="H156" s="1240">
        <v>1.33</v>
      </c>
      <c r="I156" s="1240">
        <f t="shared" si="13"/>
        <v>3.3</v>
      </c>
      <c r="J156" s="1243"/>
      <c r="N156" s="1230">
        <v>0.77</v>
      </c>
      <c r="O156" s="1230">
        <v>0.23</v>
      </c>
      <c r="P156" s="1230">
        <f>N156-O156</f>
        <v>0.54</v>
      </c>
    </row>
    <row r="157" spans="1:16" ht="24.95" customHeight="1">
      <c r="A157" s="1237"/>
      <c r="B157" s="1238" t="s">
        <v>5881</v>
      </c>
      <c r="C157" s="1239">
        <v>1</v>
      </c>
      <c r="D157" s="1239" t="s">
        <v>5404</v>
      </c>
      <c r="E157" s="1239">
        <v>2</v>
      </c>
      <c r="F157" s="1240">
        <v>6</v>
      </c>
      <c r="G157" s="1240">
        <v>0.23</v>
      </c>
      <c r="H157" s="1240">
        <v>1.33</v>
      </c>
      <c r="I157" s="1240">
        <f t="shared" si="13"/>
        <v>3.67</v>
      </c>
      <c r="J157" s="1243"/>
    </row>
    <row r="158" spans="1:16" ht="24.95" customHeight="1">
      <c r="A158" s="1237"/>
      <c r="B158" s="1238" t="s">
        <v>5882</v>
      </c>
      <c r="C158" s="1239">
        <v>1</v>
      </c>
      <c r="D158" s="1239" t="s">
        <v>5404</v>
      </c>
      <c r="E158" s="1239">
        <v>1</v>
      </c>
      <c r="F158" s="1240">
        <v>8.0299999999999994</v>
      </c>
      <c r="G158" s="1240">
        <v>0.23</v>
      </c>
      <c r="H158" s="1240">
        <v>1.33</v>
      </c>
      <c r="I158" s="1240">
        <f t="shared" ref="I158:I162" si="14">PRODUCT(C158:H158)</f>
        <v>2.46</v>
      </c>
      <c r="J158" s="1243"/>
    </row>
    <row r="159" spans="1:16" ht="24.95" customHeight="1">
      <c r="A159" s="1237"/>
      <c r="B159" s="1238" t="s">
        <v>5883</v>
      </c>
      <c r="C159" s="1244">
        <v>1</v>
      </c>
      <c r="D159" s="1244" t="s">
        <v>5404</v>
      </c>
      <c r="E159" s="1244">
        <v>2</v>
      </c>
      <c r="F159" s="1242">
        <v>17</v>
      </c>
      <c r="G159" s="1240">
        <v>0.23</v>
      </c>
      <c r="H159" s="1240">
        <v>1.33</v>
      </c>
      <c r="I159" s="1240">
        <f t="shared" ref="I159" si="15">PRODUCT(C159:H159)</f>
        <v>10.4</v>
      </c>
      <c r="J159" s="1243"/>
    </row>
    <row r="160" spans="1:16" ht="24.95" customHeight="1">
      <c r="A160" s="1237"/>
      <c r="B160" s="1238" t="s">
        <v>5884</v>
      </c>
      <c r="C160" s="1244">
        <v>1</v>
      </c>
      <c r="D160" s="1244" t="s">
        <v>5404</v>
      </c>
      <c r="E160" s="1244">
        <v>4</v>
      </c>
      <c r="F160" s="1242">
        <v>4.96</v>
      </c>
      <c r="G160" s="1240">
        <v>0.23</v>
      </c>
      <c r="H160" s="1240">
        <v>1.17</v>
      </c>
      <c r="I160" s="1240">
        <f t="shared" ref="I160:I161" si="16">PRODUCT(C160:H160)</f>
        <v>5.34</v>
      </c>
      <c r="J160" s="1243"/>
    </row>
    <row r="161" spans="1:10" ht="24.95" customHeight="1">
      <c r="A161" s="1237"/>
      <c r="B161" s="1238" t="s">
        <v>5884</v>
      </c>
      <c r="C161" s="1244">
        <v>1</v>
      </c>
      <c r="D161" s="1244" t="s">
        <v>5404</v>
      </c>
      <c r="E161" s="1244">
        <v>4</v>
      </c>
      <c r="F161" s="1242">
        <v>5.78</v>
      </c>
      <c r="G161" s="1240">
        <v>0.23</v>
      </c>
      <c r="H161" s="1240">
        <v>1.17</v>
      </c>
      <c r="I161" s="1240">
        <f t="shared" si="16"/>
        <v>6.22</v>
      </c>
      <c r="J161" s="1243"/>
    </row>
    <row r="162" spans="1:10" ht="24.95" customHeight="1">
      <c r="A162" s="1237"/>
      <c r="B162" s="1238" t="s">
        <v>5889</v>
      </c>
      <c r="C162" s="1244">
        <v>1</v>
      </c>
      <c r="D162" s="1244" t="s">
        <v>5404</v>
      </c>
      <c r="E162" s="1244">
        <v>1</v>
      </c>
      <c r="F162" s="1242">
        <v>2</v>
      </c>
      <c r="G162" s="1240">
        <v>0.23</v>
      </c>
      <c r="H162" s="1240">
        <v>1.33</v>
      </c>
      <c r="I162" s="1240">
        <f t="shared" si="14"/>
        <v>0.61</v>
      </c>
      <c r="J162" s="1243"/>
    </row>
    <row r="163" spans="1:10" ht="24.95" customHeight="1">
      <c r="A163" s="1237"/>
      <c r="B163" s="1238" t="s">
        <v>5408</v>
      </c>
      <c r="C163" s="1239">
        <v>1</v>
      </c>
      <c r="D163" s="1239" t="s">
        <v>5404</v>
      </c>
      <c r="E163" s="1239">
        <v>9</v>
      </c>
      <c r="F163" s="1240">
        <v>3.32</v>
      </c>
      <c r="G163" s="1240">
        <v>0.23</v>
      </c>
      <c r="H163" s="1240">
        <v>0.9</v>
      </c>
      <c r="I163" s="1240">
        <f>PRODUCT(E163:H163)</f>
        <v>6.19</v>
      </c>
      <c r="J163" s="1243"/>
    </row>
    <row r="164" spans="1:10" ht="24.95" customHeight="1">
      <c r="A164" s="1237"/>
      <c r="B164" s="1238" t="s">
        <v>5447</v>
      </c>
      <c r="C164" s="1239">
        <v>-1</v>
      </c>
      <c r="D164" s="1239" t="s">
        <v>5404</v>
      </c>
      <c r="E164" s="1239">
        <v>5</v>
      </c>
      <c r="F164" s="1240">
        <v>0.23</v>
      </c>
      <c r="G164" s="1240">
        <v>0.38</v>
      </c>
      <c r="H164" s="1240">
        <v>1.33</v>
      </c>
      <c r="I164" s="1240">
        <f t="shared" ref="I164:I169" si="17">PRODUCT(C164:H164)</f>
        <v>-0.57999999999999996</v>
      </c>
      <c r="J164" s="1243"/>
    </row>
    <row r="165" spans="1:10" ht="24.95" customHeight="1">
      <c r="A165" s="1237"/>
      <c r="B165" s="1238" t="s">
        <v>5430</v>
      </c>
      <c r="C165" s="1239">
        <v>-1</v>
      </c>
      <c r="D165" s="1239" t="s">
        <v>5404</v>
      </c>
      <c r="E165" s="1239">
        <v>4</v>
      </c>
      <c r="F165" s="1240">
        <v>0.23</v>
      </c>
      <c r="G165" s="1240">
        <v>0.45</v>
      </c>
      <c r="H165" s="1240">
        <v>1.33</v>
      </c>
      <c r="I165" s="1240">
        <f t="shared" si="17"/>
        <v>-0.55000000000000004</v>
      </c>
      <c r="J165" s="1243"/>
    </row>
    <row r="166" spans="1:10" ht="24.95" customHeight="1">
      <c r="A166" s="1237"/>
      <c r="B166" s="1238" t="s">
        <v>5448</v>
      </c>
      <c r="C166" s="1239">
        <v>-1</v>
      </c>
      <c r="D166" s="1239" t="s">
        <v>5404</v>
      </c>
      <c r="E166" s="1239">
        <v>3</v>
      </c>
      <c r="F166" s="1240">
        <v>0.23</v>
      </c>
      <c r="G166" s="1240">
        <v>0.6</v>
      </c>
      <c r="H166" s="1240">
        <v>1.33</v>
      </c>
      <c r="I166" s="1240">
        <f t="shared" si="17"/>
        <v>-0.55000000000000004</v>
      </c>
      <c r="J166" s="1243"/>
    </row>
    <row r="167" spans="1:10" ht="24.95" customHeight="1">
      <c r="A167" s="1237"/>
      <c r="B167" s="1238" t="s">
        <v>5432</v>
      </c>
      <c r="C167" s="1239">
        <v>-1</v>
      </c>
      <c r="D167" s="1239" t="s">
        <v>5404</v>
      </c>
      <c r="E167" s="1239">
        <v>2</v>
      </c>
      <c r="F167" s="1240">
        <v>0.3</v>
      </c>
      <c r="G167" s="1240">
        <v>0.38</v>
      </c>
      <c r="H167" s="1240">
        <v>1.33</v>
      </c>
      <c r="I167" s="1240">
        <f t="shared" si="17"/>
        <v>-0.3</v>
      </c>
      <c r="J167" s="1243"/>
    </row>
    <row r="168" spans="1:10" ht="24.95" customHeight="1">
      <c r="A168" s="1237"/>
      <c r="B168" s="1238" t="s">
        <v>5436</v>
      </c>
      <c r="C168" s="1239">
        <v>-1</v>
      </c>
      <c r="D168" s="1239" t="s">
        <v>5404</v>
      </c>
      <c r="E168" s="1239">
        <v>4</v>
      </c>
      <c r="F168" s="1240">
        <v>0.3</v>
      </c>
      <c r="G168" s="1240">
        <v>0.6</v>
      </c>
      <c r="H168" s="1240">
        <v>1.33</v>
      </c>
      <c r="I168" s="1240">
        <f t="shared" si="17"/>
        <v>-0.96</v>
      </c>
      <c r="J168" s="1243"/>
    </row>
    <row r="169" spans="1:10" ht="24.95" customHeight="1">
      <c r="A169" s="1237"/>
      <c r="B169" s="1238" t="s">
        <v>5437</v>
      </c>
      <c r="C169" s="1239">
        <v>-1</v>
      </c>
      <c r="D169" s="1239" t="s">
        <v>5404</v>
      </c>
      <c r="E169" s="1239">
        <v>9</v>
      </c>
      <c r="F169" s="1240">
        <v>0.3</v>
      </c>
      <c r="G169" s="1240">
        <v>0.38</v>
      </c>
      <c r="H169" s="1240">
        <v>1.33</v>
      </c>
      <c r="I169" s="1240">
        <f t="shared" si="17"/>
        <v>-1.36</v>
      </c>
      <c r="J169" s="1243"/>
    </row>
    <row r="170" spans="1:10" ht="24.95" customHeight="1">
      <c r="A170" s="1237"/>
      <c r="B170" s="1263"/>
      <c r="C170" s="1235"/>
      <c r="D170" s="1235"/>
      <c r="E170" s="1235"/>
      <c r="F170" s="1248"/>
      <c r="G170" s="1248"/>
      <c r="H170" s="1248"/>
      <c r="I170" s="1248">
        <f>SUM(I152:I169)</f>
        <v>65.97</v>
      </c>
      <c r="J170" s="1236"/>
    </row>
    <row r="171" spans="1:10" ht="24.95" customHeight="1">
      <c r="A171" s="1237"/>
      <c r="B171" s="1247"/>
      <c r="C171" s="1234"/>
      <c r="D171" s="1234"/>
      <c r="E171" s="1234"/>
      <c r="F171" s="1248"/>
      <c r="G171" s="1248"/>
      <c r="H171" s="1249" t="s">
        <v>4322</v>
      </c>
      <c r="I171" s="1249">
        <f>ROUNDUP(I170,1-0)</f>
        <v>66</v>
      </c>
      <c r="J171" s="1246" t="s">
        <v>2176</v>
      </c>
    </row>
    <row r="172" spans="1:10" ht="48" customHeight="1">
      <c r="A172" s="1258">
        <v>8.1</v>
      </c>
      <c r="B172" s="1233" t="s">
        <v>4076</v>
      </c>
      <c r="C172" s="1234"/>
      <c r="D172" s="1234"/>
      <c r="E172" s="1234"/>
      <c r="F172" s="1235"/>
      <c r="G172" s="1235"/>
      <c r="H172" s="1235"/>
      <c r="I172" s="1235"/>
      <c r="J172" s="1236"/>
    </row>
    <row r="173" spans="1:10" ht="24.95" customHeight="1">
      <c r="A173" s="1237"/>
      <c r="B173" s="1233" t="s">
        <v>5449</v>
      </c>
      <c r="C173" s="1234"/>
      <c r="D173" s="1234"/>
      <c r="E173" s="1234"/>
      <c r="F173" s="1235"/>
      <c r="G173" s="1235"/>
      <c r="H173" s="1235"/>
      <c r="I173" s="1235"/>
      <c r="J173" s="1236"/>
    </row>
    <row r="174" spans="1:10" ht="24.95" customHeight="1">
      <c r="A174" s="1237"/>
      <c r="B174" s="1233" t="s">
        <v>5450</v>
      </c>
      <c r="C174" s="1234"/>
      <c r="D174" s="1234"/>
      <c r="E174" s="1234"/>
      <c r="F174" s="1235"/>
      <c r="G174" s="1235"/>
      <c r="H174" s="1235"/>
      <c r="I174" s="1235"/>
      <c r="J174" s="1236"/>
    </row>
    <row r="175" spans="1:10" ht="24.95" customHeight="1">
      <c r="A175" s="1237"/>
      <c r="B175" s="1247" t="s">
        <v>5447</v>
      </c>
      <c r="C175" s="1234">
        <v>1</v>
      </c>
      <c r="D175" s="1234" t="s">
        <v>5404</v>
      </c>
      <c r="E175" s="1234">
        <f>E127</f>
        <v>5</v>
      </c>
      <c r="F175" s="1248">
        <v>0.23</v>
      </c>
      <c r="G175" s="1248">
        <v>0.38</v>
      </c>
      <c r="H175" s="1248">
        <v>3.15</v>
      </c>
      <c r="I175" s="1248">
        <f t="shared" ref="I175:I181" si="18">PRODUCT(C175:H175)</f>
        <v>1.38</v>
      </c>
      <c r="J175" s="1236"/>
    </row>
    <row r="176" spans="1:10" ht="24.95" customHeight="1">
      <c r="A176" s="1237"/>
      <c r="B176" s="1247" t="s">
        <v>5430</v>
      </c>
      <c r="C176" s="1234">
        <v>1</v>
      </c>
      <c r="D176" s="1234" t="s">
        <v>5404</v>
      </c>
      <c r="E176" s="1234">
        <v>2</v>
      </c>
      <c r="F176" s="1248">
        <v>0.23</v>
      </c>
      <c r="G176" s="1248">
        <v>0.45</v>
      </c>
      <c r="H176" s="1248">
        <v>3.15</v>
      </c>
      <c r="I176" s="1248">
        <f>PRODUCT(C176:H176)</f>
        <v>0.65</v>
      </c>
      <c r="J176" s="1236"/>
    </row>
    <row r="177" spans="1:10" ht="24.95" customHeight="1">
      <c r="A177" s="1237"/>
      <c r="B177" s="1247" t="s">
        <v>5430</v>
      </c>
      <c r="C177" s="1234">
        <v>1</v>
      </c>
      <c r="D177" s="1234" t="s">
        <v>5404</v>
      </c>
      <c r="E177" s="1234">
        <v>2</v>
      </c>
      <c r="F177" s="1248">
        <v>0.23</v>
      </c>
      <c r="G177" s="1248">
        <v>0.45</v>
      </c>
      <c r="H177" s="1248">
        <v>3.15</v>
      </c>
      <c r="I177" s="1248">
        <f t="shared" si="18"/>
        <v>0.65</v>
      </c>
      <c r="J177" s="1236"/>
    </row>
    <row r="178" spans="1:10" ht="24.95" customHeight="1">
      <c r="A178" s="1237"/>
      <c r="B178" s="1247" t="s">
        <v>5448</v>
      </c>
      <c r="C178" s="1234">
        <v>1</v>
      </c>
      <c r="D178" s="1234" t="s">
        <v>5404</v>
      </c>
      <c r="E178" s="1234">
        <f>E129</f>
        <v>3</v>
      </c>
      <c r="F178" s="1248">
        <v>0.23</v>
      </c>
      <c r="G178" s="1248">
        <v>0.6</v>
      </c>
      <c r="H178" s="1248">
        <v>3.15</v>
      </c>
      <c r="I178" s="1248">
        <f t="shared" si="18"/>
        <v>1.3</v>
      </c>
      <c r="J178" s="1236"/>
    </row>
    <row r="179" spans="1:10" ht="24.95" customHeight="1">
      <c r="A179" s="1237"/>
      <c r="B179" s="1247" t="s">
        <v>5432</v>
      </c>
      <c r="C179" s="1234">
        <v>1</v>
      </c>
      <c r="D179" s="1234" t="s">
        <v>5404</v>
      </c>
      <c r="E179" s="1234">
        <f>E130</f>
        <v>2</v>
      </c>
      <c r="F179" s="1248">
        <v>0.3</v>
      </c>
      <c r="G179" s="1248">
        <v>0.38</v>
      </c>
      <c r="H179" s="1248">
        <v>3.15</v>
      </c>
      <c r="I179" s="1248">
        <f t="shared" si="18"/>
        <v>0.72</v>
      </c>
      <c r="J179" s="1236"/>
    </row>
    <row r="180" spans="1:10" ht="24.95" customHeight="1">
      <c r="A180" s="1237"/>
      <c r="B180" s="1247" t="s">
        <v>5436</v>
      </c>
      <c r="C180" s="1234">
        <v>1</v>
      </c>
      <c r="D180" s="1234" t="s">
        <v>5404</v>
      </c>
      <c r="E180" s="1234">
        <v>4</v>
      </c>
      <c r="F180" s="1248">
        <v>0.3</v>
      </c>
      <c r="G180" s="1248">
        <v>0.6</v>
      </c>
      <c r="H180" s="1248">
        <v>3.15</v>
      </c>
      <c r="I180" s="1248">
        <f t="shared" si="18"/>
        <v>2.27</v>
      </c>
      <c r="J180" s="1236"/>
    </row>
    <row r="181" spans="1:10" ht="24.95" customHeight="1">
      <c r="A181" s="1237"/>
      <c r="B181" s="1247" t="s">
        <v>5437</v>
      </c>
      <c r="C181" s="1234">
        <v>1</v>
      </c>
      <c r="D181" s="1234" t="s">
        <v>5404</v>
      </c>
      <c r="E181" s="1234">
        <v>9</v>
      </c>
      <c r="F181" s="1248">
        <v>0.38</v>
      </c>
      <c r="G181" s="1248">
        <v>0.38</v>
      </c>
      <c r="H181" s="1248">
        <v>3.15</v>
      </c>
      <c r="I181" s="1248">
        <f t="shared" si="18"/>
        <v>4.09</v>
      </c>
      <c r="J181" s="1236"/>
    </row>
    <row r="182" spans="1:10" ht="24.95" customHeight="1">
      <c r="A182" s="1237"/>
      <c r="B182" s="1233" t="s">
        <v>5451</v>
      </c>
      <c r="C182" s="1234"/>
      <c r="D182" s="1234"/>
      <c r="E182" s="1234"/>
      <c r="F182" s="1248"/>
      <c r="G182" s="1248"/>
      <c r="H182" s="1248"/>
      <c r="I182" s="1248"/>
      <c r="J182" s="1236"/>
    </row>
    <row r="183" spans="1:10" ht="24.95" customHeight="1">
      <c r="A183" s="1237"/>
      <c r="B183" s="1238" t="s">
        <v>5877</v>
      </c>
      <c r="C183" s="1239">
        <v>1</v>
      </c>
      <c r="D183" s="1239" t="s">
        <v>5404</v>
      </c>
      <c r="E183" s="1239">
        <v>1</v>
      </c>
      <c r="F183" s="1240">
        <v>64.88</v>
      </c>
      <c r="G183" s="1248">
        <v>0.23</v>
      </c>
      <c r="H183" s="1248">
        <v>0.15</v>
      </c>
      <c r="I183" s="1248">
        <f t="shared" ref="I183:I191" si="19">PRODUCT(C183:H183)</f>
        <v>2.2400000000000002</v>
      </c>
      <c r="J183" s="1236"/>
    </row>
    <row r="184" spans="1:10" ht="33.75" customHeight="1">
      <c r="A184" s="1237"/>
      <c r="B184" s="1238" t="s">
        <v>5878</v>
      </c>
      <c r="C184" s="1239">
        <v>1</v>
      </c>
      <c r="D184" s="1239" t="s">
        <v>5404</v>
      </c>
      <c r="E184" s="1239">
        <v>1</v>
      </c>
      <c r="F184" s="1240">
        <v>20.12</v>
      </c>
      <c r="G184" s="1248">
        <v>0.23</v>
      </c>
      <c r="H184" s="1248">
        <v>0.15</v>
      </c>
      <c r="I184" s="1248">
        <f t="shared" si="19"/>
        <v>0.69</v>
      </c>
      <c r="J184" s="1236"/>
    </row>
    <row r="185" spans="1:10" ht="34.5" customHeight="1">
      <c r="A185" s="1237"/>
      <c r="B185" s="1238"/>
      <c r="C185" s="1239">
        <v>1</v>
      </c>
      <c r="D185" s="1239" t="s">
        <v>5404</v>
      </c>
      <c r="E185" s="1239">
        <v>1</v>
      </c>
      <c r="F185" s="1240">
        <v>16.59</v>
      </c>
      <c r="G185" s="1248">
        <v>0.23</v>
      </c>
      <c r="H185" s="1248">
        <v>0.15</v>
      </c>
      <c r="I185" s="1248">
        <f t="shared" si="19"/>
        <v>0.56999999999999995</v>
      </c>
      <c r="J185" s="1236"/>
    </row>
    <row r="186" spans="1:10" ht="24.95" customHeight="1">
      <c r="A186" s="1237"/>
      <c r="B186" s="1238" t="s">
        <v>5879</v>
      </c>
      <c r="C186" s="1239">
        <v>1</v>
      </c>
      <c r="D186" s="1239" t="s">
        <v>5404</v>
      </c>
      <c r="E186" s="1239">
        <v>1</v>
      </c>
      <c r="F186" s="1240">
        <v>3.3</v>
      </c>
      <c r="G186" s="1248">
        <v>0.23</v>
      </c>
      <c r="H186" s="1248">
        <v>0.15</v>
      </c>
      <c r="I186" s="1248">
        <f t="shared" si="19"/>
        <v>0.11</v>
      </c>
      <c r="J186" s="1236"/>
    </row>
    <row r="187" spans="1:10" ht="24.95" customHeight="1">
      <c r="A187" s="1237"/>
      <c r="B187" s="1238" t="s">
        <v>5880</v>
      </c>
      <c r="C187" s="1239">
        <v>1</v>
      </c>
      <c r="D187" s="1239" t="s">
        <v>5404</v>
      </c>
      <c r="E187" s="1239">
        <v>3</v>
      </c>
      <c r="F187" s="1240">
        <v>3.6</v>
      </c>
      <c r="G187" s="1248">
        <v>0.23</v>
      </c>
      <c r="H187" s="1248">
        <v>0.15</v>
      </c>
      <c r="I187" s="1248">
        <f t="shared" si="19"/>
        <v>0.37</v>
      </c>
      <c r="J187" s="1236"/>
    </row>
    <row r="188" spans="1:10" ht="24.95" customHeight="1">
      <c r="A188" s="1237"/>
      <c r="B188" s="1238" t="s">
        <v>5881</v>
      </c>
      <c r="C188" s="1239">
        <v>1</v>
      </c>
      <c r="D188" s="1239" t="s">
        <v>5404</v>
      </c>
      <c r="E188" s="1239">
        <v>2</v>
      </c>
      <c r="F188" s="1240">
        <v>6</v>
      </c>
      <c r="G188" s="1248">
        <v>0.23</v>
      </c>
      <c r="H188" s="1248">
        <v>0.15</v>
      </c>
      <c r="I188" s="1248">
        <f t="shared" si="19"/>
        <v>0.41</v>
      </c>
      <c r="J188" s="1236"/>
    </row>
    <row r="189" spans="1:10" ht="24.95" customHeight="1">
      <c r="A189" s="1237"/>
      <c r="B189" s="1238" t="s">
        <v>5882</v>
      </c>
      <c r="C189" s="1239">
        <v>1</v>
      </c>
      <c r="D189" s="1239" t="s">
        <v>5404</v>
      </c>
      <c r="E189" s="1239">
        <v>1</v>
      </c>
      <c r="F189" s="1240">
        <v>8.0299999999999994</v>
      </c>
      <c r="G189" s="1248">
        <v>0.23</v>
      </c>
      <c r="H189" s="1248">
        <v>0.15</v>
      </c>
      <c r="I189" s="1248">
        <f t="shared" si="19"/>
        <v>0.28000000000000003</v>
      </c>
      <c r="J189" s="1236"/>
    </row>
    <row r="190" spans="1:10" ht="24.95" customHeight="1">
      <c r="A190" s="1237"/>
      <c r="B190" s="1238" t="s">
        <v>5889</v>
      </c>
      <c r="C190" s="1244">
        <v>1</v>
      </c>
      <c r="D190" s="1244" t="s">
        <v>5404</v>
      </c>
      <c r="E190" s="1244">
        <v>1</v>
      </c>
      <c r="F190" s="1242">
        <v>2</v>
      </c>
      <c r="G190" s="1248">
        <v>0.23</v>
      </c>
      <c r="H190" s="1248">
        <v>0.15</v>
      </c>
      <c r="I190" s="1248">
        <f t="shared" si="19"/>
        <v>7.0000000000000007E-2</v>
      </c>
      <c r="J190" s="1236"/>
    </row>
    <row r="191" spans="1:10" ht="24.95" customHeight="1">
      <c r="A191" s="1237"/>
      <c r="B191" s="1238" t="s">
        <v>5890</v>
      </c>
      <c r="C191" s="1244">
        <v>1</v>
      </c>
      <c r="D191" s="1244" t="s">
        <v>5404</v>
      </c>
      <c r="E191" s="1244">
        <v>1</v>
      </c>
      <c r="F191" s="1242">
        <v>21.32</v>
      </c>
      <c r="G191" s="1248">
        <v>0.12</v>
      </c>
      <c r="H191" s="1248">
        <v>0.1</v>
      </c>
      <c r="I191" s="1248">
        <f t="shared" si="19"/>
        <v>0.26</v>
      </c>
      <c r="J191" s="1236"/>
    </row>
    <row r="192" spans="1:10" ht="24.95" customHeight="1">
      <c r="A192" s="1237"/>
      <c r="B192" s="1233" t="s">
        <v>5453</v>
      </c>
      <c r="C192" s="1234"/>
      <c r="D192" s="1234"/>
      <c r="E192" s="1234"/>
      <c r="F192" s="1248"/>
      <c r="G192" s="1248"/>
      <c r="H192" s="1248"/>
      <c r="I192" s="1248"/>
      <c r="J192" s="1236"/>
    </row>
    <row r="193" spans="1:10" ht="24.95" customHeight="1">
      <c r="A193" s="1237"/>
      <c r="B193" s="1247" t="s">
        <v>5454</v>
      </c>
      <c r="C193" s="1234">
        <v>1</v>
      </c>
      <c r="D193" s="1234" t="s">
        <v>5404</v>
      </c>
      <c r="E193" s="1234">
        <v>1</v>
      </c>
      <c r="F193" s="1248">
        <v>12.32</v>
      </c>
      <c r="G193" s="1248">
        <v>20.58</v>
      </c>
      <c r="H193" s="1248">
        <v>0.12</v>
      </c>
      <c r="I193" s="1248">
        <f t="shared" ref="I193:I194" si="20">PRODUCT(C193:H193)</f>
        <v>30.43</v>
      </c>
      <c r="J193" s="1236"/>
    </row>
    <row r="194" spans="1:10" ht="24.95" customHeight="1">
      <c r="A194" s="1237"/>
      <c r="B194" s="1247" t="s">
        <v>5455</v>
      </c>
      <c r="C194" s="1234">
        <v>1</v>
      </c>
      <c r="D194" s="1234" t="s">
        <v>5404</v>
      </c>
      <c r="E194" s="1234">
        <v>1</v>
      </c>
      <c r="F194" s="1248">
        <f>3.6+0.46</f>
        <v>4.0599999999999996</v>
      </c>
      <c r="G194" s="1248">
        <v>1.2</v>
      </c>
      <c r="H194" s="1248">
        <v>0.12</v>
      </c>
      <c r="I194" s="1248">
        <f t="shared" si="20"/>
        <v>0.57999999999999996</v>
      </c>
      <c r="J194" s="1236"/>
    </row>
    <row r="195" spans="1:10" ht="24.95" customHeight="1">
      <c r="A195" s="1237"/>
      <c r="B195" s="1233" t="s">
        <v>5456</v>
      </c>
      <c r="C195" s="1234"/>
      <c r="D195" s="1234"/>
      <c r="E195" s="1234"/>
      <c r="F195" s="1248"/>
      <c r="G195" s="1248"/>
      <c r="H195" s="1248"/>
      <c r="I195" s="1248"/>
      <c r="J195" s="1236"/>
    </row>
    <row r="196" spans="1:10" ht="24.95" customHeight="1">
      <c r="A196" s="1237"/>
      <c r="B196" s="1238" t="s">
        <v>5877</v>
      </c>
      <c r="C196" s="1239">
        <v>1</v>
      </c>
      <c r="D196" s="1239" t="s">
        <v>5404</v>
      </c>
      <c r="E196" s="1239">
        <v>1</v>
      </c>
      <c r="F196" s="1240">
        <v>64.88</v>
      </c>
      <c r="G196" s="1248">
        <f>G183</f>
        <v>0.23</v>
      </c>
      <c r="H196" s="1248">
        <v>0.45</v>
      </c>
      <c r="I196" s="1248">
        <f t="shared" ref="I196:I203" si="21">PRODUCT(C196:H196)</f>
        <v>6.72</v>
      </c>
      <c r="J196" s="1236"/>
    </row>
    <row r="197" spans="1:10" ht="24.95" customHeight="1">
      <c r="A197" s="1237"/>
      <c r="B197" s="1238" t="s">
        <v>5878</v>
      </c>
      <c r="C197" s="1239">
        <v>1</v>
      </c>
      <c r="D197" s="1239" t="s">
        <v>5404</v>
      </c>
      <c r="E197" s="1239">
        <v>1</v>
      </c>
      <c r="F197" s="1240">
        <v>20.12</v>
      </c>
      <c r="G197" s="1248">
        <v>0.23</v>
      </c>
      <c r="H197" s="1248">
        <v>0.45</v>
      </c>
      <c r="I197" s="1248">
        <f t="shared" si="21"/>
        <v>2.08</v>
      </c>
      <c r="J197" s="1236"/>
    </row>
    <row r="198" spans="1:10" ht="24.95" customHeight="1">
      <c r="A198" s="1237"/>
      <c r="B198" s="1238"/>
      <c r="C198" s="1239">
        <v>1</v>
      </c>
      <c r="D198" s="1239" t="s">
        <v>5404</v>
      </c>
      <c r="E198" s="1239">
        <v>1</v>
      </c>
      <c r="F198" s="1240">
        <v>16.59</v>
      </c>
      <c r="G198" s="1248">
        <v>0.23</v>
      </c>
      <c r="H198" s="1248">
        <v>0.45</v>
      </c>
      <c r="I198" s="1248">
        <f t="shared" si="21"/>
        <v>1.72</v>
      </c>
      <c r="J198" s="1236"/>
    </row>
    <row r="199" spans="1:10" ht="24.95" customHeight="1">
      <c r="A199" s="1237"/>
      <c r="B199" s="1238" t="s">
        <v>5879</v>
      </c>
      <c r="C199" s="1239">
        <v>1</v>
      </c>
      <c r="D199" s="1239" t="s">
        <v>5404</v>
      </c>
      <c r="E199" s="1239">
        <v>1</v>
      </c>
      <c r="F199" s="1240">
        <v>3.3</v>
      </c>
      <c r="G199" s="1248">
        <v>0.23</v>
      </c>
      <c r="H199" s="1248">
        <v>0.45</v>
      </c>
      <c r="I199" s="1248">
        <f t="shared" si="21"/>
        <v>0.34</v>
      </c>
      <c r="J199" s="1236"/>
    </row>
    <row r="200" spans="1:10" ht="24.95" customHeight="1">
      <c r="A200" s="1237"/>
      <c r="B200" s="1238" t="s">
        <v>5880</v>
      </c>
      <c r="C200" s="1239">
        <v>1</v>
      </c>
      <c r="D200" s="1239" t="s">
        <v>5404</v>
      </c>
      <c r="E200" s="1239">
        <v>3</v>
      </c>
      <c r="F200" s="1240">
        <v>3.6</v>
      </c>
      <c r="G200" s="1248">
        <v>0.23</v>
      </c>
      <c r="H200" s="1248">
        <v>0.45</v>
      </c>
      <c r="I200" s="1248">
        <f t="shared" si="21"/>
        <v>1.1200000000000001</v>
      </c>
      <c r="J200" s="1236"/>
    </row>
    <row r="201" spans="1:10" ht="24.95" customHeight="1">
      <c r="A201" s="1237"/>
      <c r="B201" s="1238" t="s">
        <v>5881</v>
      </c>
      <c r="C201" s="1239">
        <v>1</v>
      </c>
      <c r="D201" s="1239" t="s">
        <v>5404</v>
      </c>
      <c r="E201" s="1239">
        <v>2</v>
      </c>
      <c r="F201" s="1240">
        <v>6</v>
      </c>
      <c r="G201" s="1248">
        <v>0.23</v>
      </c>
      <c r="H201" s="1248">
        <v>0.45</v>
      </c>
      <c r="I201" s="1248">
        <f t="shared" si="21"/>
        <v>1.24</v>
      </c>
      <c r="J201" s="1236"/>
    </row>
    <row r="202" spans="1:10" ht="24.95" customHeight="1">
      <c r="A202" s="1237"/>
      <c r="B202" s="1238" t="s">
        <v>5889</v>
      </c>
      <c r="C202" s="1244">
        <v>1</v>
      </c>
      <c r="D202" s="1244" t="s">
        <v>5404</v>
      </c>
      <c r="E202" s="1244">
        <v>1</v>
      </c>
      <c r="F202" s="1242">
        <v>2</v>
      </c>
      <c r="G202" s="1248">
        <v>0.23</v>
      </c>
      <c r="H202" s="1248">
        <v>0.45</v>
      </c>
      <c r="I202" s="1248">
        <f t="shared" si="21"/>
        <v>0.21</v>
      </c>
      <c r="J202" s="1236"/>
    </row>
    <row r="203" spans="1:10" ht="24.95" customHeight="1">
      <c r="A203" s="1237"/>
      <c r="B203" s="1247" t="s">
        <v>5891</v>
      </c>
      <c r="C203" s="1234">
        <v>1</v>
      </c>
      <c r="D203" s="1234" t="s">
        <v>5404</v>
      </c>
      <c r="E203" s="1234">
        <v>1</v>
      </c>
      <c r="F203" s="1248">
        <v>3.6</v>
      </c>
      <c r="G203" s="1248">
        <v>0.23</v>
      </c>
      <c r="H203" s="1248">
        <v>0.45</v>
      </c>
      <c r="I203" s="1248">
        <f t="shared" si="21"/>
        <v>0.37</v>
      </c>
      <c r="J203" s="1236"/>
    </row>
    <row r="204" spans="1:10" ht="24.95" customHeight="1">
      <c r="A204" s="1237"/>
      <c r="B204" s="1233" t="s">
        <v>5457</v>
      </c>
      <c r="C204" s="1234"/>
      <c r="D204" s="1234"/>
      <c r="E204" s="1234"/>
      <c r="F204" s="1248"/>
      <c r="G204" s="1248"/>
      <c r="H204" s="1248"/>
      <c r="I204" s="1248"/>
      <c r="J204" s="1236"/>
    </row>
    <row r="205" spans="1:10" ht="24.95" customHeight="1">
      <c r="A205" s="1237"/>
      <c r="B205" s="1247" t="s">
        <v>5458</v>
      </c>
      <c r="C205" s="1234">
        <v>1</v>
      </c>
      <c r="D205" s="1234" t="s">
        <v>5404</v>
      </c>
      <c r="E205" s="1234">
        <v>1</v>
      </c>
      <c r="F205" s="1248">
        <v>4.5</v>
      </c>
      <c r="G205" s="1248">
        <v>0.45</v>
      </c>
      <c r="H205" s="1248">
        <v>0.05</v>
      </c>
      <c r="I205" s="1248">
        <f t="shared" ref="I205:I216" si="22">PRODUCT(C205:H205)</f>
        <v>0.1</v>
      </c>
      <c r="J205" s="1236"/>
    </row>
    <row r="206" spans="1:10" ht="24.95" customHeight="1">
      <c r="A206" s="1237"/>
      <c r="B206" s="1247" t="s">
        <v>5419</v>
      </c>
      <c r="C206" s="1234">
        <v>1</v>
      </c>
      <c r="D206" s="1234" t="s">
        <v>5404</v>
      </c>
      <c r="E206" s="1234">
        <v>1</v>
      </c>
      <c r="F206" s="1248">
        <v>6.46</v>
      </c>
      <c r="G206" s="1248">
        <v>0.6</v>
      </c>
      <c r="H206" s="1248">
        <v>0.05</v>
      </c>
      <c r="I206" s="1248">
        <f t="shared" si="22"/>
        <v>0.19</v>
      </c>
      <c r="J206" s="1236"/>
    </row>
    <row r="207" spans="1:10" ht="24.95" customHeight="1">
      <c r="A207" s="1237"/>
      <c r="B207" s="1247" t="s">
        <v>5892</v>
      </c>
      <c r="C207" s="1234">
        <v>1</v>
      </c>
      <c r="D207" s="1234" t="s">
        <v>5404</v>
      </c>
      <c r="E207" s="1234">
        <v>2</v>
      </c>
      <c r="F207" s="1248">
        <v>6</v>
      </c>
      <c r="G207" s="1248">
        <v>0.6</v>
      </c>
      <c r="H207" s="1248">
        <v>0.05</v>
      </c>
      <c r="I207" s="1248">
        <f t="shared" si="22"/>
        <v>0.36</v>
      </c>
      <c r="J207" s="1236"/>
    </row>
    <row r="208" spans="1:10" ht="24.95" customHeight="1">
      <c r="A208" s="1237"/>
      <c r="B208" s="1247" t="s">
        <v>5460</v>
      </c>
      <c r="C208" s="1234">
        <v>1</v>
      </c>
      <c r="D208" s="1234" t="s">
        <v>5404</v>
      </c>
      <c r="E208" s="1234">
        <v>7</v>
      </c>
      <c r="F208" s="1248">
        <v>1.96</v>
      </c>
      <c r="G208" s="1248">
        <v>0.23</v>
      </c>
      <c r="H208" s="1248">
        <v>0.05</v>
      </c>
      <c r="I208" s="1248">
        <f t="shared" si="22"/>
        <v>0.16</v>
      </c>
      <c r="J208" s="1236"/>
    </row>
    <row r="209" spans="1:10" ht="24.95" customHeight="1">
      <c r="A209" s="1237"/>
      <c r="B209" s="1247" t="s">
        <v>5461</v>
      </c>
      <c r="C209" s="1234">
        <v>1</v>
      </c>
      <c r="D209" s="1234" t="s">
        <v>5404</v>
      </c>
      <c r="E209" s="1234">
        <v>1</v>
      </c>
      <c r="F209" s="1248">
        <v>1.81</v>
      </c>
      <c r="G209" s="1248">
        <v>0.23</v>
      </c>
      <c r="H209" s="1248">
        <v>0.05</v>
      </c>
      <c r="I209" s="1248">
        <f t="shared" si="22"/>
        <v>0.02</v>
      </c>
      <c r="J209" s="1236"/>
    </row>
    <row r="210" spans="1:10" ht="24.95" customHeight="1">
      <c r="A210" s="1237"/>
      <c r="B210" s="1247" t="s">
        <v>5462</v>
      </c>
      <c r="C210" s="1234">
        <v>1</v>
      </c>
      <c r="D210" s="1234" t="s">
        <v>5404</v>
      </c>
      <c r="E210" s="1234">
        <v>3</v>
      </c>
      <c r="F210" s="1248">
        <v>1.36</v>
      </c>
      <c r="G210" s="1248">
        <v>0.23</v>
      </c>
      <c r="H210" s="1248">
        <v>0.05</v>
      </c>
      <c r="I210" s="1248">
        <f t="shared" si="22"/>
        <v>0.05</v>
      </c>
      <c r="J210" s="1236"/>
    </row>
    <row r="211" spans="1:10" ht="24.95" customHeight="1">
      <c r="A211" s="1237"/>
      <c r="B211" s="1247" t="s">
        <v>5463</v>
      </c>
      <c r="C211" s="1234">
        <v>1</v>
      </c>
      <c r="D211" s="1234" t="s">
        <v>5404</v>
      </c>
      <c r="E211" s="1234">
        <v>1</v>
      </c>
      <c r="F211" s="1248">
        <v>1.21</v>
      </c>
      <c r="G211" s="1248">
        <v>0.23</v>
      </c>
      <c r="H211" s="1248">
        <v>0.05</v>
      </c>
      <c r="I211" s="1248">
        <f t="shared" si="22"/>
        <v>0.01</v>
      </c>
      <c r="J211" s="1236"/>
    </row>
    <row r="212" spans="1:10" ht="24.95" customHeight="1">
      <c r="A212" s="1237"/>
      <c r="B212" s="1247" t="s">
        <v>5464</v>
      </c>
      <c r="C212" s="1234">
        <v>1</v>
      </c>
      <c r="D212" s="1234" t="s">
        <v>5404</v>
      </c>
      <c r="E212" s="1234">
        <v>1</v>
      </c>
      <c r="F212" s="1248">
        <v>1.66</v>
      </c>
      <c r="G212" s="1248">
        <v>0.23</v>
      </c>
      <c r="H212" s="1248">
        <v>0.05</v>
      </c>
      <c r="I212" s="1248">
        <f t="shared" si="22"/>
        <v>0.02</v>
      </c>
      <c r="J212" s="1236"/>
    </row>
    <row r="213" spans="1:10" ht="24.95" customHeight="1">
      <c r="A213" s="1237"/>
      <c r="B213" s="1247" t="s">
        <v>5465</v>
      </c>
      <c r="C213" s="1234">
        <v>1</v>
      </c>
      <c r="D213" s="1234" t="s">
        <v>5404</v>
      </c>
      <c r="E213" s="1234">
        <v>1</v>
      </c>
      <c r="F213" s="1248">
        <v>1.96</v>
      </c>
      <c r="G213" s="1248">
        <v>0.23</v>
      </c>
      <c r="H213" s="1248">
        <v>0.05</v>
      </c>
      <c r="I213" s="1248">
        <f t="shared" si="22"/>
        <v>0.02</v>
      </c>
      <c r="J213" s="1236"/>
    </row>
    <row r="214" spans="1:10" ht="24.95" customHeight="1">
      <c r="A214" s="1237"/>
      <c r="B214" s="1247" t="s">
        <v>5466</v>
      </c>
      <c r="C214" s="1234">
        <v>1</v>
      </c>
      <c r="D214" s="1234" t="s">
        <v>5404</v>
      </c>
      <c r="E214" s="1234">
        <v>2</v>
      </c>
      <c r="F214" s="1248">
        <v>1.51</v>
      </c>
      <c r="G214" s="1248">
        <v>0.23</v>
      </c>
      <c r="H214" s="1248">
        <v>0.05</v>
      </c>
      <c r="I214" s="1248">
        <f t="shared" si="22"/>
        <v>0.03</v>
      </c>
      <c r="J214" s="1236"/>
    </row>
    <row r="215" spans="1:10" ht="24.95" customHeight="1">
      <c r="A215" s="1237"/>
      <c r="B215" s="1247" t="s">
        <v>5467</v>
      </c>
      <c r="C215" s="1234">
        <v>1</v>
      </c>
      <c r="D215" s="1234" t="s">
        <v>5404</v>
      </c>
      <c r="E215" s="1234">
        <v>1</v>
      </c>
      <c r="F215" s="1248">
        <v>2.11</v>
      </c>
      <c r="G215" s="1248">
        <v>0.23</v>
      </c>
      <c r="H215" s="1248">
        <v>0.05</v>
      </c>
      <c r="I215" s="1248">
        <f t="shared" si="22"/>
        <v>0.02</v>
      </c>
      <c r="J215" s="1236"/>
    </row>
    <row r="216" spans="1:10" ht="24.95" customHeight="1">
      <c r="A216" s="1237"/>
      <c r="B216" s="1247" t="s">
        <v>5893</v>
      </c>
      <c r="C216" s="1234">
        <v>1</v>
      </c>
      <c r="D216" s="1234" t="s">
        <v>5404</v>
      </c>
      <c r="E216" s="1234">
        <v>2</v>
      </c>
      <c r="F216" s="1248">
        <v>16.2</v>
      </c>
      <c r="G216" s="1248">
        <v>0.6</v>
      </c>
      <c r="H216" s="1248">
        <v>0.05</v>
      </c>
      <c r="I216" s="1248">
        <f t="shared" si="22"/>
        <v>0.97</v>
      </c>
      <c r="J216" s="1236"/>
    </row>
    <row r="217" spans="1:10" ht="24.95" customHeight="1">
      <c r="A217" s="1237"/>
      <c r="B217" s="1233" t="s">
        <v>5468</v>
      </c>
      <c r="C217" s="1234"/>
      <c r="D217" s="1234"/>
      <c r="E217" s="1234"/>
      <c r="F217" s="1248"/>
      <c r="G217" s="1248"/>
      <c r="H217" s="1248"/>
      <c r="I217" s="1248"/>
      <c r="J217" s="1236"/>
    </row>
    <row r="218" spans="1:10" ht="24.95" customHeight="1">
      <c r="A218" s="1237"/>
      <c r="B218" s="1233" t="s">
        <v>5469</v>
      </c>
      <c r="C218" s="1234">
        <v>1</v>
      </c>
      <c r="D218" s="1234" t="s">
        <v>5404</v>
      </c>
      <c r="E218" s="1234">
        <v>7</v>
      </c>
      <c r="F218" s="1248">
        <v>1.96</v>
      </c>
      <c r="G218" s="1248">
        <v>0.6</v>
      </c>
      <c r="H218" s="1251">
        <v>6.3E-2</v>
      </c>
      <c r="I218" s="1248">
        <f t="shared" ref="I218:I227" si="23">PRODUCT(C218:H218)</f>
        <v>0.52</v>
      </c>
      <c r="J218" s="1236"/>
    </row>
    <row r="219" spans="1:10" ht="24.95" customHeight="1">
      <c r="A219" s="1237"/>
      <c r="B219" s="1247" t="s">
        <v>5470</v>
      </c>
      <c r="C219" s="1234">
        <v>1</v>
      </c>
      <c r="D219" s="1234" t="s">
        <v>5404</v>
      </c>
      <c r="E219" s="1234">
        <v>1</v>
      </c>
      <c r="F219" s="1248">
        <v>1.81</v>
      </c>
      <c r="G219" s="1248">
        <v>0.6</v>
      </c>
      <c r="H219" s="1251">
        <v>6.3E-2</v>
      </c>
      <c r="I219" s="1248">
        <f t="shared" si="23"/>
        <v>7.0000000000000007E-2</v>
      </c>
      <c r="J219" s="1236"/>
    </row>
    <row r="220" spans="1:10" ht="24.95" customHeight="1">
      <c r="A220" s="1237"/>
      <c r="B220" s="1247" t="s">
        <v>5462</v>
      </c>
      <c r="C220" s="1234">
        <v>1</v>
      </c>
      <c r="D220" s="1234" t="s">
        <v>5404</v>
      </c>
      <c r="E220" s="1234">
        <v>3</v>
      </c>
      <c r="F220" s="1248">
        <v>1.36</v>
      </c>
      <c r="G220" s="1248">
        <v>0.6</v>
      </c>
      <c r="H220" s="1251">
        <v>6.3E-2</v>
      </c>
      <c r="I220" s="1248">
        <f t="shared" si="23"/>
        <v>0.15</v>
      </c>
      <c r="J220" s="1236"/>
    </row>
    <row r="221" spans="1:10" ht="24.95" customHeight="1">
      <c r="A221" s="1237"/>
      <c r="B221" s="1247" t="s">
        <v>5464</v>
      </c>
      <c r="C221" s="1234">
        <v>1</v>
      </c>
      <c r="D221" s="1234" t="s">
        <v>5404</v>
      </c>
      <c r="E221" s="1234">
        <v>1</v>
      </c>
      <c r="F221" s="1248">
        <v>1.66</v>
      </c>
      <c r="G221" s="1248">
        <v>0.6</v>
      </c>
      <c r="H221" s="1251">
        <v>6.3E-2</v>
      </c>
      <c r="I221" s="1248">
        <f t="shared" si="23"/>
        <v>0.06</v>
      </c>
      <c r="J221" s="1236"/>
    </row>
    <row r="222" spans="1:10" ht="24.95" customHeight="1">
      <c r="A222" s="1237"/>
      <c r="B222" s="1247" t="s">
        <v>5467</v>
      </c>
      <c r="C222" s="1234">
        <v>1</v>
      </c>
      <c r="D222" s="1234" t="s">
        <v>5404</v>
      </c>
      <c r="E222" s="1234">
        <v>1</v>
      </c>
      <c r="F222" s="1248">
        <v>2.11</v>
      </c>
      <c r="G222" s="1248">
        <v>0.23</v>
      </c>
      <c r="H222" s="1248">
        <v>0.05</v>
      </c>
      <c r="I222" s="1248">
        <f t="shared" si="23"/>
        <v>0.02</v>
      </c>
      <c r="J222" s="1236"/>
    </row>
    <row r="223" spans="1:10" ht="24.95" customHeight="1">
      <c r="A223" s="1237"/>
      <c r="B223" s="1247" t="s">
        <v>5471</v>
      </c>
      <c r="C223" s="1234">
        <v>1</v>
      </c>
      <c r="D223" s="1234" t="s">
        <v>5404</v>
      </c>
      <c r="E223" s="1234">
        <v>1</v>
      </c>
      <c r="F223" s="1248">
        <v>3.75</v>
      </c>
      <c r="G223" s="1248">
        <v>1.5</v>
      </c>
      <c r="H223" s="1248">
        <v>0.13</v>
      </c>
      <c r="I223" s="1248">
        <f t="shared" si="23"/>
        <v>0.73</v>
      </c>
      <c r="J223" s="1236"/>
    </row>
    <row r="224" spans="1:10" ht="24.95" customHeight="1">
      <c r="A224" s="1237"/>
      <c r="B224" s="1247" t="s">
        <v>5472</v>
      </c>
      <c r="C224" s="1234">
        <v>1</v>
      </c>
      <c r="D224" s="1234" t="s">
        <v>5404</v>
      </c>
      <c r="E224" s="1234">
        <v>1</v>
      </c>
      <c r="F224" s="1248">
        <v>4.1100000000000003</v>
      </c>
      <c r="G224" s="1248">
        <v>1.5</v>
      </c>
      <c r="H224" s="1248">
        <v>0.13</v>
      </c>
      <c r="I224" s="1248">
        <f t="shared" si="23"/>
        <v>0.8</v>
      </c>
      <c r="J224" s="1236"/>
    </row>
    <row r="225" spans="1:10" ht="24.95" customHeight="1">
      <c r="A225" s="1237"/>
      <c r="B225" s="1247" t="s">
        <v>5473</v>
      </c>
      <c r="C225" s="1234">
        <v>1</v>
      </c>
      <c r="D225" s="1234" t="s">
        <v>5404</v>
      </c>
      <c r="E225" s="1234">
        <v>1</v>
      </c>
      <c r="F225" s="1248">
        <v>3.45</v>
      </c>
      <c r="G225" s="1248">
        <v>1.5</v>
      </c>
      <c r="H225" s="1248">
        <v>0.13</v>
      </c>
      <c r="I225" s="1248">
        <f t="shared" si="23"/>
        <v>0.67</v>
      </c>
      <c r="J225" s="1236"/>
    </row>
    <row r="226" spans="1:10" ht="24.95" customHeight="1">
      <c r="A226" s="1237"/>
      <c r="B226" s="1247" t="s">
        <v>5474</v>
      </c>
      <c r="C226" s="1234">
        <v>1</v>
      </c>
      <c r="D226" s="1234">
        <v>23</v>
      </c>
      <c r="E226" s="1264">
        <v>0.5</v>
      </c>
      <c r="F226" s="1248">
        <v>0.3</v>
      </c>
      <c r="G226" s="1248">
        <v>0.15</v>
      </c>
      <c r="H226" s="1248">
        <v>1.5</v>
      </c>
      <c r="I226" s="1248">
        <f t="shared" si="23"/>
        <v>0.78</v>
      </c>
      <c r="J226" s="1236"/>
    </row>
    <row r="227" spans="1:10" ht="24.95" customHeight="1">
      <c r="A227" s="1237"/>
      <c r="B227" s="1247" t="s">
        <v>5475</v>
      </c>
      <c r="C227" s="1234">
        <v>1</v>
      </c>
      <c r="D227" s="1234" t="s">
        <v>5404</v>
      </c>
      <c r="E227" s="1234">
        <v>2</v>
      </c>
      <c r="F227" s="1248">
        <v>4.1100000000000003</v>
      </c>
      <c r="G227" s="1248">
        <v>0.23</v>
      </c>
      <c r="H227" s="1248">
        <v>0.3</v>
      </c>
      <c r="I227" s="1248">
        <f t="shared" si="23"/>
        <v>0.56999999999999995</v>
      </c>
      <c r="J227" s="1236"/>
    </row>
    <row r="228" spans="1:10" ht="24.95" customHeight="1">
      <c r="A228" s="1237"/>
      <c r="B228" s="1233"/>
      <c r="C228" s="1234"/>
      <c r="D228" s="1234"/>
      <c r="E228" s="1234"/>
      <c r="F228" s="1248"/>
      <c r="G228" s="1248"/>
      <c r="H228" s="1248"/>
      <c r="I228" s="1248">
        <f>SUM(I175:I227)</f>
        <v>67.19</v>
      </c>
      <c r="J228" s="1236"/>
    </row>
    <row r="229" spans="1:10" ht="24.95" customHeight="1">
      <c r="A229" s="1237"/>
      <c r="B229" s="1233"/>
      <c r="C229" s="1234"/>
      <c r="D229" s="1234"/>
      <c r="E229" s="1234"/>
      <c r="F229" s="1248"/>
      <c r="G229" s="1248"/>
      <c r="H229" s="1249" t="s">
        <v>4322</v>
      </c>
      <c r="I229" s="1249">
        <f>ROUNDUP(I228,1-0)</f>
        <v>67.2</v>
      </c>
      <c r="J229" s="1246" t="s">
        <v>2176</v>
      </c>
    </row>
    <row r="230" spans="1:10" ht="24.95" customHeight="1">
      <c r="A230" s="1237"/>
      <c r="B230" s="1233" t="s">
        <v>5476</v>
      </c>
      <c r="C230" s="1234"/>
      <c r="D230" s="1234"/>
      <c r="E230" s="1234"/>
      <c r="F230" s="1235"/>
      <c r="G230" s="1235"/>
      <c r="H230" s="1235"/>
      <c r="I230" s="1235"/>
      <c r="J230" s="1236"/>
    </row>
    <row r="231" spans="1:10" ht="24.95" customHeight="1">
      <c r="A231" s="1237"/>
      <c r="B231" s="1233" t="s">
        <v>5450</v>
      </c>
      <c r="C231" s="1234"/>
      <c r="D231" s="1234"/>
      <c r="E231" s="1234"/>
      <c r="F231" s="1881"/>
      <c r="G231" s="1882"/>
      <c r="H231" s="1882"/>
      <c r="I231" s="1883"/>
      <c r="J231" s="1236"/>
    </row>
    <row r="232" spans="1:10" ht="24.95" customHeight="1">
      <c r="A232" s="1237"/>
      <c r="B232" s="1247" t="s">
        <v>5447</v>
      </c>
      <c r="C232" s="1234">
        <v>1</v>
      </c>
      <c r="D232" s="1234" t="s">
        <v>5404</v>
      </c>
      <c r="E232" s="1234">
        <v>5</v>
      </c>
      <c r="F232" s="1248">
        <v>0.23</v>
      </c>
      <c r="G232" s="1248">
        <v>0.38</v>
      </c>
      <c r="H232" s="1248">
        <v>3.15</v>
      </c>
      <c r="I232" s="1248">
        <f t="shared" ref="I232:I239" si="24">PRODUCT(C232:H232)</f>
        <v>1.38</v>
      </c>
      <c r="J232" s="1236"/>
    </row>
    <row r="233" spans="1:10" ht="24.95" customHeight="1">
      <c r="A233" s="1237"/>
      <c r="B233" s="1247" t="s">
        <v>5430</v>
      </c>
      <c r="C233" s="1234">
        <v>1</v>
      </c>
      <c r="D233" s="1234" t="s">
        <v>5404</v>
      </c>
      <c r="E233" s="1234">
        <v>1</v>
      </c>
      <c r="F233" s="1248">
        <v>0.23</v>
      </c>
      <c r="G233" s="1248">
        <v>0.45</v>
      </c>
      <c r="H233" s="1248">
        <v>3</v>
      </c>
      <c r="I233" s="1248">
        <f t="shared" si="24"/>
        <v>0.31</v>
      </c>
      <c r="J233" s="1236"/>
    </row>
    <row r="234" spans="1:10" ht="24.95" customHeight="1">
      <c r="A234" s="1237"/>
      <c r="B234" s="1247" t="s">
        <v>5430</v>
      </c>
      <c r="C234" s="1234">
        <v>1</v>
      </c>
      <c r="D234" s="1234" t="s">
        <v>5404</v>
      </c>
      <c r="E234" s="1234">
        <v>3</v>
      </c>
      <c r="F234" s="1248">
        <v>0.23</v>
      </c>
      <c r="G234" s="1248">
        <v>0.45</v>
      </c>
      <c r="H234" s="1248">
        <v>3.15</v>
      </c>
      <c r="I234" s="1248">
        <f t="shared" si="24"/>
        <v>0.98</v>
      </c>
      <c r="J234" s="1236"/>
    </row>
    <row r="235" spans="1:10" ht="24.95" customHeight="1">
      <c r="A235" s="1237"/>
      <c r="B235" s="1247" t="s">
        <v>5448</v>
      </c>
      <c r="C235" s="1234">
        <v>1</v>
      </c>
      <c r="D235" s="1234" t="s">
        <v>5404</v>
      </c>
      <c r="E235" s="1234">
        <v>1</v>
      </c>
      <c r="F235" s="1248">
        <v>0.23</v>
      </c>
      <c r="G235" s="1248">
        <v>0.6</v>
      </c>
      <c r="H235" s="1248">
        <v>3</v>
      </c>
      <c r="I235" s="1248">
        <f t="shared" si="24"/>
        <v>0.41</v>
      </c>
      <c r="J235" s="1236"/>
    </row>
    <row r="236" spans="1:10" ht="24.95" customHeight="1">
      <c r="A236" s="1237"/>
      <c r="B236" s="1247" t="s">
        <v>5448</v>
      </c>
      <c r="C236" s="1234">
        <v>1</v>
      </c>
      <c r="D236" s="1234" t="s">
        <v>5404</v>
      </c>
      <c r="E236" s="1234">
        <v>2</v>
      </c>
      <c r="F236" s="1248">
        <v>0.23</v>
      </c>
      <c r="G236" s="1248">
        <v>0.6</v>
      </c>
      <c r="H236" s="1248">
        <v>3.15</v>
      </c>
      <c r="I236" s="1248">
        <f t="shared" si="24"/>
        <v>0.87</v>
      </c>
      <c r="J236" s="1236"/>
    </row>
    <row r="237" spans="1:10" ht="24.95" customHeight="1">
      <c r="A237" s="1237"/>
      <c r="B237" s="1247" t="s">
        <v>5432</v>
      </c>
      <c r="C237" s="1234">
        <v>1</v>
      </c>
      <c r="D237" s="1234" t="s">
        <v>5404</v>
      </c>
      <c r="E237" s="1234">
        <v>2</v>
      </c>
      <c r="F237" s="1248">
        <v>0.3</v>
      </c>
      <c r="G237" s="1248">
        <v>0.38</v>
      </c>
      <c r="H237" s="1248">
        <v>3.15</v>
      </c>
      <c r="I237" s="1248">
        <f t="shared" si="24"/>
        <v>0.72</v>
      </c>
      <c r="J237" s="1236"/>
    </row>
    <row r="238" spans="1:10" ht="24.95" customHeight="1">
      <c r="A238" s="1237"/>
      <c r="B238" s="1247" t="s">
        <v>5436</v>
      </c>
      <c r="C238" s="1234">
        <v>1</v>
      </c>
      <c r="D238" s="1234" t="s">
        <v>5404</v>
      </c>
      <c r="E238" s="1234">
        <v>4</v>
      </c>
      <c r="F238" s="1248">
        <v>0.3</v>
      </c>
      <c r="G238" s="1248">
        <v>0.6</v>
      </c>
      <c r="H238" s="1248">
        <v>3</v>
      </c>
      <c r="I238" s="1248">
        <f t="shared" si="24"/>
        <v>2.16</v>
      </c>
      <c r="J238" s="1236"/>
    </row>
    <row r="239" spans="1:10" ht="24.95" customHeight="1">
      <c r="A239" s="1237"/>
      <c r="B239" s="1247" t="s">
        <v>5437</v>
      </c>
      <c r="C239" s="1234">
        <v>1</v>
      </c>
      <c r="D239" s="1234" t="s">
        <v>5404</v>
      </c>
      <c r="E239" s="1234">
        <v>9</v>
      </c>
      <c r="F239" s="1248">
        <v>0.38</v>
      </c>
      <c r="G239" s="1248">
        <v>0.38</v>
      </c>
      <c r="H239" s="1248">
        <v>3.15</v>
      </c>
      <c r="I239" s="1248">
        <f t="shared" si="24"/>
        <v>4.09</v>
      </c>
      <c r="J239" s="1236"/>
    </row>
    <row r="240" spans="1:10" ht="24.95" customHeight="1">
      <c r="A240" s="1237"/>
      <c r="B240" s="1233" t="s">
        <v>5451</v>
      </c>
      <c r="C240" s="1234"/>
      <c r="D240" s="1234"/>
      <c r="E240" s="1234"/>
      <c r="F240" s="1248"/>
      <c r="G240" s="1248"/>
      <c r="H240" s="1248"/>
      <c r="I240" s="1248"/>
      <c r="J240" s="1236"/>
    </row>
    <row r="241" spans="1:10" ht="24.95" customHeight="1">
      <c r="A241" s="1237"/>
      <c r="B241" s="1238" t="s">
        <v>5877</v>
      </c>
      <c r="C241" s="1239">
        <v>1</v>
      </c>
      <c r="D241" s="1239" t="s">
        <v>5404</v>
      </c>
      <c r="E241" s="1239">
        <v>1</v>
      </c>
      <c r="F241" s="1240">
        <v>64.88</v>
      </c>
      <c r="G241" s="1248">
        <v>0.23</v>
      </c>
      <c r="H241" s="1248">
        <v>0.15</v>
      </c>
      <c r="I241" s="1248">
        <f t="shared" ref="I241:I247" si="25">PRODUCT(C241:H241)</f>
        <v>2.2400000000000002</v>
      </c>
      <c r="J241" s="1236"/>
    </row>
    <row r="242" spans="1:10" ht="24.95" customHeight="1">
      <c r="A242" s="1237"/>
      <c r="B242" s="1238" t="s">
        <v>5878</v>
      </c>
      <c r="C242" s="1239">
        <v>1</v>
      </c>
      <c r="D242" s="1239" t="s">
        <v>5404</v>
      </c>
      <c r="E242" s="1239">
        <v>1</v>
      </c>
      <c r="F242" s="1240">
        <v>20.12</v>
      </c>
      <c r="G242" s="1248">
        <v>0.23</v>
      </c>
      <c r="H242" s="1248">
        <v>0.15</v>
      </c>
      <c r="I242" s="1248">
        <f t="shared" si="25"/>
        <v>0.69</v>
      </c>
      <c r="J242" s="1236"/>
    </row>
    <row r="243" spans="1:10" ht="24.95" customHeight="1">
      <c r="A243" s="1237"/>
      <c r="B243" s="1238"/>
      <c r="C243" s="1239">
        <v>1</v>
      </c>
      <c r="D243" s="1239" t="s">
        <v>5404</v>
      </c>
      <c r="E243" s="1239">
        <v>1</v>
      </c>
      <c r="F243" s="1240">
        <v>16.59</v>
      </c>
      <c r="G243" s="1248">
        <v>0.23</v>
      </c>
      <c r="H243" s="1248">
        <v>0.15</v>
      </c>
      <c r="I243" s="1248">
        <f t="shared" si="25"/>
        <v>0.56999999999999995</v>
      </c>
      <c r="J243" s="1236"/>
    </row>
    <row r="244" spans="1:10" ht="24.95" customHeight="1">
      <c r="A244" s="1237"/>
      <c r="B244" s="1238" t="s">
        <v>5880</v>
      </c>
      <c r="C244" s="1239">
        <v>1</v>
      </c>
      <c r="D244" s="1239" t="s">
        <v>5404</v>
      </c>
      <c r="E244" s="1239">
        <v>3</v>
      </c>
      <c r="F244" s="1240">
        <v>3.6</v>
      </c>
      <c r="G244" s="1248">
        <v>0.23</v>
      </c>
      <c r="H244" s="1248">
        <v>0.15</v>
      </c>
      <c r="I244" s="1248">
        <f t="shared" si="25"/>
        <v>0.37</v>
      </c>
      <c r="J244" s="1236"/>
    </row>
    <row r="245" spans="1:10" ht="24.95" customHeight="1">
      <c r="A245" s="1237"/>
      <c r="B245" s="1238" t="s">
        <v>5894</v>
      </c>
      <c r="C245" s="1239">
        <v>1</v>
      </c>
      <c r="D245" s="1239" t="s">
        <v>5404</v>
      </c>
      <c r="E245" s="1239">
        <v>2</v>
      </c>
      <c r="F245" s="1240">
        <v>6</v>
      </c>
      <c r="G245" s="1248">
        <v>0.23</v>
      </c>
      <c r="H245" s="1248">
        <v>0.15</v>
      </c>
      <c r="I245" s="1248">
        <f t="shared" si="25"/>
        <v>0.41</v>
      </c>
      <c r="J245" s="1236"/>
    </row>
    <row r="246" spans="1:10" ht="24.95" customHeight="1">
      <c r="A246" s="1237"/>
      <c r="B246" s="1238" t="s">
        <v>5895</v>
      </c>
      <c r="C246" s="1239">
        <v>1</v>
      </c>
      <c r="D246" s="1239" t="s">
        <v>5404</v>
      </c>
      <c r="E246" s="1239">
        <v>1</v>
      </c>
      <c r="F246" s="1240">
        <v>8.0299999999999994</v>
      </c>
      <c r="G246" s="1248">
        <v>0.23</v>
      </c>
      <c r="H246" s="1248">
        <v>0.15</v>
      </c>
      <c r="I246" s="1248">
        <f t="shared" si="25"/>
        <v>0.28000000000000003</v>
      </c>
      <c r="J246" s="1236"/>
    </row>
    <row r="247" spans="1:10" ht="24.95" customHeight="1">
      <c r="A247" s="1237"/>
      <c r="B247" s="1238" t="s">
        <v>5890</v>
      </c>
      <c r="C247" s="1244">
        <v>1</v>
      </c>
      <c r="D247" s="1244" t="s">
        <v>5404</v>
      </c>
      <c r="E247" s="1244">
        <v>1</v>
      </c>
      <c r="F247" s="1242">
        <v>21.32</v>
      </c>
      <c r="G247" s="1248">
        <v>0.12</v>
      </c>
      <c r="H247" s="1248">
        <v>0.15</v>
      </c>
      <c r="I247" s="1248">
        <f t="shared" si="25"/>
        <v>0.38</v>
      </c>
      <c r="J247" s="1236"/>
    </row>
    <row r="248" spans="1:10" ht="24.95" customHeight="1">
      <c r="A248" s="1237"/>
      <c r="B248" s="1233" t="s">
        <v>5453</v>
      </c>
      <c r="C248" s="1234"/>
      <c r="D248" s="1234"/>
      <c r="E248" s="1234"/>
      <c r="F248" s="1248"/>
      <c r="G248" s="1248"/>
      <c r="H248" s="1248"/>
      <c r="I248" s="1248"/>
      <c r="J248" s="1236"/>
    </row>
    <row r="249" spans="1:10" ht="24.95" customHeight="1">
      <c r="A249" s="1237"/>
      <c r="B249" s="1247" t="s">
        <v>5454</v>
      </c>
      <c r="C249" s="1234">
        <v>1</v>
      </c>
      <c r="D249" s="1234" t="s">
        <v>5404</v>
      </c>
      <c r="E249" s="1234">
        <v>1</v>
      </c>
      <c r="F249" s="1248">
        <v>12.32</v>
      </c>
      <c r="G249" s="1248">
        <v>20.58</v>
      </c>
      <c r="H249" s="1248">
        <v>0.12</v>
      </c>
      <c r="I249" s="1248">
        <f t="shared" ref="I249:I294" si="26">PRODUCT(C249:H249)</f>
        <v>30.43</v>
      </c>
      <c r="J249" s="1236"/>
    </row>
    <row r="250" spans="1:10" ht="24.95" customHeight="1">
      <c r="A250" s="1237"/>
      <c r="B250" s="1247" t="s">
        <v>5455</v>
      </c>
      <c r="C250" s="1234">
        <v>1</v>
      </c>
      <c r="D250" s="1234" t="s">
        <v>5404</v>
      </c>
      <c r="E250" s="1234">
        <v>1</v>
      </c>
      <c r="F250" s="1248">
        <f>3.6+0.46</f>
        <v>4.0599999999999996</v>
      </c>
      <c r="G250" s="1248">
        <v>1.2</v>
      </c>
      <c r="H250" s="1248">
        <v>0.12</v>
      </c>
      <c r="I250" s="1248">
        <f t="shared" si="26"/>
        <v>0.57999999999999996</v>
      </c>
      <c r="J250" s="1236"/>
    </row>
    <row r="251" spans="1:10" ht="24.95" customHeight="1">
      <c r="A251" s="1237"/>
      <c r="B251" s="1247" t="s">
        <v>5477</v>
      </c>
      <c r="C251" s="1234">
        <v>1</v>
      </c>
      <c r="D251" s="1234" t="s">
        <v>5404</v>
      </c>
      <c r="E251" s="1234">
        <v>1</v>
      </c>
      <c r="F251" s="1248">
        <v>11.2</v>
      </c>
      <c r="G251" s="1248">
        <v>17</v>
      </c>
      <c r="H251" s="1248">
        <v>0.15</v>
      </c>
      <c r="I251" s="1248">
        <f t="shared" si="26"/>
        <v>28.56</v>
      </c>
      <c r="J251" s="1236"/>
    </row>
    <row r="252" spans="1:10" ht="24.95" customHeight="1">
      <c r="A252" s="1237"/>
      <c r="B252" s="1247"/>
      <c r="C252" s="1234">
        <v>2</v>
      </c>
      <c r="D252" s="1234" t="s">
        <v>5404</v>
      </c>
      <c r="E252" s="1234">
        <v>1</v>
      </c>
      <c r="F252" s="1248">
        <v>11.2</v>
      </c>
      <c r="G252" s="1248">
        <v>1.2</v>
      </c>
      <c r="H252" s="1248">
        <v>0.15</v>
      </c>
      <c r="I252" s="1248">
        <f t="shared" si="26"/>
        <v>4.03</v>
      </c>
      <c r="J252" s="1236"/>
    </row>
    <row r="253" spans="1:10" ht="24.95" customHeight="1">
      <c r="A253" s="1237"/>
      <c r="B253" s="1233" t="s">
        <v>5896</v>
      </c>
      <c r="C253" s="1234"/>
      <c r="D253" s="1234"/>
      <c r="E253" s="1234"/>
      <c r="F253" s="1248"/>
      <c r="G253" s="1248"/>
      <c r="H253" s="1248"/>
      <c r="I253" s="1248"/>
      <c r="J253" s="1236"/>
    </row>
    <row r="254" spans="1:10" ht="24.95" customHeight="1">
      <c r="A254" s="1237"/>
      <c r="B254" s="1238" t="s">
        <v>5877</v>
      </c>
      <c r="C254" s="1239">
        <v>1</v>
      </c>
      <c r="D254" s="1239" t="s">
        <v>5404</v>
      </c>
      <c r="E254" s="1239">
        <v>1</v>
      </c>
      <c r="F254" s="1240">
        <v>64.88</v>
      </c>
      <c r="G254" s="1248">
        <f>G241</f>
        <v>0.23</v>
      </c>
      <c r="H254" s="1248">
        <v>0.45</v>
      </c>
      <c r="I254" s="1248">
        <f t="shared" si="26"/>
        <v>6.72</v>
      </c>
      <c r="J254" s="1236"/>
    </row>
    <row r="255" spans="1:10" ht="24.95" customHeight="1">
      <c r="A255" s="1237"/>
      <c r="B255" s="1238" t="s">
        <v>5898</v>
      </c>
      <c r="C255" s="1239">
        <v>-1</v>
      </c>
      <c r="D255" s="1239" t="s">
        <v>5404</v>
      </c>
      <c r="E255" s="1239">
        <v>1</v>
      </c>
      <c r="F255" s="1240">
        <v>17</v>
      </c>
      <c r="G255" s="1248">
        <v>0.23</v>
      </c>
      <c r="H255" s="1248">
        <v>0.45</v>
      </c>
      <c r="I255" s="1248">
        <f t="shared" si="26"/>
        <v>-1.76</v>
      </c>
      <c r="J255" s="1236"/>
    </row>
    <row r="256" spans="1:10" ht="24.95" customHeight="1">
      <c r="A256" s="1237"/>
      <c r="B256" s="1238" t="s">
        <v>5878</v>
      </c>
      <c r="C256" s="1239">
        <v>1</v>
      </c>
      <c r="D256" s="1239" t="s">
        <v>5404</v>
      </c>
      <c r="E256" s="1239">
        <v>1</v>
      </c>
      <c r="F256" s="1240">
        <v>20.12</v>
      </c>
      <c r="G256" s="1248">
        <v>0.23</v>
      </c>
      <c r="H256" s="1248">
        <v>0.45</v>
      </c>
      <c r="I256" s="1248">
        <f t="shared" si="26"/>
        <v>2.08</v>
      </c>
      <c r="J256" s="1236"/>
    </row>
    <row r="257" spans="1:10" ht="24.95" customHeight="1">
      <c r="A257" s="1237"/>
      <c r="B257" s="1238"/>
      <c r="C257" s="1239">
        <v>1</v>
      </c>
      <c r="D257" s="1239" t="s">
        <v>5404</v>
      </c>
      <c r="E257" s="1239">
        <v>1</v>
      </c>
      <c r="F257" s="1240">
        <v>16.59</v>
      </c>
      <c r="G257" s="1248">
        <v>0.23</v>
      </c>
      <c r="H257" s="1248">
        <v>0.45</v>
      </c>
      <c r="I257" s="1248">
        <f t="shared" si="26"/>
        <v>1.72</v>
      </c>
      <c r="J257" s="1236"/>
    </row>
    <row r="258" spans="1:10" ht="24.95" customHeight="1">
      <c r="A258" s="1237"/>
      <c r="B258" s="1238" t="s">
        <v>5880</v>
      </c>
      <c r="C258" s="1239">
        <v>1</v>
      </c>
      <c r="D258" s="1239" t="s">
        <v>5404</v>
      </c>
      <c r="E258" s="1239">
        <v>3</v>
      </c>
      <c r="F258" s="1240">
        <v>3.6</v>
      </c>
      <c r="G258" s="1248">
        <v>0.23</v>
      </c>
      <c r="H258" s="1248">
        <v>0.45</v>
      </c>
      <c r="I258" s="1248">
        <f t="shared" si="26"/>
        <v>1.1200000000000001</v>
      </c>
      <c r="J258" s="1236"/>
    </row>
    <row r="259" spans="1:10" ht="24.95" customHeight="1">
      <c r="A259" s="1237"/>
      <c r="B259" s="1238" t="s">
        <v>5894</v>
      </c>
      <c r="C259" s="1239">
        <v>1</v>
      </c>
      <c r="D259" s="1239" t="s">
        <v>5404</v>
      </c>
      <c r="E259" s="1239">
        <v>2</v>
      </c>
      <c r="F259" s="1240">
        <v>6</v>
      </c>
      <c r="G259" s="1248">
        <v>0.23</v>
      </c>
      <c r="H259" s="1248">
        <v>0.45</v>
      </c>
      <c r="I259" s="1248">
        <f t="shared" si="26"/>
        <v>1.24</v>
      </c>
      <c r="J259" s="1236"/>
    </row>
    <row r="260" spans="1:10" ht="24.95" customHeight="1">
      <c r="A260" s="1237"/>
      <c r="B260" s="1238" t="s">
        <v>5895</v>
      </c>
      <c r="C260" s="1239">
        <v>1</v>
      </c>
      <c r="D260" s="1239" t="s">
        <v>5404</v>
      </c>
      <c r="E260" s="1239">
        <v>1</v>
      </c>
      <c r="F260" s="1240">
        <v>8.0299999999999994</v>
      </c>
      <c r="G260" s="1248">
        <v>0.23</v>
      </c>
      <c r="H260" s="1248">
        <v>0.45</v>
      </c>
      <c r="I260" s="1248">
        <f t="shared" si="26"/>
        <v>0.83</v>
      </c>
      <c r="J260" s="1236"/>
    </row>
    <row r="261" spans="1:10" ht="24.95" customHeight="1">
      <c r="A261" s="1237"/>
      <c r="B261" s="1238" t="s">
        <v>5897</v>
      </c>
      <c r="C261" s="1244">
        <v>1</v>
      </c>
      <c r="D261" s="1244" t="s">
        <v>5404</v>
      </c>
      <c r="E261" s="1244">
        <v>1</v>
      </c>
      <c r="F261" s="1242">
        <f>3.6+0.46</f>
        <v>4.0599999999999996</v>
      </c>
      <c r="G261" s="1248">
        <v>0.23</v>
      </c>
      <c r="H261" s="1248">
        <v>0.45</v>
      </c>
      <c r="I261" s="1248">
        <f t="shared" si="26"/>
        <v>0.42</v>
      </c>
      <c r="J261" s="1236"/>
    </row>
    <row r="262" spans="1:10" ht="24.95" customHeight="1">
      <c r="A262" s="1237"/>
      <c r="B262" s="1247" t="s">
        <v>5899</v>
      </c>
      <c r="C262" s="1234">
        <v>1</v>
      </c>
      <c r="D262" s="1234" t="s">
        <v>5404</v>
      </c>
      <c r="E262" s="1234">
        <v>3</v>
      </c>
      <c r="F262" s="1248">
        <v>19.399999999999999</v>
      </c>
      <c r="G262" s="1248">
        <v>0.23</v>
      </c>
      <c r="H262" s="1248">
        <v>0.6</v>
      </c>
      <c r="I262" s="1248">
        <f t="shared" si="26"/>
        <v>8.0299999999999994</v>
      </c>
      <c r="J262" s="1236"/>
    </row>
    <row r="263" spans="1:10" ht="24.95" customHeight="1">
      <c r="A263" s="1237"/>
      <c r="B263" s="1247" t="s">
        <v>5900</v>
      </c>
      <c r="C263" s="1234">
        <v>1</v>
      </c>
      <c r="D263" s="1234" t="s">
        <v>5404</v>
      </c>
      <c r="E263" s="1234">
        <v>4</v>
      </c>
      <c r="F263" s="1248">
        <v>11.2</v>
      </c>
      <c r="G263" s="1248">
        <v>0.23</v>
      </c>
      <c r="H263" s="1248">
        <v>0.6</v>
      </c>
      <c r="I263" s="1248">
        <f t="shared" si="26"/>
        <v>6.18</v>
      </c>
      <c r="J263" s="1236"/>
    </row>
    <row r="264" spans="1:10" ht="24.95" customHeight="1">
      <c r="A264" s="1237"/>
      <c r="B264" s="1233" t="s">
        <v>5478</v>
      </c>
      <c r="C264" s="1234">
        <v>1</v>
      </c>
      <c r="D264" s="1234" t="s">
        <v>5404</v>
      </c>
      <c r="E264" s="1234">
        <v>1</v>
      </c>
      <c r="F264" s="1248">
        <v>3.81</v>
      </c>
      <c r="G264" s="1248">
        <v>0.6</v>
      </c>
      <c r="H264" s="1248">
        <v>0.05</v>
      </c>
      <c r="I264" s="1248">
        <f t="shared" si="26"/>
        <v>0.11</v>
      </c>
      <c r="J264" s="1236"/>
    </row>
    <row r="265" spans="1:10" ht="24.95" customHeight="1">
      <c r="A265" s="1237"/>
      <c r="B265" s="1247" t="s">
        <v>5479</v>
      </c>
      <c r="C265" s="1234">
        <v>1</v>
      </c>
      <c r="D265" s="1234" t="s">
        <v>5404</v>
      </c>
      <c r="E265" s="1234">
        <v>1</v>
      </c>
      <c r="F265" s="1248">
        <v>6.46</v>
      </c>
      <c r="G265" s="1248">
        <v>0.6</v>
      </c>
      <c r="H265" s="1248">
        <v>0.05</v>
      </c>
      <c r="I265" s="1248">
        <f t="shared" si="26"/>
        <v>0.19</v>
      </c>
      <c r="J265" s="1236"/>
    </row>
    <row r="266" spans="1:10" ht="24.95" customHeight="1">
      <c r="A266" s="1237"/>
      <c r="B266" s="1247" t="s">
        <v>5480</v>
      </c>
      <c r="C266" s="1234">
        <v>1</v>
      </c>
      <c r="D266" s="1234" t="s">
        <v>5404</v>
      </c>
      <c r="E266" s="1234">
        <v>2</v>
      </c>
      <c r="F266" s="1248">
        <v>6</v>
      </c>
      <c r="G266" s="1248">
        <v>0.6</v>
      </c>
      <c r="H266" s="1248">
        <v>0.05</v>
      </c>
      <c r="I266" s="1248">
        <f t="shared" si="26"/>
        <v>0.36</v>
      </c>
      <c r="J266" s="1236"/>
    </row>
    <row r="267" spans="1:10" ht="24.95" customHeight="1">
      <c r="A267" s="1237"/>
      <c r="B267" s="1247" t="s">
        <v>5901</v>
      </c>
      <c r="C267" s="1234">
        <v>1</v>
      </c>
      <c r="D267" s="1234" t="s">
        <v>5404</v>
      </c>
      <c r="E267" s="1234">
        <v>1</v>
      </c>
      <c r="F267" s="1248">
        <v>3.3</v>
      </c>
      <c r="G267" s="1248">
        <v>0.6</v>
      </c>
      <c r="H267" s="1248">
        <v>0.05</v>
      </c>
      <c r="I267" s="1248">
        <f t="shared" si="26"/>
        <v>0.1</v>
      </c>
      <c r="J267" s="1236"/>
    </row>
    <row r="268" spans="1:10" ht="24.95" customHeight="1">
      <c r="A268" s="1237"/>
      <c r="B268" s="1247" t="s">
        <v>5481</v>
      </c>
      <c r="C268" s="1234">
        <v>1</v>
      </c>
      <c r="D268" s="1234" t="s">
        <v>5404</v>
      </c>
      <c r="E268" s="1234">
        <v>2</v>
      </c>
      <c r="F268" s="1248">
        <v>2.2599999999999998</v>
      </c>
      <c r="G268" s="1248">
        <v>0.23</v>
      </c>
      <c r="H268" s="1248">
        <v>0.05</v>
      </c>
      <c r="I268" s="1248">
        <f t="shared" si="26"/>
        <v>0.05</v>
      </c>
      <c r="J268" s="1236"/>
    </row>
    <row r="269" spans="1:10" ht="24.95" customHeight="1">
      <c r="A269" s="1237"/>
      <c r="B269" s="1247" t="s">
        <v>5469</v>
      </c>
      <c r="C269" s="1234">
        <v>1</v>
      </c>
      <c r="D269" s="1234" t="s">
        <v>5404</v>
      </c>
      <c r="E269" s="1234">
        <v>6</v>
      </c>
      <c r="F269" s="1248">
        <v>1.96</v>
      </c>
      <c r="G269" s="1248">
        <v>0.23</v>
      </c>
      <c r="H269" s="1248">
        <v>0.05</v>
      </c>
      <c r="I269" s="1248">
        <f t="shared" si="26"/>
        <v>0.14000000000000001</v>
      </c>
      <c r="J269" s="1236"/>
    </row>
    <row r="270" spans="1:10" ht="24.95" customHeight="1">
      <c r="A270" s="1237"/>
      <c r="B270" s="1247" t="s">
        <v>5462</v>
      </c>
      <c r="C270" s="1234">
        <v>1</v>
      </c>
      <c r="D270" s="1234" t="s">
        <v>5404</v>
      </c>
      <c r="E270" s="1234">
        <v>6</v>
      </c>
      <c r="F270" s="1248">
        <v>1.36</v>
      </c>
      <c r="G270" s="1248">
        <v>0.23</v>
      </c>
      <c r="H270" s="1248">
        <v>0.05</v>
      </c>
      <c r="I270" s="1248">
        <f t="shared" si="26"/>
        <v>0.09</v>
      </c>
      <c r="J270" s="1236"/>
    </row>
    <row r="271" spans="1:10" ht="24.95" customHeight="1">
      <c r="A271" s="1237"/>
      <c r="B271" s="1247" t="s">
        <v>5482</v>
      </c>
      <c r="C271" s="1234">
        <v>1</v>
      </c>
      <c r="D271" s="1234" t="s">
        <v>5404</v>
      </c>
      <c r="E271" s="1234">
        <v>4</v>
      </c>
      <c r="F271" s="1248">
        <v>1.66</v>
      </c>
      <c r="G271" s="1248">
        <v>0.23</v>
      </c>
      <c r="H271" s="1248">
        <v>0.05</v>
      </c>
      <c r="I271" s="1248">
        <f t="shared" si="26"/>
        <v>0.08</v>
      </c>
      <c r="J271" s="1236"/>
    </row>
    <row r="272" spans="1:10" ht="24.95" customHeight="1">
      <c r="A272" s="1237"/>
      <c r="B272" s="1247" t="s">
        <v>5464</v>
      </c>
      <c r="C272" s="1234">
        <v>1</v>
      </c>
      <c r="D272" s="1234" t="s">
        <v>5404</v>
      </c>
      <c r="E272" s="1234">
        <v>1</v>
      </c>
      <c r="F272" s="1248">
        <v>1.66</v>
      </c>
      <c r="G272" s="1248">
        <v>0.23</v>
      </c>
      <c r="H272" s="1248">
        <v>0.05</v>
      </c>
      <c r="I272" s="1248">
        <f t="shared" si="26"/>
        <v>0.02</v>
      </c>
      <c r="J272" s="1236"/>
    </row>
    <row r="273" spans="1:10" ht="24.95" customHeight="1">
      <c r="A273" s="1237"/>
      <c r="B273" s="1247" t="s">
        <v>5465</v>
      </c>
      <c r="C273" s="1234">
        <v>1</v>
      </c>
      <c r="D273" s="1234" t="s">
        <v>5404</v>
      </c>
      <c r="E273" s="1234">
        <v>1</v>
      </c>
      <c r="F273" s="1248">
        <v>1.96</v>
      </c>
      <c r="G273" s="1248">
        <v>0.23</v>
      </c>
      <c r="H273" s="1248">
        <v>0.05</v>
      </c>
      <c r="I273" s="1248">
        <f t="shared" si="26"/>
        <v>0.02</v>
      </c>
      <c r="J273" s="1236"/>
    </row>
    <row r="274" spans="1:10" ht="24.95" customHeight="1">
      <c r="A274" s="1237"/>
      <c r="B274" s="1247" t="s">
        <v>5466</v>
      </c>
      <c r="C274" s="1234">
        <v>1</v>
      </c>
      <c r="D274" s="1234" t="s">
        <v>5404</v>
      </c>
      <c r="E274" s="1234">
        <v>2</v>
      </c>
      <c r="F274" s="1248">
        <v>1.51</v>
      </c>
      <c r="G274" s="1248">
        <v>0.23</v>
      </c>
      <c r="H274" s="1248">
        <v>0.05</v>
      </c>
      <c r="I274" s="1248">
        <f t="shared" si="26"/>
        <v>0.03</v>
      </c>
      <c r="J274" s="1236"/>
    </row>
    <row r="275" spans="1:10" ht="24.95" customHeight="1">
      <c r="A275" s="1237"/>
      <c r="B275" s="1247" t="s">
        <v>5483</v>
      </c>
      <c r="C275" s="1234">
        <v>1</v>
      </c>
      <c r="D275" s="1234" t="s">
        <v>5404</v>
      </c>
      <c r="E275" s="1234">
        <v>1</v>
      </c>
      <c r="F275" s="1248">
        <v>2.2599999999999998</v>
      </c>
      <c r="G275" s="1248">
        <v>0.23</v>
      </c>
      <c r="H275" s="1248">
        <v>0.05</v>
      </c>
      <c r="I275" s="1248">
        <f t="shared" si="26"/>
        <v>0.03</v>
      </c>
      <c r="J275" s="1236"/>
    </row>
    <row r="276" spans="1:10" ht="24.95" customHeight="1">
      <c r="A276" s="1237"/>
      <c r="B276" s="1247" t="s">
        <v>5484</v>
      </c>
      <c r="C276" s="1234">
        <v>1</v>
      </c>
      <c r="D276" s="1234" t="s">
        <v>5404</v>
      </c>
      <c r="E276" s="1234">
        <v>2</v>
      </c>
      <c r="F276" s="1248">
        <v>2.2599999999999998</v>
      </c>
      <c r="G276" s="1248">
        <v>0.6</v>
      </c>
      <c r="H276" s="1251">
        <v>6.3E-2</v>
      </c>
      <c r="I276" s="1248">
        <f t="shared" si="26"/>
        <v>0.17</v>
      </c>
      <c r="J276" s="1236"/>
    </row>
    <row r="277" spans="1:10" ht="24.95" customHeight="1">
      <c r="A277" s="1237"/>
      <c r="B277" s="1247" t="s">
        <v>5469</v>
      </c>
      <c r="C277" s="1234">
        <v>1</v>
      </c>
      <c r="D277" s="1234" t="s">
        <v>5404</v>
      </c>
      <c r="E277" s="1234">
        <v>6</v>
      </c>
      <c r="F277" s="1248">
        <v>1.96</v>
      </c>
      <c r="G277" s="1248">
        <v>0.6</v>
      </c>
      <c r="H277" s="1251">
        <v>6.3E-2</v>
      </c>
      <c r="I277" s="1248">
        <f t="shared" si="26"/>
        <v>0.44</v>
      </c>
      <c r="J277" s="1236"/>
    </row>
    <row r="278" spans="1:10" ht="24.95" customHeight="1">
      <c r="A278" s="1237"/>
      <c r="B278" s="1247" t="s">
        <v>5462</v>
      </c>
      <c r="C278" s="1234">
        <v>1</v>
      </c>
      <c r="D278" s="1234" t="s">
        <v>5404</v>
      </c>
      <c r="E278" s="1234">
        <v>6</v>
      </c>
      <c r="F278" s="1248">
        <v>1.36</v>
      </c>
      <c r="G278" s="1248">
        <v>0.6</v>
      </c>
      <c r="H278" s="1251">
        <v>6.3E-2</v>
      </c>
      <c r="I278" s="1248">
        <f t="shared" si="26"/>
        <v>0.31</v>
      </c>
      <c r="J278" s="1236"/>
    </row>
    <row r="279" spans="1:10" ht="24.95" customHeight="1">
      <c r="A279" s="1237"/>
      <c r="B279" s="1247" t="s">
        <v>5482</v>
      </c>
      <c r="C279" s="1234">
        <v>1</v>
      </c>
      <c r="D279" s="1234" t="s">
        <v>5404</v>
      </c>
      <c r="E279" s="1234">
        <v>4</v>
      </c>
      <c r="F279" s="1248">
        <v>1.66</v>
      </c>
      <c r="G279" s="1248">
        <v>0.6</v>
      </c>
      <c r="H279" s="1251">
        <v>6.3E-2</v>
      </c>
      <c r="I279" s="1248">
        <f t="shared" si="26"/>
        <v>0.25</v>
      </c>
      <c r="J279" s="1236"/>
    </row>
    <row r="280" spans="1:10" ht="24.95" customHeight="1">
      <c r="A280" s="1237"/>
      <c r="B280" s="1247" t="s">
        <v>5464</v>
      </c>
      <c r="C280" s="1234">
        <v>1</v>
      </c>
      <c r="D280" s="1234" t="s">
        <v>5404</v>
      </c>
      <c r="E280" s="1234">
        <v>1</v>
      </c>
      <c r="F280" s="1248">
        <v>1.66</v>
      </c>
      <c r="G280" s="1248">
        <v>0.6</v>
      </c>
      <c r="H280" s="1251">
        <v>6.3E-2</v>
      </c>
      <c r="I280" s="1248">
        <f t="shared" si="26"/>
        <v>0.06</v>
      </c>
      <c r="J280" s="1236"/>
    </row>
    <row r="281" spans="1:10" ht="24.95" customHeight="1">
      <c r="A281" s="1237"/>
      <c r="B281" s="1247" t="s">
        <v>5465</v>
      </c>
      <c r="C281" s="1234">
        <v>1</v>
      </c>
      <c r="D281" s="1234" t="s">
        <v>5404</v>
      </c>
      <c r="E281" s="1234">
        <v>1</v>
      </c>
      <c r="F281" s="1248">
        <v>1.96</v>
      </c>
      <c r="G281" s="1248">
        <v>0.6</v>
      </c>
      <c r="H281" s="1251">
        <v>6.3E-2</v>
      </c>
      <c r="I281" s="1248">
        <f t="shared" si="26"/>
        <v>7.0000000000000007E-2</v>
      </c>
      <c r="J281" s="1236"/>
    </row>
    <row r="282" spans="1:10" ht="24.95" customHeight="1">
      <c r="A282" s="1237"/>
      <c r="B282" s="1247" t="s">
        <v>5466</v>
      </c>
      <c r="C282" s="1234">
        <v>1</v>
      </c>
      <c r="D282" s="1234" t="s">
        <v>5404</v>
      </c>
      <c r="E282" s="1234">
        <v>2</v>
      </c>
      <c r="F282" s="1248">
        <v>1.51</v>
      </c>
      <c r="G282" s="1248">
        <v>0.6</v>
      </c>
      <c r="H282" s="1251">
        <v>6.3E-2</v>
      </c>
      <c r="I282" s="1248">
        <f t="shared" si="26"/>
        <v>0.11</v>
      </c>
      <c r="J282" s="1236"/>
    </row>
    <row r="283" spans="1:10" ht="24.95" customHeight="1">
      <c r="A283" s="1237"/>
      <c r="B283" s="1247" t="s">
        <v>5483</v>
      </c>
      <c r="C283" s="1234">
        <v>1</v>
      </c>
      <c r="D283" s="1234" t="s">
        <v>5404</v>
      </c>
      <c r="E283" s="1234">
        <v>1</v>
      </c>
      <c r="F283" s="1248">
        <v>2.2599999999999998</v>
      </c>
      <c r="G283" s="1248">
        <v>0.6</v>
      </c>
      <c r="H283" s="1251">
        <v>6.3E-2</v>
      </c>
      <c r="I283" s="1248">
        <f t="shared" si="26"/>
        <v>0.09</v>
      </c>
      <c r="J283" s="1236"/>
    </row>
    <row r="284" spans="1:10" ht="24.95" customHeight="1">
      <c r="A284" s="1237"/>
      <c r="B284" s="1247" t="s">
        <v>5485</v>
      </c>
      <c r="C284" s="1234">
        <v>1</v>
      </c>
      <c r="D284" s="1234" t="s">
        <v>5404</v>
      </c>
      <c r="E284" s="1234">
        <v>4</v>
      </c>
      <c r="F284" s="1248">
        <v>0.23</v>
      </c>
      <c r="G284" s="1248">
        <v>0.38</v>
      </c>
      <c r="H284" s="1251">
        <v>1.2</v>
      </c>
      <c r="I284" s="1248">
        <f t="shared" si="26"/>
        <v>0.42</v>
      </c>
      <c r="J284" s="1236"/>
    </row>
    <row r="285" spans="1:10" ht="24.95" customHeight="1">
      <c r="A285" s="1237"/>
      <c r="B285" s="1247" t="s">
        <v>5486</v>
      </c>
      <c r="C285" s="1234">
        <v>1</v>
      </c>
      <c r="D285" s="1234" t="s">
        <v>5404</v>
      </c>
      <c r="E285" s="1234">
        <v>1</v>
      </c>
      <c r="F285" s="1248">
        <v>0.23</v>
      </c>
      <c r="G285" s="1248">
        <v>0.45</v>
      </c>
      <c r="H285" s="1251">
        <v>1.2</v>
      </c>
      <c r="I285" s="1248">
        <f t="shared" si="26"/>
        <v>0.12</v>
      </c>
      <c r="J285" s="1236"/>
    </row>
    <row r="286" spans="1:10" ht="24.95" customHeight="1">
      <c r="A286" s="1237"/>
      <c r="B286" s="1233" t="s">
        <v>5487</v>
      </c>
      <c r="C286" s="1234">
        <v>1</v>
      </c>
      <c r="D286" s="1234" t="s">
        <v>5404</v>
      </c>
      <c r="E286" s="1234">
        <v>1</v>
      </c>
      <c r="F286" s="1248">
        <v>0.23</v>
      </c>
      <c r="G286" s="1248">
        <v>0.6</v>
      </c>
      <c r="H286" s="1251">
        <v>1.2</v>
      </c>
      <c r="I286" s="1248">
        <f t="shared" si="26"/>
        <v>0.17</v>
      </c>
      <c r="J286" s="1236"/>
    </row>
    <row r="287" spans="1:10" ht="24.95" customHeight="1">
      <c r="A287" s="1237"/>
      <c r="B287" s="1247" t="s">
        <v>5488</v>
      </c>
      <c r="C287" s="1234">
        <v>1</v>
      </c>
      <c r="D287" s="1234" t="s">
        <v>5404</v>
      </c>
      <c r="E287" s="1234">
        <v>2</v>
      </c>
      <c r="F287" s="1248">
        <v>0.3</v>
      </c>
      <c r="G287" s="1248">
        <v>0.38</v>
      </c>
      <c r="H287" s="1251">
        <v>1.2</v>
      </c>
      <c r="I287" s="1248">
        <f t="shared" si="26"/>
        <v>0.27</v>
      </c>
      <c r="J287" s="1236"/>
    </row>
    <row r="288" spans="1:10" ht="24.95" customHeight="1">
      <c r="A288" s="1237"/>
      <c r="B288" s="1247" t="s">
        <v>5489</v>
      </c>
      <c r="C288" s="1234">
        <v>1</v>
      </c>
      <c r="D288" s="1234" t="s">
        <v>5404</v>
      </c>
      <c r="E288" s="1234">
        <v>2</v>
      </c>
      <c r="F288" s="1248">
        <v>0.3</v>
      </c>
      <c r="G288" s="1248">
        <v>0.6</v>
      </c>
      <c r="H288" s="1251">
        <v>1.2</v>
      </c>
      <c r="I288" s="1248">
        <f t="shared" si="26"/>
        <v>0.43</v>
      </c>
      <c r="J288" s="1236"/>
    </row>
    <row r="289" spans="1:11" ht="24.95" customHeight="1">
      <c r="A289" s="1237"/>
      <c r="B289" s="1247" t="s">
        <v>5490</v>
      </c>
      <c r="C289" s="1234">
        <v>1</v>
      </c>
      <c r="D289" s="1234" t="s">
        <v>5404</v>
      </c>
      <c r="E289" s="1234">
        <v>1</v>
      </c>
      <c r="F289" s="1248">
        <v>0.38</v>
      </c>
      <c r="G289" s="1248">
        <v>0.38</v>
      </c>
      <c r="H289" s="1251">
        <v>1.2</v>
      </c>
      <c r="I289" s="1248">
        <f t="shared" si="26"/>
        <v>0.17</v>
      </c>
      <c r="J289" s="1236"/>
    </row>
    <row r="290" spans="1:11" ht="24.95" customHeight="1">
      <c r="A290" s="1237"/>
      <c r="B290" s="1247" t="s">
        <v>5491</v>
      </c>
      <c r="C290" s="1234">
        <v>1</v>
      </c>
      <c r="D290" s="1234" t="s">
        <v>5404</v>
      </c>
      <c r="E290" s="1234">
        <v>1</v>
      </c>
      <c r="F290" s="1248">
        <v>3.75</v>
      </c>
      <c r="G290" s="1248">
        <v>1.5</v>
      </c>
      <c r="H290" s="1248">
        <v>0.13</v>
      </c>
      <c r="I290" s="1248">
        <f t="shared" si="26"/>
        <v>0.73</v>
      </c>
      <c r="J290" s="1236"/>
    </row>
    <row r="291" spans="1:11" ht="24.95" customHeight="1">
      <c r="A291" s="1237"/>
      <c r="B291" s="1247" t="s">
        <v>5472</v>
      </c>
      <c r="C291" s="1234">
        <v>1</v>
      </c>
      <c r="D291" s="1234" t="s">
        <v>5404</v>
      </c>
      <c r="E291" s="1234">
        <v>1</v>
      </c>
      <c r="F291" s="1248">
        <v>4.1100000000000003</v>
      </c>
      <c r="G291" s="1248">
        <v>1.5</v>
      </c>
      <c r="H291" s="1248">
        <v>0.13</v>
      </c>
      <c r="I291" s="1248">
        <f t="shared" si="26"/>
        <v>0.8</v>
      </c>
      <c r="J291" s="1236"/>
    </row>
    <row r="292" spans="1:11" ht="24.95" customHeight="1">
      <c r="A292" s="1237"/>
      <c r="B292" s="1247" t="s">
        <v>5492</v>
      </c>
      <c r="C292" s="1234">
        <v>1</v>
      </c>
      <c r="D292" s="1234" t="s">
        <v>5404</v>
      </c>
      <c r="E292" s="1234">
        <v>1</v>
      </c>
      <c r="F292" s="1248">
        <v>3.45</v>
      </c>
      <c r="G292" s="1248">
        <v>1.5</v>
      </c>
      <c r="H292" s="1248">
        <v>0.13</v>
      </c>
      <c r="I292" s="1248">
        <f t="shared" si="26"/>
        <v>0.67</v>
      </c>
      <c r="J292" s="1236"/>
    </row>
    <row r="293" spans="1:11" ht="24.95" customHeight="1">
      <c r="A293" s="1237"/>
      <c r="B293" s="1247" t="s">
        <v>5474</v>
      </c>
      <c r="C293" s="1234">
        <v>1</v>
      </c>
      <c r="D293" s="1234">
        <v>23</v>
      </c>
      <c r="E293" s="1264">
        <v>0.5</v>
      </c>
      <c r="F293" s="1248">
        <v>0.3</v>
      </c>
      <c r="G293" s="1248">
        <v>0.15</v>
      </c>
      <c r="H293" s="1248">
        <v>1.5</v>
      </c>
      <c r="I293" s="1248">
        <f t="shared" si="26"/>
        <v>0.78</v>
      </c>
      <c r="J293" s="1236"/>
    </row>
    <row r="294" spans="1:11" ht="24.95" customHeight="1">
      <c r="A294" s="1237"/>
      <c r="B294" s="1247" t="s">
        <v>5493</v>
      </c>
      <c r="C294" s="1234">
        <v>1</v>
      </c>
      <c r="D294" s="1234" t="s">
        <v>5404</v>
      </c>
      <c r="E294" s="1234">
        <v>1</v>
      </c>
      <c r="F294" s="1248">
        <v>4.1100000000000003</v>
      </c>
      <c r="G294" s="1248">
        <v>0.23</v>
      </c>
      <c r="H294" s="1248">
        <v>0.3</v>
      </c>
      <c r="I294" s="1248">
        <f t="shared" si="26"/>
        <v>0.28000000000000003</v>
      </c>
      <c r="J294" s="1236"/>
    </row>
    <row r="295" spans="1:11" ht="24.95" customHeight="1">
      <c r="A295" s="1237"/>
      <c r="B295" s="1247"/>
      <c r="C295" s="1234"/>
      <c r="D295" s="1234"/>
      <c r="E295" s="1234"/>
      <c r="F295" s="1248"/>
      <c r="G295" s="1248"/>
      <c r="H295" s="1251"/>
      <c r="I295" s="1248">
        <f>SUM(I232:I294)</f>
        <v>113.6</v>
      </c>
      <c r="J295" s="1236"/>
      <c r="K295" s="1230">
        <v>0.03</v>
      </c>
    </row>
    <row r="296" spans="1:11" ht="24.95" customHeight="1">
      <c r="A296" s="1237"/>
      <c r="B296" s="1247"/>
      <c r="C296" s="1234"/>
      <c r="D296" s="1234"/>
      <c r="E296" s="1234"/>
      <c r="F296" s="1248"/>
      <c r="G296" s="1248"/>
      <c r="H296" s="1249" t="s">
        <v>4322</v>
      </c>
      <c r="I296" s="1249">
        <f>ROUNDUP(I295,1-0)</f>
        <v>113.6</v>
      </c>
      <c r="J296" s="1246" t="s">
        <v>2176</v>
      </c>
    </row>
    <row r="297" spans="1:11" ht="24.95" customHeight="1">
      <c r="A297" s="1237"/>
      <c r="B297" s="1247"/>
      <c r="C297" s="1234"/>
      <c r="D297" s="1234"/>
      <c r="E297" s="1234"/>
      <c r="F297" s="1248"/>
      <c r="G297" s="1248"/>
      <c r="H297" s="1251"/>
      <c r="I297" s="1248"/>
      <c r="J297" s="1236"/>
    </row>
    <row r="298" spans="1:11" ht="24.95" customHeight="1">
      <c r="A298" s="1237"/>
      <c r="B298" s="1265" t="s">
        <v>5494</v>
      </c>
      <c r="C298" s="1234">
        <v>1</v>
      </c>
      <c r="D298" s="1234" t="s">
        <v>5404</v>
      </c>
      <c r="E298" s="1234">
        <v>1</v>
      </c>
      <c r="F298" s="1248">
        <v>0.23</v>
      </c>
      <c r="G298" s="1248">
        <v>0.45</v>
      </c>
      <c r="H298" s="1251">
        <v>3.3</v>
      </c>
      <c r="I298" s="1248">
        <f t="shared" ref="I298:I304" si="27">PRODUCT(C298:H298)</f>
        <v>0.34</v>
      </c>
      <c r="J298" s="1236"/>
    </row>
    <row r="299" spans="1:11" ht="24.95" customHeight="1">
      <c r="A299" s="1237"/>
      <c r="B299" s="1247" t="s">
        <v>5487</v>
      </c>
      <c r="C299" s="1234">
        <v>1</v>
      </c>
      <c r="D299" s="1234" t="s">
        <v>5404</v>
      </c>
      <c r="E299" s="1234">
        <v>1</v>
      </c>
      <c r="F299" s="1248">
        <v>0.23</v>
      </c>
      <c r="G299" s="1248">
        <v>0.6</v>
      </c>
      <c r="H299" s="1251">
        <v>3.3</v>
      </c>
      <c r="I299" s="1248">
        <f t="shared" si="27"/>
        <v>0.46</v>
      </c>
      <c r="J299" s="1236"/>
    </row>
    <row r="300" spans="1:11" ht="24.95" customHeight="1">
      <c r="A300" s="1237"/>
      <c r="B300" s="1247" t="s">
        <v>5489</v>
      </c>
      <c r="C300" s="1234">
        <v>1</v>
      </c>
      <c r="D300" s="1234" t="s">
        <v>5404</v>
      </c>
      <c r="E300" s="1234">
        <v>2</v>
      </c>
      <c r="F300" s="1248">
        <v>0.3</v>
      </c>
      <c r="G300" s="1248">
        <v>0.6</v>
      </c>
      <c r="H300" s="1251">
        <v>3.3</v>
      </c>
      <c r="I300" s="1248">
        <f t="shared" si="27"/>
        <v>1.19</v>
      </c>
      <c r="J300" s="1236"/>
    </row>
    <row r="301" spans="1:11" ht="24.95" customHeight="1">
      <c r="A301" s="1237"/>
      <c r="B301" s="1247" t="s">
        <v>5495</v>
      </c>
      <c r="C301" s="1234">
        <v>1</v>
      </c>
      <c r="D301" s="1234" t="s">
        <v>5404</v>
      </c>
      <c r="E301" s="1234">
        <v>1</v>
      </c>
      <c r="F301" s="1248">
        <v>21.82</v>
      </c>
      <c r="G301" s="1248">
        <v>0.23</v>
      </c>
      <c r="H301" s="1251">
        <v>0.17499999999999999</v>
      </c>
      <c r="I301" s="1248">
        <f t="shared" si="27"/>
        <v>0.88</v>
      </c>
      <c r="J301" s="1236"/>
    </row>
    <row r="302" spans="1:11" ht="24.95" customHeight="1">
      <c r="A302" s="1237"/>
      <c r="B302" s="1247" t="s">
        <v>5496</v>
      </c>
      <c r="C302" s="1234">
        <v>1</v>
      </c>
      <c r="D302" s="1234" t="s">
        <v>5404</v>
      </c>
      <c r="E302" s="1234">
        <v>1</v>
      </c>
      <c r="F302" s="1248">
        <v>7.26</v>
      </c>
      <c r="G302" s="1248">
        <v>4.1100000000000003</v>
      </c>
      <c r="H302" s="1251">
        <v>0.125</v>
      </c>
      <c r="I302" s="1248">
        <f t="shared" si="27"/>
        <v>3.73</v>
      </c>
      <c r="J302" s="1236"/>
    </row>
    <row r="303" spans="1:11" ht="24.95" customHeight="1">
      <c r="A303" s="1237"/>
      <c r="B303" s="1247" t="s">
        <v>5497</v>
      </c>
      <c r="C303" s="1234">
        <v>1</v>
      </c>
      <c r="D303" s="1234" t="s">
        <v>5404</v>
      </c>
      <c r="E303" s="1234">
        <v>1</v>
      </c>
      <c r="F303" s="1248">
        <v>1.36</v>
      </c>
      <c r="G303" s="1248">
        <v>0.6</v>
      </c>
      <c r="H303" s="1251">
        <v>6.3E-2</v>
      </c>
      <c r="I303" s="1248">
        <f t="shared" si="27"/>
        <v>0.05</v>
      </c>
      <c r="J303" s="1236"/>
    </row>
    <row r="304" spans="1:11" ht="24.95" customHeight="1">
      <c r="A304" s="1237"/>
      <c r="B304" s="1314" t="s">
        <v>6451</v>
      </c>
      <c r="C304" s="1315">
        <v>1</v>
      </c>
      <c r="D304" s="1316" t="s">
        <v>5404</v>
      </c>
      <c r="E304" s="1315">
        <v>1</v>
      </c>
      <c r="F304" s="1317">
        <v>5.26</v>
      </c>
      <c r="G304" s="1317">
        <v>1.66</v>
      </c>
      <c r="H304" s="1317">
        <v>0.15</v>
      </c>
      <c r="I304" s="1317">
        <f t="shared" si="27"/>
        <v>1.31</v>
      </c>
      <c r="J304" s="1236"/>
    </row>
    <row r="305" spans="1:17" ht="24.95" customHeight="1">
      <c r="A305" s="1237"/>
      <c r="B305" s="1247"/>
      <c r="C305" s="1234"/>
      <c r="D305" s="1234"/>
      <c r="E305" s="1234"/>
      <c r="F305" s="1248"/>
      <c r="G305" s="1248"/>
      <c r="H305" s="1251"/>
      <c r="I305" s="1248">
        <f>SUM(I298:I304)</f>
        <v>7.96</v>
      </c>
      <c r="J305" s="1236"/>
    </row>
    <row r="306" spans="1:17" ht="24.95" customHeight="1">
      <c r="A306" s="1237"/>
      <c r="B306" s="1247"/>
      <c r="C306" s="1234"/>
      <c r="D306" s="1234"/>
      <c r="E306" s="1234"/>
      <c r="F306" s="1248"/>
      <c r="G306" s="1248"/>
      <c r="H306" s="1249" t="s">
        <v>4322</v>
      </c>
      <c r="I306" s="1249">
        <f>ROUNDUP(I305,1-0)</f>
        <v>8</v>
      </c>
      <c r="J306" s="1246" t="s">
        <v>2176</v>
      </c>
    </row>
    <row r="307" spans="1:17" ht="51.75" customHeight="1">
      <c r="A307" s="1258">
        <v>9.5</v>
      </c>
      <c r="B307" s="1233" t="s">
        <v>5498</v>
      </c>
      <c r="C307" s="1234"/>
      <c r="D307" s="1234"/>
      <c r="E307" s="1234"/>
      <c r="F307" s="1235"/>
      <c r="G307" s="1235"/>
      <c r="H307" s="1235"/>
      <c r="I307" s="1235"/>
      <c r="J307" s="1236"/>
    </row>
    <row r="308" spans="1:17" ht="30.75" customHeight="1">
      <c r="A308" s="1237"/>
      <c r="B308" s="1233" t="s">
        <v>5499</v>
      </c>
      <c r="C308" s="1234"/>
      <c r="D308" s="1234"/>
      <c r="E308" s="1234"/>
      <c r="F308" s="1235"/>
      <c r="G308" s="1235"/>
      <c r="H308" s="1235"/>
      <c r="I308" s="1235"/>
      <c r="J308" s="1236"/>
    </row>
    <row r="309" spans="1:17" ht="24.95" customHeight="1">
      <c r="A309" s="1237"/>
      <c r="B309" s="1238" t="s">
        <v>5877</v>
      </c>
      <c r="C309" s="1239">
        <v>1</v>
      </c>
      <c r="D309" s="1239" t="s">
        <v>5404</v>
      </c>
      <c r="E309" s="1239">
        <v>1</v>
      </c>
      <c r="F309" s="1240">
        <v>64.88</v>
      </c>
      <c r="G309" s="1240">
        <v>0.23</v>
      </c>
      <c r="H309" s="1240">
        <v>3.15</v>
      </c>
      <c r="I309" s="1240">
        <f t="shared" ref="I309:I339" si="28">PRODUCT(C309:H309)</f>
        <v>47.01</v>
      </c>
      <c r="J309" s="1243"/>
    </row>
    <row r="310" spans="1:17" ht="28.5" customHeight="1">
      <c r="A310" s="1237"/>
      <c r="B310" s="1238" t="s">
        <v>5878</v>
      </c>
      <c r="C310" s="1239">
        <v>1</v>
      </c>
      <c r="D310" s="1239" t="s">
        <v>5404</v>
      </c>
      <c r="E310" s="1239">
        <v>1</v>
      </c>
      <c r="F310" s="1240">
        <v>20.12</v>
      </c>
      <c r="G310" s="1240">
        <v>0.23</v>
      </c>
      <c r="H310" s="1240">
        <v>3.15</v>
      </c>
      <c r="I310" s="1240">
        <f t="shared" si="28"/>
        <v>14.58</v>
      </c>
      <c r="J310" s="1243"/>
    </row>
    <row r="311" spans="1:17" ht="24.95" customHeight="1">
      <c r="A311" s="1237"/>
      <c r="B311" s="1238"/>
      <c r="C311" s="1239">
        <v>1</v>
      </c>
      <c r="D311" s="1239" t="s">
        <v>5404</v>
      </c>
      <c r="E311" s="1239">
        <v>1</v>
      </c>
      <c r="F311" s="1240">
        <v>16.59</v>
      </c>
      <c r="G311" s="1240">
        <v>0.23</v>
      </c>
      <c r="H311" s="1240">
        <v>3.15</v>
      </c>
      <c r="I311" s="1240">
        <f t="shared" si="28"/>
        <v>12.02</v>
      </c>
      <c r="J311" s="1243"/>
    </row>
    <row r="312" spans="1:17" ht="24.95" customHeight="1">
      <c r="A312" s="1237"/>
      <c r="B312" s="1238" t="s">
        <v>5879</v>
      </c>
      <c r="C312" s="1239">
        <v>1</v>
      </c>
      <c r="D312" s="1239" t="s">
        <v>5404</v>
      </c>
      <c r="E312" s="1239">
        <v>1</v>
      </c>
      <c r="F312" s="1240">
        <v>3.3</v>
      </c>
      <c r="G312" s="1240">
        <v>0.23</v>
      </c>
      <c r="H312" s="1240">
        <v>3.15</v>
      </c>
      <c r="I312" s="1240">
        <f t="shared" si="28"/>
        <v>2.39</v>
      </c>
      <c r="J312" s="1243"/>
    </row>
    <row r="313" spans="1:17" ht="24.95" customHeight="1">
      <c r="A313" s="1237"/>
      <c r="B313" s="1238" t="s">
        <v>5880</v>
      </c>
      <c r="C313" s="1239">
        <v>1</v>
      </c>
      <c r="D313" s="1239" t="s">
        <v>5404</v>
      </c>
      <c r="E313" s="1239">
        <v>3</v>
      </c>
      <c r="F313" s="1240">
        <v>3.6</v>
      </c>
      <c r="G313" s="1240">
        <v>0.23</v>
      </c>
      <c r="H313" s="1240">
        <v>3.15</v>
      </c>
      <c r="I313" s="1240">
        <f t="shared" si="28"/>
        <v>7.82</v>
      </c>
      <c r="J313" s="1243"/>
      <c r="Q313" s="1230">
        <f>0.75-0.115</f>
        <v>0.64</v>
      </c>
    </row>
    <row r="314" spans="1:17" ht="24.95" customHeight="1">
      <c r="A314" s="1237"/>
      <c r="B314" s="1238" t="s">
        <v>5881</v>
      </c>
      <c r="C314" s="1239">
        <v>1</v>
      </c>
      <c r="D314" s="1239" t="s">
        <v>5404</v>
      </c>
      <c r="E314" s="1239">
        <v>2</v>
      </c>
      <c r="F314" s="1240">
        <v>6</v>
      </c>
      <c r="G314" s="1240">
        <v>0.23</v>
      </c>
      <c r="H314" s="1240">
        <v>3.15</v>
      </c>
      <c r="I314" s="1240">
        <f t="shared" si="28"/>
        <v>8.69</v>
      </c>
      <c r="J314" s="1243"/>
    </row>
    <row r="315" spans="1:17" ht="24.95" customHeight="1">
      <c r="A315" s="1237"/>
      <c r="B315" s="1238" t="s">
        <v>5882</v>
      </c>
      <c r="C315" s="1239">
        <v>1</v>
      </c>
      <c r="D315" s="1239" t="s">
        <v>5404</v>
      </c>
      <c r="E315" s="1239">
        <v>1</v>
      </c>
      <c r="F315" s="1240">
        <v>8.0299999999999994</v>
      </c>
      <c r="G315" s="1240">
        <v>0.23</v>
      </c>
      <c r="H315" s="1240">
        <v>3.15</v>
      </c>
      <c r="I315" s="1240">
        <f t="shared" si="28"/>
        <v>5.82</v>
      </c>
      <c r="J315" s="1243"/>
    </row>
    <row r="316" spans="1:17" ht="24.95" customHeight="1">
      <c r="A316" s="1237"/>
      <c r="B316" s="1238" t="s">
        <v>5889</v>
      </c>
      <c r="C316" s="1244">
        <v>1</v>
      </c>
      <c r="D316" s="1244" t="s">
        <v>5404</v>
      </c>
      <c r="E316" s="1244">
        <v>1</v>
      </c>
      <c r="F316" s="1242">
        <v>2</v>
      </c>
      <c r="G316" s="1240">
        <v>0.23</v>
      </c>
      <c r="H316" s="1240">
        <v>3.15</v>
      </c>
      <c r="I316" s="1240">
        <f t="shared" si="28"/>
        <v>1.45</v>
      </c>
      <c r="J316" s="1243"/>
    </row>
    <row r="317" spans="1:17" ht="24.95" customHeight="1">
      <c r="A317" s="1237"/>
      <c r="B317" s="1247" t="s">
        <v>5520</v>
      </c>
      <c r="C317" s="1234">
        <v>1</v>
      </c>
      <c r="D317" s="1234" t="s">
        <v>5404</v>
      </c>
      <c r="E317" s="1234">
        <v>1</v>
      </c>
      <c r="F317" s="1248">
        <v>15.97</v>
      </c>
      <c r="G317" s="1248">
        <v>0.23</v>
      </c>
      <c r="H317" s="1248">
        <v>3.15</v>
      </c>
      <c r="I317" s="1248">
        <f t="shared" si="28"/>
        <v>11.57</v>
      </c>
      <c r="J317" s="1243"/>
    </row>
    <row r="318" spans="1:17" ht="24.95" customHeight="1">
      <c r="A318" s="1237"/>
      <c r="B318" s="1238" t="s">
        <v>5500</v>
      </c>
      <c r="C318" s="1239">
        <v>-1</v>
      </c>
      <c r="D318" s="1239" t="s">
        <v>5404</v>
      </c>
      <c r="E318" s="1239">
        <v>1</v>
      </c>
      <c r="F318" s="1240">
        <v>1.8</v>
      </c>
      <c r="G318" s="1240">
        <v>0.23</v>
      </c>
      <c r="H318" s="1240">
        <v>2.4</v>
      </c>
      <c r="I318" s="1240">
        <f t="shared" si="28"/>
        <v>-0.99</v>
      </c>
      <c r="J318" s="1243"/>
    </row>
    <row r="319" spans="1:17" ht="24.95" customHeight="1">
      <c r="A319" s="1237"/>
      <c r="B319" s="1238" t="s">
        <v>5463</v>
      </c>
      <c r="C319" s="1239">
        <v>-1</v>
      </c>
      <c r="D319" s="1239" t="s">
        <v>5404</v>
      </c>
      <c r="E319" s="1239">
        <v>1</v>
      </c>
      <c r="F319" s="1240">
        <v>0.75</v>
      </c>
      <c r="G319" s="1240">
        <v>0.23</v>
      </c>
      <c r="H319" s="1240">
        <v>2.1</v>
      </c>
      <c r="I319" s="1240">
        <f t="shared" si="28"/>
        <v>-0.36</v>
      </c>
      <c r="J319" s="1243"/>
    </row>
    <row r="320" spans="1:17" ht="25.5" customHeight="1">
      <c r="A320" s="1237"/>
      <c r="B320" s="1238" t="s">
        <v>5501</v>
      </c>
      <c r="C320" s="1239">
        <v>-1</v>
      </c>
      <c r="D320" s="1239" t="s">
        <v>5404</v>
      </c>
      <c r="E320" s="1239">
        <v>1</v>
      </c>
      <c r="F320" s="1240">
        <v>1.8</v>
      </c>
      <c r="G320" s="1240">
        <v>0.23</v>
      </c>
      <c r="H320" s="1240">
        <v>2.1</v>
      </c>
      <c r="I320" s="1240">
        <f t="shared" si="28"/>
        <v>-0.87</v>
      </c>
      <c r="J320" s="1243"/>
    </row>
    <row r="321" spans="1:10" ht="24.95" customHeight="1">
      <c r="A321" s="1237"/>
      <c r="B321" s="1238" t="s">
        <v>5502</v>
      </c>
      <c r="C321" s="1239">
        <v>-1</v>
      </c>
      <c r="D321" s="1239" t="s">
        <v>5404</v>
      </c>
      <c r="E321" s="1239">
        <v>1</v>
      </c>
      <c r="F321" s="1240">
        <v>1.8</v>
      </c>
      <c r="G321" s="1240">
        <v>0.23</v>
      </c>
      <c r="H321" s="1240">
        <v>0.6</v>
      </c>
      <c r="I321" s="1240">
        <f t="shared" si="28"/>
        <v>-0.25</v>
      </c>
      <c r="J321" s="1243"/>
    </row>
    <row r="322" spans="1:10" ht="24.95" customHeight="1">
      <c r="A322" s="1237"/>
      <c r="B322" s="1238" t="s">
        <v>5503</v>
      </c>
      <c r="C322" s="1239">
        <v>-1</v>
      </c>
      <c r="D322" s="1239" t="s">
        <v>5404</v>
      </c>
      <c r="E322" s="1239">
        <v>2</v>
      </c>
      <c r="F322" s="1240">
        <v>0.75</v>
      </c>
      <c r="G322" s="1240">
        <v>0.23</v>
      </c>
      <c r="H322" s="1240">
        <v>2.4</v>
      </c>
      <c r="I322" s="1240">
        <f t="shared" si="28"/>
        <v>-0.83</v>
      </c>
      <c r="J322" s="1243"/>
    </row>
    <row r="323" spans="1:10" ht="32.25" customHeight="1">
      <c r="A323" s="1237"/>
      <c r="B323" s="1238" t="s">
        <v>5502</v>
      </c>
      <c r="C323" s="1239">
        <v>-1</v>
      </c>
      <c r="D323" s="1239" t="s">
        <v>5404</v>
      </c>
      <c r="E323" s="1239">
        <v>2</v>
      </c>
      <c r="F323" s="1240">
        <v>1.2</v>
      </c>
      <c r="G323" s="1240">
        <v>0.23</v>
      </c>
      <c r="H323" s="1240">
        <v>0.6</v>
      </c>
      <c r="I323" s="1240">
        <f t="shared" si="28"/>
        <v>-0.33</v>
      </c>
      <c r="J323" s="1243"/>
    </row>
    <row r="324" spans="1:10" ht="28.5" customHeight="1">
      <c r="A324" s="1237"/>
      <c r="B324" s="1238" t="s">
        <v>3063</v>
      </c>
      <c r="C324" s="1239">
        <v>-1</v>
      </c>
      <c r="D324" s="1239" t="s">
        <v>5404</v>
      </c>
      <c r="E324" s="1239">
        <v>1</v>
      </c>
      <c r="F324" s="1240">
        <v>1</v>
      </c>
      <c r="G324" s="1240">
        <v>0.23</v>
      </c>
      <c r="H324" s="1240">
        <v>2.4</v>
      </c>
      <c r="I324" s="1240">
        <f t="shared" si="28"/>
        <v>-0.55000000000000004</v>
      </c>
      <c r="J324" s="1243"/>
    </row>
    <row r="325" spans="1:10" ht="24.95" customHeight="1">
      <c r="A325" s="1237"/>
      <c r="B325" s="1238" t="s">
        <v>5502</v>
      </c>
      <c r="C325" s="1239">
        <v>-1</v>
      </c>
      <c r="D325" s="1239" t="s">
        <v>5404</v>
      </c>
      <c r="E325" s="1239">
        <v>1</v>
      </c>
      <c r="F325" s="1240">
        <v>1.8</v>
      </c>
      <c r="G325" s="1240">
        <v>0.23</v>
      </c>
      <c r="H325" s="1240">
        <v>0.6</v>
      </c>
      <c r="I325" s="1240">
        <f t="shared" si="28"/>
        <v>-0.25</v>
      </c>
      <c r="J325" s="1243"/>
    </row>
    <row r="326" spans="1:10" ht="24.95" customHeight="1">
      <c r="A326" s="1237"/>
      <c r="B326" s="1241" t="s">
        <v>5504</v>
      </c>
      <c r="C326" s="1239">
        <v>-1</v>
      </c>
      <c r="D326" s="1239" t="s">
        <v>5404</v>
      </c>
      <c r="E326" s="1239">
        <v>3</v>
      </c>
      <c r="F326" s="1240">
        <v>1.2</v>
      </c>
      <c r="G326" s="1240">
        <v>0.23</v>
      </c>
      <c r="H326" s="1240">
        <v>2.4</v>
      </c>
      <c r="I326" s="1240">
        <f t="shared" si="28"/>
        <v>-1.99</v>
      </c>
      <c r="J326" s="1243"/>
    </row>
    <row r="327" spans="1:10" ht="24.95" customHeight="1">
      <c r="A327" s="1237"/>
      <c r="B327" s="1238" t="s">
        <v>5502</v>
      </c>
      <c r="C327" s="1239">
        <v>-1</v>
      </c>
      <c r="D327" s="1239" t="s">
        <v>5404</v>
      </c>
      <c r="E327" s="1239">
        <v>3</v>
      </c>
      <c r="F327" s="1240">
        <v>1.2</v>
      </c>
      <c r="G327" s="1240">
        <v>0.23</v>
      </c>
      <c r="H327" s="1240">
        <v>0.6</v>
      </c>
      <c r="I327" s="1240">
        <f t="shared" si="28"/>
        <v>-0.5</v>
      </c>
      <c r="J327" s="1243"/>
    </row>
    <row r="328" spans="1:10" ht="24.95" customHeight="1">
      <c r="A328" s="1237"/>
      <c r="B328" s="1238" t="s">
        <v>5505</v>
      </c>
      <c r="C328" s="1239">
        <v>-1</v>
      </c>
      <c r="D328" s="1239" t="s">
        <v>5404</v>
      </c>
      <c r="E328" s="1239">
        <v>1</v>
      </c>
      <c r="F328" s="1240">
        <v>1.2</v>
      </c>
      <c r="G328" s="1240">
        <v>0.23</v>
      </c>
      <c r="H328" s="1240">
        <v>2.4</v>
      </c>
      <c r="I328" s="1240">
        <f t="shared" si="28"/>
        <v>-0.66</v>
      </c>
      <c r="J328" s="1243"/>
    </row>
    <row r="329" spans="1:10" ht="24.95" customHeight="1">
      <c r="A329" s="1237"/>
      <c r="B329" s="1254" t="s">
        <v>5502</v>
      </c>
      <c r="C329" s="1239">
        <v>-1</v>
      </c>
      <c r="D329" s="1239" t="s">
        <v>5404</v>
      </c>
      <c r="E329" s="1239">
        <v>1</v>
      </c>
      <c r="F329" s="1240">
        <v>2.1</v>
      </c>
      <c r="G329" s="1240">
        <v>0.23</v>
      </c>
      <c r="H329" s="1240">
        <v>0.6</v>
      </c>
      <c r="I329" s="1240">
        <f t="shared" si="28"/>
        <v>-0.28999999999999998</v>
      </c>
      <c r="J329" s="1266"/>
    </row>
    <row r="330" spans="1:10" ht="24.95" customHeight="1">
      <c r="A330" s="1237"/>
      <c r="B330" s="1238" t="s">
        <v>5506</v>
      </c>
      <c r="C330" s="1239">
        <v>-1</v>
      </c>
      <c r="D330" s="1239" t="s">
        <v>5404</v>
      </c>
      <c r="E330" s="1239">
        <v>1</v>
      </c>
      <c r="F330" s="1240">
        <v>1.8</v>
      </c>
      <c r="G330" s="1240">
        <v>0.23</v>
      </c>
      <c r="H330" s="1240">
        <v>2.4</v>
      </c>
      <c r="I330" s="1240">
        <f t="shared" si="28"/>
        <v>-0.99</v>
      </c>
      <c r="J330" s="1243"/>
    </row>
    <row r="331" spans="1:10" ht="24.95" customHeight="1">
      <c r="A331" s="1237"/>
      <c r="B331" s="1238" t="s">
        <v>5502</v>
      </c>
      <c r="C331" s="1239">
        <v>-1</v>
      </c>
      <c r="D331" s="1239" t="s">
        <v>5404</v>
      </c>
      <c r="E331" s="1239">
        <v>1</v>
      </c>
      <c r="F331" s="1240">
        <v>1.8</v>
      </c>
      <c r="G331" s="1240">
        <v>0.23</v>
      </c>
      <c r="H331" s="1240">
        <v>0.6</v>
      </c>
      <c r="I331" s="1240">
        <f t="shared" si="28"/>
        <v>-0.25</v>
      </c>
      <c r="J331" s="1243"/>
    </row>
    <row r="332" spans="1:10" ht="24.95" customHeight="1">
      <c r="A332" s="1237"/>
      <c r="B332" s="1238" t="s">
        <v>5507</v>
      </c>
      <c r="C332" s="1239">
        <v>-1</v>
      </c>
      <c r="D332" s="1239" t="s">
        <v>5404</v>
      </c>
      <c r="E332" s="1239">
        <v>2</v>
      </c>
      <c r="F332" s="1240">
        <v>0.9</v>
      </c>
      <c r="G332" s="1240">
        <v>0.23</v>
      </c>
      <c r="H332" s="1240">
        <v>2.4</v>
      </c>
      <c r="I332" s="1240">
        <f t="shared" si="28"/>
        <v>-0.99</v>
      </c>
      <c r="J332" s="1243"/>
    </row>
    <row r="333" spans="1:10" ht="24.95" customHeight="1">
      <c r="A333" s="1237"/>
      <c r="B333" s="1238" t="s">
        <v>5469</v>
      </c>
      <c r="C333" s="1239">
        <v>-1</v>
      </c>
      <c r="D333" s="1239" t="s">
        <v>5404</v>
      </c>
      <c r="E333" s="1239">
        <v>7</v>
      </c>
      <c r="F333" s="1240">
        <v>1.5</v>
      </c>
      <c r="G333" s="1240">
        <v>0.23</v>
      </c>
      <c r="H333" s="1240">
        <v>1.65</v>
      </c>
      <c r="I333" s="1240">
        <f t="shared" si="28"/>
        <v>-3.98</v>
      </c>
      <c r="J333" s="1243"/>
    </row>
    <row r="334" spans="1:10" ht="24.95" customHeight="1">
      <c r="A334" s="1237"/>
      <c r="B334" s="1238" t="s">
        <v>5461</v>
      </c>
      <c r="C334" s="1239">
        <v>-1</v>
      </c>
      <c r="D334" s="1239" t="s">
        <v>5404</v>
      </c>
      <c r="E334" s="1239">
        <v>1</v>
      </c>
      <c r="F334" s="1240">
        <v>0.9</v>
      </c>
      <c r="G334" s="1240">
        <v>0.23</v>
      </c>
      <c r="H334" s="1240">
        <v>1.65</v>
      </c>
      <c r="I334" s="1240">
        <f t="shared" si="28"/>
        <v>-0.34</v>
      </c>
      <c r="J334" s="1243"/>
    </row>
    <row r="335" spans="1:10" ht="24.95" customHeight="1">
      <c r="A335" s="1237"/>
      <c r="B335" s="1263" t="s">
        <v>5462</v>
      </c>
      <c r="C335" s="1239">
        <v>-1</v>
      </c>
      <c r="D335" s="1239" t="s">
        <v>5404</v>
      </c>
      <c r="E335" s="1239">
        <v>3</v>
      </c>
      <c r="F335" s="1240">
        <v>1.2</v>
      </c>
      <c r="G335" s="1240">
        <v>0.23</v>
      </c>
      <c r="H335" s="1240">
        <v>1.65</v>
      </c>
      <c r="I335" s="1240">
        <f t="shared" si="28"/>
        <v>-1.37</v>
      </c>
      <c r="J335" s="1236"/>
    </row>
    <row r="336" spans="1:10" ht="24.95" customHeight="1">
      <c r="A336" s="1237"/>
      <c r="B336" s="1247" t="s">
        <v>5463</v>
      </c>
      <c r="C336" s="1239">
        <v>-1</v>
      </c>
      <c r="D336" s="1239" t="s">
        <v>5404</v>
      </c>
      <c r="E336" s="1239">
        <v>1</v>
      </c>
      <c r="F336" s="1240">
        <v>1.8</v>
      </c>
      <c r="G336" s="1240">
        <v>0.23</v>
      </c>
      <c r="H336" s="1240">
        <v>2.4</v>
      </c>
      <c r="I336" s="1240">
        <f t="shared" si="28"/>
        <v>-0.99</v>
      </c>
      <c r="J336" s="1246"/>
    </row>
    <row r="337" spans="1:10" ht="24.95" customHeight="1">
      <c r="A337" s="1237"/>
      <c r="B337" s="1247" t="s">
        <v>5464</v>
      </c>
      <c r="C337" s="1239">
        <v>-1</v>
      </c>
      <c r="D337" s="1239" t="s">
        <v>5404</v>
      </c>
      <c r="E337" s="1239">
        <v>1</v>
      </c>
      <c r="F337" s="1240">
        <v>1.2</v>
      </c>
      <c r="G337" s="1240">
        <v>0.23</v>
      </c>
      <c r="H337" s="1240">
        <v>1.65</v>
      </c>
      <c r="I337" s="1240">
        <f t="shared" si="28"/>
        <v>-0.46</v>
      </c>
      <c r="J337" s="1236"/>
    </row>
    <row r="338" spans="1:10" ht="24.95" customHeight="1">
      <c r="A338" s="1237"/>
      <c r="B338" s="1247" t="s">
        <v>5465</v>
      </c>
      <c r="C338" s="1239">
        <v>-1</v>
      </c>
      <c r="D338" s="1239" t="s">
        <v>5404</v>
      </c>
      <c r="E338" s="1239">
        <v>1</v>
      </c>
      <c r="F338" s="1240">
        <v>1.5</v>
      </c>
      <c r="G338" s="1240">
        <v>0.23</v>
      </c>
      <c r="H338" s="1240">
        <v>1.65</v>
      </c>
      <c r="I338" s="1240">
        <f t="shared" si="28"/>
        <v>-0.56999999999999995</v>
      </c>
      <c r="J338" s="1236"/>
    </row>
    <row r="339" spans="1:10" ht="24.95" customHeight="1">
      <c r="A339" s="1237"/>
      <c r="B339" s="1247" t="s">
        <v>5466</v>
      </c>
      <c r="C339" s="1239">
        <v>-1</v>
      </c>
      <c r="D339" s="1239" t="s">
        <v>5404</v>
      </c>
      <c r="E339" s="1239">
        <v>2</v>
      </c>
      <c r="F339" s="1240">
        <v>1.05</v>
      </c>
      <c r="G339" s="1240">
        <v>0.23</v>
      </c>
      <c r="H339" s="1240">
        <v>1.65</v>
      </c>
      <c r="I339" s="1240">
        <f t="shared" si="28"/>
        <v>-0.8</v>
      </c>
      <c r="J339" s="1246"/>
    </row>
    <row r="340" spans="1:10" ht="24.95" customHeight="1">
      <c r="A340" s="1237"/>
      <c r="B340" s="1233" t="s">
        <v>5508</v>
      </c>
      <c r="C340" s="1234"/>
      <c r="D340" s="1234"/>
      <c r="E340" s="1234"/>
      <c r="F340" s="1235"/>
      <c r="G340" s="1235"/>
      <c r="H340" s="1235"/>
      <c r="I340" s="1235"/>
      <c r="J340" s="1236"/>
    </row>
    <row r="341" spans="1:10" ht="24.95" customHeight="1">
      <c r="A341" s="1237"/>
      <c r="B341" s="1238" t="s">
        <v>5877</v>
      </c>
      <c r="C341" s="1239">
        <v>-1</v>
      </c>
      <c r="D341" s="1239" t="s">
        <v>5404</v>
      </c>
      <c r="E341" s="1239">
        <v>1</v>
      </c>
      <c r="F341" s="1240">
        <v>64.88</v>
      </c>
      <c r="G341" s="1248">
        <v>0.23</v>
      </c>
      <c r="H341" s="1248">
        <v>0.15</v>
      </c>
      <c r="I341" s="1248">
        <f t="shared" ref="I341:I364" si="29">PRODUCT(C341:H341)</f>
        <v>-2.2400000000000002</v>
      </c>
      <c r="J341" s="1236"/>
    </row>
    <row r="342" spans="1:10" ht="24.95" customHeight="1">
      <c r="A342" s="1237"/>
      <c r="B342" s="1238" t="s">
        <v>5878</v>
      </c>
      <c r="C342" s="1239">
        <v>-1</v>
      </c>
      <c r="D342" s="1239" t="s">
        <v>5404</v>
      </c>
      <c r="E342" s="1239">
        <v>1</v>
      </c>
      <c r="F342" s="1240">
        <v>20.12</v>
      </c>
      <c r="G342" s="1248">
        <v>0.23</v>
      </c>
      <c r="H342" s="1248">
        <v>0.15</v>
      </c>
      <c r="I342" s="1248">
        <f t="shared" si="29"/>
        <v>-0.69</v>
      </c>
      <c r="J342" s="1236"/>
    </row>
    <row r="343" spans="1:10" ht="24.95" customHeight="1">
      <c r="A343" s="1237"/>
      <c r="B343" s="1238"/>
      <c r="C343" s="1239">
        <v>-1</v>
      </c>
      <c r="D343" s="1239" t="s">
        <v>5404</v>
      </c>
      <c r="E343" s="1239">
        <v>1</v>
      </c>
      <c r="F343" s="1240">
        <v>16.59</v>
      </c>
      <c r="G343" s="1248">
        <v>0.23</v>
      </c>
      <c r="H343" s="1248">
        <v>0.15</v>
      </c>
      <c r="I343" s="1248">
        <f t="shared" si="29"/>
        <v>-0.56999999999999995</v>
      </c>
      <c r="J343" s="1236"/>
    </row>
    <row r="344" spans="1:10" ht="24.95" customHeight="1">
      <c r="A344" s="1237"/>
      <c r="B344" s="1238" t="s">
        <v>5879</v>
      </c>
      <c r="C344" s="1239">
        <v>-1</v>
      </c>
      <c r="D344" s="1239" t="s">
        <v>5404</v>
      </c>
      <c r="E344" s="1239">
        <v>1</v>
      </c>
      <c r="F344" s="1240">
        <v>3.3</v>
      </c>
      <c r="G344" s="1248">
        <v>0.23</v>
      </c>
      <c r="H344" s="1248">
        <v>0.15</v>
      </c>
      <c r="I344" s="1248">
        <f t="shared" si="29"/>
        <v>-0.11</v>
      </c>
      <c r="J344" s="1236"/>
    </row>
    <row r="345" spans="1:10" ht="24.95" customHeight="1">
      <c r="A345" s="1237"/>
      <c r="B345" s="1238" t="s">
        <v>5880</v>
      </c>
      <c r="C345" s="1239">
        <v>-1</v>
      </c>
      <c r="D345" s="1239" t="s">
        <v>5404</v>
      </c>
      <c r="E345" s="1239">
        <v>3</v>
      </c>
      <c r="F345" s="1240">
        <v>3.6</v>
      </c>
      <c r="G345" s="1248">
        <v>0.23</v>
      </c>
      <c r="H345" s="1248">
        <v>0.15</v>
      </c>
      <c r="I345" s="1248">
        <f t="shared" si="29"/>
        <v>-0.37</v>
      </c>
      <c r="J345" s="1236"/>
    </row>
    <row r="346" spans="1:10" ht="24.95" customHeight="1">
      <c r="A346" s="1237"/>
      <c r="B346" s="1238" t="s">
        <v>5881</v>
      </c>
      <c r="C346" s="1239">
        <v>-1</v>
      </c>
      <c r="D346" s="1239" t="s">
        <v>5404</v>
      </c>
      <c r="E346" s="1239">
        <v>2</v>
      </c>
      <c r="F346" s="1240">
        <v>6</v>
      </c>
      <c r="G346" s="1248">
        <v>0.23</v>
      </c>
      <c r="H346" s="1248">
        <v>0.15</v>
      </c>
      <c r="I346" s="1248">
        <f t="shared" si="29"/>
        <v>-0.41</v>
      </c>
      <c r="J346" s="1236"/>
    </row>
    <row r="347" spans="1:10" ht="24.95" customHeight="1">
      <c r="A347" s="1237"/>
      <c r="B347" s="1238" t="s">
        <v>5882</v>
      </c>
      <c r="C347" s="1239">
        <v>-1</v>
      </c>
      <c r="D347" s="1239" t="s">
        <v>5404</v>
      </c>
      <c r="E347" s="1239">
        <v>1</v>
      </c>
      <c r="F347" s="1240">
        <v>8.0299999999999994</v>
      </c>
      <c r="G347" s="1248">
        <v>0.23</v>
      </c>
      <c r="H347" s="1248">
        <v>0.15</v>
      </c>
      <c r="I347" s="1248">
        <f t="shared" si="29"/>
        <v>-0.28000000000000003</v>
      </c>
      <c r="J347" s="1236"/>
    </row>
    <row r="348" spans="1:10" ht="24.95" customHeight="1">
      <c r="A348" s="1237"/>
      <c r="B348" s="1238" t="s">
        <v>5889</v>
      </c>
      <c r="C348" s="1239">
        <v>-1</v>
      </c>
      <c r="D348" s="1244" t="s">
        <v>5404</v>
      </c>
      <c r="E348" s="1244">
        <v>1</v>
      </c>
      <c r="F348" s="1242">
        <v>2</v>
      </c>
      <c r="G348" s="1248">
        <v>0.23</v>
      </c>
      <c r="H348" s="1248">
        <v>0.15</v>
      </c>
      <c r="I348" s="1248">
        <f t="shared" si="29"/>
        <v>-7.0000000000000007E-2</v>
      </c>
      <c r="J348" s="1236"/>
    </row>
    <row r="349" spans="1:10" ht="24.95" customHeight="1">
      <c r="A349" s="1237"/>
      <c r="B349" s="1247" t="s">
        <v>5460</v>
      </c>
      <c r="C349" s="1234">
        <v>-1</v>
      </c>
      <c r="D349" s="1234" t="s">
        <v>5404</v>
      </c>
      <c r="E349" s="1234">
        <v>7</v>
      </c>
      <c r="F349" s="1248">
        <v>1.96</v>
      </c>
      <c r="G349" s="1248">
        <v>0.23</v>
      </c>
      <c r="H349" s="1248">
        <v>0.05</v>
      </c>
      <c r="I349" s="1248">
        <f t="shared" si="29"/>
        <v>-0.16</v>
      </c>
      <c r="J349" s="1236"/>
    </row>
    <row r="350" spans="1:10" ht="24.95" customHeight="1">
      <c r="A350" s="1237"/>
      <c r="B350" s="1247" t="s">
        <v>5461</v>
      </c>
      <c r="C350" s="1234">
        <v>-1</v>
      </c>
      <c r="D350" s="1234" t="s">
        <v>5404</v>
      </c>
      <c r="E350" s="1234">
        <v>1</v>
      </c>
      <c r="F350" s="1248">
        <v>1.81</v>
      </c>
      <c r="G350" s="1248">
        <v>0.23</v>
      </c>
      <c r="H350" s="1248">
        <v>0.05</v>
      </c>
      <c r="I350" s="1248">
        <f t="shared" si="29"/>
        <v>-0.02</v>
      </c>
      <c r="J350" s="1236"/>
    </row>
    <row r="351" spans="1:10" ht="24.95" customHeight="1">
      <c r="A351" s="1237"/>
      <c r="B351" s="1247" t="s">
        <v>5462</v>
      </c>
      <c r="C351" s="1234">
        <v>-1</v>
      </c>
      <c r="D351" s="1234" t="s">
        <v>5404</v>
      </c>
      <c r="E351" s="1234">
        <v>3</v>
      </c>
      <c r="F351" s="1248">
        <v>1.36</v>
      </c>
      <c r="G351" s="1248">
        <v>0.23</v>
      </c>
      <c r="H351" s="1248">
        <v>0.05</v>
      </c>
      <c r="I351" s="1248">
        <f t="shared" si="29"/>
        <v>-0.05</v>
      </c>
      <c r="J351" s="1236"/>
    </row>
    <row r="352" spans="1:10" ht="24.95" customHeight="1">
      <c r="A352" s="1237"/>
      <c r="B352" s="1247" t="s">
        <v>5463</v>
      </c>
      <c r="C352" s="1234">
        <v>-1</v>
      </c>
      <c r="D352" s="1234" t="s">
        <v>5404</v>
      </c>
      <c r="E352" s="1234">
        <v>1</v>
      </c>
      <c r="F352" s="1248">
        <v>1.21</v>
      </c>
      <c r="G352" s="1248">
        <v>0.23</v>
      </c>
      <c r="H352" s="1248">
        <v>0.05</v>
      </c>
      <c r="I352" s="1248">
        <f t="shared" si="29"/>
        <v>-0.01</v>
      </c>
      <c r="J352" s="1236"/>
    </row>
    <row r="353" spans="1:11" ht="24.95" customHeight="1">
      <c r="A353" s="1237"/>
      <c r="B353" s="1247" t="s">
        <v>5464</v>
      </c>
      <c r="C353" s="1234">
        <v>-1</v>
      </c>
      <c r="D353" s="1234" t="s">
        <v>5404</v>
      </c>
      <c r="E353" s="1234">
        <v>1</v>
      </c>
      <c r="F353" s="1248">
        <v>1.66</v>
      </c>
      <c r="G353" s="1248">
        <v>0.23</v>
      </c>
      <c r="H353" s="1248">
        <v>0.05</v>
      </c>
      <c r="I353" s="1248">
        <f t="shared" si="29"/>
        <v>-0.02</v>
      </c>
      <c r="J353" s="1236"/>
    </row>
    <row r="354" spans="1:11" ht="24.95" customHeight="1">
      <c r="A354" s="1237"/>
      <c r="B354" s="1247" t="s">
        <v>5465</v>
      </c>
      <c r="C354" s="1234">
        <v>-1</v>
      </c>
      <c r="D354" s="1234" t="s">
        <v>5404</v>
      </c>
      <c r="E354" s="1234">
        <v>1</v>
      </c>
      <c r="F354" s="1248">
        <v>1.96</v>
      </c>
      <c r="G354" s="1248">
        <v>0.23</v>
      </c>
      <c r="H354" s="1248">
        <v>0.05</v>
      </c>
      <c r="I354" s="1248">
        <f t="shared" si="29"/>
        <v>-0.02</v>
      </c>
      <c r="J354" s="1236"/>
    </row>
    <row r="355" spans="1:11" ht="24.95" customHeight="1">
      <c r="A355" s="1237"/>
      <c r="B355" s="1247" t="s">
        <v>5466</v>
      </c>
      <c r="C355" s="1234">
        <v>-1</v>
      </c>
      <c r="D355" s="1234" t="s">
        <v>5404</v>
      </c>
      <c r="E355" s="1234">
        <v>2</v>
      </c>
      <c r="F355" s="1248">
        <v>1.51</v>
      </c>
      <c r="G355" s="1248">
        <v>0.23</v>
      </c>
      <c r="H355" s="1248">
        <v>0.05</v>
      </c>
      <c r="I355" s="1248">
        <f t="shared" si="29"/>
        <v>-0.03</v>
      </c>
      <c r="J355" s="1236"/>
    </row>
    <row r="356" spans="1:11" ht="24.95" customHeight="1">
      <c r="A356" s="1237"/>
      <c r="B356" s="1247" t="s">
        <v>5467</v>
      </c>
      <c r="C356" s="1234">
        <v>-1</v>
      </c>
      <c r="D356" s="1234" t="s">
        <v>5404</v>
      </c>
      <c r="E356" s="1234">
        <v>1</v>
      </c>
      <c r="F356" s="1248">
        <v>2.11</v>
      </c>
      <c r="G356" s="1248">
        <v>0.23</v>
      </c>
      <c r="H356" s="1248">
        <v>0.05</v>
      </c>
      <c r="I356" s="1248">
        <f t="shared" si="29"/>
        <v>-0.02</v>
      </c>
      <c r="J356" s="1236"/>
    </row>
    <row r="357" spans="1:11" ht="24.95" customHeight="1">
      <c r="A357" s="1237"/>
      <c r="B357" s="1247" t="s">
        <v>5447</v>
      </c>
      <c r="C357" s="1234">
        <v>-1</v>
      </c>
      <c r="D357" s="1234" t="s">
        <v>5404</v>
      </c>
      <c r="E357" s="1234">
        <v>5</v>
      </c>
      <c r="F357" s="1248">
        <v>0.23</v>
      </c>
      <c r="G357" s="1248">
        <v>0.38</v>
      </c>
      <c r="H357" s="1248">
        <v>3.15</v>
      </c>
      <c r="I357" s="1248">
        <f t="shared" si="29"/>
        <v>-1.38</v>
      </c>
      <c r="J357" s="1236"/>
    </row>
    <row r="358" spans="1:11" ht="24.95" customHeight="1">
      <c r="A358" s="1237"/>
      <c r="B358" s="1247" t="s">
        <v>5430</v>
      </c>
      <c r="C358" s="1234">
        <v>-1</v>
      </c>
      <c r="D358" s="1234" t="s">
        <v>5404</v>
      </c>
      <c r="E358" s="1234">
        <v>1</v>
      </c>
      <c r="F358" s="1248">
        <v>0.23</v>
      </c>
      <c r="G358" s="1248">
        <v>0.45</v>
      </c>
      <c r="H358" s="1248">
        <v>3</v>
      </c>
      <c r="I358" s="1248">
        <f t="shared" si="29"/>
        <v>-0.31</v>
      </c>
      <c r="J358" s="1246"/>
    </row>
    <row r="359" spans="1:11" ht="24.95" customHeight="1">
      <c r="A359" s="1237"/>
      <c r="B359" s="1247" t="s">
        <v>5430</v>
      </c>
      <c r="C359" s="1234">
        <v>-1</v>
      </c>
      <c r="D359" s="1234" t="s">
        <v>5404</v>
      </c>
      <c r="E359" s="1234">
        <v>3</v>
      </c>
      <c r="F359" s="1248">
        <v>0.23</v>
      </c>
      <c r="G359" s="1248">
        <v>0.45</v>
      </c>
      <c r="H359" s="1248">
        <v>3.15</v>
      </c>
      <c r="I359" s="1248">
        <f t="shared" si="29"/>
        <v>-0.98</v>
      </c>
      <c r="J359" s="1236"/>
    </row>
    <row r="360" spans="1:11" ht="24.95" customHeight="1">
      <c r="A360" s="1237"/>
      <c r="B360" s="1247" t="s">
        <v>5448</v>
      </c>
      <c r="C360" s="1234">
        <v>-1</v>
      </c>
      <c r="D360" s="1234" t="s">
        <v>5404</v>
      </c>
      <c r="E360" s="1234">
        <v>1</v>
      </c>
      <c r="F360" s="1248">
        <v>0.23</v>
      </c>
      <c r="G360" s="1248">
        <v>0.6</v>
      </c>
      <c r="H360" s="1248">
        <v>3</v>
      </c>
      <c r="I360" s="1248">
        <f t="shared" si="29"/>
        <v>-0.41</v>
      </c>
      <c r="J360" s="1236"/>
    </row>
    <row r="361" spans="1:11" ht="24.95" customHeight="1">
      <c r="A361" s="1237"/>
      <c r="B361" s="1247" t="s">
        <v>5448</v>
      </c>
      <c r="C361" s="1234">
        <v>-1</v>
      </c>
      <c r="D361" s="1234" t="s">
        <v>5404</v>
      </c>
      <c r="E361" s="1234">
        <v>2</v>
      </c>
      <c r="F361" s="1248">
        <v>0.23</v>
      </c>
      <c r="G361" s="1248">
        <v>0.6</v>
      </c>
      <c r="H361" s="1248">
        <v>3.15</v>
      </c>
      <c r="I361" s="1248">
        <f t="shared" si="29"/>
        <v>-0.87</v>
      </c>
      <c r="J361" s="1236"/>
    </row>
    <row r="362" spans="1:11" ht="24.95" customHeight="1">
      <c r="A362" s="1237"/>
      <c r="B362" s="1247" t="s">
        <v>5432</v>
      </c>
      <c r="C362" s="1234">
        <v>-1</v>
      </c>
      <c r="D362" s="1234" t="s">
        <v>5404</v>
      </c>
      <c r="E362" s="1234">
        <v>2</v>
      </c>
      <c r="F362" s="1248">
        <v>0.3</v>
      </c>
      <c r="G362" s="1248">
        <v>0.38</v>
      </c>
      <c r="H362" s="1248">
        <v>3.15</v>
      </c>
      <c r="I362" s="1248">
        <f t="shared" si="29"/>
        <v>-0.72</v>
      </c>
      <c r="J362" s="1236"/>
    </row>
    <row r="363" spans="1:11" ht="24.95" customHeight="1">
      <c r="A363" s="1237"/>
      <c r="B363" s="1247" t="s">
        <v>5436</v>
      </c>
      <c r="C363" s="1234">
        <v>-1</v>
      </c>
      <c r="D363" s="1234" t="s">
        <v>5404</v>
      </c>
      <c r="E363" s="1234">
        <v>4</v>
      </c>
      <c r="F363" s="1248">
        <v>0.3</v>
      </c>
      <c r="G363" s="1248">
        <v>0.6</v>
      </c>
      <c r="H363" s="1248">
        <v>3</v>
      </c>
      <c r="I363" s="1248">
        <f t="shared" si="29"/>
        <v>-2.16</v>
      </c>
      <c r="J363" s="1236"/>
    </row>
    <row r="364" spans="1:11" ht="24.95" customHeight="1">
      <c r="A364" s="1237"/>
      <c r="B364" s="1247" t="s">
        <v>5437</v>
      </c>
      <c r="C364" s="1234">
        <v>-1</v>
      </c>
      <c r="D364" s="1234" t="s">
        <v>5404</v>
      </c>
      <c r="E364" s="1234">
        <v>9</v>
      </c>
      <c r="F364" s="1248">
        <v>0.38</v>
      </c>
      <c r="G364" s="1248">
        <v>0.38</v>
      </c>
      <c r="H364" s="1248">
        <v>3.15</v>
      </c>
      <c r="I364" s="1248">
        <f t="shared" si="29"/>
        <v>-4.09</v>
      </c>
      <c r="J364" s="1236"/>
    </row>
    <row r="365" spans="1:11" ht="24.95" customHeight="1">
      <c r="A365" s="1237"/>
      <c r="B365" s="1233"/>
      <c r="C365" s="1234"/>
      <c r="D365" s="1234"/>
      <c r="E365" s="1234"/>
      <c r="F365" s="1235"/>
      <c r="G365" s="1235"/>
      <c r="H365" s="1235"/>
      <c r="I365" s="1235">
        <f>SUM(I309:I364)</f>
        <v>76.75</v>
      </c>
      <c r="J365" s="1236"/>
      <c r="K365" s="1230">
        <v>0.06</v>
      </c>
    </row>
    <row r="366" spans="1:11" ht="24.95" customHeight="1">
      <c r="A366" s="1237"/>
      <c r="B366" s="1233"/>
      <c r="C366" s="1234"/>
      <c r="D366" s="1234"/>
      <c r="E366" s="1234"/>
      <c r="F366" s="1235"/>
      <c r="G366" s="1235"/>
      <c r="H366" s="1249" t="s">
        <v>4322</v>
      </c>
      <c r="I366" s="1249">
        <f>ROUNDUP(I365,1-0)</f>
        <v>76.8</v>
      </c>
      <c r="J366" s="1246" t="s">
        <v>2176</v>
      </c>
    </row>
    <row r="367" spans="1:11" ht="24.95" customHeight="1">
      <c r="A367" s="1237"/>
      <c r="B367" s="1233" t="s">
        <v>5509</v>
      </c>
      <c r="C367" s="1234"/>
      <c r="D367" s="1234"/>
      <c r="E367" s="1234"/>
      <c r="F367" s="1235"/>
      <c r="G367" s="1235"/>
      <c r="H367" s="1235"/>
      <c r="I367" s="1235"/>
      <c r="J367" s="1236"/>
    </row>
    <row r="368" spans="1:11" ht="24.95" customHeight="1">
      <c r="A368" s="1237"/>
      <c r="B368" s="1238" t="s">
        <v>5446</v>
      </c>
      <c r="C368" s="1239">
        <v>1</v>
      </c>
      <c r="D368" s="1239" t="s">
        <v>5404</v>
      </c>
      <c r="E368" s="1239">
        <v>1</v>
      </c>
      <c r="F368" s="1240">
        <v>64.88</v>
      </c>
      <c r="G368" s="1240">
        <v>0.23</v>
      </c>
      <c r="H368" s="1240">
        <v>3.3</v>
      </c>
      <c r="I368" s="1240">
        <f t="shared" ref="I368:I409" si="30">PRODUCT(C368:H368)</f>
        <v>49.24</v>
      </c>
      <c r="J368" s="1243"/>
    </row>
    <row r="369" spans="1:10" ht="24.95" customHeight="1">
      <c r="A369" s="1237"/>
      <c r="B369" s="1238" t="s">
        <v>5510</v>
      </c>
      <c r="C369" s="1239">
        <v>1</v>
      </c>
      <c r="D369" s="1239" t="s">
        <v>5404</v>
      </c>
      <c r="E369" s="1239">
        <v>1</v>
      </c>
      <c r="F369" s="1240">
        <v>14.18</v>
      </c>
      <c r="G369" s="1240">
        <v>0.23</v>
      </c>
      <c r="H369" s="1240">
        <v>3.3</v>
      </c>
      <c r="I369" s="1240">
        <f t="shared" si="30"/>
        <v>10.76</v>
      </c>
      <c r="J369" s="1243"/>
    </row>
    <row r="370" spans="1:10" ht="24.95" customHeight="1">
      <c r="A370" s="1237"/>
      <c r="B370" s="1238" t="s">
        <v>5511</v>
      </c>
      <c r="C370" s="1239">
        <v>1</v>
      </c>
      <c r="D370" s="1239" t="s">
        <v>5404</v>
      </c>
      <c r="E370" s="1239">
        <v>1</v>
      </c>
      <c r="F370" s="1240">
        <v>16.809999999999999</v>
      </c>
      <c r="G370" s="1240">
        <v>0.23</v>
      </c>
      <c r="H370" s="1240">
        <v>3.3</v>
      </c>
      <c r="I370" s="1240">
        <f t="shared" si="30"/>
        <v>12.76</v>
      </c>
      <c r="J370" s="1236"/>
    </row>
    <row r="371" spans="1:10" ht="24.95" customHeight="1">
      <c r="A371" s="1237"/>
      <c r="B371" s="1238" t="s">
        <v>5512</v>
      </c>
      <c r="C371" s="1239">
        <v>1</v>
      </c>
      <c r="D371" s="1239" t="s">
        <v>5404</v>
      </c>
      <c r="E371" s="1239">
        <v>2</v>
      </c>
      <c r="F371" s="1240">
        <v>6</v>
      </c>
      <c r="G371" s="1240">
        <v>0.23</v>
      </c>
      <c r="H371" s="1240">
        <v>3.3</v>
      </c>
      <c r="I371" s="1240">
        <f t="shared" si="30"/>
        <v>9.11</v>
      </c>
      <c r="J371" s="1236"/>
    </row>
    <row r="372" spans="1:10" ht="24.95" customHeight="1">
      <c r="A372" s="1237"/>
      <c r="B372" s="1238" t="s">
        <v>5513</v>
      </c>
      <c r="C372" s="1239">
        <v>1</v>
      </c>
      <c r="D372" s="1239" t="s">
        <v>5404</v>
      </c>
      <c r="E372" s="1239">
        <v>3</v>
      </c>
      <c r="F372" s="1240">
        <v>3.6</v>
      </c>
      <c r="G372" s="1240">
        <v>0.23</v>
      </c>
      <c r="H372" s="1240">
        <v>3.3</v>
      </c>
      <c r="I372" s="1240">
        <f t="shared" si="30"/>
        <v>8.1999999999999993</v>
      </c>
      <c r="J372" s="1236"/>
    </row>
    <row r="373" spans="1:10" ht="24.95" customHeight="1">
      <c r="A373" s="1237"/>
      <c r="B373" s="1247" t="s">
        <v>5514</v>
      </c>
      <c r="C373" s="1239">
        <v>1</v>
      </c>
      <c r="D373" s="1239" t="s">
        <v>5404</v>
      </c>
      <c r="E373" s="1239">
        <v>1</v>
      </c>
      <c r="F373" s="1240">
        <v>64.88</v>
      </c>
      <c r="G373" s="1240">
        <v>0.23</v>
      </c>
      <c r="H373" s="1240">
        <v>1.2</v>
      </c>
      <c r="I373" s="1240">
        <f t="shared" si="30"/>
        <v>17.91</v>
      </c>
      <c r="J373" s="1236"/>
    </row>
    <row r="374" spans="1:10" ht="24.95" customHeight="1">
      <c r="A374" s="1237"/>
      <c r="B374" s="1247" t="s">
        <v>5515</v>
      </c>
      <c r="C374" s="1239">
        <v>-1</v>
      </c>
      <c r="D374" s="1239" t="s">
        <v>5404</v>
      </c>
      <c r="E374" s="1239">
        <v>1</v>
      </c>
      <c r="F374" s="1240">
        <v>8</v>
      </c>
      <c r="G374" s="1240">
        <v>0.23</v>
      </c>
      <c r="H374" s="1240">
        <v>1.2</v>
      </c>
      <c r="I374" s="1240">
        <f t="shared" si="30"/>
        <v>-2.21</v>
      </c>
      <c r="J374" s="1236"/>
    </row>
    <row r="375" spans="1:10" ht="24.95" customHeight="1">
      <c r="A375" s="1237"/>
      <c r="B375" s="1247" t="s">
        <v>5516</v>
      </c>
      <c r="C375" s="1239">
        <v>1</v>
      </c>
      <c r="D375" s="1239" t="s">
        <v>5404</v>
      </c>
      <c r="E375" s="1239">
        <v>1</v>
      </c>
      <c r="F375" s="1240">
        <v>39.4</v>
      </c>
      <c r="G375" s="1240">
        <v>0.23</v>
      </c>
      <c r="H375" s="1240">
        <v>1.2</v>
      </c>
      <c r="I375" s="1240">
        <f t="shared" si="30"/>
        <v>10.87</v>
      </c>
      <c r="J375" s="1236"/>
    </row>
    <row r="376" spans="1:10" ht="24.95" customHeight="1">
      <c r="A376" s="1237"/>
      <c r="B376" s="1247" t="s">
        <v>5517</v>
      </c>
      <c r="C376" s="1239">
        <v>-1</v>
      </c>
      <c r="D376" s="1239" t="s">
        <v>5404</v>
      </c>
      <c r="E376" s="1239">
        <v>7</v>
      </c>
      <c r="F376" s="1240">
        <v>1.2</v>
      </c>
      <c r="G376" s="1240">
        <v>0.23</v>
      </c>
      <c r="H376" s="1240">
        <v>2.4</v>
      </c>
      <c r="I376" s="1240">
        <f t="shared" si="30"/>
        <v>-4.6399999999999997</v>
      </c>
      <c r="J376" s="1236"/>
    </row>
    <row r="377" spans="1:10" ht="24.95" customHeight="1">
      <c r="A377" s="1237"/>
      <c r="B377" s="1247" t="s">
        <v>5502</v>
      </c>
      <c r="C377" s="1239">
        <v>-1</v>
      </c>
      <c r="D377" s="1239" t="s">
        <v>5404</v>
      </c>
      <c r="E377" s="1239">
        <v>7</v>
      </c>
      <c r="F377" s="1240">
        <v>1.2</v>
      </c>
      <c r="G377" s="1240">
        <v>0.23</v>
      </c>
      <c r="H377" s="1240">
        <v>0.6</v>
      </c>
      <c r="I377" s="1240">
        <f t="shared" si="30"/>
        <v>-1.1599999999999999</v>
      </c>
      <c r="J377" s="1236"/>
    </row>
    <row r="378" spans="1:10" ht="24.95" customHeight="1">
      <c r="A378" s="1237"/>
      <c r="B378" s="1247" t="s">
        <v>5501</v>
      </c>
      <c r="C378" s="1239">
        <v>-1</v>
      </c>
      <c r="D378" s="1239" t="s">
        <v>5404</v>
      </c>
      <c r="E378" s="1239">
        <v>2</v>
      </c>
      <c r="F378" s="1240">
        <v>0.75</v>
      </c>
      <c r="G378" s="1240">
        <v>0.23</v>
      </c>
      <c r="H378" s="1240">
        <v>2.4</v>
      </c>
      <c r="I378" s="1240">
        <f t="shared" si="30"/>
        <v>-0.83</v>
      </c>
      <c r="J378" s="1236"/>
    </row>
    <row r="379" spans="1:10" ht="24.95" customHeight="1">
      <c r="A379" s="1237"/>
      <c r="B379" s="1247" t="s">
        <v>5507</v>
      </c>
      <c r="C379" s="1239">
        <v>-1</v>
      </c>
      <c r="D379" s="1239" t="s">
        <v>5404</v>
      </c>
      <c r="E379" s="1239">
        <v>2</v>
      </c>
      <c r="F379" s="1240">
        <v>0.9</v>
      </c>
      <c r="G379" s="1240">
        <v>0.23</v>
      </c>
      <c r="H379" s="1240">
        <v>2.4</v>
      </c>
      <c r="I379" s="1240">
        <f t="shared" si="30"/>
        <v>-0.99</v>
      </c>
      <c r="J379" s="1236"/>
    </row>
    <row r="380" spans="1:10" ht="24.95" customHeight="1">
      <c r="A380" s="1237"/>
      <c r="B380" s="1247" t="s">
        <v>5518</v>
      </c>
      <c r="C380" s="1239">
        <v>-1</v>
      </c>
      <c r="D380" s="1239" t="s">
        <v>5404</v>
      </c>
      <c r="E380" s="1239">
        <v>2</v>
      </c>
      <c r="F380" s="1240">
        <v>1.8</v>
      </c>
      <c r="G380" s="1240">
        <v>0.23</v>
      </c>
      <c r="H380" s="1240">
        <v>1.65</v>
      </c>
      <c r="I380" s="1240">
        <f t="shared" si="30"/>
        <v>-1.37</v>
      </c>
      <c r="J380" s="1236"/>
    </row>
    <row r="381" spans="1:10" ht="24.95" customHeight="1">
      <c r="A381" s="1237"/>
      <c r="B381" s="1247" t="s">
        <v>5469</v>
      </c>
      <c r="C381" s="1239">
        <v>-1</v>
      </c>
      <c r="D381" s="1239" t="s">
        <v>5404</v>
      </c>
      <c r="E381" s="1239">
        <v>6</v>
      </c>
      <c r="F381" s="1240">
        <v>1.5</v>
      </c>
      <c r="G381" s="1240">
        <v>0.23</v>
      </c>
      <c r="H381" s="1240">
        <v>1.65</v>
      </c>
      <c r="I381" s="1240">
        <f t="shared" si="30"/>
        <v>-3.42</v>
      </c>
      <c r="J381" s="1236"/>
    </row>
    <row r="382" spans="1:10" ht="24.95" customHeight="1">
      <c r="A382" s="1237"/>
      <c r="B382" s="1247" t="s">
        <v>5462</v>
      </c>
      <c r="C382" s="1239">
        <v>-1</v>
      </c>
      <c r="D382" s="1239" t="s">
        <v>5404</v>
      </c>
      <c r="E382" s="1239">
        <v>6</v>
      </c>
      <c r="F382" s="1240">
        <v>0.9</v>
      </c>
      <c r="G382" s="1240">
        <v>0.23</v>
      </c>
      <c r="H382" s="1240">
        <v>1.65</v>
      </c>
      <c r="I382" s="1240">
        <f t="shared" si="30"/>
        <v>-2.0499999999999998</v>
      </c>
      <c r="J382" s="1236"/>
    </row>
    <row r="383" spans="1:10" ht="24.95" customHeight="1">
      <c r="A383" s="1237"/>
      <c r="B383" s="1247" t="s">
        <v>5482</v>
      </c>
      <c r="C383" s="1239">
        <v>-1</v>
      </c>
      <c r="D383" s="1239" t="s">
        <v>5404</v>
      </c>
      <c r="E383" s="1239">
        <v>4</v>
      </c>
      <c r="F383" s="1240">
        <v>1.2</v>
      </c>
      <c r="G383" s="1240">
        <v>0.23</v>
      </c>
      <c r="H383" s="1240">
        <v>1.65</v>
      </c>
      <c r="I383" s="1240">
        <f t="shared" si="30"/>
        <v>-1.82</v>
      </c>
      <c r="J383" s="1236"/>
    </row>
    <row r="384" spans="1:10" ht="24.95" customHeight="1">
      <c r="A384" s="1237"/>
      <c r="B384" s="1247" t="s">
        <v>5464</v>
      </c>
      <c r="C384" s="1239">
        <v>-1</v>
      </c>
      <c r="D384" s="1239" t="s">
        <v>5404</v>
      </c>
      <c r="E384" s="1239">
        <v>1</v>
      </c>
      <c r="F384" s="1240">
        <v>1.2</v>
      </c>
      <c r="G384" s="1240">
        <v>0.23</v>
      </c>
      <c r="H384" s="1240">
        <v>1.65</v>
      </c>
      <c r="I384" s="1240">
        <f t="shared" si="30"/>
        <v>-0.46</v>
      </c>
      <c r="J384" s="1236"/>
    </row>
    <row r="385" spans="1:10" ht="24.95" customHeight="1">
      <c r="A385" s="1237"/>
      <c r="B385" s="1247" t="s">
        <v>5465</v>
      </c>
      <c r="C385" s="1239">
        <v>-1</v>
      </c>
      <c r="D385" s="1239" t="s">
        <v>5404</v>
      </c>
      <c r="E385" s="1239">
        <v>1</v>
      </c>
      <c r="F385" s="1240">
        <v>1.5</v>
      </c>
      <c r="G385" s="1240">
        <v>0.23</v>
      </c>
      <c r="H385" s="1240">
        <v>1.65</v>
      </c>
      <c r="I385" s="1240">
        <f t="shared" si="30"/>
        <v>-0.56999999999999995</v>
      </c>
      <c r="J385" s="1236"/>
    </row>
    <row r="386" spans="1:10" ht="24.95" customHeight="1">
      <c r="A386" s="1237"/>
      <c r="B386" s="1247" t="s">
        <v>5466</v>
      </c>
      <c r="C386" s="1239">
        <v>-1</v>
      </c>
      <c r="D386" s="1239" t="s">
        <v>5404</v>
      </c>
      <c r="E386" s="1239">
        <v>2</v>
      </c>
      <c r="F386" s="1240">
        <v>1.05</v>
      </c>
      <c r="G386" s="1240">
        <v>0.23</v>
      </c>
      <c r="H386" s="1240">
        <v>1.65</v>
      </c>
      <c r="I386" s="1240">
        <f t="shared" si="30"/>
        <v>-0.8</v>
      </c>
      <c r="J386" s="1236"/>
    </row>
    <row r="387" spans="1:10" ht="24.95" customHeight="1">
      <c r="A387" s="1237"/>
      <c r="B387" s="1247" t="s">
        <v>5519</v>
      </c>
      <c r="C387" s="1234">
        <v>-1</v>
      </c>
      <c r="D387" s="1234" t="s">
        <v>5404</v>
      </c>
      <c r="E387" s="1234">
        <v>5</v>
      </c>
      <c r="F387" s="1248">
        <v>0.23</v>
      </c>
      <c r="G387" s="1248">
        <v>0.38</v>
      </c>
      <c r="H387" s="1248">
        <v>3.15</v>
      </c>
      <c r="I387" s="1248">
        <f t="shared" si="30"/>
        <v>-1.38</v>
      </c>
      <c r="J387" s="1236"/>
    </row>
    <row r="388" spans="1:10" ht="24.95" customHeight="1">
      <c r="A388" s="1237"/>
      <c r="B388" s="1247" t="s">
        <v>5430</v>
      </c>
      <c r="C388" s="1234">
        <v>-1</v>
      </c>
      <c r="D388" s="1234" t="s">
        <v>5404</v>
      </c>
      <c r="E388" s="1234">
        <v>1</v>
      </c>
      <c r="F388" s="1248">
        <v>0.23</v>
      </c>
      <c r="G388" s="1248">
        <v>0.45</v>
      </c>
      <c r="H388" s="1248">
        <v>3</v>
      </c>
      <c r="I388" s="1248">
        <f t="shared" si="30"/>
        <v>-0.31</v>
      </c>
      <c r="J388" s="1236"/>
    </row>
    <row r="389" spans="1:10" ht="24.95" customHeight="1">
      <c r="A389" s="1237"/>
      <c r="B389" s="1247" t="s">
        <v>5430</v>
      </c>
      <c r="C389" s="1234">
        <v>-1</v>
      </c>
      <c r="D389" s="1234" t="s">
        <v>5404</v>
      </c>
      <c r="E389" s="1234">
        <v>3</v>
      </c>
      <c r="F389" s="1248">
        <v>0.23</v>
      </c>
      <c r="G389" s="1248">
        <v>0.45</v>
      </c>
      <c r="H389" s="1248">
        <v>3.15</v>
      </c>
      <c r="I389" s="1248">
        <f t="shared" si="30"/>
        <v>-0.98</v>
      </c>
      <c r="J389" s="1236"/>
    </row>
    <row r="390" spans="1:10" ht="24.95" customHeight="1">
      <c r="A390" s="1237"/>
      <c r="B390" s="1247" t="s">
        <v>5448</v>
      </c>
      <c r="C390" s="1234">
        <v>-1</v>
      </c>
      <c r="D390" s="1234" t="s">
        <v>5404</v>
      </c>
      <c r="E390" s="1234">
        <v>1</v>
      </c>
      <c r="F390" s="1248">
        <v>0.23</v>
      </c>
      <c r="G390" s="1248">
        <v>0.6</v>
      </c>
      <c r="H390" s="1248">
        <v>3</v>
      </c>
      <c r="I390" s="1248">
        <f t="shared" si="30"/>
        <v>-0.41</v>
      </c>
      <c r="J390" s="1236"/>
    </row>
    <row r="391" spans="1:10" ht="24.95" customHeight="1">
      <c r="A391" s="1237"/>
      <c r="B391" s="1247" t="s">
        <v>5448</v>
      </c>
      <c r="C391" s="1234">
        <v>-1</v>
      </c>
      <c r="D391" s="1234" t="s">
        <v>5404</v>
      </c>
      <c r="E391" s="1234">
        <v>2</v>
      </c>
      <c r="F391" s="1248">
        <v>0.23</v>
      </c>
      <c r="G391" s="1248">
        <v>0.6</v>
      </c>
      <c r="H391" s="1248">
        <v>3.15</v>
      </c>
      <c r="I391" s="1248">
        <f t="shared" si="30"/>
        <v>-0.87</v>
      </c>
      <c r="J391" s="1236"/>
    </row>
    <row r="392" spans="1:10" ht="24.95" customHeight="1">
      <c r="A392" s="1237"/>
      <c r="B392" s="1247" t="s">
        <v>5432</v>
      </c>
      <c r="C392" s="1234">
        <v>-1</v>
      </c>
      <c r="D392" s="1234" t="s">
        <v>5404</v>
      </c>
      <c r="E392" s="1234">
        <v>2</v>
      </c>
      <c r="F392" s="1248">
        <v>0.3</v>
      </c>
      <c r="G392" s="1248">
        <v>0.38</v>
      </c>
      <c r="H392" s="1248">
        <v>3.15</v>
      </c>
      <c r="I392" s="1248">
        <f t="shared" si="30"/>
        <v>-0.72</v>
      </c>
      <c r="J392" s="1236"/>
    </row>
    <row r="393" spans="1:10" ht="24.95" customHeight="1">
      <c r="A393" s="1237"/>
      <c r="B393" s="1247" t="s">
        <v>5436</v>
      </c>
      <c r="C393" s="1234">
        <v>-1</v>
      </c>
      <c r="D393" s="1234" t="s">
        <v>5404</v>
      </c>
      <c r="E393" s="1234">
        <v>4</v>
      </c>
      <c r="F393" s="1248">
        <v>0.3</v>
      </c>
      <c r="G393" s="1248">
        <v>0.6</v>
      </c>
      <c r="H393" s="1248">
        <v>3</v>
      </c>
      <c r="I393" s="1248">
        <f t="shared" si="30"/>
        <v>-2.16</v>
      </c>
      <c r="J393" s="1236"/>
    </row>
    <row r="394" spans="1:10" ht="24.95" customHeight="1">
      <c r="A394" s="1237"/>
      <c r="B394" s="1247" t="s">
        <v>5437</v>
      </c>
      <c r="C394" s="1234">
        <v>-1</v>
      </c>
      <c r="D394" s="1234" t="s">
        <v>5404</v>
      </c>
      <c r="E394" s="1234">
        <v>9</v>
      </c>
      <c r="F394" s="1248">
        <v>0.38</v>
      </c>
      <c r="G394" s="1248">
        <v>0.38</v>
      </c>
      <c r="H394" s="1248">
        <v>3.15</v>
      </c>
      <c r="I394" s="1248">
        <f t="shared" si="30"/>
        <v>-4.09</v>
      </c>
      <c r="J394" s="1236"/>
    </row>
    <row r="395" spans="1:10" ht="24.95" customHeight="1">
      <c r="A395" s="1237"/>
      <c r="B395" s="1238" t="s">
        <v>5877</v>
      </c>
      <c r="C395" s="1234">
        <v>-1</v>
      </c>
      <c r="D395" s="1239" t="s">
        <v>5404</v>
      </c>
      <c r="E395" s="1239">
        <v>1</v>
      </c>
      <c r="F395" s="1240">
        <v>64.88</v>
      </c>
      <c r="G395" s="1248">
        <v>0.23</v>
      </c>
      <c r="H395" s="1248">
        <v>0.15</v>
      </c>
      <c r="I395" s="1248">
        <f t="shared" si="30"/>
        <v>-2.2400000000000002</v>
      </c>
      <c r="J395" s="1236"/>
    </row>
    <row r="396" spans="1:10" ht="24.95" customHeight="1">
      <c r="A396" s="1237"/>
      <c r="B396" s="1238" t="s">
        <v>5878</v>
      </c>
      <c r="C396" s="1234">
        <v>-1</v>
      </c>
      <c r="D396" s="1239" t="s">
        <v>5404</v>
      </c>
      <c r="E396" s="1239">
        <v>1</v>
      </c>
      <c r="F396" s="1240">
        <v>20.12</v>
      </c>
      <c r="G396" s="1248">
        <v>0.23</v>
      </c>
      <c r="H396" s="1248">
        <v>0.15</v>
      </c>
      <c r="I396" s="1248">
        <f t="shared" si="30"/>
        <v>-0.69</v>
      </c>
      <c r="J396" s="1236"/>
    </row>
    <row r="397" spans="1:10" ht="24.95" customHeight="1">
      <c r="A397" s="1237"/>
      <c r="B397" s="1238"/>
      <c r="C397" s="1234">
        <v>-1</v>
      </c>
      <c r="D397" s="1239" t="s">
        <v>5404</v>
      </c>
      <c r="E397" s="1239">
        <v>1</v>
      </c>
      <c r="F397" s="1240">
        <v>16.59</v>
      </c>
      <c r="G397" s="1248">
        <v>0.23</v>
      </c>
      <c r="H397" s="1248">
        <v>0.15</v>
      </c>
      <c r="I397" s="1248">
        <f t="shared" si="30"/>
        <v>-0.56999999999999995</v>
      </c>
      <c r="J397" s="1236"/>
    </row>
    <row r="398" spans="1:10" ht="24.95" customHeight="1">
      <c r="A398" s="1237"/>
      <c r="B398" s="1238" t="s">
        <v>5880</v>
      </c>
      <c r="C398" s="1234">
        <v>-1</v>
      </c>
      <c r="D398" s="1239" t="s">
        <v>5404</v>
      </c>
      <c r="E398" s="1239">
        <v>3</v>
      </c>
      <c r="F398" s="1240">
        <v>3.6</v>
      </c>
      <c r="G398" s="1248">
        <v>0.23</v>
      </c>
      <c r="H398" s="1248">
        <v>0.15</v>
      </c>
      <c r="I398" s="1248">
        <f t="shared" si="30"/>
        <v>-0.37</v>
      </c>
      <c r="J398" s="1236"/>
    </row>
    <row r="399" spans="1:10" ht="24.95" customHeight="1">
      <c r="A399" s="1237"/>
      <c r="B399" s="1238" t="s">
        <v>5894</v>
      </c>
      <c r="C399" s="1234">
        <v>-1</v>
      </c>
      <c r="D399" s="1239" t="s">
        <v>5404</v>
      </c>
      <c r="E399" s="1239">
        <v>2</v>
      </c>
      <c r="F399" s="1240">
        <v>6</v>
      </c>
      <c r="G399" s="1248">
        <v>0.23</v>
      </c>
      <c r="H399" s="1248">
        <v>0.15</v>
      </c>
      <c r="I399" s="1248">
        <f t="shared" si="30"/>
        <v>-0.41</v>
      </c>
      <c r="J399" s="1236"/>
    </row>
    <row r="400" spans="1:10" ht="24.95" customHeight="1">
      <c r="A400" s="1237"/>
      <c r="B400" s="1238" t="s">
        <v>5895</v>
      </c>
      <c r="C400" s="1234">
        <v>-1</v>
      </c>
      <c r="D400" s="1239" t="s">
        <v>5404</v>
      </c>
      <c r="E400" s="1239">
        <v>1</v>
      </c>
      <c r="F400" s="1240">
        <v>8.0299999999999994</v>
      </c>
      <c r="G400" s="1248">
        <v>0.23</v>
      </c>
      <c r="H400" s="1248">
        <v>0.15</v>
      </c>
      <c r="I400" s="1248">
        <f t="shared" si="30"/>
        <v>-0.28000000000000003</v>
      </c>
      <c r="J400" s="1236"/>
    </row>
    <row r="401" spans="1:11" ht="24.95" customHeight="1">
      <c r="A401" s="1237"/>
      <c r="B401" s="1247" t="s">
        <v>5481</v>
      </c>
      <c r="C401" s="1234">
        <v>-1</v>
      </c>
      <c r="D401" s="1234" t="s">
        <v>5404</v>
      </c>
      <c r="E401" s="1234">
        <v>2</v>
      </c>
      <c r="F401" s="1248">
        <v>2.2599999999999998</v>
      </c>
      <c r="G401" s="1248">
        <v>0.23</v>
      </c>
      <c r="H401" s="1248">
        <v>0.05</v>
      </c>
      <c r="I401" s="1248">
        <f t="shared" si="30"/>
        <v>-0.05</v>
      </c>
      <c r="J401" s="1236"/>
    </row>
    <row r="402" spans="1:11" ht="24.95" customHeight="1">
      <c r="A402" s="1237"/>
      <c r="B402" s="1247" t="s">
        <v>5469</v>
      </c>
      <c r="C402" s="1234">
        <v>-1</v>
      </c>
      <c r="D402" s="1234" t="s">
        <v>5404</v>
      </c>
      <c r="E402" s="1234">
        <v>6</v>
      </c>
      <c r="F402" s="1248">
        <v>1.96</v>
      </c>
      <c r="G402" s="1248">
        <v>0.23</v>
      </c>
      <c r="H402" s="1248">
        <v>0.05</v>
      </c>
      <c r="I402" s="1248">
        <f t="shared" si="30"/>
        <v>-0.14000000000000001</v>
      </c>
      <c r="J402" s="1236"/>
    </row>
    <row r="403" spans="1:11" ht="24.95" customHeight="1">
      <c r="A403" s="1237"/>
      <c r="B403" s="1247" t="s">
        <v>5462</v>
      </c>
      <c r="C403" s="1234">
        <v>-1</v>
      </c>
      <c r="D403" s="1234" t="s">
        <v>5404</v>
      </c>
      <c r="E403" s="1234">
        <v>6</v>
      </c>
      <c r="F403" s="1248">
        <v>1.36</v>
      </c>
      <c r="G403" s="1248">
        <v>0.23</v>
      </c>
      <c r="H403" s="1248">
        <v>0.05</v>
      </c>
      <c r="I403" s="1248">
        <f t="shared" si="30"/>
        <v>-0.09</v>
      </c>
      <c r="J403" s="1236"/>
    </row>
    <row r="404" spans="1:11" ht="24.95" customHeight="1">
      <c r="A404" s="1237"/>
      <c r="B404" s="1247" t="s">
        <v>5482</v>
      </c>
      <c r="C404" s="1234">
        <v>-1</v>
      </c>
      <c r="D404" s="1234" t="s">
        <v>5404</v>
      </c>
      <c r="E404" s="1234">
        <v>4</v>
      </c>
      <c r="F404" s="1248">
        <v>1.66</v>
      </c>
      <c r="G404" s="1248">
        <v>0.23</v>
      </c>
      <c r="H404" s="1248">
        <v>0.05</v>
      </c>
      <c r="I404" s="1248">
        <f t="shared" si="30"/>
        <v>-0.08</v>
      </c>
      <c r="J404" s="1236"/>
    </row>
    <row r="405" spans="1:11" ht="24.95" customHeight="1">
      <c r="A405" s="1237"/>
      <c r="B405" s="1247" t="s">
        <v>5464</v>
      </c>
      <c r="C405" s="1234">
        <v>-1</v>
      </c>
      <c r="D405" s="1234" t="s">
        <v>5404</v>
      </c>
      <c r="E405" s="1234">
        <v>1</v>
      </c>
      <c r="F405" s="1248">
        <v>1.66</v>
      </c>
      <c r="G405" s="1248">
        <v>0.23</v>
      </c>
      <c r="H405" s="1248">
        <v>0.05</v>
      </c>
      <c r="I405" s="1248">
        <f t="shared" si="30"/>
        <v>-0.02</v>
      </c>
      <c r="J405" s="1236"/>
    </row>
    <row r="406" spans="1:11" ht="24.95" customHeight="1">
      <c r="A406" s="1237"/>
      <c r="B406" s="1247" t="s">
        <v>5465</v>
      </c>
      <c r="C406" s="1234">
        <v>-1</v>
      </c>
      <c r="D406" s="1234" t="s">
        <v>5404</v>
      </c>
      <c r="E406" s="1234">
        <v>1</v>
      </c>
      <c r="F406" s="1248">
        <v>1.96</v>
      </c>
      <c r="G406" s="1248">
        <v>0.23</v>
      </c>
      <c r="H406" s="1248">
        <v>0.05</v>
      </c>
      <c r="I406" s="1248">
        <f t="shared" si="30"/>
        <v>-0.02</v>
      </c>
      <c r="J406" s="1236"/>
    </row>
    <row r="407" spans="1:11" ht="24.95" customHeight="1">
      <c r="A407" s="1237"/>
      <c r="B407" s="1247" t="s">
        <v>5466</v>
      </c>
      <c r="C407" s="1234">
        <v>-1</v>
      </c>
      <c r="D407" s="1234" t="s">
        <v>5404</v>
      </c>
      <c r="E407" s="1234">
        <v>2</v>
      </c>
      <c r="F407" s="1248">
        <v>1.51</v>
      </c>
      <c r="G407" s="1248">
        <v>0.23</v>
      </c>
      <c r="H407" s="1248">
        <v>0.05</v>
      </c>
      <c r="I407" s="1248">
        <f t="shared" si="30"/>
        <v>-0.03</v>
      </c>
      <c r="J407" s="1236"/>
    </row>
    <row r="408" spans="1:11" ht="24.95" customHeight="1">
      <c r="A408" s="1237"/>
      <c r="B408" s="1247" t="s">
        <v>5483</v>
      </c>
      <c r="C408" s="1234">
        <v>-1</v>
      </c>
      <c r="D408" s="1234" t="s">
        <v>5404</v>
      </c>
      <c r="E408" s="1234">
        <v>1</v>
      </c>
      <c r="F408" s="1248">
        <v>2.2599999999999998</v>
      </c>
      <c r="G408" s="1248">
        <v>0.23</v>
      </c>
      <c r="H408" s="1248">
        <v>0.05</v>
      </c>
      <c r="I408" s="1248">
        <f t="shared" si="30"/>
        <v>-0.03</v>
      </c>
      <c r="J408" s="1236"/>
    </row>
    <row r="409" spans="1:11" ht="24.95" customHeight="1">
      <c r="A409" s="1237"/>
      <c r="B409" s="1247" t="s">
        <v>5520</v>
      </c>
      <c r="C409" s="1234">
        <v>1</v>
      </c>
      <c r="D409" s="1234" t="s">
        <v>5404</v>
      </c>
      <c r="E409" s="1234">
        <v>1</v>
      </c>
      <c r="F409" s="1248">
        <v>15.97</v>
      </c>
      <c r="G409" s="1248">
        <v>0.23</v>
      </c>
      <c r="H409" s="1248">
        <v>3.15</v>
      </c>
      <c r="I409" s="1248">
        <f t="shared" si="30"/>
        <v>11.57</v>
      </c>
      <c r="J409" s="1236"/>
    </row>
    <row r="410" spans="1:11" ht="24.95" customHeight="1">
      <c r="A410" s="1237"/>
      <c r="B410" s="1233"/>
      <c r="C410" s="1234"/>
      <c r="D410" s="1234"/>
      <c r="E410" s="1234"/>
      <c r="F410" s="1235"/>
      <c r="G410" s="1235"/>
      <c r="H410" s="1235"/>
      <c r="I410" s="1235">
        <f>SUM(I368:I409)</f>
        <v>94.16</v>
      </c>
      <c r="J410" s="1236"/>
      <c r="K410" s="1230">
        <v>0.04</v>
      </c>
    </row>
    <row r="411" spans="1:11" ht="24.95" customHeight="1">
      <c r="A411" s="1237"/>
      <c r="B411" s="1233"/>
      <c r="C411" s="1234"/>
      <c r="D411" s="1234"/>
      <c r="E411" s="1234"/>
      <c r="F411" s="1235"/>
      <c r="G411" s="1235"/>
      <c r="H411" s="1249" t="s">
        <v>4322</v>
      </c>
      <c r="I411" s="1249">
        <f>ROUNDUP(I410,1-0)</f>
        <v>94.2</v>
      </c>
      <c r="J411" s="1246" t="s">
        <v>2176</v>
      </c>
    </row>
    <row r="412" spans="1:11" ht="24.95" customHeight="1">
      <c r="A412" s="1237"/>
      <c r="B412" s="1233"/>
      <c r="C412" s="1234"/>
      <c r="D412" s="1234"/>
      <c r="E412" s="1234"/>
      <c r="F412" s="1235"/>
      <c r="G412" s="1235"/>
      <c r="H412" s="1235"/>
      <c r="I412" s="1235"/>
      <c r="J412" s="1236"/>
    </row>
    <row r="413" spans="1:11" ht="24.95" customHeight="1">
      <c r="A413" s="1237"/>
      <c r="B413" s="1233" t="s">
        <v>5521</v>
      </c>
      <c r="C413" s="1234">
        <v>1</v>
      </c>
      <c r="D413" s="1234" t="s">
        <v>5404</v>
      </c>
      <c r="E413" s="1234">
        <v>1</v>
      </c>
      <c r="F413" s="1248">
        <v>23.2</v>
      </c>
      <c r="G413" s="1248">
        <v>0.23</v>
      </c>
      <c r="H413" s="1251">
        <v>3.3</v>
      </c>
      <c r="I413" s="1248">
        <f t="shared" ref="I413:I418" si="31">PRODUCT(C413:H413)</f>
        <v>17.61</v>
      </c>
      <c r="J413" s="1236"/>
    </row>
    <row r="414" spans="1:11" ht="24.95" customHeight="1">
      <c r="A414" s="1237"/>
      <c r="B414" s="1247" t="s">
        <v>5522</v>
      </c>
      <c r="C414" s="1234">
        <v>1</v>
      </c>
      <c r="D414" s="1234" t="s">
        <v>5404</v>
      </c>
      <c r="E414" s="1234">
        <v>1</v>
      </c>
      <c r="F414" s="1248">
        <v>23.2</v>
      </c>
      <c r="G414" s="1248">
        <v>0.23</v>
      </c>
      <c r="H414" s="1251">
        <v>0.45</v>
      </c>
      <c r="I414" s="1248">
        <f t="shared" si="31"/>
        <v>2.4</v>
      </c>
      <c r="J414" s="1236"/>
    </row>
    <row r="415" spans="1:11" ht="24.95" customHeight="1">
      <c r="A415" s="1237"/>
      <c r="B415" s="1265" t="s">
        <v>5523</v>
      </c>
      <c r="C415" s="1234">
        <v>-1</v>
      </c>
      <c r="D415" s="1234" t="s">
        <v>5404</v>
      </c>
      <c r="E415" s="1234">
        <v>1</v>
      </c>
      <c r="F415" s="1248">
        <v>0.23</v>
      </c>
      <c r="G415" s="1248">
        <v>0.45</v>
      </c>
      <c r="H415" s="1251">
        <v>3.3</v>
      </c>
      <c r="I415" s="1248">
        <f t="shared" si="31"/>
        <v>-0.34</v>
      </c>
      <c r="J415" s="1236"/>
    </row>
    <row r="416" spans="1:11" ht="24.95" customHeight="1">
      <c r="A416" s="1237"/>
      <c r="B416" s="1247" t="s">
        <v>5487</v>
      </c>
      <c r="C416" s="1234">
        <v>-1</v>
      </c>
      <c r="D416" s="1234" t="s">
        <v>5404</v>
      </c>
      <c r="E416" s="1234">
        <v>1</v>
      </c>
      <c r="F416" s="1248">
        <v>0.23</v>
      </c>
      <c r="G416" s="1248">
        <v>0.6</v>
      </c>
      <c r="H416" s="1251">
        <v>3.3</v>
      </c>
      <c r="I416" s="1248">
        <f t="shared" si="31"/>
        <v>-0.46</v>
      </c>
      <c r="J416" s="1236"/>
    </row>
    <row r="417" spans="1:10" ht="24.95" customHeight="1">
      <c r="A417" s="1237"/>
      <c r="B417" s="1247" t="s">
        <v>5489</v>
      </c>
      <c r="C417" s="1234">
        <v>-1</v>
      </c>
      <c r="D417" s="1234" t="s">
        <v>5404</v>
      </c>
      <c r="E417" s="1234">
        <v>2</v>
      </c>
      <c r="F417" s="1248">
        <v>0.3</v>
      </c>
      <c r="G417" s="1248">
        <v>0.6</v>
      </c>
      <c r="H417" s="1251">
        <v>3.3</v>
      </c>
      <c r="I417" s="1248">
        <f t="shared" si="31"/>
        <v>-1.19</v>
      </c>
      <c r="J417" s="1236"/>
    </row>
    <row r="418" spans="1:10" ht="24.95" customHeight="1">
      <c r="A418" s="1237"/>
      <c r="B418" s="1247" t="s">
        <v>5524</v>
      </c>
      <c r="C418" s="1234">
        <v>-1</v>
      </c>
      <c r="D418" s="1234" t="s">
        <v>5404</v>
      </c>
      <c r="E418" s="1234">
        <v>1</v>
      </c>
      <c r="F418" s="1248">
        <v>0.9</v>
      </c>
      <c r="G418" s="1248">
        <v>0.23</v>
      </c>
      <c r="H418" s="1251">
        <v>2.1</v>
      </c>
      <c r="I418" s="1248">
        <f t="shared" si="31"/>
        <v>-0.43</v>
      </c>
      <c r="J418" s="1236"/>
    </row>
    <row r="419" spans="1:10" ht="24.95" customHeight="1">
      <c r="A419" s="1237"/>
      <c r="B419" s="1319" t="s">
        <v>5947</v>
      </c>
      <c r="C419" s="1315"/>
      <c r="D419" s="1316"/>
      <c r="E419" s="1315"/>
      <c r="F419" s="1317"/>
      <c r="G419" s="1317"/>
      <c r="H419" s="1317"/>
      <c r="I419" s="1317"/>
      <c r="J419" s="1236"/>
    </row>
    <row r="420" spans="1:10" ht="24.95" customHeight="1">
      <c r="A420" s="1237"/>
      <c r="B420" s="1322" t="s">
        <v>5948</v>
      </c>
      <c r="C420" s="1323">
        <v>1</v>
      </c>
      <c r="D420" s="1324" t="s">
        <v>5404</v>
      </c>
      <c r="E420" s="1323">
        <v>2</v>
      </c>
      <c r="F420" s="1325">
        <v>1.2</v>
      </c>
      <c r="G420" s="1325">
        <v>0.23</v>
      </c>
      <c r="H420" s="1325">
        <v>0.75</v>
      </c>
      <c r="I420" s="1325">
        <f t="shared" ref="I420" si="32">PRODUCT(C420:H420)</f>
        <v>0.41</v>
      </c>
      <c r="J420" s="1236"/>
    </row>
    <row r="421" spans="1:10" ht="27" customHeight="1">
      <c r="A421" s="1237"/>
      <c r="B421" s="1247"/>
      <c r="C421" s="1234"/>
      <c r="D421" s="1234"/>
      <c r="E421" s="1234"/>
      <c r="F421" s="1248"/>
      <c r="G421" s="1248"/>
      <c r="H421" s="1249"/>
      <c r="I421" s="1249">
        <f>SUM(I413:I420)</f>
        <v>18</v>
      </c>
      <c r="J421" s="1246"/>
    </row>
    <row r="422" spans="1:10" ht="31.5" customHeight="1">
      <c r="A422" s="1237"/>
      <c r="B422" s="1247"/>
      <c r="C422" s="1234"/>
      <c r="D422" s="1234"/>
      <c r="E422" s="1234"/>
      <c r="F422" s="1248"/>
      <c r="G422" s="1248"/>
      <c r="H422" s="1249" t="s">
        <v>4322</v>
      </c>
      <c r="I422" s="1249">
        <f>ROUNDUP(I421,1-0)</f>
        <v>18</v>
      </c>
      <c r="J422" s="1246" t="s">
        <v>2176</v>
      </c>
    </row>
    <row r="423" spans="1:10" ht="52.5" customHeight="1">
      <c r="A423" s="1258">
        <v>10.5</v>
      </c>
      <c r="B423" s="1233" t="s">
        <v>5525</v>
      </c>
      <c r="C423" s="1234"/>
      <c r="D423" s="1234"/>
      <c r="E423" s="1234"/>
      <c r="F423" s="1235"/>
      <c r="G423" s="1235"/>
      <c r="H423" s="1235"/>
      <c r="I423" s="1235"/>
      <c r="J423" s="1236"/>
    </row>
    <row r="424" spans="1:10" ht="24.95" customHeight="1">
      <c r="A424" s="1237"/>
      <c r="B424" s="1233" t="s">
        <v>5526</v>
      </c>
      <c r="C424" s="1234"/>
      <c r="D424" s="1234"/>
      <c r="E424" s="1234"/>
      <c r="F424" s="1235"/>
      <c r="G424" s="1235"/>
      <c r="H424" s="1235"/>
      <c r="I424" s="1235"/>
      <c r="J424" s="1236"/>
    </row>
    <row r="425" spans="1:10" ht="24.95" customHeight="1">
      <c r="A425" s="1237"/>
      <c r="B425" s="1247" t="s">
        <v>5419</v>
      </c>
      <c r="C425" s="1234">
        <v>1</v>
      </c>
      <c r="D425" s="1234" t="s">
        <v>5404</v>
      </c>
      <c r="E425" s="1234">
        <v>1</v>
      </c>
      <c r="F425" s="1248">
        <v>3.42</v>
      </c>
      <c r="G425" s="1248"/>
      <c r="H425" s="1251">
        <v>3.15</v>
      </c>
      <c r="I425" s="1248">
        <f t="shared" ref="I425:I435" si="33">PRODUCT(C425:H425)</f>
        <v>10.77</v>
      </c>
      <c r="J425" s="1236"/>
    </row>
    <row r="426" spans="1:10" ht="24.95" customHeight="1">
      <c r="A426" s="1237"/>
      <c r="B426" s="1247" t="s">
        <v>5527</v>
      </c>
      <c r="C426" s="1234">
        <v>1</v>
      </c>
      <c r="D426" s="1234" t="s">
        <v>5404</v>
      </c>
      <c r="E426" s="1234">
        <v>1</v>
      </c>
      <c r="F426" s="1248">
        <v>3.08</v>
      </c>
      <c r="G426" s="1248"/>
      <c r="H426" s="1251">
        <v>3.15</v>
      </c>
      <c r="I426" s="1248">
        <f t="shared" si="33"/>
        <v>9.6999999999999993</v>
      </c>
      <c r="J426" s="1236"/>
    </row>
    <row r="427" spans="1:10" ht="24.95" customHeight="1">
      <c r="A427" s="1237"/>
      <c r="B427" s="1247" t="s">
        <v>5528</v>
      </c>
      <c r="C427" s="1234">
        <v>1</v>
      </c>
      <c r="D427" s="1234" t="s">
        <v>5404</v>
      </c>
      <c r="E427" s="1234">
        <v>1</v>
      </c>
      <c r="F427" s="1248">
        <v>1.5</v>
      </c>
      <c r="G427" s="1248"/>
      <c r="H427" s="1251">
        <v>3.15</v>
      </c>
      <c r="I427" s="1248">
        <f t="shared" si="33"/>
        <v>4.7300000000000004</v>
      </c>
      <c r="J427" s="1236"/>
    </row>
    <row r="428" spans="1:10" ht="24.95" customHeight="1">
      <c r="A428" s="1237"/>
      <c r="B428" s="1247" t="s">
        <v>5529</v>
      </c>
      <c r="C428" s="1234">
        <v>1</v>
      </c>
      <c r="D428" s="1234" t="s">
        <v>5404</v>
      </c>
      <c r="E428" s="1234">
        <v>1</v>
      </c>
      <c r="F428" s="1248">
        <v>2.6</v>
      </c>
      <c r="G428" s="1248"/>
      <c r="H428" s="1251">
        <v>3.15</v>
      </c>
      <c r="I428" s="1248">
        <f t="shared" si="33"/>
        <v>8.19</v>
      </c>
      <c r="J428" s="1236"/>
    </row>
    <row r="429" spans="1:10" ht="24.95" customHeight="1">
      <c r="A429" s="1237"/>
      <c r="B429" s="1247" t="s">
        <v>5530</v>
      </c>
      <c r="C429" s="1234">
        <v>1</v>
      </c>
      <c r="D429" s="1234" t="s">
        <v>5404</v>
      </c>
      <c r="E429" s="1234">
        <v>2</v>
      </c>
      <c r="F429" s="1248">
        <v>1.5</v>
      </c>
      <c r="G429" s="1248"/>
      <c r="H429" s="1251">
        <v>3.15</v>
      </c>
      <c r="I429" s="1248">
        <f t="shared" si="33"/>
        <v>9.4499999999999993</v>
      </c>
      <c r="J429" s="1236"/>
    </row>
    <row r="430" spans="1:10" ht="24.95" customHeight="1">
      <c r="A430" s="1237"/>
      <c r="B430" s="1247" t="s">
        <v>5531</v>
      </c>
      <c r="C430" s="1234">
        <v>1</v>
      </c>
      <c r="D430" s="1234" t="s">
        <v>5404</v>
      </c>
      <c r="E430" s="1234">
        <v>1</v>
      </c>
      <c r="F430" s="1248">
        <v>1.5</v>
      </c>
      <c r="G430" s="1248"/>
      <c r="H430" s="1251">
        <v>3.15</v>
      </c>
      <c r="I430" s="1248">
        <f t="shared" si="33"/>
        <v>4.7300000000000004</v>
      </c>
      <c r="J430" s="1236"/>
    </row>
    <row r="431" spans="1:10" ht="24.95" customHeight="1">
      <c r="A431" s="1237"/>
      <c r="B431" s="1247" t="s">
        <v>5532</v>
      </c>
      <c r="C431" s="1234">
        <v>1</v>
      </c>
      <c r="D431" s="1234" t="s">
        <v>5404</v>
      </c>
      <c r="E431" s="1234">
        <v>1</v>
      </c>
      <c r="F431" s="1248">
        <v>1.45</v>
      </c>
      <c r="G431" s="1248"/>
      <c r="H431" s="1251">
        <v>3.15</v>
      </c>
      <c r="I431" s="1248">
        <f t="shared" si="33"/>
        <v>4.57</v>
      </c>
      <c r="J431" s="1236"/>
    </row>
    <row r="432" spans="1:10" ht="24.95" customHeight="1">
      <c r="A432" s="1237"/>
      <c r="B432" s="1247" t="s">
        <v>5533</v>
      </c>
      <c r="C432" s="1234">
        <v>1</v>
      </c>
      <c r="D432" s="1234" t="s">
        <v>5404</v>
      </c>
      <c r="E432" s="1234">
        <v>1</v>
      </c>
      <c r="F432" s="1248">
        <v>1.51</v>
      </c>
      <c r="G432" s="1248"/>
      <c r="H432" s="1251">
        <v>3.15</v>
      </c>
      <c r="I432" s="1248">
        <f t="shared" si="33"/>
        <v>4.76</v>
      </c>
      <c r="J432" s="1236"/>
    </row>
    <row r="433" spans="1:11" ht="24.95" customHeight="1">
      <c r="A433" s="1237"/>
      <c r="B433" s="1247" t="s">
        <v>5533</v>
      </c>
      <c r="C433" s="1234">
        <v>1</v>
      </c>
      <c r="D433" s="1234" t="s">
        <v>5404</v>
      </c>
      <c r="E433" s="1234">
        <v>1</v>
      </c>
      <c r="F433" s="1248">
        <v>2.81</v>
      </c>
      <c r="G433" s="1248"/>
      <c r="H433" s="1251">
        <v>3.15</v>
      </c>
      <c r="I433" s="1248">
        <f t="shared" si="33"/>
        <v>8.85</v>
      </c>
      <c r="J433" s="1236"/>
    </row>
    <row r="434" spans="1:11" ht="24.95" customHeight="1">
      <c r="A434" s="1237"/>
      <c r="B434" s="1247" t="s">
        <v>5534</v>
      </c>
      <c r="C434" s="1234">
        <v>1</v>
      </c>
      <c r="D434" s="1234" t="s">
        <v>5404</v>
      </c>
      <c r="E434" s="1234">
        <v>1</v>
      </c>
      <c r="F434" s="1248">
        <v>0.45</v>
      </c>
      <c r="G434" s="1248"/>
      <c r="H434" s="1251">
        <v>3.15</v>
      </c>
      <c r="I434" s="1248">
        <f t="shared" si="33"/>
        <v>1.42</v>
      </c>
      <c r="J434" s="1236"/>
    </row>
    <row r="435" spans="1:11" ht="24.95" customHeight="1">
      <c r="A435" s="1237"/>
      <c r="B435" s="1247" t="s">
        <v>5535</v>
      </c>
      <c r="C435" s="1234">
        <v>-1</v>
      </c>
      <c r="D435" s="1234" t="s">
        <v>5404</v>
      </c>
      <c r="E435" s="1234">
        <v>7</v>
      </c>
      <c r="F435" s="1248">
        <v>0.75</v>
      </c>
      <c r="G435" s="1248"/>
      <c r="H435" s="1251">
        <v>2.1</v>
      </c>
      <c r="I435" s="1248">
        <f t="shared" si="33"/>
        <v>-11.03</v>
      </c>
      <c r="J435" s="1236"/>
    </row>
    <row r="436" spans="1:11" ht="24.95" customHeight="1">
      <c r="A436" s="1237"/>
      <c r="B436" s="1247"/>
      <c r="C436" s="1234"/>
      <c r="D436" s="1234"/>
      <c r="E436" s="1234"/>
      <c r="F436" s="1248"/>
      <c r="G436" s="1248"/>
      <c r="H436" s="1248"/>
      <c r="I436" s="1248">
        <f>SUM(I425:I435)</f>
        <v>56.14</v>
      </c>
      <c r="J436" s="1236"/>
      <c r="K436" s="1230">
        <v>0.01</v>
      </c>
    </row>
    <row r="437" spans="1:11" ht="24.95" customHeight="1">
      <c r="A437" s="1237"/>
      <c r="B437" s="1247"/>
      <c r="C437" s="1234"/>
      <c r="D437" s="1234"/>
      <c r="E437" s="1234"/>
      <c r="F437" s="1248"/>
      <c r="G437" s="1248"/>
      <c r="H437" s="1249" t="s">
        <v>4322</v>
      </c>
      <c r="I437" s="1249">
        <f>ROUNDUP(I436,1-0)</f>
        <v>56.2</v>
      </c>
      <c r="J437" s="1246" t="s">
        <v>2308</v>
      </c>
    </row>
    <row r="438" spans="1:11" ht="24.95" customHeight="1">
      <c r="A438" s="1237"/>
      <c r="B438" s="1233" t="s">
        <v>5536</v>
      </c>
      <c r="C438" s="1234"/>
      <c r="D438" s="1234"/>
      <c r="E438" s="1234"/>
      <c r="F438" s="1248"/>
      <c r="G438" s="1248"/>
      <c r="H438" s="1248"/>
      <c r="I438" s="1248"/>
      <c r="J438" s="1236"/>
    </row>
    <row r="439" spans="1:11" ht="24.95" customHeight="1">
      <c r="A439" s="1237"/>
      <c r="B439" s="1247" t="s">
        <v>5527</v>
      </c>
      <c r="C439" s="1234">
        <v>1</v>
      </c>
      <c r="D439" s="1234" t="s">
        <v>5404</v>
      </c>
      <c r="E439" s="1234">
        <v>2</v>
      </c>
      <c r="F439" s="1248">
        <v>1.58</v>
      </c>
      <c r="G439" s="1248"/>
      <c r="H439" s="1251">
        <v>3.15</v>
      </c>
      <c r="I439" s="1248">
        <f t="shared" ref="I439:I445" si="34">PRODUCT(C439:H439)</f>
        <v>9.9499999999999993</v>
      </c>
      <c r="J439" s="1236"/>
    </row>
    <row r="440" spans="1:11" ht="24.95" customHeight="1">
      <c r="A440" s="1237"/>
      <c r="B440" s="1247" t="s">
        <v>5902</v>
      </c>
      <c r="C440" s="1234">
        <v>1</v>
      </c>
      <c r="D440" s="1234" t="s">
        <v>5404</v>
      </c>
      <c r="E440" s="1234">
        <v>1</v>
      </c>
      <c r="F440" s="1248">
        <v>0.75</v>
      </c>
      <c r="G440" s="1248"/>
      <c r="H440" s="1251">
        <v>1</v>
      </c>
      <c r="I440" s="1248">
        <f t="shared" si="34"/>
        <v>0.75</v>
      </c>
      <c r="J440" s="1236"/>
    </row>
    <row r="441" spans="1:11" ht="24.95" customHeight="1">
      <c r="A441" s="1237"/>
      <c r="B441" s="1247" t="s">
        <v>5530</v>
      </c>
      <c r="C441" s="1234">
        <v>1</v>
      </c>
      <c r="D441" s="1234" t="s">
        <v>5404</v>
      </c>
      <c r="E441" s="1234">
        <v>2</v>
      </c>
      <c r="F441" s="1248">
        <v>1.65</v>
      </c>
      <c r="G441" s="1248"/>
      <c r="H441" s="1251">
        <v>3.15</v>
      </c>
      <c r="I441" s="1248">
        <f t="shared" si="34"/>
        <v>10.4</v>
      </c>
      <c r="J441" s="1236"/>
    </row>
    <row r="442" spans="1:11" ht="24.95" customHeight="1">
      <c r="A442" s="1237"/>
      <c r="B442" s="1247" t="s">
        <v>5903</v>
      </c>
      <c r="C442" s="1234">
        <v>1</v>
      </c>
      <c r="D442" s="1234" t="s">
        <v>5404</v>
      </c>
      <c r="E442" s="1234">
        <v>2</v>
      </c>
      <c r="F442" s="1248">
        <v>1.5</v>
      </c>
      <c r="G442" s="1248"/>
      <c r="H442" s="1251">
        <v>3.15</v>
      </c>
      <c r="I442" s="1248">
        <f t="shared" si="34"/>
        <v>9.4499999999999993</v>
      </c>
      <c r="J442" s="1236"/>
    </row>
    <row r="443" spans="1:11" ht="24.95" customHeight="1">
      <c r="A443" s="1237"/>
      <c r="B443" s="1247" t="s">
        <v>5904</v>
      </c>
      <c r="C443" s="1234">
        <v>1</v>
      </c>
      <c r="D443" s="1234" t="s">
        <v>5404</v>
      </c>
      <c r="E443" s="1234">
        <v>2</v>
      </c>
      <c r="F443" s="1248">
        <v>4.24</v>
      </c>
      <c r="G443" s="1248"/>
      <c r="H443" s="1251">
        <v>3.15</v>
      </c>
      <c r="I443" s="1248">
        <f t="shared" si="34"/>
        <v>26.71</v>
      </c>
      <c r="J443" s="1236"/>
    </row>
    <row r="444" spans="1:11" ht="24.95" customHeight="1">
      <c r="A444" s="1237"/>
      <c r="B444" s="1247" t="s">
        <v>5905</v>
      </c>
      <c r="C444" s="1234">
        <v>1</v>
      </c>
      <c r="D444" s="1234" t="s">
        <v>5404</v>
      </c>
      <c r="E444" s="1234">
        <v>1</v>
      </c>
      <c r="F444" s="1248">
        <v>1.2</v>
      </c>
      <c r="G444" s="1248"/>
      <c r="H444" s="1251">
        <v>2.1</v>
      </c>
      <c r="I444" s="1248">
        <f t="shared" si="34"/>
        <v>2.52</v>
      </c>
      <c r="J444" s="1236"/>
    </row>
    <row r="445" spans="1:11" ht="24.95" customHeight="1">
      <c r="A445" s="1237"/>
      <c r="B445" s="1247" t="s">
        <v>5535</v>
      </c>
      <c r="C445" s="1234">
        <v>-1</v>
      </c>
      <c r="D445" s="1234" t="s">
        <v>5404</v>
      </c>
      <c r="E445" s="1234">
        <v>7</v>
      </c>
      <c r="F445" s="1248">
        <v>0.75</v>
      </c>
      <c r="G445" s="1248"/>
      <c r="H445" s="1251">
        <v>2.1</v>
      </c>
      <c r="I445" s="1248">
        <f t="shared" si="34"/>
        <v>-11.03</v>
      </c>
      <c r="J445" s="1246"/>
    </row>
    <row r="446" spans="1:11" ht="24.95" customHeight="1">
      <c r="A446" s="1237"/>
      <c r="B446" s="1247"/>
      <c r="C446" s="1234"/>
      <c r="D446" s="1234"/>
      <c r="E446" s="1234"/>
      <c r="F446" s="1248"/>
      <c r="G446" s="1248"/>
      <c r="H446" s="1248"/>
      <c r="I446" s="1248">
        <f>SUM(I439:I445)</f>
        <v>48.75</v>
      </c>
      <c r="J446" s="1246"/>
      <c r="K446" s="1230">
        <v>0</v>
      </c>
    </row>
    <row r="447" spans="1:11" ht="24.95" customHeight="1">
      <c r="A447" s="1237"/>
      <c r="B447" s="1247"/>
      <c r="C447" s="1234"/>
      <c r="D447" s="1234"/>
      <c r="E447" s="1234"/>
      <c r="F447" s="1248"/>
      <c r="G447" s="1248"/>
      <c r="H447" s="1249" t="s">
        <v>4322</v>
      </c>
      <c r="I447" s="1249">
        <f>ROUNDUP(I446,1-0)</f>
        <v>48.8</v>
      </c>
      <c r="J447" s="1246" t="s">
        <v>2308</v>
      </c>
    </row>
    <row r="448" spans="1:11" ht="24.95" customHeight="1">
      <c r="A448" s="1237"/>
      <c r="B448" s="1247"/>
      <c r="C448" s="1234"/>
      <c r="D448" s="1234"/>
      <c r="E448" s="1234"/>
      <c r="F448" s="1248"/>
      <c r="G448" s="1248"/>
      <c r="H448" s="1249"/>
      <c r="I448" s="1249"/>
      <c r="J448" s="1246"/>
    </row>
    <row r="449" spans="1:11" ht="24.95" customHeight="1">
      <c r="A449" s="1258">
        <v>11.5</v>
      </c>
      <c r="B449" s="1233" t="s">
        <v>5537</v>
      </c>
      <c r="C449" s="1234"/>
      <c r="D449" s="1234"/>
      <c r="E449" s="1234"/>
      <c r="F449" s="1235"/>
      <c r="G449" s="1235"/>
      <c r="H449" s="1235"/>
      <c r="I449" s="1235"/>
      <c r="J449" s="1236"/>
    </row>
    <row r="450" spans="1:11" ht="24.95" customHeight="1">
      <c r="A450" s="1237"/>
      <c r="B450" s="1233" t="s">
        <v>5538</v>
      </c>
      <c r="C450" s="1234"/>
      <c r="D450" s="1234"/>
      <c r="E450" s="1234"/>
      <c r="F450" s="1235"/>
      <c r="G450" s="1235"/>
      <c r="H450" s="1235"/>
      <c r="I450" s="1235"/>
      <c r="J450" s="1236"/>
    </row>
    <row r="451" spans="1:11" ht="24.95" customHeight="1">
      <c r="A451" s="1237"/>
      <c r="B451" s="1247" t="s">
        <v>5458</v>
      </c>
      <c r="C451" s="1234">
        <v>1</v>
      </c>
      <c r="D451" s="1234" t="s">
        <v>5404</v>
      </c>
      <c r="E451" s="1234">
        <v>3</v>
      </c>
      <c r="F451" s="1248">
        <v>0.45</v>
      </c>
      <c r="G451" s="1248"/>
      <c r="H451" s="1248">
        <v>2.4</v>
      </c>
      <c r="I451" s="1248">
        <f>PRODUCT(C451:H451)</f>
        <v>3.24</v>
      </c>
      <c r="J451" s="1246"/>
    </row>
    <row r="452" spans="1:11" ht="24.95" customHeight="1">
      <c r="A452" s="1237"/>
      <c r="B452" s="1247" t="s">
        <v>5539</v>
      </c>
      <c r="C452" s="1234">
        <v>1</v>
      </c>
      <c r="D452" s="1234" t="s">
        <v>5404</v>
      </c>
      <c r="E452" s="1234">
        <v>5</v>
      </c>
      <c r="F452" s="1248">
        <v>0.6</v>
      </c>
      <c r="G452" s="1248"/>
      <c r="H452" s="1248">
        <v>2.4</v>
      </c>
      <c r="I452" s="1248">
        <f>PRODUCT(C452:H452)</f>
        <v>7.2</v>
      </c>
      <c r="J452" s="1236"/>
    </row>
    <row r="453" spans="1:11" ht="24.95" customHeight="1">
      <c r="A453" s="1237"/>
      <c r="B453" s="1247" t="s">
        <v>5540</v>
      </c>
      <c r="C453" s="1234">
        <v>1</v>
      </c>
      <c r="D453" s="1234" t="s">
        <v>5404</v>
      </c>
      <c r="E453" s="1234">
        <v>18</v>
      </c>
      <c r="F453" s="1248">
        <v>0.6</v>
      </c>
      <c r="G453" s="1248"/>
      <c r="H453" s="1248">
        <v>2.4</v>
      </c>
      <c r="I453" s="1248">
        <f>PRODUCT(C453:H453)</f>
        <v>25.92</v>
      </c>
      <c r="J453" s="1236"/>
    </row>
    <row r="454" spans="1:11" ht="24.95" customHeight="1">
      <c r="A454" s="1237"/>
      <c r="B454" s="1247" t="s">
        <v>5540</v>
      </c>
      <c r="C454" s="1234">
        <v>1</v>
      </c>
      <c r="D454" s="1234" t="s">
        <v>5404</v>
      </c>
      <c r="E454" s="1234">
        <v>2</v>
      </c>
      <c r="F454" s="1248">
        <v>0.6</v>
      </c>
      <c r="G454" s="1248"/>
      <c r="H454" s="1248">
        <v>2.4</v>
      </c>
      <c r="I454" s="1248">
        <f>PRODUCT(C454:H454)</f>
        <v>2.88</v>
      </c>
      <c r="J454" s="1236"/>
    </row>
    <row r="455" spans="1:11" ht="24.95" customHeight="1">
      <c r="A455" s="1237"/>
      <c r="B455" s="1247"/>
      <c r="C455" s="1234"/>
      <c r="D455" s="1234"/>
      <c r="E455" s="1234"/>
      <c r="F455" s="1248"/>
      <c r="G455" s="1248"/>
      <c r="H455" s="1249"/>
      <c r="I455" s="1249">
        <f>SUM(I451:I454)</f>
        <v>39.24</v>
      </c>
      <c r="J455" s="1246"/>
      <c r="K455" s="1230">
        <v>0.01</v>
      </c>
    </row>
    <row r="456" spans="1:11" ht="24.95" customHeight="1">
      <c r="A456" s="1237"/>
      <c r="B456" s="1247"/>
      <c r="C456" s="1234"/>
      <c r="D456" s="1234"/>
      <c r="E456" s="1234"/>
      <c r="F456" s="1248"/>
      <c r="G456" s="1248"/>
      <c r="H456" s="1249" t="s">
        <v>4322</v>
      </c>
      <c r="I456" s="1249">
        <f>ROUNDUP(I455,1-0)</f>
        <v>39.299999999999997</v>
      </c>
      <c r="J456" s="1246" t="s">
        <v>2308</v>
      </c>
    </row>
    <row r="457" spans="1:11" ht="24.95" customHeight="1">
      <c r="A457" s="1237"/>
      <c r="B457" s="1247" t="s">
        <v>5541</v>
      </c>
      <c r="C457" s="1234"/>
      <c r="D457" s="1234"/>
      <c r="E457" s="1234"/>
      <c r="F457" s="1248"/>
      <c r="G457" s="1248"/>
      <c r="H457" s="1249"/>
      <c r="I457" s="1249"/>
      <c r="J457" s="1246"/>
    </row>
    <row r="458" spans="1:11" ht="24.95" customHeight="1">
      <c r="A458" s="1237"/>
      <c r="B458" s="1247" t="s">
        <v>5542</v>
      </c>
      <c r="C458" s="1234">
        <v>1</v>
      </c>
      <c r="D458" s="1234" t="s">
        <v>5404</v>
      </c>
      <c r="E458" s="1234">
        <v>3</v>
      </c>
      <c r="F458" s="1248">
        <v>0.6</v>
      </c>
      <c r="G458" s="1248"/>
      <c r="H458" s="1248">
        <v>2.4</v>
      </c>
      <c r="I458" s="1248">
        <f>PRODUCT(C458:H458)</f>
        <v>4.32</v>
      </c>
      <c r="J458" s="1246"/>
    </row>
    <row r="459" spans="1:11" ht="24.95" customHeight="1">
      <c r="A459" s="1237"/>
      <c r="B459" s="1247" t="s">
        <v>5543</v>
      </c>
      <c r="C459" s="1234">
        <v>3</v>
      </c>
      <c r="D459" s="1234" t="s">
        <v>5404</v>
      </c>
      <c r="E459" s="1234">
        <v>5</v>
      </c>
      <c r="F459" s="1248">
        <v>0.6</v>
      </c>
      <c r="G459" s="1248"/>
      <c r="H459" s="1248">
        <v>2.4</v>
      </c>
      <c r="I459" s="1248">
        <f>PRODUCT(C459:H459)</f>
        <v>21.6</v>
      </c>
      <c r="J459" s="1246"/>
    </row>
    <row r="460" spans="1:11" ht="24.95" customHeight="1">
      <c r="A460" s="1237"/>
      <c r="B460" s="1247"/>
      <c r="C460" s="1234"/>
      <c r="D460" s="1234"/>
      <c r="E460" s="1234"/>
      <c r="F460" s="1248"/>
      <c r="G460" s="1248"/>
      <c r="H460" s="1249"/>
      <c r="I460" s="1249">
        <f>SUM(I458:I459)</f>
        <v>25.92</v>
      </c>
      <c r="J460" s="1246"/>
      <c r="K460" s="1230">
        <v>0.03</v>
      </c>
    </row>
    <row r="461" spans="1:11" ht="24.95" customHeight="1">
      <c r="A461" s="1237"/>
      <c r="B461" s="1247"/>
      <c r="C461" s="1234"/>
      <c r="D461" s="1234"/>
      <c r="E461" s="1234"/>
      <c r="F461" s="1248"/>
      <c r="G461" s="1248"/>
      <c r="H461" s="1249" t="s">
        <v>4322</v>
      </c>
      <c r="I461" s="1249">
        <f>ROUNDUP(I460,1-0)</f>
        <v>26</v>
      </c>
      <c r="J461" s="1246" t="s">
        <v>2308</v>
      </c>
    </row>
    <row r="462" spans="1:11" ht="24.95" customHeight="1">
      <c r="A462" s="1237"/>
      <c r="B462" s="1247"/>
      <c r="C462" s="1234"/>
      <c r="D462" s="1234"/>
      <c r="E462" s="1234"/>
      <c r="F462" s="1248"/>
      <c r="G462" s="1248"/>
      <c r="H462" s="1249"/>
      <c r="I462" s="1249"/>
      <c r="J462" s="1246"/>
    </row>
    <row r="463" spans="1:11" ht="24.95" customHeight="1">
      <c r="A463" s="1258">
        <v>12.1</v>
      </c>
      <c r="B463" s="1233" t="s">
        <v>5544</v>
      </c>
      <c r="C463" s="1234"/>
      <c r="D463" s="1234"/>
      <c r="E463" s="1234"/>
      <c r="F463" s="1248"/>
      <c r="G463" s="1248"/>
      <c r="H463" s="1249"/>
      <c r="I463" s="1249"/>
      <c r="J463" s="1246"/>
    </row>
    <row r="464" spans="1:11" ht="24.95" customHeight="1">
      <c r="A464" s="1267"/>
      <c r="B464" s="1233" t="s">
        <v>5545</v>
      </c>
      <c r="C464" s="1234"/>
      <c r="D464" s="1234"/>
      <c r="E464" s="1234"/>
      <c r="F464" s="1248"/>
      <c r="G464" s="1248"/>
      <c r="H464" s="1249"/>
      <c r="I464" s="1249"/>
      <c r="J464" s="1246"/>
    </row>
    <row r="465" spans="1:13" ht="24.95" customHeight="1">
      <c r="A465" s="1237"/>
      <c r="B465" s="1233" t="s">
        <v>5546</v>
      </c>
      <c r="C465" s="1234">
        <v>1</v>
      </c>
      <c r="D465" s="1234" t="s">
        <v>5404</v>
      </c>
      <c r="E465" s="1234">
        <v>1</v>
      </c>
      <c r="F465" s="1248">
        <v>8.5</v>
      </c>
      <c r="G465" s="1248"/>
      <c r="H465" s="1248">
        <v>0.9</v>
      </c>
      <c r="I465" s="1248">
        <f>PRODUCT(C465:H465)</f>
        <v>7.65</v>
      </c>
      <c r="J465" s="1246"/>
    </row>
    <row r="466" spans="1:13" ht="24.95" customHeight="1">
      <c r="A466" s="1237"/>
      <c r="B466" s="1233"/>
      <c r="C466" s="1234"/>
      <c r="D466" s="1234"/>
      <c r="E466" s="1234"/>
      <c r="F466" s="1248"/>
      <c r="G466" s="1248"/>
      <c r="H466" s="1249" t="s">
        <v>4322</v>
      </c>
      <c r="I466" s="1249">
        <f>ROUNDUP(I465,1-0)</f>
        <v>7.7</v>
      </c>
      <c r="J466" s="1246" t="s">
        <v>2308</v>
      </c>
    </row>
    <row r="467" spans="1:13" ht="24.95" customHeight="1">
      <c r="A467" s="1237"/>
      <c r="B467" s="1233" t="s">
        <v>5541</v>
      </c>
      <c r="C467" s="1234"/>
      <c r="D467" s="1234"/>
      <c r="E467" s="1234"/>
      <c r="F467" s="1248"/>
      <c r="G467" s="1248"/>
      <c r="H467" s="1249"/>
      <c r="I467" s="1249"/>
      <c r="J467" s="1246"/>
    </row>
    <row r="468" spans="1:13" ht="24.95" customHeight="1">
      <c r="A468" s="1237"/>
      <c r="B468" s="1233" t="s">
        <v>5546</v>
      </c>
      <c r="C468" s="1234">
        <v>1</v>
      </c>
      <c r="D468" s="1234" t="s">
        <v>5404</v>
      </c>
      <c r="E468" s="1234">
        <v>1</v>
      </c>
      <c r="F468" s="1248">
        <v>10</v>
      </c>
      <c r="G468" s="1248"/>
      <c r="H468" s="1248">
        <v>0.9</v>
      </c>
      <c r="I468" s="1248">
        <f>PRODUCT(C468:H468)</f>
        <v>9</v>
      </c>
      <c r="J468" s="1246"/>
    </row>
    <row r="469" spans="1:13" ht="24.95" customHeight="1">
      <c r="A469" s="1237"/>
      <c r="B469" s="1233"/>
      <c r="C469" s="1234"/>
      <c r="D469" s="1234"/>
      <c r="E469" s="1234"/>
      <c r="F469" s="1248"/>
      <c r="G469" s="1248"/>
      <c r="H469" s="1249" t="s">
        <v>4322</v>
      </c>
      <c r="I469" s="1249">
        <f>ROUNDUP(I468,1-0)</f>
        <v>9</v>
      </c>
      <c r="J469" s="1246" t="s">
        <v>2308</v>
      </c>
    </row>
    <row r="470" spans="1:13" ht="24.95" customHeight="1">
      <c r="A470" s="1268">
        <v>13.1</v>
      </c>
      <c r="B470" s="1269" t="s">
        <v>1081</v>
      </c>
      <c r="C470" s="1270"/>
      <c r="D470" s="1270"/>
      <c r="E470" s="1271"/>
      <c r="F470" s="1271"/>
      <c r="G470" s="1271"/>
      <c r="H470" s="1272"/>
      <c r="I470" s="1249"/>
      <c r="J470" s="1246"/>
    </row>
    <row r="471" spans="1:13" ht="24.95" customHeight="1">
      <c r="A471" s="1237"/>
      <c r="B471" s="1238" t="s">
        <v>5403</v>
      </c>
      <c r="C471" s="1239">
        <v>1</v>
      </c>
      <c r="D471" s="1239" t="s">
        <v>5404</v>
      </c>
      <c r="E471" s="1239">
        <v>14</v>
      </c>
      <c r="F471" s="1240">
        <v>1.7</v>
      </c>
      <c r="G471" s="1240">
        <v>1.7</v>
      </c>
      <c r="H471" s="1240">
        <v>0.1</v>
      </c>
      <c r="I471" s="1240">
        <f>PRODUCT(E471:H471)</f>
        <v>4.05</v>
      </c>
      <c r="J471" s="1243"/>
      <c r="L471" s="1230" t="e">
        <f>C471*D471*E471*F471*G471*H471*I471</f>
        <v>#VALUE!</v>
      </c>
      <c r="M471" s="1230">
        <f>(C471*E471*F471*G471*H471)</f>
        <v>4.05</v>
      </c>
    </row>
    <row r="472" spans="1:13" ht="24.95" customHeight="1">
      <c r="A472" s="1237"/>
      <c r="B472" s="1238" t="s">
        <v>5405</v>
      </c>
      <c r="C472" s="1239">
        <v>1</v>
      </c>
      <c r="D472" s="1239" t="s">
        <v>5404</v>
      </c>
      <c r="E472" s="1239">
        <v>4</v>
      </c>
      <c r="F472" s="1240">
        <v>2.1</v>
      </c>
      <c r="G472" s="1240">
        <v>2.1</v>
      </c>
      <c r="H472" s="1240">
        <v>0.1</v>
      </c>
      <c r="I472" s="1240">
        <f>PRODUCT(E472:H472)</f>
        <v>1.76</v>
      </c>
      <c r="J472" s="1243"/>
    </row>
    <row r="473" spans="1:13" ht="24.95" customHeight="1">
      <c r="A473" s="1237"/>
      <c r="B473" s="1238" t="s">
        <v>5406</v>
      </c>
      <c r="C473" s="1239">
        <v>1</v>
      </c>
      <c r="D473" s="1239" t="s">
        <v>5404</v>
      </c>
      <c r="E473" s="1239">
        <v>9</v>
      </c>
      <c r="F473" s="1240">
        <v>2.2999999999999998</v>
      </c>
      <c r="G473" s="1240">
        <v>2.2999999999999998</v>
      </c>
      <c r="H473" s="1240">
        <v>0.1</v>
      </c>
      <c r="I473" s="1240">
        <f>PRODUCT(E473:H473)</f>
        <v>4.76</v>
      </c>
      <c r="J473" s="1243"/>
    </row>
    <row r="474" spans="1:13" ht="24.95" customHeight="1">
      <c r="A474" s="1237"/>
      <c r="B474" s="1238" t="s">
        <v>5408</v>
      </c>
      <c r="C474" s="1239">
        <v>1</v>
      </c>
      <c r="D474" s="1239" t="s">
        <v>5404</v>
      </c>
      <c r="E474" s="1239">
        <v>9</v>
      </c>
      <c r="F474" s="1240">
        <v>1.36</v>
      </c>
      <c r="G474" s="1240">
        <v>1.36</v>
      </c>
      <c r="H474" s="1240">
        <v>0.1</v>
      </c>
      <c r="I474" s="1240">
        <f t="shared" ref="I474" si="35">PRODUCT(E474:H474)</f>
        <v>1.66</v>
      </c>
      <c r="J474" s="1243"/>
    </row>
    <row r="475" spans="1:13" ht="24.95" customHeight="1">
      <c r="A475" s="1237"/>
      <c r="B475" s="1241" t="s">
        <v>5425</v>
      </c>
      <c r="C475" s="1239"/>
      <c r="D475" s="1239"/>
      <c r="E475" s="1239"/>
      <c r="F475" s="1240"/>
      <c r="G475" s="1240"/>
      <c r="H475" s="1240"/>
      <c r="I475" s="1240"/>
      <c r="J475" s="1243"/>
    </row>
    <row r="476" spans="1:13" ht="24.95" customHeight="1">
      <c r="A476" s="1237"/>
      <c r="B476" s="1238" t="s">
        <v>5877</v>
      </c>
      <c r="C476" s="1239">
        <v>1</v>
      </c>
      <c r="D476" s="1239" t="s">
        <v>5404</v>
      </c>
      <c r="E476" s="1239">
        <v>1</v>
      </c>
      <c r="F476" s="1240">
        <v>64.88</v>
      </c>
      <c r="G476" s="1240">
        <v>0.38</v>
      </c>
      <c r="H476" s="1240">
        <v>0.1</v>
      </c>
      <c r="I476" s="1240">
        <f t="shared" ref="I476:I484" si="36">PRODUCT(E476:H476)</f>
        <v>2.4700000000000002</v>
      </c>
      <c r="J476" s="1243"/>
      <c r="L476" s="1230">
        <f>SUM(I474:I476)</f>
        <v>4.13</v>
      </c>
    </row>
    <row r="477" spans="1:13" ht="24.95" customHeight="1">
      <c r="A477" s="1237"/>
      <c r="B477" s="1238" t="s">
        <v>5878</v>
      </c>
      <c r="C477" s="1239">
        <v>1</v>
      </c>
      <c r="D477" s="1239" t="s">
        <v>5404</v>
      </c>
      <c r="E477" s="1239">
        <v>1</v>
      </c>
      <c r="F477" s="1240">
        <v>20.12</v>
      </c>
      <c r="G477" s="1240">
        <v>0.38</v>
      </c>
      <c r="H477" s="1240">
        <v>0.1</v>
      </c>
      <c r="I477" s="1240">
        <f t="shared" si="36"/>
        <v>0.76</v>
      </c>
      <c r="J477" s="1243"/>
    </row>
    <row r="478" spans="1:13" ht="25.5" customHeight="1">
      <c r="A478" s="1237"/>
      <c r="B478" s="1238"/>
      <c r="C478" s="1239">
        <v>1</v>
      </c>
      <c r="D478" s="1239" t="s">
        <v>5404</v>
      </c>
      <c r="E478" s="1239">
        <v>1</v>
      </c>
      <c r="F478" s="1240">
        <v>16.59</v>
      </c>
      <c r="G478" s="1240">
        <v>0.38</v>
      </c>
      <c r="H478" s="1240">
        <v>0.1</v>
      </c>
      <c r="I478" s="1240">
        <f t="shared" si="36"/>
        <v>0.63</v>
      </c>
      <c r="J478" s="1243"/>
    </row>
    <row r="479" spans="1:13" ht="24.95" customHeight="1">
      <c r="A479" s="1237"/>
      <c r="B479" s="1238" t="s">
        <v>5879</v>
      </c>
      <c r="C479" s="1239">
        <v>1</v>
      </c>
      <c r="D479" s="1239" t="s">
        <v>5404</v>
      </c>
      <c r="E479" s="1239">
        <v>1</v>
      </c>
      <c r="F479" s="1240">
        <v>3.3</v>
      </c>
      <c r="G479" s="1240">
        <v>0.38</v>
      </c>
      <c r="H479" s="1240">
        <v>0.1</v>
      </c>
      <c r="I479" s="1240">
        <f t="shared" si="36"/>
        <v>0.13</v>
      </c>
      <c r="J479" s="1243"/>
    </row>
    <row r="480" spans="1:13" ht="24.95" customHeight="1">
      <c r="A480" s="1237"/>
      <c r="B480" s="1238" t="s">
        <v>5880</v>
      </c>
      <c r="C480" s="1239">
        <v>1</v>
      </c>
      <c r="D480" s="1239" t="s">
        <v>5404</v>
      </c>
      <c r="E480" s="1239">
        <v>3</v>
      </c>
      <c r="F480" s="1240">
        <v>3.6</v>
      </c>
      <c r="G480" s="1240">
        <v>0.38</v>
      </c>
      <c r="H480" s="1240">
        <v>0.1</v>
      </c>
      <c r="I480" s="1240">
        <f t="shared" si="36"/>
        <v>0.41</v>
      </c>
      <c r="J480" s="1243"/>
    </row>
    <row r="481" spans="1:10" ht="24.95" customHeight="1">
      <c r="A481" s="1237"/>
      <c r="B481" s="1238" t="s">
        <v>5881</v>
      </c>
      <c r="C481" s="1239">
        <v>1</v>
      </c>
      <c r="D481" s="1239" t="s">
        <v>5404</v>
      </c>
      <c r="E481" s="1239">
        <v>2</v>
      </c>
      <c r="F481" s="1240">
        <v>6</v>
      </c>
      <c r="G481" s="1240">
        <v>0.38</v>
      </c>
      <c r="H481" s="1240">
        <v>0.1</v>
      </c>
      <c r="I481" s="1240">
        <f t="shared" si="36"/>
        <v>0.46</v>
      </c>
      <c r="J481" s="1243"/>
    </row>
    <row r="482" spans="1:10" ht="24.95" customHeight="1">
      <c r="A482" s="1237"/>
      <c r="B482" s="1238" t="s">
        <v>5882</v>
      </c>
      <c r="C482" s="1239">
        <v>1</v>
      </c>
      <c r="D482" s="1239" t="s">
        <v>5404</v>
      </c>
      <c r="E482" s="1239">
        <v>1</v>
      </c>
      <c r="F482" s="1240">
        <v>8.0299999999999994</v>
      </c>
      <c r="G482" s="1240">
        <v>0.38</v>
      </c>
      <c r="H482" s="1240">
        <v>0.1</v>
      </c>
      <c r="I482" s="1240">
        <f t="shared" si="36"/>
        <v>0.31</v>
      </c>
      <c r="J482" s="1243"/>
    </row>
    <row r="483" spans="1:10" ht="24.95" customHeight="1">
      <c r="A483" s="1237"/>
      <c r="B483" s="1238" t="s">
        <v>5883</v>
      </c>
      <c r="C483" s="1244">
        <v>1</v>
      </c>
      <c r="D483" s="1244" t="s">
        <v>5404</v>
      </c>
      <c r="E483" s="1244">
        <v>2</v>
      </c>
      <c r="F483" s="1242">
        <v>17</v>
      </c>
      <c r="G483" s="1240">
        <v>0.38</v>
      </c>
      <c r="H483" s="1240">
        <v>0.1</v>
      </c>
      <c r="I483" s="1240">
        <f t="shared" si="36"/>
        <v>1.29</v>
      </c>
      <c r="J483" s="1243"/>
    </row>
    <row r="484" spans="1:10" ht="24.95" customHeight="1">
      <c r="A484" s="1237"/>
      <c r="B484" s="1238" t="s">
        <v>5884</v>
      </c>
      <c r="C484" s="1244">
        <v>1</v>
      </c>
      <c r="D484" s="1244" t="s">
        <v>5404</v>
      </c>
      <c r="E484" s="1244">
        <v>4</v>
      </c>
      <c r="F484" s="1242">
        <v>10.97</v>
      </c>
      <c r="G484" s="1240">
        <v>0.38</v>
      </c>
      <c r="H484" s="1240">
        <v>0.1</v>
      </c>
      <c r="I484" s="1240">
        <f t="shared" si="36"/>
        <v>1.67</v>
      </c>
      <c r="J484" s="1243"/>
    </row>
    <row r="485" spans="1:10" ht="24.95" customHeight="1">
      <c r="A485" s="1273"/>
      <c r="B485" s="1274" t="s">
        <v>5547</v>
      </c>
      <c r="C485" s="1275"/>
      <c r="D485" s="1275"/>
      <c r="E485" s="1275"/>
      <c r="F485" s="1275"/>
      <c r="G485" s="1275"/>
      <c r="H485" s="1271"/>
      <c r="I485" s="1249"/>
      <c r="J485" s="1246"/>
    </row>
    <row r="486" spans="1:10" ht="24.95" customHeight="1">
      <c r="A486" s="1273"/>
      <c r="B486" s="1238" t="s">
        <v>5429</v>
      </c>
      <c r="C486" s="1239">
        <v>1</v>
      </c>
      <c r="D486" s="1239" t="s">
        <v>5404</v>
      </c>
      <c r="E486" s="1239">
        <v>14</v>
      </c>
      <c r="F486" s="1240">
        <v>1.4</v>
      </c>
      <c r="G486" s="1240">
        <v>1.4</v>
      </c>
      <c r="H486" s="1240">
        <v>0.38</v>
      </c>
      <c r="I486" s="1240">
        <f>PRODUCT(C486:H486)</f>
        <v>10.43</v>
      </c>
      <c r="J486" s="1246"/>
    </row>
    <row r="487" spans="1:10" ht="24.95" customHeight="1">
      <c r="A487" s="1273"/>
      <c r="B487" s="1238" t="s">
        <v>5430</v>
      </c>
      <c r="C487" s="1239">
        <v>1</v>
      </c>
      <c r="D487" s="1239" t="s">
        <v>5404</v>
      </c>
      <c r="E487" s="1239">
        <v>4</v>
      </c>
      <c r="F487" s="1240">
        <v>1.8</v>
      </c>
      <c r="G487" s="1240">
        <v>1.8</v>
      </c>
      <c r="H487" s="1240">
        <v>0.45</v>
      </c>
      <c r="I487" s="1240">
        <f>PRODUCT(C487:H487)</f>
        <v>5.83</v>
      </c>
      <c r="J487" s="1246"/>
    </row>
    <row r="488" spans="1:10" ht="24.95" customHeight="1">
      <c r="A488" s="1273"/>
      <c r="B488" s="1238" t="s">
        <v>5431</v>
      </c>
      <c r="C488" s="1239">
        <v>1</v>
      </c>
      <c r="D488" s="1239" t="s">
        <v>5404</v>
      </c>
      <c r="E488" s="1239">
        <v>7</v>
      </c>
      <c r="F488" s="1240">
        <v>2</v>
      </c>
      <c r="G488" s="1240">
        <v>2</v>
      </c>
      <c r="H488" s="1240">
        <v>0.45</v>
      </c>
      <c r="I488" s="1240">
        <f>PRODUCT(C488:H488)</f>
        <v>12.6</v>
      </c>
      <c r="J488" s="1246"/>
    </row>
    <row r="489" spans="1:10" ht="24.95" customHeight="1">
      <c r="A489" s="1273"/>
      <c r="B489" s="1238" t="s">
        <v>5432</v>
      </c>
      <c r="C489" s="1239">
        <v>1</v>
      </c>
      <c r="D489" s="1239" t="s">
        <v>5404</v>
      </c>
      <c r="E489" s="1239">
        <v>2</v>
      </c>
      <c r="F489" s="1240">
        <v>2</v>
      </c>
      <c r="G489" s="1240">
        <v>2</v>
      </c>
      <c r="H489" s="1240">
        <v>0.6</v>
      </c>
      <c r="I489" s="1240">
        <f>PRODUCT(C489:H489)</f>
        <v>4.8</v>
      </c>
      <c r="J489" s="1246"/>
    </row>
    <row r="490" spans="1:10" ht="24.95" customHeight="1">
      <c r="A490" s="1273"/>
      <c r="B490" s="1274" t="s">
        <v>5548</v>
      </c>
      <c r="C490" s="1275"/>
      <c r="D490" s="1275"/>
      <c r="E490" s="1275"/>
      <c r="F490" s="1275"/>
      <c r="G490" s="1275"/>
      <c r="H490" s="1271"/>
      <c r="I490" s="1249"/>
      <c r="J490" s="1246"/>
    </row>
    <row r="491" spans="1:10" ht="24.95" customHeight="1">
      <c r="A491" s="1273"/>
      <c r="B491" s="1238" t="s">
        <v>5434</v>
      </c>
      <c r="C491" s="1239">
        <v>1</v>
      </c>
      <c r="D491" s="1239" t="s">
        <v>5404</v>
      </c>
      <c r="E491" s="1239">
        <v>5</v>
      </c>
      <c r="F491" s="1240">
        <v>0.23</v>
      </c>
      <c r="G491" s="1240">
        <v>0.38</v>
      </c>
      <c r="H491" s="1240">
        <f>2-0.1-0.38-0.4</f>
        <v>1.1200000000000001</v>
      </c>
      <c r="I491" s="1240">
        <f t="shared" ref="I491:I496" si="37">PRODUCT(C491:H491)</f>
        <v>0.49</v>
      </c>
      <c r="J491" s="1246"/>
    </row>
    <row r="492" spans="1:10" ht="24.95" customHeight="1">
      <c r="A492" s="1273"/>
      <c r="B492" s="1238" t="s">
        <v>5430</v>
      </c>
      <c r="C492" s="1239">
        <v>1</v>
      </c>
      <c r="D492" s="1239" t="s">
        <v>5404</v>
      </c>
      <c r="E492" s="1239">
        <v>4</v>
      </c>
      <c r="F492" s="1240">
        <v>0.23</v>
      </c>
      <c r="G492" s="1240">
        <v>0.45</v>
      </c>
      <c r="H492" s="1240">
        <f>2-0.1-0.45-0.4</f>
        <v>1.05</v>
      </c>
      <c r="I492" s="1240">
        <f t="shared" si="37"/>
        <v>0.43</v>
      </c>
      <c r="J492" s="1246"/>
    </row>
    <row r="493" spans="1:10" ht="24.95" customHeight="1">
      <c r="A493" s="1273"/>
      <c r="B493" s="1238" t="s">
        <v>5435</v>
      </c>
      <c r="C493" s="1239">
        <v>1</v>
      </c>
      <c r="D493" s="1239" t="s">
        <v>5404</v>
      </c>
      <c r="E493" s="1239">
        <v>3</v>
      </c>
      <c r="F493" s="1240">
        <v>0.23</v>
      </c>
      <c r="G493" s="1240">
        <v>0.6</v>
      </c>
      <c r="H493" s="1240">
        <v>1.05</v>
      </c>
      <c r="I493" s="1240">
        <f t="shared" si="37"/>
        <v>0.43</v>
      </c>
      <c r="J493" s="1246"/>
    </row>
    <row r="494" spans="1:10" ht="24.95" customHeight="1">
      <c r="A494" s="1273"/>
      <c r="B494" s="1238" t="s">
        <v>5432</v>
      </c>
      <c r="C494" s="1239">
        <v>1</v>
      </c>
      <c r="D494" s="1239" t="s">
        <v>5404</v>
      </c>
      <c r="E494" s="1239">
        <v>2</v>
      </c>
      <c r="F494" s="1240">
        <v>0.3</v>
      </c>
      <c r="G494" s="1240">
        <v>0.38</v>
      </c>
      <c r="H494" s="1240">
        <f>2-0.1-0.6-0.4</f>
        <v>0.9</v>
      </c>
      <c r="I494" s="1240">
        <f t="shared" si="37"/>
        <v>0.21</v>
      </c>
      <c r="J494" s="1246"/>
    </row>
    <row r="495" spans="1:10" ht="24.95" customHeight="1">
      <c r="A495" s="1273"/>
      <c r="B495" s="1238" t="s">
        <v>5436</v>
      </c>
      <c r="C495" s="1239">
        <v>1</v>
      </c>
      <c r="D495" s="1239" t="s">
        <v>5404</v>
      </c>
      <c r="E495" s="1239">
        <v>4</v>
      </c>
      <c r="F495" s="1240">
        <v>0.3</v>
      </c>
      <c r="G495" s="1240">
        <v>0.6</v>
      </c>
      <c r="H495" s="1240">
        <v>1.05</v>
      </c>
      <c r="I495" s="1240">
        <f t="shared" si="37"/>
        <v>0.76</v>
      </c>
      <c r="J495" s="1246"/>
    </row>
    <row r="496" spans="1:10" ht="24.95" customHeight="1">
      <c r="A496" s="1273"/>
      <c r="B496" s="1238" t="s">
        <v>5437</v>
      </c>
      <c r="C496" s="1239">
        <v>1</v>
      </c>
      <c r="D496" s="1239" t="s">
        <v>5404</v>
      </c>
      <c r="E496" s="1239">
        <v>9</v>
      </c>
      <c r="F496" s="1240">
        <v>0.3</v>
      </c>
      <c r="G496" s="1240">
        <v>0.38</v>
      </c>
      <c r="H496" s="1240">
        <f>H491</f>
        <v>1.1200000000000001</v>
      </c>
      <c r="I496" s="1240">
        <f t="shared" si="37"/>
        <v>1.1499999999999999</v>
      </c>
      <c r="J496" s="1246"/>
    </row>
    <row r="497" spans="1:11" ht="24.95" customHeight="1">
      <c r="A497" s="1273"/>
      <c r="B497" s="1276" t="s">
        <v>5407</v>
      </c>
      <c r="C497" s="1275"/>
      <c r="D497" s="1275"/>
      <c r="E497" s="1277"/>
      <c r="F497" s="1275"/>
      <c r="G497" s="1275"/>
      <c r="H497" s="1271"/>
      <c r="I497" s="1249"/>
      <c r="J497" s="1246"/>
    </row>
    <row r="498" spans="1:11" ht="24.95" customHeight="1">
      <c r="A498" s="1273"/>
      <c r="B498" s="1238" t="s">
        <v>5877</v>
      </c>
      <c r="C498" s="1239">
        <v>1</v>
      </c>
      <c r="D498" s="1239" t="s">
        <v>5404</v>
      </c>
      <c r="E498" s="1239">
        <v>1</v>
      </c>
      <c r="F498" s="1240">
        <v>64.88</v>
      </c>
      <c r="G498" s="1240">
        <v>0.23</v>
      </c>
      <c r="H498" s="1240">
        <v>0.38</v>
      </c>
      <c r="I498" s="1240">
        <f t="shared" ref="I498:I506" si="38">PRODUCT(C498:H498)</f>
        <v>5.67</v>
      </c>
      <c r="J498" s="1246"/>
    </row>
    <row r="499" spans="1:11" ht="24.95" customHeight="1">
      <c r="A499" s="1273"/>
      <c r="B499" s="1238" t="s">
        <v>5878</v>
      </c>
      <c r="C499" s="1239">
        <v>1</v>
      </c>
      <c r="D499" s="1239" t="s">
        <v>5404</v>
      </c>
      <c r="E499" s="1239">
        <v>1</v>
      </c>
      <c r="F499" s="1240">
        <v>20.12</v>
      </c>
      <c r="G499" s="1240">
        <v>0.23</v>
      </c>
      <c r="H499" s="1240">
        <v>0.38</v>
      </c>
      <c r="I499" s="1240">
        <f t="shared" si="38"/>
        <v>1.76</v>
      </c>
      <c r="J499" s="1246"/>
    </row>
    <row r="500" spans="1:11" ht="24.95" customHeight="1">
      <c r="A500" s="1273"/>
      <c r="B500" s="1238"/>
      <c r="C500" s="1239">
        <v>1</v>
      </c>
      <c r="D500" s="1239" t="s">
        <v>5404</v>
      </c>
      <c r="E500" s="1239">
        <v>1</v>
      </c>
      <c r="F500" s="1240">
        <v>16.59</v>
      </c>
      <c r="G500" s="1240">
        <v>0.23</v>
      </c>
      <c r="H500" s="1240">
        <v>0.38</v>
      </c>
      <c r="I500" s="1240">
        <f t="shared" si="38"/>
        <v>1.45</v>
      </c>
      <c r="J500" s="1246"/>
    </row>
    <row r="501" spans="1:11" ht="24.95" customHeight="1">
      <c r="A501" s="1273"/>
      <c r="B501" s="1238" t="s">
        <v>5879</v>
      </c>
      <c r="C501" s="1239">
        <v>1</v>
      </c>
      <c r="D501" s="1239" t="s">
        <v>5404</v>
      </c>
      <c r="E501" s="1239">
        <v>1</v>
      </c>
      <c r="F501" s="1240">
        <v>3.3</v>
      </c>
      <c r="G501" s="1240">
        <v>0.23</v>
      </c>
      <c r="H501" s="1240">
        <v>0.38</v>
      </c>
      <c r="I501" s="1240">
        <f t="shared" si="38"/>
        <v>0.28999999999999998</v>
      </c>
      <c r="J501" s="1246"/>
    </row>
    <row r="502" spans="1:11" ht="24.95" customHeight="1">
      <c r="A502" s="1273"/>
      <c r="B502" s="1238" t="s">
        <v>5880</v>
      </c>
      <c r="C502" s="1239">
        <v>1</v>
      </c>
      <c r="D502" s="1239" t="s">
        <v>5404</v>
      </c>
      <c r="E502" s="1239">
        <v>3</v>
      </c>
      <c r="F502" s="1240">
        <v>3.6</v>
      </c>
      <c r="G502" s="1240">
        <v>0.23</v>
      </c>
      <c r="H502" s="1240">
        <v>0.38</v>
      </c>
      <c r="I502" s="1240">
        <f t="shared" si="38"/>
        <v>0.94</v>
      </c>
      <c r="J502" s="1246"/>
    </row>
    <row r="503" spans="1:11" ht="24.95" customHeight="1">
      <c r="A503" s="1273"/>
      <c r="B503" s="1238" t="s">
        <v>5881</v>
      </c>
      <c r="C503" s="1239">
        <v>1</v>
      </c>
      <c r="D503" s="1239" t="s">
        <v>5404</v>
      </c>
      <c r="E503" s="1239">
        <v>2</v>
      </c>
      <c r="F503" s="1240">
        <v>6</v>
      </c>
      <c r="G503" s="1240">
        <v>0.23</v>
      </c>
      <c r="H503" s="1240">
        <v>0.38</v>
      </c>
      <c r="I503" s="1240">
        <f t="shared" si="38"/>
        <v>1.05</v>
      </c>
      <c r="J503" s="1246"/>
    </row>
    <row r="504" spans="1:11" ht="24.95" customHeight="1">
      <c r="A504" s="1273"/>
      <c r="B504" s="1238" t="s">
        <v>5882</v>
      </c>
      <c r="C504" s="1239">
        <v>1</v>
      </c>
      <c r="D504" s="1239" t="s">
        <v>5404</v>
      </c>
      <c r="E504" s="1239">
        <v>1</v>
      </c>
      <c r="F504" s="1240">
        <v>8.0299999999999994</v>
      </c>
      <c r="G504" s="1240">
        <v>0.23</v>
      </c>
      <c r="H504" s="1240">
        <v>0.38</v>
      </c>
      <c r="I504" s="1240">
        <f t="shared" si="38"/>
        <v>0.7</v>
      </c>
      <c r="J504" s="1246"/>
    </row>
    <row r="505" spans="1:11" ht="24.95" customHeight="1">
      <c r="A505" s="1273"/>
      <c r="B505" s="1238" t="s">
        <v>5883</v>
      </c>
      <c r="C505" s="1244">
        <v>1</v>
      </c>
      <c r="D505" s="1244" t="s">
        <v>5404</v>
      </c>
      <c r="E505" s="1244">
        <v>2</v>
      </c>
      <c r="F505" s="1242">
        <v>17</v>
      </c>
      <c r="G505" s="1240">
        <v>0.23</v>
      </c>
      <c r="H505" s="1240">
        <v>0.38</v>
      </c>
      <c r="I505" s="1242">
        <f t="shared" si="38"/>
        <v>2.97</v>
      </c>
      <c r="J505" s="1246"/>
    </row>
    <row r="506" spans="1:11" ht="24.95" customHeight="1">
      <c r="A506" s="1273"/>
      <c r="B506" s="1238" t="s">
        <v>5884</v>
      </c>
      <c r="C506" s="1244">
        <v>1</v>
      </c>
      <c r="D506" s="1244" t="s">
        <v>5404</v>
      </c>
      <c r="E506" s="1244">
        <v>4</v>
      </c>
      <c r="F506" s="1242">
        <v>10.97</v>
      </c>
      <c r="G506" s="1240">
        <v>0.23</v>
      </c>
      <c r="H506" s="1240">
        <v>0.38</v>
      </c>
      <c r="I506" s="1242">
        <f t="shared" si="38"/>
        <v>3.84</v>
      </c>
      <c r="J506" s="1246"/>
    </row>
    <row r="507" spans="1:11" ht="24.95" customHeight="1">
      <c r="A507" s="1237"/>
      <c r="B507" s="1233"/>
      <c r="C507" s="1234"/>
      <c r="D507" s="1234"/>
      <c r="E507" s="1234"/>
      <c r="F507" s="1248"/>
      <c r="G507" s="1248"/>
      <c r="H507" s="1249"/>
      <c r="I507" s="1249">
        <f>+SUM(I471:I506)</f>
        <v>76.16</v>
      </c>
      <c r="J507" s="1246"/>
    </row>
    <row r="508" spans="1:11" ht="24.95" customHeight="1">
      <c r="A508" s="1237"/>
      <c r="B508" s="1233"/>
      <c r="C508" s="1234"/>
      <c r="D508" s="1234"/>
      <c r="E508" s="1234"/>
      <c r="F508" s="1248"/>
      <c r="G508" s="1248"/>
      <c r="H508" s="1249" t="s">
        <v>4322</v>
      </c>
      <c r="I508" s="1249">
        <f>ROUNDUP(I507,1-0)</f>
        <v>76.2</v>
      </c>
      <c r="J508" s="1246" t="s">
        <v>2308</v>
      </c>
    </row>
    <row r="509" spans="1:11" ht="24.95" customHeight="1">
      <c r="A509" s="1237"/>
      <c r="B509" s="1233"/>
      <c r="C509" s="1234"/>
      <c r="D509" s="1234"/>
      <c r="E509" s="1234"/>
      <c r="F509" s="1248"/>
      <c r="G509" s="1248"/>
      <c r="H509" s="1249"/>
      <c r="I509" s="1249"/>
      <c r="J509" s="1246"/>
    </row>
    <row r="510" spans="1:11" ht="24.95" customHeight="1">
      <c r="A510" s="1237">
        <v>16.100000000000001</v>
      </c>
      <c r="B510" s="1247" t="s">
        <v>5561</v>
      </c>
      <c r="C510" s="1234"/>
      <c r="D510" s="1234"/>
      <c r="E510" s="1234"/>
      <c r="F510" s="1248"/>
      <c r="G510" s="1248"/>
      <c r="H510" s="1249"/>
      <c r="I510" s="1249"/>
      <c r="J510" s="1246"/>
      <c r="K510" s="1278"/>
    </row>
    <row r="511" spans="1:11" ht="24.95" customHeight="1">
      <c r="A511" s="1237"/>
      <c r="B511" s="1247" t="s">
        <v>5562</v>
      </c>
      <c r="C511" s="1234"/>
      <c r="D511" s="1234"/>
      <c r="E511" s="1234"/>
      <c r="F511" s="1248"/>
      <c r="G511" s="1248"/>
      <c r="H511" s="1249"/>
      <c r="I511" s="1249"/>
      <c r="J511" s="1246"/>
      <c r="K511" s="1278"/>
    </row>
    <row r="512" spans="1:11" ht="24.95" customHeight="1">
      <c r="A512" s="1237"/>
      <c r="B512" s="1247" t="s">
        <v>5563</v>
      </c>
      <c r="C512" s="1234">
        <v>1</v>
      </c>
      <c r="D512" s="1234"/>
      <c r="E512" s="1234">
        <v>3</v>
      </c>
      <c r="F512" s="1235">
        <v>1.8</v>
      </c>
      <c r="G512" s="1235"/>
      <c r="H512" s="1235">
        <v>0.6</v>
      </c>
      <c r="I512" s="1235">
        <f t="shared" ref="I512:I521" si="39">PRODUCT(C512:H512)</f>
        <v>3.24</v>
      </c>
      <c r="J512" s="1236"/>
      <c r="K512" s="1278"/>
    </row>
    <row r="513" spans="1:11" ht="24.95" customHeight="1">
      <c r="A513" s="1237"/>
      <c r="B513" s="1247" t="s">
        <v>5502</v>
      </c>
      <c r="C513" s="1234">
        <v>1</v>
      </c>
      <c r="D513" s="1234"/>
      <c r="E513" s="1234">
        <v>4</v>
      </c>
      <c r="F513" s="1235">
        <v>1.2</v>
      </c>
      <c r="G513" s="1235"/>
      <c r="H513" s="1235">
        <v>0.6</v>
      </c>
      <c r="I513" s="1235">
        <f t="shared" si="39"/>
        <v>2.88</v>
      </c>
      <c r="J513" s="1236"/>
      <c r="K513" s="1278"/>
    </row>
    <row r="514" spans="1:11" ht="24.95" customHeight="1">
      <c r="A514" s="1237"/>
      <c r="B514" s="1247" t="s">
        <v>5564</v>
      </c>
      <c r="C514" s="1234">
        <v>1</v>
      </c>
      <c r="D514" s="1234"/>
      <c r="E514" s="1234">
        <v>2</v>
      </c>
      <c r="F514" s="1235">
        <v>0.9</v>
      </c>
      <c r="G514" s="1235"/>
      <c r="H514" s="1235">
        <v>0.9</v>
      </c>
      <c r="I514" s="1235">
        <f t="shared" si="39"/>
        <v>1.62</v>
      </c>
      <c r="J514" s="1236"/>
      <c r="K514" s="1278"/>
    </row>
    <row r="515" spans="1:11" ht="24.95" customHeight="1">
      <c r="A515" s="1237"/>
      <c r="B515" s="1247" t="s">
        <v>5565</v>
      </c>
      <c r="C515" s="1234">
        <v>1</v>
      </c>
      <c r="D515" s="1234"/>
      <c r="E515" s="1234">
        <v>2</v>
      </c>
      <c r="F515" s="1235">
        <v>0.9</v>
      </c>
      <c r="G515" s="1235"/>
      <c r="H515" s="1235">
        <v>0.9</v>
      </c>
      <c r="I515" s="1235">
        <f t="shared" si="39"/>
        <v>1.62</v>
      </c>
      <c r="J515" s="1236"/>
      <c r="K515" s="1278"/>
    </row>
    <row r="516" spans="1:11" ht="24.95" customHeight="1">
      <c r="A516" s="1237"/>
      <c r="B516" s="1247"/>
      <c r="C516" s="1234"/>
      <c r="D516" s="1234"/>
      <c r="E516" s="1234"/>
      <c r="F516" s="1235"/>
      <c r="G516" s="1235"/>
      <c r="H516" s="1235"/>
      <c r="I516" s="1235">
        <f>+SUM(I512:I515)</f>
        <v>9.36</v>
      </c>
      <c r="J516" s="1236"/>
      <c r="K516" s="1278"/>
    </row>
    <row r="517" spans="1:11" ht="24.95" customHeight="1">
      <c r="A517" s="1237"/>
      <c r="B517" s="1247"/>
      <c r="C517" s="1234"/>
      <c r="D517" s="1234"/>
      <c r="E517" s="1234"/>
      <c r="F517" s="1235"/>
      <c r="G517" s="1235"/>
      <c r="H517" s="1249" t="s">
        <v>4322</v>
      </c>
      <c r="I517" s="1249">
        <f>ROUNDUP(I516,1-0)</f>
        <v>9.4</v>
      </c>
      <c r="J517" s="1246" t="s">
        <v>2308</v>
      </c>
      <c r="K517" s="1278"/>
    </row>
    <row r="518" spans="1:11" ht="24.95" customHeight="1">
      <c r="A518" s="1237"/>
      <c r="B518" s="1247" t="s">
        <v>5566</v>
      </c>
      <c r="C518" s="1234"/>
      <c r="D518" s="1234"/>
      <c r="E518" s="1234"/>
      <c r="F518" s="1235"/>
      <c r="G518" s="1235"/>
      <c r="H518" s="1235"/>
      <c r="I518" s="1235"/>
      <c r="J518" s="1236"/>
      <c r="K518" s="1278"/>
    </row>
    <row r="519" spans="1:11" ht="24.95" customHeight="1">
      <c r="A519" s="1237"/>
      <c r="B519" s="1247" t="s">
        <v>5565</v>
      </c>
      <c r="C519" s="1234">
        <f>C815</f>
        <v>1</v>
      </c>
      <c r="D519" s="1234"/>
      <c r="E519" s="1234">
        <v>5</v>
      </c>
      <c r="F519" s="1235">
        <v>0.9</v>
      </c>
      <c r="G519" s="1235"/>
      <c r="H519" s="1235">
        <v>0.9</v>
      </c>
      <c r="I519" s="1235">
        <f t="shared" si="39"/>
        <v>4.05</v>
      </c>
      <c r="J519" s="1236"/>
      <c r="K519" s="1278"/>
    </row>
    <row r="520" spans="1:11" ht="24.95" customHeight="1">
      <c r="A520" s="1237"/>
      <c r="B520" s="1247" t="s">
        <v>5564</v>
      </c>
      <c r="C520" s="1234">
        <v>1</v>
      </c>
      <c r="D520" s="1234"/>
      <c r="E520" s="1234">
        <v>2</v>
      </c>
      <c r="F520" s="1235">
        <v>0.9</v>
      </c>
      <c r="G520" s="1235"/>
      <c r="H520" s="1235">
        <v>0.9</v>
      </c>
      <c r="I520" s="1235">
        <f t="shared" si="39"/>
        <v>1.62</v>
      </c>
      <c r="J520" s="1236"/>
      <c r="K520" s="1278"/>
    </row>
    <row r="521" spans="1:11" ht="24.95" customHeight="1">
      <c r="A521" s="1237"/>
      <c r="B521" s="1247" t="s">
        <v>5502</v>
      </c>
      <c r="C521" s="1234">
        <v>2</v>
      </c>
      <c r="D521" s="1234"/>
      <c r="E521" s="1234">
        <v>2</v>
      </c>
      <c r="F521" s="1235">
        <v>0.9</v>
      </c>
      <c r="G521" s="1235"/>
      <c r="H521" s="1235">
        <v>0.9</v>
      </c>
      <c r="I521" s="1235">
        <f t="shared" si="39"/>
        <v>3.24</v>
      </c>
      <c r="J521" s="1236"/>
      <c r="K521" s="1278"/>
    </row>
    <row r="522" spans="1:11" ht="24.95" customHeight="1">
      <c r="A522" s="1237"/>
      <c r="B522" s="1247"/>
      <c r="C522" s="1234"/>
      <c r="D522" s="1234"/>
      <c r="E522" s="1234"/>
      <c r="F522" s="1235"/>
      <c r="G522" s="1235"/>
      <c r="H522" s="1235"/>
      <c r="I522" s="1235">
        <f>SUM(I519:I521)</f>
        <v>8.91</v>
      </c>
      <c r="J522" s="1236"/>
      <c r="K522" s="1278"/>
    </row>
    <row r="523" spans="1:11" ht="24.95" customHeight="1">
      <c r="A523" s="1237"/>
      <c r="B523" s="1247"/>
      <c r="C523" s="1234"/>
      <c r="D523" s="1234"/>
      <c r="E523" s="1234"/>
      <c r="F523" s="1235"/>
      <c r="G523" s="1235"/>
      <c r="H523" s="1249" t="s">
        <v>4322</v>
      </c>
      <c r="I523" s="1249">
        <f>ROUNDUP(I522,1-0)</f>
        <v>9</v>
      </c>
      <c r="J523" s="1246" t="s">
        <v>2308</v>
      </c>
      <c r="K523" s="1278"/>
    </row>
    <row r="524" spans="1:11" ht="24.95" customHeight="1">
      <c r="A524" s="1237"/>
      <c r="B524" s="1247"/>
      <c r="C524" s="1234"/>
      <c r="D524" s="1234"/>
      <c r="E524" s="1234"/>
      <c r="F524" s="1248"/>
      <c r="G524" s="1248"/>
      <c r="H524" s="1249"/>
      <c r="I524" s="1249"/>
      <c r="J524" s="1246"/>
      <c r="K524" s="1278"/>
    </row>
    <row r="525" spans="1:11" ht="24.95" customHeight="1">
      <c r="A525" s="1258">
        <v>21.2</v>
      </c>
      <c r="B525" s="1233" t="s">
        <v>5567</v>
      </c>
      <c r="C525" s="1234"/>
      <c r="D525" s="1234"/>
      <c r="E525" s="1234"/>
      <c r="F525" s="1235"/>
      <c r="G525" s="1235"/>
      <c r="H525" s="1235"/>
      <c r="I525" s="1235"/>
      <c r="J525" s="1236"/>
    </row>
    <row r="526" spans="1:11" ht="24.95" customHeight="1">
      <c r="A526" s="1237"/>
      <c r="B526" s="1233" t="s">
        <v>5568</v>
      </c>
      <c r="C526" s="1234"/>
      <c r="D526" s="1234"/>
      <c r="E526" s="1234"/>
      <c r="F526" s="1235"/>
      <c r="G526" s="1235"/>
      <c r="H526" s="1235"/>
      <c r="I526" s="1235"/>
      <c r="J526" s="1236"/>
    </row>
    <row r="527" spans="1:11" ht="24.95" customHeight="1">
      <c r="A527" s="1237"/>
      <c r="B527" s="1247" t="s">
        <v>5569</v>
      </c>
      <c r="C527" s="1234">
        <v>2</v>
      </c>
      <c r="D527" s="1234"/>
      <c r="E527" s="1234">
        <v>2</v>
      </c>
      <c r="F527" s="1248">
        <v>0.1</v>
      </c>
      <c r="G527" s="1251">
        <v>7.4999999999999997E-2</v>
      </c>
      <c r="H527" s="1248">
        <v>2.4</v>
      </c>
      <c r="I527" s="1251">
        <f>PRODUCT(C527:H527)</f>
        <v>7.1999999999999995E-2</v>
      </c>
      <c r="J527" s="1236"/>
    </row>
    <row r="528" spans="1:11" ht="24.95" customHeight="1">
      <c r="A528" s="1237"/>
      <c r="B528" s="1247" t="s">
        <v>5570</v>
      </c>
      <c r="C528" s="1234">
        <v>2</v>
      </c>
      <c r="D528" s="1234"/>
      <c r="E528" s="1234">
        <v>14</v>
      </c>
      <c r="F528" s="1248">
        <v>0.1</v>
      </c>
      <c r="G528" s="1251">
        <v>7.4999999999999997E-2</v>
      </c>
      <c r="H528" s="1248">
        <v>2.4</v>
      </c>
      <c r="I528" s="1251">
        <f>PRODUCT(C528:H528)</f>
        <v>0.504</v>
      </c>
      <c r="J528" s="1246"/>
    </row>
    <row r="529" spans="1:10" ht="24.95" customHeight="1">
      <c r="A529" s="1237"/>
      <c r="B529" s="1247"/>
      <c r="C529" s="1234"/>
      <c r="D529" s="1234"/>
      <c r="E529" s="1234"/>
      <c r="F529" s="1248"/>
      <c r="G529" s="1248"/>
      <c r="H529" s="1249"/>
      <c r="I529" s="1252">
        <f>SUM(I527:I528)</f>
        <v>0.57599999999999996</v>
      </c>
      <c r="J529" s="1246"/>
    </row>
    <row r="530" spans="1:10" ht="24.95" customHeight="1">
      <c r="A530" s="1237"/>
      <c r="B530" s="1247"/>
      <c r="C530" s="1234"/>
      <c r="D530" s="1234"/>
      <c r="E530" s="1234"/>
      <c r="F530" s="1248"/>
      <c r="G530" s="1248"/>
      <c r="H530" s="1249" t="s">
        <v>4322</v>
      </c>
      <c r="I530" s="1249">
        <f>ROUNDUP(I529,1-0)</f>
        <v>0.6</v>
      </c>
      <c r="J530" s="1246" t="s">
        <v>2176</v>
      </c>
    </row>
    <row r="531" spans="1:10" ht="24.95" customHeight="1">
      <c r="A531" s="1258"/>
      <c r="B531" s="1233" t="s">
        <v>5571</v>
      </c>
      <c r="C531" s="1234"/>
      <c r="D531" s="1234"/>
      <c r="E531" s="1234"/>
      <c r="F531" s="1235"/>
      <c r="G531" s="1235"/>
      <c r="H531" s="1235"/>
      <c r="I531" s="1235"/>
      <c r="J531" s="1236"/>
    </row>
    <row r="532" spans="1:10" ht="24.95" customHeight="1">
      <c r="A532" s="1237"/>
      <c r="B532" s="1247" t="s">
        <v>5569</v>
      </c>
      <c r="C532" s="1234">
        <v>1</v>
      </c>
      <c r="D532" s="1234"/>
      <c r="E532" s="1234">
        <v>3</v>
      </c>
      <c r="F532" s="1248">
        <v>0.1</v>
      </c>
      <c r="G532" s="1251">
        <v>7.4999999999999997E-2</v>
      </c>
      <c r="H532" s="1248">
        <v>1.8</v>
      </c>
      <c r="I532" s="1251">
        <f>PRODUCT(C532:H532)</f>
        <v>4.1000000000000002E-2</v>
      </c>
      <c r="J532" s="1236"/>
    </row>
    <row r="533" spans="1:10" ht="24.95" customHeight="1">
      <c r="A533" s="1237"/>
      <c r="B533" s="1247" t="s">
        <v>5572</v>
      </c>
      <c r="C533" s="1234">
        <v>2</v>
      </c>
      <c r="D533" s="1234"/>
      <c r="E533" s="1234">
        <v>14</v>
      </c>
      <c r="F533" s="1248">
        <v>0.1</v>
      </c>
      <c r="G533" s="1251">
        <v>7.4999999999999997E-2</v>
      </c>
      <c r="H533" s="1248">
        <v>1.8</v>
      </c>
      <c r="I533" s="1251">
        <f>PRODUCT(C533:H533)</f>
        <v>0.378</v>
      </c>
      <c r="J533" s="1246"/>
    </row>
    <row r="534" spans="1:10" ht="24.95" customHeight="1">
      <c r="A534" s="1237"/>
      <c r="B534" s="1247"/>
      <c r="C534" s="1234"/>
      <c r="D534" s="1234"/>
      <c r="E534" s="1234"/>
      <c r="F534" s="1248"/>
      <c r="G534" s="1248"/>
      <c r="H534" s="1249"/>
      <c r="I534" s="1252">
        <f>SUM(I532:I533)</f>
        <v>0.41899999999999998</v>
      </c>
      <c r="J534" s="1246"/>
    </row>
    <row r="535" spans="1:10" ht="24.95" customHeight="1">
      <c r="A535" s="1237"/>
      <c r="B535" s="1247"/>
      <c r="C535" s="1234"/>
      <c r="D535" s="1234"/>
      <c r="E535" s="1234"/>
      <c r="F535" s="1248"/>
      <c r="G535" s="1248"/>
      <c r="H535" s="1249" t="s">
        <v>4322</v>
      </c>
      <c r="I535" s="1249">
        <f>ROUNDUP(I534,1-0)</f>
        <v>0.5</v>
      </c>
      <c r="J535" s="1246" t="s">
        <v>2176</v>
      </c>
    </row>
    <row r="536" spans="1:10" ht="24.95" customHeight="1">
      <c r="A536" s="1258">
        <v>23.3</v>
      </c>
      <c r="B536" s="1233" t="s">
        <v>5573</v>
      </c>
      <c r="C536" s="1234"/>
      <c r="D536" s="1234"/>
      <c r="E536" s="1234"/>
      <c r="F536" s="1248"/>
      <c r="G536" s="1248"/>
      <c r="H536" s="1249"/>
      <c r="I536" s="1249"/>
      <c r="J536" s="1246"/>
    </row>
    <row r="537" spans="1:10" ht="24.95" customHeight="1">
      <c r="A537" s="1237"/>
      <c r="B537" s="1247" t="s">
        <v>5574</v>
      </c>
      <c r="C537" s="1234">
        <v>1</v>
      </c>
      <c r="D537" s="1234"/>
      <c r="E537" s="1234">
        <v>13</v>
      </c>
      <c r="F537" s="1248"/>
      <c r="G537" s="1248"/>
      <c r="H537" s="1248"/>
      <c r="I537" s="1248">
        <f>PRODUCT(C537:H537)</f>
        <v>13</v>
      </c>
      <c r="J537" s="1236"/>
    </row>
    <row r="538" spans="1:10" ht="24.95" customHeight="1">
      <c r="A538" s="1237"/>
      <c r="B538" s="1247"/>
      <c r="C538" s="1234"/>
      <c r="D538" s="1234"/>
      <c r="E538" s="1234"/>
      <c r="F538" s="1248"/>
      <c r="G538" s="1248"/>
      <c r="H538" s="1249" t="s">
        <v>4322</v>
      </c>
      <c r="I538" s="1249">
        <f>SUM(I537)</f>
        <v>13</v>
      </c>
      <c r="J538" s="1246" t="s">
        <v>1418</v>
      </c>
    </row>
    <row r="539" spans="1:10" ht="24.95" customHeight="1">
      <c r="A539" s="1258">
        <v>25</v>
      </c>
      <c r="B539" s="1233" t="s">
        <v>5575</v>
      </c>
      <c r="C539" s="1234"/>
      <c r="D539" s="1234"/>
      <c r="E539" s="1234"/>
      <c r="F539" s="1235"/>
      <c r="G539" s="1235"/>
      <c r="H539" s="1235"/>
      <c r="I539" s="1235"/>
      <c r="J539" s="1236"/>
    </row>
    <row r="540" spans="1:10" ht="24.95" customHeight="1">
      <c r="A540" s="1237"/>
      <c r="B540" s="1247" t="str">
        <f>B537</f>
        <v>Entrance Door &amp; Store,sot,sfo,watcroom</v>
      </c>
      <c r="C540" s="1234">
        <v>14</v>
      </c>
      <c r="D540" s="1234"/>
      <c r="E540" s="1234">
        <v>6</v>
      </c>
      <c r="F540" s="1235"/>
      <c r="G540" s="1248"/>
      <c r="H540" s="1248"/>
      <c r="I540" s="1248">
        <f>PRODUCT(C540:H540)</f>
        <v>84</v>
      </c>
      <c r="J540" s="1236"/>
    </row>
    <row r="541" spans="1:10" ht="24.95" customHeight="1">
      <c r="A541" s="1237"/>
      <c r="B541" s="1247"/>
      <c r="C541" s="1234"/>
      <c r="D541" s="1234"/>
      <c r="E541" s="1234"/>
      <c r="F541" s="1235"/>
      <c r="G541" s="1248"/>
      <c r="H541" s="1249" t="s">
        <v>5423</v>
      </c>
      <c r="I541" s="1249">
        <f>I540</f>
        <v>84</v>
      </c>
      <c r="J541" s="1246" t="s">
        <v>1418</v>
      </c>
    </row>
    <row r="542" spans="1:10" ht="24.95" customHeight="1">
      <c r="A542" s="1250">
        <v>26</v>
      </c>
      <c r="B542" s="1233" t="s">
        <v>5576</v>
      </c>
      <c r="C542" s="1234"/>
      <c r="D542" s="1234"/>
      <c r="E542" s="1234"/>
      <c r="F542" s="1235"/>
      <c r="G542" s="1235"/>
      <c r="H542" s="1235"/>
      <c r="I542" s="1235"/>
      <c r="J542" s="1236"/>
    </row>
    <row r="543" spans="1:10" ht="24.95" customHeight="1">
      <c r="A543" s="1237"/>
      <c r="B543" s="1247" t="s">
        <v>5608</v>
      </c>
      <c r="C543" s="1234">
        <v>1</v>
      </c>
      <c r="D543" s="1234" t="s">
        <v>5404</v>
      </c>
      <c r="E543" s="1234">
        <v>1</v>
      </c>
      <c r="F543" s="1248">
        <v>3.6</v>
      </c>
      <c r="G543" s="1248">
        <v>5</v>
      </c>
      <c r="H543" s="1248">
        <v>0.1</v>
      </c>
      <c r="I543" s="1248">
        <f t="shared" ref="I543:I555" si="40">PRODUCT(E543:H543)</f>
        <v>1.8</v>
      </c>
      <c r="J543" s="1236"/>
    </row>
    <row r="544" spans="1:10" ht="24.95" customHeight="1">
      <c r="A544" s="1237"/>
      <c r="B544" s="1247" t="s">
        <v>5885</v>
      </c>
      <c r="C544" s="1234">
        <v>1</v>
      </c>
      <c r="D544" s="1234" t="s">
        <v>5404</v>
      </c>
      <c r="E544" s="1234">
        <v>1</v>
      </c>
      <c r="F544" s="1248">
        <v>3.6</v>
      </c>
      <c r="G544" s="1248">
        <v>2</v>
      </c>
      <c r="H544" s="1248">
        <v>0.1</v>
      </c>
      <c r="I544" s="1248">
        <f t="shared" si="40"/>
        <v>0.72</v>
      </c>
      <c r="J544" s="1236"/>
    </row>
    <row r="545" spans="1:11" ht="24.95" customHeight="1">
      <c r="A545" s="1237"/>
      <c r="B545" s="1247" t="s">
        <v>5414</v>
      </c>
      <c r="C545" s="1234">
        <v>1</v>
      </c>
      <c r="D545" s="1234" t="s">
        <v>5404</v>
      </c>
      <c r="E545" s="1234">
        <v>1</v>
      </c>
      <c r="F545" s="1248">
        <v>3.6</v>
      </c>
      <c r="G545" s="1248">
        <v>7.55</v>
      </c>
      <c r="H545" s="1248">
        <v>0.1</v>
      </c>
      <c r="I545" s="1248">
        <f t="shared" si="40"/>
        <v>2.72</v>
      </c>
      <c r="J545" s="1236"/>
    </row>
    <row r="546" spans="1:11" ht="24.95" customHeight="1">
      <c r="A546" s="1237"/>
      <c r="B546" s="1247" t="s">
        <v>5886</v>
      </c>
      <c r="C546" s="1234">
        <v>1</v>
      </c>
      <c r="D546" s="1234" t="s">
        <v>5404</v>
      </c>
      <c r="E546" s="1234">
        <v>1</v>
      </c>
      <c r="F546" s="1251">
        <v>3.72</v>
      </c>
      <c r="G546" s="1248">
        <v>5.94</v>
      </c>
      <c r="H546" s="1248">
        <v>0.1</v>
      </c>
      <c r="I546" s="1248">
        <f t="shared" si="40"/>
        <v>2.21</v>
      </c>
      <c r="J546" s="1236"/>
    </row>
    <row r="547" spans="1:11" ht="24.95" customHeight="1">
      <c r="A547" s="1237"/>
      <c r="B547" s="1247" t="s">
        <v>5578</v>
      </c>
      <c r="C547" s="1234">
        <v>1</v>
      </c>
      <c r="D547" s="1234" t="s">
        <v>5404</v>
      </c>
      <c r="E547" s="1234">
        <v>1</v>
      </c>
      <c r="F547" s="1248">
        <v>1.65</v>
      </c>
      <c r="G547" s="1248">
        <v>2.66</v>
      </c>
      <c r="H547" s="1248">
        <v>0.1</v>
      </c>
      <c r="I547" s="1248">
        <f t="shared" si="40"/>
        <v>0.44</v>
      </c>
      <c r="J547" s="1236"/>
    </row>
    <row r="548" spans="1:11" ht="24.95" customHeight="1">
      <c r="A548" s="1237"/>
      <c r="B548" s="1247" t="s">
        <v>5417</v>
      </c>
      <c r="C548" s="1234">
        <v>1</v>
      </c>
      <c r="D548" s="1234" t="s">
        <v>5404</v>
      </c>
      <c r="E548" s="1234">
        <v>1</v>
      </c>
      <c r="F548" s="1248">
        <v>1.8</v>
      </c>
      <c r="G548" s="1248">
        <v>14.04</v>
      </c>
      <c r="H548" s="1248">
        <v>0.1</v>
      </c>
      <c r="I548" s="1248">
        <f t="shared" si="40"/>
        <v>2.5299999999999998</v>
      </c>
      <c r="J548" s="1236"/>
    </row>
    <row r="549" spans="1:11" ht="24.95" customHeight="1">
      <c r="A549" s="1237"/>
      <c r="B549" s="1247" t="s">
        <v>5416</v>
      </c>
      <c r="C549" s="1234">
        <v>1</v>
      </c>
      <c r="D549" s="1234" t="s">
        <v>5404</v>
      </c>
      <c r="E549" s="1234">
        <v>1</v>
      </c>
      <c r="F549" s="1248">
        <v>3.3</v>
      </c>
      <c r="G549" s="1248">
        <v>3.3</v>
      </c>
      <c r="H549" s="1248">
        <v>0.1</v>
      </c>
      <c r="I549" s="1248">
        <f t="shared" si="40"/>
        <v>1.0900000000000001</v>
      </c>
      <c r="J549" s="1236"/>
    </row>
    <row r="550" spans="1:11" ht="24.95" customHeight="1">
      <c r="A550" s="1237"/>
      <c r="B550" s="1247" t="s">
        <v>5418</v>
      </c>
      <c r="C550" s="1234">
        <v>1</v>
      </c>
      <c r="D550" s="1234" t="s">
        <v>5404</v>
      </c>
      <c r="E550" s="1234">
        <v>1</v>
      </c>
      <c r="F550" s="1248">
        <v>4.5</v>
      </c>
      <c r="G550" s="1248">
        <v>3.3</v>
      </c>
      <c r="H550" s="1248">
        <v>0.1</v>
      </c>
      <c r="I550" s="1248">
        <f t="shared" si="40"/>
        <v>1.49</v>
      </c>
      <c r="J550" s="1246"/>
    </row>
    <row r="551" spans="1:11" ht="24.95" customHeight="1">
      <c r="A551" s="1237"/>
      <c r="B551" s="1247" t="s">
        <v>5419</v>
      </c>
      <c r="C551" s="1234">
        <v>1</v>
      </c>
      <c r="D551" s="1234" t="s">
        <v>5404</v>
      </c>
      <c r="E551" s="1234">
        <v>1</v>
      </c>
      <c r="F551" s="1248">
        <v>6</v>
      </c>
      <c r="G551" s="1248">
        <v>6</v>
      </c>
      <c r="H551" s="1248">
        <v>0.1</v>
      </c>
      <c r="I551" s="1248">
        <f t="shared" si="40"/>
        <v>3.6</v>
      </c>
      <c r="J551" s="1236"/>
    </row>
    <row r="552" spans="1:11" ht="24.95" customHeight="1">
      <c r="A552" s="1237"/>
      <c r="B552" s="1247" t="s">
        <v>5887</v>
      </c>
      <c r="C552" s="1234">
        <v>1</v>
      </c>
      <c r="D552" s="1234" t="s">
        <v>5404</v>
      </c>
      <c r="E552" s="1234">
        <v>1</v>
      </c>
      <c r="F552" s="1248">
        <v>5.03</v>
      </c>
      <c r="G552" s="1248">
        <v>2</v>
      </c>
      <c r="H552" s="1248">
        <v>0.1</v>
      </c>
      <c r="I552" s="1248">
        <f t="shared" si="40"/>
        <v>1.01</v>
      </c>
      <c r="J552" s="1236"/>
    </row>
    <row r="553" spans="1:11" ht="24.95" customHeight="1">
      <c r="A553" s="1237"/>
      <c r="B553" s="1247" t="s">
        <v>5888</v>
      </c>
      <c r="C553" s="1234">
        <v>1</v>
      </c>
      <c r="D553" s="1234" t="s">
        <v>5404</v>
      </c>
      <c r="E553" s="1234">
        <v>1</v>
      </c>
      <c r="F553" s="1248">
        <v>1.2</v>
      </c>
      <c r="G553" s="1248">
        <v>2</v>
      </c>
      <c r="H553" s="1248">
        <v>0.1</v>
      </c>
      <c r="I553" s="1248">
        <f t="shared" si="40"/>
        <v>0.24</v>
      </c>
      <c r="J553" s="1236"/>
    </row>
    <row r="554" spans="1:11" ht="24.95" customHeight="1">
      <c r="A554" s="1237"/>
      <c r="B554" s="1247" t="s">
        <v>5415</v>
      </c>
      <c r="C554" s="1234">
        <v>1</v>
      </c>
      <c r="D554" s="1234" t="s">
        <v>5404</v>
      </c>
      <c r="E554" s="1234">
        <v>1</v>
      </c>
      <c r="F554" s="1248">
        <v>6</v>
      </c>
      <c r="G554" s="1248">
        <v>8.0299999999999994</v>
      </c>
      <c r="H554" s="1248">
        <v>0.1</v>
      </c>
      <c r="I554" s="1248">
        <f t="shared" si="40"/>
        <v>4.82</v>
      </c>
      <c r="J554" s="1236"/>
    </row>
    <row r="555" spans="1:11" ht="24.95" customHeight="1">
      <c r="A555" s="1237"/>
      <c r="B555" s="1247" t="s">
        <v>5477</v>
      </c>
      <c r="C555" s="1234">
        <v>1</v>
      </c>
      <c r="D555" s="1234" t="s">
        <v>5404</v>
      </c>
      <c r="E555" s="1234">
        <v>1</v>
      </c>
      <c r="F555" s="1248">
        <v>10.97</v>
      </c>
      <c r="G555" s="1248">
        <f>17-0.46</f>
        <v>16.54</v>
      </c>
      <c r="H555" s="1248">
        <v>0.15</v>
      </c>
      <c r="I555" s="1248">
        <f t="shared" si="40"/>
        <v>27.22</v>
      </c>
      <c r="J555" s="1236"/>
    </row>
    <row r="556" spans="1:11" ht="24.95" customHeight="1">
      <c r="A556" s="1237"/>
      <c r="B556" s="1247"/>
      <c r="C556" s="1234">
        <v>1</v>
      </c>
      <c r="D556" s="1234" t="s">
        <v>5404</v>
      </c>
      <c r="E556" s="1234">
        <v>1</v>
      </c>
      <c r="F556" s="1248">
        <v>11.2</v>
      </c>
      <c r="G556" s="1248">
        <v>1.2</v>
      </c>
      <c r="H556" s="1248">
        <v>0.15</v>
      </c>
      <c r="I556" s="1248">
        <f t="shared" ref="I556:I557" si="41">PRODUCT(E556:H556)</f>
        <v>2.02</v>
      </c>
      <c r="J556" s="1236"/>
    </row>
    <row r="557" spans="1:11" ht="24.95" customHeight="1">
      <c r="A557" s="1237"/>
      <c r="B557" s="1247"/>
      <c r="C557" s="1234">
        <v>1</v>
      </c>
      <c r="D557" s="1234" t="s">
        <v>5404</v>
      </c>
      <c r="E557" s="1234">
        <v>1</v>
      </c>
      <c r="F557" s="1248">
        <v>11.2</v>
      </c>
      <c r="G557" s="1248">
        <v>5.4</v>
      </c>
      <c r="H557" s="1248">
        <v>0.15</v>
      </c>
      <c r="I557" s="1248">
        <f t="shared" si="41"/>
        <v>9.07</v>
      </c>
      <c r="J557" s="1236"/>
    </row>
    <row r="558" spans="1:11" ht="24.95" customHeight="1">
      <c r="A558" s="1237"/>
      <c r="B558" s="1247"/>
      <c r="C558" s="1234"/>
      <c r="D558" s="1234"/>
      <c r="E558" s="1234"/>
      <c r="F558" s="1248"/>
      <c r="G558" s="1248"/>
      <c r="H558" s="1249"/>
      <c r="I558" s="1248">
        <f>SUM(I543:I557)</f>
        <v>60.98</v>
      </c>
      <c r="J558" s="1246"/>
      <c r="K558" s="1230">
        <v>0.01</v>
      </c>
    </row>
    <row r="559" spans="1:11" ht="24.95" customHeight="1">
      <c r="A559" s="1237"/>
      <c r="B559" s="1247"/>
      <c r="C559" s="1234"/>
      <c r="D559" s="1234"/>
      <c r="E559" s="1234"/>
      <c r="F559" s="1248"/>
      <c r="G559" s="1248"/>
      <c r="H559" s="1249" t="s">
        <v>4322</v>
      </c>
      <c r="I559" s="1249">
        <f>ROUNDUP(I558,1-0)</f>
        <v>61</v>
      </c>
      <c r="J559" s="1246" t="s">
        <v>2176</v>
      </c>
    </row>
    <row r="560" spans="1:11" ht="36" customHeight="1">
      <c r="A560" s="1258">
        <v>28</v>
      </c>
      <c r="B560" s="1233" t="s">
        <v>5579</v>
      </c>
      <c r="C560" s="1234"/>
      <c r="D560" s="1234"/>
      <c r="E560" s="1234"/>
      <c r="F560" s="1235"/>
      <c r="G560" s="1235"/>
      <c r="H560" s="1235"/>
      <c r="I560" s="1235"/>
      <c r="J560" s="1236"/>
    </row>
    <row r="561" spans="1:11" ht="24.95" customHeight="1">
      <c r="A561" s="1237"/>
      <c r="B561" s="1247" t="s">
        <v>5477</v>
      </c>
      <c r="C561" s="1234">
        <v>1</v>
      </c>
      <c r="D561" s="1234" t="s">
        <v>5404</v>
      </c>
      <c r="E561" s="1234">
        <v>1</v>
      </c>
      <c r="F561" s="1248">
        <v>10.97</v>
      </c>
      <c r="G561" s="1248">
        <f>17-0.46</f>
        <v>16.54</v>
      </c>
      <c r="H561" s="1248"/>
      <c r="I561" s="1248">
        <f t="shared" ref="I561:I568" si="42">PRODUCT(C561:H561)</f>
        <v>181.44</v>
      </c>
      <c r="J561" s="1236"/>
    </row>
    <row r="562" spans="1:11" ht="24.95" customHeight="1">
      <c r="A562" s="1237"/>
      <c r="B562" s="1247"/>
      <c r="C562" s="1234">
        <v>1</v>
      </c>
      <c r="D562" s="1234" t="s">
        <v>5404</v>
      </c>
      <c r="E562" s="1234">
        <v>1</v>
      </c>
      <c r="F562" s="1248">
        <v>11.2</v>
      </c>
      <c r="G562" s="1248">
        <v>1.2</v>
      </c>
      <c r="H562" s="1248"/>
      <c r="I562" s="1248">
        <f t="shared" si="42"/>
        <v>13.44</v>
      </c>
      <c r="J562" s="1236"/>
    </row>
    <row r="563" spans="1:11" ht="24.95" customHeight="1">
      <c r="A563" s="1237"/>
      <c r="B563" s="1247"/>
      <c r="C563" s="1234">
        <v>1</v>
      </c>
      <c r="D563" s="1234" t="s">
        <v>5404</v>
      </c>
      <c r="E563" s="1234">
        <v>1</v>
      </c>
      <c r="F563" s="1248">
        <v>11.2</v>
      </c>
      <c r="G563" s="1248">
        <v>5.4</v>
      </c>
      <c r="H563" s="1248"/>
      <c r="I563" s="1248">
        <f t="shared" si="42"/>
        <v>60.48</v>
      </c>
      <c r="J563" s="1236"/>
    </row>
    <row r="564" spans="1:11" ht="24.95" customHeight="1">
      <c r="A564" s="1237"/>
      <c r="B564" s="1247" t="s">
        <v>5581</v>
      </c>
      <c r="C564" s="1234">
        <f>C426</f>
        <v>1</v>
      </c>
      <c r="D564" s="1234" t="s">
        <v>5404</v>
      </c>
      <c r="E564" s="1234">
        <v>1</v>
      </c>
      <c r="F564" s="1248">
        <v>11.2</v>
      </c>
      <c r="G564" s="1248">
        <v>5.4</v>
      </c>
      <c r="H564" s="1248"/>
      <c r="I564" s="1248">
        <f t="shared" si="42"/>
        <v>60.48</v>
      </c>
      <c r="J564" s="1236"/>
    </row>
    <row r="565" spans="1:11" ht="24.95" customHeight="1">
      <c r="A565" s="1237"/>
      <c r="B565" s="1247" t="s">
        <v>5582</v>
      </c>
      <c r="C565" s="1234">
        <v>1</v>
      </c>
      <c r="D565" s="1234" t="s">
        <v>5404</v>
      </c>
      <c r="E565" s="1234">
        <v>9</v>
      </c>
      <c r="F565" s="1248">
        <v>0.6</v>
      </c>
      <c r="G565" s="1248">
        <v>0.6</v>
      </c>
      <c r="H565" s="1248"/>
      <c r="I565" s="1248">
        <f t="shared" si="42"/>
        <v>3.24</v>
      </c>
      <c r="J565" s="1236"/>
    </row>
    <row r="566" spans="1:11" ht="24.95" customHeight="1">
      <c r="A566" s="1237"/>
      <c r="B566" s="1247" t="s">
        <v>5583</v>
      </c>
      <c r="C566" s="1234">
        <v>1</v>
      </c>
      <c r="D566" s="1234" t="s">
        <v>5404</v>
      </c>
      <c r="E566" s="1234">
        <v>2</v>
      </c>
      <c r="F566" s="1248">
        <v>3.65</v>
      </c>
      <c r="G566" s="1248">
        <v>1.5</v>
      </c>
      <c r="H566" s="1248"/>
      <c r="I566" s="1248">
        <f t="shared" si="42"/>
        <v>10.95</v>
      </c>
      <c r="J566" s="1236"/>
    </row>
    <row r="567" spans="1:11" ht="24.95" customHeight="1">
      <c r="A567" s="1237"/>
      <c r="B567" s="1247" t="s">
        <v>5474</v>
      </c>
      <c r="C567" s="1234">
        <v>1</v>
      </c>
      <c r="D567" s="1234" t="s">
        <v>5404</v>
      </c>
      <c r="E567" s="1234">
        <v>46</v>
      </c>
      <c r="F567" s="1248">
        <v>1.5</v>
      </c>
      <c r="G567" s="1248">
        <v>0.45</v>
      </c>
      <c r="H567" s="1248"/>
      <c r="I567" s="1248">
        <f t="shared" si="42"/>
        <v>31.05</v>
      </c>
      <c r="J567" s="1236"/>
    </row>
    <row r="568" spans="1:11" ht="24.95" customHeight="1">
      <c r="A568" s="1237"/>
      <c r="B568" s="1247" t="s">
        <v>5584</v>
      </c>
      <c r="C568" s="1234">
        <v>1</v>
      </c>
      <c r="D568" s="1234" t="s">
        <v>5404</v>
      </c>
      <c r="E568" s="1234">
        <v>2</v>
      </c>
      <c r="F568" s="1248">
        <v>3.65</v>
      </c>
      <c r="G568" s="1248">
        <v>2</v>
      </c>
      <c r="H568" s="1248"/>
      <c r="I568" s="1248">
        <f t="shared" si="42"/>
        <v>14.6</v>
      </c>
      <c r="J568" s="1236"/>
    </row>
    <row r="569" spans="1:11" ht="24.95" customHeight="1">
      <c r="A569" s="1237"/>
      <c r="B569" s="1247"/>
      <c r="C569" s="1234"/>
      <c r="D569" s="1234"/>
      <c r="E569" s="1234"/>
      <c r="F569" s="1248"/>
      <c r="G569" s="1248"/>
      <c r="H569" s="1249"/>
      <c r="I569" s="1248">
        <f>SUM(I561:I568)</f>
        <v>375.68</v>
      </c>
      <c r="J569" s="1246"/>
      <c r="K569" s="1230">
        <v>0.04</v>
      </c>
    </row>
    <row r="570" spans="1:11" ht="24.95" customHeight="1">
      <c r="A570" s="1237"/>
      <c r="B570" s="1247"/>
      <c r="C570" s="1234"/>
      <c r="D570" s="1234"/>
      <c r="E570" s="1234"/>
      <c r="F570" s="1248"/>
      <c r="G570" s="1248"/>
      <c r="H570" s="1249" t="s">
        <v>5423</v>
      </c>
      <c r="I570" s="1249">
        <f>ROUNDUP(I569,1-0)</f>
        <v>375.7</v>
      </c>
      <c r="J570" s="1246" t="s">
        <v>236</v>
      </c>
    </row>
    <row r="571" spans="1:11" ht="24.95" customHeight="1">
      <c r="A571" s="1258">
        <v>30</v>
      </c>
      <c r="B571" s="1233" t="s">
        <v>1729</v>
      </c>
      <c r="C571" s="1234"/>
      <c r="D571" s="1234"/>
      <c r="E571" s="1234"/>
      <c r="F571" s="1248"/>
      <c r="G571" s="1248"/>
      <c r="H571" s="1249"/>
      <c r="I571" s="1249"/>
      <c r="J571" s="1246"/>
    </row>
    <row r="572" spans="1:11" ht="24.95" customHeight="1">
      <c r="A572" s="1237"/>
      <c r="B572" s="1247" t="s">
        <v>5788</v>
      </c>
      <c r="C572" s="1234">
        <v>1</v>
      </c>
      <c r="D572" s="1234"/>
      <c r="E572" s="1234">
        <v>1</v>
      </c>
      <c r="F572" s="1293">
        <v>6</v>
      </c>
      <c r="G572" s="1248">
        <v>8.0299999999999994</v>
      </c>
      <c r="H572" s="1248"/>
      <c r="I572" s="1263">
        <f>PRODUCT(C572:H572)</f>
        <v>48.18</v>
      </c>
      <c r="J572" s="1246"/>
    </row>
    <row r="573" spans="1:11" ht="24.95" customHeight="1">
      <c r="A573" s="1237"/>
      <c r="B573" s="1247"/>
      <c r="C573" s="1234"/>
      <c r="D573" s="1234"/>
      <c r="E573" s="1234"/>
      <c r="F573" s="1251"/>
      <c r="G573" s="1248"/>
      <c r="H573" s="1248"/>
      <c r="I573" s="1263">
        <f>SUM(I572:I572)</f>
        <v>48.18</v>
      </c>
      <c r="J573" s="1246"/>
    </row>
    <row r="574" spans="1:11" ht="24.95" customHeight="1">
      <c r="A574" s="1237"/>
      <c r="B574" s="1247"/>
      <c r="C574" s="1234"/>
      <c r="D574" s="1234"/>
      <c r="E574" s="1234"/>
      <c r="F574" s="1251"/>
      <c r="G574" s="1248"/>
      <c r="H574" s="1249" t="s">
        <v>4322</v>
      </c>
      <c r="I574" s="1249">
        <f>ROUNDUP(I573,1-0)</f>
        <v>48.2</v>
      </c>
      <c r="J574" s="1246" t="s">
        <v>2308</v>
      </c>
    </row>
    <row r="575" spans="1:11" ht="24.95" customHeight="1">
      <c r="A575" s="1340">
        <v>31</v>
      </c>
      <c r="B575" s="1341" t="s">
        <v>5868</v>
      </c>
      <c r="C575" s="1342"/>
      <c r="D575" s="1342"/>
      <c r="E575" s="1342"/>
      <c r="F575" s="1342"/>
      <c r="G575" s="1343"/>
      <c r="H575" s="1342"/>
      <c r="I575" s="1343"/>
      <c r="J575" s="1344"/>
    </row>
    <row r="576" spans="1:11" ht="24.95" customHeight="1">
      <c r="A576" s="1340"/>
      <c r="B576" s="1345" t="s">
        <v>5869</v>
      </c>
      <c r="C576" s="1345">
        <v>1</v>
      </c>
      <c r="D576" s="1345" t="s">
        <v>5404</v>
      </c>
      <c r="E576" s="1345">
        <v>6</v>
      </c>
      <c r="F576" s="1342">
        <v>1.5</v>
      </c>
      <c r="G576" s="1342">
        <v>1.2</v>
      </c>
      <c r="H576" s="1342">
        <v>0.3</v>
      </c>
      <c r="I576" s="1342">
        <f>PRODUCT(C576:H576)</f>
        <v>3.24</v>
      </c>
      <c r="J576" s="1344"/>
    </row>
    <row r="577" spans="1:10" ht="24.95" customHeight="1">
      <c r="A577" s="1340"/>
      <c r="B577" s="1345" t="s">
        <v>2296</v>
      </c>
      <c r="C577" s="1345"/>
      <c r="D577" s="1345"/>
      <c r="E577" s="1345"/>
      <c r="F577" s="1342"/>
      <c r="G577" s="1342"/>
      <c r="H577" s="1342"/>
      <c r="I577" s="1342">
        <v>0.01</v>
      </c>
      <c r="J577" s="1344"/>
    </row>
    <row r="578" spans="1:10" ht="24.95" customHeight="1">
      <c r="A578" s="1340"/>
      <c r="B578" s="1345"/>
      <c r="C578" s="1345"/>
      <c r="D578" s="1345"/>
      <c r="E578" s="1345"/>
      <c r="F578" s="1342"/>
      <c r="G578" s="1342"/>
      <c r="H578" s="1342"/>
      <c r="I578" s="1340">
        <f>SUM(I576:I577)</f>
        <v>3.25</v>
      </c>
      <c r="J578" s="1346" t="s">
        <v>236</v>
      </c>
    </row>
    <row r="579" spans="1:10" ht="24.95" customHeight="1">
      <c r="A579" s="1237"/>
      <c r="B579" s="1247"/>
      <c r="C579" s="1234"/>
      <c r="D579" s="1234"/>
      <c r="E579" s="1234"/>
      <c r="F579" s="1248"/>
      <c r="G579" s="1248"/>
      <c r="H579" s="1249"/>
      <c r="I579" s="1249"/>
      <c r="J579" s="1246"/>
    </row>
    <row r="580" spans="1:10" s="1257" customFormat="1" ht="24.95" customHeight="1">
      <c r="A580" s="1232">
        <v>33</v>
      </c>
      <c r="B580" s="1288" t="s">
        <v>5585</v>
      </c>
      <c r="C580" s="1244"/>
      <c r="D580" s="1234"/>
      <c r="E580" s="1244"/>
      <c r="F580" s="1289"/>
      <c r="G580" s="1289"/>
      <c r="H580" s="1289"/>
      <c r="I580" s="1289"/>
      <c r="J580" s="1266"/>
    </row>
    <row r="581" spans="1:10" ht="24.95" customHeight="1">
      <c r="A581" s="1237"/>
      <c r="B581" s="1233" t="s">
        <v>5586</v>
      </c>
      <c r="C581" s="1234"/>
      <c r="D581" s="1234"/>
      <c r="E581" s="1234"/>
      <c r="F581" s="1235"/>
      <c r="G581" s="1235"/>
      <c r="H581" s="1235"/>
      <c r="I581" s="1235"/>
      <c r="J581" s="1236"/>
    </row>
    <row r="582" spans="1:10" ht="24.95" customHeight="1">
      <c r="A582" s="1237"/>
      <c r="B582" s="1247" t="s">
        <v>5587</v>
      </c>
      <c r="C582" s="1234">
        <v>1</v>
      </c>
      <c r="D582" s="1234" t="s">
        <v>5404</v>
      </c>
      <c r="E582" s="1234">
        <v>1</v>
      </c>
      <c r="F582" s="1235">
        <v>63.96</v>
      </c>
      <c r="G582" s="1235"/>
      <c r="H582" s="1248">
        <v>1.45</v>
      </c>
      <c r="I582" s="1248">
        <f t="shared" ref="I582:I591" si="43">PRODUCT(C582:H582)</f>
        <v>92.74</v>
      </c>
      <c r="J582" s="1236"/>
    </row>
    <row r="583" spans="1:10" ht="24.95" customHeight="1">
      <c r="A583" s="1237"/>
      <c r="B583" s="1247" t="s">
        <v>5906</v>
      </c>
      <c r="C583" s="1234">
        <v>1</v>
      </c>
      <c r="D583" s="1234" t="s">
        <v>5404</v>
      </c>
      <c r="E583" s="1234">
        <v>1</v>
      </c>
      <c r="F583" s="1248">
        <v>65.8</v>
      </c>
      <c r="G583" s="1248"/>
      <c r="H583" s="1248">
        <v>8.65</v>
      </c>
      <c r="I583" s="1248">
        <f t="shared" si="43"/>
        <v>569.16999999999996</v>
      </c>
      <c r="J583" s="1236"/>
    </row>
    <row r="584" spans="1:10" ht="24.95" customHeight="1">
      <c r="A584" s="1237"/>
      <c r="B584" s="1247" t="s">
        <v>5588</v>
      </c>
      <c r="C584" s="1234">
        <v>1</v>
      </c>
      <c r="D584" s="1234" t="s">
        <v>5404</v>
      </c>
      <c r="E584" s="1234">
        <v>2</v>
      </c>
      <c r="F584" s="1248">
        <v>65.8</v>
      </c>
      <c r="G584" s="1248"/>
      <c r="H584" s="1248">
        <v>1.2</v>
      </c>
      <c r="I584" s="1248">
        <f t="shared" si="43"/>
        <v>157.91999999999999</v>
      </c>
      <c r="J584" s="1236"/>
    </row>
    <row r="585" spans="1:10" ht="24.95" customHeight="1">
      <c r="A585" s="1237"/>
      <c r="B585" s="1247" t="s">
        <v>5589</v>
      </c>
      <c r="C585" s="1234">
        <v>1</v>
      </c>
      <c r="D585" s="1234" t="s">
        <v>5404</v>
      </c>
      <c r="E585" s="1234">
        <v>1</v>
      </c>
      <c r="F585" s="1248">
        <v>64.88</v>
      </c>
      <c r="G585" s="1248"/>
      <c r="H585" s="1248">
        <v>0.23</v>
      </c>
      <c r="I585" s="1248">
        <f t="shared" si="43"/>
        <v>14.92</v>
      </c>
      <c r="J585" s="1236"/>
    </row>
    <row r="586" spans="1:10" ht="24.95" customHeight="1">
      <c r="A586" s="1237"/>
      <c r="B586" s="1247" t="s">
        <v>5591</v>
      </c>
      <c r="C586" s="1234">
        <v>1</v>
      </c>
      <c r="D586" s="1234" t="s">
        <v>5404</v>
      </c>
      <c r="E586" s="1234">
        <v>1</v>
      </c>
      <c r="F586" s="1248">
        <v>44.3</v>
      </c>
      <c r="G586" s="1248"/>
      <c r="H586" s="1248">
        <v>1.2</v>
      </c>
      <c r="I586" s="1248">
        <f t="shared" si="43"/>
        <v>53.16</v>
      </c>
      <c r="J586" s="1236"/>
    </row>
    <row r="587" spans="1:10" ht="24.95" customHeight="1">
      <c r="A587" s="1237"/>
      <c r="B587" s="1247" t="s">
        <v>5589</v>
      </c>
      <c r="C587" s="1234">
        <v>1</v>
      </c>
      <c r="D587" s="1234" t="s">
        <v>5404</v>
      </c>
      <c r="E587" s="1234">
        <v>1</v>
      </c>
      <c r="F587" s="1248">
        <v>43.38</v>
      </c>
      <c r="G587" s="1248"/>
      <c r="H587" s="1248">
        <v>0.23</v>
      </c>
      <c r="I587" s="1248">
        <f t="shared" si="43"/>
        <v>9.98</v>
      </c>
      <c r="J587" s="1236"/>
    </row>
    <row r="588" spans="1:10" ht="24.95" customHeight="1">
      <c r="A588" s="1237"/>
      <c r="B588" s="1247" t="s">
        <v>5590</v>
      </c>
      <c r="C588" s="1234">
        <v>1</v>
      </c>
      <c r="D588" s="1234" t="s">
        <v>5404</v>
      </c>
      <c r="E588" s="1234">
        <v>1</v>
      </c>
      <c r="F588" s="1248">
        <v>42.46</v>
      </c>
      <c r="G588" s="1248"/>
      <c r="H588" s="1248">
        <v>1.2</v>
      </c>
      <c r="I588" s="1248">
        <f t="shared" si="43"/>
        <v>50.95</v>
      </c>
      <c r="J588" s="1236"/>
    </row>
    <row r="589" spans="1:10" ht="24.95" customHeight="1">
      <c r="A589" s="1237"/>
      <c r="B589" s="1247" t="s">
        <v>5592</v>
      </c>
      <c r="C589" s="1234">
        <v>1</v>
      </c>
      <c r="D589" s="1234" t="s">
        <v>5404</v>
      </c>
      <c r="E589" s="1234">
        <v>1</v>
      </c>
      <c r="F589" s="1248">
        <v>22.74</v>
      </c>
      <c r="G589" s="1248"/>
      <c r="H589" s="1248">
        <v>4.05</v>
      </c>
      <c r="I589" s="1248">
        <f t="shared" si="43"/>
        <v>92.1</v>
      </c>
      <c r="J589" s="1236"/>
    </row>
    <row r="590" spans="1:10" ht="24.95" customHeight="1">
      <c r="A590" s="1237"/>
      <c r="B590" s="1247" t="s">
        <v>5589</v>
      </c>
      <c r="C590" s="1234">
        <v>1</v>
      </c>
      <c r="D590" s="1234" t="s">
        <v>5404</v>
      </c>
      <c r="E590" s="1234">
        <v>1</v>
      </c>
      <c r="F590" s="1248">
        <v>21.82</v>
      </c>
      <c r="G590" s="1248"/>
      <c r="H590" s="1248">
        <v>0.23</v>
      </c>
      <c r="I590" s="1248">
        <f t="shared" si="43"/>
        <v>5.0199999999999996</v>
      </c>
      <c r="J590" s="1236"/>
    </row>
    <row r="591" spans="1:10" ht="24.95" customHeight="1">
      <c r="A591" s="1237"/>
      <c r="B591" s="1247" t="s">
        <v>5590</v>
      </c>
      <c r="C591" s="1234">
        <v>1</v>
      </c>
      <c r="D591" s="1234" t="s">
        <v>5404</v>
      </c>
      <c r="E591" s="1234">
        <v>1</v>
      </c>
      <c r="F591" s="1248">
        <v>20.9</v>
      </c>
      <c r="G591" s="1248"/>
      <c r="H591" s="1248">
        <v>0.45</v>
      </c>
      <c r="I591" s="1248">
        <f t="shared" si="43"/>
        <v>9.41</v>
      </c>
      <c r="J591" s="1236"/>
    </row>
    <row r="592" spans="1:10" ht="24.95" customHeight="1">
      <c r="A592" s="1237"/>
      <c r="B592" s="1233" t="s">
        <v>5593</v>
      </c>
      <c r="C592" s="1234"/>
      <c r="D592" s="1234"/>
      <c r="E592" s="1234"/>
      <c r="F592" s="1235"/>
      <c r="G592" s="1235"/>
      <c r="H592" s="1235"/>
      <c r="I592" s="1235"/>
      <c r="J592" s="1236"/>
    </row>
    <row r="593" spans="1:10" ht="24.95" customHeight="1">
      <c r="A593" s="1237"/>
      <c r="B593" s="1247" t="s">
        <v>5594</v>
      </c>
      <c r="C593" s="1234">
        <v>-1</v>
      </c>
      <c r="D593" s="1234" t="s">
        <v>5404</v>
      </c>
      <c r="E593" s="1234">
        <v>1</v>
      </c>
      <c r="F593" s="1248">
        <v>1.2</v>
      </c>
      <c r="G593" s="1248"/>
      <c r="H593" s="1248">
        <v>2.4</v>
      </c>
      <c r="I593" s="1248">
        <f t="shared" ref="I593:I603" si="44">PRODUCT(C593:H593)</f>
        <v>-2.88</v>
      </c>
      <c r="J593" s="1236"/>
    </row>
    <row r="594" spans="1:10" ht="24.95" customHeight="1">
      <c r="A594" s="1237"/>
      <c r="B594" s="1247" t="s">
        <v>5595</v>
      </c>
      <c r="C594" s="1234">
        <v>-1</v>
      </c>
      <c r="D594" s="1234" t="s">
        <v>5404</v>
      </c>
      <c r="E594" s="1234">
        <v>2</v>
      </c>
      <c r="F594" s="1248">
        <v>0.8</v>
      </c>
      <c r="G594" s="1248"/>
      <c r="H594" s="1248">
        <v>2.1</v>
      </c>
      <c r="I594" s="1248">
        <f t="shared" si="44"/>
        <v>-3.36</v>
      </c>
      <c r="J594" s="1236"/>
    </row>
    <row r="595" spans="1:10" ht="24.95" customHeight="1">
      <c r="A595" s="1237"/>
      <c r="B595" s="1247" t="s">
        <v>5596</v>
      </c>
      <c r="C595" s="1234">
        <v>-1</v>
      </c>
      <c r="D595" s="1234" t="s">
        <v>5404</v>
      </c>
      <c r="E595" s="1234">
        <v>2</v>
      </c>
      <c r="F595" s="1248">
        <v>1.8</v>
      </c>
      <c r="G595" s="1248"/>
      <c r="H595" s="1248">
        <v>0.6</v>
      </c>
      <c r="I595" s="1248">
        <f t="shared" si="44"/>
        <v>-2.16</v>
      </c>
      <c r="J595" s="1236"/>
    </row>
    <row r="596" spans="1:10" ht="24.95" customHeight="1">
      <c r="A596" s="1237"/>
      <c r="B596" s="1247" t="s">
        <v>5597</v>
      </c>
      <c r="C596" s="1234">
        <v>-2</v>
      </c>
      <c r="D596" s="1234" t="s">
        <v>5404</v>
      </c>
      <c r="E596" s="1234">
        <v>1</v>
      </c>
      <c r="F596" s="1248">
        <v>1.8</v>
      </c>
      <c r="G596" s="1248"/>
      <c r="H596" s="1248">
        <v>1.65</v>
      </c>
      <c r="I596" s="1248">
        <f t="shared" si="44"/>
        <v>-5.94</v>
      </c>
      <c r="J596" s="1236"/>
    </row>
    <row r="597" spans="1:10" ht="24.95" customHeight="1">
      <c r="A597" s="1237"/>
      <c r="B597" s="1247" t="s">
        <v>5598</v>
      </c>
      <c r="C597" s="1234">
        <v>-1</v>
      </c>
      <c r="D597" s="1234" t="s">
        <v>5404</v>
      </c>
      <c r="E597" s="1234">
        <v>8</v>
      </c>
      <c r="F597" s="1248">
        <v>1.5</v>
      </c>
      <c r="G597" s="1248"/>
      <c r="H597" s="1248">
        <v>1.65</v>
      </c>
      <c r="I597" s="1248">
        <f t="shared" si="44"/>
        <v>-19.8</v>
      </c>
      <c r="J597" s="1236"/>
    </row>
    <row r="598" spans="1:10" ht="24.95" customHeight="1">
      <c r="A598" s="1237"/>
      <c r="B598" s="1247" t="s">
        <v>5599</v>
      </c>
      <c r="C598" s="1234">
        <v>-1</v>
      </c>
      <c r="D598" s="1234" t="s">
        <v>5404</v>
      </c>
      <c r="E598" s="1234">
        <v>8</v>
      </c>
      <c r="F598" s="1248">
        <v>0.9</v>
      </c>
      <c r="G598" s="1248"/>
      <c r="H598" s="1248">
        <v>1.65</v>
      </c>
      <c r="I598" s="1248">
        <f t="shared" si="44"/>
        <v>-11.88</v>
      </c>
      <c r="J598" s="1236"/>
    </row>
    <row r="599" spans="1:10" ht="24.95" customHeight="1">
      <c r="A599" s="1237"/>
      <c r="B599" s="1247" t="s">
        <v>5600</v>
      </c>
      <c r="C599" s="1234">
        <v>-1</v>
      </c>
      <c r="D599" s="1234" t="s">
        <v>5404</v>
      </c>
      <c r="E599" s="1234">
        <v>4</v>
      </c>
      <c r="F599" s="1248">
        <v>1.2</v>
      </c>
      <c r="G599" s="1248"/>
      <c r="H599" s="1248">
        <v>1.65</v>
      </c>
      <c r="I599" s="1248">
        <f t="shared" si="44"/>
        <v>-7.92</v>
      </c>
      <c r="J599" s="1236"/>
    </row>
    <row r="600" spans="1:10" ht="24.95" customHeight="1">
      <c r="A600" s="1237"/>
      <c r="B600" s="1247" t="s">
        <v>5601</v>
      </c>
      <c r="C600" s="1234">
        <v>-1</v>
      </c>
      <c r="D600" s="1234" t="s">
        <v>5404</v>
      </c>
      <c r="E600" s="1234">
        <v>13</v>
      </c>
      <c r="F600" s="1248">
        <v>0.9</v>
      </c>
      <c r="G600" s="1248"/>
      <c r="H600" s="1248">
        <v>0.9</v>
      </c>
      <c r="I600" s="1248">
        <f t="shared" si="44"/>
        <v>-10.53</v>
      </c>
      <c r="J600" s="1236"/>
    </row>
    <row r="601" spans="1:10" ht="24.95" customHeight="1">
      <c r="A601" s="1237"/>
      <c r="B601" s="1247" t="s">
        <v>5602</v>
      </c>
      <c r="C601" s="1234">
        <v>-2</v>
      </c>
      <c r="D601" s="1234" t="s">
        <v>5404</v>
      </c>
      <c r="E601" s="1234">
        <v>2</v>
      </c>
      <c r="F601" s="1248">
        <v>0.9</v>
      </c>
      <c r="G601" s="1248"/>
      <c r="H601" s="1248">
        <v>0.9</v>
      </c>
      <c r="I601" s="1248">
        <f t="shared" si="44"/>
        <v>-3.24</v>
      </c>
      <c r="J601" s="1236"/>
    </row>
    <row r="602" spans="1:10" ht="24.95" customHeight="1">
      <c r="A602" s="1237"/>
      <c r="B602" s="1247" t="s">
        <v>5596</v>
      </c>
      <c r="C602" s="1234">
        <v>-2</v>
      </c>
      <c r="D602" s="1234" t="s">
        <v>5404</v>
      </c>
      <c r="E602" s="1234">
        <v>2</v>
      </c>
      <c r="F602" s="1248">
        <v>0.9</v>
      </c>
      <c r="G602" s="1248"/>
      <c r="H602" s="1248">
        <v>0.9</v>
      </c>
      <c r="I602" s="1248">
        <f t="shared" si="44"/>
        <v>-3.24</v>
      </c>
      <c r="J602" s="1236"/>
    </row>
    <row r="603" spans="1:10" ht="24.95" customHeight="1">
      <c r="A603" s="1237"/>
      <c r="B603" s="1247" t="s">
        <v>5603</v>
      </c>
      <c r="C603" s="1234">
        <v>-1</v>
      </c>
      <c r="D603" s="1234" t="s">
        <v>5404</v>
      </c>
      <c r="E603" s="1234">
        <v>1</v>
      </c>
      <c r="F603" s="1248">
        <v>0.9</v>
      </c>
      <c r="G603" s="1248"/>
      <c r="H603" s="1248">
        <v>2.1</v>
      </c>
      <c r="I603" s="1248">
        <f t="shared" si="44"/>
        <v>-1.89</v>
      </c>
      <c r="J603" s="1236"/>
    </row>
    <row r="604" spans="1:10" ht="24.75" customHeight="1">
      <c r="A604" s="1237"/>
      <c r="B604" s="1233" t="s">
        <v>5604</v>
      </c>
      <c r="C604" s="1234"/>
      <c r="D604" s="1234"/>
      <c r="E604" s="1234"/>
      <c r="F604" s="1235"/>
      <c r="G604" s="1235"/>
      <c r="H604" s="1235"/>
      <c r="I604" s="1235"/>
      <c r="J604" s="1236"/>
    </row>
    <row r="605" spans="1:10" ht="24.75" customHeight="1">
      <c r="A605" s="1237"/>
      <c r="B605" s="1247" t="s">
        <v>5595</v>
      </c>
      <c r="C605" s="1234">
        <v>1</v>
      </c>
      <c r="D605" s="1234" t="s">
        <v>5404</v>
      </c>
      <c r="E605" s="1234">
        <v>2</v>
      </c>
      <c r="F605" s="1248">
        <v>5.8</v>
      </c>
      <c r="G605" s="1248"/>
      <c r="H605" s="1248">
        <v>0.18</v>
      </c>
      <c r="I605" s="1248">
        <f t="shared" ref="I605:I615" si="45">PRODUCT(C605:H605)</f>
        <v>2.09</v>
      </c>
      <c r="J605" s="1236"/>
    </row>
    <row r="606" spans="1:10" ht="24.75" customHeight="1">
      <c r="A606" s="1237"/>
      <c r="B606" s="1247" t="s">
        <v>5596</v>
      </c>
      <c r="C606" s="1234">
        <v>1</v>
      </c>
      <c r="D606" s="1234" t="s">
        <v>5404</v>
      </c>
      <c r="E606" s="1234">
        <v>2</v>
      </c>
      <c r="F606" s="1248">
        <v>4.8</v>
      </c>
      <c r="G606" s="1248"/>
      <c r="H606" s="1248">
        <v>0.18</v>
      </c>
      <c r="I606" s="1248">
        <f t="shared" si="45"/>
        <v>1.73</v>
      </c>
      <c r="J606" s="1236"/>
    </row>
    <row r="607" spans="1:10" ht="24.75" customHeight="1">
      <c r="A607" s="1237"/>
      <c r="B607" s="1247" t="s">
        <v>5597</v>
      </c>
      <c r="C607" s="1234">
        <v>2</v>
      </c>
      <c r="D607" s="1234" t="s">
        <v>5404</v>
      </c>
      <c r="E607" s="1234">
        <v>1</v>
      </c>
      <c r="F607" s="1248">
        <v>6.9</v>
      </c>
      <c r="G607" s="1248"/>
      <c r="H607" s="1248">
        <v>0.18</v>
      </c>
      <c r="I607" s="1248">
        <f t="shared" si="45"/>
        <v>2.48</v>
      </c>
      <c r="J607" s="1236"/>
    </row>
    <row r="608" spans="1:10" ht="24.75" customHeight="1">
      <c r="A608" s="1237"/>
      <c r="B608" s="1247" t="s">
        <v>5598</v>
      </c>
      <c r="C608" s="1234">
        <v>1</v>
      </c>
      <c r="D608" s="1234" t="s">
        <v>5404</v>
      </c>
      <c r="E608" s="1234">
        <v>8</v>
      </c>
      <c r="F608" s="1248">
        <v>6.3</v>
      </c>
      <c r="G608" s="1248"/>
      <c r="H608" s="1248">
        <v>0.18</v>
      </c>
      <c r="I608" s="1248">
        <f t="shared" si="45"/>
        <v>9.07</v>
      </c>
      <c r="J608" s="1236"/>
    </row>
    <row r="609" spans="1:11" ht="24.75" customHeight="1">
      <c r="A609" s="1237"/>
      <c r="B609" s="1247" t="s">
        <v>5599</v>
      </c>
      <c r="C609" s="1234">
        <v>1</v>
      </c>
      <c r="D609" s="1234" t="s">
        <v>5404</v>
      </c>
      <c r="E609" s="1234">
        <v>8</v>
      </c>
      <c r="F609" s="1248">
        <v>5.0999999999999996</v>
      </c>
      <c r="G609" s="1248"/>
      <c r="H609" s="1248">
        <v>0.18</v>
      </c>
      <c r="I609" s="1248">
        <f t="shared" si="45"/>
        <v>7.34</v>
      </c>
      <c r="J609" s="1236"/>
    </row>
    <row r="610" spans="1:11" ht="24.75" customHeight="1">
      <c r="A610" s="1237"/>
      <c r="B610" s="1247" t="s">
        <v>5600</v>
      </c>
      <c r="C610" s="1234">
        <v>1</v>
      </c>
      <c r="D610" s="1234" t="s">
        <v>5404</v>
      </c>
      <c r="E610" s="1234">
        <v>4</v>
      </c>
      <c r="F610" s="1248">
        <v>5.7</v>
      </c>
      <c r="G610" s="1248"/>
      <c r="H610" s="1248">
        <v>0.18</v>
      </c>
      <c r="I610" s="1248">
        <f t="shared" si="45"/>
        <v>4.0999999999999996</v>
      </c>
      <c r="J610" s="1236"/>
    </row>
    <row r="611" spans="1:11" ht="24.75" customHeight="1">
      <c r="A611" s="1237"/>
      <c r="B611" s="1247" t="s">
        <v>5601</v>
      </c>
      <c r="C611" s="1234">
        <v>1</v>
      </c>
      <c r="D611" s="1234" t="s">
        <v>5404</v>
      </c>
      <c r="E611" s="1234">
        <v>13</v>
      </c>
      <c r="F611" s="1248">
        <v>3.6</v>
      </c>
      <c r="G611" s="1248"/>
      <c r="H611" s="1248">
        <v>0.18</v>
      </c>
      <c r="I611" s="1248">
        <f t="shared" si="45"/>
        <v>8.42</v>
      </c>
      <c r="J611" s="1236"/>
    </row>
    <row r="612" spans="1:11" ht="24.75" customHeight="1">
      <c r="A612" s="1237"/>
      <c r="B612" s="1247" t="s">
        <v>5602</v>
      </c>
      <c r="C612" s="1234">
        <v>2</v>
      </c>
      <c r="D612" s="1234" t="s">
        <v>5404</v>
      </c>
      <c r="E612" s="1234">
        <v>2</v>
      </c>
      <c r="F612" s="1248">
        <v>3.6</v>
      </c>
      <c r="G612" s="1248"/>
      <c r="H612" s="1248">
        <v>0.18</v>
      </c>
      <c r="I612" s="1248">
        <f t="shared" si="45"/>
        <v>2.59</v>
      </c>
      <c r="J612" s="1236"/>
    </row>
    <row r="613" spans="1:11" ht="24.75" customHeight="1">
      <c r="A613" s="1237"/>
      <c r="B613" s="1247" t="s">
        <v>5596</v>
      </c>
      <c r="C613" s="1234">
        <v>2</v>
      </c>
      <c r="D613" s="1234" t="s">
        <v>5404</v>
      </c>
      <c r="E613" s="1234">
        <v>2</v>
      </c>
      <c r="F613" s="1248">
        <v>3.6</v>
      </c>
      <c r="G613" s="1248"/>
      <c r="H613" s="1248">
        <v>0.18</v>
      </c>
      <c r="I613" s="1248">
        <f t="shared" si="45"/>
        <v>2.59</v>
      </c>
      <c r="J613" s="1236"/>
    </row>
    <row r="614" spans="1:11" ht="24.75" customHeight="1">
      <c r="A614" s="1237"/>
      <c r="B614" s="1247" t="s">
        <v>5603</v>
      </c>
      <c r="C614" s="1234">
        <v>1</v>
      </c>
      <c r="D614" s="1234" t="s">
        <v>5404</v>
      </c>
      <c r="E614" s="1234">
        <v>1</v>
      </c>
      <c r="F614" s="1248">
        <v>6</v>
      </c>
      <c r="G614" s="1248"/>
      <c r="H614" s="1248">
        <v>0.18</v>
      </c>
      <c r="I614" s="1248">
        <f t="shared" si="45"/>
        <v>1.08</v>
      </c>
      <c r="J614" s="1236"/>
    </row>
    <row r="615" spans="1:11" ht="24.75" customHeight="1">
      <c r="A615" s="1237"/>
      <c r="B615" s="1247" t="s">
        <v>5605</v>
      </c>
      <c r="C615" s="1234">
        <v>1</v>
      </c>
      <c r="D615" s="1234" t="s">
        <v>5404</v>
      </c>
      <c r="E615" s="1234">
        <v>1</v>
      </c>
      <c r="F615" s="1248">
        <v>16.2</v>
      </c>
      <c r="G615" s="1248"/>
      <c r="H615" s="1248">
        <v>7.05</v>
      </c>
      <c r="I615" s="1248">
        <f t="shared" si="45"/>
        <v>114.21</v>
      </c>
      <c r="J615" s="1236"/>
    </row>
    <row r="616" spans="1:11" ht="24.75" customHeight="1">
      <c r="A616" s="1237"/>
      <c r="B616" s="1319" t="s">
        <v>5947</v>
      </c>
      <c r="C616" s="1315"/>
      <c r="D616" s="1316"/>
      <c r="E616" s="1315"/>
      <c r="F616" s="1317"/>
      <c r="G616" s="1317"/>
      <c r="H616" s="1317"/>
      <c r="I616" s="1317"/>
      <c r="J616" s="1236"/>
    </row>
    <row r="617" spans="1:11" ht="24.75" customHeight="1">
      <c r="A617" s="1237"/>
      <c r="B617" s="1314" t="s">
        <v>6452</v>
      </c>
      <c r="C617" s="1315">
        <v>1</v>
      </c>
      <c r="D617" s="1316" t="s">
        <v>5404</v>
      </c>
      <c r="E617" s="1315">
        <v>1</v>
      </c>
      <c r="F617" s="1317">
        <v>5.26</v>
      </c>
      <c r="G617" s="1317">
        <v>1.66</v>
      </c>
      <c r="H617" s="1320"/>
      <c r="I617" s="1317">
        <f t="shared" ref="I617" si="46">PRODUCT(C617:H617)</f>
        <v>8.73</v>
      </c>
      <c r="J617" s="1236"/>
    </row>
    <row r="618" spans="1:11" ht="24.75" customHeight="1">
      <c r="A618" s="1237"/>
      <c r="B618" s="1233"/>
      <c r="C618" s="1234"/>
      <c r="D618" s="1234"/>
      <c r="E618" s="1234"/>
      <c r="F618" s="1235"/>
      <c r="G618" s="1235"/>
      <c r="H618" s="1231"/>
      <c r="I618" s="1235">
        <f>SUM(I582:I617)</f>
        <v>1146.96</v>
      </c>
      <c r="J618" s="1246"/>
      <c r="K618" s="1230">
        <v>0.17</v>
      </c>
    </row>
    <row r="619" spans="1:11" ht="24.75" customHeight="1">
      <c r="A619" s="1237"/>
      <c r="B619" s="1233"/>
      <c r="C619" s="1234"/>
      <c r="D619" s="1234"/>
      <c r="E619" s="1234"/>
      <c r="F619" s="1235"/>
      <c r="G619" s="1235"/>
      <c r="H619" s="1249" t="s">
        <v>4322</v>
      </c>
      <c r="I619" s="1249">
        <f>ROUNDUP(I618,1-0)</f>
        <v>1147</v>
      </c>
      <c r="J619" s="1246" t="s">
        <v>2308</v>
      </c>
    </row>
    <row r="620" spans="1:11" ht="24.95" customHeight="1">
      <c r="A620" s="1237"/>
      <c r="B620" s="1233" t="s">
        <v>5606</v>
      </c>
      <c r="C620" s="1234"/>
      <c r="D620" s="1234"/>
      <c r="E620" s="1234"/>
      <c r="F620" s="1235"/>
      <c r="G620" s="1235"/>
      <c r="H620" s="1235"/>
      <c r="I620" s="1235"/>
      <c r="J620" s="1236"/>
    </row>
    <row r="621" spans="1:11" ht="24.95" customHeight="1">
      <c r="A621" s="1237"/>
      <c r="B621" s="1233" t="s">
        <v>5562</v>
      </c>
      <c r="C621" s="1234"/>
      <c r="D621" s="1234"/>
      <c r="E621" s="1234"/>
      <c r="F621" s="1313"/>
      <c r="G621" s="1313"/>
      <c r="H621" s="1313"/>
      <c r="I621" s="1313"/>
      <c r="J621" s="1236"/>
    </row>
    <row r="622" spans="1:11" ht="24.95" customHeight="1">
      <c r="A622" s="1237"/>
      <c r="B622" s="1247" t="s">
        <v>5458</v>
      </c>
      <c r="C622" s="1234">
        <v>1</v>
      </c>
      <c r="D622" s="1234" t="s">
        <v>5404</v>
      </c>
      <c r="E622" s="1234">
        <v>1</v>
      </c>
      <c r="F622" s="1248">
        <v>15.6</v>
      </c>
      <c r="G622" s="1248"/>
      <c r="H622" s="1248">
        <v>3.48</v>
      </c>
      <c r="I622" s="1248">
        <f t="shared" ref="I622:I658" si="47">PRODUCT(C622:H622)</f>
        <v>54.29</v>
      </c>
      <c r="J622" s="1236"/>
    </row>
    <row r="623" spans="1:11" ht="24.95" customHeight="1">
      <c r="A623" s="1237"/>
      <c r="B623" s="1247" t="s">
        <v>5416</v>
      </c>
      <c r="C623" s="1234">
        <v>1</v>
      </c>
      <c r="D623" s="1234" t="s">
        <v>5404</v>
      </c>
      <c r="E623" s="1234">
        <v>1</v>
      </c>
      <c r="F623" s="1248">
        <v>13.2</v>
      </c>
      <c r="G623" s="1248"/>
      <c r="H623" s="1248">
        <v>3.48</v>
      </c>
      <c r="I623" s="1248">
        <f t="shared" si="47"/>
        <v>45.94</v>
      </c>
      <c r="J623" s="1236"/>
    </row>
    <row r="624" spans="1:11" ht="24.95" customHeight="1">
      <c r="A624" s="1237"/>
      <c r="B624" s="1247" t="s">
        <v>5607</v>
      </c>
      <c r="C624" s="1234">
        <v>-1</v>
      </c>
      <c r="D624" s="1234" t="s">
        <v>5404</v>
      </c>
      <c r="E624" s="1234">
        <v>1</v>
      </c>
      <c r="F624" s="1248">
        <v>1.8</v>
      </c>
      <c r="G624" s="1248"/>
      <c r="H624" s="1248">
        <v>3.48</v>
      </c>
      <c r="I624" s="1248">
        <f t="shared" si="47"/>
        <v>-6.26</v>
      </c>
      <c r="J624" s="1236"/>
    </row>
    <row r="625" spans="1:10" ht="24.95" customHeight="1">
      <c r="A625" s="1237"/>
      <c r="B625" s="1247" t="s">
        <v>5608</v>
      </c>
      <c r="C625" s="1234">
        <v>1</v>
      </c>
      <c r="D625" s="1234" t="s">
        <v>5404</v>
      </c>
      <c r="E625" s="1234">
        <v>1</v>
      </c>
      <c r="F625" s="1248">
        <v>13.55</v>
      </c>
      <c r="G625" s="1248"/>
      <c r="H625" s="1248">
        <v>3.48</v>
      </c>
      <c r="I625" s="1248">
        <f t="shared" si="47"/>
        <v>47.15</v>
      </c>
      <c r="J625" s="1236"/>
    </row>
    <row r="626" spans="1:10" ht="24.95" customHeight="1">
      <c r="A626" s="1237"/>
      <c r="B626" s="1247" t="s">
        <v>5907</v>
      </c>
      <c r="C626" s="1234">
        <v>1</v>
      </c>
      <c r="D626" s="1234" t="s">
        <v>5404</v>
      </c>
      <c r="E626" s="1234">
        <v>1</v>
      </c>
      <c r="F626" s="1248">
        <v>7.6</v>
      </c>
      <c r="G626" s="1248"/>
      <c r="H626" s="1248">
        <v>3.48</v>
      </c>
      <c r="I626" s="1248">
        <f t="shared" si="47"/>
        <v>26.45</v>
      </c>
      <c r="J626" s="1236"/>
    </row>
    <row r="627" spans="1:10" ht="24.95" customHeight="1">
      <c r="A627" s="1237"/>
      <c r="B627" s="1247" t="s">
        <v>5419</v>
      </c>
      <c r="C627" s="1234">
        <v>1</v>
      </c>
      <c r="D627" s="1234" t="s">
        <v>5404</v>
      </c>
      <c r="E627" s="1234">
        <v>1</v>
      </c>
      <c r="F627" s="1248">
        <v>24</v>
      </c>
      <c r="G627" s="1248"/>
      <c r="H627" s="1248">
        <v>3.48</v>
      </c>
      <c r="I627" s="1248">
        <f t="shared" si="47"/>
        <v>83.52</v>
      </c>
      <c r="J627" s="1236"/>
    </row>
    <row r="628" spans="1:10" ht="24.95" customHeight="1">
      <c r="A628" s="1237"/>
      <c r="B628" s="1247" t="s">
        <v>5908</v>
      </c>
      <c r="C628" s="1234">
        <v>1</v>
      </c>
      <c r="D628" s="1234" t="s">
        <v>5404</v>
      </c>
      <c r="E628" s="1234">
        <v>1</v>
      </c>
      <c r="F628" s="1248">
        <v>7.8</v>
      </c>
      <c r="G628" s="1248"/>
      <c r="H628" s="1248">
        <v>3.48</v>
      </c>
      <c r="I628" s="1248">
        <f t="shared" ref="I628" si="48">PRODUCT(C628:H628)</f>
        <v>27.14</v>
      </c>
      <c r="J628" s="1236"/>
    </row>
    <row r="629" spans="1:10" ht="24.95" customHeight="1">
      <c r="A629" s="1237"/>
      <c r="B629" s="1247" t="s">
        <v>5909</v>
      </c>
      <c r="C629" s="1234">
        <v>1</v>
      </c>
      <c r="D629" s="1234" t="s">
        <v>5404</v>
      </c>
      <c r="E629" s="1234">
        <v>1</v>
      </c>
      <c r="F629" s="1248">
        <v>29.88</v>
      </c>
      <c r="G629" s="1248"/>
      <c r="H629" s="1248">
        <v>3.48</v>
      </c>
      <c r="I629" s="1248">
        <f t="shared" si="47"/>
        <v>103.98</v>
      </c>
      <c r="J629" s="1236"/>
    </row>
    <row r="630" spans="1:10" ht="24.95" customHeight="1">
      <c r="A630" s="1237"/>
      <c r="B630" s="1247" t="s">
        <v>5611</v>
      </c>
      <c r="C630" s="1234">
        <v>1</v>
      </c>
      <c r="D630" s="1234" t="s">
        <v>5404</v>
      </c>
      <c r="E630" s="1234">
        <v>1</v>
      </c>
      <c r="F630" s="1248">
        <v>12.06</v>
      </c>
      <c r="G630" s="1248"/>
      <c r="H630" s="1248">
        <v>3.48</v>
      </c>
      <c r="I630" s="1248">
        <f t="shared" si="47"/>
        <v>41.97</v>
      </c>
      <c r="J630" s="1236"/>
    </row>
    <row r="631" spans="1:10" ht="24.95" customHeight="1">
      <c r="A631" s="1237"/>
      <c r="B631" s="1247" t="s">
        <v>5910</v>
      </c>
      <c r="C631" s="1234">
        <v>1</v>
      </c>
      <c r="D631" s="1234" t="s">
        <v>5404</v>
      </c>
      <c r="E631" s="1234">
        <v>1</v>
      </c>
      <c r="F631" s="1248">
        <v>4.4000000000000004</v>
      </c>
      <c r="G631" s="1248"/>
      <c r="H631" s="1248">
        <v>3.48</v>
      </c>
      <c r="I631" s="1248">
        <f t="shared" si="47"/>
        <v>15.31</v>
      </c>
      <c r="J631" s="1236"/>
    </row>
    <row r="632" spans="1:10" ht="24.95" customHeight="1">
      <c r="A632" s="1237"/>
      <c r="B632" s="1247" t="s">
        <v>5612</v>
      </c>
      <c r="C632" s="1234">
        <v>1</v>
      </c>
      <c r="D632" s="1234" t="s">
        <v>5404</v>
      </c>
      <c r="E632" s="1234">
        <v>1</v>
      </c>
      <c r="F632" s="1248">
        <v>28.06</v>
      </c>
      <c r="G632" s="1248"/>
      <c r="H632" s="1248">
        <v>3.48</v>
      </c>
      <c r="I632" s="1248">
        <f t="shared" si="47"/>
        <v>97.65</v>
      </c>
      <c r="J632" s="1236"/>
    </row>
    <row r="633" spans="1:10" ht="24.95" customHeight="1">
      <c r="A633" s="1237"/>
      <c r="B633" s="1247" t="s">
        <v>5911</v>
      </c>
      <c r="C633" s="1234">
        <v>1</v>
      </c>
      <c r="D633" s="1234" t="s">
        <v>5404</v>
      </c>
      <c r="E633" s="1234">
        <v>1</v>
      </c>
      <c r="F633" s="1248">
        <v>22.3</v>
      </c>
      <c r="G633" s="1248"/>
      <c r="H633" s="1248">
        <v>3.48</v>
      </c>
      <c r="I633" s="1248">
        <f t="shared" si="47"/>
        <v>77.599999999999994</v>
      </c>
      <c r="J633" s="1236"/>
    </row>
    <row r="634" spans="1:10" ht="24.95" customHeight="1">
      <c r="A634" s="1237"/>
      <c r="B634" s="1247" t="s">
        <v>5912</v>
      </c>
      <c r="C634" s="1234">
        <v>1</v>
      </c>
      <c r="D634" s="1234" t="s">
        <v>5404</v>
      </c>
      <c r="E634" s="1234">
        <v>1</v>
      </c>
      <c r="F634" s="1248">
        <v>10.51</v>
      </c>
      <c r="G634" s="1248"/>
      <c r="H634" s="1248">
        <v>3.48</v>
      </c>
      <c r="I634" s="1248">
        <f t="shared" si="47"/>
        <v>36.57</v>
      </c>
      <c r="J634" s="1236"/>
    </row>
    <row r="635" spans="1:10" ht="24.95" customHeight="1">
      <c r="A635" s="1237"/>
      <c r="B635" s="1247" t="s">
        <v>5615</v>
      </c>
      <c r="C635" s="1234">
        <v>1</v>
      </c>
      <c r="D635" s="1234" t="s">
        <v>5404</v>
      </c>
      <c r="E635" s="1234">
        <v>2</v>
      </c>
      <c r="F635" s="1248">
        <v>0.75</v>
      </c>
      <c r="G635" s="1248"/>
      <c r="H635" s="1248">
        <v>1</v>
      </c>
      <c r="I635" s="1248">
        <f t="shared" si="47"/>
        <v>1.5</v>
      </c>
      <c r="J635" s="1236"/>
    </row>
    <row r="636" spans="1:10" ht="24.95" customHeight="1">
      <c r="A636" s="1237"/>
      <c r="B636" s="1247" t="s">
        <v>5913</v>
      </c>
      <c r="C636" s="1234">
        <v>1</v>
      </c>
      <c r="D636" s="1234" t="s">
        <v>5404</v>
      </c>
      <c r="E636" s="1234">
        <v>1</v>
      </c>
      <c r="F636" s="1248">
        <v>5.7</v>
      </c>
      <c r="G636" s="1248"/>
      <c r="H636" s="1248">
        <v>3.48</v>
      </c>
      <c r="I636" s="1248">
        <f t="shared" si="47"/>
        <v>19.84</v>
      </c>
      <c r="J636" s="1236"/>
    </row>
    <row r="637" spans="1:10" ht="24.95" customHeight="1">
      <c r="A637" s="1237"/>
      <c r="B637" s="1247" t="s">
        <v>5614</v>
      </c>
      <c r="C637" s="1234">
        <v>1</v>
      </c>
      <c r="D637" s="1234" t="s">
        <v>5404</v>
      </c>
      <c r="E637" s="1234">
        <v>1</v>
      </c>
      <c r="F637" s="1248">
        <v>6.16</v>
      </c>
      <c r="G637" s="1248"/>
      <c r="H637" s="1248">
        <v>3.48</v>
      </c>
      <c r="I637" s="1248">
        <f t="shared" si="47"/>
        <v>21.44</v>
      </c>
      <c r="J637" s="1236"/>
    </row>
    <row r="638" spans="1:10" ht="24.95" customHeight="1">
      <c r="A638" s="1237"/>
      <c r="B638" s="1247" t="s">
        <v>5914</v>
      </c>
      <c r="C638" s="1234">
        <v>1</v>
      </c>
      <c r="D638" s="1234" t="s">
        <v>5404</v>
      </c>
      <c r="E638" s="1234">
        <v>1</v>
      </c>
      <c r="F638" s="1248">
        <v>9.82</v>
      </c>
      <c r="G638" s="1248"/>
      <c r="H638" s="1248">
        <v>3.48</v>
      </c>
      <c r="I638" s="1248">
        <f t="shared" si="47"/>
        <v>34.17</v>
      </c>
      <c r="J638" s="1236"/>
    </row>
    <row r="639" spans="1:10" ht="24.95" customHeight="1">
      <c r="A639" s="1237"/>
      <c r="B639" s="1247" t="s">
        <v>5905</v>
      </c>
      <c r="C639" s="1234">
        <v>1</v>
      </c>
      <c r="D639" s="1234" t="s">
        <v>5404</v>
      </c>
      <c r="E639" s="1234">
        <v>2</v>
      </c>
      <c r="F639" s="1248">
        <v>0.9</v>
      </c>
      <c r="G639" s="1248"/>
      <c r="H639" s="1248">
        <v>2.1</v>
      </c>
      <c r="I639" s="1248">
        <f t="shared" si="47"/>
        <v>3.78</v>
      </c>
      <c r="J639" s="1236"/>
    </row>
    <row r="640" spans="1:10" ht="24.95" customHeight="1">
      <c r="A640" s="1237"/>
      <c r="B640" s="1247" t="s">
        <v>5791</v>
      </c>
      <c r="C640" s="1234">
        <v>1</v>
      </c>
      <c r="D640" s="1234" t="s">
        <v>5404</v>
      </c>
      <c r="E640" s="1234">
        <v>2</v>
      </c>
      <c r="F640" s="1248">
        <v>6</v>
      </c>
      <c r="G640" s="1248"/>
      <c r="H640" s="1248">
        <v>3.48</v>
      </c>
      <c r="I640" s="1248">
        <f t="shared" si="47"/>
        <v>41.76</v>
      </c>
      <c r="J640" s="1236"/>
    </row>
    <row r="641" spans="1:10" ht="24.95" customHeight="1">
      <c r="A641" s="1237"/>
      <c r="B641" s="1247" t="s">
        <v>5915</v>
      </c>
      <c r="C641" s="1234">
        <v>1</v>
      </c>
      <c r="D641" s="1234" t="s">
        <v>5404</v>
      </c>
      <c r="E641" s="1234">
        <v>2</v>
      </c>
      <c r="F641" s="1248">
        <v>5.7</v>
      </c>
      <c r="G641" s="1248"/>
      <c r="H641" s="1248">
        <v>3.48</v>
      </c>
      <c r="I641" s="1248">
        <f t="shared" si="47"/>
        <v>39.67</v>
      </c>
      <c r="J641" s="1236"/>
    </row>
    <row r="642" spans="1:10" ht="24.95" customHeight="1">
      <c r="A642" s="1237"/>
      <c r="B642" s="1233" t="s">
        <v>5566</v>
      </c>
      <c r="C642" s="1234"/>
      <c r="D642" s="1234"/>
      <c r="E642" s="1234"/>
      <c r="F642" s="1248"/>
      <c r="G642" s="1248"/>
      <c r="H642" s="1248"/>
      <c r="I642" s="1248"/>
      <c r="J642" s="1236"/>
    </row>
    <row r="643" spans="1:10" ht="24.95" customHeight="1">
      <c r="A643" s="1237"/>
      <c r="B643" s="1247" t="s">
        <v>5911</v>
      </c>
      <c r="C643" s="1234">
        <v>1</v>
      </c>
      <c r="D643" s="1234" t="s">
        <v>5404</v>
      </c>
      <c r="E643" s="1234">
        <v>1</v>
      </c>
      <c r="F643" s="1248">
        <v>22.3</v>
      </c>
      <c r="G643" s="1248"/>
      <c r="H643" s="1248">
        <v>3.48</v>
      </c>
      <c r="I643" s="1248">
        <f t="shared" ref="I643" si="49">PRODUCT(C643:H643)</f>
        <v>77.599999999999994</v>
      </c>
      <c r="J643" s="1236"/>
    </row>
    <row r="644" spans="1:10" ht="24.95" customHeight="1">
      <c r="A644" s="1237"/>
      <c r="B644" s="1247" t="s">
        <v>5553</v>
      </c>
      <c r="C644" s="1234">
        <v>1</v>
      </c>
      <c r="D644" s="1234" t="s">
        <v>5404</v>
      </c>
      <c r="E644" s="1234">
        <v>1</v>
      </c>
      <c r="F644" s="1248">
        <v>19.54</v>
      </c>
      <c r="G644" s="1248"/>
      <c r="H644" s="1248">
        <v>3.48</v>
      </c>
      <c r="I644" s="1248">
        <f>PRODUCT(C644:H644)</f>
        <v>68</v>
      </c>
      <c r="J644" s="1236"/>
    </row>
    <row r="645" spans="1:10" ht="24.95" customHeight="1">
      <c r="A645" s="1237"/>
      <c r="B645" s="1247" t="s">
        <v>5916</v>
      </c>
      <c r="C645" s="1234">
        <v>1</v>
      </c>
      <c r="D645" s="1234" t="s">
        <v>5404</v>
      </c>
      <c r="E645" s="1234">
        <v>2</v>
      </c>
      <c r="F645" s="1248">
        <v>6</v>
      </c>
      <c r="G645" s="1248"/>
      <c r="H645" s="1248">
        <v>1.2</v>
      </c>
      <c r="I645" s="1248">
        <f t="shared" si="47"/>
        <v>14.4</v>
      </c>
      <c r="J645" s="1236"/>
    </row>
    <row r="646" spans="1:10" ht="24.95" customHeight="1">
      <c r="A646" s="1237"/>
      <c r="B646" s="1247" t="s">
        <v>5616</v>
      </c>
      <c r="C646" s="1234">
        <v>1</v>
      </c>
      <c r="D646" s="1234" t="s">
        <v>5404</v>
      </c>
      <c r="E646" s="1234">
        <v>1</v>
      </c>
      <c r="F646" s="1248">
        <v>22.66</v>
      </c>
      <c r="G646" s="1248"/>
      <c r="H646" s="1248">
        <v>3.48</v>
      </c>
      <c r="I646" s="1248">
        <f>PRODUCT(C646:H646)</f>
        <v>78.86</v>
      </c>
      <c r="J646" s="1236"/>
    </row>
    <row r="647" spans="1:10" ht="24.95" customHeight="1">
      <c r="A647" s="1237"/>
      <c r="B647" s="1247" t="s">
        <v>5917</v>
      </c>
      <c r="C647" s="1234">
        <v>1</v>
      </c>
      <c r="D647" s="1234" t="s">
        <v>5404</v>
      </c>
      <c r="E647" s="1234">
        <v>1</v>
      </c>
      <c r="F647" s="1248">
        <v>32.72</v>
      </c>
      <c r="G647" s="1248"/>
      <c r="H647" s="1248">
        <v>3.48</v>
      </c>
      <c r="I647" s="1248">
        <f>PRODUCT(C647:H647)</f>
        <v>113.87</v>
      </c>
      <c r="J647" s="1236"/>
    </row>
    <row r="648" spans="1:10" ht="24.95" customHeight="1">
      <c r="A648" s="1237"/>
      <c r="B648" s="1247" t="s">
        <v>5552</v>
      </c>
      <c r="C648" s="1234">
        <v>1</v>
      </c>
      <c r="D648" s="1234" t="s">
        <v>5404</v>
      </c>
      <c r="E648" s="1234">
        <v>1</v>
      </c>
      <c r="F648" s="1248">
        <v>24</v>
      </c>
      <c r="G648" s="1248"/>
      <c r="H648" s="1248">
        <v>3.48</v>
      </c>
      <c r="I648" s="1248">
        <f t="shared" si="47"/>
        <v>83.52</v>
      </c>
      <c r="J648" s="1236"/>
    </row>
    <row r="649" spans="1:10" ht="24.95" customHeight="1">
      <c r="A649" s="1237"/>
      <c r="B649" s="1247" t="s">
        <v>5610</v>
      </c>
      <c r="C649" s="1234">
        <v>1</v>
      </c>
      <c r="D649" s="1234" t="s">
        <v>5404</v>
      </c>
      <c r="E649" s="1234">
        <v>1</v>
      </c>
      <c r="F649" s="1248">
        <v>27.34</v>
      </c>
      <c r="G649" s="1248"/>
      <c r="H649" s="1248">
        <v>3.48</v>
      </c>
      <c r="I649" s="1248">
        <f t="shared" si="47"/>
        <v>95.14</v>
      </c>
      <c r="J649" s="1236"/>
    </row>
    <row r="650" spans="1:10" ht="24.95" customHeight="1">
      <c r="A650" s="1237"/>
      <c r="B650" s="1247" t="s">
        <v>5912</v>
      </c>
      <c r="C650" s="1234">
        <v>1</v>
      </c>
      <c r="D650" s="1234" t="s">
        <v>5404</v>
      </c>
      <c r="E650" s="1234">
        <v>1</v>
      </c>
      <c r="F650" s="1248">
        <v>5.56</v>
      </c>
      <c r="G650" s="1248"/>
      <c r="H650" s="1248">
        <v>3.48</v>
      </c>
      <c r="I650" s="1248">
        <f t="shared" si="47"/>
        <v>19.350000000000001</v>
      </c>
      <c r="J650" s="1236"/>
    </row>
    <row r="651" spans="1:10" ht="24.95" customHeight="1">
      <c r="A651" s="1237"/>
      <c r="B651" s="1309" t="s">
        <v>5615</v>
      </c>
      <c r="C651" s="1234">
        <v>1</v>
      </c>
      <c r="D651" s="1234" t="s">
        <v>5404</v>
      </c>
      <c r="E651" s="1234">
        <v>2</v>
      </c>
      <c r="F651" s="1248">
        <v>0.75</v>
      </c>
      <c r="G651" s="1248"/>
      <c r="H651" s="1248">
        <v>1</v>
      </c>
      <c r="I651" s="1248">
        <f t="shared" ref="I651" si="50">PRODUCT(C651:H651)</f>
        <v>1.5</v>
      </c>
      <c r="J651" s="1236"/>
    </row>
    <row r="652" spans="1:10" ht="24.95" customHeight="1">
      <c r="A652" s="1237"/>
      <c r="B652" s="1247" t="s">
        <v>5452</v>
      </c>
      <c r="C652" s="1234">
        <v>1</v>
      </c>
      <c r="D652" s="1234" t="s">
        <v>5404</v>
      </c>
      <c r="E652" s="1234">
        <v>1</v>
      </c>
      <c r="F652" s="1248">
        <v>6.16</v>
      </c>
      <c r="G652" s="1248"/>
      <c r="H652" s="1248">
        <v>3.48</v>
      </c>
      <c r="I652" s="1248">
        <f t="shared" si="47"/>
        <v>21.44</v>
      </c>
      <c r="J652" s="1236"/>
    </row>
    <row r="653" spans="1:10" ht="24.95" customHeight="1">
      <c r="A653" s="1237"/>
      <c r="B653" s="1247" t="s">
        <v>5613</v>
      </c>
      <c r="C653" s="1234">
        <v>1</v>
      </c>
      <c r="D653" s="1234" t="s">
        <v>5404</v>
      </c>
      <c r="E653" s="1234">
        <v>1</v>
      </c>
      <c r="F653" s="1248">
        <v>12.98</v>
      </c>
      <c r="G653" s="1248"/>
      <c r="H653" s="1248">
        <v>3.48</v>
      </c>
      <c r="I653" s="1248">
        <f t="shared" si="47"/>
        <v>45.17</v>
      </c>
      <c r="J653" s="1236"/>
    </row>
    <row r="654" spans="1:10" ht="24.95" customHeight="1">
      <c r="A654" s="1237"/>
      <c r="B654" s="1247" t="s">
        <v>5905</v>
      </c>
      <c r="C654" s="1234">
        <v>1</v>
      </c>
      <c r="D654" s="1234" t="s">
        <v>5404</v>
      </c>
      <c r="E654" s="1234">
        <v>2</v>
      </c>
      <c r="F654" s="1248">
        <v>0.9</v>
      </c>
      <c r="G654" s="1248"/>
      <c r="H654" s="1248">
        <v>2.1</v>
      </c>
      <c r="I654" s="1248">
        <f t="shared" si="47"/>
        <v>3.78</v>
      </c>
      <c r="J654" s="1236"/>
    </row>
    <row r="655" spans="1:10" ht="24.95" customHeight="1">
      <c r="A655" s="1237"/>
      <c r="B655" s="1247" t="s">
        <v>5918</v>
      </c>
      <c r="C655" s="1234">
        <v>1</v>
      </c>
      <c r="D655" s="1234" t="s">
        <v>5404</v>
      </c>
      <c r="E655" s="1234">
        <v>2</v>
      </c>
      <c r="F655" s="1248">
        <v>6</v>
      </c>
      <c r="G655" s="1248"/>
      <c r="H655" s="1248">
        <v>3.48</v>
      </c>
      <c r="I655" s="1248">
        <f t="shared" si="47"/>
        <v>41.76</v>
      </c>
      <c r="J655" s="1236"/>
    </row>
    <row r="656" spans="1:10" ht="24.95" customHeight="1">
      <c r="A656" s="1237"/>
      <c r="B656" s="1247" t="s">
        <v>5919</v>
      </c>
      <c r="C656" s="1234">
        <v>1</v>
      </c>
      <c r="D656" s="1234" t="s">
        <v>5404</v>
      </c>
      <c r="E656" s="1234">
        <v>3</v>
      </c>
      <c r="F656" s="1248">
        <v>5.7</v>
      </c>
      <c r="G656" s="1248"/>
      <c r="H656" s="1248">
        <v>3.48</v>
      </c>
      <c r="I656" s="1248">
        <f t="shared" si="47"/>
        <v>59.51</v>
      </c>
      <c r="J656" s="1236"/>
    </row>
    <row r="657" spans="1:10" ht="24.95" customHeight="1">
      <c r="A657" s="1237"/>
      <c r="B657" s="1247" t="s">
        <v>5617</v>
      </c>
      <c r="C657" s="1234">
        <v>1</v>
      </c>
      <c r="D657" s="1234" t="s">
        <v>5404</v>
      </c>
      <c r="E657" s="1234">
        <v>1</v>
      </c>
      <c r="F657" s="1248">
        <v>16.2</v>
      </c>
      <c r="G657" s="1248"/>
      <c r="H657" s="1248">
        <v>6.75</v>
      </c>
      <c r="I657" s="1248">
        <f t="shared" si="47"/>
        <v>109.35</v>
      </c>
      <c r="J657" s="1236"/>
    </row>
    <row r="658" spans="1:10" ht="24.95" customHeight="1">
      <c r="A658" s="1237"/>
      <c r="B658" s="1247" t="s">
        <v>5437</v>
      </c>
      <c r="C658" s="1234">
        <v>1</v>
      </c>
      <c r="D658" s="1234" t="s">
        <v>5404</v>
      </c>
      <c r="E658" s="1234">
        <v>8</v>
      </c>
      <c r="F658" s="1248">
        <v>1.52</v>
      </c>
      <c r="G658" s="1248"/>
      <c r="H658" s="1248">
        <v>6.75</v>
      </c>
      <c r="I658" s="1248">
        <f t="shared" si="47"/>
        <v>82.08</v>
      </c>
      <c r="J658" s="1236"/>
    </row>
    <row r="659" spans="1:10" ht="24.95" customHeight="1">
      <c r="A659" s="1237"/>
      <c r="B659" s="1233" t="s">
        <v>5618</v>
      </c>
      <c r="C659" s="1234"/>
      <c r="D659" s="1234"/>
      <c r="E659" s="1234"/>
      <c r="F659" s="1248"/>
      <c r="G659" s="1248"/>
      <c r="H659" s="1248"/>
      <c r="I659" s="1248"/>
      <c r="J659" s="1236"/>
    </row>
    <row r="660" spans="1:10" ht="24.95" customHeight="1">
      <c r="A660" s="1237"/>
      <c r="B660" s="1247" t="s">
        <v>5458</v>
      </c>
      <c r="C660" s="1234">
        <v>2</v>
      </c>
      <c r="D660" s="1234" t="s">
        <v>5404</v>
      </c>
      <c r="E660" s="1234">
        <v>3</v>
      </c>
      <c r="F660" s="1248">
        <v>0.45</v>
      </c>
      <c r="G660" s="1248"/>
      <c r="H660" s="1248">
        <v>2.4</v>
      </c>
      <c r="I660" s="1248">
        <f t="shared" ref="I660:I665" si="51">PRODUCT(C660:H660)</f>
        <v>6.48</v>
      </c>
      <c r="J660" s="1246"/>
    </row>
    <row r="661" spans="1:10" ht="24.95" customHeight="1">
      <c r="A661" s="1237"/>
      <c r="B661" s="1247" t="s">
        <v>5539</v>
      </c>
      <c r="C661" s="1234">
        <v>2</v>
      </c>
      <c r="D661" s="1234" t="s">
        <v>5404</v>
      </c>
      <c r="E661" s="1234">
        <v>5</v>
      </c>
      <c r="F661" s="1248">
        <v>0.6</v>
      </c>
      <c r="G661" s="1248"/>
      <c r="H661" s="1248">
        <v>2.4</v>
      </c>
      <c r="I661" s="1248">
        <f t="shared" si="51"/>
        <v>14.4</v>
      </c>
      <c r="J661" s="1236"/>
    </row>
    <row r="662" spans="1:10" ht="24.95" customHeight="1">
      <c r="A662" s="1237"/>
      <c r="B662" s="1247" t="s">
        <v>5540</v>
      </c>
      <c r="C662" s="1234">
        <v>2</v>
      </c>
      <c r="D662" s="1234" t="s">
        <v>5404</v>
      </c>
      <c r="E662" s="1234">
        <v>18</v>
      </c>
      <c r="F662" s="1248">
        <v>0.6</v>
      </c>
      <c r="G662" s="1248"/>
      <c r="H662" s="1248">
        <v>2.4</v>
      </c>
      <c r="I662" s="1248">
        <f t="shared" si="51"/>
        <v>51.84</v>
      </c>
      <c r="J662" s="1236"/>
    </row>
    <row r="663" spans="1:10" ht="24.95" customHeight="1">
      <c r="A663" s="1237"/>
      <c r="B663" s="1247" t="s">
        <v>5540</v>
      </c>
      <c r="C663" s="1234">
        <v>2</v>
      </c>
      <c r="D663" s="1234" t="s">
        <v>5404</v>
      </c>
      <c r="E663" s="1234">
        <v>2</v>
      </c>
      <c r="F663" s="1248">
        <v>0.6</v>
      </c>
      <c r="G663" s="1248"/>
      <c r="H663" s="1248">
        <v>2.4</v>
      </c>
      <c r="I663" s="1248">
        <f t="shared" si="51"/>
        <v>5.76</v>
      </c>
      <c r="J663" s="1236"/>
    </row>
    <row r="664" spans="1:10" ht="24.95" customHeight="1">
      <c r="A664" s="1237"/>
      <c r="B664" s="1247" t="s">
        <v>5542</v>
      </c>
      <c r="C664" s="1234">
        <v>2</v>
      </c>
      <c r="D664" s="1234" t="s">
        <v>5404</v>
      </c>
      <c r="E664" s="1234">
        <v>3</v>
      </c>
      <c r="F664" s="1248">
        <v>0.6</v>
      </c>
      <c r="G664" s="1248"/>
      <c r="H664" s="1248">
        <v>2.4</v>
      </c>
      <c r="I664" s="1248">
        <f t="shared" si="51"/>
        <v>8.64</v>
      </c>
      <c r="J664" s="1236"/>
    </row>
    <row r="665" spans="1:10" ht="24.95" customHeight="1">
      <c r="A665" s="1237"/>
      <c r="B665" s="1247" t="s">
        <v>5543</v>
      </c>
      <c r="C665" s="1234">
        <v>6</v>
      </c>
      <c r="D665" s="1234" t="s">
        <v>5404</v>
      </c>
      <c r="E665" s="1234">
        <v>5</v>
      </c>
      <c r="F665" s="1248">
        <v>0.6</v>
      </c>
      <c r="G665" s="1248"/>
      <c r="H665" s="1248">
        <v>2.4</v>
      </c>
      <c r="I665" s="1248">
        <f t="shared" si="51"/>
        <v>43.2</v>
      </c>
      <c r="J665" s="1236"/>
    </row>
    <row r="666" spans="1:10" ht="24.75" customHeight="1">
      <c r="A666" s="1237"/>
      <c r="B666" s="1233" t="s">
        <v>5593</v>
      </c>
      <c r="C666" s="1234"/>
      <c r="D666" s="1234"/>
      <c r="E666" s="1234"/>
      <c r="F666" s="1235"/>
      <c r="G666" s="1235"/>
      <c r="H666" s="1235"/>
      <c r="I666" s="1235"/>
      <c r="J666" s="1236"/>
    </row>
    <row r="667" spans="1:10" ht="24.75" customHeight="1">
      <c r="A667" s="1237"/>
      <c r="B667" s="1247" t="s">
        <v>5619</v>
      </c>
      <c r="C667" s="1234">
        <v>-1</v>
      </c>
      <c r="D667" s="1234" t="s">
        <v>5404</v>
      </c>
      <c r="E667" s="1234">
        <v>1</v>
      </c>
      <c r="F667" s="1248">
        <v>1.8</v>
      </c>
      <c r="G667" s="1248"/>
      <c r="H667" s="1248">
        <v>2.4</v>
      </c>
      <c r="I667" s="1248">
        <f t="shared" ref="I667:I694" si="52">PRODUCT(C667:H667)</f>
        <v>-4.32</v>
      </c>
      <c r="J667" s="1236"/>
    </row>
    <row r="668" spans="1:10" ht="24.75" customHeight="1">
      <c r="A668" s="1237"/>
      <c r="B668" s="1247" t="s">
        <v>5620</v>
      </c>
      <c r="C668" s="1234">
        <v>-1</v>
      </c>
      <c r="D668" s="1234" t="s">
        <v>5404</v>
      </c>
      <c r="E668" s="1234">
        <v>1</v>
      </c>
      <c r="F668" s="1248">
        <v>0.75</v>
      </c>
      <c r="G668" s="1248"/>
      <c r="H668" s="1248">
        <v>2.1</v>
      </c>
      <c r="I668" s="1248">
        <f t="shared" si="52"/>
        <v>-1.58</v>
      </c>
      <c r="J668" s="1236"/>
    </row>
    <row r="669" spans="1:10" ht="24.75" customHeight="1">
      <c r="A669" s="1237"/>
      <c r="B669" s="1247" t="s">
        <v>5595</v>
      </c>
      <c r="C669" s="1234">
        <v>-1</v>
      </c>
      <c r="D669" s="1234" t="s">
        <v>5404</v>
      </c>
      <c r="E669" s="1234">
        <v>2</v>
      </c>
      <c r="F669" s="1248">
        <v>0.8</v>
      </c>
      <c r="G669" s="1248"/>
      <c r="H669" s="1248">
        <v>2.4</v>
      </c>
      <c r="I669" s="1248">
        <f t="shared" si="52"/>
        <v>-3.84</v>
      </c>
      <c r="J669" s="1236"/>
    </row>
    <row r="670" spans="1:10" ht="24.75" customHeight="1">
      <c r="A670" s="1237"/>
      <c r="B670" s="1247" t="s">
        <v>5596</v>
      </c>
      <c r="C670" s="1234">
        <v>-1</v>
      </c>
      <c r="D670" s="1234" t="s">
        <v>5404</v>
      </c>
      <c r="E670" s="1234">
        <v>2</v>
      </c>
      <c r="F670" s="1248">
        <v>1.8</v>
      </c>
      <c r="G670" s="1248"/>
      <c r="H670" s="1248">
        <v>0.6</v>
      </c>
      <c r="I670" s="1248">
        <f t="shared" si="52"/>
        <v>-2.16</v>
      </c>
      <c r="J670" s="1236"/>
    </row>
    <row r="671" spans="1:10" ht="24.75" customHeight="1">
      <c r="A671" s="1237"/>
      <c r="B671" s="1247" t="s">
        <v>5621</v>
      </c>
      <c r="C671" s="1234">
        <v>-1</v>
      </c>
      <c r="D671" s="1234" t="s">
        <v>5404</v>
      </c>
      <c r="E671" s="1234">
        <v>2</v>
      </c>
      <c r="F671" s="1248">
        <v>0.75</v>
      </c>
      <c r="G671" s="1248"/>
      <c r="H671" s="1248">
        <v>2.4</v>
      </c>
      <c r="I671" s="1248">
        <f t="shared" si="52"/>
        <v>-3.6</v>
      </c>
      <c r="J671" s="1236"/>
    </row>
    <row r="672" spans="1:10" ht="24.75" customHeight="1">
      <c r="A672" s="1237"/>
      <c r="B672" s="1247" t="s">
        <v>5384</v>
      </c>
      <c r="C672" s="1234">
        <v>-1</v>
      </c>
      <c r="D672" s="1234" t="s">
        <v>5404</v>
      </c>
      <c r="E672" s="1234">
        <v>1</v>
      </c>
      <c r="F672" s="1248">
        <v>1</v>
      </c>
      <c r="G672" s="1248"/>
      <c r="H672" s="1248">
        <v>2.4</v>
      </c>
      <c r="I672" s="1248">
        <f t="shared" si="52"/>
        <v>-2.4</v>
      </c>
      <c r="J672" s="1236"/>
    </row>
    <row r="673" spans="1:10" ht="24.75" customHeight="1">
      <c r="A673" s="1237"/>
      <c r="B673" s="1247" t="s">
        <v>5596</v>
      </c>
      <c r="C673" s="1234">
        <v>-1</v>
      </c>
      <c r="D673" s="1234" t="s">
        <v>5404</v>
      </c>
      <c r="E673" s="1234">
        <v>2</v>
      </c>
      <c r="F673" s="1248">
        <v>1.2</v>
      </c>
      <c r="G673" s="1248"/>
      <c r="H673" s="1248">
        <v>0.6</v>
      </c>
      <c r="I673" s="1248">
        <f t="shared" si="52"/>
        <v>-1.44</v>
      </c>
      <c r="J673" s="1236"/>
    </row>
    <row r="674" spans="1:10" ht="24.75" customHeight="1">
      <c r="A674" s="1237"/>
      <c r="B674" s="1247" t="s">
        <v>5596</v>
      </c>
      <c r="C674" s="1234">
        <v>-1</v>
      </c>
      <c r="D674" s="1234" t="s">
        <v>5404</v>
      </c>
      <c r="E674" s="1234">
        <v>1</v>
      </c>
      <c r="F674" s="1248">
        <v>1.8</v>
      </c>
      <c r="G674" s="1248"/>
      <c r="H674" s="1248">
        <v>0.6</v>
      </c>
      <c r="I674" s="1248">
        <f t="shared" si="52"/>
        <v>-1.08</v>
      </c>
      <c r="J674" s="1236"/>
    </row>
    <row r="675" spans="1:10" ht="24.75" customHeight="1">
      <c r="A675" s="1237"/>
      <c r="B675" s="1247" t="s">
        <v>5594</v>
      </c>
      <c r="C675" s="1234">
        <v>-1</v>
      </c>
      <c r="D675" s="1234" t="s">
        <v>5404</v>
      </c>
      <c r="E675" s="1234">
        <v>3</v>
      </c>
      <c r="F675" s="1248">
        <v>1.2</v>
      </c>
      <c r="G675" s="1248"/>
      <c r="H675" s="1248">
        <v>2.4</v>
      </c>
      <c r="I675" s="1248">
        <f t="shared" si="52"/>
        <v>-8.64</v>
      </c>
      <c r="J675" s="1236"/>
    </row>
    <row r="676" spans="1:10" ht="24.75" customHeight="1">
      <c r="A676" s="1237"/>
      <c r="B676" s="1247" t="s">
        <v>5596</v>
      </c>
      <c r="C676" s="1234">
        <v>-1</v>
      </c>
      <c r="D676" s="1234" t="s">
        <v>5404</v>
      </c>
      <c r="E676" s="1234">
        <v>3</v>
      </c>
      <c r="F676" s="1248">
        <v>1.2</v>
      </c>
      <c r="G676" s="1248"/>
      <c r="H676" s="1248">
        <v>0.6</v>
      </c>
      <c r="I676" s="1248">
        <f t="shared" si="52"/>
        <v>-2.16</v>
      </c>
      <c r="J676" s="1236"/>
    </row>
    <row r="677" spans="1:10" ht="24.75" customHeight="1">
      <c r="A677" s="1237"/>
      <c r="B677" s="1247" t="s">
        <v>5622</v>
      </c>
      <c r="C677" s="1234">
        <v>-1</v>
      </c>
      <c r="D677" s="1234" t="s">
        <v>5404</v>
      </c>
      <c r="E677" s="1234">
        <v>1</v>
      </c>
      <c r="F677" s="1248">
        <v>1.2</v>
      </c>
      <c r="G677" s="1248"/>
      <c r="H677" s="1248">
        <v>2.4</v>
      </c>
      <c r="I677" s="1248">
        <f t="shared" si="52"/>
        <v>-2.88</v>
      </c>
      <c r="J677" s="1236"/>
    </row>
    <row r="678" spans="1:10" ht="24.75" customHeight="1">
      <c r="A678" s="1237"/>
      <c r="B678" s="1247" t="s">
        <v>5596</v>
      </c>
      <c r="C678" s="1234">
        <v>-1</v>
      </c>
      <c r="D678" s="1234" t="s">
        <v>5404</v>
      </c>
      <c r="E678" s="1234">
        <v>1</v>
      </c>
      <c r="F678" s="1248">
        <v>2.1</v>
      </c>
      <c r="G678" s="1248"/>
      <c r="H678" s="1248">
        <v>0.6</v>
      </c>
      <c r="I678" s="1248">
        <f t="shared" si="52"/>
        <v>-1.26</v>
      </c>
      <c r="J678" s="1236"/>
    </row>
    <row r="679" spans="1:10" ht="24.75" customHeight="1">
      <c r="A679" s="1237"/>
      <c r="B679" s="1247" t="s">
        <v>5623</v>
      </c>
      <c r="C679" s="1234">
        <v>-1</v>
      </c>
      <c r="D679" s="1234" t="s">
        <v>5404</v>
      </c>
      <c r="E679" s="1234">
        <v>2</v>
      </c>
      <c r="F679" s="1248">
        <v>1.8</v>
      </c>
      <c r="G679" s="1248"/>
      <c r="H679" s="1248">
        <v>2.4</v>
      </c>
      <c r="I679" s="1248">
        <f t="shared" si="52"/>
        <v>-8.64</v>
      </c>
      <c r="J679" s="1236"/>
    </row>
    <row r="680" spans="1:10" ht="24.75" customHeight="1">
      <c r="A680" s="1237"/>
      <c r="B680" s="1247" t="s">
        <v>5596</v>
      </c>
      <c r="C680" s="1234">
        <v>-1</v>
      </c>
      <c r="D680" s="1234" t="s">
        <v>5404</v>
      </c>
      <c r="E680" s="1234">
        <v>2</v>
      </c>
      <c r="F680" s="1248">
        <v>1.8</v>
      </c>
      <c r="G680" s="1248"/>
      <c r="H680" s="1248">
        <v>0.6</v>
      </c>
      <c r="I680" s="1248">
        <f t="shared" si="52"/>
        <v>-2.16</v>
      </c>
      <c r="J680" s="1236"/>
    </row>
    <row r="681" spans="1:10" ht="24.75" customHeight="1">
      <c r="A681" s="1237"/>
      <c r="B681" s="1247" t="s">
        <v>5624</v>
      </c>
      <c r="C681" s="1234">
        <v>-1</v>
      </c>
      <c r="D681" s="1234" t="s">
        <v>5404</v>
      </c>
      <c r="E681" s="1234">
        <v>4</v>
      </c>
      <c r="F681" s="1248">
        <v>0.9</v>
      </c>
      <c r="G681" s="1248"/>
      <c r="H681" s="1248">
        <v>2.4</v>
      </c>
      <c r="I681" s="1248">
        <f t="shared" si="52"/>
        <v>-8.64</v>
      </c>
      <c r="J681" s="1236"/>
    </row>
    <row r="682" spans="1:10" ht="24.75" customHeight="1">
      <c r="A682" s="1237"/>
      <c r="B682" s="1247" t="s">
        <v>5621</v>
      </c>
      <c r="C682" s="1234">
        <v>-1</v>
      </c>
      <c r="D682" s="1234" t="s">
        <v>5404</v>
      </c>
      <c r="E682" s="1234">
        <v>7</v>
      </c>
      <c r="F682" s="1248">
        <v>1.2</v>
      </c>
      <c r="G682" s="1248"/>
      <c r="H682" s="1248">
        <v>2.4</v>
      </c>
      <c r="I682" s="1248">
        <f t="shared" si="52"/>
        <v>-20.16</v>
      </c>
      <c r="J682" s="1236"/>
    </row>
    <row r="683" spans="1:10" ht="24.75" customHeight="1">
      <c r="A683" s="1237"/>
      <c r="B683" s="1247" t="s">
        <v>5596</v>
      </c>
      <c r="C683" s="1234">
        <v>-1</v>
      </c>
      <c r="D683" s="1234" t="s">
        <v>5404</v>
      </c>
      <c r="E683" s="1234">
        <v>7</v>
      </c>
      <c r="F683" s="1248">
        <v>1.2</v>
      </c>
      <c r="G683" s="1248"/>
      <c r="H683" s="1248">
        <v>0.6</v>
      </c>
      <c r="I683" s="1248">
        <f t="shared" si="52"/>
        <v>-5.04</v>
      </c>
      <c r="J683" s="1236"/>
    </row>
    <row r="684" spans="1:10" ht="24.75" customHeight="1">
      <c r="A684" s="1237"/>
      <c r="B684" s="1247" t="s">
        <v>5595</v>
      </c>
      <c r="C684" s="1234">
        <v>-1</v>
      </c>
      <c r="D684" s="1234" t="s">
        <v>5404</v>
      </c>
      <c r="E684" s="1234">
        <v>2</v>
      </c>
      <c r="F684" s="1248">
        <v>0.75</v>
      </c>
      <c r="G684" s="1248"/>
      <c r="H684" s="1248">
        <v>2.4</v>
      </c>
      <c r="I684" s="1248">
        <f t="shared" si="52"/>
        <v>-3.6</v>
      </c>
      <c r="J684" s="1236"/>
    </row>
    <row r="685" spans="1:10" ht="24.75" customHeight="1">
      <c r="A685" s="1237"/>
      <c r="B685" s="1247" t="s">
        <v>5625</v>
      </c>
      <c r="C685" s="1234">
        <v>-2</v>
      </c>
      <c r="D685" s="1234" t="s">
        <v>5404</v>
      </c>
      <c r="E685" s="1234">
        <v>6</v>
      </c>
      <c r="F685" s="1248">
        <v>0.75</v>
      </c>
      <c r="G685" s="1248"/>
      <c r="H685" s="1248">
        <v>2.1</v>
      </c>
      <c r="I685" s="1248">
        <f t="shared" si="52"/>
        <v>-18.899999999999999</v>
      </c>
      <c r="J685" s="1236"/>
    </row>
    <row r="686" spans="1:10" ht="24.75" customHeight="1">
      <c r="A686" s="1237"/>
      <c r="B686" s="1247" t="s">
        <v>5597</v>
      </c>
      <c r="C686" s="1234">
        <v>-1</v>
      </c>
      <c r="D686" s="1234" t="s">
        <v>5404</v>
      </c>
      <c r="E686" s="1234">
        <v>2</v>
      </c>
      <c r="F686" s="1248">
        <v>1.8</v>
      </c>
      <c r="G686" s="1248"/>
      <c r="H686" s="1248">
        <v>1.65</v>
      </c>
      <c r="I686" s="1248">
        <f t="shared" si="52"/>
        <v>-5.94</v>
      </c>
      <c r="J686" s="1236"/>
    </row>
    <row r="687" spans="1:10" ht="24.75" customHeight="1">
      <c r="A687" s="1237"/>
      <c r="B687" s="1247" t="s">
        <v>5598</v>
      </c>
      <c r="C687" s="1234">
        <v>-1</v>
      </c>
      <c r="D687" s="1234" t="s">
        <v>5404</v>
      </c>
      <c r="E687" s="1234">
        <v>13</v>
      </c>
      <c r="F687" s="1248">
        <v>1.5</v>
      </c>
      <c r="G687" s="1248"/>
      <c r="H687" s="1248">
        <v>1.65</v>
      </c>
      <c r="I687" s="1248">
        <f t="shared" si="52"/>
        <v>-32.18</v>
      </c>
      <c r="J687" s="1236"/>
    </row>
    <row r="688" spans="1:10" ht="24.75" customHeight="1">
      <c r="A688" s="1237"/>
      <c r="B688" s="1247" t="s">
        <v>5626</v>
      </c>
      <c r="C688" s="1234">
        <v>-1</v>
      </c>
      <c r="D688" s="1234" t="s">
        <v>5404</v>
      </c>
      <c r="E688" s="1234">
        <v>1</v>
      </c>
      <c r="F688" s="1248">
        <v>1.35</v>
      </c>
      <c r="G688" s="1248"/>
      <c r="H688" s="1248">
        <v>1.65</v>
      </c>
      <c r="I688" s="1248">
        <f t="shared" si="52"/>
        <v>-2.23</v>
      </c>
      <c r="J688" s="1236"/>
    </row>
    <row r="689" spans="1:10" ht="24.75" customHeight="1">
      <c r="A689" s="1237"/>
      <c r="B689" s="1247" t="s">
        <v>5599</v>
      </c>
      <c r="C689" s="1234">
        <v>-1</v>
      </c>
      <c r="D689" s="1234" t="s">
        <v>5404</v>
      </c>
      <c r="E689" s="1234">
        <v>10</v>
      </c>
      <c r="F689" s="1248">
        <v>0.9</v>
      </c>
      <c r="G689" s="1248"/>
      <c r="H689" s="1248">
        <v>1.65</v>
      </c>
      <c r="I689" s="1248">
        <f t="shared" si="52"/>
        <v>-14.85</v>
      </c>
      <c r="J689" s="1236"/>
    </row>
    <row r="690" spans="1:10" ht="24.75" customHeight="1">
      <c r="A690" s="1237"/>
      <c r="B690" s="1247" t="s">
        <v>5600</v>
      </c>
      <c r="C690" s="1234">
        <v>-1</v>
      </c>
      <c r="D690" s="1234" t="s">
        <v>5404</v>
      </c>
      <c r="E690" s="1234">
        <v>4</v>
      </c>
      <c r="F690" s="1248">
        <v>1.2</v>
      </c>
      <c r="G690" s="1248"/>
      <c r="H690" s="1248">
        <v>1.65</v>
      </c>
      <c r="I690" s="1248">
        <f t="shared" si="52"/>
        <v>-7.92</v>
      </c>
      <c r="J690" s="1236"/>
    </row>
    <row r="691" spans="1:10" ht="24.75" customHeight="1">
      <c r="A691" s="1237"/>
      <c r="B691" s="1247" t="s">
        <v>5627</v>
      </c>
      <c r="C691" s="1234">
        <v>-1</v>
      </c>
      <c r="D691" s="1234" t="s">
        <v>5404</v>
      </c>
      <c r="E691" s="1234">
        <v>2</v>
      </c>
      <c r="F691" s="1248">
        <v>1.2</v>
      </c>
      <c r="G691" s="1248"/>
      <c r="H691" s="1248">
        <v>1.65</v>
      </c>
      <c r="I691" s="1248">
        <f t="shared" si="52"/>
        <v>-3.96</v>
      </c>
      <c r="J691" s="1236"/>
    </row>
    <row r="692" spans="1:10" ht="24.75" customHeight="1">
      <c r="A692" s="1237"/>
      <c r="B692" s="1247" t="s">
        <v>5628</v>
      </c>
      <c r="C692" s="1234">
        <v>-1</v>
      </c>
      <c r="D692" s="1234" t="s">
        <v>5404</v>
      </c>
      <c r="E692" s="1234">
        <v>2</v>
      </c>
      <c r="F692" s="1248">
        <v>1.5</v>
      </c>
      <c r="G692" s="1248"/>
      <c r="H692" s="1248">
        <v>1.65</v>
      </c>
      <c r="I692" s="1248">
        <f t="shared" si="52"/>
        <v>-4.95</v>
      </c>
      <c r="J692" s="1236"/>
    </row>
    <row r="693" spans="1:10" ht="24.75" customHeight="1">
      <c r="A693" s="1237"/>
      <c r="B693" s="1247" t="s">
        <v>5629</v>
      </c>
      <c r="C693" s="1234">
        <v>-1</v>
      </c>
      <c r="D693" s="1234" t="s">
        <v>5404</v>
      </c>
      <c r="E693" s="1234">
        <v>4</v>
      </c>
      <c r="F693" s="1248">
        <v>1.05</v>
      </c>
      <c r="G693" s="1248"/>
      <c r="H693" s="1248">
        <v>1.65</v>
      </c>
      <c r="I693" s="1248">
        <f t="shared" si="52"/>
        <v>-6.93</v>
      </c>
      <c r="J693" s="1236"/>
    </row>
    <row r="694" spans="1:10" ht="24.75" customHeight="1">
      <c r="A694" s="1237"/>
      <c r="B694" s="1247" t="s">
        <v>5630</v>
      </c>
      <c r="C694" s="1234">
        <v>-1</v>
      </c>
      <c r="D694" s="1234" t="s">
        <v>5404</v>
      </c>
      <c r="E694" s="1234">
        <v>21</v>
      </c>
      <c r="F694" s="1248">
        <v>0.9</v>
      </c>
      <c r="G694" s="1248"/>
      <c r="H694" s="1248">
        <v>0.9</v>
      </c>
      <c r="I694" s="1248">
        <f t="shared" si="52"/>
        <v>-17.010000000000002</v>
      </c>
      <c r="J694" s="1236"/>
    </row>
    <row r="695" spans="1:10" ht="24.95" customHeight="1">
      <c r="A695" s="1237"/>
      <c r="B695" s="1233" t="s">
        <v>5631</v>
      </c>
      <c r="C695" s="1234"/>
      <c r="D695" s="1234"/>
      <c r="E695" s="1234"/>
      <c r="F695" s="1235"/>
      <c r="G695" s="1235"/>
      <c r="H695" s="1235"/>
      <c r="I695" s="1235"/>
      <c r="J695" s="1236"/>
    </row>
    <row r="696" spans="1:10" ht="24.95" customHeight="1">
      <c r="A696" s="1237"/>
      <c r="B696" s="1247" t="s">
        <v>5620</v>
      </c>
      <c r="C696" s="1234">
        <v>1</v>
      </c>
      <c r="D696" s="1234" t="s">
        <v>5404</v>
      </c>
      <c r="E696" s="1234">
        <v>1</v>
      </c>
      <c r="F696" s="1248">
        <v>5.7</v>
      </c>
      <c r="G696" s="1248"/>
      <c r="H696" s="1248">
        <v>0.18</v>
      </c>
      <c r="I696" s="1248">
        <f t="shared" ref="I696:I723" si="53">PRODUCT(C696:H696)</f>
        <v>1.03</v>
      </c>
      <c r="J696" s="1236"/>
    </row>
    <row r="697" spans="1:10" ht="24.95" customHeight="1">
      <c r="A697" s="1237"/>
      <c r="B697" s="1247" t="s">
        <v>5595</v>
      </c>
      <c r="C697" s="1234">
        <v>1</v>
      </c>
      <c r="D697" s="1234" t="s">
        <v>5404</v>
      </c>
      <c r="E697" s="1234">
        <v>2</v>
      </c>
      <c r="F697" s="1248">
        <v>6.4</v>
      </c>
      <c r="G697" s="1248"/>
      <c r="H697" s="1248">
        <v>0.18</v>
      </c>
      <c r="I697" s="1248">
        <f t="shared" si="53"/>
        <v>2.2999999999999998</v>
      </c>
      <c r="J697" s="1236"/>
    </row>
    <row r="698" spans="1:10" ht="24.95" customHeight="1">
      <c r="A698" s="1237"/>
      <c r="B698" s="1247" t="s">
        <v>5596</v>
      </c>
      <c r="C698" s="1234">
        <v>1</v>
      </c>
      <c r="D698" s="1234" t="s">
        <v>5404</v>
      </c>
      <c r="E698" s="1234">
        <v>2</v>
      </c>
      <c r="F698" s="1248">
        <v>2.16</v>
      </c>
      <c r="G698" s="1248"/>
      <c r="H698" s="1248">
        <v>0.18</v>
      </c>
      <c r="I698" s="1248">
        <f t="shared" si="53"/>
        <v>0.78</v>
      </c>
      <c r="J698" s="1236"/>
    </row>
    <row r="699" spans="1:10" ht="24.95" customHeight="1">
      <c r="A699" s="1237"/>
      <c r="B699" s="1247" t="s">
        <v>5621</v>
      </c>
      <c r="C699" s="1234">
        <v>1</v>
      </c>
      <c r="D699" s="1234" t="s">
        <v>5404</v>
      </c>
      <c r="E699" s="1234">
        <v>2</v>
      </c>
      <c r="F699" s="1248">
        <v>6.3</v>
      </c>
      <c r="G699" s="1248"/>
      <c r="H699" s="1248">
        <v>0.18</v>
      </c>
      <c r="I699" s="1248">
        <f t="shared" si="53"/>
        <v>2.27</v>
      </c>
      <c r="J699" s="1236"/>
    </row>
    <row r="700" spans="1:10" ht="24.95" customHeight="1">
      <c r="A700" s="1237"/>
      <c r="B700" s="1247" t="s">
        <v>5384</v>
      </c>
      <c r="C700" s="1234">
        <v>1</v>
      </c>
      <c r="D700" s="1234" t="s">
        <v>5404</v>
      </c>
      <c r="E700" s="1234">
        <v>1</v>
      </c>
      <c r="F700" s="1248">
        <v>6.8</v>
      </c>
      <c r="G700" s="1248"/>
      <c r="H700" s="1248">
        <v>0.18</v>
      </c>
      <c r="I700" s="1248">
        <f t="shared" si="53"/>
        <v>1.22</v>
      </c>
      <c r="J700" s="1236"/>
    </row>
    <row r="701" spans="1:10" ht="24.95" customHeight="1">
      <c r="A701" s="1237"/>
      <c r="B701" s="1247" t="s">
        <v>5596</v>
      </c>
      <c r="C701" s="1234">
        <v>1</v>
      </c>
      <c r="D701" s="1234" t="s">
        <v>5404</v>
      </c>
      <c r="E701" s="1234">
        <v>2</v>
      </c>
      <c r="F701" s="1248">
        <v>3.6</v>
      </c>
      <c r="G701" s="1248"/>
      <c r="H701" s="1248">
        <v>0.18</v>
      </c>
      <c r="I701" s="1248">
        <f t="shared" si="53"/>
        <v>1.3</v>
      </c>
      <c r="J701" s="1236"/>
    </row>
    <row r="702" spans="1:10" ht="24.95" customHeight="1">
      <c r="A702" s="1237"/>
      <c r="B702" s="1247" t="s">
        <v>5596</v>
      </c>
      <c r="C702" s="1234">
        <v>1</v>
      </c>
      <c r="D702" s="1234" t="s">
        <v>5404</v>
      </c>
      <c r="E702" s="1234">
        <v>1</v>
      </c>
      <c r="F702" s="1248">
        <v>4.8</v>
      </c>
      <c r="G702" s="1248"/>
      <c r="H702" s="1248">
        <v>0.18</v>
      </c>
      <c r="I702" s="1248">
        <f t="shared" si="53"/>
        <v>0.86</v>
      </c>
      <c r="J702" s="1236"/>
    </row>
    <row r="703" spans="1:10" ht="24.95" customHeight="1">
      <c r="A703" s="1237"/>
      <c r="B703" s="1247" t="s">
        <v>5594</v>
      </c>
      <c r="C703" s="1234">
        <v>1</v>
      </c>
      <c r="D703" s="1234" t="s">
        <v>5404</v>
      </c>
      <c r="E703" s="1234">
        <v>3</v>
      </c>
      <c r="F703" s="1248">
        <v>7.2</v>
      </c>
      <c r="G703" s="1248"/>
      <c r="H703" s="1248">
        <v>0.18</v>
      </c>
      <c r="I703" s="1248">
        <f t="shared" si="53"/>
        <v>3.89</v>
      </c>
      <c r="J703" s="1236"/>
    </row>
    <row r="704" spans="1:10" ht="24.95" customHeight="1">
      <c r="A704" s="1237"/>
      <c r="B704" s="1247" t="s">
        <v>5596</v>
      </c>
      <c r="C704" s="1234">
        <v>1</v>
      </c>
      <c r="D704" s="1234" t="s">
        <v>5404</v>
      </c>
      <c r="E704" s="1234">
        <v>3</v>
      </c>
      <c r="F704" s="1248">
        <v>3.6</v>
      </c>
      <c r="G704" s="1248"/>
      <c r="H704" s="1248">
        <v>0.18</v>
      </c>
      <c r="I704" s="1248">
        <f t="shared" si="53"/>
        <v>1.94</v>
      </c>
      <c r="J704" s="1236"/>
    </row>
    <row r="705" spans="1:10" ht="24.95" customHeight="1">
      <c r="A705" s="1237"/>
      <c r="B705" s="1247" t="s">
        <v>5622</v>
      </c>
      <c r="C705" s="1234">
        <v>1</v>
      </c>
      <c r="D705" s="1234" t="s">
        <v>5404</v>
      </c>
      <c r="E705" s="1234">
        <v>1</v>
      </c>
      <c r="F705" s="1248">
        <v>7.2</v>
      </c>
      <c r="G705" s="1248"/>
      <c r="H705" s="1248">
        <v>0.18</v>
      </c>
      <c r="I705" s="1248">
        <f t="shared" si="53"/>
        <v>1.3</v>
      </c>
      <c r="J705" s="1236"/>
    </row>
    <row r="706" spans="1:10" ht="24.95" customHeight="1">
      <c r="A706" s="1237"/>
      <c r="B706" s="1247" t="s">
        <v>5596</v>
      </c>
      <c r="C706" s="1234">
        <v>1</v>
      </c>
      <c r="D706" s="1234" t="s">
        <v>5404</v>
      </c>
      <c r="E706" s="1234">
        <v>1</v>
      </c>
      <c r="F706" s="1248">
        <v>5.4</v>
      </c>
      <c r="G706" s="1248"/>
      <c r="H706" s="1248">
        <v>0.18</v>
      </c>
      <c r="I706" s="1248">
        <f t="shared" si="53"/>
        <v>0.97</v>
      </c>
      <c r="J706" s="1236"/>
    </row>
    <row r="707" spans="1:10" ht="24.95" customHeight="1">
      <c r="A707" s="1237"/>
      <c r="B707" s="1247" t="s">
        <v>5623</v>
      </c>
      <c r="C707" s="1234">
        <v>1</v>
      </c>
      <c r="D707" s="1234" t="s">
        <v>5404</v>
      </c>
      <c r="E707" s="1234">
        <v>2</v>
      </c>
      <c r="F707" s="1248">
        <v>8.4</v>
      </c>
      <c r="G707" s="1248"/>
      <c r="H707" s="1248">
        <v>0.18</v>
      </c>
      <c r="I707" s="1248">
        <f t="shared" si="53"/>
        <v>3.02</v>
      </c>
      <c r="J707" s="1236"/>
    </row>
    <row r="708" spans="1:10" ht="24.95" customHeight="1">
      <c r="A708" s="1237"/>
      <c r="B708" s="1247" t="s">
        <v>5596</v>
      </c>
      <c r="C708" s="1234">
        <v>1</v>
      </c>
      <c r="D708" s="1234" t="s">
        <v>5404</v>
      </c>
      <c r="E708" s="1234">
        <v>2</v>
      </c>
      <c r="F708" s="1248">
        <v>4.8</v>
      </c>
      <c r="G708" s="1248"/>
      <c r="H708" s="1248">
        <v>0.18</v>
      </c>
      <c r="I708" s="1248">
        <f t="shared" si="53"/>
        <v>1.73</v>
      </c>
      <c r="J708" s="1236"/>
    </row>
    <row r="709" spans="1:10" ht="24.95" customHeight="1">
      <c r="A709" s="1237"/>
      <c r="B709" s="1247" t="s">
        <v>5624</v>
      </c>
      <c r="C709" s="1234">
        <v>1</v>
      </c>
      <c r="D709" s="1234" t="s">
        <v>5404</v>
      </c>
      <c r="E709" s="1234">
        <v>4</v>
      </c>
      <c r="F709" s="1248">
        <v>6.6</v>
      </c>
      <c r="G709" s="1248"/>
      <c r="H709" s="1248">
        <v>0.18</v>
      </c>
      <c r="I709" s="1248">
        <f t="shared" si="53"/>
        <v>4.75</v>
      </c>
      <c r="J709" s="1236"/>
    </row>
    <row r="710" spans="1:10" ht="24.95" customHeight="1">
      <c r="A710" s="1237"/>
      <c r="B710" s="1247" t="s">
        <v>5621</v>
      </c>
      <c r="C710" s="1234">
        <v>1</v>
      </c>
      <c r="D710" s="1234" t="s">
        <v>5404</v>
      </c>
      <c r="E710" s="1234">
        <v>7</v>
      </c>
      <c r="F710" s="1248">
        <v>7.2</v>
      </c>
      <c r="G710" s="1248"/>
      <c r="H710" s="1248">
        <v>0.18</v>
      </c>
      <c r="I710" s="1248">
        <f t="shared" si="53"/>
        <v>9.07</v>
      </c>
      <c r="J710" s="1236"/>
    </row>
    <row r="711" spans="1:10" ht="24.95" customHeight="1">
      <c r="A711" s="1237"/>
      <c r="B711" s="1247" t="s">
        <v>5596</v>
      </c>
      <c r="C711" s="1234">
        <v>1</v>
      </c>
      <c r="D711" s="1234" t="s">
        <v>5404</v>
      </c>
      <c r="E711" s="1234">
        <v>7</v>
      </c>
      <c r="F711" s="1248">
        <v>3.6</v>
      </c>
      <c r="G711" s="1248"/>
      <c r="H711" s="1248">
        <v>0.18</v>
      </c>
      <c r="I711" s="1248">
        <f t="shared" si="53"/>
        <v>4.54</v>
      </c>
      <c r="J711" s="1236"/>
    </row>
    <row r="712" spans="1:10" ht="24.95" customHeight="1">
      <c r="A712" s="1237"/>
      <c r="B712" s="1247" t="s">
        <v>5595</v>
      </c>
      <c r="C712" s="1234">
        <v>1</v>
      </c>
      <c r="D712" s="1234" t="s">
        <v>5404</v>
      </c>
      <c r="E712" s="1234">
        <v>2</v>
      </c>
      <c r="F712" s="1248">
        <v>6.3</v>
      </c>
      <c r="G712" s="1248"/>
      <c r="H712" s="1248">
        <v>0.18</v>
      </c>
      <c r="I712" s="1248">
        <f t="shared" si="53"/>
        <v>2.27</v>
      </c>
      <c r="J712" s="1236"/>
    </row>
    <row r="713" spans="1:10" ht="24.95" customHeight="1">
      <c r="A713" s="1237"/>
      <c r="B713" s="1247" t="s">
        <v>5625</v>
      </c>
      <c r="C713" s="1234">
        <v>2</v>
      </c>
      <c r="D713" s="1234" t="s">
        <v>5404</v>
      </c>
      <c r="E713" s="1234">
        <v>6</v>
      </c>
      <c r="F713" s="1248">
        <v>5.7</v>
      </c>
      <c r="G713" s="1248"/>
      <c r="H713" s="1248">
        <v>0.18</v>
      </c>
      <c r="I713" s="1248">
        <f t="shared" si="53"/>
        <v>12.31</v>
      </c>
      <c r="J713" s="1236"/>
    </row>
    <row r="714" spans="1:10" ht="24.95" customHeight="1">
      <c r="A714" s="1237"/>
      <c r="B714" s="1247" t="s">
        <v>5597</v>
      </c>
      <c r="C714" s="1234">
        <v>1</v>
      </c>
      <c r="D714" s="1234" t="s">
        <v>5404</v>
      </c>
      <c r="E714" s="1234">
        <v>2</v>
      </c>
      <c r="F714" s="1248">
        <v>6.9</v>
      </c>
      <c r="G714" s="1248"/>
      <c r="H714" s="1248">
        <v>0.18</v>
      </c>
      <c r="I714" s="1248">
        <f t="shared" si="53"/>
        <v>2.48</v>
      </c>
      <c r="J714" s="1236"/>
    </row>
    <row r="715" spans="1:10" ht="24.95" customHeight="1">
      <c r="A715" s="1237"/>
      <c r="B715" s="1247" t="s">
        <v>5598</v>
      </c>
      <c r="C715" s="1234">
        <v>1</v>
      </c>
      <c r="D715" s="1234" t="s">
        <v>5404</v>
      </c>
      <c r="E715" s="1234">
        <v>13</v>
      </c>
      <c r="F715" s="1248">
        <v>6.3</v>
      </c>
      <c r="G715" s="1248"/>
      <c r="H715" s="1248">
        <v>0.18</v>
      </c>
      <c r="I715" s="1248">
        <f t="shared" si="53"/>
        <v>14.74</v>
      </c>
      <c r="J715" s="1236"/>
    </row>
    <row r="716" spans="1:10" ht="24.95" customHeight="1">
      <c r="A716" s="1237"/>
      <c r="B716" s="1247" t="s">
        <v>5626</v>
      </c>
      <c r="C716" s="1234">
        <v>1</v>
      </c>
      <c r="D716" s="1234" t="s">
        <v>5404</v>
      </c>
      <c r="E716" s="1234">
        <v>1</v>
      </c>
      <c r="F716" s="1248">
        <v>6</v>
      </c>
      <c r="G716" s="1248"/>
      <c r="H716" s="1248">
        <v>0.18</v>
      </c>
      <c r="I716" s="1248">
        <f t="shared" si="53"/>
        <v>1.08</v>
      </c>
      <c r="J716" s="1236"/>
    </row>
    <row r="717" spans="1:10" ht="24.95" customHeight="1">
      <c r="A717" s="1237"/>
      <c r="B717" s="1247" t="s">
        <v>5599</v>
      </c>
      <c r="C717" s="1234">
        <v>1</v>
      </c>
      <c r="D717" s="1234" t="s">
        <v>5404</v>
      </c>
      <c r="E717" s="1234">
        <v>10</v>
      </c>
      <c r="F717" s="1248">
        <v>5.0999999999999996</v>
      </c>
      <c r="G717" s="1248"/>
      <c r="H717" s="1248">
        <v>0.18</v>
      </c>
      <c r="I717" s="1248">
        <f t="shared" si="53"/>
        <v>9.18</v>
      </c>
      <c r="J717" s="1236"/>
    </row>
    <row r="718" spans="1:10" ht="24.95" customHeight="1">
      <c r="A718" s="1237"/>
      <c r="B718" s="1247" t="s">
        <v>5600</v>
      </c>
      <c r="C718" s="1234">
        <v>1</v>
      </c>
      <c r="D718" s="1234" t="s">
        <v>5404</v>
      </c>
      <c r="E718" s="1234">
        <v>4</v>
      </c>
      <c r="F718" s="1248">
        <v>5.7</v>
      </c>
      <c r="G718" s="1248"/>
      <c r="H718" s="1248">
        <v>0.18</v>
      </c>
      <c r="I718" s="1248">
        <f t="shared" si="53"/>
        <v>4.0999999999999996</v>
      </c>
      <c r="J718" s="1236"/>
    </row>
    <row r="719" spans="1:10" ht="24.95" customHeight="1">
      <c r="A719" s="1237"/>
      <c r="B719" s="1247" t="s">
        <v>5627</v>
      </c>
      <c r="C719" s="1234">
        <v>1</v>
      </c>
      <c r="D719" s="1234" t="s">
        <v>5404</v>
      </c>
      <c r="E719" s="1234">
        <v>2</v>
      </c>
      <c r="F719" s="1248">
        <v>5.7</v>
      </c>
      <c r="G719" s="1248"/>
      <c r="H719" s="1248">
        <v>0.18</v>
      </c>
      <c r="I719" s="1248">
        <f t="shared" si="53"/>
        <v>2.0499999999999998</v>
      </c>
      <c r="J719" s="1236"/>
    </row>
    <row r="720" spans="1:10" ht="24.95" customHeight="1">
      <c r="A720" s="1237"/>
      <c r="B720" s="1247" t="s">
        <v>5628</v>
      </c>
      <c r="C720" s="1234">
        <v>1</v>
      </c>
      <c r="D720" s="1234" t="s">
        <v>5404</v>
      </c>
      <c r="E720" s="1234">
        <v>2</v>
      </c>
      <c r="F720" s="1248">
        <v>6.3</v>
      </c>
      <c r="G720" s="1248"/>
      <c r="H720" s="1248">
        <v>0.18</v>
      </c>
      <c r="I720" s="1248">
        <f t="shared" si="53"/>
        <v>2.27</v>
      </c>
      <c r="J720" s="1236"/>
    </row>
    <row r="721" spans="1:11" ht="24.95" customHeight="1">
      <c r="A721" s="1237"/>
      <c r="B721" s="1247" t="s">
        <v>5629</v>
      </c>
      <c r="C721" s="1234">
        <v>1</v>
      </c>
      <c r="D721" s="1234" t="s">
        <v>5404</v>
      </c>
      <c r="E721" s="1234">
        <v>4</v>
      </c>
      <c r="F721" s="1248">
        <v>5.4</v>
      </c>
      <c r="G721" s="1248"/>
      <c r="H721" s="1248">
        <v>0.18</v>
      </c>
      <c r="I721" s="1248">
        <f t="shared" si="53"/>
        <v>3.89</v>
      </c>
      <c r="J721" s="1236"/>
    </row>
    <row r="722" spans="1:11" ht="24.95" customHeight="1">
      <c r="A722" s="1237"/>
      <c r="B722" s="1247" t="s">
        <v>5630</v>
      </c>
      <c r="C722" s="1234">
        <v>1</v>
      </c>
      <c r="D722" s="1234" t="s">
        <v>5404</v>
      </c>
      <c r="E722" s="1234">
        <v>21</v>
      </c>
      <c r="F722" s="1248">
        <v>3.6</v>
      </c>
      <c r="G722" s="1248"/>
      <c r="H722" s="1248">
        <v>0.18</v>
      </c>
      <c r="I722" s="1248">
        <f t="shared" si="53"/>
        <v>13.61</v>
      </c>
      <c r="J722" s="1236"/>
    </row>
    <row r="723" spans="1:11" ht="24.75" customHeight="1">
      <c r="A723" s="1237"/>
      <c r="B723" s="1247" t="s">
        <v>5605</v>
      </c>
      <c r="C723" s="1234">
        <v>1</v>
      </c>
      <c r="D723" s="1234" t="s">
        <v>5404</v>
      </c>
      <c r="E723" s="1234">
        <v>1</v>
      </c>
      <c r="F723" s="1248">
        <v>16.2</v>
      </c>
      <c r="G723" s="1248"/>
      <c r="H723" s="1248">
        <v>6.75</v>
      </c>
      <c r="I723" s="1248">
        <f t="shared" si="53"/>
        <v>109.35</v>
      </c>
      <c r="J723" s="1236"/>
    </row>
    <row r="724" spans="1:11" ht="24.95" customHeight="1">
      <c r="A724" s="1237"/>
      <c r="B724" s="1247"/>
      <c r="C724" s="1234"/>
      <c r="D724" s="1234"/>
      <c r="E724" s="1234"/>
      <c r="F724" s="1248"/>
      <c r="G724" s="1248"/>
      <c r="H724" s="1248"/>
      <c r="I724" s="1248">
        <f>SUM(I622:I723)</f>
        <v>1878.95</v>
      </c>
      <c r="J724" s="1236"/>
      <c r="K724" s="1230">
        <v>0.01</v>
      </c>
    </row>
    <row r="725" spans="1:11" ht="24.95" customHeight="1">
      <c r="A725" s="1237"/>
      <c r="B725" s="1247"/>
      <c r="C725" s="1234"/>
      <c r="D725" s="1234"/>
      <c r="E725" s="1234"/>
      <c r="F725" s="1248"/>
      <c r="G725" s="1248"/>
      <c r="H725" s="1249" t="s">
        <v>4322</v>
      </c>
      <c r="I725" s="1249">
        <f>ROUNDUP(I724,1-0)</f>
        <v>1879</v>
      </c>
      <c r="J725" s="1246" t="s">
        <v>2308</v>
      </c>
    </row>
    <row r="726" spans="1:11" ht="24.95" customHeight="1">
      <c r="A726" s="1237"/>
      <c r="B726" s="1247"/>
      <c r="C726" s="1234"/>
      <c r="D726" s="1234"/>
      <c r="E726" s="1234"/>
      <c r="F726" s="1248"/>
      <c r="G726" s="1248"/>
      <c r="H726" s="1248"/>
      <c r="I726" s="1248"/>
      <c r="J726" s="1236"/>
    </row>
    <row r="727" spans="1:11" ht="24.95" customHeight="1">
      <c r="A727" s="1237"/>
      <c r="B727" s="1233" t="s">
        <v>5606</v>
      </c>
      <c r="C727" s="1234"/>
      <c r="D727" s="1234"/>
      <c r="E727" s="1234"/>
      <c r="F727" s="1248"/>
      <c r="G727" s="1248"/>
      <c r="H727" s="1248"/>
      <c r="I727" s="1248">
        <f>I725</f>
        <v>1879</v>
      </c>
      <c r="J727" s="1236"/>
    </row>
    <row r="728" spans="1:11" ht="24.95" customHeight="1">
      <c r="A728" s="1237"/>
      <c r="B728" s="1233" t="s">
        <v>5632</v>
      </c>
      <c r="C728" s="1234"/>
      <c r="D728" s="1234"/>
      <c r="E728" s="1234"/>
      <c r="F728" s="1248"/>
      <c r="G728" s="1248"/>
      <c r="H728" s="1248"/>
      <c r="I728" s="1248">
        <f>I619</f>
        <v>1147</v>
      </c>
      <c r="J728" s="1236"/>
    </row>
    <row r="729" spans="1:11" ht="24.95" customHeight="1">
      <c r="A729" s="1237"/>
      <c r="B729" s="1233" t="s">
        <v>2270</v>
      </c>
      <c r="C729" s="1234"/>
      <c r="D729" s="1234"/>
      <c r="E729" s="1234"/>
      <c r="F729" s="1248"/>
      <c r="G729" s="1248"/>
      <c r="H729" s="1248"/>
      <c r="I729" s="1249">
        <f>SUM(I727:I728)</f>
        <v>3026</v>
      </c>
      <c r="J729" s="1246" t="s">
        <v>236</v>
      </c>
    </row>
    <row r="730" spans="1:11" ht="24.95" customHeight="1">
      <c r="A730" s="1237"/>
      <c r="B730" s="1233"/>
      <c r="C730" s="1234"/>
      <c r="D730" s="1234"/>
      <c r="E730" s="1234"/>
      <c r="F730" s="1248"/>
      <c r="G730" s="1248"/>
      <c r="H730" s="1248"/>
      <c r="I730" s="1249"/>
      <c r="J730" s="1236"/>
    </row>
    <row r="731" spans="1:11" ht="24.95" customHeight="1">
      <c r="A731" s="1258">
        <v>34</v>
      </c>
      <c r="B731" s="1233" t="s">
        <v>5633</v>
      </c>
      <c r="C731" s="1234"/>
      <c r="D731" s="1234"/>
      <c r="E731" s="1234"/>
      <c r="F731" s="1235"/>
      <c r="G731" s="1235"/>
      <c r="H731" s="1235"/>
      <c r="I731" s="1235"/>
      <c r="J731" s="1246"/>
    </row>
    <row r="732" spans="1:11" ht="24.95" customHeight="1">
      <c r="A732" s="1237"/>
      <c r="B732" s="1247" t="s">
        <v>5634</v>
      </c>
      <c r="C732" s="1234">
        <v>1</v>
      </c>
      <c r="D732" s="1234"/>
      <c r="E732" s="1234">
        <v>1</v>
      </c>
      <c r="F732" s="1248">
        <v>11</v>
      </c>
      <c r="G732" s="1248"/>
      <c r="H732" s="1248">
        <v>1.5</v>
      </c>
      <c r="I732" s="1248">
        <f>PRODUCT(C732:H732)</f>
        <v>16.5</v>
      </c>
      <c r="J732" s="1236"/>
    </row>
    <row r="733" spans="1:11" ht="24.95" customHeight="1">
      <c r="A733" s="1237"/>
      <c r="B733" s="1247"/>
      <c r="C733" s="1234">
        <v>1</v>
      </c>
      <c r="D733" s="1234"/>
      <c r="E733" s="1234">
        <v>1</v>
      </c>
      <c r="F733" s="1248">
        <v>11.92</v>
      </c>
      <c r="G733" s="1248">
        <v>0.2</v>
      </c>
      <c r="H733" s="1248"/>
      <c r="I733" s="1248">
        <f>PRODUCT(C733:H733)</f>
        <v>2.38</v>
      </c>
      <c r="J733" s="1236"/>
    </row>
    <row r="734" spans="1:11" ht="24.95" customHeight="1">
      <c r="A734" s="1237"/>
      <c r="B734" s="1247" t="s">
        <v>5582</v>
      </c>
      <c r="C734" s="1234">
        <v>1</v>
      </c>
      <c r="D734" s="1234">
        <v>9</v>
      </c>
      <c r="E734" s="1234"/>
      <c r="F734" s="1248">
        <v>2.4</v>
      </c>
      <c r="G734" s="1248">
        <v>1</v>
      </c>
      <c r="H734" s="1248"/>
      <c r="I734" s="1248">
        <f>PRODUCT(C734:H734)</f>
        <v>21.6</v>
      </c>
      <c r="J734" s="1236"/>
    </row>
    <row r="735" spans="1:11" ht="24.95" customHeight="1">
      <c r="A735" s="1237"/>
      <c r="B735" s="1247"/>
      <c r="C735" s="1234"/>
      <c r="D735" s="1234"/>
      <c r="E735" s="1234"/>
      <c r="F735" s="1248"/>
      <c r="G735" s="1248"/>
      <c r="H735" s="1248"/>
      <c r="I735" s="1248">
        <f>SUM(I732:I734)</f>
        <v>40.479999999999997</v>
      </c>
      <c r="J735" s="1236"/>
    </row>
    <row r="736" spans="1:11" ht="24.95" customHeight="1">
      <c r="A736" s="1237"/>
      <c r="B736" s="1247"/>
      <c r="C736" s="1234"/>
      <c r="D736" s="1234"/>
      <c r="E736" s="1234"/>
      <c r="F736" s="1248"/>
      <c r="G736" s="1248"/>
      <c r="H736" s="1249" t="s">
        <v>4322</v>
      </c>
      <c r="I736" s="1249">
        <f>ROUNDUP(I735,1-0)</f>
        <v>40.5</v>
      </c>
      <c r="J736" s="1236" t="s">
        <v>2308</v>
      </c>
    </row>
    <row r="737" spans="1:10" ht="24.95" customHeight="1">
      <c r="A737" s="1237"/>
      <c r="B737" s="1247"/>
      <c r="C737" s="1234"/>
      <c r="D737" s="1234"/>
      <c r="E737" s="1234"/>
      <c r="F737" s="1235"/>
      <c r="G737" s="1235"/>
      <c r="H737" s="1235"/>
      <c r="I737" s="1235"/>
      <c r="J737" s="1236"/>
    </row>
    <row r="738" spans="1:10" ht="30" customHeight="1">
      <c r="A738" s="1237">
        <v>35</v>
      </c>
      <c r="B738" s="1233" t="s">
        <v>5635</v>
      </c>
      <c r="C738" s="1234"/>
      <c r="D738" s="1234"/>
      <c r="E738" s="1234"/>
      <c r="F738" s="1235"/>
      <c r="G738" s="1235"/>
      <c r="H738" s="1235"/>
      <c r="I738" s="1235"/>
      <c r="J738" s="1236"/>
    </row>
    <row r="739" spans="1:10" ht="30" customHeight="1">
      <c r="A739" s="1237"/>
      <c r="B739" s="1233" t="s">
        <v>5920</v>
      </c>
      <c r="C739" s="1234"/>
      <c r="D739" s="1234"/>
      <c r="E739" s="1234"/>
      <c r="F739" s="1313"/>
      <c r="G739" s="1313"/>
      <c r="H739" s="1313"/>
      <c r="I739" s="1313"/>
      <c r="J739" s="1236"/>
    </row>
    <row r="740" spans="1:10" ht="30" customHeight="1">
      <c r="A740" s="1237"/>
      <c r="B740" s="1247" t="s">
        <v>5636</v>
      </c>
      <c r="C740" s="1234">
        <v>1</v>
      </c>
      <c r="D740" s="1234" t="s">
        <v>5404</v>
      </c>
      <c r="E740" s="1234">
        <v>1</v>
      </c>
      <c r="F740" s="1235">
        <v>4.5</v>
      </c>
      <c r="G740" s="1235">
        <v>3.3</v>
      </c>
      <c r="H740" s="1235"/>
      <c r="I740" s="1235">
        <f t="shared" ref="I740:I789" si="54">G740*F740*E740*C740</f>
        <v>14.85</v>
      </c>
      <c r="J740" s="1236"/>
    </row>
    <row r="741" spans="1:10" ht="30" customHeight="1">
      <c r="A741" s="1237"/>
      <c r="B741" s="1247" t="s">
        <v>5637</v>
      </c>
      <c r="C741" s="1234">
        <v>1</v>
      </c>
      <c r="D741" s="1234" t="s">
        <v>5404</v>
      </c>
      <c r="E741" s="1234">
        <v>1</v>
      </c>
      <c r="F741" s="1235">
        <v>3.3</v>
      </c>
      <c r="G741" s="1235">
        <v>3.3</v>
      </c>
      <c r="H741" s="1235"/>
      <c r="I741" s="1235">
        <f t="shared" si="54"/>
        <v>10.89</v>
      </c>
      <c r="J741" s="1236"/>
    </row>
    <row r="742" spans="1:10" ht="30" customHeight="1">
      <c r="A742" s="1237"/>
      <c r="B742" s="1247" t="s">
        <v>5608</v>
      </c>
      <c r="C742" s="1234">
        <v>1</v>
      </c>
      <c r="D742" s="1234" t="s">
        <v>5404</v>
      </c>
      <c r="E742" s="1234">
        <v>1</v>
      </c>
      <c r="F742" s="1235">
        <v>3.6</v>
      </c>
      <c r="G742" s="1235">
        <v>5</v>
      </c>
      <c r="H742" s="1235"/>
      <c r="I742" s="1235">
        <f t="shared" si="54"/>
        <v>18</v>
      </c>
      <c r="J742" s="1236"/>
    </row>
    <row r="743" spans="1:10" ht="30" customHeight="1">
      <c r="A743" s="1237"/>
      <c r="B743" s="1247" t="s">
        <v>5638</v>
      </c>
      <c r="C743" s="1234">
        <v>1</v>
      </c>
      <c r="D743" s="1234" t="s">
        <v>5404</v>
      </c>
      <c r="E743" s="1234">
        <v>1</v>
      </c>
      <c r="F743" s="1235">
        <v>3.6</v>
      </c>
      <c r="G743" s="1235">
        <v>2</v>
      </c>
      <c r="H743" s="1235"/>
      <c r="I743" s="1235">
        <f t="shared" si="54"/>
        <v>7.2</v>
      </c>
      <c r="J743" s="1236"/>
    </row>
    <row r="744" spans="1:10" ht="30" customHeight="1">
      <c r="A744" s="1237"/>
      <c r="B744" s="1247" t="s">
        <v>5639</v>
      </c>
      <c r="C744" s="1234">
        <v>1</v>
      </c>
      <c r="D744" s="1234" t="s">
        <v>5404</v>
      </c>
      <c r="E744" s="1234">
        <v>1</v>
      </c>
      <c r="F744" s="1235">
        <v>6</v>
      </c>
      <c r="G744" s="1235">
        <v>6</v>
      </c>
      <c r="H744" s="1235"/>
      <c r="I744" s="1235">
        <f t="shared" si="54"/>
        <v>36</v>
      </c>
      <c r="J744" s="1236"/>
    </row>
    <row r="745" spans="1:10" ht="30" customHeight="1">
      <c r="A745" s="1237"/>
      <c r="B745" s="1247" t="s">
        <v>5921</v>
      </c>
      <c r="C745" s="1234">
        <v>1</v>
      </c>
      <c r="D745" s="1234" t="s">
        <v>5404</v>
      </c>
      <c r="E745" s="1234">
        <v>1</v>
      </c>
      <c r="F745" s="1235">
        <v>3.6</v>
      </c>
      <c r="G745" s="1235">
        <v>2.75</v>
      </c>
      <c r="H745" s="1235"/>
      <c r="I745" s="1235">
        <f t="shared" si="54"/>
        <v>9.9</v>
      </c>
      <c r="J745" s="1236"/>
    </row>
    <row r="746" spans="1:10" ht="30" customHeight="1">
      <c r="A746" s="1237"/>
      <c r="B746" s="1247" t="s">
        <v>5611</v>
      </c>
      <c r="C746" s="1234">
        <v>1</v>
      </c>
      <c r="D746" s="1234" t="s">
        <v>5404</v>
      </c>
      <c r="E746" s="1234">
        <v>1</v>
      </c>
      <c r="F746" s="1235">
        <v>1.8</v>
      </c>
      <c r="G746" s="1235">
        <v>14.04</v>
      </c>
      <c r="H746" s="1235"/>
      <c r="I746" s="1235">
        <f t="shared" si="54"/>
        <v>25.27</v>
      </c>
      <c r="J746" s="1236"/>
    </row>
    <row r="747" spans="1:10" ht="30" customHeight="1">
      <c r="A747" s="1237"/>
      <c r="B747" s="1247"/>
      <c r="C747" s="1234">
        <v>1</v>
      </c>
      <c r="D747" s="1234" t="s">
        <v>5404</v>
      </c>
      <c r="E747" s="1234">
        <v>1</v>
      </c>
      <c r="F747" s="1313">
        <v>5.03</v>
      </c>
      <c r="G747" s="1313">
        <v>2</v>
      </c>
      <c r="H747" s="1313"/>
      <c r="I747" s="1313">
        <f t="shared" si="54"/>
        <v>10.06</v>
      </c>
      <c r="J747" s="1236"/>
    </row>
    <row r="748" spans="1:10" ht="30" customHeight="1">
      <c r="A748" s="1237"/>
      <c r="B748" s="1247" t="s">
        <v>5640</v>
      </c>
      <c r="C748" s="1234">
        <v>1</v>
      </c>
      <c r="D748" s="1234" t="s">
        <v>5404</v>
      </c>
      <c r="E748" s="1234">
        <v>1</v>
      </c>
      <c r="F748" s="1235">
        <v>1.2</v>
      </c>
      <c r="G748" s="1235">
        <v>2.1</v>
      </c>
      <c r="H748" s="1235"/>
      <c r="I748" s="1235">
        <f t="shared" si="54"/>
        <v>2.52</v>
      </c>
      <c r="J748" s="1236"/>
    </row>
    <row r="749" spans="1:10" ht="30" customHeight="1">
      <c r="A749" s="1237"/>
      <c r="B749" s="1247" t="s">
        <v>5641</v>
      </c>
      <c r="C749" s="1234">
        <v>1</v>
      </c>
      <c r="D749" s="1234" t="s">
        <v>5404</v>
      </c>
      <c r="E749" s="1234">
        <v>1</v>
      </c>
      <c r="F749" s="1235">
        <v>6</v>
      </c>
      <c r="G749" s="1235">
        <v>8.0299999999999994</v>
      </c>
      <c r="H749" s="1235"/>
      <c r="I749" s="1235">
        <f t="shared" si="54"/>
        <v>48.18</v>
      </c>
      <c r="J749" s="1236"/>
    </row>
    <row r="750" spans="1:10" ht="30" customHeight="1">
      <c r="A750" s="1237"/>
      <c r="B750" s="1247" t="s">
        <v>5642</v>
      </c>
      <c r="C750" s="1234">
        <v>1</v>
      </c>
      <c r="D750" s="1234" t="s">
        <v>5404</v>
      </c>
      <c r="E750" s="1234">
        <v>1</v>
      </c>
      <c r="F750" s="1290">
        <v>3.7149999999999999</v>
      </c>
      <c r="G750" s="1235">
        <v>5.94</v>
      </c>
      <c r="H750" s="1235"/>
      <c r="I750" s="1235">
        <f t="shared" si="54"/>
        <v>22.07</v>
      </c>
      <c r="J750" s="1236"/>
    </row>
    <row r="751" spans="1:10" ht="30" customHeight="1">
      <c r="A751" s="1237"/>
      <c r="B751" s="1247" t="s">
        <v>5578</v>
      </c>
      <c r="C751" s="1234">
        <v>1</v>
      </c>
      <c r="D751" s="1234" t="s">
        <v>5404</v>
      </c>
      <c r="E751" s="1234">
        <v>1</v>
      </c>
      <c r="F751" s="1235">
        <v>1.65</v>
      </c>
      <c r="G751" s="1235">
        <v>2.66</v>
      </c>
      <c r="H751" s="1235"/>
      <c r="I751" s="1235">
        <f t="shared" si="54"/>
        <v>4.3899999999999997</v>
      </c>
      <c r="J751" s="1236"/>
    </row>
    <row r="752" spans="1:10" ht="24.95" customHeight="1">
      <c r="A752" s="1237"/>
      <c r="B752" s="1247" t="s">
        <v>5643</v>
      </c>
      <c r="C752" s="1234">
        <v>1</v>
      </c>
      <c r="D752" s="1234" t="s">
        <v>5404</v>
      </c>
      <c r="E752" s="1234">
        <v>1</v>
      </c>
      <c r="F752" s="1235">
        <v>3.75</v>
      </c>
      <c r="G752" s="1235">
        <v>1.5</v>
      </c>
      <c r="H752" s="1235"/>
      <c r="I752" s="1235">
        <f t="shared" si="54"/>
        <v>5.63</v>
      </c>
      <c r="J752" s="1236"/>
    </row>
    <row r="753" spans="1:10" ht="24.95" customHeight="1">
      <c r="A753" s="1237"/>
      <c r="B753" s="1247" t="s">
        <v>5583</v>
      </c>
      <c r="C753" s="1234">
        <v>1</v>
      </c>
      <c r="D753" s="1234" t="s">
        <v>5404</v>
      </c>
      <c r="E753" s="1234">
        <v>1</v>
      </c>
      <c r="F753" s="1235">
        <v>3.65</v>
      </c>
      <c r="G753" s="1235">
        <v>1.5</v>
      </c>
      <c r="H753" s="1235"/>
      <c r="I753" s="1235">
        <f t="shared" si="54"/>
        <v>5.48</v>
      </c>
      <c r="J753" s="1246"/>
    </row>
    <row r="754" spans="1:10" ht="24.95" customHeight="1">
      <c r="A754" s="1237"/>
      <c r="B754" s="1247" t="s">
        <v>5644</v>
      </c>
      <c r="C754" s="1234">
        <v>1</v>
      </c>
      <c r="D754" s="1234" t="s">
        <v>5404</v>
      </c>
      <c r="E754" s="1234">
        <v>1</v>
      </c>
      <c r="F754" s="1235">
        <v>3.45</v>
      </c>
      <c r="G754" s="1235">
        <v>1.5</v>
      </c>
      <c r="H754" s="1235"/>
      <c r="I754" s="1235">
        <f t="shared" si="54"/>
        <v>5.18</v>
      </c>
      <c r="J754" s="1236"/>
    </row>
    <row r="755" spans="1:10" ht="24.95" customHeight="1">
      <c r="A755" s="1237"/>
      <c r="B755" s="1247" t="s">
        <v>5645</v>
      </c>
      <c r="C755" s="1234">
        <v>1</v>
      </c>
      <c r="D755" s="1234" t="s">
        <v>5404</v>
      </c>
      <c r="E755" s="1234">
        <v>1</v>
      </c>
      <c r="F755" s="1235">
        <v>3.65</v>
      </c>
      <c r="G755" s="1235">
        <v>2</v>
      </c>
      <c r="H755" s="1235"/>
      <c r="I755" s="1235">
        <f t="shared" si="54"/>
        <v>7.3</v>
      </c>
      <c r="J755" s="1236"/>
    </row>
    <row r="756" spans="1:10" ht="24.95" customHeight="1">
      <c r="A756" s="1237"/>
      <c r="B756" s="1247" t="s">
        <v>5646</v>
      </c>
      <c r="C756" s="1234">
        <v>1</v>
      </c>
      <c r="D756" s="1234" t="s">
        <v>5404</v>
      </c>
      <c r="E756" s="1234">
        <v>2</v>
      </c>
      <c r="F756" s="1235">
        <v>4.5</v>
      </c>
      <c r="G756" s="1235">
        <v>0.45</v>
      </c>
      <c r="H756" s="1235"/>
      <c r="I756" s="1235">
        <f t="shared" si="54"/>
        <v>4.05</v>
      </c>
      <c r="J756" s="1236"/>
    </row>
    <row r="757" spans="1:10" ht="24.95" customHeight="1">
      <c r="A757" s="1237"/>
      <c r="B757" s="1247" t="s">
        <v>5647</v>
      </c>
      <c r="C757" s="1234">
        <v>1</v>
      </c>
      <c r="D757" s="1234" t="s">
        <v>5404</v>
      </c>
      <c r="E757" s="1234">
        <v>2</v>
      </c>
      <c r="F757" s="1235">
        <v>6</v>
      </c>
      <c r="G757" s="1235">
        <v>0.6</v>
      </c>
      <c r="H757" s="1235"/>
      <c r="I757" s="1235">
        <f t="shared" si="54"/>
        <v>7.2</v>
      </c>
      <c r="J757" s="1236"/>
    </row>
    <row r="758" spans="1:10" ht="24.95" customHeight="1">
      <c r="A758" s="1237"/>
      <c r="B758" s="1247" t="s">
        <v>5648</v>
      </c>
      <c r="C758" s="1234">
        <v>1</v>
      </c>
      <c r="D758" s="1234" t="s">
        <v>5404</v>
      </c>
      <c r="E758" s="1234">
        <v>2</v>
      </c>
      <c r="F758" s="1235">
        <v>25.78</v>
      </c>
      <c r="G758" s="1235">
        <v>0.6</v>
      </c>
      <c r="H758" s="1235"/>
      <c r="I758" s="1235">
        <f t="shared" si="54"/>
        <v>30.94</v>
      </c>
      <c r="J758" s="1236"/>
    </row>
    <row r="759" spans="1:10" ht="24.95" customHeight="1">
      <c r="A759" s="1237"/>
      <c r="B759" s="1247" t="s">
        <v>5649</v>
      </c>
      <c r="C759" s="1234">
        <v>2</v>
      </c>
      <c r="D759" s="1234" t="s">
        <v>5404</v>
      </c>
      <c r="E759" s="1234">
        <v>2</v>
      </c>
      <c r="F759" s="1235">
        <v>16.2</v>
      </c>
      <c r="G759" s="1235">
        <v>0.6</v>
      </c>
      <c r="H759" s="1235"/>
      <c r="I759" s="1235">
        <f t="shared" si="54"/>
        <v>38.880000000000003</v>
      </c>
      <c r="J759" s="1236"/>
    </row>
    <row r="760" spans="1:10" ht="24.95" customHeight="1">
      <c r="A760" s="1237"/>
      <c r="B760" s="1233" t="s">
        <v>5566</v>
      </c>
      <c r="C760" s="1234"/>
      <c r="D760" s="1234"/>
      <c r="E760" s="1234"/>
      <c r="F760" s="1313"/>
      <c r="G760" s="1313"/>
      <c r="H760" s="1313"/>
      <c r="I760" s="1313"/>
      <c r="J760" s="1236"/>
    </row>
    <row r="761" spans="1:10" ht="24.95" customHeight="1">
      <c r="A761" s="1237"/>
      <c r="B761" s="1247" t="s">
        <v>5553</v>
      </c>
      <c r="C761" s="1234">
        <v>1</v>
      </c>
      <c r="D761" s="1234" t="s">
        <v>5404</v>
      </c>
      <c r="E761" s="1234">
        <v>1</v>
      </c>
      <c r="F761" s="1235">
        <v>3.6</v>
      </c>
      <c r="G761" s="1235">
        <v>6.17</v>
      </c>
      <c r="H761" s="1235"/>
      <c r="I761" s="1235">
        <f t="shared" si="54"/>
        <v>22.21</v>
      </c>
      <c r="J761" s="1236"/>
    </row>
    <row r="762" spans="1:10" ht="24.95" customHeight="1">
      <c r="A762" s="1237"/>
      <c r="B762" s="1247" t="s">
        <v>5650</v>
      </c>
      <c r="C762" s="1234">
        <v>1</v>
      </c>
      <c r="D762" s="1234" t="s">
        <v>5404</v>
      </c>
      <c r="E762" s="1234">
        <v>1</v>
      </c>
      <c r="F762" s="1235">
        <v>3.35</v>
      </c>
      <c r="G762" s="1235">
        <v>1.2</v>
      </c>
      <c r="H762" s="1235"/>
      <c r="I762" s="1235">
        <f t="shared" si="54"/>
        <v>4.0199999999999996</v>
      </c>
      <c r="J762" s="1236"/>
    </row>
    <row r="763" spans="1:10" ht="24.95" customHeight="1">
      <c r="A763" s="1237"/>
      <c r="B763" s="1247" t="s">
        <v>5651</v>
      </c>
      <c r="C763" s="1234">
        <v>1</v>
      </c>
      <c r="D763" s="1234" t="s">
        <v>5404</v>
      </c>
      <c r="E763" s="1234">
        <v>1</v>
      </c>
      <c r="F763" s="1235">
        <v>3.6</v>
      </c>
      <c r="G763" s="1235">
        <v>2.75</v>
      </c>
      <c r="H763" s="1235"/>
      <c r="I763" s="1235">
        <f t="shared" si="54"/>
        <v>9.9</v>
      </c>
      <c r="J763" s="1236"/>
    </row>
    <row r="764" spans="1:10" ht="24.95" customHeight="1">
      <c r="A764" s="1237"/>
      <c r="B764" s="1247" t="s">
        <v>5616</v>
      </c>
      <c r="C764" s="1234">
        <v>1</v>
      </c>
      <c r="D764" s="1234" t="s">
        <v>5404</v>
      </c>
      <c r="E764" s="1234">
        <v>1</v>
      </c>
      <c r="F764" s="1235">
        <v>8.0299999999999994</v>
      </c>
      <c r="G764" s="1235">
        <v>3.3</v>
      </c>
      <c r="H764" s="1235"/>
      <c r="I764" s="1235">
        <f t="shared" si="54"/>
        <v>26.5</v>
      </c>
      <c r="J764" s="1236"/>
    </row>
    <row r="765" spans="1:10" ht="24.95" customHeight="1">
      <c r="A765" s="1237"/>
      <c r="B765" s="1247"/>
      <c r="C765" s="1234">
        <v>1</v>
      </c>
      <c r="D765" s="1234" t="s">
        <v>5404</v>
      </c>
      <c r="E765" s="1234">
        <v>1</v>
      </c>
      <c r="F765" s="1235">
        <v>1.8</v>
      </c>
      <c r="G765" s="1235">
        <v>1.1499999999999999</v>
      </c>
      <c r="H765" s="1235"/>
      <c r="I765" s="1235">
        <f t="shared" si="54"/>
        <v>2.0699999999999998</v>
      </c>
      <c r="J765" s="1236"/>
    </row>
    <row r="766" spans="1:10" ht="24.95" customHeight="1">
      <c r="A766" s="1237"/>
      <c r="B766" s="1247" t="s">
        <v>5922</v>
      </c>
      <c r="C766" s="1234">
        <v>1</v>
      </c>
      <c r="D766" s="1234" t="s">
        <v>5404</v>
      </c>
      <c r="E766" s="1234">
        <v>1</v>
      </c>
      <c r="F766" s="1235">
        <v>12.77</v>
      </c>
      <c r="G766" s="1235">
        <v>1.8</v>
      </c>
      <c r="H766" s="1235"/>
      <c r="I766" s="1235">
        <f t="shared" si="54"/>
        <v>22.99</v>
      </c>
      <c r="J766" s="1236"/>
    </row>
    <row r="767" spans="1:10" ht="24.95" customHeight="1">
      <c r="A767" s="1237"/>
      <c r="B767" s="1247" t="s">
        <v>5552</v>
      </c>
      <c r="C767" s="1234">
        <v>1</v>
      </c>
      <c r="D767" s="1234" t="s">
        <v>5404</v>
      </c>
      <c r="E767" s="1234">
        <v>1</v>
      </c>
      <c r="F767" s="1235">
        <v>6</v>
      </c>
      <c r="G767" s="1235">
        <v>6</v>
      </c>
      <c r="H767" s="1235"/>
      <c r="I767" s="1235">
        <f t="shared" si="54"/>
        <v>36</v>
      </c>
      <c r="J767" s="1236"/>
    </row>
    <row r="768" spans="1:10" ht="24.95" customHeight="1">
      <c r="A768" s="1237"/>
      <c r="B768" s="1247" t="s">
        <v>5554</v>
      </c>
      <c r="C768" s="1234">
        <v>1</v>
      </c>
      <c r="D768" s="1234" t="s">
        <v>5404</v>
      </c>
      <c r="E768" s="1234">
        <v>1</v>
      </c>
      <c r="F768" s="1235">
        <v>6</v>
      </c>
      <c r="G768" s="1235">
        <v>10.36</v>
      </c>
      <c r="H768" s="1235"/>
      <c r="I768" s="1235">
        <f t="shared" si="54"/>
        <v>62.16</v>
      </c>
      <c r="J768" s="1236"/>
    </row>
    <row r="769" spans="1:10" ht="24.95" customHeight="1">
      <c r="A769" s="1237"/>
      <c r="B769" s="1247" t="s">
        <v>5642</v>
      </c>
      <c r="C769" s="1234">
        <v>1</v>
      </c>
      <c r="D769" s="1234" t="s">
        <v>5404</v>
      </c>
      <c r="E769" s="1234">
        <v>1</v>
      </c>
      <c r="F769" s="1290">
        <v>3.7149999999999999</v>
      </c>
      <c r="G769" s="1313">
        <v>5.94</v>
      </c>
      <c r="H769" s="1313"/>
      <c r="I769" s="1313">
        <f t="shared" ref="I769:I770" si="55">G769*F769*E769*C769</f>
        <v>22.07</v>
      </c>
      <c r="J769" s="1236"/>
    </row>
    <row r="770" spans="1:10" ht="24.95" customHeight="1">
      <c r="A770" s="1237"/>
      <c r="B770" s="1247"/>
      <c r="C770" s="1234">
        <v>1</v>
      </c>
      <c r="D770" s="1234" t="s">
        <v>5404</v>
      </c>
      <c r="E770" s="1234">
        <v>1</v>
      </c>
      <c r="F770" s="1313">
        <v>1.65</v>
      </c>
      <c r="G770" s="1313">
        <v>2.66</v>
      </c>
      <c r="H770" s="1313"/>
      <c r="I770" s="1313">
        <f t="shared" si="55"/>
        <v>4.3899999999999997</v>
      </c>
      <c r="J770" s="1236"/>
    </row>
    <row r="771" spans="1:10" ht="24.95" customHeight="1">
      <c r="A771" s="1237"/>
      <c r="B771" s="1247" t="s">
        <v>5652</v>
      </c>
      <c r="C771" s="1234">
        <v>1</v>
      </c>
      <c r="D771" s="1234" t="s">
        <v>5404</v>
      </c>
      <c r="E771" s="1234">
        <v>2</v>
      </c>
      <c r="F771" s="1235">
        <v>3.35</v>
      </c>
      <c r="G771" s="1235">
        <v>0.6</v>
      </c>
      <c r="H771" s="1235"/>
      <c r="I771" s="1235">
        <f t="shared" si="54"/>
        <v>4.0199999999999996</v>
      </c>
      <c r="J771" s="1236"/>
    </row>
    <row r="772" spans="1:10" ht="24.95" customHeight="1">
      <c r="A772" s="1237"/>
      <c r="B772" s="1247" t="s">
        <v>5653</v>
      </c>
      <c r="C772" s="1234">
        <v>1</v>
      </c>
      <c r="D772" s="1234" t="s">
        <v>5404</v>
      </c>
      <c r="E772" s="1234">
        <v>2</v>
      </c>
      <c r="F772" s="1235">
        <v>6</v>
      </c>
      <c r="G772" s="1235">
        <v>0.6</v>
      </c>
      <c r="H772" s="1235"/>
      <c r="I772" s="1235">
        <f t="shared" si="54"/>
        <v>7.2</v>
      </c>
      <c r="J772" s="1236"/>
    </row>
    <row r="773" spans="1:10" ht="24.95" customHeight="1">
      <c r="A773" s="1237"/>
      <c r="B773" s="1247" t="s">
        <v>5654</v>
      </c>
      <c r="C773" s="1234">
        <v>1</v>
      </c>
      <c r="D773" s="1234" t="s">
        <v>5404</v>
      </c>
      <c r="E773" s="1234">
        <v>2</v>
      </c>
      <c r="F773" s="1235">
        <v>6</v>
      </c>
      <c r="G773" s="1235">
        <v>0.6</v>
      </c>
      <c r="H773" s="1235"/>
      <c r="I773" s="1235">
        <f t="shared" si="54"/>
        <v>7.2</v>
      </c>
      <c r="J773" s="1236"/>
    </row>
    <row r="774" spans="1:10" ht="24.95" customHeight="1">
      <c r="A774" s="1237"/>
      <c r="B774" s="1247"/>
      <c r="C774" s="1234">
        <v>1</v>
      </c>
      <c r="D774" s="1234" t="s">
        <v>5404</v>
      </c>
      <c r="E774" s="1234">
        <v>2</v>
      </c>
      <c r="F774" s="1235">
        <f>10.36-0.6</f>
        <v>9.76</v>
      </c>
      <c r="G774" s="1235">
        <v>0.6</v>
      </c>
      <c r="H774" s="1235"/>
      <c r="I774" s="1235">
        <f t="shared" si="54"/>
        <v>11.71</v>
      </c>
      <c r="J774" s="1236"/>
    </row>
    <row r="775" spans="1:10" ht="24.95" customHeight="1">
      <c r="A775" s="1237"/>
      <c r="B775" s="1247" t="s">
        <v>5655</v>
      </c>
      <c r="C775" s="1234">
        <v>1</v>
      </c>
      <c r="D775" s="1234" t="s">
        <v>5404</v>
      </c>
      <c r="E775" s="1234">
        <v>1</v>
      </c>
      <c r="F775" s="1235">
        <v>3.75</v>
      </c>
      <c r="G775" s="1235">
        <v>1.5</v>
      </c>
      <c r="H775" s="1235"/>
      <c r="I775" s="1235">
        <f t="shared" si="54"/>
        <v>5.63</v>
      </c>
      <c r="J775" s="1236"/>
    </row>
    <row r="776" spans="1:10" ht="24.95" customHeight="1">
      <c r="A776" s="1237"/>
      <c r="B776" s="1247" t="s">
        <v>5583</v>
      </c>
      <c r="C776" s="1234">
        <v>1</v>
      </c>
      <c r="D776" s="1234" t="s">
        <v>5404</v>
      </c>
      <c r="E776" s="1234">
        <v>1</v>
      </c>
      <c r="F776" s="1235">
        <v>3.65</v>
      </c>
      <c r="G776" s="1235">
        <v>1.5</v>
      </c>
      <c r="H776" s="1235"/>
      <c r="I776" s="1235">
        <f t="shared" si="54"/>
        <v>5.48</v>
      </c>
      <c r="J776" s="1236"/>
    </row>
    <row r="777" spans="1:10" ht="24.95" customHeight="1">
      <c r="A777" s="1237"/>
      <c r="B777" s="1247" t="s">
        <v>5656</v>
      </c>
      <c r="C777" s="1234">
        <v>1</v>
      </c>
      <c r="D777" s="1234" t="s">
        <v>5404</v>
      </c>
      <c r="E777" s="1234">
        <v>1</v>
      </c>
      <c r="F777" s="1235">
        <v>3.45</v>
      </c>
      <c r="G777" s="1235">
        <v>1.5</v>
      </c>
      <c r="H777" s="1235"/>
      <c r="I777" s="1235">
        <f t="shared" si="54"/>
        <v>5.18</v>
      </c>
      <c r="J777" s="1236"/>
    </row>
    <row r="778" spans="1:10" ht="24.95" customHeight="1">
      <c r="A778" s="1237"/>
      <c r="B778" s="1247" t="s">
        <v>5645</v>
      </c>
      <c r="C778" s="1234">
        <v>1</v>
      </c>
      <c r="D778" s="1234" t="s">
        <v>5404</v>
      </c>
      <c r="E778" s="1234">
        <v>1</v>
      </c>
      <c r="F778" s="1235">
        <v>3.65</v>
      </c>
      <c r="G778" s="1235">
        <v>2</v>
      </c>
      <c r="H778" s="1235"/>
      <c r="I778" s="1235">
        <f t="shared" si="54"/>
        <v>7.3</v>
      </c>
      <c r="J778" s="1236"/>
    </row>
    <row r="779" spans="1:10" ht="24.95" customHeight="1">
      <c r="A779" s="1237"/>
      <c r="B779" s="1247" t="s">
        <v>5657</v>
      </c>
      <c r="C779" s="1234">
        <v>1</v>
      </c>
      <c r="D779" s="1234" t="s">
        <v>5404</v>
      </c>
      <c r="E779" s="1234">
        <v>1</v>
      </c>
      <c r="F779" s="1235">
        <v>0.9</v>
      </c>
      <c r="G779" s="1235">
        <v>1.8</v>
      </c>
      <c r="H779" s="1235"/>
      <c r="I779" s="1235">
        <f t="shared" si="54"/>
        <v>1.62</v>
      </c>
      <c r="J779" s="1236"/>
    </row>
    <row r="780" spans="1:10" ht="24.95" customHeight="1">
      <c r="A780" s="1237"/>
      <c r="B780" s="1247" t="s">
        <v>5658</v>
      </c>
      <c r="C780" s="1234">
        <v>1</v>
      </c>
      <c r="D780" s="1234" t="s">
        <v>5404</v>
      </c>
      <c r="E780" s="1234">
        <v>1</v>
      </c>
      <c r="F780" s="1235">
        <v>11.2</v>
      </c>
      <c r="G780" s="1235">
        <v>19.399999999999999</v>
      </c>
      <c r="H780" s="1235"/>
      <c r="I780" s="1235">
        <f t="shared" si="54"/>
        <v>217.28</v>
      </c>
      <c r="J780" s="1236"/>
    </row>
    <row r="781" spans="1:10" ht="24.95" customHeight="1">
      <c r="A781" s="1237"/>
      <c r="B781" s="1247" t="s">
        <v>5659</v>
      </c>
      <c r="C781" s="1234">
        <v>1</v>
      </c>
      <c r="D781" s="1234" t="s">
        <v>5404</v>
      </c>
      <c r="E781" s="1234">
        <v>1</v>
      </c>
      <c r="F781" s="1235">
        <v>7.55</v>
      </c>
      <c r="G781" s="1235">
        <v>3.65</v>
      </c>
      <c r="H781" s="1235"/>
      <c r="I781" s="1235">
        <f t="shared" si="54"/>
        <v>27.56</v>
      </c>
      <c r="J781" s="1236"/>
    </row>
    <row r="782" spans="1:10" ht="24.95" customHeight="1">
      <c r="A782" s="1237"/>
      <c r="B782" s="1247" t="s">
        <v>5660</v>
      </c>
      <c r="C782" s="1234">
        <v>2</v>
      </c>
      <c r="D782" s="1234" t="s">
        <v>5404</v>
      </c>
      <c r="E782" s="1234">
        <v>2</v>
      </c>
      <c r="F782" s="1235">
        <v>2.2599999999999998</v>
      </c>
      <c r="G782" s="1235">
        <v>0.6</v>
      </c>
      <c r="H782" s="1235"/>
      <c r="I782" s="1235">
        <f t="shared" si="54"/>
        <v>5.42</v>
      </c>
      <c r="J782" s="1236"/>
    </row>
    <row r="783" spans="1:10" ht="24.95" customHeight="1">
      <c r="A783" s="1237"/>
      <c r="B783" s="1247" t="s">
        <v>5469</v>
      </c>
      <c r="C783" s="1234">
        <v>2</v>
      </c>
      <c r="D783" s="1234" t="s">
        <v>5404</v>
      </c>
      <c r="E783" s="1234">
        <v>13</v>
      </c>
      <c r="F783" s="1235">
        <v>1.96</v>
      </c>
      <c r="G783" s="1235">
        <v>0.6</v>
      </c>
      <c r="H783" s="1235"/>
      <c r="I783" s="1235">
        <f t="shared" si="54"/>
        <v>30.58</v>
      </c>
      <c r="J783" s="1236"/>
    </row>
    <row r="784" spans="1:10" ht="24.95" customHeight="1">
      <c r="A784" s="1237"/>
      <c r="B784" s="1247" t="s">
        <v>5461</v>
      </c>
      <c r="C784" s="1234">
        <v>2</v>
      </c>
      <c r="D784" s="1234" t="s">
        <v>5404</v>
      </c>
      <c r="E784" s="1234">
        <v>1</v>
      </c>
      <c r="F784" s="1235">
        <v>1.81</v>
      </c>
      <c r="G784" s="1235">
        <v>0.6</v>
      </c>
      <c r="H784" s="1235"/>
      <c r="I784" s="1235">
        <f t="shared" si="54"/>
        <v>2.17</v>
      </c>
      <c r="J784" s="1236"/>
    </row>
    <row r="785" spans="1:11" ht="24.95" customHeight="1">
      <c r="A785" s="1237"/>
      <c r="B785" s="1247" t="s">
        <v>5462</v>
      </c>
      <c r="C785" s="1234">
        <v>2</v>
      </c>
      <c r="D785" s="1234" t="s">
        <v>5404</v>
      </c>
      <c r="E785" s="1234">
        <v>10</v>
      </c>
      <c r="F785" s="1235">
        <v>1.36</v>
      </c>
      <c r="G785" s="1235">
        <v>0.6</v>
      </c>
      <c r="H785" s="1235"/>
      <c r="I785" s="1235">
        <f t="shared" si="54"/>
        <v>16.32</v>
      </c>
      <c r="J785" s="1236"/>
    </row>
    <row r="786" spans="1:11" ht="24.95" customHeight="1">
      <c r="A786" s="1237"/>
      <c r="B786" s="1247" t="s">
        <v>5482</v>
      </c>
      <c r="C786" s="1234">
        <v>2</v>
      </c>
      <c r="D786" s="1234" t="s">
        <v>5404</v>
      </c>
      <c r="E786" s="1234">
        <v>4</v>
      </c>
      <c r="F786" s="1235">
        <v>1.66</v>
      </c>
      <c r="G786" s="1235">
        <v>0.6</v>
      </c>
      <c r="H786" s="1235"/>
      <c r="I786" s="1235">
        <f t="shared" si="54"/>
        <v>7.97</v>
      </c>
      <c r="J786" s="1236"/>
    </row>
    <row r="787" spans="1:11" ht="24.95" customHeight="1">
      <c r="A787" s="1237"/>
      <c r="B787" s="1247" t="s">
        <v>5464</v>
      </c>
      <c r="C787" s="1234">
        <v>2</v>
      </c>
      <c r="D787" s="1234" t="s">
        <v>5404</v>
      </c>
      <c r="E787" s="1234">
        <v>2</v>
      </c>
      <c r="F787" s="1235">
        <v>1.66</v>
      </c>
      <c r="G787" s="1235">
        <v>0.6</v>
      </c>
      <c r="H787" s="1235"/>
      <c r="I787" s="1235">
        <f t="shared" si="54"/>
        <v>3.98</v>
      </c>
      <c r="J787" s="1236"/>
    </row>
    <row r="788" spans="1:11" ht="24.95" customHeight="1">
      <c r="A788" s="1237"/>
      <c r="B788" s="1247" t="s">
        <v>5465</v>
      </c>
      <c r="C788" s="1234">
        <v>2</v>
      </c>
      <c r="D788" s="1234" t="s">
        <v>5404</v>
      </c>
      <c r="E788" s="1234">
        <v>2</v>
      </c>
      <c r="F788" s="1235">
        <v>1.96</v>
      </c>
      <c r="G788" s="1235">
        <v>0.6</v>
      </c>
      <c r="H788" s="1235"/>
      <c r="I788" s="1235">
        <f t="shared" si="54"/>
        <v>4.7</v>
      </c>
      <c r="J788" s="1236"/>
    </row>
    <row r="789" spans="1:11" ht="24.95" customHeight="1">
      <c r="A789" s="1237"/>
      <c r="B789" s="1247" t="s">
        <v>5466</v>
      </c>
      <c r="C789" s="1234">
        <v>2</v>
      </c>
      <c r="D789" s="1234" t="s">
        <v>5404</v>
      </c>
      <c r="E789" s="1234">
        <v>2</v>
      </c>
      <c r="F789" s="1235">
        <v>1.51</v>
      </c>
      <c r="G789" s="1235">
        <v>0.6</v>
      </c>
      <c r="H789" s="1235"/>
      <c r="I789" s="1235">
        <f t="shared" si="54"/>
        <v>3.62</v>
      </c>
      <c r="J789" s="1236"/>
    </row>
    <row r="790" spans="1:11" ht="24.95" customHeight="1">
      <c r="A790" s="1237"/>
      <c r="B790" s="1247" t="s">
        <v>6453</v>
      </c>
      <c r="C790" s="1234">
        <v>1</v>
      </c>
      <c r="D790" s="1234" t="s">
        <v>5404</v>
      </c>
      <c r="E790" s="1234">
        <v>1</v>
      </c>
      <c r="F790" s="1799">
        <v>5.26</v>
      </c>
      <c r="G790" s="1799">
        <v>1.66</v>
      </c>
      <c r="H790" s="1799"/>
      <c r="I790" s="1799">
        <f t="shared" ref="I790" si="56">G790*F790*E790*C790</f>
        <v>8.73</v>
      </c>
      <c r="J790" s="1236"/>
    </row>
    <row r="791" spans="1:11" ht="24.95" customHeight="1">
      <c r="A791" s="1237"/>
      <c r="B791" s="1247"/>
      <c r="C791" s="1234"/>
      <c r="D791" s="1234"/>
      <c r="E791" s="1234"/>
      <c r="F791" s="1235"/>
      <c r="G791" s="1235"/>
      <c r="H791" s="1235"/>
      <c r="I791" s="1235">
        <f>SUM(I740:I790)</f>
        <v>909.97</v>
      </c>
      <c r="J791" s="1236"/>
      <c r="K791" s="1230">
        <v>0.04</v>
      </c>
    </row>
    <row r="792" spans="1:11" ht="24.95" customHeight="1">
      <c r="A792" s="1237"/>
      <c r="B792" s="1247"/>
      <c r="C792" s="1234"/>
      <c r="D792" s="1234"/>
      <c r="E792" s="1234"/>
      <c r="F792" s="1235"/>
      <c r="G792" s="1235"/>
      <c r="H792" s="1249" t="s">
        <v>4322</v>
      </c>
      <c r="I792" s="1249">
        <f>ROUNDUP(I791,1-0)</f>
        <v>910</v>
      </c>
      <c r="J792" s="1246" t="s">
        <v>2308</v>
      </c>
    </row>
    <row r="793" spans="1:11" ht="24.95" customHeight="1">
      <c r="A793" s="1237"/>
      <c r="B793" s="1247"/>
      <c r="C793" s="1234"/>
      <c r="D793" s="1234"/>
      <c r="E793" s="1234"/>
      <c r="F793" s="1313"/>
      <c r="G793" s="1313"/>
      <c r="H793" s="1313"/>
      <c r="I793" s="1313"/>
      <c r="J793" s="1236"/>
    </row>
    <row r="794" spans="1:11" ht="29.45" customHeight="1">
      <c r="A794" s="1258">
        <v>36.1</v>
      </c>
      <c r="B794" s="1233" t="s">
        <v>5661</v>
      </c>
      <c r="C794" s="1234"/>
      <c r="D794" s="1234"/>
      <c r="E794" s="1234"/>
      <c r="F794" s="1235"/>
      <c r="G794" s="1235"/>
      <c r="H794" s="1235"/>
      <c r="I794" s="1235"/>
      <c r="J794" s="1246"/>
    </row>
    <row r="795" spans="1:11" ht="24.95" customHeight="1">
      <c r="A795" s="1237"/>
      <c r="B795" s="1233" t="s">
        <v>5662</v>
      </c>
      <c r="C795" s="1234"/>
      <c r="D795" s="1234"/>
      <c r="E795" s="1234"/>
      <c r="F795" s="1235"/>
      <c r="G795" s="1235"/>
      <c r="H795" s="1235"/>
      <c r="I795" s="1235"/>
      <c r="J795" s="1236"/>
    </row>
    <row r="796" spans="1:11" ht="24.95" customHeight="1">
      <c r="A796" s="1237"/>
      <c r="B796" s="1247" t="s">
        <v>5663</v>
      </c>
      <c r="C796" s="1234">
        <v>1</v>
      </c>
      <c r="D796" s="1234"/>
      <c r="E796" s="1234">
        <v>1</v>
      </c>
      <c r="F796" s="1248">
        <v>94.96</v>
      </c>
      <c r="G796" s="1248"/>
      <c r="H796" s="1248"/>
      <c r="I796" s="1248">
        <f>PRODUCT(C796:H796)</f>
        <v>94.96</v>
      </c>
      <c r="J796" s="1236"/>
    </row>
    <row r="797" spans="1:11" ht="24.95" customHeight="1">
      <c r="A797" s="1237"/>
      <c r="B797" s="1247" t="s">
        <v>5664</v>
      </c>
      <c r="C797" s="1234">
        <v>1</v>
      </c>
      <c r="D797" s="1234"/>
      <c r="E797" s="1234">
        <v>1</v>
      </c>
      <c r="F797" s="1248">
        <v>48.97</v>
      </c>
      <c r="G797" s="1248"/>
      <c r="H797" s="1248"/>
      <c r="I797" s="1248">
        <f>PRODUCT(C797:H797)</f>
        <v>48.97</v>
      </c>
      <c r="J797" s="1236"/>
    </row>
    <row r="798" spans="1:11" ht="24.95" customHeight="1">
      <c r="A798" s="1237"/>
      <c r="B798" s="1247"/>
      <c r="C798" s="1234"/>
      <c r="D798" s="1234"/>
      <c r="E798" s="1234"/>
      <c r="F798" s="1248"/>
      <c r="G798" s="1248"/>
      <c r="H798" s="1248"/>
      <c r="I798" s="1248">
        <f>SUM(I796:I797)</f>
        <v>143.93</v>
      </c>
      <c r="J798" s="1236"/>
    </row>
    <row r="799" spans="1:11" ht="24.95" customHeight="1">
      <c r="A799" s="1237"/>
      <c r="B799" s="1247"/>
      <c r="C799" s="1234"/>
      <c r="D799" s="1234"/>
      <c r="E799" s="1234"/>
      <c r="F799" s="1235"/>
      <c r="G799" s="1235"/>
      <c r="H799" s="1249" t="s">
        <v>4145</v>
      </c>
      <c r="I799" s="1249">
        <f>ROUNDUP(I798,1-0)</f>
        <v>144</v>
      </c>
      <c r="J799" s="1246" t="s">
        <v>835</v>
      </c>
    </row>
    <row r="800" spans="1:11" ht="24.95" customHeight="1">
      <c r="A800" s="1237"/>
      <c r="B800" s="1233" t="s">
        <v>5665</v>
      </c>
      <c r="C800" s="1234"/>
      <c r="D800" s="1234"/>
      <c r="E800" s="1234"/>
      <c r="F800" s="1235"/>
      <c r="G800" s="1235"/>
      <c r="H800" s="1235"/>
      <c r="I800" s="1235"/>
      <c r="J800" s="1236"/>
    </row>
    <row r="801" spans="1:10" ht="24.95" customHeight="1">
      <c r="A801" s="1237"/>
      <c r="B801" s="1247" t="s">
        <v>5663</v>
      </c>
      <c r="C801" s="1234">
        <v>1</v>
      </c>
      <c r="D801" s="1234"/>
      <c r="E801" s="1234">
        <v>1</v>
      </c>
      <c r="F801" s="1248">
        <f>F796</f>
        <v>94.96</v>
      </c>
      <c r="G801" s="1248"/>
      <c r="H801" s="1248"/>
      <c r="I801" s="1248">
        <f>PRODUCT(C801:H801)</f>
        <v>94.96</v>
      </c>
      <c r="J801" s="1236"/>
    </row>
    <row r="802" spans="1:10" ht="24.95" customHeight="1">
      <c r="A802" s="1237"/>
      <c r="B802" s="1247" t="s">
        <v>5666</v>
      </c>
      <c r="C802" s="1234">
        <v>1</v>
      </c>
      <c r="D802" s="1234"/>
      <c r="E802" s="1234">
        <v>1</v>
      </c>
      <c r="F802" s="1248">
        <f>F797</f>
        <v>48.97</v>
      </c>
      <c r="G802" s="1248"/>
      <c r="H802" s="1248"/>
      <c r="I802" s="1248">
        <f>I797</f>
        <v>48.97</v>
      </c>
      <c r="J802" s="1236"/>
    </row>
    <row r="803" spans="1:10" ht="24.95" customHeight="1">
      <c r="A803" s="1237"/>
      <c r="B803" s="1247"/>
      <c r="C803" s="1234"/>
      <c r="D803" s="1234"/>
      <c r="E803" s="1234"/>
      <c r="F803" s="1248"/>
      <c r="G803" s="1248"/>
      <c r="H803" s="1248"/>
      <c r="I803" s="1248">
        <f>SUM(I801:I802)</f>
        <v>143.93</v>
      </c>
      <c r="J803" s="1236"/>
    </row>
    <row r="804" spans="1:10" ht="24.95" customHeight="1">
      <c r="A804" s="1237"/>
      <c r="B804" s="1247"/>
      <c r="C804" s="1234"/>
      <c r="D804" s="1234"/>
      <c r="E804" s="1234"/>
      <c r="F804" s="1248"/>
      <c r="G804" s="1248"/>
      <c r="H804" s="1249" t="s">
        <v>4322</v>
      </c>
      <c r="I804" s="1249">
        <f>ROUNDUP(I803,1-0)</f>
        <v>144</v>
      </c>
      <c r="J804" s="1246" t="s">
        <v>835</v>
      </c>
    </row>
    <row r="805" spans="1:10" ht="24.95" customHeight="1">
      <c r="A805" s="1237"/>
      <c r="B805" s="1233" t="s">
        <v>5667</v>
      </c>
      <c r="C805" s="1234"/>
      <c r="D805" s="1234"/>
      <c r="E805" s="1234"/>
      <c r="F805" s="1235"/>
      <c r="G805" s="1235"/>
      <c r="H805" s="1235"/>
      <c r="I805" s="1235"/>
      <c r="J805" s="1236"/>
    </row>
    <row r="806" spans="1:10" ht="24.95" customHeight="1">
      <c r="A806" s="1237"/>
      <c r="B806" s="1247" t="s">
        <v>5668</v>
      </c>
      <c r="C806" s="1234">
        <v>1</v>
      </c>
      <c r="D806" s="1234"/>
      <c r="E806" s="1234">
        <v>1</v>
      </c>
      <c r="F806" s="1248">
        <f>F801</f>
        <v>94.96</v>
      </c>
      <c r="G806" s="1248"/>
      <c r="H806" s="1248"/>
      <c r="I806" s="1248">
        <f>PRODUCT(C806:H806)</f>
        <v>94.96</v>
      </c>
      <c r="J806" s="1236"/>
    </row>
    <row r="807" spans="1:10" ht="24.95" customHeight="1">
      <c r="A807" s="1237"/>
      <c r="B807" s="1247" t="s">
        <v>5666</v>
      </c>
      <c r="C807" s="1234">
        <v>1</v>
      </c>
      <c r="D807" s="1234"/>
      <c r="E807" s="1234">
        <v>1</v>
      </c>
      <c r="F807" s="1248">
        <f>F802</f>
        <v>48.97</v>
      </c>
      <c r="G807" s="1248"/>
      <c r="H807" s="1248"/>
      <c r="I807" s="1248">
        <f>I802</f>
        <v>48.97</v>
      </c>
      <c r="J807" s="1236"/>
    </row>
    <row r="808" spans="1:10" ht="24.95" customHeight="1">
      <c r="A808" s="1237"/>
      <c r="B808" s="1247"/>
      <c r="C808" s="1234"/>
      <c r="D808" s="1234"/>
      <c r="E808" s="1234"/>
      <c r="F808" s="1248"/>
      <c r="G808" s="1248"/>
      <c r="H808" s="1248"/>
      <c r="I808" s="1248">
        <f>SUM(I806:I807)</f>
        <v>143.93</v>
      </c>
      <c r="J808" s="1246"/>
    </row>
    <row r="809" spans="1:10" ht="22.5" customHeight="1">
      <c r="A809" s="1237"/>
      <c r="B809" s="1247"/>
      <c r="C809" s="1234"/>
      <c r="D809" s="1234"/>
      <c r="E809" s="1234"/>
      <c r="F809" s="1248"/>
      <c r="G809" s="1248"/>
      <c r="H809" s="1249" t="s">
        <v>4322</v>
      </c>
      <c r="I809" s="1249">
        <f>ROUNDUP(I808,1-0)</f>
        <v>144</v>
      </c>
      <c r="J809" s="1246" t="s">
        <v>835</v>
      </c>
    </row>
    <row r="810" spans="1:10" ht="24.95" customHeight="1">
      <c r="A810" s="1237">
        <v>37.1</v>
      </c>
      <c r="B810" s="1233" t="s">
        <v>5669</v>
      </c>
      <c r="C810" s="1234"/>
      <c r="D810" s="1234"/>
      <c r="E810" s="1234"/>
      <c r="F810" s="1235"/>
      <c r="G810" s="1235"/>
      <c r="H810" s="1235"/>
      <c r="I810" s="1235"/>
      <c r="J810" s="1236"/>
    </row>
    <row r="811" spans="1:10" ht="24.95" customHeight="1">
      <c r="A811" s="1237"/>
      <c r="B811" s="1247" t="s">
        <v>5670</v>
      </c>
      <c r="C811" s="1234"/>
      <c r="D811" s="1234"/>
      <c r="E811" s="1234"/>
      <c r="F811" s="1235"/>
      <c r="G811" s="1235"/>
      <c r="H811" s="1235"/>
      <c r="I811" s="1235"/>
      <c r="J811" s="1236"/>
    </row>
    <row r="812" spans="1:10" ht="24.95" customHeight="1">
      <c r="A812" s="1237"/>
      <c r="B812" s="1247" t="s">
        <v>5671</v>
      </c>
      <c r="C812" s="1234">
        <v>1</v>
      </c>
      <c r="D812" s="1234"/>
      <c r="E812" s="1234">
        <v>1</v>
      </c>
      <c r="F812" s="1248">
        <f>I792</f>
        <v>910</v>
      </c>
      <c r="G812" s="1248"/>
      <c r="H812" s="1248"/>
      <c r="I812" s="1249">
        <f>F812*E812</f>
        <v>910</v>
      </c>
      <c r="J812" s="1246" t="s">
        <v>2308</v>
      </c>
    </row>
    <row r="813" spans="1:10" ht="24.95" customHeight="1">
      <c r="A813" s="1237"/>
      <c r="B813" s="1247"/>
      <c r="C813" s="1234"/>
      <c r="D813" s="1234"/>
      <c r="E813" s="1234"/>
      <c r="F813" s="1235"/>
      <c r="G813" s="1235"/>
      <c r="H813" s="1235"/>
      <c r="I813" s="1235"/>
      <c r="J813" s="1236"/>
    </row>
    <row r="814" spans="1:10" ht="33">
      <c r="A814" s="1258">
        <v>39</v>
      </c>
      <c r="B814" s="1233" t="s">
        <v>5672</v>
      </c>
      <c r="C814" s="1234"/>
      <c r="D814" s="1234"/>
      <c r="E814" s="1234"/>
      <c r="F814" s="1235"/>
      <c r="G814" s="1235"/>
      <c r="H814" s="1235"/>
      <c r="I814" s="1235"/>
      <c r="J814" s="1236"/>
    </row>
    <row r="815" spans="1:10" ht="24.95" customHeight="1">
      <c r="A815" s="1237"/>
      <c r="B815" s="1247" t="s">
        <v>5673</v>
      </c>
      <c r="C815" s="1234">
        <v>1</v>
      </c>
      <c r="D815" s="1234"/>
      <c r="E815" s="1234">
        <v>3</v>
      </c>
      <c r="F815" s="1248">
        <v>7</v>
      </c>
      <c r="G815" s="1248"/>
      <c r="H815" s="1248">
        <v>0.6</v>
      </c>
      <c r="I815" s="1248">
        <f>PRODUCT(C815:H815)</f>
        <v>12.6</v>
      </c>
      <c r="J815" s="1236"/>
    </row>
    <row r="816" spans="1:10" ht="24.95" customHeight="1">
      <c r="A816" s="1237"/>
      <c r="B816" s="1247" t="s">
        <v>5674</v>
      </c>
      <c r="C816" s="1234">
        <v>1</v>
      </c>
      <c r="D816" s="1234"/>
      <c r="E816" s="1234">
        <v>4</v>
      </c>
      <c r="F816" s="1248">
        <v>4</v>
      </c>
      <c r="G816" s="1248"/>
      <c r="H816" s="1248">
        <v>0.6</v>
      </c>
      <c r="I816" s="1248">
        <f>PRODUCT(C816:H816)</f>
        <v>9.6</v>
      </c>
      <c r="J816" s="1236"/>
    </row>
    <row r="817" spans="1:10" ht="24.95" customHeight="1">
      <c r="A817" s="1237"/>
      <c r="B817" s="1247" t="s">
        <v>5675</v>
      </c>
      <c r="C817" s="1234">
        <v>1</v>
      </c>
      <c r="D817" s="1234"/>
      <c r="E817" s="1234">
        <v>1</v>
      </c>
      <c r="F817" s="1248">
        <v>1</v>
      </c>
      <c r="G817" s="1248"/>
      <c r="H817" s="1248">
        <v>2.1</v>
      </c>
      <c r="I817" s="1248">
        <f>PRODUCT(C817:H817)</f>
        <v>2.1</v>
      </c>
      <c r="J817" s="1236"/>
    </row>
    <row r="818" spans="1:10" ht="24.95" customHeight="1">
      <c r="A818" s="1237"/>
      <c r="B818" s="1247" t="s">
        <v>5676</v>
      </c>
      <c r="C818" s="1234">
        <v>1</v>
      </c>
      <c r="D818" s="1234"/>
      <c r="E818" s="1234">
        <v>1</v>
      </c>
      <c r="F818" s="1248">
        <v>0.9</v>
      </c>
      <c r="G818" s="1248"/>
      <c r="H818" s="1248">
        <v>2.1</v>
      </c>
      <c r="I818" s="1248">
        <f>PRODUCT(C818:H818)</f>
        <v>1.89</v>
      </c>
      <c r="J818" s="1236"/>
    </row>
    <row r="819" spans="1:10" ht="24.95" customHeight="1">
      <c r="A819" s="1237"/>
      <c r="B819" s="1247" t="s">
        <v>5677</v>
      </c>
      <c r="C819" s="1234">
        <v>1</v>
      </c>
      <c r="D819" s="1234"/>
      <c r="E819" s="1234">
        <v>1</v>
      </c>
      <c r="F819" s="1248">
        <v>3.14</v>
      </c>
      <c r="G819" s="1248">
        <v>0.03</v>
      </c>
      <c r="H819" s="1248">
        <v>10</v>
      </c>
      <c r="I819" s="1248">
        <f>PRODUCT(C819:H819)</f>
        <v>0.94</v>
      </c>
      <c r="J819" s="1236"/>
    </row>
    <row r="820" spans="1:10" ht="24.95" customHeight="1">
      <c r="A820" s="1237"/>
      <c r="B820" s="1247"/>
      <c r="C820" s="1234"/>
      <c r="D820" s="1234"/>
      <c r="E820" s="1234"/>
      <c r="F820" s="1248"/>
      <c r="G820" s="1248"/>
      <c r="H820" s="1248"/>
      <c r="I820" s="1248">
        <f>SUM(I815:I819)</f>
        <v>27.13</v>
      </c>
      <c r="J820" s="1236"/>
    </row>
    <row r="821" spans="1:10" ht="24.95" customHeight="1">
      <c r="A821" s="1237"/>
      <c r="B821" s="1247"/>
      <c r="C821" s="1234"/>
      <c r="D821" s="1234"/>
      <c r="E821" s="1234"/>
      <c r="F821" s="1248"/>
      <c r="G821" s="1248"/>
      <c r="H821" s="1248"/>
      <c r="I821" s="1249">
        <f>ROUNDUP(I820,1-0)</f>
        <v>27.2</v>
      </c>
      <c r="J821" s="1236"/>
    </row>
    <row r="822" spans="1:10" ht="24.95" customHeight="1">
      <c r="A822" s="1237"/>
      <c r="B822" s="1247" t="s">
        <v>5678</v>
      </c>
      <c r="C822" s="1234"/>
      <c r="D822" s="1234"/>
      <c r="E822" s="1234"/>
      <c r="F822" s="1248"/>
      <c r="G822" s="1248">
        <f>I821</f>
        <v>27.2</v>
      </c>
      <c r="H822" s="1248">
        <v>35</v>
      </c>
      <c r="I822" s="1249">
        <f>G822*H822</f>
        <v>952</v>
      </c>
      <c r="J822" s="1256" t="s">
        <v>1670</v>
      </c>
    </row>
    <row r="823" spans="1:10" ht="24.95" customHeight="1">
      <c r="A823" s="1237"/>
      <c r="B823" s="1247"/>
      <c r="C823" s="1234"/>
      <c r="D823" s="1234"/>
      <c r="E823" s="1234"/>
      <c r="F823" s="1248"/>
      <c r="G823" s="1248"/>
      <c r="H823" s="1248" t="s">
        <v>5423</v>
      </c>
      <c r="I823" s="1249">
        <f>ROUNDUP(I822,1-0)</f>
        <v>952</v>
      </c>
      <c r="J823" s="1256" t="s">
        <v>1670</v>
      </c>
    </row>
    <row r="824" spans="1:10" ht="24.95" customHeight="1">
      <c r="A824" s="1237"/>
      <c r="B824" s="1247"/>
      <c r="C824" s="1234"/>
      <c r="D824" s="1234"/>
      <c r="E824" s="1234"/>
      <c r="F824" s="1248"/>
      <c r="G824" s="1248"/>
      <c r="H824" s="1248"/>
      <c r="I824" s="1249"/>
      <c r="J824" s="1256"/>
    </row>
    <row r="825" spans="1:10" ht="24.95" customHeight="1">
      <c r="A825" s="1237">
        <v>24</v>
      </c>
      <c r="B825" s="1247" t="s">
        <v>5679</v>
      </c>
      <c r="C825" s="1234"/>
      <c r="D825" s="1234"/>
      <c r="E825" s="1234"/>
      <c r="F825" s="1248"/>
      <c r="G825" s="1248"/>
      <c r="H825" s="1248"/>
      <c r="I825" s="1249"/>
      <c r="J825" s="1256"/>
    </row>
    <row r="826" spans="1:10" ht="24.95" customHeight="1">
      <c r="A826" s="1237"/>
      <c r="B826" s="1233" t="s">
        <v>5680</v>
      </c>
      <c r="C826" s="1234">
        <v>1</v>
      </c>
      <c r="D826" s="1234"/>
      <c r="E826" s="1234">
        <v>2</v>
      </c>
      <c r="F826" s="1235">
        <v>1.8</v>
      </c>
      <c r="G826" s="1235"/>
      <c r="H826" s="1235">
        <v>1.65</v>
      </c>
      <c r="I826" s="1235">
        <v>5.94</v>
      </c>
      <c r="J826" s="1256"/>
    </row>
    <row r="827" spans="1:10" ht="24.95" customHeight="1">
      <c r="A827" s="1237"/>
      <c r="B827" s="1233" t="s">
        <v>5469</v>
      </c>
      <c r="C827" s="1234">
        <v>1</v>
      </c>
      <c r="D827" s="1234"/>
      <c r="E827" s="1234">
        <v>13</v>
      </c>
      <c r="F827" s="1235">
        <v>1.5</v>
      </c>
      <c r="G827" s="1235"/>
      <c r="H827" s="1235">
        <v>1.65</v>
      </c>
      <c r="I827" s="1235">
        <v>32.18</v>
      </c>
      <c r="J827" s="1256"/>
    </row>
    <row r="828" spans="1:10" ht="24.95" customHeight="1">
      <c r="A828" s="1237"/>
      <c r="B828" s="1233" t="s">
        <v>5461</v>
      </c>
      <c r="C828" s="1234">
        <v>1</v>
      </c>
      <c r="D828" s="1234"/>
      <c r="E828" s="1234">
        <v>1</v>
      </c>
      <c r="F828" s="1235">
        <v>1.35</v>
      </c>
      <c r="G828" s="1235"/>
      <c r="H828" s="1235">
        <v>1.65</v>
      </c>
      <c r="I828" s="1235">
        <v>2.23</v>
      </c>
      <c r="J828" s="1256"/>
    </row>
    <row r="829" spans="1:10" ht="24.95" customHeight="1">
      <c r="A829" s="1237"/>
      <c r="B829" s="1233" t="s">
        <v>5462</v>
      </c>
      <c r="C829" s="1234">
        <v>1</v>
      </c>
      <c r="D829" s="1234"/>
      <c r="E829" s="1234">
        <v>10</v>
      </c>
      <c r="F829" s="1235">
        <v>0.9</v>
      </c>
      <c r="G829" s="1235"/>
      <c r="H829" s="1235">
        <v>1.65</v>
      </c>
      <c r="I829" s="1235">
        <v>14.85</v>
      </c>
      <c r="J829" s="1256"/>
    </row>
    <row r="830" spans="1:10" ht="24.95" customHeight="1">
      <c r="A830" s="1237"/>
      <c r="B830" s="1233" t="s">
        <v>5482</v>
      </c>
      <c r="C830" s="1234">
        <v>1</v>
      </c>
      <c r="D830" s="1234"/>
      <c r="E830" s="1234">
        <v>4</v>
      </c>
      <c r="F830" s="1235">
        <v>1.2</v>
      </c>
      <c r="G830" s="1235"/>
      <c r="H830" s="1235">
        <v>1.65</v>
      </c>
      <c r="I830" s="1235">
        <v>7.92</v>
      </c>
      <c r="J830" s="1256"/>
    </row>
    <row r="831" spans="1:10" ht="24.95" customHeight="1">
      <c r="A831" s="1237"/>
      <c r="B831" s="1233" t="s">
        <v>5464</v>
      </c>
      <c r="C831" s="1234">
        <v>1</v>
      </c>
      <c r="D831" s="1234"/>
      <c r="E831" s="1234">
        <v>2</v>
      </c>
      <c r="F831" s="1235">
        <v>1.2</v>
      </c>
      <c r="G831" s="1235"/>
      <c r="H831" s="1235">
        <v>1.65</v>
      </c>
      <c r="I831" s="1235">
        <v>3.96</v>
      </c>
      <c r="J831" s="1256"/>
    </row>
    <row r="832" spans="1:10" ht="24.95" customHeight="1">
      <c r="A832" s="1237"/>
      <c r="B832" s="1233" t="s">
        <v>5465</v>
      </c>
      <c r="C832" s="1234">
        <v>1</v>
      </c>
      <c r="D832" s="1234"/>
      <c r="E832" s="1234">
        <v>2</v>
      </c>
      <c r="F832" s="1235">
        <v>1.5</v>
      </c>
      <c r="G832" s="1235"/>
      <c r="H832" s="1235">
        <v>1.65</v>
      </c>
      <c r="I832" s="1235">
        <v>4.95</v>
      </c>
      <c r="J832" s="1256"/>
    </row>
    <row r="833" spans="1:10" ht="24.95" customHeight="1">
      <c r="A833" s="1237"/>
      <c r="B833" s="1233" t="s">
        <v>5466</v>
      </c>
      <c r="C833" s="1234">
        <v>1</v>
      </c>
      <c r="D833" s="1234"/>
      <c r="E833" s="1234">
        <v>4</v>
      </c>
      <c r="F833" s="1235">
        <v>1.05</v>
      </c>
      <c r="G833" s="1235"/>
      <c r="H833" s="1235">
        <v>1.65</v>
      </c>
      <c r="I833" s="1235">
        <v>6.93</v>
      </c>
      <c r="J833" s="1256"/>
    </row>
    <row r="834" spans="1:10" ht="24.95" customHeight="1">
      <c r="A834" s="1237"/>
      <c r="B834" s="1233" t="s">
        <v>5501</v>
      </c>
      <c r="C834" s="1234">
        <v>1</v>
      </c>
      <c r="D834" s="1234"/>
      <c r="E834" s="1234">
        <v>2</v>
      </c>
      <c r="F834" s="1235">
        <v>0.75</v>
      </c>
      <c r="G834" s="1235"/>
      <c r="H834" s="1235">
        <v>2.4</v>
      </c>
      <c r="I834" s="1235">
        <v>3.6</v>
      </c>
      <c r="J834" s="1256"/>
    </row>
    <row r="835" spans="1:10" ht="24.95" customHeight="1">
      <c r="A835" s="1237"/>
      <c r="B835" s="1233" t="s">
        <v>5501</v>
      </c>
      <c r="C835" s="1234">
        <v>1</v>
      </c>
      <c r="D835" s="1234"/>
      <c r="E835" s="1234">
        <v>1</v>
      </c>
      <c r="F835" s="1235">
        <v>0.8</v>
      </c>
      <c r="G835" s="1235"/>
      <c r="H835" s="1235">
        <v>2.1</v>
      </c>
      <c r="I835" s="1235">
        <v>1.68</v>
      </c>
      <c r="J835" s="1256"/>
    </row>
    <row r="836" spans="1:10" ht="24.95" customHeight="1">
      <c r="A836" s="1237"/>
      <c r="B836" s="1233" t="s">
        <v>5463</v>
      </c>
      <c r="C836" s="1234">
        <v>1</v>
      </c>
      <c r="D836" s="1234"/>
      <c r="E836" s="1234">
        <v>1</v>
      </c>
      <c r="F836" s="1235">
        <v>0.75</v>
      </c>
      <c r="G836" s="1235"/>
      <c r="H836" s="1235">
        <v>2.1</v>
      </c>
      <c r="I836" s="1235">
        <v>1.58</v>
      </c>
      <c r="J836" s="1256"/>
    </row>
    <row r="837" spans="1:10" ht="24.95" customHeight="1">
      <c r="A837" s="1237"/>
      <c r="B837" s="1233" t="s">
        <v>5563</v>
      </c>
      <c r="C837" s="1234">
        <v>1</v>
      </c>
      <c r="D837" s="1234"/>
      <c r="E837" s="1234">
        <v>3</v>
      </c>
      <c r="F837" s="1235">
        <v>1.8</v>
      </c>
      <c r="G837" s="1235"/>
      <c r="H837" s="1235">
        <v>0.6</v>
      </c>
      <c r="I837" s="1235">
        <v>3.24</v>
      </c>
      <c r="J837" s="1256"/>
    </row>
    <row r="838" spans="1:10" ht="24.95" customHeight="1">
      <c r="A838" s="1237"/>
      <c r="B838" s="1233" t="s">
        <v>5502</v>
      </c>
      <c r="C838" s="1234">
        <v>1</v>
      </c>
      <c r="D838" s="1234"/>
      <c r="E838" s="1234">
        <v>12</v>
      </c>
      <c r="F838" s="1235">
        <v>1.2</v>
      </c>
      <c r="G838" s="1235"/>
      <c r="H838" s="1235">
        <v>0.6</v>
      </c>
      <c r="I838" s="1235">
        <v>8.64</v>
      </c>
      <c r="J838" s="1256"/>
    </row>
    <row r="839" spans="1:10" ht="24.95" customHeight="1">
      <c r="A839" s="1237"/>
      <c r="B839" s="1233" t="s">
        <v>5502</v>
      </c>
      <c r="C839" s="1234">
        <v>1</v>
      </c>
      <c r="D839" s="1234"/>
      <c r="E839" s="1234">
        <v>1</v>
      </c>
      <c r="F839" s="1235">
        <v>2.1</v>
      </c>
      <c r="G839" s="1235"/>
      <c r="H839" s="1235">
        <v>0.6</v>
      </c>
      <c r="I839" s="1235">
        <v>1.26</v>
      </c>
      <c r="J839" s="1256"/>
    </row>
    <row r="840" spans="1:10" ht="24.95" customHeight="1">
      <c r="A840" s="1237"/>
      <c r="B840" s="1233" t="s">
        <v>5565</v>
      </c>
      <c r="C840" s="1234">
        <v>1</v>
      </c>
      <c r="D840" s="1234"/>
      <c r="E840" s="1234">
        <v>13</v>
      </c>
      <c r="F840" s="1235">
        <v>0.9</v>
      </c>
      <c r="G840" s="1235"/>
      <c r="H840" s="1235">
        <v>0.9</v>
      </c>
      <c r="I840" s="1235">
        <v>10.53</v>
      </c>
      <c r="J840" s="1256"/>
    </row>
    <row r="841" spans="1:10" ht="24.95" customHeight="1">
      <c r="A841" s="1237"/>
      <c r="B841" s="1233" t="s">
        <v>5564</v>
      </c>
      <c r="C841" s="1234">
        <v>2</v>
      </c>
      <c r="D841" s="1234"/>
      <c r="E841" s="1234">
        <v>2</v>
      </c>
      <c r="F841" s="1235">
        <v>0.9</v>
      </c>
      <c r="G841" s="1235"/>
      <c r="H841" s="1235">
        <v>0.9</v>
      </c>
      <c r="I841" s="1235">
        <v>3.24</v>
      </c>
      <c r="J841" s="1256"/>
    </row>
    <row r="842" spans="1:10" ht="24.95" customHeight="1">
      <c r="A842" s="1237"/>
      <c r="B842" s="1233" t="s">
        <v>5502</v>
      </c>
      <c r="C842" s="1234">
        <v>2</v>
      </c>
      <c r="D842" s="1234"/>
      <c r="E842" s="1234">
        <v>2</v>
      </c>
      <c r="F842" s="1235">
        <v>0.9</v>
      </c>
      <c r="G842" s="1235"/>
      <c r="H842" s="1235">
        <v>0.9</v>
      </c>
      <c r="I842" s="1235">
        <v>3.24</v>
      </c>
      <c r="J842" s="1256"/>
    </row>
    <row r="843" spans="1:10" ht="24.95" customHeight="1">
      <c r="A843" s="1237"/>
      <c r="B843" s="1247"/>
      <c r="C843" s="1234"/>
      <c r="D843" s="1234"/>
      <c r="E843" s="1234"/>
      <c r="F843" s="1248"/>
      <c r="G843" s="1248"/>
      <c r="H843" s="1248"/>
      <c r="I843" s="1249">
        <f>+SUM(I826:I842)</f>
        <v>115.97</v>
      </c>
      <c r="J843" s="1256"/>
    </row>
    <row r="844" spans="1:10" ht="24.95" customHeight="1">
      <c r="A844" s="1237"/>
      <c r="B844" s="1247"/>
      <c r="C844" s="1234"/>
      <c r="D844" s="1234"/>
      <c r="E844" s="1234"/>
      <c r="F844" s="1248"/>
      <c r="G844" s="1248"/>
      <c r="H844" s="1248"/>
      <c r="I844" s="1249">
        <f>ROUNDUP(I843,1-0)</f>
        <v>116</v>
      </c>
      <c r="J844" s="1256"/>
    </row>
    <row r="845" spans="1:10" ht="24.95" customHeight="1">
      <c r="A845" s="1237"/>
      <c r="B845" s="1247"/>
      <c r="C845" s="1234"/>
      <c r="D845" s="1234"/>
      <c r="E845" s="1234"/>
      <c r="F845" s="1248"/>
      <c r="G845" s="1248">
        <f>I844</f>
        <v>116</v>
      </c>
      <c r="H845" s="1248">
        <v>35</v>
      </c>
      <c r="I845" s="1249">
        <f>G845*H845</f>
        <v>4060</v>
      </c>
      <c r="J845" s="1256" t="s">
        <v>1670</v>
      </c>
    </row>
    <row r="846" spans="1:10" ht="24.95" customHeight="1">
      <c r="A846" s="1237"/>
      <c r="B846" s="1247"/>
      <c r="C846" s="1234"/>
      <c r="D846" s="1234"/>
      <c r="E846" s="1234"/>
      <c r="F846" s="1248"/>
      <c r="G846" s="1248"/>
      <c r="H846" s="1248"/>
      <c r="I846" s="1249"/>
      <c r="J846" s="1256"/>
    </row>
    <row r="847" spans="1:10" ht="24.95" customHeight="1">
      <c r="A847" s="1258">
        <v>40</v>
      </c>
      <c r="B847" s="1233" t="s">
        <v>5681</v>
      </c>
      <c r="C847" s="1234"/>
      <c r="D847" s="1234"/>
      <c r="E847" s="1234"/>
      <c r="F847" s="1235"/>
      <c r="G847" s="1235"/>
      <c r="H847" s="1235"/>
      <c r="I847" s="1235"/>
      <c r="J847" s="1246"/>
    </row>
    <row r="848" spans="1:10" ht="24.95" customHeight="1">
      <c r="A848" s="1237"/>
      <c r="B848" s="1247" t="s">
        <v>5682</v>
      </c>
      <c r="C848" s="1234">
        <v>1</v>
      </c>
      <c r="D848" s="1234"/>
      <c r="E848" s="1234">
        <v>8</v>
      </c>
      <c r="F848" s="1248">
        <v>1.2</v>
      </c>
      <c r="G848" s="1248"/>
      <c r="H848" s="1248">
        <v>2.4</v>
      </c>
      <c r="I848" s="1248">
        <f>SUM(C848:H848)</f>
        <v>12.6</v>
      </c>
      <c r="J848" s="1236"/>
    </row>
    <row r="849" spans="1:10" ht="24.95" customHeight="1">
      <c r="A849" s="1237"/>
      <c r="B849" s="1247" t="s">
        <v>5682</v>
      </c>
      <c r="C849" s="1234">
        <v>1</v>
      </c>
      <c r="D849" s="1234"/>
      <c r="E849" s="1234">
        <v>7</v>
      </c>
      <c r="F849" s="1248">
        <v>0.9</v>
      </c>
      <c r="G849" s="1248"/>
      <c r="H849" s="1248">
        <v>2.4</v>
      </c>
      <c r="I849" s="1248">
        <f>SUM(C849:H849)</f>
        <v>11.3</v>
      </c>
      <c r="J849" s="1236"/>
    </row>
    <row r="850" spans="1:10" ht="24.95" customHeight="1">
      <c r="A850" s="1237"/>
      <c r="B850" s="1247"/>
      <c r="C850" s="1234"/>
      <c r="D850" s="1234"/>
      <c r="E850" s="1234"/>
      <c r="F850" s="1884" t="s">
        <v>5683</v>
      </c>
      <c r="G850" s="1884"/>
      <c r="H850" s="1884"/>
      <c r="I850" s="1248">
        <f>SUM(I848:I849)</f>
        <v>23.9</v>
      </c>
      <c r="J850" s="1236"/>
    </row>
    <row r="851" spans="1:10" ht="24.95" customHeight="1">
      <c r="A851" s="1237"/>
      <c r="B851" s="1247"/>
      <c r="C851" s="1234"/>
      <c r="D851" s="1234"/>
      <c r="E851" s="1234"/>
      <c r="F851" s="1235"/>
      <c r="G851" s="1235"/>
      <c r="H851" s="1249" t="s">
        <v>4322</v>
      </c>
      <c r="I851" s="1249">
        <v>62.15</v>
      </c>
      <c r="J851" s="1246" t="s">
        <v>2308</v>
      </c>
    </row>
    <row r="852" spans="1:10" ht="24.95" customHeight="1">
      <c r="A852" s="1258">
        <v>41</v>
      </c>
      <c r="B852" s="1233" t="s">
        <v>5684</v>
      </c>
      <c r="C852" s="1234"/>
      <c r="D852" s="1234"/>
      <c r="E852" s="1234"/>
      <c r="F852" s="1235"/>
      <c r="G852" s="1235"/>
      <c r="H852" s="1235"/>
      <c r="I852" s="1235"/>
      <c r="J852" s="1236"/>
    </row>
    <row r="853" spans="1:10" ht="24.95" customHeight="1">
      <c r="A853" s="1237"/>
      <c r="B853" s="1247" t="s">
        <v>5680</v>
      </c>
      <c r="C853" s="1234">
        <v>1</v>
      </c>
      <c r="D853" s="1234"/>
      <c r="E853" s="1234">
        <v>2</v>
      </c>
      <c r="F853" s="1235">
        <v>1.8</v>
      </c>
      <c r="G853" s="1235"/>
      <c r="H853" s="1235">
        <v>1.65</v>
      </c>
      <c r="I853" s="1235">
        <v>5.94</v>
      </c>
      <c r="J853" s="1236"/>
    </row>
    <row r="854" spans="1:10" ht="24.95" customHeight="1">
      <c r="A854" s="1237"/>
      <c r="B854" s="1247" t="s">
        <v>5469</v>
      </c>
      <c r="C854" s="1234">
        <v>1</v>
      </c>
      <c r="D854" s="1234"/>
      <c r="E854" s="1234">
        <v>13</v>
      </c>
      <c r="F854" s="1235">
        <v>1.5</v>
      </c>
      <c r="G854" s="1235"/>
      <c r="H854" s="1235">
        <v>1.65</v>
      </c>
      <c r="I854" s="1235">
        <v>32.18</v>
      </c>
      <c r="J854" s="1236"/>
    </row>
    <row r="855" spans="1:10" ht="24.95" customHeight="1">
      <c r="A855" s="1237"/>
      <c r="B855" s="1247" t="s">
        <v>5461</v>
      </c>
      <c r="C855" s="1234">
        <v>1</v>
      </c>
      <c r="D855" s="1234"/>
      <c r="E855" s="1234">
        <v>1</v>
      </c>
      <c r="F855" s="1235">
        <v>1.35</v>
      </c>
      <c r="G855" s="1235"/>
      <c r="H855" s="1235">
        <v>1.65</v>
      </c>
      <c r="I855" s="1235">
        <v>2.23</v>
      </c>
      <c r="J855" s="1236"/>
    </row>
    <row r="856" spans="1:10" ht="24.95" customHeight="1">
      <c r="A856" s="1237"/>
      <c r="B856" s="1247" t="s">
        <v>5462</v>
      </c>
      <c r="C856" s="1234">
        <v>1</v>
      </c>
      <c r="D856" s="1234"/>
      <c r="E856" s="1234">
        <v>10</v>
      </c>
      <c r="F856" s="1235">
        <v>0.9</v>
      </c>
      <c r="G856" s="1235"/>
      <c r="H856" s="1235">
        <v>1.65</v>
      </c>
      <c r="I856" s="1235">
        <v>14.85</v>
      </c>
      <c r="J856" s="1236"/>
    </row>
    <row r="857" spans="1:10" ht="24.95" customHeight="1">
      <c r="A857" s="1237"/>
      <c r="B857" s="1247" t="s">
        <v>5482</v>
      </c>
      <c r="C857" s="1234">
        <v>1</v>
      </c>
      <c r="D857" s="1234"/>
      <c r="E857" s="1234">
        <v>4</v>
      </c>
      <c r="F857" s="1235">
        <v>1.2</v>
      </c>
      <c r="G857" s="1235"/>
      <c r="H857" s="1235">
        <v>1.65</v>
      </c>
      <c r="I857" s="1235">
        <v>7.92</v>
      </c>
      <c r="J857" s="1236"/>
    </row>
    <row r="858" spans="1:10" ht="24.95" customHeight="1">
      <c r="A858" s="1237"/>
      <c r="B858" s="1247" t="s">
        <v>5464</v>
      </c>
      <c r="C858" s="1234">
        <v>1</v>
      </c>
      <c r="D858" s="1234"/>
      <c r="E858" s="1234">
        <v>2</v>
      </c>
      <c r="F858" s="1235">
        <v>1.2</v>
      </c>
      <c r="G858" s="1235"/>
      <c r="H858" s="1235">
        <v>1.65</v>
      </c>
      <c r="I858" s="1235">
        <v>3.96</v>
      </c>
      <c r="J858" s="1236"/>
    </row>
    <row r="859" spans="1:10" ht="24.95" customHeight="1">
      <c r="A859" s="1237"/>
      <c r="B859" s="1247" t="s">
        <v>5465</v>
      </c>
      <c r="C859" s="1234">
        <v>1</v>
      </c>
      <c r="D859" s="1234"/>
      <c r="E859" s="1234">
        <v>2</v>
      </c>
      <c r="F859" s="1235">
        <v>1.5</v>
      </c>
      <c r="G859" s="1235"/>
      <c r="H859" s="1235">
        <v>1.65</v>
      </c>
      <c r="I859" s="1235">
        <v>4.95</v>
      </c>
      <c r="J859" s="1236"/>
    </row>
    <row r="860" spans="1:10" ht="24.95" customHeight="1">
      <c r="A860" s="1237"/>
      <c r="B860" s="1247" t="s">
        <v>5466</v>
      </c>
      <c r="C860" s="1234">
        <v>1</v>
      </c>
      <c r="D860" s="1234"/>
      <c r="E860" s="1234">
        <v>4</v>
      </c>
      <c r="F860" s="1235">
        <v>1.05</v>
      </c>
      <c r="G860" s="1235"/>
      <c r="H860" s="1235">
        <v>1.65</v>
      </c>
      <c r="I860" s="1235">
        <v>6.93</v>
      </c>
      <c r="J860" s="1236"/>
    </row>
    <row r="861" spans="1:10" ht="24.95" customHeight="1">
      <c r="A861" s="1237"/>
      <c r="B861" s="1247" t="s">
        <v>5501</v>
      </c>
      <c r="C861" s="1234">
        <v>1</v>
      </c>
      <c r="D861" s="1234"/>
      <c r="E861" s="1234">
        <v>2</v>
      </c>
      <c r="F861" s="1235">
        <v>0.75</v>
      </c>
      <c r="G861" s="1235"/>
      <c r="H861" s="1235">
        <v>2.4</v>
      </c>
      <c r="I861" s="1235">
        <v>3.6</v>
      </c>
      <c r="J861" s="1236"/>
    </row>
    <row r="862" spans="1:10" ht="24.95" customHeight="1">
      <c r="A862" s="1237"/>
      <c r="B862" s="1247" t="s">
        <v>5501</v>
      </c>
      <c r="C862" s="1234">
        <v>1</v>
      </c>
      <c r="D862" s="1234"/>
      <c r="E862" s="1234">
        <v>1</v>
      </c>
      <c r="F862" s="1235">
        <v>0.8</v>
      </c>
      <c r="G862" s="1235"/>
      <c r="H862" s="1235">
        <v>2.1</v>
      </c>
      <c r="I862" s="1235">
        <v>1.68</v>
      </c>
      <c r="J862" s="1236"/>
    </row>
    <row r="863" spans="1:10" ht="24.95" customHeight="1">
      <c r="A863" s="1237"/>
      <c r="B863" s="1247" t="s">
        <v>5463</v>
      </c>
      <c r="C863" s="1234">
        <v>1</v>
      </c>
      <c r="D863" s="1234"/>
      <c r="E863" s="1234">
        <v>1</v>
      </c>
      <c r="F863" s="1235">
        <v>0.75</v>
      </c>
      <c r="G863" s="1235"/>
      <c r="H863" s="1235">
        <v>2.1</v>
      </c>
      <c r="I863" s="1235">
        <v>1.58</v>
      </c>
      <c r="J863" s="1236"/>
    </row>
    <row r="864" spans="1:10" ht="24.95" customHeight="1">
      <c r="A864" s="1237"/>
      <c r="B864" s="1247" t="s">
        <v>5563</v>
      </c>
      <c r="C864" s="1234">
        <v>1</v>
      </c>
      <c r="D864" s="1234"/>
      <c r="E864" s="1234">
        <v>3</v>
      </c>
      <c r="F864" s="1235">
        <v>1.8</v>
      </c>
      <c r="G864" s="1235"/>
      <c r="H864" s="1235">
        <v>0.6</v>
      </c>
      <c r="I864" s="1235">
        <v>3.24</v>
      </c>
      <c r="J864" s="1236"/>
    </row>
    <row r="865" spans="1:10" ht="24.95" customHeight="1">
      <c r="A865" s="1237"/>
      <c r="B865" s="1247" t="s">
        <v>5502</v>
      </c>
      <c r="C865" s="1234">
        <v>1</v>
      </c>
      <c r="D865" s="1234"/>
      <c r="E865" s="1234">
        <v>12</v>
      </c>
      <c r="F865" s="1235">
        <v>1.2</v>
      </c>
      <c r="G865" s="1235"/>
      <c r="H865" s="1235">
        <v>0.6</v>
      </c>
      <c r="I865" s="1235">
        <v>8.64</v>
      </c>
      <c r="J865" s="1236"/>
    </row>
    <row r="866" spans="1:10" ht="24.95" customHeight="1">
      <c r="A866" s="1237"/>
      <c r="B866" s="1247" t="s">
        <v>5502</v>
      </c>
      <c r="C866" s="1234">
        <v>1</v>
      </c>
      <c r="D866" s="1234"/>
      <c r="E866" s="1234">
        <v>1</v>
      </c>
      <c r="F866" s="1235">
        <v>2.1</v>
      </c>
      <c r="G866" s="1235"/>
      <c r="H866" s="1235">
        <v>0.6</v>
      </c>
      <c r="I866" s="1235">
        <v>1.26</v>
      </c>
      <c r="J866" s="1236"/>
    </row>
    <row r="867" spans="1:10" ht="24.95" customHeight="1">
      <c r="A867" s="1237"/>
      <c r="B867" s="1247" t="s">
        <v>5565</v>
      </c>
      <c r="C867" s="1234">
        <v>1</v>
      </c>
      <c r="D867" s="1234"/>
      <c r="E867" s="1234">
        <v>13</v>
      </c>
      <c r="F867" s="1235">
        <v>0.9</v>
      </c>
      <c r="G867" s="1235"/>
      <c r="H867" s="1235">
        <v>0.9</v>
      </c>
      <c r="I867" s="1235">
        <v>10.53</v>
      </c>
      <c r="J867" s="1236"/>
    </row>
    <row r="868" spans="1:10" ht="24.95" customHeight="1">
      <c r="A868" s="1237"/>
      <c r="B868" s="1247" t="s">
        <v>5564</v>
      </c>
      <c r="C868" s="1234">
        <v>2</v>
      </c>
      <c r="D868" s="1234"/>
      <c r="E868" s="1234">
        <v>2</v>
      </c>
      <c r="F868" s="1235">
        <v>0.9</v>
      </c>
      <c r="G868" s="1235"/>
      <c r="H868" s="1235">
        <v>0.9</v>
      </c>
      <c r="I868" s="1235">
        <v>3.24</v>
      </c>
      <c r="J868" s="1236"/>
    </row>
    <row r="869" spans="1:10" ht="24.95" customHeight="1">
      <c r="A869" s="1237"/>
      <c r="B869" s="1247" t="s">
        <v>5502</v>
      </c>
      <c r="C869" s="1234">
        <v>2</v>
      </c>
      <c r="D869" s="1234"/>
      <c r="E869" s="1234">
        <v>2</v>
      </c>
      <c r="F869" s="1235">
        <v>0.9</v>
      </c>
      <c r="G869" s="1235"/>
      <c r="H869" s="1235">
        <v>0.9</v>
      </c>
      <c r="I869" s="1235">
        <v>3.24</v>
      </c>
      <c r="J869" s="1236"/>
    </row>
    <row r="870" spans="1:10" ht="24.95" customHeight="1">
      <c r="A870" s="1237"/>
      <c r="B870" s="1247" t="s">
        <v>5673</v>
      </c>
      <c r="C870" s="1234">
        <v>1</v>
      </c>
      <c r="D870" s="1234"/>
      <c r="E870" s="1234">
        <v>3</v>
      </c>
      <c r="F870" s="1235">
        <v>7</v>
      </c>
      <c r="G870" s="1235"/>
      <c r="H870" s="1235">
        <v>0.6</v>
      </c>
      <c r="I870" s="1235">
        <v>12.6</v>
      </c>
      <c r="J870" s="1236"/>
    </row>
    <row r="871" spans="1:10" ht="24.95" customHeight="1">
      <c r="A871" s="1237"/>
      <c r="B871" s="1247" t="s">
        <v>5674</v>
      </c>
      <c r="C871" s="1234">
        <v>1</v>
      </c>
      <c r="D871" s="1234"/>
      <c r="E871" s="1234">
        <v>4</v>
      </c>
      <c r="F871" s="1235">
        <v>4</v>
      </c>
      <c r="G871" s="1235"/>
      <c r="H871" s="1235">
        <v>0.6</v>
      </c>
      <c r="I871" s="1235">
        <v>9.6</v>
      </c>
      <c r="J871" s="1236"/>
    </row>
    <row r="872" spans="1:10" ht="24.95" customHeight="1">
      <c r="A872" s="1237"/>
      <c r="B872" s="1247" t="s">
        <v>5685</v>
      </c>
      <c r="C872" s="1234">
        <v>1</v>
      </c>
      <c r="D872" s="1234"/>
      <c r="E872" s="1234">
        <v>1</v>
      </c>
      <c r="F872" s="1248">
        <v>3.14</v>
      </c>
      <c r="G872" s="1248">
        <v>0.03</v>
      </c>
      <c r="H872" s="1248">
        <f>$I$889</f>
        <v>50</v>
      </c>
      <c r="I872" s="1248">
        <f>PRODUCT(C872:H872)</f>
        <v>4.71</v>
      </c>
      <c r="J872" s="1246"/>
    </row>
    <row r="873" spans="1:10" ht="24.95" customHeight="1">
      <c r="A873" s="1237"/>
      <c r="B873" s="1247" t="s">
        <v>5686</v>
      </c>
      <c r="C873" s="1234">
        <v>1</v>
      </c>
      <c r="D873" s="1234"/>
      <c r="E873" s="1234">
        <v>1</v>
      </c>
      <c r="F873" s="1248">
        <v>3.14</v>
      </c>
      <c r="G873" s="1248">
        <v>2.5000000000000001E-2</v>
      </c>
      <c r="H873" s="1248">
        <f>I892</f>
        <v>60</v>
      </c>
      <c r="I873" s="1248">
        <f>PRODUCT(C873:H873)</f>
        <v>4.71</v>
      </c>
      <c r="J873" s="1236"/>
    </row>
    <row r="874" spans="1:10" ht="24.95" customHeight="1">
      <c r="A874" s="1237"/>
      <c r="B874" s="1247"/>
      <c r="C874" s="1234"/>
      <c r="D874" s="1234"/>
      <c r="E874" s="1234"/>
      <c r="F874" s="1248"/>
      <c r="G874" s="1248"/>
      <c r="H874" s="1248"/>
      <c r="I874" s="1248">
        <f>SUM(I853:I873)</f>
        <v>147.59</v>
      </c>
      <c r="J874" s="1236"/>
    </row>
    <row r="875" spans="1:10" ht="24.95" customHeight="1">
      <c r="A875" s="1237"/>
      <c r="B875" s="1247"/>
      <c r="C875" s="1234"/>
      <c r="D875" s="1234"/>
      <c r="E875" s="1234"/>
      <c r="F875" s="1248"/>
      <c r="G875" s="1248"/>
      <c r="H875" s="1249" t="s">
        <v>4322</v>
      </c>
      <c r="I875" s="1249">
        <f>ROUNDUP(I874,1-0)</f>
        <v>147.6</v>
      </c>
      <c r="J875" s="1246" t="s">
        <v>2308</v>
      </c>
    </row>
    <row r="876" spans="1:10" ht="24.95" customHeight="1">
      <c r="A876" s="1237"/>
      <c r="B876" s="1247"/>
      <c r="C876" s="1234"/>
      <c r="D876" s="1234"/>
      <c r="E876" s="1234"/>
      <c r="F876" s="1248"/>
      <c r="G876" s="1248"/>
      <c r="H876" s="1249"/>
      <c r="I876" s="1249"/>
      <c r="J876" s="1246"/>
    </row>
    <row r="877" spans="1:10" ht="24.95" customHeight="1">
      <c r="A877" s="1237"/>
      <c r="B877" s="1247"/>
      <c r="C877" s="1234"/>
      <c r="D877" s="1234"/>
      <c r="E877" s="1234"/>
      <c r="F877" s="1248"/>
      <c r="G877" s="1248"/>
      <c r="H877" s="1249"/>
      <c r="I877" s="1249"/>
      <c r="J877" s="1246"/>
    </row>
    <row r="878" spans="1:10" ht="24" customHeight="1">
      <c r="A878" s="1292">
        <v>46</v>
      </c>
      <c r="B878" s="1247" t="s">
        <v>5687</v>
      </c>
      <c r="C878" s="1234">
        <v>1</v>
      </c>
      <c r="D878" s="1234"/>
      <c r="E878" s="1234">
        <v>4</v>
      </c>
      <c r="F878" s="1248">
        <v>2</v>
      </c>
      <c r="G878" s="1248"/>
      <c r="H878" s="1248"/>
      <c r="I878" s="1249">
        <f>PRODUCT(C878:H878)</f>
        <v>8</v>
      </c>
      <c r="J878" s="1246" t="s">
        <v>835</v>
      </c>
    </row>
    <row r="879" spans="1:10" ht="24.95" customHeight="1">
      <c r="A879" s="1292">
        <v>47</v>
      </c>
      <c r="B879" s="1247" t="s">
        <v>5688</v>
      </c>
      <c r="C879" s="1234">
        <v>1</v>
      </c>
      <c r="D879" s="1234"/>
      <c r="E879" s="1234">
        <v>8</v>
      </c>
      <c r="F879" s="1248"/>
      <c r="G879" s="1248"/>
      <c r="H879" s="1248"/>
      <c r="I879" s="1249">
        <f>PRODUCT(C879:H879)</f>
        <v>8</v>
      </c>
      <c r="J879" s="1246" t="s">
        <v>1418</v>
      </c>
    </row>
    <row r="880" spans="1:10" ht="24.95" customHeight="1">
      <c r="A880" s="1292">
        <v>48</v>
      </c>
      <c r="B880" s="1247" t="s">
        <v>5689</v>
      </c>
      <c r="C880" s="1234">
        <v>1</v>
      </c>
      <c r="D880" s="1234"/>
      <c r="E880" s="1234">
        <v>10</v>
      </c>
      <c r="F880" s="1248"/>
      <c r="G880" s="1248"/>
      <c r="H880" s="1248"/>
      <c r="I880" s="1249">
        <f>PRODUCT(C880:H880)</f>
        <v>10</v>
      </c>
      <c r="J880" s="1246" t="s">
        <v>1418</v>
      </c>
    </row>
    <row r="881" spans="1:10" ht="35.25" customHeight="1">
      <c r="A881" s="1292">
        <v>49</v>
      </c>
      <c r="B881" s="1247" t="s">
        <v>5690</v>
      </c>
      <c r="C881" s="1234"/>
      <c r="D881" s="1234"/>
      <c r="E881" s="1234"/>
      <c r="F881" s="1235"/>
      <c r="G881" s="1235"/>
      <c r="H881" s="1235"/>
      <c r="I881" s="1235"/>
      <c r="J881" s="1236"/>
    </row>
    <row r="882" spans="1:10" ht="24.95" customHeight="1">
      <c r="A882" s="1292"/>
      <c r="B882" s="1247" t="s">
        <v>5691</v>
      </c>
      <c r="C882" s="1234">
        <v>20</v>
      </c>
      <c r="D882" s="1234"/>
      <c r="E882" s="1234">
        <v>5</v>
      </c>
      <c r="F882" s="1235"/>
      <c r="G882" s="1248"/>
      <c r="H882" s="1248"/>
      <c r="I882" s="1249">
        <f>PRODUCT(C882:H882)</f>
        <v>100</v>
      </c>
      <c r="J882" s="1246" t="s">
        <v>1418</v>
      </c>
    </row>
    <row r="883" spans="1:10" ht="24.95" customHeight="1">
      <c r="A883" s="1292">
        <v>50.3</v>
      </c>
      <c r="B883" s="1247" t="s">
        <v>5692</v>
      </c>
      <c r="C883" s="1234">
        <v>1</v>
      </c>
      <c r="D883" s="1234"/>
      <c r="E883" s="1234">
        <v>15</v>
      </c>
      <c r="F883" s="1235"/>
      <c r="G883" s="1248"/>
      <c r="H883" s="1248"/>
      <c r="I883" s="1249">
        <f>PRODUCT(C883:H883)</f>
        <v>15</v>
      </c>
      <c r="J883" s="1246" t="s">
        <v>1418</v>
      </c>
    </row>
    <row r="884" spans="1:10" ht="24.95" customHeight="1">
      <c r="A884" s="1292">
        <v>50.4</v>
      </c>
      <c r="B884" s="1247" t="s">
        <v>5693</v>
      </c>
      <c r="C884" s="1234">
        <v>1</v>
      </c>
      <c r="D884" s="1234"/>
      <c r="E884" s="1234">
        <f>E883</f>
        <v>15</v>
      </c>
      <c r="F884" s="1235"/>
      <c r="G884" s="1248"/>
      <c r="H884" s="1248"/>
      <c r="I884" s="1249">
        <f>PRODUCT(C884:H884)</f>
        <v>15</v>
      </c>
      <c r="J884" s="1246" t="s">
        <v>1418</v>
      </c>
    </row>
    <row r="885" spans="1:10" ht="37.5" customHeight="1">
      <c r="A885" s="1292" t="s">
        <v>5694</v>
      </c>
      <c r="B885" s="1247" t="s">
        <v>391</v>
      </c>
      <c r="C885" s="1234">
        <v>1</v>
      </c>
      <c r="D885" s="1234"/>
      <c r="E885" s="1234">
        <v>1</v>
      </c>
      <c r="F885" s="1235"/>
      <c r="G885" s="1248"/>
      <c r="H885" s="1248"/>
      <c r="I885" s="1249">
        <f>PRODUCT(C885:H885)</f>
        <v>1</v>
      </c>
      <c r="J885" s="1246" t="s">
        <v>1418</v>
      </c>
    </row>
    <row r="886" spans="1:10" ht="24.95" customHeight="1">
      <c r="A886" s="1292">
        <v>52.2</v>
      </c>
      <c r="B886" s="1247" t="s">
        <v>5695</v>
      </c>
      <c r="C886" s="1234"/>
      <c r="D886" s="1234"/>
      <c r="E886" s="1234"/>
      <c r="F886" s="1235"/>
      <c r="G886" s="1235"/>
      <c r="H886" s="1235"/>
      <c r="I886" s="1235"/>
      <c r="J886" s="1246"/>
    </row>
    <row r="887" spans="1:10" ht="24.95" customHeight="1">
      <c r="A887" s="1293"/>
      <c r="B887" s="1247" t="s">
        <v>5696</v>
      </c>
      <c r="C887" s="1234"/>
      <c r="D887" s="1234"/>
      <c r="E887" s="1234"/>
      <c r="F887" s="1235"/>
      <c r="G887" s="1235"/>
      <c r="H887" s="1235"/>
      <c r="I887" s="1235"/>
      <c r="J887" s="1236"/>
    </row>
    <row r="888" spans="1:10" ht="24.95" customHeight="1">
      <c r="A888" s="1237"/>
      <c r="B888" s="1247" t="s">
        <v>5697</v>
      </c>
      <c r="C888" s="1234">
        <v>1</v>
      </c>
      <c r="D888" s="1234"/>
      <c r="E888" s="1234">
        <v>1</v>
      </c>
      <c r="F888" s="1248">
        <v>50</v>
      </c>
      <c r="G888" s="1248"/>
      <c r="H888" s="1248"/>
      <c r="I888" s="1248">
        <f>PRODUCT(C888:H888)</f>
        <v>50</v>
      </c>
      <c r="J888" s="1236"/>
    </row>
    <row r="889" spans="1:10" ht="24.95" customHeight="1">
      <c r="A889" s="1237"/>
      <c r="B889" s="1247"/>
      <c r="C889" s="1234"/>
      <c r="D889" s="1234"/>
      <c r="E889" s="1234"/>
      <c r="F889" s="1248"/>
      <c r="G889" s="1248"/>
      <c r="H889" s="1249" t="s">
        <v>4322</v>
      </c>
      <c r="I889" s="1249">
        <f>I888</f>
        <v>50</v>
      </c>
      <c r="J889" s="1246" t="s">
        <v>835</v>
      </c>
    </row>
    <row r="890" spans="1:10" ht="24.95" customHeight="1">
      <c r="A890" s="1237"/>
      <c r="B890" s="1233" t="s">
        <v>5698</v>
      </c>
      <c r="C890" s="1234"/>
      <c r="D890" s="1234"/>
      <c r="E890" s="1234"/>
      <c r="F890" s="1248"/>
      <c r="G890" s="1248"/>
      <c r="H890" s="1248"/>
      <c r="I890" s="1248"/>
      <c r="J890" s="1236"/>
    </row>
    <row r="891" spans="1:10" ht="24.95" customHeight="1">
      <c r="A891" s="1237"/>
      <c r="B891" s="1247" t="s">
        <v>5699</v>
      </c>
      <c r="C891" s="1234">
        <v>1</v>
      </c>
      <c r="D891" s="1234"/>
      <c r="E891" s="1234">
        <v>1</v>
      </c>
      <c r="F891" s="1248">
        <v>60</v>
      </c>
      <c r="G891" s="1248"/>
      <c r="H891" s="1248"/>
      <c r="I891" s="1248">
        <f>PRODUCT(C891:H891)</f>
        <v>60</v>
      </c>
      <c r="J891" s="1236"/>
    </row>
    <row r="892" spans="1:10" ht="24.95" customHeight="1">
      <c r="A892" s="1237"/>
      <c r="B892" s="1247"/>
      <c r="C892" s="1234"/>
      <c r="D892" s="1234"/>
      <c r="E892" s="1234"/>
      <c r="F892" s="1248"/>
      <c r="G892" s="1248"/>
      <c r="H892" s="1249" t="s">
        <v>4322</v>
      </c>
      <c r="I892" s="1249">
        <f>I891</f>
        <v>60</v>
      </c>
      <c r="J892" s="1246" t="s">
        <v>835</v>
      </c>
    </row>
    <row r="893" spans="1:10" ht="24.95" customHeight="1">
      <c r="A893" s="1258"/>
      <c r="B893" s="1233" t="s">
        <v>5700</v>
      </c>
      <c r="C893" s="1234"/>
      <c r="D893" s="1234"/>
      <c r="E893" s="1234"/>
      <c r="F893" s="1235"/>
      <c r="G893" s="1235"/>
      <c r="H893" s="1235"/>
      <c r="I893" s="1235"/>
      <c r="J893" s="1236"/>
    </row>
    <row r="894" spans="1:10" ht="24.95" customHeight="1">
      <c r="A894" s="1237"/>
      <c r="B894" s="1247" t="s">
        <v>5701</v>
      </c>
      <c r="C894" s="1234">
        <v>2</v>
      </c>
      <c r="D894" s="1234"/>
      <c r="E894" s="1234">
        <v>3</v>
      </c>
      <c r="F894" s="1248">
        <v>10</v>
      </c>
      <c r="G894" s="1248"/>
      <c r="H894" s="1248"/>
      <c r="I894" s="1248">
        <f>PRODUCT(C894:H894)</f>
        <v>60</v>
      </c>
      <c r="J894" s="1236"/>
    </row>
    <row r="895" spans="1:10" ht="24.95" customHeight="1">
      <c r="A895" s="1237"/>
      <c r="B895" s="1247"/>
      <c r="C895" s="1234"/>
      <c r="D895" s="1234"/>
      <c r="E895" s="1234"/>
      <c r="F895" s="1248"/>
      <c r="G895" s="1248"/>
      <c r="H895" s="1249" t="s">
        <v>4322</v>
      </c>
      <c r="I895" s="1249">
        <f>I894</f>
        <v>60</v>
      </c>
      <c r="J895" s="1246" t="s">
        <v>835</v>
      </c>
    </row>
    <row r="896" spans="1:10" ht="24.95" customHeight="1">
      <c r="A896" s="1258">
        <v>52.1</v>
      </c>
      <c r="B896" s="1233" t="s">
        <v>5702</v>
      </c>
      <c r="C896" s="1234"/>
      <c r="D896" s="1234"/>
      <c r="E896" s="1234"/>
      <c r="F896" s="1248"/>
      <c r="G896" s="1248"/>
      <c r="H896" s="1248"/>
      <c r="I896" s="1248"/>
      <c r="J896" s="1236"/>
    </row>
    <row r="897" spans="1:10" ht="24.95" customHeight="1">
      <c r="A897" s="1237"/>
      <c r="B897" s="1247" t="s">
        <v>5923</v>
      </c>
      <c r="C897" s="1234">
        <v>1</v>
      </c>
      <c r="D897" s="1234"/>
      <c r="E897" s="1234">
        <v>2</v>
      </c>
      <c r="F897" s="1248">
        <v>3</v>
      </c>
      <c r="G897" s="1248"/>
      <c r="H897" s="1248"/>
      <c r="I897" s="1249">
        <f>PRODUCT(C897:H897)</f>
        <v>6</v>
      </c>
      <c r="J897" s="1246" t="s">
        <v>835</v>
      </c>
    </row>
    <row r="898" spans="1:10" ht="24.95" customHeight="1">
      <c r="A898" s="1237"/>
      <c r="B898" s="1247"/>
      <c r="C898" s="1234"/>
      <c r="D898" s="1234"/>
      <c r="E898" s="1234"/>
      <c r="F898" s="1248"/>
      <c r="G898" s="1248"/>
      <c r="H898" s="1248"/>
      <c r="I898" s="1249"/>
      <c r="J898" s="1246"/>
    </row>
    <row r="899" spans="1:10" ht="27.75" customHeight="1">
      <c r="A899" s="1232">
        <v>60.1</v>
      </c>
      <c r="B899" s="1288" t="s">
        <v>5704</v>
      </c>
      <c r="C899" s="1244"/>
      <c r="D899" s="1244"/>
      <c r="E899" s="1244"/>
      <c r="F899" s="1242"/>
      <c r="G899" s="1242"/>
      <c r="H899" s="1242"/>
      <c r="I899" s="1255"/>
      <c r="J899" s="1256"/>
    </row>
    <row r="900" spans="1:10" ht="24.95" customHeight="1">
      <c r="A900" s="1237"/>
      <c r="B900" s="1247" t="s">
        <v>5705</v>
      </c>
      <c r="C900" s="1234">
        <v>2</v>
      </c>
      <c r="D900" s="1234"/>
      <c r="E900" s="1234">
        <v>11</v>
      </c>
      <c r="F900" s="1248"/>
      <c r="G900" s="1248"/>
      <c r="H900" s="1248"/>
      <c r="I900" s="1249">
        <f>PRODUCT(C900:H900)</f>
        <v>22</v>
      </c>
      <c r="J900" s="1246" t="s">
        <v>1418</v>
      </c>
    </row>
    <row r="901" spans="1:10" ht="24.95" customHeight="1">
      <c r="A901" s="1237"/>
      <c r="B901" s="1233" t="s">
        <v>5720</v>
      </c>
      <c r="C901" s="1234"/>
      <c r="D901" s="1234"/>
      <c r="E901" s="1234"/>
      <c r="F901" s="1235"/>
      <c r="G901" s="1235"/>
      <c r="H901" s="1235"/>
      <c r="I901" s="1235"/>
      <c r="J901" s="1246"/>
    </row>
    <row r="902" spans="1:10" ht="65.25" customHeight="1">
      <c r="A902" s="1258" t="s">
        <v>5817</v>
      </c>
      <c r="B902" s="1233" t="s">
        <v>5818</v>
      </c>
      <c r="C902" s="1234"/>
      <c r="D902" s="1234"/>
      <c r="E902" s="1234"/>
      <c r="F902" s="1235"/>
      <c r="G902" s="1235"/>
      <c r="H902" s="1235"/>
      <c r="I902" s="1235"/>
      <c r="J902" s="1236"/>
    </row>
    <row r="903" spans="1:10" ht="24.95" customHeight="1">
      <c r="A903" s="1237"/>
      <c r="B903" s="1233" t="s">
        <v>5819</v>
      </c>
      <c r="C903" s="1234"/>
      <c r="D903" s="1234"/>
      <c r="E903" s="1234"/>
      <c r="F903" s="1235"/>
      <c r="G903" s="1235"/>
      <c r="H903" s="1235"/>
      <c r="I903" s="1235"/>
      <c r="J903" s="1236"/>
    </row>
    <row r="904" spans="1:10" ht="24.95" customHeight="1">
      <c r="A904" s="1237"/>
      <c r="B904" s="1247" t="s">
        <v>5580</v>
      </c>
      <c r="C904" s="1234">
        <v>2</v>
      </c>
      <c r="D904" s="1234"/>
      <c r="E904" s="1234">
        <v>3</v>
      </c>
      <c r="F904" s="1235"/>
      <c r="G904" s="1235"/>
      <c r="H904" s="1248"/>
      <c r="I904" s="1248">
        <f t="shared" ref="I904:I919" si="57">PRODUCT(C904:H904)</f>
        <v>6</v>
      </c>
      <c r="J904" s="1236"/>
    </row>
    <row r="905" spans="1:10" ht="24.95" customHeight="1">
      <c r="A905" s="1237"/>
      <c r="B905" s="1247" t="s">
        <v>5820</v>
      </c>
      <c r="C905" s="1234">
        <v>2</v>
      </c>
      <c r="D905" s="1234"/>
      <c r="E905" s="1234">
        <v>3</v>
      </c>
      <c r="F905" s="1235"/>
      <c r="G905" s="1235"/>
      <c r="H905" s="1248"/>
      <c r="I905" s="1248">
        <f t="shared" si="57"/>
        <v>6</v>
      </c>
      <c r="J905" s="1236"/>
    </row>
    <row r="906" spans="1:10" ht="24.95" customHeight="1">
      <c r="A906" s="1237"/>
      <c r="B906" s="1247" t="s">
        <v>5608</v>
      </c>
      <c r="C906" s="1234">
        <v>1</v>
      </c>
      <c r="D906" s="1234"/>
      <c r="E906" s="1234">
        <v>2</v>
      </c>
      <c r="F906" s="1235"/>
      <c r="G906" s="1235"/>
      <c r="H906" s="1248"/>
      <c r="I906" s="1248">
        <f t="shared" si="57"/>
        <v>2</v>
      </c>
      <c r="J906" s="1236"/>
    </row>
    <row r="907" spans="1:10" ht="24.95" customHeight="1">
      <c r="A907" s="1237"/>
      <c r="B907" s="1247" t="s">
        <v>5609</v>
      </c>
      <c r="C907" s="1234">
        <v>1</v>
      </c>
      <c r="D907" s="1234"/>
      <c r="E907" s="1234">
        <v>1</v>
      </c>
      <c r="F907" s="1235"/>
      <c r="G907" s="1235"/>
      <c r="H907" s="1248"/>
      <c r="I907" s="1248">
        <f t="shared" si="57"/>
        <v>1</v>
      </c>
      <c r="J907" s="1246"/>
    </row>
    <row r="908" spans="1:10" ht="24.95" customHeight="1">
      <c r="A908" s="1237"/>
      <c r="B908" s="1247" t="s">
        <v>5821</v>
      </c>
      <c r="C908" s="1234">
        <v>2</v>
      </c>
      <c r="D908" s="1234"/>
      <c r="E908" s="1234">
        <v>1</v>
      </c>
      <c r="F908" s="1235"/>
      <c r="G908" s="1235"/>
      <c r="H908" s="1248"/>
      <c r="I908" s="1248">
        <f t="shared" si="57"/>
        <v>2</v>
      </c>
      <c r="J908" s="1236"/>
    </row>
    <row r="909" spans="1:10" ht="24.95" customHeight="1">
      <c r="A909" s="1237"/>
      <c r="B909" s="1247" t="s">
        <v>5577</v>
      </c>
      <c r="C909" s="1234">
        <v>2</v>
      </c>
      <c r="D909" s="1234"/>
      <c r="E909" s="1234">
        <v>3</v>
      </c>
      <c r="F909" s="1235"/>
      <c r="G909" s="1235"/>
      <c r="H909" s="1248"/>
      <c r="I909" s="1248">
        <f t="shared" si="57"/>
        <v>6</v>
      </c>
      <c r="J909" s="1236"/>
    </row>
    <row r="910" spans="1:10" ht="24.95" customHeight="1">
      <c r="A910" s="1237"/>
      <c r="B910" s="1247" t="s">
        <v>5822</v>
      </c>
      <c r="C910" s="1234">
        <v>1</v>
      </c>
      <c r="D910" s="1234"/>
      <c r="E910" s="1234">
        <v>2</v>
      </c>
      <c r="F910" s="1235"/>
      <c r="G910" s="1235"/>
      <c r="H910" s="1248"/>
      <c r="I910" s="1248">
        <f t="shared" si="57"/>
        <v>2</v>
      </c>
      <c r="J910" s="1236"/>
    </row>
    <row r="911" spans="1:10" ht="24.95" customHeight="1">
      <c r="A911" s="1237"/>
      <c r="B911" s="1247" t="s">
        <v>5786</v>
      </c>
      <c r="C911" s="1234">
        <v>2</v>
      </c>
      <c r="D911" s="1234"/>
      <c r="E911" s="1234">
        <v>3</v>
      </c>
      <c r="F911" s="1235"/>
      <c r="G911" s="1235"/>
      <c r="H911" s="1248"/>
      <c r="I911" s="1248">
        <f t="shared" si="57"/>
        <v>6</v>
      </c>
      <c r="J911" s="1236"/>
    </row>
    <row r="912" spans="1:10" ht="24.95" customHeight="1">
      <c r="A912" s="1237"/>
      <c r="B912" s="1247" t="s">
        <v>5458</v>
      </c>
      <c r="C912" s="1234">
        <v>1</v>
      </c>
      <c r="D912" s="1234"/>
      <c r="E912" s="1234">
        <v>1</v>
      </c>
      <c r="F912" s="1235"/>
      <c r="G912" s="1235"/>
      <c r="H912" s="1248"/>
      <c r="I912" s="1248">
        <f t="shared" si="57"/>
        <v>1</v>
      </c>
      <c r="J912" s="1236"/>
    </row>
    <row r="913" spans="1:10" ht="24.95" customHeight="1">
      <c r="A913" s="1237"/>
      <c r="B913" s="1247" t="s">
        <v>5419</v>
      </c>
      <c r="C913" s="1234">
        <v>1</v>
      </c>
      <c r="D913" s="1234"/>
      <c r="E913" s="1234">
        <v>2</v>
      </c>
      <c r="F913" s="1235"/>
      <c r="G913" s="1235"/>
      <c r="H913" s="1248"/>
      <c r="I913" s="1248">
        <f t="shared" si="57"/>
        <v>2</v>
      </c>
      <c r="J913" s="1236"/>
    </row>
    <row r="914" spans="1:10" ht="24.95" customHeight="1">
      <c r="A914" s="1237"/>
      <c r="B914" s="1247" t="s">
        <v>5416</v>
      </c>
      <c r="C914" s="1234">
        <v>1</v>
      </c>
      <c r="D914" s="1234"/>
      <c r="E914" s="1234">
        <v>1</v>
      </c>
      <c r="F914" s="1235"/>
      <c r="G914" s="1235"/>
      <c r="H914" s="1248"/>
      <c r="I914" s="1248">
        <f t="shared" si="57"/>
        <v>1</v>
      </c>
      <c r="J914" s="1236"/>
    </row>
    <row r="915" spans="1:10" ht="24.95" customHeight="1">
      <c r="A915" s="1237"/>
      <c r="B915" s="1247" t="s">
        <v>5823</v>
      </c>
      <c r="C915" s="1234">
        <v>2</v>
      </c>
      <c r="D915" s="1234"/>
      <c r="E915" s="1234">
        <v>3</v>
      </c>
      <c r="F915" s="1235"/>
      <c r="G915" s="1235"/>
      <c r="H915" s="1248"/>
      <c r="I915" s="1248">
        <f t="shared" si="57"/>
        <v>6</v>
      </c>
      <c r="J915" s="1236"/>
    </row>
    <row r="916" spans="1:10" ht="24.95" customHeight="1">
      <c r="A916" s="1237"/>
      <c r="B916" s="1247" t="s">
        <v>5553</v>
      </c>
      <c r="C916" s="1234">
        <v>1</v>
      </c>
      <c r="D916" s="1234"/>
      <c r="E916" s="1234">
        <v>1</v>
      </c>
      <c r="F916" s="1235"/>
      <c r="G916" s="1235"/>
      <c r="H916" s="1248"/>
      <c r="I916" s="1248">
        <f t="shared" si="57"/>
        <v>1</v>
      </c>
      <c r="J916" s="1236"/>
    </row>
    <row r="917" spans="1:10" ht="24.95" customHeight="1">
      <c r="A917" s="1237"/>
      <c r="B917" s="1247" t="s">
        <v>5730</v>
      </c>
      <c r="C917" s="1234">
        <v>2</v>
      </c>
      <c r="D917" s="1234"/>
      <c r="E917" s="1234">
        <v>2</v>
      </c>
      <c r="F917" s="1235"/>
      <c r="G917" s="1235"/>
      <c r="H917" s="1248"/>
      <c r="I917" s="1248">
        <f t="shared" si="57"/>
        <v>4</v>
      </c>
      <c r="J917" s="1236"/>
    </row>
    <row r="918" spans="1:10" ht="24.95" customHeight="1">
      <c r="A918" s="1237"/>
      <c r="B918" s="1247" t="s">
        <v>5787</v>
      </c>
      <c r="C918" s="1234">
        <v>1</v>
      </c>
      <c r="D918" s="1234"/>
      <c r="E918" s="1234">
        <v>2</v>
      </c>
      <c r="F918" s="1235"/>
      <c r="G918" s="1235"/>
      <c r="H918" s="1248"/>
      <c r="I918" s="1248">
        <f t="shared" si="57"/>
        <v>2</v>
      </c>
      <c r="J918" s="1236"/>
    </row>
    <row r="919" spans="1:10" ht="24.95" customHeight="1">
      <c r="A919" s="1237"/>
      <c r="B919" s="1247" t="s">
        <v>5824</v>
      </c>
      <c r="C919" s="1234">
        <v>1</v>
      </c>
      <c r="D919" s="1234"/>
      <c r="E919" s="1234">
        <v>2</v>
      </c>
      <c r="F919" s="1235"/>
      <c r="G919" s="1235"/>
      <c r="H919" s="1248"/>
      <c r="I919" s="1248">
        <f t="shared" si="57"/>
        <v>2</v>
      </c>
      <c r="J919" s="1236"/>
    </row>
    <row r="920" spans="1:10" ht="24.95" customHeight="1">
      <c r="A920" s="1237"/>
      <c r="B920" s="1247"/>
      <c r="C920" s="1234"/>
      <c r="D920" s="1234"/>
      <c r="E920" s="1234"/>
      <c r="F920" s="1235"/>
      <c r="G920" s="1235"/>
      <c r="H920" s="1249" t="s">
        <v>4322</v>
      </c>
      <c r="I920" s="1249">
        <f>SUM(I904:I919)</f>
        <v>50</v>
      </c>
      <c r="J920" s="1246" t="s">
        <v>1418</v>
      </c>
    </row>
    <row r="921" spans="1:10" ht="24.95" customHeight="1">
      <c r="A921" s="1237"/>
      <c r="B921" s="1233" t="s">
        <v>5825</v>
      </c>
      <c r="C921" s="1234"/>
      <c r="D921" s="1234"/>
      <c r="E921" s="1234"/>
      <c r="F921" s="1235"/>
      <c r="G921" s="1235"/>
      <c r="H921" s="1235"/>
      <c r="I921" s="1235"/>
      <c r="J921" s="1236"/>
    </row>
    <row r="922" spans="1:10" ht="24.95" customHeight="1">
      <c r="A922" s="1237"/>
      <c r="B922" s="1247" t="s">
        <v>5580</v>
      </c>
      <c r="C922" s="1234">
        <v>2</v>
      </c>
      <c r="D922" s="1234"/>
      <c r="E922" s="1234">
        <v>2</v>
      </c>
      <c r="F922" s="1235"/>
      <c r="G922" s="1235"/>
      <c r="H922" s="1248"/>
      <c r="I922" s="1248">
        <f t="shared" ref="I922:I933" si="58">PRODUCT(C922:H922)</f>
        <v>4</v>
      </c>
      <c r="J922" s="1236"/>
    </row>
    <row r="923" spans="1:10" ht="24.95" customHeight="1">
      <c r="A923" s="1237"/>
      <c r="B923" s="1247" t="s">
        <v>5608</v>
      </c>
      <c r="C923" s="1234">
        <v>1</v>
      </c>
      <c r="D923" s="1234"/>
      <c r="E923" s="1234">
        <v>2</v>
      </c>
      <c r="F923" s="1235"/>
      <c r="G923" s="1235"/>
      <c r="H923" s="1248"/>
      <c r="I923" s="1248">
        <f t="shared" si="58"/>
        <v>2</v>
      </c>
      <c r="J923" s="1236"/>
    </row>
    <row r="924" spans="1:10" ht="24.95" customHeight="1">
      <c r="A924" s="1237"/>
      <c r="B924" s="1247" t="s">
        <v>5609</v>
      </c>
      <c r="C924" s="1234">
        <v>1</v>
      </c>
      <c r="D924" s="1234"/>
      <c r="E924" s="1234">
        <v>1</v>
      </c>
      <c r="F924" s="1235"/>
      <c r="G924" s="1235"/>
      <c r="H924" s="1248"/>
      <c r="I924" s="1248">
        <f t="shared" si="58"/>
        <v>1</v>
      </c>
      <c r="J924" s="1246"/>
    </row>
    <row r="925" spans="1:10" ht="24.95" customHeight="1">
      <c r="A925" s="1237"/>
      <c r="B925" s="1247" t="s">
        <v>5577</v>
      </c>
      <c r="C925" s="1234">
        <v>2</v>
      </c>
      <c r="D925" s="1234"/>
      <c r="E925" s="1234">
        <v>3</v>
      </c>
      <c r="F925" s="1235"/>
      <c r="G925" s="1235"/>
      <c r="H925" s="1248"/>
      <c r="I925" s="1248">
        <f t="shared" si="58"/>
        <v>6</v>
      </c>
      <c r="J925" s="1236"/>
    </row>
    <row r="926" spans="1:10" ht="24.95" customHeight="1">
      <c r="A926" s="1237"/>
      <c r="B926" s="1247" t="s">
        <v>5786</v>
      </c>
      <c r="C926" s="1234">
        <v>2</v>
      </c>
      <c r="D926" s="1234"/>
      <c r="E926" s="1234">
        <v>5</v>
      </c>
      <c r="F926" s="1235"/>
      <c r="G926" s="1235"/>
      <c r="H926" s="1248"/>
      <c r="I926" s="1248">
        <f t="shared" si="58"/>
        <v>10</v>
      </c>
      <c r="J926" s="1236"/>
    </row>
    <row r="927" spans="1:10" ht="24.95" customHeight="1">
      <c r="A927" s="1237"/>
      <c r="B927" s="1247" t="s">
        <v>5458</v>
      </c>
      <c r="C927" s="1234">
        <v>1</v>
      </c>
      <c r="D927" s="1234"/>
      <c r="E927" s="1234">
        <v>1</v>
      </c>
      <c r="F927" s="1235"/>
      <c r="G927" s="1235"/>
      <c r="H927" s="1248"/>
      <c r="I927" s="1248">
        <f t="shared" si="58"/>
        <v>1</v>
      </c>
      <c r="J927" s="1236"/>
    </row>
    <row r="928" spans="1:10" ht="24.95" customHeight="1">
      <c r="A928" s="1237"/>
      <c r="B928" s="1247" t="s">
        <v>5419</v>
      </c>
      <c r="C928" s="1234">
        <v>1</v>
      </c>
      <c r="D928" s="1234"/>
      <c r="E928" s="1234">
        <v>1</v>
      </c>
      <c r="F928" s="1235"/>
      <c r="G928" s="1235"/>
      <c r="H928" s="1248"/>
      <c r="I928" s="1248">
        <f t="shared" si="58"/>
        <v>1</v>
      </c>
      <c r="J928" s="1236"/>
    </row>
    <row r="929" spans="1:10" ht="24.95" customHeight="1">
      <c r="A929" s="1237"/>
      <c r="B929" s="1247" t="s">
        <v>5416</v>
      </c>
      <c r="C929" s="1234">
        <v>1</v>
      </c>
      <c r="D929" s="1234"/>
      <c r="E929" s="1234">
        <v>1</v>
      </c>
      <c r="F929" s="1235"/>
      <c r="G929" s="1235"/>
      <c r="H929" s="1248"/>
      <c r="I929" s="1248">
        <f t="shared" si="58"/>
        <v>1</v>
      </c>
      <c r="J929" s="1236"/>
    </row>
    <row r="930" spans="1:10" ht="24.95" customHeight="1">
      <c r="A930" s="1237"/>
      <c r="B930" s="1247" t="s">
        <v>5823</v>
      </c>
      <c r="C930" s="1234">
        <v>2</v>
      </c>
      <c r="D930" s="1234"/>
      <c r="E930" s="1234">
        <v>5</v>
      </c>
      <c r="F930" s="1235"/>
      <c r="G930" s="1235"/>
      <c r="H930" s="1248"/>
      <c r="I930" s="1248">
        <f t="shared" si="58"/>
        <v>10</v>
      </c>
      <c r="J930" s="1236"/>
    </row>
    <row r="931" spans="1:10" ht="24.95" customHeight="1">
      <c r="A931" s="1237"/>
      <c r="B931" s="1247" t="s">
        <v>5553</v>
      </c>
      <c r="C931" s="1234">
        <v>1</v>
      </c>
      <c r="D931" s="1234"/>
      <c r="E931" s="1234">
        <v>1</v>
      </c>
      <c r="F931" s="1235"/>
      <c r="G931" s="1235"/>
      <c r="H931" s="1248"/>
      <c r="I931" s="1248">
        <f t="shared" si="58"/>
        <v>1</v>
      </c>
      <c r="J931" s="1236"/>
    </row>
    <row r="932" spans="1:10" ht="24.95" customHeight="1">
      <c r="A932" s="1237"/>
      <c r="B932" s="1247" t="s">
        <v>5730</v>
      </c>
      <c r="C932" s="1234">
        <v>1</v>
      </c>
      <c r="D932" s="1234"/>
      <c r="E932" s="1234">
        <v>3</v>
      </c>
      <c r="F932" s="1235"/>
      <c r="G932" s="1235"/>
      <c r="H932" s="1248"/>
      <c r="I932" s="1248">
        <f t="shared" si="58"/>
        <v>3</v>
      </c>
      <c r="J932" s="1236"/>
    </row>
    <row r="933" spans="1:10" ht="24.95" customHeight="1">
      <c r="A933" s="1237"/>
      <c r="B933" s="1247" t="s">
        <v>5787</v>
      </c>
      <c r="C933" s="1234">
        <v>1</v>
      </c>
      <c r="D933" s="1234"/>
      <c r="E933" s="1234">
        <v>1</v>
      </c>
      <c r="F933" s="1235"/>
      <c r="G933" s="1235"/>
      <c r="H933" s="1248"/>
      <c r="I933" s="1248">
        <f t="shared" si="58"/>
        <v>1</v>
      </c>
      <c r="J933" s="1236"/>
    </row>
    <row r="934" spans="1:10" ht="24.95" customHeight="1">
      <c r="A934" s="1237"/>
      <c r="B934" s="1247"/>
      <c r="C934" s="1234"/>
      <c r="D934" s="1234"/>
      <c r="E934" s="1234"/>
      <c r="F934" s="1235"/>
      <c r="G934" s="1235"/>
      <c r="H934" s="1249" t="s">
        <v>5423</v>
      </c>
      <c r="I934" s="1249">
        <f>SUM(I922:I933)</f>
        <v>41</v>
      </c>
      <c r="J934" s="1246" t="s">
        <v>1739</v>
      </c>
    </row>
    <row r="935" spans="1:10" ht="24.95" customHeight="1">
      <c r="A935" s="1237"/>
      <c r="B935" s="1247"/>
      <c r="C935" s="1234"/>
      <c r="D935" s="1234"/>
      <c r="E935" s="1234"/>
      <c r="F935" s="1235"/>
      <c r="G935" s="1235"/>
      <c r="H935" s="1248"/>
      <c r="I935" s="1248"/>
      <c r="J935" s="1236"/>
    </row>
    <row r="936" spans="1:10" ht="24.95" customHeight="1">
      <c r="A936" s="1237"/>
      <c r="B936" s="1233" t="s">
        <v>5826</v>
      </c>
      <c r="C936" s="1234">
        <v>1</v>
      </c>
      <c r="D936" s="1234"/>
      <c r="E936" s="1234">
        <v>1</v>
      </c>
      <c r="F936" s="1235"/>
      <c r="G936" s="1235"/>
      <c r="H936" s="1249"/>
      <c r="I936" s="1249">
        <v>2</v>
      </c>
      <c r="J936" s="1246" t="s">
        <v>1418</v>
      </c>
    </row>
    <row r="937" spans="1:10" ht="24.95" customHeight="1">
      <c r="A937" s="1237"/>
      <c r="B937" s="1233"/>
      <c r="C937" s="1234"/>
      <c r="D937" s="1234"/>
      <c r="E937" s="1234"/>
      <c r="F937" s="1313"/>
      <c r="G937" s="1313"/>
      <c r="H937" s="1313"/>
      <c r="I937" s="1313"/>
      <c r="J937" s="1246"/>
    </row>
    <row r="938" spans="1:10" ht="87" customHeight="1">
      <c r="A938" s="1258" t="s">
        <v>5827</v>
      </c>
      <c r="B938" s="1233" t="s">
        <v>5828</v>
      </c>
      <c r="C938" s="1234"/>
      <c r="D938" s="1234"/>
      <c r="E938" s="1234"/>
      <c r="F938" s="1235"/>
      <c r="G938" s="1235"/>
      <c r="H938" s="1235"/>
      <c r="I938" s="1235"/>
      <c r="J938" s="1236"/>
    </row>
    <row r="939" spans="1:10" ht="24.95" customHeight="1">
      <c r="A939" s="1237"/>
      <c r="B939" s="1247" t="s">
        <v>5727</v>
      </c>
      <c r="C939" s="1234">
        <v>1</v>
      </c>
      <c r="D939" s="1234"/>
      <c r="E939" s="1234">
        <v>1</v>
      </c>
      <c r="F939" s="1235"/>
      <c r="G939" s="1248"/>
      <c r="H939" s="1248"/>
      <c r="I939" s="1248">
        <f t="shared" ref="I939:I947" si="59">PRODUCT(C939:H939)</f>
        <v>1</v>
      </c>
      <c r="J939" s="1236"/>
    </row>
    <row r="940" spans="1:10" ht="24.95" customHeight="1">
      <c r="A940" s="1237"/>
      <c r="B940" s="1247" t="s">
        <v>5419</v>
      </c>
      <c r="C940" s="1234">
        <v>1</v>
      </c>
      <c r="D940" s="1234"/>
      <c r="E940" s="1234">
        <v>2</v>
      </c>
      <c r="F940" s="1235"/>
      <c r="G940" s="1248"/>
      <c r="H940" s="1248"/>
      <c r="I940" s="1248">
        <f t="shared" si="59"/>
        <v>2</v>
      </c>
      <c r="J940" s="1236"/>
    </row>
    <row r="941" spans="1:10" ht="24.95" customHeight="1">
      <c r="A941" s="1237"/>
      <c r="B941" s="1247" t="s">
        <v>5540</v>
      </c>
      <c r="C941" s="1234">
        <v>1</v>
      </c>
      <c r="D941" s="1234"/>
      <c r="E941" s="1234">
        <v>2</v>
      </c>
      <c r="F941" s="1235"/>
      <c r="G941" s="1248"/>
      <c r="H941" s="1248"/>
      <c r="I941" s="1248">
        <f t="shared" si="59"/>
        <v>2</v>
      </c>
      <c r="J941" s="1236"/>
    </row>
    <row r="942" spans="1:10" ht="24.95" customHeight="1">
      <c r="A942" s="1237"/>
      <c r="B942" s="1247" t="s">
        <v>5540</v>
      </c>
      <c r="C942" s="1234">
        <v>1</v>
      </c>
      <c r="D942" s="1234"/>
      <c r="E942" s="1234">
        <v>1</v>
      </c>
      <c r="F942" s="1235"/>
      <c r="G942" s="1248"/>
      <c r="H942" s="1248"/>
      <c r="I942" s="1248">
        <f t="shared" si="59"/>
        <v>1</v>
      </c>
      <c r="J942" s="1236"/>
    </row>
    <row r="943" spans="1:10" ht="24.95" customHeight="1">
      <c r="A943" s="1237"/>
      <c r="B943" s="1247" t="s">
        <v>5728</v>
      </c>
      <c r="C943" s="1234">
        <v>1</v>
      </c>
      <c r="D943" s="1234"/>
      <c r="E943" s="1234">
        <v>1</v>
      </c>
      <c r="F943" s="1235"/>
      <c r="G943" s="1248"/>
      <c r="H943" s="1248"/>
      <c r="I943" s="1248">
        <f t="shared" si="59"/>
        <v>1</v>
      </c>
      <c r="J943" s="1236"/>
    </row>
    <row r="944" spans="1:10" ht="24.95" customHeight="1">
      <c r="A944" s="1237"/>
      <c r="B944" s="1247" t="s">
        <v>5729</v>
      </c>
      <c r="C944" s="1234">
        <v>1</v>
      </c>
      <c r="D944" s="1234"/>
      <c r="E944" s="1234">
        <v>1</v>
      </c>
      <c r="F944" s="1235"/>
      <c r="G944" s="1248"/>
      <c r="H944" s="1248"/>
      <c r="I944" s="1248">
        <f t="shared" si="59"/>
        <v>1</v>
      </c>
      <c r="J944" s="1236"/>
    </row>
    <row r="945" spans="1:10" ht="24.95" customHeight="1">
      <c r="A945" s="1237"/>
      <c r="B945" s="1247" t="s">
        <v>5616</v>
      </c>
      <c r="C945" s="1234">
        <v>1</v>
      </c>
      <c r="D945" s="1234"/>
      <c r="E945" s="1234">
        <v>1</v>
      </c>
      <c r="F945" s="1235"/>
      <c r="G945" s="1248"/>
      <c r="H945" s="1248"/>
      <c r="I945" s="1248">
        <f t="shared" si="59"/>
        <v>1</v>
      </c>
      <c r="J945" s="1236"/>
    </row>
    <row r="946" spans="1:10" ht="24.95" customHeight="1">
      <c r="A946" s="1237"/>
      <c r="B946" s="1247" t="s">
        <v>5728</v>
      </c>
      <c r="C946" s="1234">
        <v>1</v>
      </c>
      <c r="D946" s="1234"/>
      <c r="E946" s="1234">
        <v>1</v>
      </c>
      <c r="F946" s="1235"/>
      <c r="G946" s="1248"/>
      <c r="H946" s="1248"/>
      <c r="I946" s="1248">
        <f t="shared" si="59"/>
        <v>1</v>
      </c>
      <c r="J946" s="1236"/>
    </row>
    <row r="947" spans="1:10" ht="24.95" customHeight="1">
      <c r="A947" s="1237"/>
      <c r="B947" s="1247" t="s">
        <v>5730</v>
      </c>
      <c r="C947" s="1234">
        <v>3</v>
      </c>
      <c r="D947" s="1234"/>
      <c r="E947" s="1234">
        <v>2</v>
      </c>
      <c r="F947" s="1235"/>
      <c r="G947" s="1248"/>
      <c r="H947" s="1248"/>
      <c r="I947" s="1248">
        <f t="shared" si="59"/>
        <v>6</v>
      </c>
      <c r="J947" s="1236"/>
    </row>
    <row r="948" spans="1:10" ht="24.95" customHeight="1">
      <c r="A948" s="1237"/>
      <c r="B948" s="1247"/>
      <c r="C948" s="1234"/>
      <c r="D948" s="1234"/>
      <c r="E948" s="1234"/>
      <c r="F948" s="1235"/>
      <c r="G948" s="1248"/>
      <c r="H948" s="1249" t="s">
        <v>5423</v>
      </c>
      <c r="I948" s="1249">
        <f>SUM(I939:I947)</f>
        <v>16</v>
      </c>
      <c r="J948" s="1246" t="s">
        <v>1739</v>
      </c>
    </row>
    <row r="949" spans="1:10" ht="24.95" customHeight="1">
      <c r="A949" s="1237">
        <v>66</v>
      </c>
      <c r="B949" s="1247" t="s">
        <v>302</v>
      </c>
      <c r="C949" s="1234"/>
      <c r="D949" s="1234"/>
      <c r="E949" s="1234"/>
      <c r="F949" s="1235"/>
      <c r="G949" s="1248"/>
      <c r="H949" s="1249"/>
      <c r="I949" s="1249"/>
      <c r="J949" s="1246"/>
    </row>
    <row r="950" spans="1:10" ht="24.95" customHeight="1">
      <c r="A950" s="1237"/>
      <c r="B950" s="1247" t="s">
        <v>5472</v>
      </c>
      <c r="C950" s="1234">
        <v>1</v>
      </c>
      <c r="D950" s="1234" t="s">
        <v>5404</v>
      </c>
      <c r="E950" s="1234">
        <v>2</v>
      </c>
      <c r="F950" s="1235">
        <v>1</v>
      </c>
      <c r="G950" s="1248"/>
      <c r="H950" s="1249"/>
      <c r="I950" s="1248">
        <f>PRODUCT(C950:H950)</f>
        <v>2</v>
      </c>
      <c r="J950" s="1246" t="s">
        <v>1452</v>
      </c>
    </row>
    <row r="951" spans="1:10" ht="99" customHeight="1">
      <c r="A951" s="1258" t="s">
        <v>5829</v>
      </c>
      <c r="B951" s="1233" t="s">
        <v>5830</v>
      </c>
      <c r="C951" s="1234"/>
      <c r="D951" s="1234"/>
      <c r="E951" s="1234"/>
      <c r="F951" s="1235"/>
      <c r="G951" s="1235"/>
      <c r="H951" s="1235"/>
      <c r="I951" s="1235"/>
      <c r="J951" s="1236"/>
    </row>
    <row r="952" spans="1:10" ht="24.95" customHeight="1">
      <c r="A952" s="1237"/>
      <c r="B952" s="1247" t="s">
        <v>5727</v>
      </c>
      <c r="C952" s="1234">
        <v>1</v>
      </c>
      <c r="D952" s="1234"/>
      <c r="E952" s="1234">
        <v>1</v>
      </c>
      <c r="F952" s="1235"/>
      <c r="G952" s="1248"/>
      <c r="H952" s="1248"/>
      <c r="I952" s="1248">
        <v>1</v>
      </c>
      <c r="J952" s="1236"/>
    </row>
    <row r="953" spans="1:10" ht="24.95" customHeight="1">
      <c r="A953" s="1237"/>
      <c r="B953" s="1247" t="s">
        <v>5419</v>
      </c>
      <c r="C953" s="1234">
        <v>1</v>
      </c>
      <c r="D953" s="1234"/>
      <c r="E953" s="1234">
        <v>2</v>
      </c>
      <c r="F953" s="1235"/>
      <c r="G953" s="1248"/>
      <c r="H953" s="1248"/>
      <c r="I953" s="1248">
        <v>2</v>
      </c>
      <c r="J953" s="1246"/>
    </row>
    <row r="954" spans="1:10" ht="24.95" customHeight="1">
      <c r="A954" s="1237"/>
      <c r="B954" s="1247" t="s">
        <v>5540</v>
      </c>
      <c r="C954" s="1234">
        <v>1</v>
      </c>
      <c r="D954" s="1234"/>
      <c r="E954" s="1234">
        <v>2</v>
      </c>
      <c r="F954" s="1235"/>
      <c r="G954" s="1248"/>
      <c r="H954" s="1248"/>
      <c r="I954" s="1248">
        <v>2</v>
      </c>
      <c r="J954" s="1236"/>
    </row>
    <row r="955" spans="1:10" ht="24.95" customHeight="1">
      <c r="A955" s="1237"/>
      <c r="B955" s="1247" t="s">
        <v>5540</v>
      </c>
      <c r="C955" s="1234">
        <v>1</v>
      </c>
      <c r="D955" s="1234"/>
      <c r="E955" s="1234">
        <v>1</v>
      </c>
      <c r="F955" s="1235"/>
      <c r="G955" s="1248"/>
      <c r="H955" s="1248"/>
      <c r="I955" s="1248">
        <v>1</v>
      </c>
      <c r="J955" s="1236"/>
    </row>
    <row r="956" spans="1:10" ht="24.95" customHeight="1">
      <c r="A956" s="1237"/>
      <c r="B956" s="1247" t="s">
        <v>5728</v>
      </c>
      <c r="C956" s="1234">
        <v>1</v>
      </c>
      <c r="D956" s="1234"/>
      <c r="E956" s="1234">
        <v>1</v>
      </c>
      <c r="F956" s="1235"/>
      <c r="G956" s="1248"/>
      <c r="H956" s="1248"/>
      <c r="I956" s="1248">
        <v>1</v>
      </c>
      <c r="J956" s="1236"/>
    </row>
    <row r="957" spans="1:10" ht="24.95" customHeight="1">
      <c r="A957" s="1237"/>
      <c r="B957" s="1247" t="s">
        <v>5729</v>
      </c>
      <c r="C957" s="1234">
        <v>1</v>
      </c>
      <c r="D957" s="1234"/>
      <c r="E957" s="1234">
        <v>1</v>
      </c>
      <c r="F957" s="1235"/>
      <c r="G957" s="1248"/>
      <c r="H957" s="1248"/>
      <c r="I957" s="1248">
        <v>1</v>
      </c>
      <c r="J957" s="1236"/>
    </row>
    <row r="958" spans="1:10" ht="24.95" customHeight="1">
      <c r="A958" s="1237"/>
      <c r="B958" s="1247" t="s">
        <v>5616</v>
      </c>
      <c r="C958" s="1234">
        <v>1</v>
      </c>
      <c r="D958" s="1234"/>
      <c r="E958" s="1234">
        <v>1</v>
      </c>
      <c r="F958" s="1235"/>
      <c r="G958" s="1248"/>
      <c r="H958" s="1248"/>
      <c r="I958" s="1248">
        <v>1</v>
      </c>
      <c r="J958" s="1236"/>
    </row>
    <row r="959" spans="1:10" ht="24.95" customHeight="1">
      <c r="A959" s="1237"/>
      <c r="B959" s="1247" t="s">
        <v>5728</v>
      </c>
      <c r="C959" s="1234">
        <v>1</v>
      </c>
      <c r="D959" s="1234"/>
      <c r="E959" s="1234">
        <v>1</v>
      </c>
      <c r="F959" s="1235"/>
      <c r="G959" s="1248"/>
      <c r="H959" s="1248"/>
      <c r="I959" s="1248">
        <v>1</v>
      </c>
      <c r="J959" s="1236"/>
    </row>
    <row r="960" spans="1:10" ht="24.95" customHeight="1">
      <c r="A960" s="1237"/>
      <c r="B960" s="1247" t="s">
        <v>5730</v>
      </c>
      <c r="C960" s="1234">
        <v>3</v>
      </c>
      <c r="D960" s="1234"/>
      <c r="E960" s="1234">
        <v>2</v>
      </c>
      <c r="F960" s="1235"/>
      <c r="G960" s="1248"/>
      <c r="H960" s="1248"/>
      <c r="I960" s="1248">
        <v>6</v>
      </c>
      <c r="J960" s="1236"/>
    </row>
    <row r="961" spans="1:11" ht="24.95" customHeight="1">
      <c r="A961" s="1237"/>
      <c r="B961" s="1247"/>
      <c r="C961" s="1234"/>
      <c r="D961" s="1234"/>
      <c r="E961" s="1234"/>
      <c r="F961" s="1235"/>
      <c r="G961" s="1248"/>
      <c r="H961" s="1248" t="s">
        <v>5423</v>
      </c>
      <c r="I961" s="1248">
        <f>SUM(I952:I960)</f>
        <v>16</v>
      </c>
      <c r="J961" s="1236" t="s">
        <v>1739</v>
      </c>
    </row>
    <row r="962" spans="1:11" ht="96" customHeight="1">
      <c r="A962" s="1258" t="s">
        <v>5831</v>
      </c>
      <c r="B962" s="1233" t="s">
        <v>5832</v>
      </c>
      <c r="C962" s="1234"/>
      <c r="D962" s="1234"/>
      <c r="E962" s="1234"/>
      <c r="F962" s="1235"/>
      <c r="G962" s="1235"/>
      <c r="H962" s="1235"/>
      <c r="I962" s="1235"/>
      <c r="J962" s="1236"/>
    </row>
    <row r="963" spans="1:11" ht="24.95" customHeight="1">
      <c r="A963" s="1237"/>
      <c r="B963" s="1247" t="s">
        <v>5727</v>
      </c>
      <c r="C963" s="1234">
        <v>1</v>
      </c>
      <c r="D963" s="1234"/>
      <c r="E963" s="1234">
        <v>1</v>
      </c>
      <c r="F963" s="1235"/>
      <c r="G963" s="1235"/>
      <c r="H963" s="1248"/>
      <c r="I963" s="1248">
        <v>1</v>
      </c>
      <c r="J963" s="1236"/>
    </row>
    <row r="964" spans="1:11" ht="24.95" customHeight="1">
      <c r="A964" s="1237"/>
      <c r="B964" s="1247" t="s">
        <v>5419</v>
      </c>
      <c r="C964" s="1234">
        <v>1</v>
      </c>
      <c r="D964" s="1234"/>
      <c r="E964" s="1234">
        <v>2</v>
      </c>
      <c r="F964" s="1235"/>
      <c r="G964" s="1235"/>
      <c r="H964" s="1248"/>
      <c r="I964" s="1248">
        <v>2</v>
      </c>
      <c r="J964" s="1236"/>
    </row>
    <row r="965" spans="1:11" ht="24.95" customHeight="1">
      <c r="A965" s="1237"/>
      <c r="B965" s="1247" t="s">
        <v>5540</v>
      </c>
      <c r="C965" s="1234">
        <v>1</v>
      </c>
      <c r="D965" s="1234"/>
      <c r="E965" s="1234">
        <v>1</v>
      </c>
      <c r="F965" s="1235"/>
      <c r="G965" s="1235"/>
      <c r="H965" s="1248"/>
      <c r="I965" s="1248">
        <v>2</v>
      </c>
      <c r="J965" s="1236"/>
    </row>
    <row r="966" spans="1:11" ht="24.95" customHeight="1">
      <c r="A966" s="1237"/>
      <c r="B966" s="1247" t="s">
        <v>5540</v>
      </c>
      <c r="C966" s="1234">
        <v>1</v>
      </c>
      <c r="D966" s="1234"/>
      <c r="E966" s="1234">
        <v>1</v>
      </c>
      <c r="F966" s="1235"/>
      <c r="G966" s="1235"/>
      <c r="H966" s="1248"/>
      <c r="I966" s="1248">
        <v>1</v>
      </c>
      <c r="J966" s="1236"/>
    </row>
    <row r="967" spans="1:11" ht="24.95" customHeight="1">
      <c r="A967" s="1237"/>
      <c r="B967" s="1247" t="s">
        <v>5729</v>
      </c>
      <c r="C967" s="1234">
        <v>1</v>
      </c>
      <c r="D967" s="1234"/>
      <c r="E967" s="1234">
        <v>1</v>
      </c>
      <c r="F967" s="1235"/>
      <c r="G967" s="1235"/>
      <c r="H967" s="1248"/>
      <c r="I967" s="1248">
        <v>1</v>
      </c>
      <c r="J967" s="1236"/>
    </row>
    <row r="968" spans="1:11" ht="24.95" customHeight="1">
      <c r="A968" s="1237"/>
      <c r="B968" s="1247" t="s">
        <v>5616</v>
      </c>
      <c r="C968" s="1234">
        <v>1</v>
      </c>
      <c r="D968" s="1234"/>
      <c r="E968" s="1234">
        <v>1</v>
      </c>
      <c r="F968" s="1235"/>
      <c r="G968" s="1235"/>
      <c r="H968" s="1248"/>
      <c r="I968" s="1248">
        <v>1</v>
      </c>
      <c r="J968" s="1236"/>
    </row>
    <row r="969" spans="1:11" ht="24.95" customHeight="1">
      <c r="A969" s="1237"/>
      <c r="B969" s="1247" t="s">
        <v>5730</v>
      </c>
      <c r="C969" s="1234">
        <v>3</v>
      </c>
      <c r="D969" s="1234"/>
      <c r="E969" s="1234">
        <v>2</v>
      </c>
      <c r="F969" s="1235"/>
      <c r="G969" s="1235"/>
      <c r="H969" s="1248"/>
      <c r="I969" s="1248">
        <v>6</v>
      </c>
      <c r="J969" s="1236"/>
    </row>
    <row r="970" spans="1:11" ht="24.95" customHeight="1">
      <c r="A970" s="1237"/>
      <c r="B970" s="1247"/>
      <c r="C970" s="1234"/>
      <c r="D970" s="1234"/>
      <c r="E970" s="1234"/>
      <c r="F970" s="1235"/>
      <c r="G970" s="1235"/>
      <c r="H970" s="1248" t="s">
        <v>5423</v>
      </c>
      <c r="I970" s="1248">
        <f>SUM(I963:I969)</f>
        <v>14</v>
      </c>
      <c r="J970" s="1236"/>
    </row>
    <row r="971" spans="1:11" ht="24.95" customHeight="1">
      <c r="A971" s="1237"/>
      <c r="B971" s="1233"/>
      <c r="C971" s="1234"/>
      <c r="D971" s="1234"/>
      <c r="E971" s="1234"/>
      <c r="F971" s="1313"/>
      <c r="G971" s="1313"/>
      <c r="H971" s="1313"/>
      <c r="I971" s="1313"/>
      <c r="J971" s="1246"/>
    </row>
    <row r="972" spans="1:11" ht="24.95" customHeight="1">
      <c r="A972" s="1258">
        <v>69.099999999999994</v>
      </c>
      <c r="B972" s="1247" t="s">
        <v>5721</v>
      </c>
      <c r="C972" s="1234"/>
      <c r="D972" s="1234"/>
      <c r="E972" s="1234"/>
      <c r="F972" s="1235"/>
      <c r="G972" s="1235"/>
      <c r="H972" s="1235"/>
      <c r="I972" s="1235"/>
      <c r="J972" s="1236"/>
    </row>
    <row r="973" spans="1:11" ht="24.95" customHeight="1">
      <c r="A973" s="1237"/>
      <c r="B973" s="1247" t="s">
        <v>5539</v>
      </c>
      <c r="C973" s="1234">
        <v>1</v>
      </c>
      <c r="D973" s="1234"/>
      <c r="E973" s="1234">
        <v>1</v>
      </c>
      <c r="F973" s="1235"/>
      <c r="G973" s="1235"/>
      <c r="H973" s="1235"/>
      <c r="I973" s="1263">
        <v>1</v>
      </c>
      <c r="J973" s="1236"/>
    </row>
    <row r="974" spans="1:11" ht="24.95" customHeight="1">
      <c r="A974" s="1237"/>
      <c r="B974" s="1247" t="s">
        <v>5722</v>
      </c>
      <c r="C974" s="1234">
        <v>2</v>
      </c>
      <c r="D974" s="1234"/>
      <c r="E974" s="1234">
        <v>3</v>
      </c>
      <c r="F974" s="1235"/>
      <c r="G974" s="1235"/>
      <c r="H974" s="1235"/>
      <c r="I974" s="1263">
        <v>6</v>
      </c>
      <c r="J974" s="1236"/>
    </row>
    <row r="975" spans="1:11" ht="24.95" customHeight="1">
      <c r="A975" s="1237"/>
      <c r="B975" s="1247" t="s">
        <v>5723</v>
      </c>
      <c r="C975" s="1234">
        <v>2</v>
      </c>
      <c r="D975" s="1234"/>
      <c r="E975" s="1234">
        <v>1</v>
      </c>
      <c r="F975" s="1235"/>
      <c r="G975" s="1248"/>
      <c r="H975" s="1248"/>
      <c r="I975" s="1263">
        <f>PRODUCT(C975:H975)</f>
        <v>2</v>
      </c>
      <c r="J975" s="1246"/>
      <c r="K975" s="1278"/>
    </row>
    <row r="976" spans="1:11" ht="24.95" customHeight="1">
      <c r="A976" s="1237"/>
      <c r="B976" s="1247" t="s">
        <v>5724</v>
      </c>
      <c r="C976" s="1234">
        <v>1</v>
      </c>
      <c r="D976" s="1234"/>
      <c r="E976" s="1234">
        <v>4</v>
      </c>
      <c r="F976" s="1235"/>
      <c r="G976" s="1248"/>
      <c r="H976" s="1248"/>
      <c r="I976" s="1263">
        <f>PRODUCT(C976:H976)</f>
        <v>4</v>
      </c>
      <c r="J976" s="1246"/>
      <c r="K976" s="1278"/>
    </row>
    <row r="977" spans="1:11" ht="24.95" customHeight="1">
      <c r="A977" s="1237"/>
      <c r="B977" s="1247" t="s">
        <v>5723</v>
      </c>
      <c r="C977" s="1234">
        <v>3</v>
      </c>
      <c r="D977" s="1234"/>
      <c r="E977" s="1234">
        <v>2</v>
      </c>
      <c r="F977" s="1235"/>
      <c r="G977" s="1248"/>
      <c r="H977" s="1248"/>
      <c r="I977" s="1263">
        <v>6</v>
      </c>
      <c r="J977" s="1246"/>
      <c r="K977" s="1278"/>
    </row>
    <row r="978" spans="1:11" ht="24.95" customHeight="1">
      <c r="A978" s="1237"/>
      <c r="B978" s="1247" t="s">
        <v>5725</v>
      </c>
      <c r="C978" s="1234">
        <v>1</v>
      </c>
      <c r="D978" s="1234"/>
      <c r="E978" s="1234">
        <v>1</v>
      </c>
      <c r="F978" s="1235"/>
      <c r="G978" s="1248"/>
      <c r="H978" s="1248"/>
      <c r="I978" s="1263">
        <v>1</v>
      </c>
      <c r="J978" s="1246"/>
      <c r="K978" s="1278"/>
    </row>
    <row r="979" spans="1:11" ht="24.95" customHeight="1">
      <c r="A979" s="1237"/>
      <c r="B979" s="1247"/>
      <c r="C979" s="1234"/>
      <c r="D979" s="1234"/>
      <c r="E979" s="1234"/>
      <c r="F979" s="1235"/>
      <c r="G979" s="1248"/>
      <c r="H979" s="1249" t="s">
        <v>5423</v>
      </c>
      <c r="I979" s="1294">
        <f>SUM(I973:I978)</f>
        <v>20</v>
      </c>
      <c r="J979" s="1246" t="s">
        <v>1739</v>
      </c>
      <c r="K979" s="1278"/>
    </row>
    <row r="980" spans="1:11" ht="24.95" customHeight="1">
      <c r="A980" s="1237"/>
      <c r="B980" s="1247"/>
      <c r="C980" s="1234"/>
      <c r="D980" s="1234"/>
      <c r="E980" s="1234"/>
      <c r="F980" s="1235"/>
      <c r="G980" s="1235"/>
      <c r="H980" s="1248"/>
      <c r="I980" s="1248"/>
      <c r="J980" s="1236"/>
    </row>
    <row r="981" spans="1:11" ht="24.95" customHeight="1">
      <c r="A981" s="1237">
        <v>70.099999999999994</v>
      </c>
      <c r="B981" s="1247" t="s">
        <v>1814</v>
      </c>
      <c r="C981" s="1234">
        <v>2</v>
      </c>
      <c r="D981" s="1234" t="s">
        <v>5404</v>
      </c>
      <c r="E981" s="1234">
        <v>3</v>
      </c>
      <c r="F981" s="1235">
        <v>1</v>
      </c>
      <c r="G981" s="1235"/>
      <c r="H981" s="1248"/>
      <c r="I981" s="1249">
        <v>6</v>
      </c>
      <c r="J981" s="1246" t="s">
        <v>1452</v>
      </c>
    </row>
    <row r="982" spans="1:11" ht="24.95" customHeight="1">
      <c r="A982" s="1237"/>
      <c r="B982" s="1247"/>
      <c r="C982" s="1234"/>
      <c r="D982" s="1234"/>
      <c r="E982" s="1234"/>
      <c r="F982" s="1313"/>
      <c r="G982" s="1313"/>
      <c r="H982" s="1248"/>
      <c r="I982" s="1249"/>
      <c r="J982" s="1246"/>
    </row>
    <row r="983" spans="1:11" ht="24.95" customHeight="1">
      <c r="A983" s="1274">
        <v>70.2</v>
      </c>
      <c r="B983" s="1274" t="s">
        <v>5833</v>
      </c>
      <c r="C983" s="1270"/>
      <c r="D983" s="1270"/>
      <c r="E983" s="1271"/>
      <c r="F983" s="1271"/>
      <c r="G983" s="1271"/>
      <c r="H983" s="1271"/>
      <c r="I983" s="1248"/>
      <c r="J983" s="1236"/>
    </row>
    <row r="984" spans="1:11" ht="24.95" customHeight="1">
      <c r="A984" s="1274"/>
      <c r="B984" s="1273" t="s">
        <v>5834</v>
      </c>
      <c r="C984" s="1270">
        <v>1</v>
      </c>
      <c r="D984" s="1234" t="s">
        <v>5404</v>
      </c>
      <c r="E984" s="1270">
        <v>10</v>
      </c>
      <c r="F984" s="1271"/>
      <c r="G984" s="1271"/>
      <c r="H984" s="1271"/>
      <c r="I984" s="1271">
        <f t="shared" ref="I984:I998" si="60">PRODUCT(C984:H984)</f>
        <v>10</v>
      </c>
      <c r="J984" s="1236"/>
    </row>
    <row r="985" spans="1:11" ht="24.95" customHeight="1">
      <c r="A985" s="1274"/>
      <c r="B985" s="1273" t="s">
        <v>5835</v>
      </c>
      <c r="C985" s="1270">
        <v>1</v>
      </c>
      <c r="D985" s="1234" t="s">
        <v>5404</v>
      </c>
      <c r="E985" s="1270">
        <v>2</v>
      </c>
      <c r="F985" s="1271"/>
      <c r="G985" s="1271"/>
      <c r="H985" s="1271"/>
      <c r="I985" s="1271">
        <f t="shared" si="60"/>
        <v>2</v>
      </c>
      <c r="J985" s="1236"/>
    </row>
    <row r="986" spans="1:11" ht="24.95" customHeight="1">
      <c r="A986" s="1274"/>
      <c r="B986" s="1273" t="s">
        <v>5785</v>
      </c>
      <c r="C986" s="1270">
        <v>1</v>
      </c>
      <c r="D986" s="1234" t="s">
        <v>5404</v>
      </c>
      <c r="E986" s="1270">
        <v>2</v>
      </c>
      <c r="F986" s="1271"/>
      <c r="G986" s="1271"/>
      <c r="H986" s="1271"/>
      <c r="I986" s="1271">
        <f t="shared" si="60"/>
        <v>2</v>
      </c>
      <c r="J986" s="1236"/>
    </row>
    <row r="987" spans="1:11" ht="24.95" customHeight="1">
      <c r="A987" s="1274"/>
      <c r="B987" s="1273" t="s">
        <v>5786</v>
      </c>
      <c r="C987" s="1270">
        <v>1</v>
      </c>
      <c r="D987" s="1234" t="s">
        <v>5404</v>
      </c>
      <c r="E987" s="1270">
        <v>10</v>
      </c>
      <c r="F987" s="1271"/>
      <c r="G987" s="1271"/>
      <c r="H987" s="1271"/>
      <c r="I987" s="1271">
        <f t="shared" si="60"/>
        <v>10</v>
      </c>
      <c r="J987" s="1236"/>
    </row>
    <row r="988" spans="1:11" ht="24.95" customHeight="1">
      <c r="A988" s="1274"/>
      <c r="B988" s="1273" t="s">
        <v>5608</v>
      </c>
      <c r="C988" s="1270">
        <v>1</v>
      </c>
      <c r="D988" s="1234" t="s">
        <v>5404</v>
      </c>
      <c r="E988" s="1270">
        <v>2</v>
      </c>
      <c r="F988" s="1271"/>
      <c r="G988" s="1271"/>
      <c r="H988" s="1271"/>
      <c r="I988" s="1271">
        <f t="shared" si="60"/>
        <v>2</v>
      </c>
      <c r="J988" s="1236"/>
    </row>
    <row r="989" spans="1:11" ht="24.95" customHeight="1">
      <c r="A989" s="1274"/>
      <c r="B989" s="1273" t="s">
        <v>5836</v>
      </c>
      <c r="C989" s="1270">
        <v>1</v>
      </c>
      <c r="D989" s="1234" t="s">
        <v>5404</v>
      </c>
      <c r="E989" s="1270">
        <v>2</v>
      </c>
      <c r="F989" s="1271"/>
      <c r="G989" s="1271"/>
      <c r="H989" s="1271"/>
      <c r="I989" s="1271">
        <f t="shared" si="60"/>
        <v>2</v>
      </c>
      <c r="J989" s="1236"/>
    </row>
    <row r="990" spans="1:11" ht="24.95" customHeight="1">
      <c r="A990" s="1274"/>
      <c r="B990" s="1273" t="s">
        <v>5837</v>
      </c>
      <c r="C990" s="1270">
        <v>1</v>
      </c>
      <c r="D990" s="1234" t="s">
        <v>5404</v>
      </c>
      <c r="E990" s="1270">
        <v>4</v>
      </c>
      <c r="F990" s="1271"/>
      <c r="G990" s="1271"/>
      <c r="H990" s="1271"/>
      <c r="I990" s="1271">
        <f t="shared" si="60"/>
        <v>4</v>
      </c>
      <c r="J990" s="1236"/>
    </row>
    <row r="991" spans="1:11" ht="24.95" customHeight="1">
      <c r="A991" s="1274"/>
      <c r="B991" s="1273" t="s">
        <v>5577</v>
      </c>
      <c r="C991" s="1270">
        <v>2</v>
      </c>
      <c r="D991" s="1234" t="s">
        <v>5404</v>
      </c>
      <c r="E991" s="1270">
        <v>4</v>
      </c>
      <c r="F991" s="1271"/>
      <c r="G991" s="1271"/>
      <c r="H991" s="1271"/>
      <c r="I991" s="1271">
        <f t="shared" si="60"/>
        <v>8</v>
      </c>
      <c r="J991" s="1236"/>
    </row>
    <row r="992" spans="1:11" ht="24.95" customHeight="1">
      <c r="A992" s="1274"/>
      <c r="B992" s="1273" t="s">
        <v>5838</v>
      </c>
      <c r="C992" s="1270">
        <v>1</v>
      </c>
      <c r="D992" s="1234" t="s">
        <v>5404</v>
      </c>
      <c r="E992" s="1270">
        <v>4</v>
      </c>
      <c r="F992" s="1271"/>
      <c r="G992" s="1271"/>
      <c r="H992" s="1271"/>
      <c r="I992" s="1271">
        <f t="shared" si="60"/>
        <v>4</v>
      </c>
      <c r="J992" s="1236"/>
    </row>
    <row r="993" spans="1:10" ht="24.95" customHeight="1">
      <c r="A993" s="1274"/>
      <c r="B993" s="1273" t="s">
        <v>5730</v>
      </c>
      <c r="C993" s="1270">
        <v>1</v>
      </c>
      <c r="D993" s="1234" t="s">
        <v>5404</v>
      </c>
      <c r="E993" s="1270">
        <v>4</v>
      </c>
      <c r="F993" s="1271"/>
      <c r="G993" s="1271"/>
      <c r="H993" s="1271"/>
      <c r="I993" s="1271">
        <f t="shared" si="60"/>
        <v>4</v>
      </c>
      <c r="J993" s="1236"/>
    </row>
    <row r="994" spans="1:10" ht="24.95" customHeight="1">
      <c r="A994" s="1274"/>
      <c r="B994" s="1273" t="s">
        <v>5553</v>
      </c>
      <c r="C994" s="1270">
        <v>1</v>
      </c>
      <c r="D994" s="1234" t="s">
        <v>5404</v>
      </c>
      <c r="E994" s="1270">
        <v>2</v>
      </c>
      <c r="F994" s="1271"/>
      <c r="G994" s="1271"/>
      <c r="H994" s="1271"/>
      <c r="I994" s="1271">
        <f t="shared" si="60"/>
        <v>2</v>
      </c>
      <c r="J994" s="1236"/>
    </row>
    <row r="995" spans="1:10" ht="24.95" customHeight="1">
      <c r="A995" s="1274"/>
      <c r="B995" s="1273" t="s">
        <v>5839</v>
      </c>
      <c r="C995" s="1270">
        <v>1</v>
      </c>
      <c r="D995" s="1234" t="s">
        <v>5404</v>
      </c>
      <c r="E995" s="1270">
        <v>5</v>
      </c>
      <c r="F995" s="1271"/>
      <c r="G995" s="1271"/>
      <c r="H995" s="1271"/>
      <c r="I995" s="1271">
        <f t="shared" si="60"/>
        <v>5</v>
      </c>
      <c r="J995" s="1236"/>
    </row>
    <row r="996" spans="1:10" ht="24.95" customHeight="1">
      <c r="A996" s="1274"/>
      <c r="B996" s="1273" t="s">
        <v>5836</v>
      </c>
      <c r="C996" s="1270">
        <v>1</v>
      </c>
      <c r="D996" s="1234" t="s">
        <v>5404</v>
      </c>
      <c r="E996" s="1270">
        <v>2</v>
      </c>
      <c r="F996" s="1271"/>
      <c r="G996" s="1271"/>
      <c r="H996" s="1271"/>
      <c r="I996" s="1271">
        <f t="shared" si="60"/>
        <v>2</v>
      </c>
      <c r="J996" s="1236"/>
    </row>
    <row r="997" spans="1:10" ht="25.5" customHeight="1">
      <c r="A997" s="1274"/>
      <c r="B997" s="1273" t="s">
        <v>5730</v>
      </c>
      <c r="C997" s="1270">
        <v>2</v>
      </c>
      <c r="D997" s="1234" t="s">
        <v>5404</v>
      </c>
      <c r="E997" s="1270">
        <v>4</v>
      </c>
      <c r="F997" s="1271"/>
      <c r="G997" s="1271"/>
      <c r="H997" s="1271"/>
      <c r="I997" s="1271">
        <f t="shared" si="60"/>
        <v>8</v>
      </c>
      <c r="J997" s="1236"/>
    </row>
    <row r="998" spans="1:10" ht="24.95" customHeight="1">
      <c r="A998" s="1274"/>
      <c r="B998" s="1273" t="s">
        <v>5840</v>
      </c>
      <c r="C998" s="1270">
        <v>2</v>
      </c>
      <c r="D998" s="1234" t="s">
        <v>5404</v>
      </c>
      <c r="E998" s="1270">
        <v>4</v>
      </c>
      <c r="F998" s="1271"/>
      <c r="G998" s="1271"/>
      <c r="H998" s="1271"/>
      <c r="I998" s="1271">
        <f t="shared" si="60"/>
        <v>8</v>
      </c>
      <c r="J998" s="1236"/>
    </row>
    <row r="999" spans="1:10" ht="24.95" customHeight="1">
      <c r="A999" s="1274"/>
      <c r="B999" s="1273"/>
      <c r="C999" s="1270"/>
      <c r="D999" s="1263"/>
      <c r="E999" s="1270"/>
      <c r="F999" s="1271"/>
      <c r="G999" s="1271"/>
      <c r="H999" s="1271"/>
      <c r="I999" s="1301">
        <f>+SUM(I984:I998)</f>
        <v>73</v>
      </c>
      <c r="J999" s="1246" t="s">
        <v>1452</v>
      </c>
    </row>
    <row r="1000" spans="1:10" ht="24.95" customHeight="1">
      <c r="A1000" s="1237"/>
      <c r="B1000" s="1247"/>
      <c r="C1000" s="1234"/>
      <c r="D1000" s="1234"/>
      <c r="E1000" s="1234"/>
      <c r="F1000" s="1313"/>
      <c r="G1000" s="1313"/>
      <c r="H1000" s="1248"/>
      <c r="I1000" s="1249"/>
      <c r="J1000" s="1246"/>
    </row>
    <row r="1001" spans="1:10" ht="42" customHeight="1">
      <c r="A1001" s="1258">
        <v>71.2</v>
      </c>
      <c r="B1001" s="1233" t="s">
        <v>5975</v>
      </c>
      <c r="C1001" s="1234"/>
      <c r="D1001" s="1234"/>
      <c r="E1001" s="1234"/>
      <c r="F1001" s="1235"/>
      <c r="G1001" s="1248"/>
      <c r="H1001" s="1248"/>
      <c r="I1001" s="1248"/>
      <c r="J1001" s="1246"/>
    </row>
    <row r="1002" spans="1:10" ht="24.95" customHeight="1">
      <c r="A1002" s="1237"/>
      <c r="B1002" s="1247"/>
      <c r="C1002" s="1234">
        <v>1</v>
      </c>
      <c r="D1002" s="1234"/>
      <c r="E1002" s="1234">
        <v>2</v>
      </c>
      <c r="F1002" s="1235"/>
      <c r="G1002" s="1248"/>
      <c r="H1002" s="1249" t="s">
        <v>4322</v>
      </c>
      <c r="I1002" s="1249">
        <f>PRODUCT(C1002:H1002)</f>
        <v>2</v>
      </c>
      <c r="J1002" s="1246" t="s">
        <v>1418</v>
      </c>
    </row>
    <row r="1003" spans="1:10" ht="24.95" customHeight="1">
      <c r="A1003" s="1258">
        <v>72</v>
      </c>
      <c r="B1003" s="1233" t="s">
        <v>5726</v>
      </c>
      <c r="C1003" s="1234"/>
      <c r="D1003" s="1234"/>
      <c r="E1003" s="1234"/>
      <c r="F1003" s="1235"/>
      <c r="G1003" s="1235"/>
      <c r="H1003" s="1235"/>
      <c r="I1003" s="1235"/>
      <c r="J1003" s="1236"/>
    </row>
    <row r="1004" spans="1:10" ht="24.95" customHeight="1">
      <c r="A1004" s="1237"/>
      <c r="B1004" s="1247" t="s">
        <v>5727</v>
      </c>
      <c r="C1004" s="1234">
        <v>1</v>
      </c>
      <c r="D1004" s="1234"/>
      <c r="E1004" s="1234">
        <v>1</v>
      </c>
      <c r="F1004" s="1235"/>
      <c r="G1004" s="1235"/>
      <c r="H1004" s="1235"/>
      <c r="I1004" s="1235">
        <v>1</v>
      </c>
      <c r="J1004" s="1236"/>
    </row>
    <row r="1005" spans="1:10" ht="24.95" customHeight="1">
      <c r="A1005" s="1237"/>
      <c r="B1005" s="1247" t="s">
        <v>5419</v>
      </c>
      <c r="C1005" s="1234">
        <v>1</v>
      </c>
      <c r="D1005" s="1234"/>
      <c r="E1005" s="1234">
        <v>2</v>
      </c>
      <c r="F1005" s="1235"/>
      <c r="G1005" s="1235"/>
      <c r="H1005" s="1235"/>
      <c r="I1005" s="1235">
        <v>2</v>
      </c>
      <c r="J1005" s="1236"/>
    </row>
    <row r="1006" spans="1:10" ht="24.95" customHeight="1">
      <c r="A1006" s="1237"/>
      <c r="B1006" s="1247" t="s">
        <v>5540</v>
      </c>
      <c r="C1006" s="1234">
        <v>1</v>
      </c>
      <c r="D1006" s="1234"/>
      <c r="E1006" s="1234">
        <v>2</v>
      </c>
      <c r="F1006" s="1235"/>
      <c r="G1006" s="1235"/>
      <c r="H1006" s="1235"/>
      <c r="I1006" s="1235">
        <v>2</v>
      </c>
      <c r="J1006" s="1236"/>
    </row>
    <row r="1007" spans="1:10" ht="24.95" customHeight="1">
      <c r="A1007" s="1237"/>
      <c r="B1007" s="1247" t="s">
        <v>5540</v>
      </c>
      <c r="C1007" s="1234">
        <v>1</v>
      </c>
      <c r="D1007" s="1234"/>
      <c r="E1007" s="1234">
        <v>1</v>
      </c>
      <c r="F1007" s="1235"/>
      <c r="G1007" s="1235"/>
      <c r="H1007" s="1235"/>
      <c r="I1007" s="1235">
        <v>1</v>
      </c>
      <c r="J1007" s="1236"/>
    </row>
    <row r="1008" spans="1:10" ht="24.95" customHeight="1">
      <c r="A1008" s="1237"/>
      <c r="B1008" s="1247" t="s">
        <v>5728</v>
      </c>
      <c r="C1008" s="1234">
        <v>1</v>
      </c>
      <c r="D1008" s="1234"/>
      <c r="E1008" s="1234">
        <v>1</v>
      </c>
      <c r="F1008" s="1235"/>
      <c r="G1008" s="1235"/>
      <c r="H1008" s="1235"/>
      <c r="I1008" s="1235">
        <v>1</v>
      </c>
      <c r="J1008" s="1236"/>
    </row>
    <row r="1009" spans="1:10" ht="24.95" customHeight="1">
      <c r="A1009" s="1237"/>
      <c r="B1009" s="1247" t="s">
        <v>5729</v>
      </c>
      <c r="C1009" s="1234">
        <v>1</v>
      </c>
      <c r="D1009" s="1234"/>
      <c r="E1009" s="1234">
        <v>1</v>
      </c>
      <c r="F1009" s="1235"/>
      <c r="G1009" s="1235"/>
      <c r="H1009" s="1235"/>
      <c r="I1009" s="1235">
        <v>1</v>
      </c>
      <c r="J1009" s="1236"/>
    </row>
    <row r="1010" spans="1:10" ht="24.95" customHeight="1">
      <c r="A1010" s="1237"/>
      <c r="B1010" s="1247" t="s">
        <v>5616</v>
      </c>
      <c r="C1010" s="1234">
        <v>1</v>
      </c>
      <c r="D1010" s="1234"/>
      <c r="E1010" s="1234">
        <v>1</v>
      </c>
      <c r="F1010" s="1235"/>
      <c r="G1010" s="1235"/>
      <c r="H1010" s="1235"/>
      <c r="I1010" s="1235">
        <v>1</v>
      </c>
      <c r="J1010" s="1236"/>
    </row>
    <row r="1011" spans="1:10" ht="24.95" customHeight="1">
      <c r="A1011" s="1237"/>
      <c r="B1011" s="1247" t="s">
        <v>5728</v>
      </c>
      <c r="C1011" s="1234">
        <v>1</v>
      </c>
      <c r="D1011" s="1234"/>
      <c r="E1011" s="1234">
        <v>1</v>
      </c>
      <c r="F1011" s="1235"/>
      <c r="G1011" s="1235"/>
      <c r="H1011" s="1235"/>
      <c r="I1011" s="1235">
        <v>1</v>
      </c>
      <c r="J1011" s="1236"/>
    </row>
    <row r="1012" spans="1:10" ht="33.75" customHeight="1">
      <c r="A1012" s="1237"/>
      <c r="B1012" s="1247" t="s">
        <v>5730</v>
      </c>
      <c r="C1012" s="1234">
        <v>3</v>
      </c>
      <c r="D1012" s="1234"/>
      <c r="E1012" s="1234">
        <v>2</v>
      </c>
      <c r="F1012" s="1235"/>
      <c r="G1012" s="1235"/>
      <c r="H1012" s="1235"/>
      <c r="I1012" s="1235">
        <v>6</v>
      </c>
      <c r="J1012" s="1236"/>
    </row>
    <row r="1013" spans="1:10" ht="29.25" customHeight="1">
      <c r="A1013" s="1237"/>
      <c r="B1013" s="1247"/>
      <c r="C1013" s="1234"/>
      <c r="D1013" s="1234"/>
      <c r="E1013" s="1234"/>
      <c r="F1013" s="1235"/>
      <c r="G1013" s="1235"/>
      <c r="H1013" s="1231" t="s">
        <v>5423</v>
      </c>
      <c r="I1013" s="1231">
        <v>16</v>
      </c>
      <c r="J1013" s="1246" t="s">
        <v>1739</v>
      </c>
    </row>
    <row r="1014" spans="1:10" ht="29.25" customHeight="1">
      <c r="A1014" s="1258">
        <v>73.099999999999994</v>
      </c>
      <c r="B1014" s="1233" t="s">
        <v>5976</v>
      </c>
      <c r="C1014" s="1234">
        <v>1</v>
      </c>
      <c r="D1014" s="1234"/>
      <c r="E1014" s="1234">
        <v>2</v>
      </c>
      <c r="F1014" s="1248"/>
      <c r="G1014" s="1248"/>
      <c r="H1014" s="1249" t="s">
        <v>4322</v>
      </c>
      <c r="I1014" s="1249">
        <f>E1014</f>
        <v>2</v>
      </c>
      <c r="J1014" s="1246" t="s">
        <v>1418</v>
      </c>
    </row>
    <row r="1015" spans="1:10" ht="29.25" customHeight="1">
      <c r="A1015" s="1258">
        <v>74</v>
      </c>
      <c r="B1015" s="1233" t="s">
        <v>5731</v>
      </c>
      <c r="C1015" s="1234"/>
      <c r="D1015" s="1234"/>
      <c r="E1015" s="1234"/>
      <c r="F1015" s="1235"/>
      <c r="G1015" s="1235"/>
      <c r="H1015" s="1235"/>
      <c r="I1015" s="1235"/>
      <c r="J1015" s="1246"/>
    </row>
    <row r="1016" spans="1:10" ht="29.25" customHeight="1">
      <c r="A1016" s="1237"/>
      <c r="B1016" s="1247" t="s">
        <v>5727</v>
      </c>
      <c r="C1016" s="1234">
        <v>1</v>
      </c>
      <c r="D1016" s="1234"/>
      <c r="E1016" s="1234">
        <v>1</v>
      </c>
      <c r="F1016" s="1235"/>
      <c r="G1016" s="1235"/>
      <c r="H1016" s="1235"/>
      <c r="I1016" s="1235">
        <v>1</v>
      </c>
      <c r="J1016" s="1246"/>
    </row>
    <row r="1017" spans="1:10" ht="24.95" customHeight="1">
      <c r="A1017" s="1237"/>
      <c r="B1017" s="1247" t="s">
        <v>5419</v>
      </c>
      <c r="C1017" s="1234">
        <v>1</v>
      </c>
      <c r="D1017" s="1234"/>
      <c r="E1017" s="1234">
        <v>2</v>
      </c>
      <c r="F1017" s="1235"/>
      <c r="G1017" s="1235"/>
      <c r="H1017" s="1235"/>
      <c r="I1017" s="1235">
        <v>2</v>
      </c>
      <c r="J1017" s="1246"/>
    </row>
    <row r="1018" spans="1:10" ht="24.95" customHeight="1">
      <c r="A1018" s="1237"/>
      <c r="B1018" s="1247" t="s">
        <v>5540</v>
      </c>
      <c r="C1018" s="1234">
        <v>1</v>
      </c>
      <c r="D1018" s="1234"/>
      <c r="E1018" s="1234">
        <v>2</v>
      </c>
      <c r="F1018" s="1235"/>
      <c r="G1018" s="1235"/>
      <c r="H1018" s="1235"/>
      <c r="I1018" s="1235">
        <v>2</v>
      </c>
      <c r="J1018" s="1246"/>
    </row>
    <row r="1019" spans="1:10" ht="24.95" customHeight="1">
      <c r="A1019" s="1237"/>
      <c r="B1019" s="1247" t="s">
        <v>5540</v>
      </c>
      <c r="C1019" s="1234">
        <v>1</v>
      </c>
      <c r="D1019" s="1234"/>
      <c r="E1019" s="1234">
        <v>1</v>
      </c>
      <c r="F1019" s="1235"/>
      <c r="G1019" s="1235"/>
      <c r="H1019" s="1235"/>
      <c r="I1019" s="1235">
        <v>1</v>
      </c>
      <c r="J1019" s="1246"/>
    </row>
    <row r="1020" spans="1:10" ht="24.95" customHeight="1">
      <c r="A1020" s="1237"/>
      <c r="B1020" s="1247" t="s">
        <v>5728</v>
      </c>
      <c r="C1020" s="1234">
        <v>1</v>
      </c>
      <c r="D1020" s="1234"/>
      <c r="E1020" s="1234">
        <v>1</v>
      </c>
      <c r="F1020" s="1235"/>
      <c r="G1020" s="1235"/>
      <c r="H1020" s="1235"/>
      <c r="I1020" s="1235">
        <v>1</v>
      </c>
      <c r="J1020" s="1246"/>
    </row>
    <row r="1021" spans="1:10" ht="24.95" customHeight="1">
      <c r="A1021" s="1237"/>
      <c r="B1021" s="1247" t="s">
        <v>5729</v>
      </c>
      <c r="C1021" s="1234">
        <v>1</v>
      </c>
      <c r="D1021" s="1234"/>
      <c r="E1021" s="1234">
        <v>1</v>
      </c>
      <c r="F1021" s="1235"/>
      <c r="G1021" s="1235"/>
      <c r="H1021" s="1235"/>
      <c r="I1021" s="1235">
        <v>1</v>
      </c>
      <c r="J1021" s="1246"/>
    </row>
    <row r="1022" spans="1:10" ht="24.95" customHeight="1">
      <c r="A1022" s="1237"/>
      <c r="B1022" s="1247" t="s">
        <v>5616</v>
      </c>
      <c r="C1022" s="1234">
        <v>1</v>
      </c>
      <c r="D1022" s="1234"/>
      <c r="E1022" s="1234">
        <v>1</v>
      </c>
      <c r="F1022" s="1235"/>
      <c r="G1022" s="1235"/>
      <c r="H1022" s="1235"/>
      <c r="I1022" s="1235">
        <v>1</v>
      </c>
      <c r="J1022" s="1246"/>
    </row>
    <row r="1023" spans="1:10" ht="24.95" customHeight="1">
      <c r="A1023" s="1237"/>
      <c r="B1023" s="1247" t="s">
        <v>5728</v>
      </c>
      <c r="C1023" s="1234">
        <v>1</v>
      </c>
      <c r="D1023" s="1234"/>
      <c r="E1023" s="1234">
        <v>1</v>
      </c>
      <c r="F1023" s="1235"/>
      <c r="G1023" s="1235"/>
      <c r="H1023" s="1235"/>
      <c r="I1023" s="1235">
        <v>1</v>
      </c>
      <c r="J1023" s="1246"/>
    </row>
    <row r="1024" spans="1:10" ht="24.95" customHeight="1">
      <c r="A1024" s="1237"/>
      <c r="B1024" s="1247" t="s">
        <v>5730</v>
      </c>
      <c r="C1024" s="1234">
        <v>3</v>
      </c>
      <c r="D1024" s="1234"/>
      <c r="E1024" s="1234">
        <v>2</v>
      </c>
      <c r="F1024" s="1235"/>
      <c r="G1024" s="1235"/>
      <c r="H1024" s="1235"/>
      <c r="I1024" s="1235">
        <v>6</v>
      </c>
      <c r="J1024" s="1246"/>
    </row>
    <row r="1025" spans="1:10" ht="24.95" customHeight="1">
      <c r="A1025" s="1237"/>
      <c r="B1025" s="1233"/>
      <c r="C1025" s="1234"/>
      <c r="D1025" s="1234"/>
      <c r="E1025" s="1234"/>
      <c r="F1025" s="1235"/>
      <c r="G1025" s="1235"/>
      <c r="H1025" s="1235" t="s">
        <v>5423</v>
      </c>
      <c r="I1025" s="1235">
        <f>SUM(I1016:I1024)</f>
        <v>16</v>
      </c>
      <c r="J1025" s="1246" t="s">
        <v>1739</v>
      </c>
    </row>
    <row r="1026" spans="1:10" ht="24.95" customHeight="1">
      <c r="A1026" s="1237"/>
      <c r="B1026" s="1247"/>
      <c r="C1026" s="1234"/>
      <c r="D1026" s="1234"/>
      <c r="E1026" s="1234"/>
      <c r="F1026" s="1248"/>
      <c r="G1026" s="1248"/>
      <c r="H1026" s="1249"/>
      <c r="I1026" s="1295"/>
      <c r="J1026" s="1246"/>
    </row>
    <row r="1027" spans="1:10" ht="24.95" customHeight="1">
      <c r="A1027" s="1258">
        <v>76</v>
      </c>
      <c r="B1027" s="1233" t="s">
        <v>5732</v>
      </c>
      <c r="C1027" s="1234">
        <v>1</v>
      </c>
      <c r="D1027" s="1234"/>
      <c r="E1027" s="1234">
        <v>1</v>
      </c>
      <c r="F1027" s="1248">
        <v>23</v>
      </c>
      <c r="G1027" s="1248"/>
      <c r="H1027" s="1248"/>
      <c r="I1027" s="1249">
        <f>PRODUCT(C1027:H1027)</f>
        <v>23</v>
      </c>
      <c r="J1027" s="1246" t="s">
        <v>835</v>
      </c>
    </row>
    <row r="1028" spans="1:10" ht="24.95" customHeight="1">
      <c r="A1028" s="1258">
        <v>77.3</v>
      </c>
      <c r="B1028" s="1233" t="s">
        <v>5733</v>
      </c>
      <c r="C1028" s="1234"/>
      <c r="D1028" s="1234"/>
      <c r="E1028" s="1234"/>
      <c r="F1028" s="1248"/>
      <c r="G1028" s="1248"/>
      <c r="H1028" s="1248"/>
      <c r="I1028" s="1248"/>
      <c r="J1028" s="1236"/>
    </row>
    <row r="1029" spans="1:10" ht="24.95" customHeight="1">
      <c r="A1029" s="1237"/>
      <c r="B1029" s="1247" t="s">
        <v>5734</v>
      </c>
      <c r="C1029" s="1234">
        <v>2</v>
      </c>
      <c r="D1029" s="1234"/>
      <c r="E1029" s="1234">
        <v>1</v>
      </c>
      <c r="F1029" s="1248"/>
      <c r="G1029" s="1248"/>
      <c r="H1029" s="1248"/>
      <c r="I1029" s="1248">
        <f>PRODUCT(C1029:H1029)</f>
        <v>2</v>
      </c>
      <c r="J1029" s="1236"/>
    </row>
    <row r="1030" spans="1:10" ht="24.95" customHeight="1">
      <c r="A1030" s="1237"/>
      <c r="B1030" s="1247" t="s">
        <v>5730</v>
      </c>
      <c r="C1030" s="1234">
        <v>3</v>
      </c>
      <c r="D1030" s="1234"/>
      <c r="E1030" s="1234">
        <v>1</v>
      </c>
      <c r="F1030" s="1248"/>
      <c r="G1030" s="1248"/>
      <c r="H1030" s="1248"/>
      <c r="I1030" s="1248">
        <f>PRODUCT(C1030:H1030)</f>
        <v>3</v>
      </c>
      <c r="J1030" s="1236"/>
    </row>
    <row r="1031" spans="1:10" ht="24.95" customHeight="1">
      <c r="A1031" s="1237"/>
      <c r="B1031" s="1247"/>
      <c r="C1031" s="1234"/>
      <c r="D1031" s="1234"/>
      <c r="E1031" s="1234"/>
      <c r="F1031" s="1248"/>
      <c r="G1031" s="1248"/>
      <c r="H1031" s="1248"/>
      <c r="I1031" s="1249">
        <f>SUM(I1029:I1030)</f>
        <v>5</v>
      </c>
      <c r="J1031" s="1246" t="s">
        <v>1452</v>
      </c>
    </row>
    <row r="1032" spans="1:10" ht="47.25" customHeight="1">
      <c r="A1032" s="1258">
        <v>77.400000000000006</v>
      </c>
      <c r="B1032" s="1233" t="s">
        <v>5735</v>
      </c>
      <c r="C1032" s="1234"/>
      <c r="D1032" s="1234"/>
      <c r="E1032" s="1234"/>
      <c r="F1032" s="1235"/>
      <c r="G1032" s="1235"/>
      <c r="H1032" s="1235"/>
      <c r="I1032" s="1235"/>
      <c r="J1032" s="1236"/>
    </row>
    <row r="1033" spans="1:10" ht="24.95" customHeight="1">
      <c r="A1033" s="1237"/>
      <c r="B1033" s="1247" t="s">
        <v>5736</v>
      </c>
      <c r="C1033" s="1234">
        <v>1</v>
      </c>
      <c r="D1033" s="1234"/>
      <c r="E1033" s="1234">
        <v>1</v>
      </c>
      <c r="F1033" s="1263">
        <v>6</v>
      </c>
      <c r="G1033" s="1263"/>
      <c r="H1033" s="1263"/>
      <c r="I1033" s="1249">
        <f>PRODUCT(C1033:H1033)</f>
        <v>6</v>
      </c>
      <c r="J1033" s="1246"/>
    </row>
    <row r="1034" spans="1:10" ht="24.95" customHeight="1">
      <c r="A1034" s="1237"/>
      <c r="B1034" s="1247" t="s">
        <v>5737</v>
      </c>
      <c r="C1034" s="1234">
        <v>4</v>
      </c>
      <c r="D1034" s="1234"/>
      <c r="E1034" s="1234">
        <v>1</v>
      </c>
      <c r="F1034" s="1263">
        <v>6</v>
      </c>
      <c r="G1034" s="1263"/>
      <c r="H1034" s="1263"/>
      <c r="I1034" s="1249">
        <f>PRODUCT(C1034:H1034)</f>
        <v>24</v>
      </c>
      <c r="J1034" s="1246"/>
    </row>
    <row r="1035" spans="1:10" ht="24.95" customHeight="1">
      <c r="A1035" s="1237"/>
      <c r="B1035" s="1247"/>
      <c r="C1035" s="1234"/>
      <c r="D1035" s="1234"/>
      <c r="E1035" s="1234"/>
      <c r="F1035" s="1263"/>
      <c r="G1035" s="1263"/>
      <c r="H1035" s="1263" t="s">
        <v>5423</v>
      </c>
      <c r="I1035" s="1249">
        <f>SUM(I1033:I1034)</f>
        <v>30</v>
      </c>
      <c r="J1035" s="1246" t="s">
        <v>835</v>
      </c>
    </row>
    <row r="1036" spans="1:10" ht="24.95" customHeight="1">
      <c r="A1036" s="1237"/>
      <c r="B1036" s="1247"/>
      <c r="C1036" s="1234"/>
      <c r="D1036" s="1234"/>
      <c r="E1036" s="1234"/>
      <c r="F1036" s="1263"/>
      <c r="G1036" s="1263"/>
      <c r="H1036" s="1263"/>
      <c r="I1036" s="1249"/>
      <c r="J1036" s="1246"/>
    </row>
    <row r="1037" spans="1:10" ht="24.95" customHeight="1">
      <c r="A1037" s="1258">
        <v>78</v>
      </c>
      <c r="B1037" s="1233" t="s">
        <v>5738</v>
      </c>
      <c r="C1037" s="1234">
        <v>1</v>
      </c>
      <c r="D1037" s="1234"/>
      <c r="E1037" s="1234">
        <v>2</v>
      </c>
      <c r="F1037" s="1263"/>
      <c r="G1037" s="1263"/>
      <c r="H1037" s="1263"/>
      <c r="I1037" s="1249">
        <f>PRODUCT(C1037:H1037)</f>
        <v>2</v>
      </c>
      <c r="J1037" s="1246" t="s">
        <v>1418</v>
      </c>
    </row>
    <row r="1038" spans="1:10" ht="24.95" customHeight="1">
      <c r="A1038" s="1258">
        <v>81</v>
      </c>
      <c r="B1038" s="1233" t="s">
        <v>5739</v>
      </c>
      <c r="C1038" s="1234">
        <v>1</v>
      </c>
      <c r="D1038" s="1234"/>
      <c r="E1038" s="1234">
        <v>1</v>
      </c>
      <c r="F1038" s="1263">
        <v>1</v>
      </c>
      <c r="G1038" s="1263"/>
      <c r="H1038" s="1263">
        <v>0.75</v>
      </c>
      <c r="I1038" s="1249">
        <f>PRODUCT(C1038:H1038)</f>
        <v>0.75</v>
      </c>
      <c r="J1038" s="1246" t="s">
        <v>2308</v>
      </c>
    </row>
    <row r="1039" spans="1:10" ht="24.95" customHeight="1">
      <c r="A1039" s="1258">
        <v>86</v>
      </c>
      <c r="B1039" s="1233" t="s">
        <v>5740</v>
      </c>
      <c r="C1039" s="1234"/>
      <c r="D1039" s="1234"/>
      <c r="E1039" s="1234"/>
      <c r="F1039" s="1263"/>
      <c r="G1039" s="1263"/>
      <c r="H1039" s="1263"/>
      <c r="I1039" s="1248"/>
      <c r="J1039" s="1246"/>
    </row>
    <row r="1040" spans="1:10" ht="24.95" customHeight="1">
      <c r="A1040" s="1237"/>
      <c r="B1040" s="1247" t="s">
        <v>5741</v>
      </c>
      <c r="C1040" s="1234">
        <v>1</v>
      </c>
      <c r="D1040" s="1234"/>
      <c r="E1040" s="1234">
        <v>1</v>
      </c>
      <c r="F1040" s="1248">
        <v>239.23</v>
      </c>
      <c r="G1040" s="1248"/>
      <c r="H1040" s="1248"/>
      <c r="I1040" s="1248">
        <f>PRODUCT(C1040:H1040)</f>
        <v>239.23</v>
      </c>
      <c r="J1040" s="1246"/>
    </row>
    <row r="1041" spans="1:10" ht="24.95" customHeight="1">
      <c r="A1041" s="1237"/>
      <c r="B1041" s="1247"/>
      <c r="C1041" s="1234"/>
      <c r="D1041" s="1234"/>
      <c r="E1041" s="1234"/>
      <c r="F1041" s="1248"/>
      <c r="G1041" s="1248"/>
      <c r="H1041" s="1249" t="s">
        <v>4322</v>
      </c>
      <c r="I1041" s="1249">
        <f>ROUNDUP(I1040,1-0)</f>
        <v>239.3</v>
      </c>
      <c r="J1041" s="1246" t="s">
        <v>2308</v>
      </c>
    </row>
    <row r="1042" spans="1:10" ht="24.95" customHeight="1">
      <c r="A1042" s="1258">
        <v>87.1</v>
      </c>
      <c r="B1042" s="1233" t="s">
        <v>5742</v>
      </c>
      <c r="C1042" s="1234">
        <v>1</v>
      </c>
      <c r="D1042" s="1234"/>
      <c r="E1042" s="1234">
        <v>2</v>
      </c>
      <c r="F1042" s="1248"/>
      <c r="G1042" s="1248"/>
      <c r="H1042" s="1248"/>
      <c r="I1042" s="1249">
        <f>PRODUCT(C1042:H1042)</f>
        <v>2</v>
      </c>
      <c r="J1042" s="1246" t="s">
        <v>1418</v>
      </c>
    </row>
    <row r="1043" spans="1:10" ht="24.95" customHeight="1">
      <c r="A1043" s="1232"/>
      <c r="B1043" s="1233"/>
      <c r="C1043" s="1234"/>
      <c r="D1043" s="1234"/>
      <c r="E1043" s="1234"/>
      <c r="F1043" s="1248"/>
      <c r="G1043" s="1248"/>
      <c r="H1043" s="1248"/>
      <c r="I1043" s="1249"/>
      <c r="J1043" s="1246"/>
    </row>
    <row r="1044" spans="1:10" ht="24.95" customHeight="1">
      <c r="A1044" s="1258">
        <v>112.1</v>
      </c>
      <c r="B1044" s="1297" t="s">
        <v>5863</v>
      </c>
      <c r="C1044" s="1234"/>
      <c r="D1044" s="1234"/>
      <c r="E1044" s="1234"/>
      <c r="F1044" s="1235"/>
      <c r="G1044" s="1235"/>
      <c r="H1044" s="1235"/>
      <c r="I1044" s="1235"/>
      <c r="J1044" s="1236"/>
    </row>
    <row r="1045" spans="1:10" ht="24.95" customHeight="1">
      <c r="A1045" s="1237"/>
      <c r="B1045" s="1247" t="s">
        <v>5864</v>
      </c>
      <c r="C1045" s="1234">
        <v>1</v>
      </c>
      <c r="D1045" s="1234">
        <v>3</v>
      </c>
      <c r="E1045" s="1234"/>
      <c r="F1045" s="1235"/>
      <c r="G1045" s="1235"/>
      <c r="H1045" s="1235"/>
      <c r="I1045" s="1235">
        <v>3</v>
      </c>
      <c r="J1045" s="1236"/>
    </row>
    <row r="1046" spans="1:10" ht="24.95" customHeight="1">
      <c r="A1046" s="1237"/>
      <c r="B1046" s="1247" t="s">
        <v>5749</v>
      </c>
      <c r="C1046" s="1234">
        <v>1</v>
      </c>
      <c r="D1046" s="1234">
        <v>1</v>
      </c>
      <c r="E1046" s="1234"/>
      <c r="F1046" s="1235"/>
      <c r="G1046" s="1235"/>
      <c r="H1046" s="1235"/>
      <c r="I1046" s="1235">
        <v>1</v>
      </c>
      <c r="J1046" s="1236"/>
    </row>
    <row r="1047" spans="1:10" ht="24.95" customHeight="1">
      <c r="A1047" s="1237"/>
      <c r="B1047" s="1247" t="s">
        <v>5865</v>
      </c>
      <c r="C1047" s="1234">
        <v>1</v>
      </c>
      <c r="D1047" s="1234">
        <v>3</v>
      </c>
      <c r="E1047" s="1234"/>
      <c r="F1047" s="1235"/>
      <c r="G1047" s="1235"/>
      <c r="H1047" s="1235"/>
      <c r="I1047" s="1235">
        <v>3</v>
      </c>
      <c r="J1047" s="1236"/>
    </row>
    <row r="1048" spans="1:10" ht="24.95" customHeight="1">
      <c r="A1048" s="1237"/>
      <c r="B1048" s="1247"/>
      <c r="C1048" s="1234"/>
      <c r="D1048" s="1234"/>
      <c r="E1048" s="1234"/>
      <c r="F1048" s="1235"/>
      <c r="G1048" s="1235"/>
      <c r="H1048" s="1235"/>
      <c r="I1048" s="1235">
        <f>SUM(I1045:I1047)</f>
        <v>7</v>
      </c>
      <c r="J1048" s="1236" t="s">
        <v>5866</v>
      </c>
    </row>
    <row r="1049" spans="1:10" ht="24.95" customHeight="1">
      <c r="A1049" s="1237"/>
      <c r="B1049" s="1347" t="s">
        <v>889</v>
      </c>
      <c r="C1049" s="1234"/>
      <c r="D1049" s="1234"/>
      <c r="E1049" s="1234"/>
      <c r="F1049" s="1235"/>
      <c r="G1049" s="1235"/>
      <c r="H1049" s="1235"/>
      <c r="I1049" s="1235"/>
      <c r="J1049" s="1236"/>
    </row>
    <row r="1050" spans="1:10" ht="24.95" customHeight="1">
      <c r="A1050" s="1232">
        <v>14.1</v>
      </c>
      <c r="B1050" s="1233" t="s">
        <v>5549</v>
      </c>
      <c r="C1050" s="1234"/>
      <c r="D1050" s="1234"/>
      <c r="E1050" s="1234"/>
      <c r="F1050" s="1235"/>
      <c r="G1050" s="1235"/>
      <c r="H1050" s="1235"/>
      <c r="I1050" s="1235"/>
      <c r="J1050" s="1236"/>
    </row>
    <row r="1051" spans="1:10" ht="24.95" customHeight="1">
      <c r="A1051" s="1237"/>
      <c r="B1051" s="1233" t="s">
        <v>5449</v>
      </c>
      <c r="C1051" s="1234"/>
      <c r="D1051" s="1234"/>
      <c r="E1051" s="1234"/>
      <c r="F1051" s="1235"/>
      <c r="G1051" s="1235"/>
      <c r="H1051" s="1235"/>
      <c r="I1051" s="1235"/>
      <c r="J1051" s="1236"/>
    </row>
    <row r="1052" spans="1:10" ht="24.95" customHeight="1">
      <c r="A1052" s="1237"/>
      <c r="B1052" s="1247" t="s">
        <v>5458</v>
      </c>
      <c r="C1052" s="1234">
        <v>1</v>
      </c>
      <c r="D1052" s="1234" t="s">
        <v>5404</v>
      </c>
      <c r="E1052" s="1234">
        <v>4</v>
      </c>
      <c r="F1052" s="1248">
        <v>4.5</v>
      </c>
      <c r="G1052" s="1248">
        <v>0.45</v>
      </c>
      <c r="H1052" s="1248"/>
      <c r="I1052" s="1248">
        <f t="shared" ref="I1052:I1057" si="61">PRODUCT(C1052:H1052)</f>
        <v>8.1</v>
      </c>
      <c r="J1052" s="1246"/>
    </row>
    <row r="1053" spans="1:10" ht="24.95" customHeight="1">
      <c r="A1053" s="1237"/>
      <c r="B1053" s="1247" t="s">
        <v>5539</v>
      </c>
      <c r="C1053" s="1234">
        <v>1</v>
      </c>
      <c r="D1053" s="1234" t="s">
        <v>5404</v>
      </c>
      <c r="E1053" s="1234">
        <v>4</v>
      </c>
      <c r="F1053" s="1248">
        <v>6</v>
      </c>
      <c r="G1053" s="1248">
        <v>0.6</v>
      </c>
      <c r="H1053" s="1248"/>
      <c r="I1053" s="1248">
        <f t="shared" si="61"/>
        <v>14.4</v>
      </c>
      <c r="J1053" s="1236"/>
    </row>
    <row r="1054" spans="1:10" ht="24.95" customHeight="1">
      <c r="A1054" s="1237"/>
      <c r="B1054" s="1247" t="s">
        <v>5540</v>
      </c>
      <c r="C1054" s="1234">
        <v>1</v>
      </c>
      <c r="D1054" s="1234" t="s">
        <v>5404</v>
      </c>
      <c r="E1054" s="1234">
        <v>4</v>
      </c>
      <c r="F1054" s="1248">
        <v>6</v>
      </c>
      <c r="G1054" s="1248">
        <v>0.6</v>
      </c>
      <c r="H1054" s="1248"/>
      <c r="I1054" s="1248">
        <f t="shared" si="61"/>
        <v>14.4</v>
      </c>
      <c r="J1054" s="1236"/>
    </row>
    <row r="1055" spans="1:10" ht="24.95" customHeight="1">
      <c r="A1055" s="1237"/>
      <c r="B1055" s="1247" t="s">
        <v>5540</v>
      </c>
      <c r="C1055" s="1234">
        <v>1</v>
      </c>
      <c r="D1055" s="1234" t="s">
        <v>5404</v>
      </c>
      <c r="E1055" s="1234">
        <v>4</v>
      </c>
      <c r="F1055" s="1248">
        <v>7.43</v>
      </c>
      <c r="G1055" s="1248">
        <v>0.6</v>
      </c>
      <c r="H1055" s="1248"/>
      <c r="I1055" s="1248">
        <f t="shared" si="61"/>
        <v>17.829999999999998</v>
      </c>
      <c r="J1055" s="1236"/>
    </row>
    <row r="1056" spans="1:10" ht="24.95" customHeight="1">
      <c r="A1056" s="1237"/>
      <c r="B1056" s="1247" t="s">
        <v>5550</v>
      </c>
      <c r="C1056" s="1234">
        <v>2</v>
      </c>
      <c r="D1056" s="1234"/>
      <c r="E1056" s="1234">
        <v>12</v>
      </c>
      <c r="F1056" s="1248">
        <v>1.5</v>
      </c>
      <c r="G1056" s="1248">
        <v>0.6</v>
      </c>
      <c r="H1056" s="1248"/>
      <c r="I1056" s="1248">
        <f t="shared" si="61"/>
        <v>21.6</v>
      </c>
      <c r="J1056" s="1246"/>
    </row>
    <row r="1057" spans="1:14" ht="24.95" customHeight="1">
      <c r="A1057" s="1237"/>
      <c r="B1057" s="1247" t="s">
        <v>5551</v>
      </c>
      <c r="C1057" s="1234">
        <v>3</v>
      </c>
      <c r="D1057" s="1234"/>
      <c r="E1057" s="1234">
        <v>4</v>
      </c>
      <c r="F1057" s="1248">
        <v>1.2</v>
      </c>
      <c r="G1057" s="1248">
        <v>0.45</v>
      </c>
      <c r="H1057" s="1248"/>
      <c r="I1057" s="1248">
        <f t="shared" si="61"/>
        <v>6.48</v>
      </c>
      <c r="J1057" s="1236"/>
    </row>
    <row r="1058" spans="1:14" ht="24.95" customHeight="1">
      <c r="A1058" s="1237"/>
      <c r="B1058" s="1247"/>
      <c r="C1058" s="1234"/>
      <c r="D1058" s="1234"/>
      <c r="E1058" s="1234"/>
      <c r="F1058" s="1248"/>
      <c r="G1058" s="1248"/>
      <c r="H1058" s="1248"/>
      <c r="I1058" s="1248">
        <f>SUM(I1052:I1057)</f>
        <v>82.81</v>
      </c>
      <c r="J1058" s="1236"/>
    </row>
    <row r="1059" spans="1:14" ht="24.95" customHeight="1">
      <c r="A1059" s="1237"/>
      <c r="B1059" s="1247"/>
      <c r="C1059" s="1234"/>
      <c r="D1059" s="1234"/>
      <c r="E1059" s="1234"/>
      <c r="F1059" s="1248"/>
      <c r="G1059" s="1248"/>
      <c r="H1059" s="1249" t="s">
        <v>4322</v>
      </c>
      <c r="I1059" s="1249">
        <f>ROUNDUP(I1058,1-0)</f>
        <v>82.9</v>
      </c>
      <c r="J1059" s="1246" t="s">
        <v>2308</v>
      </c>
    </row>
    <row r="1060" spans="1:14" ht="24.95" customHeight="1">
      <c r="A1060" s="1237"/>
      <c r="B1060" s="1233" t="s">
        <v>5541</v>
      </c>
      <c r="C1060" s="1234"/>
      <c r="D1060" s="1234"/>
      <c r="E1060" s="1234"/>
      <c r="F1060" s="1248"/>
      <c r="G1060" s="1248"/>
      <c r="H1060" s="1249"/>
      <c r="I1060" s="1248"/>
      <c r="J1060" s="1246"/>
    </row>
    <row r="1061" spans="1:14" ht="24.95" customHeight="1">
      <c r="A1061" s="1237"/>
      <c r="B1061" s="1247" t="s">
        <v>5552</v>
      </c>
      <c r="C1061" s="1234">
        <v>1</v>
      </c>
      <c r="D1061" s="1234" t="s">
        <v>5404</v>
      </c>
      <c r="E1061" s="1234">
        <v>4</v>
      </c>
      <c r="F1061" s="1248">
        <v>6</v>
      </c>
      <c r="G1061" s="1248">
        <v>0.6</v>
      </c>
      <c r="H1061" s="1249"/>
      <c r="I1061" s="1248">
        <f>PRODUCT(C1061:H1061)</f>
        <v>14.4</v>
      </c>
      <c r="J1061" s="1246"/>
    </row>
    <row r="1062" spans="1:14" ht="24.95" customHeight="1">
      <c r="A1062" s="1237"/>
      <c r="B1062" s="1247" t="s">
        <v>5553</v>
      </c>
      <c r="C1062" s="1234">
        <v>1</v>
      </c>
      <c r="D1062" s="1234" t="s">
        <v>5404</v>
      </c>
      <c r="E1062" s="1234">
        <v>4</v>
      </c>
      <c r="F1062" s="1248">
        <v>3.35</v>
      </c>
      <c r="G1062" s="1248">
        <v>0.6</v>
      </c>
      <c r="H1062" s="1249"/>
      <c r="I1062" s="1248">
        <f>PRODUCT(C1062:H1062)</f>
        <v>8.0399999999999991</v>
      </c>
      <c r="J1062" s="1246"/>
    </row>
    <row r="1063" spans="1:14" ht="27.75" customHeight="1">
      <c r="A1063" s="1237"/>
      <c r="B1063" s="1247" t="s">
        <v>5554</v>
      </c>
      <c r="C1063" s="1234">
        <v>1</v>
      </c>
      <c r="D1063" s="1234" t="s">
        <v>5404</v>
      </c>
      <c r="E1063" s="1234">
        <v>4</v>
      </c>
      <c r="F1063" s="1248">
        <v>5.7</v>
      </c>
      <c r="G1063" s="1248">
        <v>0.6</v>
      </c>
      <c r="H1063" s="1249"/>
      <c r="I1063" s="1248">
        <f>PRODUCT(C1063:H1063)</f>
        <v>13.68</v>
      </c>
      <c r="J1063" s="1246"/>
    </row>
    <row r="1064" spans="1:14" ht="24.95" customHeight="1">
      <c r="A1064" s="1237"/>
      <c r="B1064" s="1247"/>
      <c r="C1064" s="1234"/>
      <c r="D1064" s="1234"/>
      <c r="E1064" s="1234"/>
      <c r="F1064" s="1248"/>
      <c r="G1064" s="1248"/>
      <c r="H1064" s="1249"/>
      <c r="I1064" s="1248">
        <f>SUM(I1061:I1063)</f>
        <v>36.119999999999997</v>
      </c>
      <c r="J1064" s="1246"/>
    </row>
    <row r="1065" spans="1:14" ht="24.95" customHeight="1">
      <c r="A1065" s="1237"/>
      <c r="B1065" s="1247"/>
      <c r="C1065" s="1234"/>
      <c r="D1065" s="1234"/>
      <c r="E1065" s="1234"/>
      <c r="F1065" s="1248"/>
      <c r="G1065" s="1248"/>
      <c r="H1065" s="1249" t="s">
        <v>4322</v>
      </c>
      <c r="I1065" s="1249">
        <f>ROUNDUP(I1064,1-0)</f>
        <v>36.200000000000003</v>
      </c>
      <c r="J1065" s="1246" t="s">
        <v>2308</v>
      </c>
      <c r="M1065" s="1230">
        <f>G1088+F1088</f>
        <v>5.6</v>
      </c>
      <c r="N1065" s="1230">
        <f>M1065*2</f>
        <v>11.2</v>
      </c>
    </row>
    <row r="1066" spans="1:14" ht="32.25" customHeight="1">
      <c r="A1066" s="1237" t="s">
        <v>1146</v>
      </c>
      <c r="B1066" s="1233" t="s">
        <v>5555</v>
      </c>
      <c r="C1066" s="1234"/>
      <c r="D1066" s="1234"/>
      <c r="E1066" s="1234"/>
      <c r="F1066" s="1248"/>
      <c r="G1066" s="1248"/>
      <c r="H1066" s="1249"/>
      <c r="I1066" s="1249"/>
      <c r="J1066" s="1246"/>
      <c r="M1066" s="1230">
        <f>G1089+F1089</f>
        <v>7.2</v>
      </c>
      <c r="N1066" s="1230">
        <f>M1066*2</f>
        <v>14.4</v>
      </c>
    </row>
    <row r="1067" spans="1:14" ht="24.95" customHeight="1">
      <c r="A1067" s="1279" t="s">
        <v>5556</v>
      </c>
      <c r="B1067" s="1280" t="s">
        <v>5557</v>
      </c>
      <c r="C1067" s="1270"/>
      <c r="D1067" s="1270"/>
      <c r="E1067" s="1271"/>
      <c r="F1067" s="1271"/>
      <c r="G1067" s="1271"/>
      <c r="H1067" s="1272"/>
      <c r="I1067" s="1249"/>
      <c r="J1067" s="1246"/>
      <c r="M1067" s="1230">
        <f>G1090+F1090</f>
        <v>8</v>
      </c>
      <c r="N1067" s="1230">
        <f>M1067*2</f>
        <v>16</v>
      </c>
    </row>
    <row r="1068" spans="1:14" ht="24.95" customHeight="1">
      <c r="A1068" s="1279"/>
      <c r="B1068" s="1281" t="s">
        <v>5558</v>
      </c>
      <c r="C1068" s="1282">
        <v>1</v>
      </c>
      <c r="D1068" s="1283" t="s">
        <v>5404</v>
      </c>
      <c r="E1068" s="1282">
        <v>9</v>
      </c>
      <c r="F1068" s="1284">
        <v>1.06</v>
      </c>
      <c r="G1068" s="1284">
        <v>1.06</v>
      </c>
      <c r="H1068" s="1284"/>
      <c r="I1068" s="1285">
        <f>PRODUCT(C1068:H1068)</f>
        <v>10.11</v>
      </c>
      <c r="J1068" s="1246"/>
      <c r="M1068" s="1230">
        <f>G1091+F1091</f>
        <v>8</v>
      </c>
      <c r="N1068" s="1230">
        <f>M1068*2</f>
        <v>16</v>
      </c>
    </row>
    <row r="1069" spans="1:14" ht="24.95" customHeight="1">
      <c r="A1069" s="1237"/>
      <c r="B1069" s="1247"/>
      <c r="C1069" s="1234"/>
      <c r="D1069" s="1234"/>
      <c r="E1069" s="1234"/>
      <c r="F1069" s="1248"/>
      <c r="G1069" s="1248"/>
      <c r="H1069" s="1249" t="s">
        <v>4322</v>
      </c>
      <c r="I1069" s="1249">
        <f>ROUNDUP(I1068,1-0)</f>
        <v>10.199999999999999</v>
      </c>
      <c r="J1069" s="1246" t="s">
        <v>2308</v>
      </c>
    </row>
    <row r="1070" spans="1:14" ht="24.95" customHeight="1">
      <c r="A1070" s="1286" t="s">
        <v>5559</v>
      </c>
      <c r="B1070" s="1287" t="s">
        <v>5560</v>
      </c>
      <c r="C1070" s="1234"/>
      <c r="D1070" s="1234"/>
      <c r="E1070" s="1234"/>
      <c r="F1070" s="1248"/>
      <c r="G1070" s="1248"/>
      <c r="H1070" s="1249"/>
      <c r="I1070" s="1249"/>
      <c r="J1070" s="1246"/>
    </row>
    <row r="1071" spans="1:14" ht="27" customHeight="1">
      <c r="A1071" s="1237"/>
      <c r="B1071" s="1247" t="s">
        <v>5458</v>
      </c>
      <c r="C1071" s="1234">
        <v>1</v>
      </c>
      <c r="D1071" s="1234" t="s">
        <v>5404</v>
      </c>
      <c r="E1071" s="1234">
        <v>4</v>
      </c>
      <c r="F1071" s="1248">
        <v>4.5</v>
      </c>
      <c r="G1071" s="1248">
        <v>0.45</v>
      </c>
      <c r="H1071" s="1248"/>
      <c r="I1071" s="1248">
        <f t="shared" ref="I1071:I1076" si="62">PRODUCT(C1071:H1071)</f>
        <v>8.1</v>
      </c>
      <c r="J1071" s="1246"/>
    </row>
    <row r="1072" spans="1:14" ht="24.95" customHeight="1">
      <c r="A1072" s="1237"/>
      <c r="B1072" s="1247" t="s">
        <v>5539</v>
      </c>
      <c r="C1072" s="1234">
        <v>1</v>
      </c>
      <c r="D1072" s="1234" t="s">
        <v>5404</v>
      </c>
      <c r="E1072" s="1234">
        <v>4</v>
      </c>
      <c r="F1072" s="1248">
        <v>6</v>
      </c>
      <c r="G1072" s="1248">
        <v>0.6</v>
      </c>
      <c r="H1072" s="1248"/>
      <c r="I1072" s="1248">
        <f t="shared" si="62"/>
        <v>14.4</v>
      </c>
      <c r="J1072" s="1236"/>
    </row>
    <row r="1073" spans="1:10" ht="24.95" customHeight="1">
      <c r="A1073" s="1237"/>
      <c r="B1073" s="1247" t="s">
        <v>5540</v>
      </c>
      <c r="C1073" s="1234">
        <v>1</v>
      </c>
      <c r="D1073" s="1234" t="s">
        <v>5404</v>
      </c>
      <c r="E1073" s="1234">
        <v>4</v>
      </c>
      <c r="F1073" s="1248">
        <v>6</v>
      </c>
      <c r="G1073" s="1248">
        <v>0.6</v>
      </c>
      <c r="H1073" s="1248"/>
      <c r="I1073" s="1248">
        <f t="shared" si="62"/>
        <v>14.4</v>
      </c>
      <c r="J1073" s="1236"/>
    </row>
    <row r="1074" spans="1:10" ht="24.95" customHeight="1">
      <c r="A1074" s="1237"/>
      <c r="B1074" s="1247" t="s">
        <v>5540</v>
      </c>
      <c r="C1074" s="1234">
        <v>1</v>
      </c>
      <c r="D1074" s="1234" t="s">
        <v>5404</v>
      </c>
      <c r="E1074" s="1234">
        <v>4</v>
      </c>
      <c r="F1074" s="1248">
        <v>7.43</v>
      </c>
      <c r="G1074" s="1248">
        <v>0.6</v>
      </c>
      <c r="H1074" s="1248"/>
      <c r="I1074" s="1248">
        <f t="shared" si="62"/>
        <v>17.829999999999998</v>
      </c>
      <c r="J1074" s="1236"/>
    </row>
    <row r="1075" spans="1:10" ht="24.95" customHeight="1">
      <c r="A1075" s="1237"/>
      <c r="B1075" s="1247" t="s">
        <v>5550</v>
      </c>
      <c r="C1075" s="1234">
        <v>2</v>
      </c>
      <c r="D1075" s="1234"/>
      <c r="E1075" s="1234">
        <v>12</v>
      </c>
      <c r="F1075" s="1248">
        <v>1.5</v>
      </c>
      <c r="G1075" s="1248">
        <v>0.6</v>
      </c>
      <c r="H1075" s="1248"/>
      <c r="I1075" s="1248">
        <f t="shared" si="62"/>
        <v>21.6</v>
      </c>
      <c r="J1075" s="1246"/>
    </row>
    <row r="1076" spans="1:10" ht="24.95" customHeight="1">
      <c r="A1076" s="1237"/>
      <c r="B1076" s="1247" t="s">
        <v>5551</v>
      </c>
      <c r="C1076" s="1234">
        <v>3</v>
      </c>
      <c r="D1076" s="1234"/>
      <c r="E1076" s="1234">
        <v>4</v>
      </c>
      <c r="F1076" s="1248">
        <v>1.2</v>
      </c>
      <c r="G1076" s="1248">
        <v>0.45</v>
      </c>
      <c r="H1076" s="1248"/>
      <c r="I1076" s="1248">
        <f t="shared" si="62"/>
        <v>6.48</v>
      </c>
      <c r="J1076" s="1236"/>
    </row>
    <row r="1077" spans="1:10" ht="24.95" customHeight="1">
      <c r="A1077" s="1237"/>
      <c r="B1077" s="1247"/>
      <c r="C1077" s="1234"/>
      <c r="D1077" s="1234"/>
      <c r="E1077" s="1234"/>
      <c r="F1077" s="1248"/>
      <c r="G1077" s="1248"/>
      <c r="H1077" s="1248"/>
      <c r="I1077" s="1248">
        <f>SUM(I1071:I1076)</f>
        <v>82.81</v>
      </c>
      <c r="J1077" s="1236"/>
    </row>
    <row r="1078" spans="1:10" ht="24.95" customHeight="1">
      <c r="A1078" s="1237"/>
      <c r="B1078" s="1247"/>
      <c r="C1078" s="1234"/>
      <c r="D1078" s="1234"/>
      <c r="E1078" s="1234"/>
      <c r="F1078" s="1248"/>
      <c r="G1078" s="1248"/>
      <c r="H1078" s="1249" t="s">
        <v>4322</v>
      </c>
      <c r="I1078" s="1249">
        <f>ROUNDUP(I1077,1-0)</f>
        <v>82.9</v>
      </c>
      <c r="J1078" s="1246" t="s">
        <v>2308</v>
      </c>
    </row>
    <row r="1079" spans="1:10" ht="24.95" customHeight="1">
      <c r="A1079" s="1286"/>
      <c r="B1079" s="1233" t="s">
        <v>5541</v>
      </c>
      <c r="C1079" s="1234"/>
      <c r="D1079" s="1234"/>
      <c r="E1079" s="1234"/>
      <c r="F1079" s="1248"/>
      <c r="G1079" s="1248"/>
      <c r="H1079" s="1249"/>
      <c r="I1079" s="1248"/>
      <c r="J1079" s="1246"/>
    </row>
    <row r="1080" spans="1:10" ht="24.95" customHeight="1">
      <c r="A1080" s="1286"/>
      <c r="B1080" s="1247" t="s">
        <v>5552</v>
      </c>
      <c r="C1080" s="1234">
        <v>1</v>
      </c>
      <c r="D1080" s="1234" t="s">
        <v>5404</v>
      </c>
      <c r="E1080" s="1234">
        <v>4</v>
      </c>
      <c r="F1080" s="1248">
        <v>6</v>
      </c>
      <c r="G1080" s="1248">
        <v>0.6</v>
      </c>
      <c r="H1080" s="1249"/>
      <c r="I1080" s="1248">
        <f>PRODUCT(C1080:H1080)</f>
        <v>14.4</v>
      </c>
      <c r="J1080" s="1246"/>
    </row>
    <row r="1081" spans="1:10" ht="24.95" customHeight="1">
      <c r="A1081" s="1286"/>
      <c r="B1081" s="1247" t="s">
        <v>5553</v>
      </c>
      <c r="C1081" s="1234">
        <v>1</v>
      </c>
      <c r="D1081" s="1234" t="s">
        <v>5404</v>
      </c>
      <c r="E1081" s="1234">
        <v>4</v>
      </c>
      <c r="F1081" s="1248">
        <v>3.35</v>
      </c>
      <c r="G1081" s="1248">
        <v>0.6</v>
      </c>
      <c r="H1081" s="1249"/>
      <c r="I1081" s="1248">
        <f>PRODUCT(C1081:H1081)</f>
        <v>8.0399999999999991</v>
      </c>
      <c r="J1081" s="1246"/>
    </row>
    <row r="1082" spans="1:10" ht="24.95" customHeight="1">
      <c r="A1082" s="1286"/>
      <c r="B1082" s="1247" t="s">
        <v>5554</v>
      </c>
      <c r="C1082" s="1234">
        <v>1</v>
      </c>
      <c r="D1082" s="1234" t="s">
        <v>5404</v>
      </c>
      <c r="E1082" s="1234">
        <v>4</v>
      </c>
      <c r="F1082" s="1248">
        <v>5.7</v>
      </c>
      <c r="G1082" s="1248">
        <v>0.6</v>
      </c>
      <c r="H1082" s="1249"/>
      <c r="I1082" s="1248">
        <f>PRODUCT(C1082:H1082)</f>
        <v>13.68</v>
      </c>
      <c r="J1082" s="1246"/>
    </row>
    <row r="1083" spans="1:10" ht="30" customHeight="1">
      <c r="A1083" s="1286"/>
      <c r="B1083" s="1247"/>
      <c r="C1083" s="1234"/>
      <c r="D1083" s="1234"/>
      <c r="E1083" s="1234"/>
      <c r="F1083" s="1248"/>
      <c r="G1083" s="1248"/>
      <c r="H1083" s="1249"/>
      <c r="I1083" s="1248">
        <f>SUM(I1080:I1082)</f>
        <v>36.119999999999997</v>
      </c>
      <c r="J1083" s="1246"/>
    </row>
    <row r="1084" spans="1:10" ht="24.95" customHeight="1">
      <c r="A1084" s="1237"/>
      <c r="B1084" s="1247"/>
      <c r="C1084" s="1234"/>
      <c r="D1084" s="1234"/>
      <c r="E1084" s="1234"/>
      <c r="F1084" s="1248"/>
      <c r="G1084" s="1248"/>
      <c r="H1084" s="1249" t="s">
        <v>4322</v>
      </c>
      <c r="I1084" s="1249">
        <f>ROUNDUP(I1083,1-0)</f>
        <v>36.200000000000003</v>
      </c>
      <c r="J1084" s="1246" t="s">
        <v>2308</v>
      </c>
    </row>
    <row r="1085" spans="1:10" ht="24.95" customHeight="1">
      <c r="A1085" s="1237"/>
      <c r="B1085" s="1233" t="s">
        <v>199</v>
      </c>
      <c r="C1085" s="1234"/>
      <c r="D1085" s="1234"/>
      <c r="E1085" s="1234"/>
      <c r="F1085" s="1235"/>
      <c r="G1085" s="1235"/>
      <c r="H1085" s="1235"/>
      <c r="I1085" s="1235"/>
      <c r="J1085" s="1236"/>
    </row>
    <row r="1086" spans="1:10" ht="48" customHeight="1">
      <c r="A1086" s="1258">
        <v>18.100000000000001</v>
      </c>
      <c r="B1086" s="1233" t="s">
        <v>5743</v>
      </c>
      <c r="C1086" s="1234"/>
      <c r="D1086" s="1234"/>
      <c r="E1086" s="1234"/>
      <c r="F1086" s="1235"/>
      <c r="G1086" s="1235"/>
      <c r="H1086" s="1235"/>
      <c r="I1086" s="1235"/>
      <c r="J1086" s="1236"/>
    </row>
    <row r="1087" spans="1:10" ht="24.95" customHeight="1">
      <c r="A1087" s="1237"/>
      <c r="B1087" s="1233" t="s">
        <v>5402</v>
      </c>
      <c r="C1087" s="1234"/>
      <c r="D1087" s="1234"/>
      <c r="E1087" s="1234"/>
      <c r="F1087" s="1235"/>
      <c r="G1087" s="1235"/>
      <c r="H1087" s="1235"/>
      <c r="I1087" s="1235"/>
      <c r="J1087" s="1236"/>
    </row>
    <row r="1088" spans="1:10" ht="24.95" customHeight="1">
      <c r="A1088" s="1237"/>
      <c r="B1088" s="1247" t="s">
        <v>5744</v>
      </c>
      <c r="C1088" s="1234">
        <v>1</v>
      </c>
      <c r="D1088" s="1234" t="s">
        <v>5404</v>
      </c>
      <c r="E1088" s="1234">
        <v>14</v>
      </c>
      <c r="F1088" s="1248">
        <v>5.6</v>
      </c>
      <c r="G1088" s="1248"/>
      <c r="H1088" s="1248">
        <v>0.38</v>
      </c>
      <c r="I1088" s="1248">
        <f>PRODUCT(C1088:H1088)</f>
        <v>29.79</v>
      </c>
      <c r="J1088" s="1236"/>
    </row>
    <row r="1089" spans="1:10" ht="24.95" customHeight="1">
      <c r="A1089" s="1237"/>
      <c r="B1089" s="1247" t="s">
        <v>5405</v>
      </c>
      <c r="C1089" s="1234">
        <v>1</v>
      </c>
      <c r="D1089" s="1234" t="s">
        <v>5404</v>
      </c>
      <c r="E1089" s="1234">
        <v>4</v>
      </c>
      <c r="F1089" s="1248">
        <v>7.2</v>
      </c>
      <c r="G1089" s="1248"/>
      <c r="H1089" s="1248">
        <v>0.45</v>
      </c>
      <c r="I1089" s="1248">
        <f>PRODUCT(C1089:H1089)</f>
        <v>12.96</v>
      </c>
      <c r="J1089" s="1236"/>
    </row>
    <row r="1090" spans="1:10" ht="24.95" customHeight="1">
      <c r="A1090" s="1237"/>
      <c r="B1090" s="1247" t="s">
        <v>5745</v>
      </c>
      <c r="C1090" s="1234">
        <v>1</v>
      </c>
      <c r="D1090" s="1234" t="s">
        <v>5404</v>
      </c>
      <c r="E1090" s="1234">
        <v>7</v>
      </c>
      <c r="F1090" s="1248">
        <v>8</v>
      </c>
      <c r="G1090" s="1248"/>
      <c r="H1090" s="1248">
        <v>0.45</v>
      </c>
      <c r="I1090" s="1248">
        <f>PRODUCT(C1090:H1090)</f>
        <v>25.2</v>
      </c>
      <c r="J1090" s="1236"/>
    </row>
    <row r="1091" spans="1:10" ht="24.95" customHeight="1">
      <c r="A1091" s="1237"/>
      <c r="B1091" s="1247" t="s">
        <v>5746</v>
      </c>
      <c r="C1091" s="1234">
        <v>1</v>
      </c>
      <c r="D1091" s="1234" t="s">
        <v>5404</v>
      </c>
      <c r="E1091" s="1234">
        <v>2</v>
      </c>
      <c r="F1091" s="1248">
        <v>8</v>
      </c>
      <c r="G1091" s="1248"/>
      <c r="H1091" s="1248">
        <v>0.6</v>
      </c>
      <c r="I1091" s="1248">
        <f>PRODUCT(C1091:H1091)</f>
        <v>9.6</v>
      </c>
      <c r="J1091" s="1236"/>
    </row>
    <row r="1092" spans="1:10" ht="24.95" customHeight="1">
      <c r="A1092" s="1237"/>
      <c r="B1092" s="1247"/>
      <c r="C1092" s="1234"/>
      <c r="D1092" s="1234"/>
      <c r="E1092" s="1234"/>
      <c r="F1092" s="1248"/>
      <c r="G1092" s="1248"/>
      <c r="H1092" s="1248"/>
      <c r="I1092" s="1248"/>
      <c r="J1092" s="1236"/>
    </row>
    <row r="1093" spans="1:10" ht="24.95" customHeight="1">
      <c r="A1093" s="1237"/>
      <c r="B1093" s="1233" t="s">
        <v>5425</v>
      </c>
      <c r="C1093" s="1234"/>
      <c r="D1093" s="1234"/>
      <c r="E1093" s="1234"/>
      <c r="F1093" s="1248"/>
      <c r="G1093" s="1248"/>
      <c r="H1093" s="1248"/>
      <c r="I1093" s="1248"/>
      <c r="J1093" s="1236"/>
    </row>
    <row r="1094" spans="1:10" ht="24.95" customHeight="1">
      <c r="A1094" s="1237"/>
      <c r="B1094" s="1247" t="s">
        <v>5924</v>
      </c>
      <c r="C1094" s="1234">
        <v>1</v>
      </c>
      <c r="D1094" s="1234" t="s">
        <v>5404</v>
      </c>
      <c r="E1094" s="1234">
        <v>1</v>
      </c>
      <c r="F1094" s="1248">
        <v>65.8</v>
      </c>
      <c r="G1094" s="1248"/>
      <c r="H1094" s="1248">
        <v>0.38</v>
      </c>
      <c r="I1094" s="1248">
        <f t="shared" ref="I1094:I1110" si="63">PRODUCT(C1094:H1094)</f>
        <v>25</v>
      </c>
      <c r="J1094" s="1236"/>
    </row>
    <row r="1095" spans="1:10" ht="24.95" customHeight="1">
      <c r="A1095" s="1237"/>
      <c r="B1095" s="1247" t="s">
        <v>5925</v>
      </c>
      <c r="C1095" s="1234">
        <v>1</v>
      </c>
      <c r="D1095" s="1234" t="s">
        <v>5404</v>
      </c>
      <c r="E1095" s="1234">
        <v>1</v>
      </c>
      <c r="F1095" s="1248">
        <v>19.68</v>
      </c>
      <c r="G1095" s="1248"/>
      <c r="H1095" s="1248">
        <v>0.38</v>
      </c>
      <c r="I1095" s="1248">
        <f t="shared" si="63"/>
        <v>7.48</v>
      </c>
      <c r="J1095" s="1236"/>
    </row>
    <row r="1096" spans="1:10" ht="24.95" customHeight="1">
      <c r="A1096" s="1237"/>
      <c r="B1096" s="1247" t="s">
        <v>5926</v>
      </c>
      <c r="C1096" s="1234">
        <v>1</v>
      </c>
      <c r="D1096" s="1234" t="s">
        <v>5404</v>
      </c>
      <c r="E1096" s="1234">
        <v>1</v>
      </c>
      <c r="F1096" s="1248">
        <v>17.559999999999999</v>
      </c>
      <c r="G1096" s="1248"/>
      <c r="H1096" s="1248">
        <v>0.38</v>
      </c>
      <c r="I1096" s="1248">
        <f t="shared" si="63"/>
        <v>6.67</v>
      </c>
      <c r="J1096" s="1236"/>
    </row>
    <row r="1097" spans="1:10" ht="24.95" customHeight="1">
      <c r="A1097" s="1237"/>
      <c r="B1097" s="1247" t="s">
        <v>5927</v>
      </c>
      <c r="C1097" s="1234">
        <v>1</v>
      </c>
      <c r="D1097" s="1234" t="s">
        <v>5404</v>
      </c>
      <c r="E1097" s="1234">
        <v>1</v>
      </c>
      <c r="F1097" s="1248">
        <v>10.74</v>
      </c>
      <c r="G1097" s="1248"/>
      <c r="H1097" s="1248">
        <v>0.38</v>
      </c>
      <c r="I1097" s="1248">
        <f t="shared" si="63"/>
        <v>4.08</v>
      </c>
      <c r="J1097" s="1236"/>
    </row>
    <row r="1098" spans="1:10" ht="24.95" customHeight="1">
      <c r="A1098" s="1237"/>
      <c r="B1098" s="1247" t="s">
        <v>5928</v>
      </c>
      <c r="C1098" s="1234">
        <v>1</v>
      </c>
      <c r="D1098" s="1234" t="s">
        <v>5404</v>
      </c>
      <c r="E1098" s="1234">
        <v>1</v>
      </c>
      <c r="F1098" s="1248">
        <v>19.54</v>
      </c>
      <c r="G1098" s="1248"/>
      <c r="H1098" s="1248">
        <v>0.38</v>
      </c>
      <c r="I1098" s="1248">
        <f t="shared" si="63"/>
        <v>7.43</v>
      </c>
      <c r="J1098" s="1236"/>
    </row>
    <row r="1099" spans="1:10" ht="24.95" customHeight="1">
      <c r="A1099" s="1237"/>
      <c r="B1099" s="1247" t="s">
        <v>5929</v>
      </c>
      <c r="C1099" s="1234">
        <v>1</v>
      </c>
      <c r="D1099" s="1234" t="s">
        <v>5404</v>
      </c>
      <c r="E1099" s="1234">
        <v>1</v>
      </c>
      <c r="F1099" s="1248">
        <v>36.78</v>
      </c>
      <c r="G1099" s="1248"/>
      <c r="H1099" s="1248">
        <v>0.38</v>
      </c>
      <c r="I1099" s="1248">
        <f t="shared" si="63"/>
        <v>13.98</v>
      </c>
      <c r="J1099" s="1236"/>
    </row>
    <row r="1100" spans="1:10" ht="24.95" customHeight="1">
      <c r="A1100" s="1237"/>
      <c r="B1100" s="1247" t="s">
        <v>5730</v>
      </c>
      <c r="C1100" s="1234">
        <v>1</v>
      </c>
      <c r="D1100" s="1234" t="s">
        <v>5404</v>
      </c>
      <c r="E1100" s="1234">
        <v>1</v>
      </c>
      <c r="F1100" s="1248">
        <v>28.06</v>
      </c>
      <c r="G1100" s="1248"/>
      <c r="H1100" s="1248">
        <v>0.38</v>
      </c>
      <c r="I1100" s="1248">
        <f t="shared" si="63"/>
        <v>10.66</v>
      </c>
      <c r="J1100" s="1236"/>
    </row>
    <row r="1101" spans="1:10" ht="33.75" customHeight="1">
      <c r="A1101" s="1237"/>
      <c r="B1101" s="1247" t="s">
        <v>5887</v>
      </c>
      <c r="C1101" s="1234">
        <v>1</v>
      </c>
      <c r="D1101" s="1234" t="s">
        <v>5404</v>
      </c>
      <c r="E1101" s="1234">
        <v>1</v>
      </c>
      <c r="F1101" s="1248">
        <v>16</v>
      </c>
      <c r="G1101" s="1248"/>
      <c r="H1101" s="1248">
        <v>0.38</v>
      </c>
      <c r="I1101" s="1248">
        <f t="shared" si="63"/>
        <v>6.08</v>
      </c>
      <c r="J1101" s="1236"/>
    </row>
    <row r="1102" spans="1:10" ht="24.95" customHeight="1">
      <c r="A1102" s="1237"/>
      <c r="B1102" s="1247" t="s">
        <v>5749</v>
      </c>
      <c r="C1102" s="1234">
        <v>1</v>
      </c>
      <c r="D1102" s="1234" t="s">
        <v>5404</v>
      </c>
      <c r="E1102" s="1234">
        <v>1</v>
      </c>
      <c r="F1102" s="1248">
        <v>24</v>
      </c>
      <c r="G1102" s="1248"/>
      <c r="H1102" s="1248">
        <v>0.38</v>
      </c>
      <c r="I1102" s="1248">
        <f t="shared" si="63"/>
        <v>9.1199999999999992</v>
      </c>
      <c r="J1102" s="1236"/>
    </row>
    <row r="1103" spans="1:10" ht="24.95" customHeight="1">
      <c r="A1103" s="1237"/>
      <c r="B1103" s="1247" t="s">
        <v>5748</v>
      </c>
      <c r="C1103" s="1234">
        <v>1</v>
      </c>
      <c r="D1103" s="1234" t="s">
        <v>5404</v>
      </c>
      <c r="E1103" s="1234">
        <v>1</v>
      </c>
      <c r="F1103" s="1248">
        <v>15.6</v>
      </c>
      <c r="G1103" s="1248"/>
      <c r="H1103" s="1248">
        <v>0.38</v>
      </c>
      <c r="I1103" s="1248">
        <f t="shared" si="63"/>
        <v>5.93</v>
      </c>
      <c r="J1103" s="1236"/>
    </row>
    <row r="1104" spans="1:10" ht="30" customHeight="1">
      <c r="A1104" s="1237"/>
      <c r="B1104" s="1247" t="s">
        <v>5416</v>
      </c>
      <c r="C1104" s="1234">
        <v>1</v>
      </c>
      <c r="D1104" s="1234" t="s">
        <v>5404</v>
      </c>
      <c r="E1104" s="1234">
        <v>1</v>
      </c>
      <c r="F1104" s="1248">
        <v>13.2</v>
      </c>
      <c r="G1104" s="1248"/>
      <c r="H1104" s="1248">
        <v>0.38</v>
      </c>
      <c r="I1104" s="1248">
        <f t="shared" si="63"/>
        <v>5.0199999999999996</v>
      </c>
      <c r="J1104" s="1236"/>
    </row>
    <row r="1105" spans="1:10" ht="24.95" customHeight="1">
      <c r="A1105" s="1237"/>
      <c r="B1105" s="1247" t="s">
        <v>5930</v>
      </c>
      <c r="C1105" s="1234">
        <v>1</v>
      </c>
      <c r="D1105" s="1234" t="s">
        <v>5404</v>
      </c>
      <c r="E1105" s="1234">
        <v>1</v>
      </c>
      <c r="F1105" s="1248">
        <v>39.4</v>
      </c>
      <c r="G1105" s="1248"/>
      <c r="H1105" s="1248">
        <v>0.38</v>
      </c>
      <c r="I1105" s="1248">
        <f t="shared" si="63"/>
        <v>14.97</v>
      </c>
      <c r="J1105" s="1236"/>
    </row>
    <row r="1106" spans="1:10" ht="24.95" customHeight="1">
      <c r="A1106" s="1237"/>
      <c r="B1106" s="1247" t="s">
        <v>5931</v>
      </c>
      <c r="C1106" s="1234">
        <v>1</v>
      </c>
      <c r="D1106" s="1234" t="s">
        <v>5404</v>
      </c>
      <c r="E1106" s="1234">
        <v>1</v>
      </c>
      <c r="F1106" s="1248">
        <v>23.52</v>
      </c>
      <c r="G1106" s="1248"/>
      <c r="H1106" s="1248">
        <v>0.38</v>
      </c>
      <c r="I1106" s="1248">
        <f t="shared" si="63"/>
        <v>8.94</v>
      </c>
      <c r="J1106" s="1236"/>
    </row>
    <row r="1107" spans="1:10" ht="24.95" customHeight="1">
      <c r="A1107" s="1237"/>
      <c r="B1107" s="1247"/>
      <c r="C1107" s="1234">
        <v>1</v>
      </c>
      <c r="D1107" s="1234" t="s">
        <v>5404</v>
      </c>
      <c r="E1107" s="1234">
        <v>1</v>
      </c>
      <c r="F1107" s="1248">
        <v>25.36</v>
      </c>
      <c r="G1107" s="1248"/>
      <c r="H1107" s="1248">
        <v>0.38</v>
      </c>
      <c r="I1107" s="1248">
        <f t="shared" si="63"/>
        <v>9.64</v>
      </c>
      <c r="J1107" s="1236"/>
    </row>
    <row r="1108" spans="1:10" ht="24.95" customHeight="1">
      <c r="A1108" s="1237"/>
      <c r="B1108" s="1247"/>
      <c r="C1108" s="1234">
        <v>1</v>
      </c>
      <c r="D1108" s="1234" t="s">
        <v>5404</v>
      </c>
      <c r="E1108" s="1234">
        <v>1</v>
      </c>
      <c r="F1108" s="1248">
        <v>181</v>
      </c>
      <c r="G1108" s="1248"/>
      <c r="H1108" s="1248">
        <v>0.38</v>
      </c>
      <c r="I1108" s="1248">
        <f t="shared" si="63"/>
        <v>68.78</v>
      </c>
      <c r="J1108" s="1236"/>
    </row>
    <row r="1109" spans="1:10" ht="24.95" customHeight="1">
      <c r="A1109" s="1237"/>
      <c r="B1109" s="1247"/>
      <c r="C1109" s="1234">
        <v>1</v>
      </c>
      <c r="D1109" s="1234" t="s">
        <v>5404</v>
      </c>
      <c r="E1109" s="1234">
        <v>1</v>
      </c>
      <c r="F1109" s="1248">
        <v>19.72</v>
      </c>
      <c r="G1109" s="1248"/>
      <c r="H1109" s="1248">
        <v>0.38</v>
      </c>
      <c r="I1109" s="1248">
        <f t="shared" si="63"/>
        <v>7.49</v>
      </c>
      <c r="J1109" s="1236"/>
    </row>
    <row r="1110" spans="1:10" ht="24.95" customHeight="1">
      <c r="A1110" s="1237"/>
      <c r="B1110" s="1247"/>
      <c r="C1110" s="1234">
        <v>1</v>
      </c>
      <c r="D1110" s="1234" t="s">
        <v>5404</v>
      </c>
      <c r="E1110" s="1234">
        <v>1</v>
      </c>
      <c r="F1110" s="1248">
        <v>20.32</v>
      </c>
      <c r="G1110" s="1248"/>
      <c r="H1110" s="1248">
        <v>0.38</v>
      </c>
      <c r="I1110" s="1248">
        <f t="shared" si="63"/>
        <v>7.72</v>
      </c>
      <c r="J1110" s="1236"/>
    </row>
    <row r="1111" spans="1:10" ht="24.95" customHeight="1">
      <c r="A1111" s="1237"/>
      <c r="B1111" s="1247"/>
      <c r="C1111" s="1234">
        <v>1</v>
      </c>
      <c r="D1111" s="1234" t="s">
        <v>5404</v>
      </c>
      <c r="E1111" s="1234">
        <v>1</v>
      </c>
      <c r="F1111" s="1248">
        <v>22</v>
      </c>
      <c r="G1111" s="1248"/>
      <c r="H1111" s="1248">
        <v>0.38</v>
      </c>
      <c r="I1111" s="1248">
        <f t="shared" ref="I1111" si="64">PRODUCT(C1111:H1111)</f>
        <v>8.36</v>
      </c>
      <c r="J1111" s="1236"/>
    </row>
    <row r="1112" spans="1:10" ht="24.95" customHeight="1">
      <c r="A1112" s="1237"/>
      <c r="B1112" s="1233" t="s">
        <v>5750</v>
      </c>
      <c r="C1112" s="1234"/>
      <c r="D1112" s="1234"/>
      <c r="E1112" s="1234"/>
      <c r="F1112" s="1248"/>
      <c r="G1112" s="1248"/>
      <c r="H1112" s="1248"/>
      <c r="I1112" s="1248"/>
      <c r="J1112" s="1236"/>
    </row>
    <row r="1113" spans="1:10" ht="24.95" customHeight="1">
      <c r="A1113" s="1237"/>
      <c r="B1113" s="1238" t="s">
        <v>5877</v>
      </c>
      <c r="C1113" s="1239">
        <v>1</v>
      </c>
      <c r="D1113" s="1239" t="s">
        <v>5404</v>
      </c>
      <c r="E1113" s="1239">
        <v>1</v>
      </c>
      <c r="F1113" s="1240">
        <v>64.88</v>
      </c>
      <c r="G1113" s="1248"/>
      <c r="H1113" s="1248">
        <v>0.1</v>
      </c>
      <c r="I1113" s="1248">
        <f t="shared" ref="I1113:I1123" si="65">PRODUCT(C1113:H1113)</f>
        <v>6.49</v>
      </c>
      <c r="J1113" s="1236"/>
    </row>
    <row r="1114" spans="1:10" ht="24.95" customHeight="1">
      <c r="A1114" s="1237"/>
      <c r="B1114" s="1238" t="s">
        <v>5878</v>
      </c>
      <c r="C1114" s="1239">
        <v>2</v>
      </c>
      <c r="D1114" s="1239" t="s">
        <v>5404</v>
      </c>
      <c r="E1114" s="1239">
        <v>1</v>
      </c>
      <c r="F1114" s="1240">
        <v>20.12</v>
      </c>
      <c r="G1114" s="1248"/>
      <c r="H1114" s="1248">
        <v>0.1</v>
      </c>
      <c r="I1114" s="1248">
        <f t="shared" si="65"/>
        <v>4.0199999999999996</v>
      </c>
      <c r="J1114" s="1236"/>
    </row>
    <row r="1115" spans="1:10" ht="24.95" customHeight="1">
      <c r="A1115" s="1237"/>
      <c r="B1115" s="1238"/>
      <c r="C1115" s="1239">
        <v>2</v>
      </c>
      <c r="D1115" s="1239" t="s">
        <v>5404</v>
      </c>
      <c r="E1115" s="1239">
        <v>1</v>
      </c>
      <c r="F1115" s="1240">
        <v>16.59</v>
      </c>
      <c r="G1115" s="1248"/>
      <c r="H1115" s="1248">
        <v>0.1</v>
      </c>
      <c r="I1115" s="1248">
        <f t="shared" si="65"/>
        <v>3.32</v>
      </c>
      <c r="J1115" s="1236"/>
    </row>
    <row r="1116" spans="1:10" ht="24.95" customHeight="1">
      <c r="A1116" s="1237"/>
      <c r="B1116" s="1238" t="s">
        <v>5879</v>
      </c>
      <c r="C1116" s="1239">
        <v>2</v>
      </c>
      <c r="D1116" s="1239" t="s">
        <v>5404</v>
      </c>
      <c r="E1116" s="1239">
        <v>1</v>
      </c>
      <c r="F1116" s="1240">
        <v>3.3</v>
      </c>
      <c r="G1116" s="1248"/>
      <c r="H1116" s="1248">
        <v>0.1</v>
      </c>
      <c r="I1116" s="1248">
        <f t="shared" si="65"/>
        <v>0.66</v>
      </c>
      <c r="J1116" s="1236"/>
    </row>
    <row r="1117" spans="1:10" ht="24.95" customHeight="1">
      <c r="A1117" s="1237"/>
      <c r="B1117" s="1238" t="s">
        <v>5880</v>
      </c>
      <c r="C1117" s="1239">
        <v>2</v>
      </c>
      <c r="D1117" s="1239" t="s">
        <v>5404</v>
      </c>
      <c r="E1117" s="1239">
        <v>3</v>
      </c>
      <c r="F1117" s="1240">
        <v>3.6</v>
      </c>
      <c r="G1117" s="1248"/>
      <c r="H1117" s="1248">
        <v>0.1</v>
      </c>
      <c r="I1117" s="1248">
        <f t="shared" si="65"/>
        <v>2.16</v>
      </c>
      <c r="J1117" s="1236"/>
    </row>
    <row r="1118" spans="1:10" ht="24.95" customHeight="1">
      <c r="A1118" s="1237"/>
      <c r="B1118" s="1238" t="s">
        <v>5881</v>
      </c>
      <c r="C1118" s="1239">
        <v>2</v>
      </c>
      <c r="D1118" s="1239" t="s">
        <v>5404</v>
      </c>
      <c r="E1118" s="1239">
        <v>2</v>
      </c>
      <c r="F1118" s="1240">
        <v>6</v>
      </c>
      <c r="G1118" s="1248"/>
      <c r="H1118" s="1248">
        <v>0.1</v>
      </c>
      <c r="I1118" s="1248">
        <f t="shared" si="65"/>
        <v>2.4</v>
      </c>
      <c r="J1118" s="1236"/>
    </row>
    <row r="1119" spans="1:10" ht="24.95" customHeight="1">
      <c r="A1119" s="1237"/>
      <c r="B1119" s="1238" t="s">
        <v>5882</v>
      </c>
      <c r="C1119" s="1239">
        <v>2</v>
      </c>
      <c r="D1119" s="1239" t="s">
        <v>5404</v>
      </c>
      <c r="E1119" s="1239">
        <v>1</v>
      </c>
      <c r="F1119" s="1240">
        <v>8.0299999999999994</v>
      </c>
      <c r="G1119" s="1248"/>
      <c r="H1119" s="1248">
        <v>0.1</v>
      </c>
      <c r="I1119" s="1248">
        <f t="shared" si="65"/>
        <v>1.61</v>
      </c>
      <c r="J1119" s="1236"/>
    </row>
    <row r="1120" spans="1:10" ht="24.95" customHeight="1">
      <c r="A1120" s="1237"/>
      <c r="B1120" s="1238" t="s">
        <v>5883</v>
      </c>
      <c r="C1120" s="1239">
        <v>2</v>
      </c>
      <c r="D1120" s="1244" t="s">
        <v>5404</v>
      </c>
      <c r="E1120" s="1244">
        <v>2</v>
      </c>
      <c r="F1120" s="1242">
        <v>17</v>
      </c>
      <c r="G1120" s="1248"/>
      <c r="H1120" s="1248">
        <v>0.1</v>
      </c>
      <c r="I1120" s="1248">
        <f t="shared" si="65"/>
        <v>6.8</v>
      </c>
      <c r="J1120" s="1236"/>
    </row>
    <row r="1121" spans="1:10" ht="24.95" customHeight="1">
      <c r="A1121" s="1237"/>
      <c r="B1121" s="1238" t="s">
        <v>5884</v>
      </c>
      <c r="C1121" s="1239">
        <v>2</v>
      </c>
      <c r="D1121" s="1244" t="s">
        <v>5404</v>
      </c>
      <c r="E1121" s="1244">
        <v>4</v>
      </c>
      <c r="F1121" s="1242">
        <v>10.97</v>
      </c>
      <c r="G1121" s="1248"/>
      <c r="H1121" s="1248">
        <v>0.1</v>
      </c>
      <c r="I1121" s="1248">
        <f t="shared" si="65"/>
        <v>8.7799999999999994</v>
      </c>
      <c r="J1121" s="1236"/>
    </row>
    <row r="1122" spans="1:10" ht="24.95" customHeight="1">
      <c r="A1122" s="1237"/>
      <c r="B1122" s="1238" t="s">
        <v>5889</v>
      </c>
      <c r="C1122" s="1239">
        <v>2</v>
      </c>
      <c r="D1122" s="1244" t="s">
        <v>5404</v>
      </c>
      <c r="E1122" s="1244">
        <v>1</v>
      </c>
      <c r="F1122" s="1242">
        <v>2</v>
      </c>
      <c r="G1122" s="1248"/>
      <c r="H1122" s="1248">
        <v>0.1</v>
      </c>
      <c r="I1122" s="1248">
        <f t="shared" si="65"/>
        <v>0.4</v>
      </c>
      <c r="J1122" s="1236"/>
    </row>
    <row r="1123" spans="1:10" ht="24.95" customHeight="1">
      <c r="A1123" s="1237"/>
      <c r="B1123" s="1238" t="s">
        <v>5890</v>
      </c>
      <c r="C1123" s="1239">
        <v>2</v>
      </c>
      <c r="D1123" s="1244" t="s">
        <v>5404</v>
      </c>
      <c r="E1123" s="1244">
        <v>1</v>
      </c>
      <c r="F1123" s="1242">
        <v>21.32</v>
      </c>
      <c r="G1123" s="1248"/>
      <c r="H1123" s="1248">
        <v>0.1</v>
      </c>
      <c r="I1123" s="1248">
        <f t="shared" si="65"/>
        <v>4.26</v>
      </c>
      <c r="J1123" s="1236"/>
    </row>
    <row r="1124" spans="1:10" ht="24.95" customHeight="1">
      <c r="A1124" s="1237"/>
      <c r="B1124" s="1247"/>
      <c r="C1124" s="1234"/>
      <c r="D1124" s="1234"/>
      <c r="E1124" s="1234"/>
      <c r="F1124" s="1248"/>
      <c r="G1124" s="1248"/>
      <c r="H1124" s="1248"/>
      <c r="I1124" s="1248">
        <f>SUM(I1088:I1123)</f>
        <v>345.8</v>
      </c>
      <c r="J1124" s="1236"/>
    </row>
    <row r="1125" spans="1:10" ht="24.95" customHeight="1">
      <c r="A1125" s="1237"/>
      <c r="B1125" s="1247"/>
      <c r="C1125" s="1234"/>
      <c r="D1125" s="1234"/>
      <c r="E1125" s="1234"/>
      <c r="F1125" s="1248"/>
      <c r="G1125" s="1248"/>
      <c r="H1125" s="1249" t="s">
        <v>4322</v>
      </c>
      <c r="I1125" s="1249">
        <f>ROUNDUP(I1124,1-0)</f>
        <v>345.8</v>
      </c>
      <c r="J1125" s="1246" t="s">
        <v>2308</v>
      </c>
    </row>
    <row r="1126" spans="1:10" ht="65.25" customHeight="1">
      <c r="A1126" s="1237"/>
      <c r="B1126" s="1233" t="s">
        <v>5751</v>
      </c>
      <c r="C1126" s="1234"/>
      <c r="D1126" s="1234"/>
      <c r="E1126" s="1234"/>
      <c r="F1126" s="1235"/>
      <c r="G1126" s="1235"/>
      <c r="H1126" s="1235"/>
      <c r="I1126" s="1235"/>
      <c r="J1126" s="1236"/>
    </row>
    <row r="1127" spans="1:10" ht="24.95" customHeight="1">
      <c r="A1127" s="1237"/>
      <c r="B1127" s="1233" t="str">
        <f>B182</f>
        <v>LintelBeam</v>
      </c>
      <c r="C1127" s="1234"/>
      <c r="D1127" s="1234"/>
      <c r="E1127" s="1234"/>
      <c r="F1127" s="1235"/>
      <c r="G1127" s="1235"/>
      <c r="H1127" s="1235"/>
      <c r="I1127" s="1235"/>
      <c r="J1127" s="1236"/>
    </row>
    <row r="1128" spans="1:10" ht="24.95" customHeight="1">
      <c r="A1128" s="1237"/>
      <c r="B1128" s="1233" t="s">
        <v>5562</v>
      </c>
      <c r="C1128" s="1234"/>
      <c r="D1128" s="1234"/>
      <c r="E1128" s="1234"/>
      <c r="F1128" s="1313"/>
      <c r="G1128" s="1313"/>
      <c r="H1128" s="1313"/>
      <c r="I1128" s="1313"/>
      <c r="J1128" s="1236"/>
    </row>
    <row r="1129" spans="1:10" ht="24.95" customHeight="1">
      <c r="A1129" s="1237"/>
      <c r="B1129" s="1238" t="s">
        <v>5877</v>
      </c>
      <c r="C1129" s="1239">
        <v>2</v>
      </c>
      <c r="D1129" s="1239" t="s">
        <v>5404</v>
      </c>
      <c r="E1129" s="1239">
        <v>1</v>
      </c>
      <c r="F1129" s="1240">
        <v>64.88</v>
      </c>
      <c r="G1129" s="1313"/>
      <c r="H1129" s="1248">
        <v>0.15</v>
      </c>
      <c r="I1129" s="1248">
        <f t="shared" ref="I1129:I1137" si="66">PRODUCT(C1129:H1129)</f>
        <v>19.46</v>
      </c>
      <c r="J1129" s="1236"/>
    </row>
    <row r="1130" spans="1:10" ht="24.95" customHeight="1">
      <c r="A1130" s="1237"/>
      <c r="B1130" s="1238" t="s">
        <v>5878</v>
      </c>
      <c r="C1130" s="1239">
        <v>2</v>
      </c>
      <c r="D1130" s="1239" t="s">
        <v>5404</v>
      </c>
      <c r="E1130" s="1239">
        <v>1</v>
      </c>
      <c r="F1130" s="1240">
        <v>20.12</v>
      </c>
      <c r="G1130" s="1313"/>
      <c r="H1130" s="1248">
        <v>0.15</v>
      </c>
      <c r="I1130" s="1248">
        <f t="shared" si="66"/>
        <v>6.04</v>
      </c>
      <c r="J1130" s="1236"/>
    </row>
    <row r="1131" spans="1:10" ht="24.95" customHeight="1">
      <c r="A1131" s="1237"/>
      <c r="B1131" s="1238"/>
      <c r="C1131" s="1239">
        <v>2</v>
      </c>
      <c r="D1131" s="1239" t="s">
        <v>5404</v>
      </c>
      <c r="E1131" s="1239">
        <v>1</v>
      </c>
      <c r="F1131" s="1240">
        <v>16.59</v>
      </c>
      <c r="G1131" s="1313"/>
      <c r="H1131" s="1248">
        <v>0.15</v>
      </c>
      <c r="I1131" s="1248">
        <f t="shared" si="66"/>
        <v>4.9800000000000004</v>
      </c>
      <c r="J1131" s="1236"/>
    </row>
    <row r="1132" spans="1:10" ht="24.95" customHeight="1">
      <c r="A1132" s="1237"/>
      <c r="B1132" s="1238" t="s">
        <v>5879</v>
      </c>
      <c r="C1132" s="1239">
        <v>2</v>
      </c>
      <c r="D1132" s="1239" t="s">
        <v>5404</v>
      </c>
      <c r="E1132" s="1239">
        <v>1</v>
      </c>
      <c r="F1132" s="1240">
        <v>3.3</v>
      </c>
      <c r="G1132" s="1313"/>
      <c r="H1132" s="1248">
        <v>0.15</v>
      </c>
      <c r="I1132" s="1248">
        <f t="shared" si="66"/>
        <v>0.99</v>
      </c>
      <c r="J1132" s="1236"/>
    </row>
    <row r="1133" spans="1:10" ht="24.95" customHeight="1">
      <c r="A1133" s="1237"/>
      <c r="B1133" s="1238" t="s">
        <v>5880</v>
      </c>
      <c r="C1133" s="1239">
        <v>2</v>
      </c>
      <c r="D1133" s="1239" t="s">
        <v>5404</v>
      </c>
      <c r="E1133" s="1239">
        <v>3</v>
      </c>
      <c r="F1133" s="1240">
        <v>3.6</v>
      </c>
      <c r="G1133" s="1313"/>
      <c r="H1133" s="1248">
        <v>0.15</v>
      </c>
      <c r="I1133" s="1248">
        <f t="shared" si="66"/>
        <v>3.24</v>
      </c>
      <c r="J1133" s="1236"/>
    </row>
    <row r="1134" spans="1:10" ht="24.95" customHeight="1">
      <c r="A1134" s="1237"/>
      <c r="B1134" s="1238" t="s">
        <v>5881</v>
      </c>
      <c r="C1134" s="1239">
        <v>2</v>
      </c>
      <c r="D1134" s="1239" t="s">
        <v>5404</v>
      </c>
      <c r="E1134" s="1239">
        <v>2</v>
      </c>
      <c r="F1134" s="1240">
        <v>6</v>
      </c>
      <c r="G1134" s="1313"/>
      <c r="H1134" s="1248">
        <v>0.15</v>
      </c>
      <c r="I1134" s="1248">
        <f t="shared" si="66"/>
        <v>3.6</v>
      </c>
      <c r="J1134" s="1236"/>
    </row>
    <row r="1135" spans="1:10" ht="24.95" customHeight="1">
      <c r="A1135" s="1237"/>
      <c r="B1135" s="1238" t="s">
        <v>5882</v>
      </c>
      <c r="C1135" s="1239">
        <v>2</v>
      </c>
      <c r="D1135" s="1239" t="s">
        <v>5404</v>
      </c>
      <c r="E1135" s="1239">
        <v>1</v>
      </c>
      <c r="F1135" s="1240">
        <v>8.0299999999999994</v>
      </c>
      <c r="G1135" s="1313"/>
      <c r="H1135" s="1248">
        <v>0.15</v>
      </c>
      <c r="I1135" s="1248">
        <f t="shared" si="66"/>
        <v>2.41</v>
      </c>
      <c r="J1135" s="1236"/>
    </row>
    <row r="1136" spans="1:10" ht="24.95" customHeight="1">
      <c r="A1136" s="1237"/>
      <c r="B1136" s="1238" t="s">
        <v>5889</v>
      </c>
      <c r="C1136" s="1239">
        <v>2</v>
      </c>
      <c r="D1136" s="1244" t="s">
        <v>5404</v>
      </c>
      <c r="E1136" s="1244">
        <v>1</v>
      </c>
      <c r="F1136" s="1242">
        <v>2</v>
      </c>
      <c r="G1136" s="1313"/>
      <c r="H1136" s="1248">
        <v>0.15</v>
      </c>
      <c r="I1136" s="1248">
        <f t="shared" si="66"/>
        <v>0.6</v>
      </c>
      <c r="J1136" s="1236"/>
    </row>
    <row r="1137" spans="1:10" ht="24.95" customHeight="1">
      <c r="A1137" s="1237"/>
      <c r="B1137" s="1238" t="s">
        <v>5890</v>
      </c>
      <c r="C1137" s="1239">
        <v>2</v>
      </c>
      <c r="D1137" s="1244" t="s">
        <v>5404</v>
      </c>
      <c r="E1137" s="1244">
        <v>1</v>
      </c>
      <c r="F1137" s="1242">
        <v>21.32</v>
      </c>
      <c r="G1137" s="1313"/>
      <c r="H1137" s="1248">
        <v>0.1</v>
      </c>
      <c r="I1137" s="1248">
        <f t="shared" si="66"/>
        <v>4.26</v>
      </c>
      <c r="J1137" s="1236"/>
    </row>
    <row r="1138" spans="1:10" ht="24.95" customHeight="1">
      <c r="A1138" s="1237"/>
      <c r="B1138" s="1233" t="s">
        <v>5457</v>
      </c>
      <c r="C1138" s="1234"/>
      <c r="D1138" s="1234"/>
      <c r="E1138" s="1234"/>
      <c r="F1138" s="1248"/>
      <c r="G1138" s="1248"/>
      <c r="H1138" s="1248"/>
      <c r="I1138" s="1248"/>
      <c r="J1138" s="1236"/>
    </row>
    <row r="1139" spans="1:10" ht="24.95" customHeight="1">
      <c r="A1139" s="1237"/>
      <c r="B1139" s="1247" t="s">
        <v>5458</v>
      </c>
      <c r="C1139" s="1234">
        <v>1</v>
      </c>
      <c r="D1139" s="1234" t="s">
        <v>5404</v>
      </c>
      <c r="E1139" s="1234">
        <v>2</v>
      </c>
      <c r="F1139" s="1248">
        <v>4.96</v>
      </c>
      <c r="G1139" s="1248"/>
      <c r="H1139" s="1248">
        <v>0.05</v>
      </c>
      <c r="I1139" s="1248">
        <f t="shared" ref="I1139:I1187" si="67">PRODUCT(C1139:H1139)</f>
        <v>0.5</v>
      </c>
      <c r="J1139" s="1236"/>
    </row>
    <row r="1140" spans="1:10" ht="24.95" customHeight="1">
      <c r="A1140" s="1237"/>
      <c r="B1140" s="1247" t="s">
        <v>5419</v>
      </c>
      <c r="C1140" s="1234">
        <v>1</v>
      </c>
      <c r="D1140" s="1234" t="s">
        <v>5404</v>
      </c>
      <c r="E1140" s="1234">
        <v>2</v>
      </c>
      <c r="F1140" s="1248">
        <v>6.46</v>
      </c>
      <c r="G1140" s="1248"/>
      <c r="H1140" s="1248">
        <v>0.05</v>
      </c>
      <c r="I1140" s="1248">
        <f t="shared" si="67"/>
        <v>0.65</v>
      </c>
      <c r="J1140" s="1236"/>
    </row>
    <row r="1141" spans="1:10" ht="24.95" customHeight="1">
      <c r="A1141" s="1237"/>
      <c r="B1141" s="1247" t="s">
        <v>5892</v>
      </c>
      <c r="C1141" s="1234">
        <v>2</v>
      </c>
      <c r="D1141" s="1234" t="s">
        <v>5404</v>
      </c>
      <c r="E1141" s="1234">
        <v>2</v>
      </c>
      <c r="F1141" s="1248">
        <v>5.56</v>
      </c>
      <c r="G1141" s="1248"/>
      <c r="H1141" s="1248">
        <v>0.05</v>
      </c>
      <c r="I1141" s="1248">
        <f t="shared" si="67"/>
        <v>1.1100000000000001</v>
      </c>
      <c r="J1141" s="1236"/>
    </row>
    <row r="1142" spans="1:10" ht="24.95" customHeight="1">
      <c r="A1142" s="1237"/>
      <c r="B1142" s="1247" t="s">
        <v>5459</v>
      </c>
      <c r="C1142" s="1234">
        <v>2</v>
      </c>
      <c r="D1142" s="1234" t="s">
        <v>5404</v>
      </c>
      <c r="E1142" s="1234">
        <v>2</v>
      </c>
      <c r="F1142" s="1248">
        <v>7.19</v>
      </c>
      <c r="G1142" s="1248"/>
      <c r="H1142" s="1248">
        <v>0.05</v>
      </c>
      <c r="I1142" s="1248">
        <f t="shared" si="67"/>
        <v>1.44</v>
      </c>
      <c r="J1142" s="1236"/>
    </row>
    <row r="1143" spans="1:10" ht="24.95" customHeight="1">
      <c r="A1143" s="1237"/>
      <c r="B1143" s="1247" t="s">
        <v>5460</v>
      </c>
      <c r="C1143" s="1234">
        <v>1</v>
      </c>
      <c r="D1143" s="1234" t="s">
        <v>5404</v>
      </c>
      <c r="E1143" s="1234">
        <v>7</v>
      </c>
      <c r="F1143" s="1248">
        <v>4.38</v>
      </c>
      <c r="G1143" s="1248"/>
      <c r="H1143" s="1248">
        <v>0.05</v>
      </c>
      <c r="I1143" s="1248">
        <f t="shared" si="67"/>
        <v>1.53</v>
      </c>
      <c r="J1143" s="1236"/>
    </row>
    <row r="1144" spans="1:10" ht="24.95" customHeight="1">
      <c r="A1144" s="1237"/>
      <c r="B1144" s="1247" t="s">
        <v>5461</v>
      </c>
      <c r="C1144" s="1234">
        <v>1</v>
      </c>
      <c r="D1144" s="1234" t="s">
        <v>5404</v>
      </c>
      <c r="E1144" s="1234">
        <v>1</v>
      </c>
      <c r="F1144" s="1248">
        <v>4.08</v>
      </c>
      <c r="G1144" s="1248"/>
      <c r="H1144" s="1248">
        <v>0.05</v>
      </c>
      <c r="I1144" s="1248">
        <f t="shared" si="67"/>
        <v>0.2</v>
      </c>
      <c r="J1144" s="1236"/>
    </row>
    <row r="1145" spans="1:10" ht="24.95" customHeight="1">
      <c r="A1145" s="1237"/>
      <c r="B1145" s="1247" t="s">
        <v>5462</v>
      </c>
      <c r="C1145" s="1234">
        <v>1</v>
      </c>
      <c r="D1145" s="1234" t="s">
        <v>5404</v>
      </c>
      <c r="E1145" s="1234">
        <v>3</v>
      </c>
      <c r="F1145" s="1248">
        <v>3.18</v>
      </c>
      <c r="G1145" s="1248"/>
      <c r="H1145" s="1248">
        <v>0.05</v>
      </c>
      <c r="I1145" s="1248">
        <f t="shared" si="67"/>
        <v>0.48</v>
      </c>
      <c r="J1145" s="1236"/>
    </row>
    <row r="1146" spans="1:10" ht="24.95" customHeight="1">
      <c r="A1146" s="1237"/>
      <c r="B1146" s="1247" t="s">
        <v>5463</v>
      </c>
      <c r="C1146" s="1234">
        <v>1</v>
      </c>
      <c r="D1146" s="1234" t="s">
        <v>5404</v>
      </c>
      <c r="E1146" s="1234">
        <v>1</v>
      </c>
      <c r="F1146" s="1248">
        <v>2.88</v>
      </c>
      <c r="G1146" s="1248"/>
      <c r="H1146" s="1248">
        <v>0.05</v>
      </c>
      <c r="I1146" s="1248">
        <f t="shared" si="67"/>
        <v>0.14000000000000001</v>
      </c>
      <c r="J1146" s="1236"/>
    </row>
    <row r="1147" spans="1:10" ht="24.95" customHeight="1">
      <c r="A1147" s="1237"/>
      <c r="B1147" s="1247" t="s">
        <v>5464</v>
      </c>
      <c r="C1147" s="1234">
        <v>1</v>
      </c>
      <c r="D1147" s="1234" t="s">
        <v>5404</v>
      </c>
      <c r="E1147" s="1234">
        <v>1</v>
      </c>
      <c r="F1147" s="1248">
        <v>3.78</v>
      </c>
      <c r="G1147" s="1248"/>
      <c r="H1147" s="1248">
        <v>0.05</v>
      </c>
      <c r="I1147" s="1248">
        <f t="shared" si="67"/>
        <v>0.19</v>
      </c>
      <c r="J1147" s="1236"/>
    </row>
    <row r="1148" spans="1:10" ht="24.95" customHeight="1">
      <c r="A1148" s="1237"/>
      <c r="B1148" s="1247" t="s">
        <v>5465</v>
      </c>
      <c r="C1148" s="1234">
        <v>1</v>
      </c>
      <c r="D1148" s="1234" t="s">
        <v>5404</v>
      </c>
      <c r="E1148" s="1234">
        <v>1</v>
      </c>
      <c r="F1148" s="1248">
        <v>4.38</v>
      </c>
      <c r="G1148" s="1248"/>
      <c r="H1148" s="1248">
        <v>0.05</v>
      </c>
      <c r="I1148" s="1248">
        <f t="shared" si="67"/>
        <v>0.22</v>
      </c>
      <c r="J1148" s="1236"/>
    </row>
    <row r="1149" spans="1:10" ht="24.95" customHeight="1">
      <c r="A1149" s="1237"/>
      <c r="B1149" s="1247" t="s">
        <v>5466</v>
      </c>
      <c r="C1149" s="1234">
        <v>1</v>
      </c>
      <c r="D1149" s="1234" t="s">
        <v>5404</v>
      </c>
      <c r="E1149" s="1234">
        <v>2</v>
      </c>
      <c r="F1149" s="1248">
        <v>3.48</v>
      </c>
      <c r="G1149" s="1248"/>
      <c r="H1149" s="1248">
        <v>0.05</v>
      </c>
      <c r="I1149" s="1248">
        <f t="shared" si="67"/>
        <v>0.35</v>
      </c>
      <c r="J1149" s="1236"/>
    </row>
    <row r="1150" spans="1:10" ht="24.95" customHeight="1">
      <c r="A1150" s="1237"/>
      <c r="B1150" s="1247" t="s">
        <v>5467</v>
      </c>
      <c r="C1150" s="1234">
        <v>1</v>
      </c>
      <c r="D1150" s="1234" t="s">
        <v>5404</v>
      </c>
      <c r="E1150" s="1234">
        <v>1</v>
      </c>
      <c r="F1150" s="1248">
        <v>4.68</v>
      </c>
      <c r="G1150" s="1248"/>
      <c r="H1150" s="1248">
        <v>0.05</v>
      </c>
      <c r="I1150" s="1248">
        <f t="shared" si="67"/>
        <v>0.23</v>
      </c>
      <c r="J1150" s="1236"/>
    </row>
    <row r="1151" spans="1:10" ht="24.95" customHeight="1">
      <c r="A1151" s="1237"/>
      <c r="B1151" s="1247" t="s">
        <v>5752</v>
      </c>
      <c r="C1151" s="1234">
        <v>2</v>
      </c>
      <c r="D1151" s="1234" t="s">
        <v>5404</v>
      </c>
      <c r="E1151" s="1234">
        <v>2</v>
      </c>
      <c r="F1151" s="1248">
        <v>16.2</v>
      </c>
      <c r="G1151" s="1248"/>
      <c r="H1151" s="1248">
        <v>0.05</v>
      </c>
      <c r="I1151" s="1248">
        <f t="shared" si="67"/>
        <v>3.24</v>
      </c>
      <c r="J1151" s="1236"/>
    </row>
    <row r="1152" spans="1:10" ht="24.95" customHeight="1">
      <c r="A1152" s="1237"/>
      <c r="B1152" s="1247" t="s">
        <v>5471</v>
      </c>
      <c r="C1152" s="1234">
        <v>2</v>
      </c>
      <c r="D1152" s="1234" t="s">
        <v>5404</v>
      </c>
      <c r="E1152" s="1234">
        <v>1</v>
      </c>
      <c r="F1152" s="1248">
        <v>3.75</v>
      </c>
      <c r="G1152" s="1248"/>
      <c r="H1152" s="1248">
        <v>1.5</v>
      </c>
      <c r="I1152" s="1248">
        <f t="shared" si="67"/>
        <v>11.25</v>
      </c>
      <c r="J1152" s="1236"/>
    </row>
    <row r="1153" spans="1:10" ht="24.95" customHeight="1">
      <c r="A1153" s="1237"/>
      <c r="B1153" s="1247" t="s">
        <v>5472</v>
      </c>
      <c r="C1153" s="1234">
        <v>2</v>
      </c>
      <c r="D1153" s="1234" t="s">
        <v>5404</v>
      </c>
      <c r="E1153" s="1234">
        <v>1</v>
      </c>
      <c r="F1153" s="1248">
        <v>4.1100000000000003</v>
      </c>
      <c r="G1153" s="1248"/>
      <c r="H1153" s="1248">
        <v>1.5</v>
      </c>
      <c r="I1153" s="1248">
        <f t="shared" si="67"/>
        <v>12.33</v>
      </c>
      <c r="J1153" s="1236"/>
    </row>
    <row r="1154" spans="1:10" ht="24.95" customHeight="1">
      <c r="A1154" s="1237"/>
      <c r="B1154" s="1247" t="s">
        <v>5473</v>
      </c>
      <c r="C1154" s="1234">
        <v>2</v>
      </c>
      <c r="D1154" s="1234" t="s">
        <v>5404</v>
      </c>
      <c r="E1154" s="1234">
        <v>1</v>
      </c>
      <c r="F1154" s="1248">
        <v>3.45</v>
      </c>
      <c r="G1154" s="1248"/>
      <c r="H1154" s="1248">
        <v>1.5</v>
      </c>
      <c r="I1154" s="1248">
        <f t="shared" si="67"/>
        <v>10.35</v>
      </c>
      <c r="J1154" s="1236"/>
    </row>
    <row r="1155" spans="1:10" ht="24.95" customHeight="1">
      <c r="A1155" s="1237"/>
      <c r="B1155" s="1247" t="s">
        <v>5474</v>
      </c>
      <c r="C1155" s="1234">
        <v>2</v>
      </c>
      <c r="D1155" s="1234" t="s">
        <v>5404</v>
      </c>
      <c r="E1155" s="1264">
        <v>23</v>
      </c>
      <c r="F1155" s="1248">
        <v>0.45</v>
      </c>
      <c r="G1155" s="1248"/>
      <c r="H1155" s="1248">
        <v>1.5</v>
      </c>
      <c r="I1155" s="1248">
        <f t="shared" si="67"/>
        <v>31.05</v>
      </c>
      <c r="J1155" s="1236"/>
    </row>
    <row r="1156" spans="1:10" ht="24.95" customHeight="1">
      <c r="A1156" s="1237"/>
      <c r="B1156" s="1247" t="s">
        <v>5475</v>
      </c>
      <c r="C1156" s="1234">
        <v>2</v>
      </c>
      <c r="D1156" s="1234" t="s">
        <v>5404</v>
      </c>
      <c r="E1156" s="1234">
        <v>2</v>
      </c>
      <c r="F1156" s="1248">
        <v>4.1100000000000003</v>
      </c>
      <c r="G1156" s="1248"/>
      <c r="H1156" s="1248">
        <v>0.3</v>
      </c>
      <c r="I1156" s="1248">
        <f t="shared" si="67"/>
        <v>4.93</v>
      </c>
      <c r="J1156" s="1236"/>
    </row>
    <row r="1157" spans="1:10" ht="33.75" customHeight="1">
      <c r="A1157" s="1237"/>
      <c r="B1157" s="1233" t="s">
        <v>5566</v>
      </c>
      <c r="C1157" s="1234"/>
      <c r="D1157" s="1234"/>
      <c r="E1157" s="1234"/>
      <c r="F1157" s="1248"/>
      <c r="G1157" s="1248"/>
      <c r="H1157" s="1248"/>
      <c r="I1157" s="1248"/>
      <c r="J1157" s="1236"/>
    </row>
    <row r="1158" spans="1:10" ht="36.75" customHeight="1">
      <c r="A1158" s="1237"/>
      <c r="B1158" s="1238" t="s">
        <v>5877</v>
      </c>
      <c r="C1158" s="1239">
        <v>2</v>
      </c>
      <c r="D1158" s="1239" t="s">
        <v>5404</v>
      </c>
      <c r="E1158" s="1239">
        <v>1</v>
      </c>
      <c r="F1158" s="1240">
        <v>64.88</v>
      </c>
      <c r="G1158" s="1248"/>
      <c r="H1158" s="1248">
        <v>0.15</v>
      </c>
      <c r="I1158" s="1248">
        <f t="shared" si="67"/>
        <v>19.46</v>
      </c>
      <c r="J1158" s="1236"/>
    </row>
    <row r="1159" spans="1:10" ht="24.95" customHeight="1">
      <c r="A1159" s="1237"/>
      <c r="B1159" s="1238" t="s">
        <v>5878</v>
      </c>
      <c r="C1159" s="1239">
        <v>2</v>
      </c>
      <c r="D1159" s="1239" t="s">
        <v>5404</v>
      </c>
      <c r="E1159" s="1239">
        <v>1</v>
      </c>
      <c r="F1159" s="1240">
        <v>20.12</v>
      </c>
      <c r="G1159" s="1248"/>
      <c r="H1159" s="1248">
        <v>0.15</v>
      </c>
      <c r="I1159" s="1248">
        <f t="shared" si="67"/>
        <v>6.04</v>
      </c>
      <c r="J1159" s="1236"/>
    </row>
    <row r="1160" spans="1:10" ht="24.95" customHeight="1">
      <c r="A1160" s="1237"/>
      <c r="B1160" s="1238"/>
      <c r="C1160" s="1239">
        <v>2</v>
      </c>
      <c r="D1160" s="1239" t="s">
        <v>5404</v>
      </c>
      <c r="E1160" s="1239">
        <v>1</v>
      </c>
      <c r="F1160" s="1240">
        <v>16.59</v>
      </c>
      <c r="G1160" s="1248"/>
      <c r="H1160" s="1248">
        <v>0.15</v>
      </c>
      <c r="I1160" s="1248">
        <f t="shared" si="67"/>
        <v>4.9800000000000004</v>
      </c>
      <c r="J1160" s="1236"/>
    </row>
    <row r="1161" spans="1:10" ht="24.95" customHeight="1">
      <c r="A1161" s="1237"/>
      <c r="B1161" s="1238" t="s">
        <v>5880</v>
      </c>
      <c r="C1161" s="1239">
        <v>2</v>
      </c>
      <c r="D1161" s="1239" t="s">
        <v>5404</v>
      </c>
      <c r="E1161" s="1239">
        <v>3</v>
      </c>
      <c r="F1161" s="1240">
        <v>3.6</v>
      </c>
      <c r="G1161" s="1248"/>
      <c r="H1161" s="1248">
        <v>0.15</v>
      </c>
      <c r="I1161" s="1248">
        <f t="shared" si="67"/>
        <v>3.24</v>
      </c>
      <c r="J1161" s="1236"/>
    </row>
    <row r="1162" spans="1:10" ht="24.95" customHeight="1">
      <c r="A1162" s="1237"/>
      <c r="B1162" s="1238" t="s">
        <v>5894</v>
      </c>
      <c r="C1162" s="1239">
        <v>2</v>
      </c>
      <c r="D1162" s="1239" t="s">
        <v>5404</v>
      </c>
      <c r="E1162" s="1239">
        <v>2</v>
      </c>
      <c r="F1162" s="1240">
        <v>6</v>
      </c>
      <c r="G1162" s="1248"/>
      <c r="H1162" s="1248">
        <v>0.15</v>
      </c>
      <c r="I1162" s="1248">
        <f t="shared" si="67"/>
        <v>3.6</v>
      </c>
      <c r="J1162" s="1236"/>
    </row>
    <row r="1163" spans="1:10" ht="24.95" customHeight="1">
      <c r="A1163" s="1237"/>
      <c r="B1163" s="1238" t="s">
        <v>5895</v>
      </c>
      <c r="C1163" s="1239">
        <v>2</v>
      </c>
      <c r="D1163" s="1239" t="s">
        <v>5404</v>
      </c>
      <c r="E1163" s="1239">
        <v>1</v>
      </c>
      <c r="F1163" s="1240">
        <v>8.0299999999999994</v>
      </c>
      <c r="G1163" s="1248"/>
      <c r="H1163" s="1248">
        <v>0.15</v>
      </c>
      <c r="I1163" s="1248">
        <f t="shared" si="67"/>
        <v>2.41</v>
      </c>
      <c r="J1163" s="1236"/>
    </row>
    <row r="1164" spans="1:10" ht="24.95" customHeight="1">
      <c r="A1164" s="1237"/>
      <c r="B1164" s="1238" t="s">
        <v>5890</v>
      </c>
      <c r="C1164" s="1239">
        <v>2</v>
      </c>
      <c r="D1164" s="1244" t="s">
        <v>5404</v>
      </c>
      <c r="E1164" s="1244">
        <v>1</v>
      </c>
      <c r="F1164" s="1242">
        <v>21.32</v>
      </c>
      <c r="G1164" s="1248"/>
      <c r="H1164" s="1248">
        <v>0.15</v>
      </c>
      <c r="I1164" s="1248">
        <f t="shared" si="67"/>
        <v>6.4</v>
      </c>
      <c r="J1164" s="1236"/>
    </row>
    <row r="1165" spans="1:10" ht="24.95" customHeight="1">
      <c r="A1165" s="1237"/>
      <c r="B1165" s="1233" t="s">
        <v>5478</v>
      </c>
      <c r="C1165" s="1234">
        <v>2</v>
      </c>
      <c r="D1165" s="1234" t="s">
        <v>5404</v>
      </c>
      <c r="E1165" s="1234">
        <v>1</v>
      </c>
      <c r="F1165" s="1248">
        <v>3.81</v>
      </c>
      <c r="G1165" s="1248"/>
      <c r="H1165" s="1248">
        <v>0.05</v>
      </c>
      <c r="I1165" s="1248">
        <f t="shared" si="67"/>
        <v>0.38</v>
      </c>
      <c r="J1165" s="1236"/>
    </row>
    <row r="1166" spans="1:10" ht="24.95" customHeight="1">
      <c r="A1166" s="1237"/>
      <c r="B1166" s="1247" t="s">
        <v>5479</v>
      </c>
      <c r="C1166" s="1234">
        <v>2</v>
      </c>
      <c r="D1166" s="1234" t="s">
        <v>5404</v>
      </c>
      <c r="E1166" s="1234">
        <v>1</v>
      </c>
      <c r="F1166" s="1248">
        <v>6.46</v>
      </c>
      <c r="G1166" s="1248"/>
      <c r="H1166" s="1248">
        <v>0.05</v>
      </c>
      <c r="I1166" s="1248">
        <f t="shared" si="67"/>
        <v>0.65</v>
      </c>
      <c r="J1166" s="1236"/>
    </row>
    <row r="1167" spans="1:10" ht="31.15" customHeight="1">
      <c r="A1167" s="1237"/>
      <c r="B1167" s="1247" t="s">
        <v>5479</v>
      </c>
      <c r="C1167" s="1234">
        <v>2</v>
      </c>
      <c r="D1167" s="1234" t="s">
        <v>5404</v>
      </c>
      <c r="E1167" s="1234">
        <v>1</v>
      </c>
      <c r="F1167" s="1248">
        <v>6.16</v>
      </c>
      <c r="G1167" s="1248"/>
      <c r="H1167" s="1248">
        <v>0.05</v>
      </c>
      <c r="I1167" s="1248">
        <f t="shared" si="67"/>
        <v>0.62</v>
      </c>
      <c r="J1167" s="1236"/>
    </row>
    <row r="1168" spans="1:10" ht="24.95" customHeight="1">
      <c r="A1168" s="1237"/>
      <c r="B1168" s="1247" t="s">
        <v>5479</v>
      </c>
      <c r="C1168" s="1234">
        <v>2</v>
      </c>
      <c r="D1168" s="1234" t="s">
        <v>5404</v>
      </c>
      <c r="E1168" s="1234">
        <v>1</v>
      </c>
      <c r="F1168" s="1248">
        <v>5.56</v>
      </c>
      <c r="G1168" s="1248"/>
      <c r="H1168" s="1248">
        <v>0.05</v>
      </c>
      <c r="I1168" s="1248">
        <f t="shared" si="67"/>
        <v>0.56000000000000005</v>
      </c>
      <c r="J1168" s="1236"/>
    </row>
    <row r="1169" spans="1:10" ht="39" customHeight="1">
      <c r="A1169" s="1237"/>
      <c r="B1169" s="1247" t="s">
        <v>5481</v>
      </c>
      <c r="C1169" s="1234">
        <v>1</v>
      </c>
      <c r="D1169" s="1234" t="s">
        <v>5404</v>
      </c>
      <c r="E1169" s="1234">
        <v>2</v>
      </c>
      <c r="F1169" s="1248">
        <v>4.9800000000000004</v>
      </c>
      <c r="G1169" s="1248"/>
      <c r="H1169" s="1248">
        <v>0.05</v>
      </c>
      <c r="I1169" s="1248">
        <f t="shared" si="67"/>
        <v>0.5</v>
      </c>
      <c r="J1169" s="1236"/>
    </row>
    <row r="1170" spans="1:10" ht="37.5" customHeight="1">
      <c r="A1170" s="1237"/>
      <c r="B1170" s="1247" t="s">
        <v>5469</v>
      </c>
      <c r="C1170" s="1234">
        <v>1</v>
      </c>
      <c r="D1170" s="1234" t="s">
        <v>5404</v>
      </c>
      <c r="E1170" s="1234">
        <v>6</v>
      </c>
      <c r="F1170" s="1248">
        <v>4.38</v>
      </c>
      <c r="G1170" s="1248"/>
      <c r="H1170" s="1248">
        <v>0.05</v>
      </c>
      <c r="I1170" s="1248">
        <f t="shared" si="67"/>
        <v>1.31</v>
      </c>
      <c r="J1170" s="1236"/>
    </row>
    <row r="1171" spans="1:10" ht="24.95" customHeight="1">
      <c r="A1171" s="1237"/>
      <c r="B1171" s="1247" t="s">
        <v>5462</v>
      </c>
      <c r="C1171" s="1234">
        <v>1</v>
      </c>
      <c r="D1171" s="1234" t="s">
        <v>5404</v>
      </c>
      <c r="E1171" s="1234">
        <v>6</v>
      </c>
      <c r="F1171" s="1248">
        <v>3.18</v>
      </c>
      <c r="G1171" s="1248"/>
      <c r="H1171" s="1248">
        <v>0.05</v>
      </c>
      <c r="I1171" s="1248">
        <f t="shared" si="67"/>
        <v>0.95</v>
      </c>
      <c r="J1171" s="1236"/>
    </row>
    <row r="1172" spans="1:10" ht="24.95" customHeight="1">
      <c r="A1172" s="1237"/>
      <c r="B1172" s="1247" t="s">
        <v>5482</v>
      </c>
      <c r="C1172" s="1234">
        <v>1</v>
      </c>
      <c r="D1172" s="1234" t="s">
        <v>5404</v>
      </c>
      <c r="E1172" s="1234">
        <v>4</v>
      </c>
      <c r="F1172" s="1248">
        <v>3.78</v>
      </c>
      <c r="G1172" s="1248"/>
      <c r="H1172" s="1248">
        <v>0.05</v>
      </c>
      <c r="I1172" s="1248">
        <f t="shared" si="67"/>
        <v>0.76</v>
      </c>
      <c r="J1172" s="1236"/>
    </row>
    <row r="1173" spans="1:10" ht="24.95" customHeight="1">
      <c r="A1173" s="1237"/>
      <c r="B1173" s="1247" t="s">
        <v>5464</v>
      </c>
      <c r="C1173" s="1234">
        <v>1</v>
      </c>
      <c r="D1173" s="1234" t="s">
        <v>5404</v>
      </c>
      <c r="E1173" s="1234">
        <v>1</v>
      </c>
      <c r="F1173" s="1248">
        <v>3.78</v>
      </c>
      <c r="G1173" s="1248"/>
      <c r="H1173" s="1248">
        <v>0.05</v>
      </c>
      <c r="I1173" s="1248">
        <f t="shared" si="67"/>
        <v>0.19</v>
      </c>
      <c r="J1173" s="1236"/>
    </row>
    <row r="1174" spans="1:10" ht="24.95" customHeight="1">
      <c r="A1174" s="1237"/>
      <c r="B1174" s="1247" t="s">
        <v>5465</v>
      </c>
      <c r="C1174" s="1234">
        <v>1</v>
      </c>
      <c r="D1174" s="1234" t="s">
        <v>5404</v>
      </c>
      <c r="E1174" s="1234">
        <v>1</v>
      </c>
      <c r="F1174" s="1248">
        <v>4.38</v>
      </c>
      <c r="G1174" s="1248"/>
      <c r="H1174" s="1248">
        <v>0.05</v>
      </c>
      <c r="I1174" s="1248">
        <f t="shared" si="67"/>
        <v>0.22</v>
      </c>
      <c r="J1174" s="1236"/>
    </row>
    <row r="1175" spans="1:10" ht="24.95" customHeight="1">
      <c r="A1175" s="1237"/>
      <c r="B1175" s="1247" t="s">
        <v>5466</v>
      </c>
      <c r="C1175" s="1234">
        <v>1</v>
      </c>
      <c r="D1175" s="1234" t="s">
        <v>5404</v>
      </c>
      <c r="E1175" s="1234">
        <v>2</v>
      </c>
      <c r="F1175" s="1248">
        <v>3.48</v>
      </c>
      <c r="G1175" s="1248"/>
      <c r="H1175" s="1248">
        <v>0.05</v>
      </c>
      <c r="I1175" s="1248">
        <f t="shared" si="67"/>
        <v>0.35</v>
      </c>
      <c r="J1175" s="1236"/>
    </row>
    <row r="1176" spans="1:10" ht="24.95" customHeight="1">
      <c r="A1176" s="1237"/>
      <c r="B1176" s="1247" t="s">
        <v>5483</v>
      </c>
      <c r="C1176" s="1234">
        <v>1</v>
      </c>
      <c r="D1176" s="1234" t="s">
        <v>5404</v>
      </c>
      <c r="E1176" s="1234">
        <v>1</v>
      </c>
      <c r="F1176" s="1248">
        <v>4.9800000000000004</v>
      </c>
      <c r="G1176" s="1248"/>
      <c r="H1176" s="1248">
        <v>0.05</v>
      </c>
      <c r="I1176" s="1248">
        <f t="shared" si="67"/>
        <v>0.25</v>
      </c>
      <c r="J1176" s="1236"/>
    </row>
    <row r="1177" spans="1:10" ht="24.95" customHeight="1">
      <c r="A1177" s="1237"/>
      <c r="B1177" s="1247" t="s">
        <v>5485</v>
      </c>
      <c r="C1177" s="1234">
        <v>1</v>
      </c>
      <c r="D1177" s="1234" t="s">
        <v>5404</v>
      </c>
      <c r="E1177" s="1234">
        <v>4</v>
      </c>
      <c r="F1177" s="1248">
        <v>1.22</v>
      </c>
      <c r="G1177" s="1248"/>
      <c r="H1177" s="1251">
        <v>1.2</v>
      </c>
      <c r="I1177" s="1248">
        <f t="shared" si="67"/>
        <v>5.86</v>
      </c>
      <c r="J1177" s="1236"/>
    </row>
    <row r="1178" spans="1:10" ht="24.95" customHeight="1">
      <c r="A1178" s="1237"/>
      <c r="B1178" s="1247" t="s">
        <v>5486</v>
      </c>
      <c r="C1178" s="1234">
        <v>1</v>
      </c>
      <c r="D1178" s="1234" t="s">
        <v>5404</v>
      </c>
      <c r="E1178" s="1234">
        <v>1</v>
      </c>
      <c r="F1178" s="1248">
        <v>1.36</v>
      </c>
      <c r="G1178" s="1248"/>
      <c r="H1178" s="1251">
        <v>1.2</v>
      </c>
      <c r="I1178" s="1248">
        <f t="shared" si="67"/>
        <v>1.63</v>
      </c>
      <c r="J1178" s="1236"/>
    </row>
    <row r="1179" spans="1:10" ht="24.95" customHeight="1">
      <c r="A1179" s="1237"/>
      <c r="B1179" s="1233" t="s">
        <v>5487</v>
      </c>
      <c r="C1179" s="1234">
        <v>1</v>
      </c>
      <c r="D1179" s="1234" t="s">
        <v>5404</v>
      </c>
      <c r="E1179" s="1234">
        <v>1</v>
      </c>
      <c r="F1179" s="1248">
        <v>1.66</v>
      </c>
      <c r="G1179" s="1248"/>
      <c r="H1179" s="1251">
        <v>1.2</v>
      </c>
      <c r="I1179" s="1248">
        <f t="shared" si="67"/>
        <v>1.99</v>
      </c>
      <c r="J1179" s="1236"/>
    </row>
    <row r="1180" spans="1:10" ht="24.95" customHeight="1">
      <c r="A1180" s="1237"/>
      <c r="B1180" s="1247" t="s">
        <v>5488</v>
      </c>
      <c r="C1180" s="1234">
        <v>1</v>
      </c>
      <c r="D1180" s="1234" t="s">
        <v>5404</v>
      </c>
      <c r="E1180" s="1234">
        <v>2</v>
      </c>
      <c r="F1180" s="1248">
        <v>1.36</v>
      </c>
      <c r="G1180" s="1248"/>
      <c r="H1180" s="1251">
        <v>1.2</v>
      </c>
      <c r="I1180" s="1248">
        <f t="shared" si="67"/>
        <v>3.26</v>
      </c>
      <c r="J1180" s="1236"/>
    </row>
    <row r="1181" spans="1:10" ht="24.95" customHeight="1">
      <c r="A1181" s="1237"/>
      <c r="B1181" s="1247" t="s">
        <v>5489</v>
      </c>
      <c r="C1181" s="1234">
        <v>1</v>
      </c>
      <c r="D1181" s="1234" t="s">
        <v>5404</v>
      </c>
      <c r="E1181" s="1234">
        <v>2</v>
      </c>
      <c r="F1181" s="1248">
        <v>1.8</v>
      </c>
      <c r="G1181" s="1248"/>
      <c r="H1181" s="1251">
        <v>1.2</v>
      </c>
      <c r="I1181" s="1248">
        <f t="shared" si="67"/>
        <v>4.32</v>
      </c>
      <c r="J1181" s="1236"/>
    </row>
    <row r="1182" spans="1:10" ht="24.95" customHeight="1">
      <c r="A1182" s="1237"/>
      <c r="B1182" s="1247" t="s">
        <v>5490</v>
      </c>
      <c r="C1182" s="1234">
        <v>1</v>
      </c>
      <c r="D1182" s="1234" t="s">
        <v>5404</v>
      </c>
      <c r="E1182" s="1234">
        <v>1</v>
      </c>
      <c r="F1182" s="1248">
        <v>1.52</v>
      </c>
      <c r="G1182" s="1248"/>
      <c r="H1182" s="1251">
        <v>1.2</v>
      </c>
      <c r="I1182" s="1248">
        <f t="shared" si="67"/>
        <v>1.82</v>
      </c>
      <c r="J1182" s="1236"/>
    </row>
    <row r="1183" spans="1:10" ht="24.95" customHeight="1">
      <c r="A1183" s="1237"/>
      <c r="B1183" s="1247" t="s">
        <v>5491</v>
      </c>
      <c r="C1183" s="1234">
        <v>1</v>
      </c>
      <c r="D1183" s="1234" t="s">
        <v>5404</v>
      </c>
      <c r="E1183" s="1234">
        <v>1</v>
      </c>
      <c r="F1183" s="1248">
        <v>3.75</v>
      </c>
      <c r="G1183" s="1248"/>
      <c r="H1183" s="1248">
        <v>1.5</v>
      </c>
      <c r="I1183" s="1248">
        <f t="shared" si="67"/>
        <v>5.63</v>
      </c>
      <c r="J1183" s="1236"/>
    </row>
    <row r="1184" spans="1:10" ht="24.95" customHeight="1">
      <c r="A1184" s="1237"/>
      <c r="B1184" s="1247" t="s">
        <v>5472</v>
      </c>
      <c r="C1184" s="1234">
        <v>1</v>
      </c>
      <c r="D1184" s="1234" t="s">
        <v>5404</v>
      </c>
      <c r="E1184" s="1234">
        <v>1</v>
      </c>
      <c r="F1184" s="1248">
        <v>4.1100000000000003</v>
      </c>
      <c r="G1184" s="1248"/>
      <c r="H1184" s="1248">
        <v>1.5</v>
      </c>
      <c r="I1184" s="1248">
        <f t="shared" si="67"/>
        <v>6.17</v>
      </c>
      <c r="J1184" s="1236"/>
    </row>
    <row r="1185" spans="1:10" ht="24.95" customHeight="1">
      <c r="A1185" s="1237"/>
      <c r="B1185" s="1247" t="s">
        <v>5492</v>
      </c>
      <c r="C1185" s="1234">
        <v>1</v>
      </c>
      <c r="D1185" s="1234" t="s">
        <v>5404</v>
      </c>
      <c r="E1185" s="1234">
        <v>1</v>
      </c>
      <c r="F1185" s="1248">
        <v>3.45</v>
      </c>
      <c r="G1185" s="1248"/>
      <c r="H1185" s="1248">
        <v>1.5</v>
      </c>
      <c r="I1185" s="1248">
        <f t="shared" si="67"/>
        <v>5.18</v>
      </c>
      <c r="J1185" s="1236"/>
    </row>
    <row r="1186" spans="1:10" ht="24.95" customHeight="1">
      <c r="A1186" s="1237"/>
      <c r="B1186" s="1247" t="s">
        <v>5474</v>
      </c>
      <c r="C1186" s="1234">
        <v>1</v>
      </c>
      <c r="D1186" s="1234" t="s">
        <v>5404</v>
      </c>
      <c r="E1186" s="1264">
        <v>23</v>
      </c>
      <c r="F1186" s="1248">
        <v>0.45</v>
      </c>
      <c r="G1186" s="1248"/>
      <c r="H1186" s="1248">
        <v>1.5</v>
      </c>
      <c r="I1186" s="1248">
        <f t="shared" si="67"/>
        <v>15.53</v>
      </c>
      <c r="J1186" s="1236"/>
    </row>
    <row r="1187" spans="1:10" ht="24.95" customHeight="1">
      <c r="A1187" s="1237"/>
      <c r="B1187" s="1247" t="s">
        <v>5493</v>
      </c>
      <c r="C1187" s="1234">
        <v>1</v>
      </c>
      <c r="D1187" s="1234" t="s">
        <v>5404</v>
      </c>
      <c r="E1187" s="1234">
        <v>2</v>
      </c>
      <c r="F1187" s="1248">
        <v>4.1100000000000003</v>
      </c>
      <c r="G1187" s="1248"/>
      <c r="H1187" s="1248">
        <v>0.3</v>
      </c>
      <c r="I1187" s="1248">
        <f t="shared" si="67"/>
        <v>2.4700000000000002</v>
      </c>
      <c r="J1187" s="1236"/>
    </row>
    <row r="1188" spans="1:10" ht="24.95" customHeight="1">
      <c r="A1188" s="1237"/>
      <c r="B1188" s="1233" t="s">
        <v>5753</v>
      </c>
      <c r="C1188" s="1234"/>
      <c r="D1188" s="1234"/>
      <c r="E1188" s="1234"/>
      <c r="F1188" s="1248"/>
      <c r="G1188" s="1248"/>
      <c r="H1188" s="1248"/>
      <c r="I1188" s="1248"/>
      <c r="J1188" s="1236"/>
    </row>
    <row r="1189" spans="1:10" ht="24.95" customHeight="1">
      <c r="A1189" s="1237"/>
      <c r="B1189" s="1238" t="s">
        <v>5877</v>
      </c>
      <c r="C1189" s="1239">
        <v>2</v>
      </c>
      <c r="D1189" s="1239" t="s">
        <v>5404</v>
      </c>
      <c r="E1189" s="1239">
        <v>1</v>
      </c>
      <c r="F1189" s="1240">
        <v>64.88</v>
      </c>
      <c r="G1189" s="1248"/>
      <c r="H1189" s="1248">
        <v>0.45</v>
      </c>
      <c r="I1189" s="1248">
        <f t="shared" ref="I1189:I1209" si="68">PRODUCT(C1189:H1189)</f>
        <v>58.39</v>
      </c>
      <c r="J1189" s="1236"/>
    </row>
    <row r="1190" spans="1:10" ht="24.95" customHeight="1">
      <c r="A1190" s="1237"/>
      <c r="B1190" s="1238" t="s">
        <v>5878</v>
      </c>
      <c r="C1190" s="1239">
        <v>2</v>
      </c>
      <c r="D1190" s="1239" t="s">
        <v>5404</v>
      </c>
      <c r="E1190" s="1239">
        <v>1</v>
      </c>
      <c r="F1190" s="1240">
        <v>20.12</v>
      </c>
      <c r="G1190" s="1248"/>
      <c r="H1190" s="1248">
        <v>0.45</v>
      </c>
      <c r="I1190" s="1248">
        <f t="shared" si="68"/>
        <v>18.11</v>
      </c>
      <c r="J1190" s="1236"/>
    </row>
    <row r="1191" spans="1:10" ht="24.95" customHeight="1">
      <c r="A1191" s="1237"/>
      <c r="B1191" s="1238"/>
      <c r="C1191" s="1239">
        <v>2</v>
      </c>
      <c r="D1191" s="1239" t="s">
        <v>5404</v>
      </c>
      <c r="E1191" s="1239">
        <v>1</v>
      </c>
      <c r="F1191" s="1240">
        <v>16.59</v>
      </c>
      <c r="G1191" s="1248"/>
      <c r="H1191" s="1248">
        <v>0.45</v>
      </c>
      <c r="I1191" s="1248">
        <f t="shared" si="68"/>
        <v>14.93</v>
      </c>
      <c r="J1191" s="1236"/>
    </row>
    <row r="1192" spans="1:10" ht="24.95" customHeight="1">
      <c r="A1192" s="1237"/>
      <c r="B1192" s="1238" t="s">
        <v>5879</v>
      </c>
      <c r="C1192" s="1239">
        <v>2</v>
      </c>
      <c r="D1192" s="1239" t="s">
        <v>5404</v>
      </c>
      <c r="E1192" s="1239">
        <v>1</v>
      </c>
      <c r="F1192" s="1240">
        <v>3.3</v>
      </c>
      <c r="G1192" s="1248"/>
      <c r="H1192" s="1248">
        <v>0.45</v>
      </c>
      <c r="I1192" s="1248">
        <f t="shared" si="68"/>
        <v>2.97</v>
      </c>
      <c r="J1192" s="1236"/>
    </row>
    <row r="1193" spans="1:10" ht="24.95" customHeight="1">
      <c r="A1193" s="1237"/>
      <c r="B1193" s="1238" t="s">
        <v>5880</v>
      </c>
      <c r="C1193" s="1239">
        <v>2</v>
      </c>
      <c r="D1193" s="1239" t="s">
        <v>5404</v>
      </c>
      <c r="E1193" s="1239">
        <v>3</v>
      </c>
      <c r="F1193" s="1240">
        <v>3.6</v>
      </c>
      <c r="G1193" s="1248"/>
      <c r="H1193" s="1248">
        <v>0.45</v>
      </c>
      <c r="I1193" s="1248">
        <f t="shared" si="68"/>
        <v>9.7200000000000006</v>
      </c>
      <c r="J1193" s="1236"/>
    </row>
    <row r="1194" spans="1:10" ht="24.95" customHeight="1">
      <c r="A1194" s="1237"/>
      <c r="B1194" s="1238" t="s">
        <v>5881</v>
      </c>
      <c r="C1194" s="1239">
        <v>2</v>
      </c>
      <c r="D1194" s="1239" t="s">
        <v>5404</v>
      </c>
      <c r="E1194" s="1239">
        <v>2</v>
      </c>
      <c r="F1194" s="1240">
        <v>6</v>
      </c>
      <c r="G1194" s="1248"/>
      <c r="H1194" s="1248">
        <v>0.45</v>
      </c>
      <c r="I1194" s="1248">
        <f t="shared" si="68"/>
        <v>10.8</v>
      </c>
      <c r="J1194" s="1236"/>
    </row>
    <row r="1195" spans="1:10" ht="24.95" customHeight="1">
      <c r="A1195" s="1237"/>
      <c r="B1195" s="1238" t="s">
        <v>5889</v>
      </c>
      <c r="C1195" s="1239">
        <v>2</v>
      </c>
      <c r="D1195" s="1244" t="s">
        <v>5404</v>
      </c>
      <c r="E1195" s="1244">
        <v>1</v>
      </c>
      <c r="F1195" s="1242">
        <v>2</v>
      </c>
      <c r="G1195" s="1248"/>
      <c r="H1195" s="1248">
        <v>0.45</v>
      </c>
      <c r="I1195" s="1248">
        <f t="shared" si="68"/>
        <v>1.8</v>
      </c>
      <c r="J1195" s="1236"/>
    </row>
    <row r="1196" spans="1:10" ht="24.95" customHeight="1">
      <c r="A1196" s="1237"/>
      <c r="B1196" s="1247" t="s">
        <v>5891</v>
      </c>
      <c r="C1196" s="1239">
        <v>2</v>
      </c>
      <c r="D1196" s="1234" t="s">
        <v>5404</v>
      </c>
      <c r="E1196" s="1234">
        <v>1</v>
      </c>
      <c r="F1196" s="1248">
        <v>3.6</v>
      </c>
      <c r="G1196" s="1248"/>
      <c r="H1196" s="1248">
        <v>0.45</v>
      </c>
      <c r="I1196" s="1248">
        <f t="shared" si="68"/>
        <v>3.24</v>
      </c>
      <c r="J1196" s="1236"/>
    </row>
    <row r="1197" spans="1:10" ht="24.95" customHeight="1">
      <c r="A1197" s="1237"/>
      <c r="B1197" s="1233" t="s">
        <v>5932</v>
      </c>
      <c r="C1197" s="1234"/>
      <c r="D1197" s="1234"/>
      <c r="E1197" s="1234"/>
      <c r="F1197" s="1248"/>
      <c r="G1197" s="1248"/>
      <c r="H1197" s="1248"/>
      <c r="I1197" s="1248"/>
      <c r="J1197" s="1236"/>
    </row>
    <row r="1198" spans="1:10" ht="24.95" customHeight="1">
      <c r="A1198" s="1237"/>
      <c r="B1198" s="1238" t="s">
        <v>5877</v>
      </c>
      <c r="C1198" s="1239">
        <v>1</v>
      </c>
      <c r="D1198" s="1239" t="s">
        <v>5404</v>
      </c>
      <c r="E1198" s="1239">
        <v>1</v>
      </c>
      <c r="F1198" s="1240">
        <v>64.88</v>
      </c>
      <c r="G1198" s="1248"/>
      <c r="H1198" s="1248">
        <v>0.45</v>
      </c>
      <c r="I1198" s="1248">
        <f t="shared" si="68"/>
        <v>29.2</v>
      </c>
      <c r="J1198" s="1236"/>
    </row>
    <row r="1199" spans="1:10" ht="24.95" customHeight="1">
      <c r="A1199" s="1237"/>
      <c r="B1199" s="1238" t="s">
        <v>5898</v>
      </c>
      <c r="C1199" s="1239">
        <v>-1</v>
      </c>
      <c r="D1199" s="1239" t="s">
        <v>5404</v>
      </c>
      <c r="E1199" s="1239">
        <v>1</v>
      </c>
      <c r="F1199" s="1240">
        <v>17</v>
      </c>
      <c r="G1199" s="1248"/>
      <c r="H1199" s="1248">
        <v>0.45</v>
      </c>
      <c r="I1199" s="1248">
        <f t="shared" si="68"/>
        <v>-7.65</v>
      </c>
      <c r="J1199" s="1236"/>
    </row>
    <row r="1200" spans="1:10" ht="24.95" customHeight="1">
      <c r="A1200" s="1237"/>
      <c r="B1200" s="1238" t="s">
        <v>5878</v>
      </c>
      <c r="C1200" s="1239">
        <v>1</v>
      </c>
      <c r="D1200" s="1239" t="s">
        <v>5404</v>
      </c>
      <c r="E1200" s="1239">
        <v>1</v>
      </c>
      <c r="F1200" s="1240">
        <v>20.12</v>
      </c>
      <c r="G1200" s="1248"/>
      <c r="H1200" s="1248">
        <v>0.45</v>
      </c>
      <c r="I1200" s="1248">
        <f t="shared" si="68"/>
        <v>9.0500000000000007</v>
      </c>
      <c r="J1200" s="1236"/>
    </row>
    <row r="1201" spans="1:19" ht="24.95" customHeight="1">
      <c r="A1201" s="1237"/>
      <c r="B1201" s="1238"/>
      <c r="C1201" s="1239">
        <v>1</v>
      </c>
      <c r="D1201" s="1239" t="s">
        <v>5404</v>
      </c>
      <c r="E1201" s="1239">
        <v>1</v>
      </c>
      <c r="F1201" s="1240">
        <v>16.59</v>
      </c>
      <c r="G1201" s="1248"/>
      <c r="H1201" s="1248">
        <v>0.45</v>
      </c>
      <c r="I1201" s="1248">
        <f t="shared" si="68"/>
        <v>7.47</v>
      </c>
      <c r="J1201" s="1236"/>
    </row>
    <row r="1202" spans="1:19" ht="24.95" customHeight="1">
      <c r="A1202" s="1237"/>
      <c r="B1202" s="1238" t="s">
        <v>5880</v>
      </c>
      <c r="C1202" s="1239">
        <v>1</v>
      </c>
      <c r="D1202" s="1239" t="s">
        <v>5404</v>
      </c>
      <c r="E1202" s="1239">
        <v>3</v>
      </c>
      <c r="F1202" s="1240">
        <v>3.6</v>
      </c>
      <c r="G1202" s="1248"/>
      <c r="H1202" s="1248">
        <v>0.45</v>
      </c>
      <c r="I1202" s="1248">
        <f t="shared" si="68"/>
        <v>4.8600000000000003</v>
      </c>
      <c r="J1202" s="1236"/>
    </row>
    <row r="1203" spans="1:19" ht="36.75" customHeight="1">
      <c r="A1203" s="1237"/>
      <c r="B1203" s="1238" t="s">
        <v>5894</v>
      </c>
      <c r="C1203" s="1239">
        <v>1</v>
      </c>
      <c r="D1203" s="1239" t="s">
        <v>5404</v>
      </c>
      <c r="E1203" s="1239">
        <v>2</v>
      </c>
      <c r="F1203" s="1240">
        <v>6</v>
      </c>
      <c r="G1203" s="1248"/>
      <c r="H1203" s="1248">
        <v>0.45</v>
      </c>
      <c r="I1203" s="1248">
        <f t="shared" si="68"/>
        <v>5.4</v>
      </c>
      <c r="J1203" s="1236"/>
    </row>
    <row r="1204" spans="1:19" ht="24.95" customHeight="1">
      <c r="A1204" s="1237"/>
      <c r="B1204" s="1238" t="s">
        <v>5895</v>
      </c>
      <c r="C1204" s="1239">
        <v>1</v>
      </c>
      <c r="D1204" s="1239" t="s">
        <v>5404</v>
      </c>
      <c r="E1204" s="1239">
        <v>1</v>
      </c>
      <c r="F1204" s="1240">
        <v>8.0299999999999994</v>
      </c>
      <c r="G1204" s="1248"/>
      <c r="H1204" s="1248">
        <v>0.45</v>
      </c>
      <c r="I1204" s="1248">
        <f t="shared" si="68"/>
        <v>3.61</v>
      </c>
      <c r="J1204" s="1236"/>
      <c r="L1204" s="1230" t="s">
        <v>5433</v>
      </c>
    </row>
    <row r="1205" spans="1:19" ht="24.95" customHeight="1">
      <c r="A1205" s="1237"/>
      <c r="B1205" s="1238" t="s">
        <v>5897</v>
      </c>
      <c r="C1205" s="1244">
        <v>1</v>
      </c>
      <c r="D1205" s="1244" t="s">
        <v>5404</v>
      </c>
      <c r="E1205" s="1244">
        <v>1</v>
      </c>
      <c r="F1205" s="1242">
        <f>3.6+0.46</f>
        <v>4.0599999999999996</v>
      </c>
      <c r="G1205" s="1248"/>
      <c r="H1205" s="1248">
        <v>0.45</v>
      </c>
      <c r="I1205" s="1248">
        <f t="shared" si="68"/>
        <v>1.83</v>
      </c>
      <c r="J1205" s="1236"/>
      <c r="L1205" s="1230" t="s">
        <v>5758</v>
      </c>
      <c r="M1205" s="1230">
        <v>1</v>
      </c>
      <c r="N1205" s="1230" t="s">
        <v>5404</v>
      </c>
      <c r="O1205" s="1230">
        <v>2</v>
      </c>
      <c r="P1205" s="1230">
        <v>0.23</v>
      </c>
      <c r="Q1205" s="1230">
        <v>0.38</v>
      </c>
      <c r="R1205" s="1230">
        <v>1.02</v>
      </c>
      <c r="S1205" s="1230">
        <v>0.18</v>
      </c>
    </row>
    <row r="1206" spans="1:19" ht="61.5" customHeight="1">
      <c r="A1206" s="1237"/>
      <c r="B1206" s="1247" t="s">
        <v>5899</v>
      </c>
      <c r="C1206" s="1234">
        <v>1</v>
      </c>
      <c r="D1206" s="1234" t="s">
        <v>5404</v>
      </c>
      <c r="E1206" s="1234">
        <v>3</v>
      </c>
      <c r="F1206" s="1248">
        <v>19.399999999999999</v>
      </c>
      <c r="G1206" s="1248"/>
      <c r="H1206" s="1248">
        <v>0.6</v>
      </c>
      <c r="I1206" s="1248">
        <f t="shared" si="68"/>
        <v>34.92</v>
      </c>
      <c r="J1206" s="1236"/>
      <c r="L1206" s="1230" t="s">
        <v>5405</v>
      </c>
      <c r="M1206" s="1230">
        <v>1</v>
      </c>
      <c r="N1206" s="1230" t="s">
        <v>5404</v>
      </c>
      <c r="O1206" s="1230">
        <v>6</v>
      </c>
      <c r="P1206" s="1230">
        <v>0.23</v>
      </c>
      <c r="Q1206" s="1230">
        <v>0.3</v>
      </c>
      <c r="R1206" s="1230">
        <v>1.02</v>
      </c>
      <c r="S1206" s="1230">
        <v>0.42</v>
      </c>
    </row>
    <row r="1207" spans="1:19" ht="24.95" customHeight="1">
      <c r="A1207" s="1237"/>
      <c r="B1207" s="1247" t="s">
        <v>5900</v>
      </c>
      <c r="C1207" s="1234">
        <v>1</v>
      </c>
      <c r="D1207" s="1234" t="s">
        <v>5404</v>
      </c>
      <c r="E1207" s="1234">
        <v>4</v>
      </c>
      <c r="F1207" s="1248">
        <v>11.2</v>
      </c>
      <c r="G1207" s="1248"/>
      <c r="H1207" s="1248">
        <v>0.6</v>
      </c>
      <c r="I1207" s="1248">
        <f t="shared" si="68"/>
        <v>26.88</v>
      </c>
      <c r="J1207" s="1236"/>
      <c r="L1207" s="1230" t="s">
        <v>5411</v>
      </c>
      <c r="M1207" s="1230">
        <v>1</v>
      </c>
      <c r="N1207" s="1230" t="s">
        <v>5404</v>
      </c>
      <c r="O1207" s="1230">
        <v>4</v>
      </c>
      <c r="P1207" s="1230">
        <v>0.38</v>
      </c>
      <c r="Q1207" s="1230">
        <v>0.38</v>
      </c>
      <c r="R1207" s="1230">
        <v>0.97</v>
      </c>
      <c r="S1207" s="1230">
        <v>0.56000000000000005</v>
      </c>
    </row>
    <row r="1208" spans="1:19" ht="24.95" customHeight="1">
      <c r="A1208" s="1237"/>
      <c r="B1208" s="1247" t="s">
        <v>5939</v>
      </c>
      <c r="C1208" s="1234">
        <v>1</v>
      </c>
      <c r="D1208" s="1234" t="s">
        <v>5404</v>
      </c>
      <c r="E1208" s="1234">
        <v>1</v>
      </c>
      <c r="F1208" s="1248">
        <v>24.12</v>
      </c>
      <c r="G1208" s="1248"/>
      <c r="H1208" s="1248">
        <v>0.3</v>
      </c>
      <c r="I1208" s="1248">
        <f t="shared" si="68"/>
        <v>7.24</v>
      </c>
      <c r="J1208" s="1236"/>
      <c r="L1208" s="1230" t="s">
        <v>5746</v>
      </c>
      <c r="M1208" s="1230">
        <v>1</v>
      </c>
      <c r="N1208" s="1230" t="s">
        <v>5404</v>
      </c>
      <c r="O1208" s="1230">
        <v>6</v>
      </c>
      <c r="P1208" s="1230">
        <v>0.23</v>
      </c>
      <c r="Q1208" s="1230">
        <v>0.38</v>
      </c>
      <c r="R1208" s="1230">
        <v>0.97</v>
      </c>
      <c r="S1208" s="1230">
        <v>0.51</v>
      </c>
    </row>
    <row r="1209" spans="1:19" ht="24.95" customHeight="1">
      <c r="A1209" s="1237"/>
      <c r="B1209" s="1247" t="s">
        <v>5940</v>
      </c>
      <c r="C1209" s="1234">
        <v>1</v>
      </c>
      <c r="D1209" s="1234" t="s">
        <v>5404</v>
      </c>
      <c r="E1209" s="1234">
        <v>1</v>
      </c>
      <c r="F1209" s="1248">
        <v>223</v>
      </c>
      <c r="G1209" s="1248"/>
      <c r="H1209" s="1248">
        <v>0.3</v>
      </c>
      <c r="I1209" s="1248">
        <f t="shared" si="68"/>
        <v>66.900000000000006</v>
      </c>
      <c r="J1209" s="1236"/>
      <c r="L1209" s="1230" t="s">
        <v>5412</v>
      </c>
      <c r="M1209" s="1230">
        <v>1</v>
      </c>
      <c r="N1209" s="1230" t="s">
        <v>5404</v>
      </c>
      <c r="O1209" s="1230">
        <v>1</v>
      </c>
      <c r="P1209" s="1230">
        <v>0.23</v>
      </c>
      <c r="Q1209" s="1230">
        <v>0.23</v>
      </c>
      <c r="R1209" s="1230">
        <v>1.1200000000000001</v>
      </c>
      <c r="S1209" s="1230">
        <v>0.06</v>
      </c>
    </row>
    <row r="1210" spans="1:19" ht="24.95" customHeight="1">
      <c r="A1210" s="1237"/>
      <c r="B1210" s="1233" t="s">
        <v>5933</v>
      </c>
      <c r="C1210" s="1234"/>
      <c r="D1210" s="1234"/>
      <c r="E1210" s="1234"/>
      <c r="F1210" s="1248"/>
      <c r="G1210" s="1248"/>
      <c r="H1210" s="1248"/>
      <c r="I1210" s="1248"/>
      <c r="J1210" s="1236"/>
    </row>
    <row r="1211" spans="1:19" ht="24.95" customHeight="1">
      <c r="A1211" s="1237"/>
      <c r="B1211" s="1247" t="s">
        <v>5934</v>
      </c>
      <c r="C1211" s="1234">
        <v>1</v>
      </c>
      <c r="D1211" s="1234" t="s">
        <v>5404</v>
      </c>
      <c r="E1211" s="1234">
        <v>1</v>
      </c>
      <c r="F1211" s="1248">
        <v>12.32</v>
      </c>
      <c r="G1211" s="1248">
        <v>20.58</v>
      </c>
      <c r="H1211" s="1248"/>
      <c r="I1211" s="1248">
        <f t="shared" ref="I1211:I1217" si="69">PRODUCT(C1211:H1211)</f>
        <v>253.55</v>
      </c>
      <c r="J1211" s="1236"/>
    </row>
    <row r="1212" spans="1:19" ht="24.95" customHeight="1">
      <c r="A1212" s="1237"/>
      <c r="B1212" s="1247" t="s">
        <v>5935</v>
      </c>
      <c r="C1212" s="1234">
        <v>1</v>
      </c>
      <c r="D1212" s="1234" t="s">
        <v>5404</v>
      </c>
      <c r="E1212" s="1234">
        <v>1</v>
      </c>
      <c r="F1212" s="1248">
        <v>12.32</v>
      </c>
      <c r="G1212" s="1248">
        <v>20.58</v>
      </c>
      <c r="H1212" s="1248"/>
      <c r="I1212" s="1248">
        <f t="shared" si="69"/>
        <v>253.55</v>
      </c>
      <c r="J1212" s="1236"/>
    </row>
    <row r="1213" spans="1:19" ht="24.95" customHeight="1">
      <c r="A1213" s="1237"/>
      <c r="B1213" s="1247" t="s">
        <v>5936</v>
      </c>
      <c r="C1213" s="1234">
        <v>1</v>
      </c>
      <c r="D1213" s="1234" t="s">
        <v>5404</v>
      </c>
      <c r="E1213" s="1234">
        <v>1</v>
      </c>
      <c r="F1213" s="1248">
        <v>4.0599999999999996</v>
      </c>
      <c r="G1213" s="1248">
        <v>1.2</v>
      </c>
      <c r="H1213" s="1248"/>
      <c r="I1213" s="1248">
        <f t="shared" si="69"/>
        <v>4.87</v>
      </c>
      <c r="J1213" s="1236"/>
    </row>
    <row r="1214" spans="1:19" ht="24.95" customHeight="1">
      <c r="A1214" s="1237"/>
      <c r="B1214" s="1247" t="s">
        <v>5937</v>
      </c>
      <c r="C1214" s="1234">
        <v>1</v>
      </c>
      <c r="D1214" s="1234" t="s">
        <v>5404</v>
      </c>
      <c r="E1214" s="1234">
        <v>1</v>
      </c>
      <c r="F1214" s="1248">
        <v>4.0599999999999996</v>
      </c>
      <c r="G1214" s="1248">
        <v>1.2</v>
      </c>
      <c r="H1214" s="1248"/>
      <c r="I1214" s="1248">
        <f t="shared" si="69"/>
        <v>4.87</v>
      </c>
      <c r="J1214" s="1236"/>
    </row>
    <row r="1215" spans="1:19" ht="24.95" customHeight="1">
      <c r="A1215" s="1237"/>
      <c r="B1215" s="1247" t="s">
        <v>5834</v>
      </c>
      <c r="C1215" s="1234">
        <v>1</v>
      </c>
      <c r="D1215" s="1234" t="s">
        <v>5404</v>
      </c>
      <c r="E1215" s="1234">
        <v>1</v>
      </c>
      <c r="F1215" s="1248">
        <v>11.2</v>
      </c>
      <c r="G1215" s="1248">
        <v>17</v>
      </c>
      <c r="H1215" s="1248"/>
      <c r="I1215" s="1248">
        <f t="shared" si="69"/>
        <v>190.4</v>
      </c>
      <c r="J1215" s="1236"/>
    </row>
    <row r="1216" spans="1:19" ht="24.95" customHeight="1">
      <c r="A1216" s="1237"/>
      <c r="B1216" s="1247" t="s">
        <v>5755</v>
      </c>
      <c r="C1216" s="1234">
        <v>2</v>
      </c>
      <c r="D1216" s="1234" t="s">
        <v>5404</v>
      </c>
      <c r="E1216" s="1234">
        <v>1</v>
      </c>
      <c r="F1216" s="1248">
        <v>1.96</v>
      </c>
      <c r="G1216" s="1248"/>
      <c r="H1216" s="1248">
        <v>1.05</v>
      </c>
      <c r="I1216" s="1248">
        <f t="shared" si="69"/>
        <v>4.12</v>
      </c>
      <c r="J1216" s="1236"/>
    </row>
    <row r="1217" spans="1:15" ht="24.95" customHeight="1">
      <c r="A1217" s="1237"/>
      <c r="B1217" s="1247" t="s">
        <v>5938</v>
      </c>
      <c r="C1217" s="1234">
        <v>1</v>
      </c>
      <c r="D1217" s="1234" t="s">
        <v>5404</v>
      </c>
      <c r="E1217" s="1234">
        <v>1</v>
      </c>
      <c r="F1217" s="1248">
        <v>4.0599999999999996</v>
      </c>
      <c r="G1217" s="1248">
        <v>8</v>
      </c>
      <c r="H1217" s="1248"/>
      <c r="I1217" s="1248">
        <f t="shared" si="69"/>
        <v>32.479999999999997</v>
      </c>
      <c r="J1217" s="1236"/>
    </row>
    <row r="1218" spans="1:15" ht="24.95" customHeight="1">
      <c r="A1218" s="1237"/>
      <c r="B1218" s="1319" t="s">
        <v>5947</v>
      </c>
      <c r="C1218" s="1315"/>
      <c r="D1218" s="1316"/>
      <c r="E1218" s="1315"/>
      <c r="F1218" s="1317"/>
      <c r="G1218" s="1317"/>
      <c r="H1218" s="1317"/>
      <c r="I1218" s="1317"/>
      <c r="J1218" s="1236"/>
    </row>
    <row r="1219" spans="1:15" ht="24.95" customHeight="1">
      <c r="A1219" s="1237"/>
      <c r="B1219" s="1314" t="s">
        <v>6448</v>
      </c>
      <c r="C1219" s="1315">
        <v>1</v>
      </c>
      <c r="D1219" s="1316" t="s">
        <v>5404</v>
      </c>
      <c r="E1219" s="1315">
        <v>1</v>
      </c>
      <c r="F1219" s="1317">
        <v>5.23</v>
      </c>
      <c r="G1219" s="1317">
        <v>1.66</v>
      </c>
      <c r="H1219" s="1320" t="s">
        <v>1609</v>
      </c>
      <c r="I1219" s="1317">
        <f t="shared" ref="I1219:I1222" si="70">PRODUCT(C1219:H1219)</f>
        <v>8.68</v>
      </c>
      <c r="J1219" s="1236"/>
      <c r="K1219" s="1230">
        <f>5.26+1.66</f>
        <v>6.92</v>
      </c>
    </row>
    <row r="1220" spans="1:15" ht="24.95" customHeight="1">
      <c r="A1220" s="1237"/>
      <c r="B1220" s="1318" t="s">
        <v>5944</v>
      </c>
      <c r="C1220" s="1315">
        <v>1</v>
      </c>
      <c r="D1220" s="1316" t="s">
        <v>5404</v>
      </c>
      <c r="E1220" s="1315">
        <v>2</v>
      </c>
      <c r="F1220" s="1317">
        <v>4.8</v>
      </c>
      <c r="G1220" s="1317">
        <v>0.23</v>
      </c>
      <c r="H1220" s="1317"/>
      <c r="I1220" s="1317">
        <f t="shared" si="70"/>
        <v>2.21</v>
      </c>
      <c r="J1220" s="1236"/>
      <c r="K1220" s="1230">
        <f>K1219*2</f>
        <v>13.84</v>
      </c>
    </row>
    <row r="1221" spans="1:15" ht="24.95" customHeight="1">
      <c r="A1221" s="1237"/>
      <c r="B1221" s="1318" t="s">
        <v>5945</v>
      </c>
      <c r="C1221" s="1315">
        <v>1</v>
      </c>
      <c r="D1221" s="1316" t="s">
        <v>5404</v>
      </c>
      <c r="E1221" s="1315">
        <v>2</v>
      </c>
      <c r="F1221" s="1317">
        <f>F1219</f>
        <v>5.23</v>
      </c>
      <c r="G1221" s="1317"/>
      <c r="H1221" s="1317">
        <v>0.15</v>
      </c>
      <c r="I1221" s="1317">
        <f t="shared" si="70"/>
        <v>1.57</v>
      </c>
      <c r="J1221" s="1236"/>
    </row>
    <row r="1222" spans="1:15" ht="24.95" customHeight="1">
      <c r="A1222" s="1237"/>
      <c r="B1222" s="1314" t="s">
        <v>5946</v>
      </c>
      <c r="C1222" s="1315">
        <v>1</v>
      </c>
      <c r="D1222" s="1316" t="s">
        <v>5404</v>
      </c>
      <c r="E1222" s="1315">
        <v>1</v>
      </c>
      <c r="F1222" s="1317">
        <v>13.84</v>
      </c>
      <c r="G1222" s="1320" t="s">
        <v>1609</v>
      </c>
      <c r="H1222" s="1321">
        <v>0.15</v>
      </c>
      <c r="I1222" s="1317">
        <f t="shared" si="70"/>
        <v>2.08</v>
      </c>
      <c r="J1222" s="1236"/>
    </row>
    <row r="1223" spans="1:15" ht="24.95" customHeight="1">
      <c r="A1223" s="1237"/>
      <c r="B1223" s="1247"/>
      <c r="C1223" s="1234"/>
      <c r="D1223" s="1234"/>
      <c r="E1223" s="1234"/>
      <c r="F1223" s="1248"/>
      <c r="G1223" s="1248"/>
      <c r="H1223" s="1248"/>
      <c r="I1223" s="1248">
        <f>SUM(I1129:I1222)</f>
        <v>1300.55</v>
      </c>
      <c r="J1223" s="1236"/>
      <c r="O1223" s="1247"/>
    </row>
    <row r="1224" spans="1:15" ht="24.95" customHeight="1">
      <c r="A1224" s="1237"/>
      <c r="B1224" s="1247"/>
      <c r="C1224" s="1234"/>
      <c r="D1224" s="1234"/>
      <c r="E1224" s="1234"/>
      <c r="F1224" s="1248"/>
      <c r="G1224" s="1248"/>
      <c r="H1224" s="1249" t="s">
        <v>4322</v>
      </c>
      <c r="I1224" s="1249">
        <f>ROUNDUP(I1223,1-0)</f>
        <v>1300.5999999999999</v>
      </c>
      <c r="J1224" s="1246" t="s">
        <v>2308</v>
      </c>
      <c r="O1224" s="1247"/>
    </row>
    <row r="1225" spans="1:15" ht="24.95" customHeight="1">
      <c r="A1225" s="1237"/>
      <c r="B1225" s="1247"/>
      <c r="C1225" s="1234"/>
      <c r="D1225" s="1234"/>
      <c r="E1225" s="1234"/>
      <c r="F1225" s="1248"/>
      <c r="G1225" s="1248"/>
      <c r="H1225" s="1248"/>
      <c r="I1225" s="1248"/>
      <c r="J1225" s="1236"/>
      <c r="O1225" s="1247"/>
    </row>
    <row r="1226" spans="1:15" ht="54.75" customHeight="1">
      <c r="A1226" s="1237"/>
      <c r="B1226" s="1233" t="s">
        <v>5756</v>
      </c>
      <c r="C1226" s="1234"/>
      <c r="D1226" s="1234"/>
      <c r="E1226" s="1234"/>
      <c r="F1226" s="1235"/>
      <c r="G1226" s="1235"/>
      <c r="H1226" s="1235"/>
      <c r="I1226" s="1235"/>
      <c r="J1226" s="1236"/>
    </row>
    <row r="1227" spans="1:15" ht="24.95" customHeight="1">
      <c r="A1227" s="1237"/>
      <c r="B1227" s="1233" t="s">
        <v>5757</v>
      </c>
      <c r="C1227" s="1234"/>
      <c r="D1227" s="1234"/>
      <c r="E1227" s="1234"/>
      <c r="F1227" s="1248"/>
      <c r="G1227" s="1248"/>
      <c r="H1227" s="1248"/>
      <c r="I1227" s="1248"/>
      <c r="J1227" s="1236"/>
    </row>
    <row r="1228" spans="1:15" ht="24.95" customHeight="1">
      <c r="A1228" s="1237"/>
      <c r="B1228" s="1247" t="s">
        <v>5447</v>
      </c>
      <c r="C1228" s="1239">
        <v>1</v>
      </c>
      <c r="D1228" s="1239" t="s">
        <v>5404</v>
      </c>
      <c r="E1228" s="1239">
        <v>5</v>
      </c>
      <c r="F1228" s="1240">
        <v>1.22</v>
      </c>
      <c r="G1228" s="1240"/>
      <c r="H1228" s="1240">
        <f>2-0.1-0.38-0.4</f>
        <v>1.1200000000000001</v>
      </c>
      <c r="I1228" s="1240">
        <f t="shared" ref="I1228:I1233" si="71">PRODUCT(C1228:H1228)</f>
        <v>6.83</v>
      </c>
      <c r="J1228" s="1236"/>
    </row>
    <row r="1229" spans="1:15" ht="24.95" customHeight="1">
      <c r="A1229" s="1237"/>
      <c r="B1229" s="1247" t="s">
        <v>5430</v>
      </c>
      <c r="C1229" s="1239">
        <v>1</v>
      </c>
      <c r="D1229" s="1239" t="s">
        <v>5404</v>
      </c>
      <c r="E1229" s="1239">
        <v>4</v>
      </c>
      <c r="F1229" s="1240">
        <v>1.36</v>
      </c>
      <c r="G1229" s="1240"/>
      <c r="H1229" s="1240">
        <f>2-0.1-0.45-0.4</f>
        <v>1.05</v>
      </c>
      <c r="I1229" s="1240">
        <f t="shared" si="71"/>
        <v>5.71</v>
      </c>
      <c r="J1229" s="1236"/>
    </row>
    <row r="1230" spans="1:15" ht="24.95" customHeight="1">
      <c r="A1230" s="1237"/>
      <c r="B1230" s="1247" t="s">
        <v>5448</v>
      </c>
      <c r="C1230" s="1239">
        <v>1</v>
      </c>
      <c r="D1230" s="1239" t="s">
        <v>5404</v>
      </c>
      <c r="E1230" s="1239">
        <v>3</v>
      </c>
      <c r="F1230" s="1240">
        <v>1.66</v>
      </c>
      <c r="G1230" s="1240"/>
      <c r="H1230" s="1240">
        <v>1.05</v>
      </c>
      <c r="I1230" s="1240">
        <f t="shared" si="71"/>
        <v>5.23</v>
      </c>
      <c r="J1230" s="1236"/>
    </row>
    <row r="1231" spans="1:15" ht="24.95" customHeight="1">
      <c r="A1231" s="1237"/>
      <c r="B1231" s="1247" t="s">
        <v>5432</v>
      </c>
      <c r="C1231" s="1239">
        <v>1</v>
      </c>
      <c r="D1231" s="1239" t="s">
        <v>5404</v>
      </c>
      <c r="E1231" s="1239">
        <v>2</v>
      </c>
      <c r="F1231" s="1240">
        <v>1.36</v>
      </c>
      <c r="G1231" s="1240"/>
      <c r="H1231" s="1240">
        <f>2-0.1-0.6-0.4</f>
        <v>0.9</v>
      </c>
      <c r="I1231" s="1240">
        <f t="shared" si="71"/>
        <v>2.4500000000000002</v>
      </c>
      <c r="J1231" s="1236"/>
    </row>
    <row r="1232" spans="1:15" ht="24.95" customHeight="1">
      <c r="A1232" s="1237"/>
      <c r="B1232" s="1247" t="s">
        <v>5436</v>
      </c>
      <c r="C1232" s="1239">
        <v>1</v>
      </c>
      <c r="D1232" s="1239" t="s">
        <v>5404</v>
      </c>
      <c r="E1232" s="1239">
        <v>4</v>
      </c>
      <c r="F1232" s="1240">
        <v>1.8</v>
      </c>
      <c r="G1232" s="1240"/>
      <c r="H1232" s="1240">
        <v>1.05</v>
      </c>
      <c r="I1232" s="1240">
        <f t="shared" si="71"/>
        <v>7.56</v>
      </c>
      <c r="J1232" s="1236"/>
    </row>
    <row r="1233" spans="1:10" ht="24.95" customHeight="1">
      <c r="A1233" s="1237"/>
      <c r="B1233" s="1247" t="s">
        <v>5437</v>
      </c>
      <c r="C1233" s="1239">
        <v>1</v>
      </c>
      <c r="D1233" s="1239" t="s">
        <v>5404</v>
      </c>
      <c r="E1233" s="1239">
        <v>9</v>
      </c>
      <c r="F1233" s="1240">
        <v>1.52</v>
      </c>
      <c r="G1233" s="1240"/>
      <c r="H1233" s="1240">
        <f>H1228</f>
        <v>1.1200000000000001</v>
      </c>
      <c r="I1233" s="1240">
        <f t="shared" si="71"/>
        <v>15.32</v>
      </c>
      <c r="J1233" s="1236"/>
    </row>
    <row r="1234" spans="1:10" ht="24.95" customHeight="1">
      <c r="A1234" s="1237"/>
      <c r="B1234" s="1233" t="s">
        <v>5759</v>
      </c>
      <c r="C1234" s="1234"/>
      <c r="D1234" s="1234"/>
      <c r="E1234" s="1234"/>
      <c r="F1234" s="1248"/>
      <c r="G1234" s="1248"/>
      <c r="H1234" s="1248"/>
      <c r="I1234" s="1248"/>
      <c r="J1234" s="1236"/>
    </row>
    <row r="1235" spans="1:10" ht="24.95" customHeight="1">
      <c r="A1235" s="1237"/>
      <c r="B1235" s="1247" t="s">
        <v>5447</v>
      </c>
      <c r="C1235" s="1239">
        <v>1</v>
      </c>
      <c r="D1235" s="1239" t="s">
        <v>5404</v>
      </c>
      <c r="E1235" s="1239">
        <v>5</v>
      </c>
      <c r="F1235" s="1240">
        <v>1.22</v>
      </c>
      <c r="G1235" s="1240"/>
      <c r="H1235" s="1240">
        <v>1.45</v>
      </c>
      <c r="I1235" s="1240">
        <f t="shared" ref="I1235:I1240" si="72">PRODUCT(C1235:H1235)</f>
        <v>8.85</v>
      </c>
      <c r="J1235" s="1236"/>
    </row>
    <row r="1236" spans="1:10" ht="24.95" customHeight="1">
      <c r="A1236" s="1237"/>
      <c r="B1236" s="1247" t="s">
        <v>5430</v>
      </c>
      <c r="C1236" s="1239">
        <v>1</v>
      </c>
      <c r="D1236" s="1239" t="s">
        <v>5404</v>
      </c>
      <c r="E1236" s="1239">
        <v>4</v>
      </c>
      <c r="F1236" s="1240">
        <v>1.36</v>
      </c>
      <c r="G1236" s="1240"/>
      <c r="H1236" s="1240">
        <v>1.45</v>
      </c>
      <c r="I1236" s="1240">
        <f t="shared" si="72"/>
        <v>7.89</v>
      </c>
      <c r="J1236" s="1236"/>
    </row>
    <row r="1237" spans="1:10" ht="24.95" customHeight="1">
      <c r="A1237" s="1237"/>
      <c r="B1237" s="1247" t="s">
        <v>5448</v>
      </c>
      <c r="C1237" s="1239">
        <v>1</v>
      </c>
      <c r="D1237" s="1239" t="s">
        <v>5404</v>
      </c>
      <c r="E1237" s="1239">
        <v>3</v>
      </c>
      <c r="F1237" s="1240">
        <v>1.66</v>
      </c>
      <c r="G1237" s="1240"/>
      <c r="H1237" s="1240">
        <v>1.45</v>
      </c>
      <c r="I1237" s="1240">
        <f t="shared" si="72"/>
        <v>7.22</v>
      </c>
      <c r="J1237" s="1236"/>
    </row>
    <row r="1238" spans="1:10" ht="24.95" customHeight="1">
      <c r="A1238" s="1237"/>
      <c r="B1238" s="1247" t="s">
        <v>5432</v>
      </c>
      <c r="C1238" s="1239">
        <v>1</v>
      </c>
      <c r="D1238" s="1239" t="s">
        <v>5404</v>
      </c>
      <c r="E1238" s="1239">
        <v>2</v>
      </c>
      <c r="F1238" s="1240">
        <v>1.36</v>
      </c>
      <c r="G1238" s="1240"/>
      <c r="H1238" s="1240">
        <v>1.45</v>
      </c>
      <c r="I1238" s="1240">
        <f t="shared" si="72"/>
        <v>3.94</v>
      </c>
      <c r="J1238" s="1236"/>
    </row>
    <row r="1239" spans="1:10" ht="24.95" customHeight="1">
      <c r="A1239" s="1237"/>
      <c r="B1239" s="1247" t="s">
        <v>5436</v>
      </c>
      <c r="C1239" s="1239">
        <v>1</v>
      </c>
      <c r="D1239" s="1239" t="s">
        <v>5404</v>
      </c>
      <c r="E1239" s="1239">
        <v>4</v>
      </c>
      <c r="F1239" s="1240">
        <v>1.8</v>
      </c>
      <c r="G1239" s="1240"/>
      <c r="H1239" s="1240">
        <v>1.45</v>
      </c>
      <c r="I1239" s="1240">
        <f t="shared" si="72"/>
        <v>10.44</v>
      </c>
      <c r="J1239" s="1236"/>
    </row>
    <row r="1240" spans="1:10" ht="24.95" customHeight="1">
      <c r="A1240" s="1237"/>
      <c r="B1240" s="1247" t="s">
        <v>5437</v>
      </c>
      <c r="C1240" s="1239">
        <v>1</v>
      </c>
      <c r="D1240" s="1239" t="s">
        <v>5404</v>
      </c>
      <c r="E1240" s="1239">
        <v>9</v>
      </c>
      <c r="F1240" s="1240">
        <v>1.52</v>
      </c>
      <c r="G1240" s="1240"/>
      <c r="H1240" s="1240">
        <v>1.45</v>
      </c>
      <c r="I1240" s="1240">
        <f t="shared" si="72"/>
        <v>19.84</v>
      </c>
      <c r="J1240" s="1236"/>
    </row>
    <row r="1241" spans="1:10" ht="24.95" customHeight="1">
      <c r="A1241" s="1237"/>
      <c r="B1241" s="1233" t="s">
        <v>5760</v>
      </c>
      <c r="C1241" s="1234"/>
      <c r="D1241" s="1234"/>
      <c r="E1241" s="1234"/>
      <c r="F1241" s="1248"/>
      <c r="G1241" s="1248"/>
      <c r="H1241" s="1248"/>
      <c r="I1241" s="1248"/>
      <c r="J1241" s="1236"/>
    </row>
    <row r="1242" spans="1:10" ht="34.5" customHeight="1">
      <c r="A1242" s="1237"/>
      <c r="B1242" s="1247" t="s">
        <v>5447</v>
      </c>
      <c r="C1242" s="1234">
        <v>1</v>
      </c>
      <c r="D1242" s="1234" t="s">
        <v>5404</v>
      </c>
      <c r="E1242" s="1234">
        <v>5</v>
      </c>
      <c r="F1242" s="1248">
        <v>1.22</v>
      </c>
      <c r="G1242" s="1248"/>
      <c r="H1242" s="1248">
        <v>3.15</v>
      </c>
      <c r="I1242" s="1248">
        <f t="shared" ref="I1242:I1248" si="73">PRODUCT(C1242:H1242)</f>
        <v>19.22</v>
      </c>
      <c r="J1242" s="1236"/>
    </row>
    <row r="1243" spans="1:10" ht="24.95" customHeight="1">
      <c r="A1243" s="1237"/>
      <c r="B1243" s="1247" t="s">
        <v>5430</v>
      </c>
      <c r="C1243" s="1234">
        <v>1</v>
      </c>
      <c r="D1243" s="1234" t="s">
        <v>5404</v>
      </c>
      <c r="E1243" s="1234">
        <v>1</v>
      </c>
      <c r="F1243" s="1248">
        <v>1.36</v>
      </c>
      <c r="G1243" s="1248"/>
      <c r="H1243" s="1248">
        <v>3</v>
      </c>
      <c r="I1243" s="1248">
        <f t="shared" si="73"/>
        <v>4.08</v>
      </c>
      <c r="J1243" s="1236"/>
    </row>
    <row r="1244" spans="1:10" ht="24.95" customHeight="1">
      <c r="A1244" s="1237"/>
      <c r="B1244" s="1247" t="s">
        <v>5430</v>
      </c>
      <c r="C1244" s="1234">
        <v>1</v>
      </c>
      <c r="D1244" s="1234" t="s">
        <v>5404</v>
      </c>
      <c r="E1244" s="1234">
        <v>3</v>
      </c>
      <c r="F1244" s="1248">
        <v>1.36</v>
      </c>
      <c r="G1244" s="1248"/>
      <c r="H1244" s="1248">
        <v>3.15</v>
      </c>
      <c r="I1244" s="1248">
        <f t="shared" si="73"/>
        <v>12.85</v>
      </c>
      <c r="J1244" s="1236"/>
    </row>
    <row r="1245" spans="1:10" ht="24.95" customHeight="1">
      <c r="A1245" s="1237"/>
      <c r="B1245" s="1247" t="s">
        <v>5448</v>
      </c>
      <c r="C1245" s="1234">
        <v>1</v>
      </c>
      <c r="D1245" s="1234" t="s">
        <v>5404</v>
      </c>
      <c r="E1245" s="1234">
        <v>3</v>
      </c>
      <c r="F1245" s="1248">
        <v>1.66</v>
      </c>
      <c r="G1245" s="1248"/>
      <c r="H1245" s="1248">
        <v>3</v>
      </c>
      <c r="I1245" s="1248">
        <f t="shared" si="73"/>
        <v>14.94</v>
      </c>
      <c r="J1245" s="1236"/>
    </row>
    <row r="1246" spans="1:10" ht="24.95" customHeight="1">
      <c r="A1246" s="1237"/>
      <c r="B1246" s="1247" t="s">
        <v>5432</v>
      </c>
      <c r="C1246" s="1234">
        <v>1</v>
      </c>
      <c r="D1246" s="1234" t="s">
        <v>5404</v>
      </c>
      <c r="E1246" s="1234">
        <v>2</v>
      </c>
      <c r="F1246" s="1248">
        <v>1.36</v>
      </c>
      <c r="G1246" s="1248"/>
      <c r="H1246" s="1248">
        <v>3</v>
      </c>
      <c r="I1246" s="1248">
        <f t="shared" si="73"/>
        <v>8.16</v>
      </c>
      <c r="J1246" s="1236"/>
    </row>
    <row r="1247" spans="1:10" ht="24.95" customHeight="1">
      <c r="A1247" s="1237"/>
      <c r="B1247" s="1247" t="s">
        <v>5436</v>
      </c>
      <c r="C1247" s="1234">
        <v>1</v>
      </c>
      <c r="D1247" s="1234" t="s">
        <v>5404</v>
      </c>
      <c r="E1247" s="1234">
        <v>4</v>
      </c>
      <c r="F1247" s="1248">
        <v>1.8</v>
      </c>
      <c r="G1247" s="1248"/>
      <c r="H1247" s="1248">
        <v>3.15</v>
      </c>
      <c r="I1247" s="1248">
        <f t="shared" si="73"/>
        <v>22.68</v>
      </c>
      <c r="J1247" s="1236"/>
    </row>
    <row r="1248" spans="1:10" ht="24.95" customHeight="1">
      <c r="A1248" s="1237"/>
      <c r="B1248" s="1247" t="s">
        <v>5437</v>
      </c>
      <c r="C1248" s="1234">
        <v>1</v>
      </c>
      <c r="D1248" s="1234" t="s">
        <v>5404</v>
      </c>
      <c r="E1248" s="1234">
        <v>9</v>
      </c>
      <c r="F1248" s="1248">
        <v>1.52</v>
      </c>
      <c r="G1248" s="1248"/>
      <c r="H1248" s="1248">
        <v>3.15</v>
      </c>
      <c r="I1248" s="1248">
        <f t="shared" si="73"/>
        <v>43.09</v>
      </c>
      <c r="J1248" s="1236"/>
    </row>
    <row r="1249" spans="1:11" ht="24.95" customHeight="1">
      <c r="A1249" s="1237"/>
      <c r="B1249" s="1233" t="s">
        <v>5761</v>
      </c>
      <c r="C1249" s="1239"/>
      <c r="D1249" s="1239"/>
      <c r="E1249" s="1239"/>
      <c r="F1249" s="1240"/>
      <c r="G1249" s="1240"/>
      <c r="H1249" s="1240"/>
      <c r="I1249" s="1240"/>
      <c r="J1249" s="1236"/>
    </row>
    <row r="1250" spans="1:11" ht="24.95" customHeight="1">
      <c r="A1250" s="1237"/>
      <c r="B1250" s="1247" t="s">
        <v>5447</v>
      </c>
      <c r="C1250" s="1234">
        <v>1</v>
      </c>
      <c r="D1250" s="1234" t="s">
        <v>5404</v>
      </c>
      <c r="E1250" s="1234">
        <v>5</v>
      </c>
      <c r="F1250" s="1248">
        <v>1.22</v>
      </c>
      <c r="G1250" s="1248"/>
      <c r="H1250" s="1248">
        <v>3.15</v>
      </c>
      <c r="I1250" s="1248">
        <f t="shared" ref="I1250:I1263" si="74">PRODUCT(C1250:H1250)</f>
        <v>19.22</v>
      </c>
      <c r="J1250" s="1236"/>
    </row>
    <row r="1251" spans="1:11" ht="24.95" customHeight="1">
      <c r="A1251" s="1237"/>
      <c r="B1251" s="1247" t="s">
        <v>5430</v>
      </c>
      <c r="C1251" s="1234">
        <v>1</v>
      </c>
      <c r="D1251" s="1234" t="s">
        <v>5404</v>
      </c>
      <c r="E1251" s="1234">
        <v>1</v>
      </c>
      <c r="F1251" s="1248">
        <v>1.36</v>
      </c>
      <c r="G1251" s="1248"/>
      <c r="H1251" s="1248">
        <v>3</v>
      </c>
      <c r="I1251" s="1248">
        <f t="shared" si="74"/>
        <v>4.08</v>
      </c>
      <c r="J1251" s="1236"/>
    </row>
    <row r="1252" spans="1:11" ht="24.95" customHeight="1">
      <c r="A1252" s="1237"/>
      <c r="B1252" s="1247" t="s">
        <v>5430</v>
      </c>
      <c r="C1252" s="1234">
        <v>1</v>
      </c>
      <c r="D1252" s="1234" t="s">
        <v>5404</v>
      </c>
      <c r="E1252" s="1234">
        <v>3</v>
      </c>
      <c r="F1252" s="1248">
        <v>1.36</v>
      </c>
      <c r="G1252" s="1248"/>
      <c r="H1252" s="1248">
        <v>3.15</v>
      </c>
      <c r="I1252" s="1248">
        <f t="shared" si="74"/>
        <v>12.85</v>
      </c>
      <c r="J1252" s="1236"/>
    </row>
    <row r="1253" spans="1:11" ht="24.95" customHeight="1">
      <c r="A1253" s="1237"/>
      <c r="B1253" s="1247" t="s">
        <v>5448</v>
      </c>
      <c r="C1253" s="1234">
        <v>1</v>
      </c>
      <c r="D1253" s="1234" t="s">
        <v>5404</v>
      </c>
      <c r="E1253" s="1234">
        <v>1</v>
      </c>
      <c r="F1253" s="1248">
        <v>1.66</v>
      </c>
      <c r="G1253" s="1248"/>
      <c r="H1253" s="1248">
        <v>3</v>
      </c>
      <c r="I1253" s="1248">
        <f t="shared" si="74"/>
        <v>4.9800000000000004</v>
      </c>
      <c r="J1253" s="1236"/>
    </row>
    <row r="1254" spans="1:11" ht="24.95" customHeight="1">
      <c r="A1254" s="1237"/>
      <c r="B1254" s="1247" t="s">
        <v>5448</v>
      </c>
      <c r="C1254" s="1234">
        <v>1</v>
      </c>
      <c r="D1254" s="1234" t="s">
        <v>5404</v>
      </c>
      <c r="E1254" s="1234">
        <v>2</v>
      </c>
      <c r="F1254" s="1248">
        <v>1.66</v>
      </c>
      <c r="G1254" s="1248"/>
      <c r="H1254" s="1248">
        <v>3.15</v>
      </c>
      <c r="I1254" s="1248">
        <f t="shared" si="74"/>
        <v>10.46</v>
      </c>
      <c r="J1254" s="1236"/>
    </row>
    <row r="1255" spans="1:11" ht="24.95" customHeight="1">
      <c r="A1255" s="1237"/>
      <c r="B1255" s="1247" t="s">
        <v>5432</v>
      </c>
      <c r="C1255" s="1234">
        <v>1</v>
      </c>
      <c r="D1255" s="1234" t="s">
        <v>5404</v>
      </c>
      <c r="E1255" s="1234">
        <v>2</v>
      </c>
      <c r="F1255" s="1248">
        <v>1.36</v>
      </c>
      <c r="G1255" s="1248"/>
      <c r="H1255" s="1248">
        <v>3.15</v>
      </c>
      <c r="I1255" s="1248">
        <f t="shared" si="74"/>
        <v>8.57</v>
      </c>
      <c r="J1255" s="1236"/>
    </row>
    <row r="1256" spans="1:11" ht="24.95" customHeight="1">
      <c r="A1256" s="1237"/>
      <c r="B1256" s="1247" t="s">
        <v>5436</v>
      </c>
      <c r="C1256" s="1234">
        <v>1</v>
      </c>
      <c r="D1256" s="1234" t="s">
        <v>5404</v>
      </c>
      <c r="E1256" s="1234">
        <v>4</v>
      </c>
      <c r="F1256" s="1248">
        <v>1.8</v>
      </c>
      <c r="G1256" s="1248"/>
      <c r="H1256" s="1248">
        <v>3</v>
      </c>
      <c r="I1256" s="1248">
        <f t="shared" si="74"/>
        <v>21.6</v>
      </c>
      <c r="J1256" s="1236"/>
    </row>
    <row r="1257" spans="1:11" ht="24.95" customHeight="1">
      <c r="A1257" s="1237"/>
      <c r="B1257" s="1247" t="s">
        <v>5437</v>
      </c>
      <c r="C1257" s="1234">
        <v>1</v>
      </c>
      <c r="D1257" s="1234" t="s">
        <v>5404</v>
      </c>
      <c r="E1257" s="1234">
        <v>9</v>
      </c>
      <c r="F1257" s="1248">
        <v>1.52</v>
      </c>
      <c r="G1257" s="1248"/>
      <c r="H1257" s="1248">
        <v>3.15</v>
      </c>
      <c r="I1257" s="1248">
        <f t="shared" si="74"/>
        <v>43.09</v>
      </c>
      <c r="J1257" s="1236"/>
    </row>
    <row r="1258" spans="1:11" ht="24.95" customHeight="1">
      <c r="A1258" s="1237"/>
      <c r="B1258" s="1247" t="s">
        <v>5485</v>
      </c>
      <c r="C1258" s="1234">
        <v>1</v>
      </c>
      <c r="D1258" s="1234" t="s">
        <v>5404</v>
      </c>
      <c r="E1258" s="1234">
        <v>4</v>
      </c>
      <c r="F1258" s="1248">
        <v>1.22</v>
      </c>
      <c r="G1258" s="1248"/>
      <c r="H1258" s="1251">
        <v>1.2</v>
      </c>
      <c r="I1258" s="1248">
        <f t="shared" si="74"/>
        <v>5.86</v>
      </c>
      <c r="J1258" s="1236"/>
    </row>
    <row r="1259" spans="1:11" ht="24.95" customHeight="1">
      <c r="A1259" s="1237"/>
      <c r="B1259" s="1247" t="s">
        <v>5486</v>
      </c>
      <c r="C1259" s="1234">
        <v>1</v>
      </c>
      <c r="D1259" s="1234" t="s">
        <v>5404</v>
      </c>
      <c r="E1259" s="1234">
        <v>1</v>
      </c>
      <c r="F1259" s="1248">
        <v>1.36</v>
      </c>
      <c r="G1259" s="1248"/>
      <c r="H1259" s="1251">
        <v>1.2</v>
      </c>
      <c r="I1259" s="1248">
        <f t="shared" si="74"/>
        <v>1.63</v>
      </c>
      <c r="J1259" s="1236"/>
    </row>
    <row r="1260" spans="1:11" ht="24.95" customHeight="1">
      <c r="A1260" s="1237"/>
      <c r="B1260" s="1233" t="s">
        <v>5487</v>
      </c>
      <c r="C1260" s="1234">
        <v>1</v>
      </c>
      <c r="D1260" s="1234" t="s">
        <v>5404</v>
      </c>
      <c r="E1260" s="1234">
        <v>1</v>
      </c>
      <c r="F1260" s="1248">
        <v>1.66</v>
      </c>
      <c r="G1260" s="1248"/>
      <c r="H1260" s="1251">
        <v>1.2</v>
      </c>
      <c r="I1260" s="1248">
        <f t="shared" si="74"/>
        <v>1.99</v>
      </c>
      <c r="J1260" s="1236"/>
    </row>
    <row r="1261" spans="1:11" ht="24.95" customHeight="1">
      <c r="A1261" s="1237"/>
      <c r="B1261" s="1247" t="s">
        <v>5488</v>
      </c>
      <c r="C1261" s="1234">
        <v>1</v>
      </c>
      <c r="D1261" s="1234" t="s">
        <v>5404</v>
      </c>
      <c r="E1261" s="1234">
        <v>2</v>
      </c>
      <c r="F1261" s="1248">
        <v>1.36</v>
      </c>
      <c r="G1261" s="1248"/>
      <c r="H1261" s="1251">
        <v>1.2</v>
      </c>
      <c r="I1261" s="1248">
        <f t="shared" si="74"/>
        <v>3.26</v>
      </c>
      <c r="J1261" s="1236"/>
    </row>
    <row r="1262" spans="1:11" ht="24.95" customHeight="1">
      <c r="A1262" s="1237"/>
      <c r="B1262" s="1247" t="s">
        <v>5489</v>
      </c>
      <c r="C1262" s="1234">
        <v>1</v>
      </c>
      <c r="D1262" s="1234" t="s">
        <v>5404</v>
      </c>
      <c r="E1262" s="1234">
        <v>2</v>
      </c>
      <c r="F1262" s="1248">
        <v>1.8</v>
      </c>
      <c r="G1262" s="1248"/>
      <c r="H1262" s="1251">
        <v>1.2</v>
      </c>
      <c r="I1262" s="1248">
        <f t="shared" si="74"/>
        <v>4.32</v>
      </c>
      <c r="J1262" s="1236"/>
      <c r="K1262" s="1230">
        <v>0.04</v>
      </c>
    </row>
    <row r="1263" spans="1:11" ht="24.95" customHeight="1">
      <c r="A1263" s="1237"/>
      <c r="B1263" s="1247" t="s">
        <v>5490</v>
      </c>
      <c r="C1263" s="1234">
        <v>1</v>
      </c>
      <c r="D1263" s="1234" t="s">
        <v>5404</v>
      </c>
      <c r="E1263" s="1234">
        <v>1</v>
      </c>
      <c r="F1263" s="1248">
        <v>1.52</v>
      </c>
      <c r="G1263" s="1248"/>
      <c r="H1263" s="1251">
        <v>1.2</v>
      </c>
      <c r="I1263" s="1248">
        <f t="shared" si="74"/>
        <v>1.82</v>
      </c>
      <c r="J1263" s="1236"/>
    </row>
    <row r="1264" spans="1:11" ht="42.75" customHeight="1">
      <c r="A1264" s="1237"/>
      <c r="B1264" s="1247" t="s">
        <v>5762</v>
      </c>
      <c r="C1264" s="1239"/>
      <c r="D1264" s="1239"/>
      <c r="E1264" s="1239"/>
      <c r="F1264" s="1240"/>
      <c r="G1264" s="1240"/>
      <c r="H1264" s="1240"/>
      <c r="I1264" s="1240"/>
      <c r="J1264" s="1236"/>
    </row>
    <row r="1265" spans="1:11" ht="24.95" customHeight="1">
      <c r="A1265" s="1237"/>
      <c r="B1265" s="1296" t="s">
        <v>5763</v>
      </c>
      <c r="C1265" s="1234">
        <v>1</v>
      </c>
      <c r="D1265" s="1234" t="s">
        <v>5404</v>
      </c>
      <c r="E1265" s="1234">
        <v>1</v>
      </c>
      <c r="F1265" s="1248">
        <v>1.36</v>
      </c>
      <c r="G1265" s="1248"/>
      <c r="H1265" s="1251">
        <v>3.3</v>
      </c>
      <c r="I1265" s="1248">
        <f>PRODUCT(C1265:H1265)</f>
        <v>4.49</v>
      </c>
      <c r="J1265" s="1236"/>
    </row>
    <row r="1266" spans="1:11" ht="24.95" customHeight="1">
      <c r="A1266" s="1237"/>
      <c r="B1266" s="1247" t="s">
        <v>5487</v>
      </c>
      <c r="C1266" s="1234">
        <v>1</v>
      </c>
      <c r="D1266" s="1234" t="s">
        <v>5404</v>
      </c>
      <c r="E1266" s="1234">
        <v>1</v>
      </c>
      <c r="F1266" s="1248">
        <v>1.66</v>
      </c>
      <c r="G1266" s="1248"/>
      <c r="H1266" s="1251">
        <v>3.3</v>
      </c>
      <c r="I1266" s="1248">
        <f>PRODUCT(C1266:H1266)</f>
        <v>5.48</v>
      </c>
      <c r="J1266" s="1236"/>
    </row>
    <row r="1267" spans="1:11" ht="24.95" customHeight="1">
      <c r="A1267" s="1237"/>
      <c r="B1267" s="1247" t="s">
        <v>5489</v>
      </c>
      <c r="C1267" s="1234">
        <v>1</v>
      </c>
      <c r="D1267" s="1234" t="s">
        <v>5404</v>
      </c>
      <c r="E1267" s="1234">
        <v>2</v>
      </c>
      <c r="F1267" s="1248">
        <v>1.8</v>
      </c>
      <c r="G1267" s="1248"/>
      <c r="H1267" s="1251">
        <v>3.3</v>
      </c>
      <c r="I1267" s="1248">
        <f>PRODUCT(C1267:H1267)</f>
        <v>11.88</v>
      </c>
      <c r="J1267" s="1236"/>
    </row>
    <row r="1268" spans="1:11" ht="24.95" customHeight="1">
      <c r="A1268" s="1237"/>
      <c r="B1268" s="1233" t="s">
        <v>5764</v>
      </c>
      <c r="C1268" s="1234"/>
      <c r="D1268" s="1234"/>
      <c r="E1268" s="1234"/>
      <c r="F1268" s="1248"/>
      <c r="G1268" s="1248"/>
      <c r="H1268" s="1251"/>
      <c r="I1268" s="1248"/>
      <c r="J1268" s="1236"/>
    </row>
    <row r="1269" spans="1:11" ht="24.95" customHeight="1">
      <c r="A1269" s="1237"/>
      <c r="B1269" s="1247" t="s">
        <v>5765</v>
      </c>
      <c r="C1269" s="1234">
        <v>1</v>
      </c>
      <c r="D1269" s="1234" t="s">
        <v>5404</v>
      </c>
      <c r="E1269" s="1234">
        <v>2</v>
      </c>
      <c r="F1269" s="1248">
        <v>2.2599999999999998</v>
      </c>
      <c r="G1269" s="1248"/>
      <c r="H1269" s="1251">
        <v>0.6</v>
      </c>
      <c r="I1269" s="1248">
        <f t="shared" ref="I1269:I1277" si="75">PRODUCT(C1269:H1269)</f>
        <v>2.71</v>
      </c>
      <c r="J1269" s="1236"/>
      <c r="K1269" s="1230">
        <v>0.03</v>
      </c>
    </row>
    <row r="1270" spans="1:11" ht="24.95" customHeight="1">
      <c r="A1270" s="1237"/>
      <c r="B1270" s="1247" t="s">
        <v>5598</v>
      </c>
      <c r="C1270" s="1234">
        <v>1</v>
      </c>
      <c r="D1270" s="1234" t="s">
        <v>5404</v>
      </c>
      <c r="E1270" s="1234">
        <v>13</v>
      </c>
      <c r="F1270" s="1248">
        <v>1.96</v>
      </c>
      <c r="G1270" s="1248"/>
      <c r="H1270" s="1251">
        <v>0.6</v>
      </c>
      <c r="I1270" s="1248">
        <f t="shared" si="75"/>
        <v>15.29</v>
      </c>
      <c r="J1270" s="1236"/>
    </row>
    <row r="1271" spans="1:11" ht="44.25" customHeight="1">
      <c r="A1271" s="1237"/>
      <c r="B1271" s="1247" t="s">
        <v>5626</v>
      </c>
      <c r="C1271" s="1234">
        <v>1</v>
      </c>
      <c r="D1271" s="1234" t="s">
        <v>5404</v>
      </c>
      <c r="E1271" s="1234">
        <v>1</v>
      </c>
      <c r="F1271" s="1248">
        <v>1.81</v>
      </c>
      <c r="G1271" s="1248"/>
      <c r="H1271" s="1251">
        <v>0.6</v>
      </c>
      <c r="I1271" s="1248">
        <f t="shared" si="75"/>
        <v>1.0900000000000001</v>
      </c>
      <c r="J1271" s="1236"/>
    </row>
    <row r="1272" spans="1:11" ht="24.95" customHeight="1">
      <c r="A1272" s="1237"/>
      <c r="B1272" s="1247" t="s">
        <v>5599</v>
      </c>
      <c r="C1272" s="1234">
        <v>1</v>
      </c>
      <c r="D1272" s="1234" t="s">
        <v>5404</v>
      </c>
      <c r="E1272" s="1234">
        <v>10</v>
      </c>
      <c r="F1272" s="1248">
        <v>1.36</v>
      </c>
      <c r="G1272" s="1248"/>
      <c r="H1272" s="1251">
        <v>0.6</v>
      </c>
      <c r="I1272" s="1248">
        <f t="shared" si="75"/>
        <v>8.16</v>
      </c>
      <c r="J1272" s="1236"/>
    </row>
    <row r="1273" spans="1:11" ht="24.95" customHeight="1">
      <c r="A1273" s="1237"/>
      <c r="B1273" s="1247" t="s">
        <v>5600</v>
      </c>
      <c r="C1273" s="1234">
        <v>1</v>
      </c>
      <c r="D1273" s="1234" t="s">
        <v>5404</v>
      </c>
      <c r="E1273" s="1234">
        <v>4</v>
      </c>
      <c r="F1273" s="1248">
        <v>1.66</v>
      </c>
      <c r="G1273" s="1248"/>
      <c r="H1273" s="1251">
        <v>0.6</v>
      </c>
      <c r="I1273" s="1248">
        <f t="shared" si="75"/>
        <v>3.98</v>
      </c>
      <c r="J1273" s="1236"/>
    </row>
    <row r="1274" spans="1:11" ht="24.95" customHeight="1">
      <c r="A1274" s="1237"/>
      <c r="B1274" s="1247" t="s">
        <v>5627</v>
      </c>
      <c r="C1274" s="1234">
        <v>1</v>
      </c>
      <c r="D1274" s="1234" t="s">
        <v>5404</v>
      </c>
      <c r="E1274" s="1234">
        <v>2</v>
      </c>
      <c r="F1274" s="1248">
        <v>1.66</v>
      </c>
      <c r="G1274" s="1248"/>
      <c r="H1274" s="1251">
        <v>0.6</v>
      </c>
      <c r="I1274" s="1248">
        <f t="shared" si="75"/>
        <v>1.99</v>
      </c>
      <c r="J1274" s="1236"/>
    </row>
    <row r="1275" spans="1:11" ht="24.95" customHeight="1">
      <c r="A1275" s="1237"/>
      <c r="B1275" s="1247" t="s">
        <v>5628</v>
      </c>
      <c r="C1275" s="1234">
        <v>1</v>
      </c>
      <c r="D1275" s="1234" t="s">
        <v>5404</v>
      </c>
      <c r="E1275" s="1234">
        <v>2</v>
      </c>
      <c r="F1275" s="1248">
        <v>1.96</v>
      </c>
      <c r="G1275" s="1248"/>
      <c r="H1275" s="1251">
        <v>0.6</v>
      </c>
      <c r="I1275" s="1248">
        <f t="shared" si="75"/>
        <v>2.35</v>
      </c>
      <c r="J1275" s="1236"/>
    </row>
    <row r="1276" spans="1:11" ht="24.95" customHeight="1">
      <c r="A1276" s="1237"/>
      <c r="B1276" s="1247" t="s">
        <v>5629</v>
      </c>
      <c r="C1276" s="1234">
        <v>1</v>
      </c>
      <c r="D1276" s="1234" t="s">
        <v>5404</v>
      </c>
      <c r="E1276" s="1234">
        <v>4</v>
      </c>
      <c r="F1276" s="1248">
        <v>1.51</v>
      </c>
      <c r="G1276" s="1248"/>
      <c r="H1276" s="1251">
        <v>0.6</v>
      </c>
      <c r="I1276" s="1248">
        <f t="shared" si="75"/>
        <v>3.62</v>
      </c>
      <c r="J1276" s="1236"/>
    </row>
    <row r="1277" spans="1:11" ht="24.95" customHeight="1">
      <c r="A1277" s="1237"/>
      <c r="B1277" s="1247" t="s">
        <v>5766</v>
      </c>
      <c r="C1277" s="1234">
        <v>38</v>
      </c>
      <c r="D1277" s="1234" t="s">
        <v>5404</v>
      </c>
      <c r="E1277" s="1234">
        <v>2</v>
      </c>
      <c r="F1277" s="1248">
        <v>0.6</v>
      </c>
      <c r="G1277" s="1248"/>
      <c r="H1277" s="1251">
        <v>6.3E-2</v>
      </c>
      <c r="I1277" s="1248">
        <f t="shared" si="75"/>
        <v>2.87</v>
      </c>
      <c r="J1277" s="1236"/>
    </row>
    <row r="1278" spans="1:11" ht="24.95" customHeight="1">
      <c r="A1278" s="1237"/>
      <c r="B1278" s="1247"/>
      <c r="C1278" s="1234"/>
      <c r="D1278" s="1234"/>
      <c r="E1278" s="1234"/>
      <c r="F1278" s="1248"/>
      <c r="G1278" s="1248"/>
      <c r="H1278" s="1251"/>
      <c r="I1278" s="1248">
        <v>0.01</v>
      </c>
      <c r="J1278" s="1236"/>
    </row>
    <row r="1279" spans="1:11" ht="24.95" customHeight="1">
      <c r="A1279" s="1237"/>
      <c r="B1279" s="1247"/>
      <c r="C1279" s="1234"/>
      <c r="D1279" s="1234"/>
      <c r="E1279" s="1234"/>
      <c r="F1279" s="1248"/>
      <c r="G1279" s="1248"/>
      <c r="H1279" s="1248"/>
      <c r="I1279" s="1248">
        <f>SUM(I1227:I1278)</f>
        <v>433.95</v>
      </c>
      <c r="J1279" s="1236"/>
    </row>
    <row r="1280" spans="1:11" ht="32.25" customHeight="1">
      <c r="A1280" s="1237"/>
      <c r="B1280" s="1247"/>
      <c r="C1280" s="1234"/>
      <c r="D1280" s="1234"/>
      <c r="E1280" s="1234"/>
      <c r="F1280" s="1248"/>
      <c r="G1280" s="1248"/>
      <c r="H1280" s="1249" t="s">
        <v>4322</v>
      </c>
      <c r="I1280" s="1249">
        <f>ROUNDUP(I1279,1-0)</f>
        <v>434</v>
      </c>
      <c r="J1280" s="1246" t="s">
        <v>2308</v>
      </c>
    </row>
    <row r="1281" spans="1:10" ht="34.5" customHeight="1">
      <c r="A1281" s="1237"/>
      <c r="B1281" s="1233" t="s">
        <v>5767</v>
      </c>
      <c r="C1281" s="1234"/>
      <c r="D1281" s="1234"/>
      <c r="E1281" s="1234"/>
      <c r="F1281" s="1235"/>
      <c r="G1281" s="1235"/>
      <c r="H1281" s="1235"/>
      <c r="I1281" s="1235"/>
      <c r="J1281" s="1236"/>
    </row>
    <row r="1282" spans="1:10" ht="34.5" customHeight="1">
      <c r="A1282" s="1237"/>
      <c r="B1282" s="1247" t="s">
        <v>5768</v>
      </c>
      <c r="C1282" s="1234">
        <v>1</v>
      </c>
      <c r="D1282" s="1234"/>
      <c r="E1282" s="1234">
        <v>1</v>
      </c>
      <c r="F1282" s="1248">
        <v>11.2</v>
      </c>
      <c r="G1282" s="1248">
        <v>19.399999999999999</v>
      </c>
      <c r="H1282" s="1248"/>
      <c r="I1282" s="1248">
        <f>PRODUCT(C1282:H1282)</f>
        <v>217.28</v>
      </c>
      <c r="J1282" s="1236"/>
    </row>
    <row r="1283" spans="1:10" ht="32.25" customHeight="1">
      <c r="A1283" s="1237"/>
      <c r="B1283" s="1247" t="s">
        <v>5769</v>
      </c>
      <c r="C1283" s="1234">
        <v>1</v>
      </c>
      <c r="D1283" s="1234"/>
      <c r="E1283" s="1234">
        <v>1</v>
      </c>
      <c r="F1283" s="1248">
        <v>11.2</v>
      </c>
      <c r="G1283" s="1248">
        <v>19.399999999999999</v>
      </c>
      <c r="H1283" s="1248"/>
      <c r="I1283" s="1248">
        <f>PRODUCT(C1283:H1283)</f>
        <v>217.28</v>
      </c>
      <c r="J1283" s="1236"/>
    </row>
    <row r="1284" spans="1:10" ht="24.95" customHeight="1">
      <c r="A1284" s="1237"/>
      <c r="B1284" s="1247"/>
      <c r="C1284" s="1234"/>
      <c r="D1284" s="1234"/>
      <c r="E1284" s="1234"/>
      <c r="F1284" s="1248"/>
      <c r="G1284" s="1248"/>
      <c r="H1284" s="1248"/>
      <c r="I1284" s="1248">
        <f>SUM(I1282:I1283)</f>
        <v>434.56</v>
      </c>
      <c r="J1284" s="1236"/>
    </row>
    <row r="1285" spans="1:10" ht="24.95" customHeight="1">
      <c r="A1285" s="1237"/>
      <c r="B1285" s="1247"/>
      <c r="C1285" s="1234"/>
      <c r="D1285" s="1234"/>
      <c r="E1285" s="1234"/>
      <c r="F1285" s="1248"/>
      <c r="G1285" s="1248"/>
      <c r="H1285" s="1231" t="s">
        <v>4322</v>
      </c>
      <c r="I1285" s="1249">
        <f>SUM(I1284+K1262)</f>
        <v>434.6</v>
      </c>
      <c r="J1285" s="1246" t="s">
        <v>2308</v>
      </c>
    </row>
    <row r="1286" spans="1:10" ht="39" customHeight="1">
      <c r="A1286" s="1258" t="s">
        <v>5770</v>
      </c>
      <c r="B1286" s="1233" t="s">
        <v>5771</v>
      </c>
      <c r="C1286" s="1234"/>
      <c r="D1286" s="1234"/>
      <c r="E1286" s="1234"/>
      <c r="F1286" s="1235"/>
      <c r="G1286" s="1235"/>
      <c r="H1286" s="1235"/>
      <c r="I1286" s="1235"/>
      <c r="J1286" s="1236"/>
    </row>
    <row r="1287" spans="1:10" ht="24.95" customHeight="1">
      <c r="A1287" s="1237"/>
      <c r="B1287" s="1247" t="s">
        <v>5772</v>
      </c>
      <c r="C1287" s="1234">
        <v>1</v>
      </c>
      <c r="D1287" s="1234"/>
      <c r="E1287" s="1234">
        <v>1</v>
      </c>
      <c r="F1287" s="1248">
        <v>1.2</v>
      </c>
      <c r="G1287" s="1248"/>
      <c r="H1287" s="1248">
        <v>2.1</v>
      </c>
      <c r="I1287" s="1248">
        <f>PRODUCT(C1287:H1287)</f>
        <v>2.52</v>
      </c>
      <c r="J1287" s="1246"/>
    </row>
    <row r="1288" spans="1:10" ht="47.25" customHeight="1">
      <c r="A1288" s="1237"/>
      <c r="B1288" s="1247" t="s">
        <v>5773</v>
      </c>
      <c r="C1288" s="1234">
        <v>1</v>
      </c>
      <c r="D1288" s="1234"/>
      <c r="E1288" s="1234">
        <v>1</v>
      </c>
      <c r="F1288" s="1248">
        <v>1.2</v>
      </c>
      <c r="G1288" s="1248"/>
      <c r="H1288" s="1248">
        <v>2.1</v>
      </c>
      <c r="I1288" s="1248">
        <f>PRODUCT(C1288:H1288)</f>
        <v>2.52</v>
      </c>
      <c r="J1288" s="1246"/>
    </row>
    <row r="1289" spans="1:10" ht="47.25" customHeight="1">
      <c r="A1289" s="1237"/>
      <c r="B1289" s="1247" t="s">
        <v>5542</v>
      </c>
      <c r="C1289" s="1234">
        <v>1</v>
      </c>
      <c r="D1289" s="1234"/>
      <c r="E1289" s="1234">
        <v>1</v>
      </c>
      <c r="F1289" s="1248">
        <v>1.2</v>
      </c>
      <c r="G1289" s="1248"/>
      <c r="H1289" s="1248">
        <v>2.1</v>
      </c>
      <c r="I1289" s="1248">
        <f>PRODUCT(C1289:H1289)</f>
        <v>2.52</v>
      </c>
      <c r="J1289" s="1246"/>
    </row>
    <row r="1290" spans="1:10" ht="24.95" customHeight="1">
      <c r="A1290" s="1237"/>
      <c r="B1290" s="1247" t="s">
        <v>5543</v>
      </c>
      <c r="C1290" s="1234">
        <v>3</v>
      </c>
      <c r="D1290" s="1234"/>
      <c r="E1290" s="1234">
        <v>1</v>
      </c>
      <c r="F1290" s="1248">
        <v>1.2</v>
      </c>
      <c r="G1290" s="1248"/>
      <c r="H1290" s="1248">
        <v>2.1</v>
      </c>
      <c r="I1290" s="1248">
        <f>PRODUCT(C1290:H1290)</f>
        <v>7.56</v>
      </c>
      <c r="J1290" s="1246"/>
    </row>
    <row r="1291" spans="1:10" ht="24.95" customHeight="1">
      <c r="A1291" s="1237"/>
      <c r="B1291" s="1247"/>
      <c r="C1291" s="1234"/>
      <c r="D1291" s="1234"/>
      <c r="E1291" s="1234"/>
      <c r="F1291" s="1248"/>
      <c r="G1291" s="1248"/>
      <c r="H1291" s="1248"/>
      <c r="I1291" s="1248">
        <f>SUM(I1287:I1290)</f>
        <v>15.12</v>
      </c>
      <c r="J1291" s="1246"/>
    </row>
    <row r="1292" spans="1:10" ht="24.95" customHeight="1">
      <c r="A1292" s="1237"/>
      <c r="B1292" s="1247"/>
      <c r="C1292" s="1234"/>
      <c r="D1292" s="1234"/>
      <c r="E1292" s="1234"/>
      <c r="F1292" s="1248"/>
      <c r="G1292" s="1248"/>
      <c r="H1292" s="1249" t="s">
        <v>4322</v>
      </c>
      <c r="I1292" s="1249">
        <f>SUM(I1291+K1269)</f>
        <v>15.15</v>
      </c>
      <c r="J1292" s="1246" t="s">
        <v>2308</v>
      </c>
    </row>
    <row r="1293" spans="1:10" ht="24.95" customHeight="1">
      <c r="A1293" s="1258">
        <v>99.1</v>
      </c>
      <c r="B1293" s="1233" t="s">
        <v>5778</v>
      </c>
      <c r="C1293" s="1234"/>
      <c r="D1293" s="1234"/>
      <c r="E1293" s="1234"/>
      <c r="F1293" s="1248"/>
      <c r="G1293" s="1248"/>
      <c r="H1293" s="1249"/>
      <c r="I1293" s="1249"/>
      <c r="J1293" s="1246"/>
    </row>
    <row r="1294" spans="1:10" ht="24.95" customHeight="1">
      <c r="A1294" s="1237"/>
      <c r="B1294" s="1247" t="s">
        <v>5779</v>
      </c>
      <c r="C1294" s="1234">
        <v>1</v>
      </c>
      <c r="D1294" s="1234"/>
      <c r="E1294" s="1234">
        <v>2</v>
      </c>
      <c r="F1294" s="1248">
        <v>1.2</v>
      </c>
      <c r="G1294" s="1248"/>
      <c r="H1294" s="1248">
        <v>2.4</v>
      </c>
      <c r="I1294" s="1248">
        <f>PRODUCT(C1294:H1294)</f>
        <v>5.76</v>
      </c>
      <c r="J1294" s="1246"/>
    </row>
    <row r="1295" spans="1:10" ht="24.95" customHeight="1">
      <c r="A1295" s="1237"/>
      <c r="B1295" s="1247"/>
      <c r="C1295" s="1234"/>
      <c r="D1295" s="1234"/>
      <c r="E1295" s="1234"/>
      <c r="F1295" s="1248"/>
      <c r="G1295" s="1248"/>
      <c r="H1295" s="1249" t="s">
        <v>4322</v>
      </c>
      <c r="I1295" s="1249">
        <f>ROUNDUP(I1294,1-0)</f>
        <v>5.8</v>
      </c>
      <c r="J1295" s="1246" t="s">
        <v>2308</v>
      </c>
    </row>
    <row r="1296" spans="1:10" ht="24.95" customHeight="1">
      <c r="A1296" s="1237"/>
      <c r="B1296" s="1247"/>
      <c r="C1296" s="1234"/>
      <c r="D1296" s="1234"/>
      <c r="E1296" s="1234"/>
      <c r="F1296" s="1248"/>
      <c r="G1296" s="1248"/>
      <c r="H1296" s="1248"/>
      <c r="I1296" s="1249"/>
      <c r="J1296" s="1246"/>
    </row>
    <row r="1297" spans="1:241" ht="24.95" customHeight="1">
      <c r="A1297" s="1237"/>
      <c r="B1297" s="1247" t="s">
        <v>5780</v>
      </c>
      <c r="C1297" s="1234">
        <v>1</v>
      </c>
      <c r="D1297" s="1234"/>
      <c r="E1297" s="1234">
        <v>2</v>
      </c>
      <c r="F1297" s="1248">
        <v>1.8</v>
      </c>
      <c r="G1297" s="1248"/>
      <c r="H1297" s="1248">
        <v>2.4</v>
      </c>
      <c r="I1297" s="1248">
        <f>PRODUCT(C1297:H1297)</f>
        <v>8.64</v>
      </c>
      <c r="J1297" s="1246" t="s">
        <v>2308</v>
      </c>
    </row>
    <row r="1298" spans="1:241" ht="24.95" customHeight="1">
      <c r="A1298" s="1237"/>
      <c r="B1298" s="1247"/>
      <c r="C1298" s="1234"/>
      <c r="D1298" s="1234"/>
      <c r="E1298" s="1234"/>
      <c r="F1298" s="1248"/>
      <c r="G1298" s="1248"/>
      <c r="H1298" s="1249" t="s">
        <v>4322</v>
      </c>
      <c r="I1298" s="1249">
        <f>ROUNDUP(I1297,1-0)</f>
        <v>8.6999999999999993</v>
      </c>
      <c r="J1298" s="1246" t="s">
        <v>2308</v>
      </c>
    </row>
    <row r="1299" spans="1:241" ht="61.5" customHeight="1">
      <c r="A1299" s="1258" t="s">
        <v>3578</v>
      </c>
      <c r="B1299" s="1233" t="s">
        <v>5781</v>
      </c>
      <c r="C1299" s="1234">
        <v>1</v>
      </c>
      <c r="D1299" s="1234"/>
      <c r="E1299" s="1234">
        <v>13</v>
      </c>
      <c r="F1299" s="1248">
        <v>0.75</v>
      </c>
      <c r="G1299" s="1248"/>
      <c r="H1299" s="1248">
        <v>2.1</v>
      </c>
      <c r="I1299" s="1248">
        <f>PRODUCT(C1299:H1299)</f>
        <v>20.48</v>
      </c>
      <c r="J1299" s="1236"/>
    </row>
    <row r="1300" spans="1:241" ht="24.95" customHeight="1">
      <c r="A1300" s="1237"/>
      <c r="B1300" s="1247"/>
      <c r="C1300" s="1234"/>
      <c r="D1300" s="1234"/>
      <c r="E1300" s="1234"/>
      <c r="F1300" s="1248"/>
      <c r="G1300" s="1248"/>
      <c r="H1300" s="1249" t="s">
        <v>4322</v>
      </c>
      <c r="I1300" s="1249">
        <f>ROUNDUP(I1299,1-0)</f>
        <v>20.5</v>
      </c>
      <c r="J1300" s="1246" t="s">
        <v>2308</v>
      </c>
    </row>
    <row r="1301" spans="1:241" ht="24.95" customHeight="1">
      <c r="A1301" s="1237"/>
      <c r="B1301" s="1247"/>
      <c r="C1301" s="1234"/>
      <c r="D1301" s="1234"/>
      <c r="E1301" s="1234"/>
      <c r="F1301" s="1248"/>
      <c r="G1301" s="1248"/>
      <c r="H1301" s="1249"/>
      <c r="I1301" s="1249"/>
      <c r="J1301" s="1246"/>
    </row>
    <row r="1302" spans="1:241" ht="53.25" customHeight="1">
      <c r="A1302" s="1258">
        <v>22.9</v>
      </c>
      <c r="B1302" s="1297" t="s">
        <v>5774</v>
      </c>
      <c r="C1302" s="1234"/>
      <c r="D1302" s="1234"/>
      <c r="E1302" s="1234"/>
      <c r="F1302" s="1235"/>
      <c r="G1302" s="1235"/>
      <c r="H1302" s="1235"/>
      <c r="I1302" s="1235"/>
      <c r="J1302" s="1236"/>
    </row>
    <row r="1303" spans="1:241" ht="24.95" customHeight="1">
      <c r="A1303" s="1237"/>
      <c r="B1303" s="1247" t="s">
        <v>5775</v>
      </c>
      <c r="C1303" s="1234"/>
      <c r="D1303" s="1234"/>
      <c r="E1303" s="1234"/>
      <c r="F1303" s="1235"/>
      <c r="G1303" s="1235"/>
      <c r="H1303" s="1235"/>
      <c r="I1303" s="1235"/>
      <c r="J1303" s="1246"/>
    </row>
    <row r="1304" spans="1:241" ht="24.95" customHeight="1">
      <c r="A1304" s="1237"/>
      <c r="B1304" s="1247" t="s">
        <v>5776</v>
      </c>
      <c r="C1304" s="1234">
        <v>1</v>
      </c>
      <c r="D1304" s="1234"/>
      <c r="E1304" s="1234">
        <v>8</v>
      </c>
      <c r="F1304" s="1248">
        <v>1.2</v>
      </c>
      <c r="G1304" s="1248"/>
      <c r="H1304" s="1248">
        <v>2.4</v>
      </c>
      <c r="I1304" s="1248">
        <f>PRODUCT(C1304:H1304)</f>
        <v>23.04</v>
      </c>
      <c r="J1304" s="1246"/>
    </row>
    <row r="1305" spans="1:241" ht="24.95" customHeight="1">
      <c r="A1305" s="1237"/>
      <c r="B1305" s="1247"/>
      <c r="C1305" s="1234"/>
      <c r="D1305" s="1234"/>
      <c r="E1305" s="1234"/>
      <c r="F1305" s="1248"/>
      <c r="G1305" s="1248"/>
      <c r="H1305" s="1248"/>
      <c r="I1305" s="1248">
        <v>0.01</v>
      </c>
      <c r="J1305" s="1246"/>
      <c r="AB1305" s="1230" t="e">
        <f>#REF!</f>
        <v>#REF!</v>
      </c>
      <c r="AC1305" s="1230" t="e">
        <f>#REF!</f>
        <v>#REF!</v>
      </c>
      <c r="AD1305" s="1230" t="e">
        <f>#REF!</f>
        <v>#REF!</v>
      </c>
      <c r="AE1305" s="1230" t="e">
        <f>#REF!</f>
        <v>#REF!</v>
      </c>
      <c r="AF1305" s="1230" t="e">
        <f>#REF!</f>
        <v>#REF!</v>
      </c>
      <c r="AG1305" s="1230" t="e">
        <f>#REF!</f>
        <v>#REF!</v>
      </c>
      <c r="AH1305" s="1230" t="e">
        <f>#REF!</f>
        <v>#REF!</v>
      </c>
      <c r="AI1305" s="1230" t="e">
        <f>#REF!</f>
        <v>#REF!</v>
      </c>
      <c r="AJ1305" s="1230" t="e">
        <f>#REF!</f>
        <v>#REF!</v>
      </c>
      <c r="AK1305" s="1230" t="e">
        <f>#REF!</f>
        <v>#REF!</v>
      </c>
      <c r="AL1305" s="1230" t="e">
        <f>#REF!</f>
        <v>#REF!</v>
      </c>
      <c r="AM1305" s="1230" t="e">
        <f>#REF!</f>
        <v>#REF!</v>
      </c>
      <c r="AN1305" s="1230" t="e">
        <f>#REF!</f>
        <v>#REF!</v>
      </c>
      <c r="AO1305" s="1230" t="e">
        <f>#REF!</f>
        <v>#REF!</v>
      </c>
      <c r="AP1305" s="1230" t="e">
        <f>#REF!</f>
        <v>#REF!</v>
      </c>
      <c r="AQ1305" s="1230" t="e">
        <f>#REF!</f>
        <v>#REF!</v>
      </c>
      <c r="AR1305" s="1230" t="e">
        <f>#REF!</f>
        <v>#REF!</v>
      </c>
      <c r="AS1305" s="1230" t="e">
        <f>#REF!</f>
        <v>#REF!</v>
      </c>
      <c r="AT1305" s="1230" t="e">
        <f>#REF!</f>
        <v>#REF!</v>
      </c>
      <c r="AU1305" s="1230" t="e">
        <f>#REF!</f>
        <v>#REF!</v>
      </c>
      <c r="AV1305" s="1230" t="e">
        <f>#REF!</f>
        <v>#REF!</v>
      </c>
      <c r="AW1305" s="1230" t="e">
        <f>#REF!</f>
        <v>#REF!</v>
      </c>
      <c r="AX1305" s="1230" t="e">
        <f>#REF!</f>
        <v>#REF!</v>
      </c>
      <c r="AY1305" s="1230" t="e">
        <f>#REF!</f>
        <v>#REF!</v>
      </c>
      <c r="AZ1305" s="1230" t="e">
        <f>#REF!</f>
        <v>#REF!</v>
      </c>
      <c r="BA1305" s="1230" t="e">
        <f>#REF!</f>
        <v>#REF!</v>
      </c>
      <c r="BB1305" s="1230" t="e">
        <f>#REF!</f>
        <v>#REF!</v>
      </c>
      <c r="BC1305" s="1230" t="e">
        <f>#REF!</f>
        <v>#REF!</v>
      </c>
      <c r="BD1305" s="1230" t="e">
        <f>#REF!</f>
        <v>#REF!</v>
      </c>
      <c r="BE1305" s="1230" t="e">
        <f>#REF!</f>
        <v>#REF!</v>
      </c>
      <c r="BF1305" s="1230" t="e">
        <f>#REF!</f>
        <v>#REF!</v>
      </c>
      <c r="BG1305" s="1230" t="e">
        <f>#REF!</f>
        <v>#REF!</v>
      </c>
      <c r="BH1305" s="1230" t="e">
        <f>#REF!</f>
        <v>#REF!</v>
      </c>
      <c r="BI1305" s="1230" t="e">
        <f>#REF!</f>
        <v>#REF!</v>
      </c>
      <c r="BJ1305" s="1230" t="e">
        <f>#REF!</f>
        <v>#REF!</v>
      </c>
      <c r="BK1305" s="1230" t="e">
        <f>#REF!</f>
        <v>#REF!</v>
      </c>
      <c r="BL1305" s="1230" t="e">
        <f>#REF!</f>
        <v>#REF!</v>
      </c>
      <c r="BM1305" s="1230" t="e">
        <f>#REF!</f>
        <v>#REF!</v>
      </c>
      <c r="BN1305" s="1230" t="e">
        <f>#REF!</f>
        <v>#REF!</v>
      </c>
      <c r="BO1305" s="1230" t="e">
        <f>#REF!</f>
        <v>#REF!</v>
      </c>
      <c r="BP1305" s="1230" t="e">
        <f>#REF!</f>
        <v>#REF!</v>
      </c>
      <c r="BQ1305" s="1230" t="e">
        <f>#REF!</f>
        <v>#REF!</v>
      </c>
      <c r="BR1305" s="1230" t="e">
        <f>#REF!</f>
        <v>#REF!</v>
      </c>
      <c r="BS1305" s="1230" t="e">
        <f>#REF!</f>
        <v>#REF!</v>
      </c>
      <c r="BT1305" s="1230" t="e">
        <f>#REF!</f>
        <v>#REF!</v>
      </c>
      <c r="BU1305" s="1230" t="e">
        <f>#REF!</f>
        <v>#REF!</v>
      </c>
      <c r="BV1305" s="1230" t="e">
        <f>#REF!</f>
        <v>#REF!</v>
      </c>
      <c r="BW1305" s="1230" t="e">
        <f>#REF!</f>
        <v>#REF!</v>
      </c>
      <c r="BX1305" s="1230" t="e">
        <f>#REF!</f>
        <v>#REF!</v>
      </c>
      <c r="BY1305" s="1230" t="e">
        <f>#REF!</f>
        <v>#REF!</v>
      </c>
      <c r="BZ1305" s="1230" t="e">
        <f>#REF!</f>
        <v>#REF!</v>
      </c>
      <c r="CA1305" s="1230" t="e">
        <f>#REF!</f>
        <v>#REF!</v>
      </c>
      <c r="CB1305" s="1230" t="e">
        <f>#REF!</f>
        <v>#REF!</v>
      </c>
      <c r="CC1305" s="1230" t="e">
        <f>#REF!</f>
        <v>#REF!</v>
      </c>
      <c r="CD1305" s="1230" t="e">
        <f>#REF!</f>
        <v>#REF!</v>
      </c>
      <c r="CE1305" s="1230" t="e">
        <f>#REF!</f>
        <v>#REF!</v>
      </c>
      <c r="CF1305" s="1230" t="e">
        <f>#REF!</f>
        <v>#REF!</v>
      </c>
      <c r="CG1305" s="1230" t="e">
        <f>#REF!</f>
        <v>#REF!</v>
      </c>
      <c r="CH1305" s="1230" t="e">
        <f>#REF!</f>
        <v>#REF!</v>
      </c>
      <c r="CI1305" s="1230" t="e">
        <f>#REF!</f>
        <v>#REF!</v>
      </c>
      <c r="CJ1305" s="1230" t="e">
        <f>#REF!</f>
        <v>#REF!</v>
      </c>
      <c r="CK1305" s="1230" t="e">
        <f>#REF!</f>
        <v>#REF!</v>
      </c>
      <c r="CL1305" s="1230" t="e">
        <f>#REF!</f>
        <v>#REF!</v>
      </c>
      <c r="CM1305" s="1230" t="e">
        <f>#REF!</f>
        <v>#REF!</v>
      </c>
      <c r="CN1305" s="1230" t="e">
        <f>#REF!</f>
        <v>#REF!</v>
      </c>
      <c r="CO1305" s="1230" t="e">
        <f>#REF!</f>
        <v>#REF!</v>
      </c>
      <c r="CP1305" s="1230" t="e">
        <f>#REF!</f>
        <v>#REF!</v>
      </c>
      <c r="CQ1305" s="1230" t="e">
        <f>#REF!</f>
        <v>#REF!</v>
      </c>
      <c r="CR1305" s="1230" t="e">
        <f>#REF!</f>
        <v>#REF!</v>
      </c>
      <c r="CS1305" s="1230" t="e">
        <f>#REF!</f>
        <v>#REF!</v>
      </c>
      <c r="CT1305" s="1230" t="e">
        <f>#REF!</f>
        <v>#REF!</v>
      </c>
      <c r="CU1305" s="1230" t="e">
        <f>#REF!</f>
        <v>#REF!</v>
      </c>
      <c r="CV1305" s="1230" t="e">
        <f>#REF!</f>
        <v>#REF!</v>
      </c>
      <c r="CW1305" s="1230" t="e">
        <f>#REF!</f>
        <v>#REF!</v>
      </c>
      <c r="CX1305" s="1230" t="e">
        <f>#REF!</f>
        <v>#REF!</v>
      </c>
      <c r="CY1305" s="1230" t="e">
        <f>#REF!</f>
        <v>#REF!</v>
      </c>
      <c r="CZ1305" s="1230" t="e">
        <f>#REF!</f>
        <v>#REF!</v>
      </c>
      <c r="DA1305" s="1230" t="e">
        <f>#REF!</f>
        <v>#REF!</v>
      </c>
      <c r="DB1305" s="1230" t="e">
        <f>#REF!</f>
        <v>#REF!</v>
      </c>
      <c r="DC1305" s="1230" t="e">
        <f>#REF!</f>
        <v>#REF!</v>
      </c>
      <c r="DD1305" s="1230" t="e">
        <f>#REF!</f>
        <v>#REF!</v>
      </c>
      <c r="DE1305" s="1230" t="e">
        <f>#REF!</f>
        <v>#REF!</v>
      </c>
      <c r="DF1305" s="1230" t="e">
        <f>#REF!</f>
        <v>#REF!</v>
      </c>
      <c r="DG1305" s="1230" t="e">
        <f>#REF!</f>
        <v>#REF!</v>
      </c>
      <c r="DH1305" s="1230" t="e">
        <f>#REF!</f>
        <v>#REF!</v>
      </c>
      <c r="DI1305" s="1230" t="e">
        <f>#REF!</f>
        <v>#REF!</v>
      </c>
      <c r="DJ1305" s="1230" t="e">
        <f>#REF!</f>
        <v>#REF!</v>
      </c>
      <c r="DK1305" s="1230" t="e">
        <f>#REF!</f>
        <v>#REF!</v>
      </c>
      <c r="DL1305" s="1230" t="e">
        <f>#REF!</f>
        <v>#REF!</v>
      </c>
      <c r="DM1305" s="1230" t="e">
        <f>#REF!</f>
        <v>#REF!</v>
      </c>
      <c r="DN1305" s="1230" t="e">
        <f>#REF!</f>
        <v>#REF!</v>
      </c>
      <c r="DO1305" s="1230" t="e">
        <f>#REF!</f>
        <v>#REF!</v>
      </c>
      <c r="DP1305" s="1230" t="e">
        <f>#REF!</f>
        <v>#REF!</v>
      </c>
      <c r="DQ1305" s="1230" t="e">
        <f>#REF!</f>
        <v>#REF!</v>
      </c>
      <c r="DR1305" s="1230" t="e">
        <f>#REF!</f>
        <v>#REF!</v>
      </c>
      <c r="DS1305" s="1230" t="e">
        <f>#REF!</f>
        <v>#REF!</v>
      </c>
      <c r="DT1305" s="1230" t="e">
        <f>#REF!</f>
        <v>#REF!</v>
      </c>
      <c r="DU1305" s="1230" t="e">
        <f>#REF!</f>
        <v>#REF!</v>
      </c>
      <c r="DV1305" s="1230" t="e">
        <f>#REF!</f>
        <v>#REF!</v>
      </c>
      <c r="DW1305" s="1230" t="e">
        <f>#REF!</f>
        <v>#REF!</v>
      </c>
      <c r="DX1305" s="1230" t="e">
        <f>#REF!</f>
        <v>#REF!</v>
      </c>
      <c r="DY1305" s="1230" t="e">
        <f>#REF!</f>
        <v>#REF!</v>
      </c>
      <c r="DZ1305" s="1230" t="e">
        <f>#REF!</f>
        <v>#REF!</v>
      </c>
      <c r="EA1305" s="1230" t="e">
        <f>#REF!</f>
        <v>#REF!</v>
      </c>
      <c r="EB1305" s="1230" t="e">
        <f>#REF!</f>
        <v>#REF!</v>
      </c>
      <c r="EC1305" s="1230" t="e">
        <f>#REF!</f>
        <v>#REF!</v>
      </c>
      <c r="ED1305" s="1230" t="e">
        <f>#REF!</f>
        <v>#REF!</v>
      </c>
      <c r="EE1305" s="1230" t="e">
        <f>#REF!</f>
        <v>#REF!</v>
      </c>
      <c r="EF1305" s="1230" t="e">
        <f>#REF!</f>
        <v>#REF!</v>
      </c>
      <c r="EG1305" s="1230" t="e">
        <f>#REF!</f>
        <v>#REF!</v>
      </c>
      <c r="EH1305" s="1230" t="e">
        <f>#REF!</f>
        <v>#REF!</v>
      </c>
      <c r="EI1305" s="1230" t="e">
        <f>#REF!</f>
        <v>#REF!</v>
      </c>
      <c r="EJ1305" s="1230" t="e">
        <f>#REF!</f>
        <v>#REF!</v>
      </c>
      <c r="EK1305" s="1230" t="e">
        <f>#REF!</f>
        <v>#REF!</v>
      </c>
      <c r="EL1305" s="1230" t="e">
        <f>#REF!</f>
        <v>#REF!</v>
      </c>
      <c r="EM1305" s="1230" t="e">
        <f>#REF!</f>
        <v>#REF!</v>
      </c>
      <c r="EN1305" s="1230" t="e">
        <f>#REF!</f>
        <v>#REF!</v>
      </c>
      <c r="EO1305" s="1230" t="e">
        <f>#REF!</f>
        <v>#REF!</v>
      </c>
      <c r="EP1305" s="1230" t="e">
        <f>#REF!</f>
        <v>#REF!</v>
      </c>
      <c r="EQ1305" s="1230" t="e">
        <f>#REF!</f>
        <v>#REF!</v>
      </c>
      <c r="ER1305" s="1230" t="e">
        <f>#REF!</f>
        <v>#REF!</v>
      </c>
      <c r="ES1305" s="1230" t="e">
        <f>#REF!</f>
        <v>#REF!</v>
      </c>
      <c r="ET1305" s="1230" t="e">
        <f>#REF!</f>
        <v>#REF!</v>
      </c>
      <c r="EU1305" s="1230" t="e">
        <f>#REF!</f>
        <v>#REF!</v>
      </c>
      <c r="EV1305" s="1230" t="e">
        <f>#REF!</f>
        <v>#REF!</v>
      </c>
      <c r="EW1305" s="1230" t="e">
        <f>#REF!</f>
        <v>#REF!</v>
      </c>
      <c r="EX1305" s="1230" t="e">
        <f>#REF!</f>
        <v>#REF!</v>
      </c>
      <c r="EY1305" s="1230" t="e">
        <f>#REF!</f>
        <v>#REF!</v>
      </c>
      <c r="EZ1305" s="1230" t="e">
        <f>#REF!</f>
        <v>#REF!</v>
      </c>
      <c r="FA1305" s="1230" t="e">
        <f>#REF!</f>
        <v>#REF!</v>
      </c>
      <c r="FB1305" s="1230" t="e">
        <f>#REF!</f>
        <v>#REF!</v>
      </c>
      <c r="FC1305" s="1230" t="e">
        <f>#REF!</f>
        <v>#REF!</v>
      </c>
      <c r="FD1305" s="1230" t="e">
        <f>#REF!</f>
        <v>#REF!</v>
      </c>
      <c r="FE1305" s="1230" t="e">
        <f>#REF!</f>
        <v>#REF!</v>
      </c>
      <c r="FF1305" s="1230" t="e">
        <f>#REF!</f>
        <v>#REF!</v>
      </c>
      <c r="FG1305" s="1230" t="e">
        <f>#REF!</f>
        <v>#REF!</v>
      </c>
      <c r="FH1305" s="1230" t="e">
        <f>#REF!</f>
        <v>#REF!</v>
      </c>
      <c r="FI1305" s="1230" t="e">
        <f>#REF!</f>
        <v>#REF!</v>
      </c>
      <c r="FJ1305" s="1230" t="e">
        <f>#REF!</f>
        <v>#REF!</v>
      </c>
      <c r="FK1305" s="1230" t="e">
        <f>#REF!</f>
        <v>#REF!</v>
      </c>
      <c r="FL1305" s="1230" t="e">
        <f>#REF!</f>
        <v>#REF!</v>
      </c>
      <c r="FM1305" s="1230" t="e">
        <f>#REF!</f>
        <v>#REF!</v>
      </c>
      <c r="FN1305" s="1230" t="e">
        <f>#REF!</f>
        <v>#REF!</v>
      </c>
      <c r="FO1305" s="1230" t="e">
        <f>#REF!</f>
        <v>#REF!</v>
      </c>
      <c r="FP1305" s="1230" t="e">
        <f>#REF!</f>
        <v>#REF!</v>
      </c>
      <c r="FQ1305" s="1230" t="e">
        <f>#REF!</f>
        <v>#REF!</v>
      </c>
      <c r="FR1305" s="1230" t="e">
        <f>#REF!</f>
        <v>#REF!</v>
      </c>
      <c r="FS1305" s="1230" t="e">
        <f>#REF!</f>
        <v>#REF!</v>
      </c>
      <c r="FT1305" s="1230" t="e">
        <f>#REF!</f>
        <v>#REF!</v>
      </c>
      <c r="FU1305" s="1230" t="e">
        <f>#REF!</f>
        <v>#REF!</v>
      </c>
      <c r="FV1305" s="1230" t="e">
        <f>#REF!</f>
        <v>#REF!</v>
      </c>
      <c r="FW1305" s="1230" t="e">
        <f>#REF!</f>
        <v>#REF!</v>
      </c>
      <c r="FX1305" s="1230" t="e">
        <f>#REF!</f>
        <v>#REF!</v>
      </c>
      <c r="FY1305" s="1230" t="e">
        <f>#REF!</f>
        <v>#REF!</v>
      </c>
      <c r="FZ1305" s="1230" t="e">
        <f>#REF!</f>
        <v>#REF!</v>
      </c>
      <c r="GA1305" s="1230" t="e">
        <f>#REF!</f>
        <v>#REF!</v>
      </c>
      <c r="GB1305" s="1230" t="e">
        <f>#REF!</f>
        <v>#REF!</v>
      </c>
      <c r="GC1305" s="1230" t="e">
        <f>#REF!</f>
        <v>#REF!</v>
      </c>
      <c r="GD1305" s="1230" t="e">
        <f>#REF!</f>
        <v>#REF!</v>
      </c>
      <c r="GE1305" s="1230" t="e">
        <f>#REF!</f>
        <v>#REF!</v>
      </c>
      <c r="GF1305" s="1230" t="e">
        <f>#REF!</f>
        <v>#REF!</v>
      </c>
      <c r="GG1305" s="1230" t="e">
        <f>#REF!</f>
        <v>#REF!</v>
      </c>
      <c r="GH1305" s="1230" t="e">
        <f>#REF!</f>
        <v>#REF!</v>
      </c>
      <c r="GI1305" s="1230" t="e">
        <f>#REF!</f>
        <v>#REF!</v>
      </c>
      <c r="GJ1305" s="1230" t="e">
        <f>#REF!</f>
        <v>#REF!</v>
      </c>
      <c r="GK1305" s="1230" t="e">
        <f>#REF!</f>
        <v>#REF!</v>
      </c>
      <c r="GL1305" s="1230" t="e">
        <f>#REF!</f>
        <v>#REF!</v>
      </c>
      <c r="GM1305" s="1230" t="e">
        <f>#REF!</f>
        <v>#REF!</v>
      </c>
      <c r="GN1305" s="1230" t="e">
        <f>#REF!</f>
        <v>#REF!</v>
      </c>
      <c r="GO1305" s="1230" t="e">
        <f>#REF!</f>
        <v>#REF!</v>
      </c>
      <c r="GP1305" s="1230" t="e">
        <f>#REF!</f>
        <v>#REF!</v>
      </c>
      <c r="GQ1305" s="1230" t="e">
        <f>#REF!</f>
        <v>#REF!</v>
      </c>
      <c r="GR1305" s="1230" t="e">
        <f>#REF!</f>
        <v>#REF!</v>
      </c>
      <c r="GS1305" s="1230" t="e">
        <f>#REF!</f>
        <v>#REF!</v>
      </c>
      <c r="GT1305" s="1230" t="e">
        <f>#REF!</f>
        <v>#REF!</v>
      </c>
      <c r="GU1305" s="1230" t="e">
        <f>#REF!</f>
        <v>#REF!</v>
      </c>
      <c r="GV1305" s="1230" t="e">
        <f>#REF!</f>
        <v>#REF!</v>
      </c>
      <c r="GW1305" s="1230" t="e">
        <f>#REF!</f>
        <v>#REF!</v>
      </c>
      <c r="GX1305" s="1230" t="e">
        <f>#REF!</f>
        <v>#REF!</v>
      </c>
      <c r="GY1305" s="1230" t="e">
        <f>#REF!</f>
        <v>#REF!</v>
      </c>
      <c r="GZ1305" s="1230" t="e">
        <f>#REF!</f>
        <v>#REF!</v>
      </c>
      <c r="HA1305" s="1230" t="e">
        <f>#REF!</f>
        <v>#REF!</v>
      </c>
      <c r="HB1305" s="1230" t="e">
        <f>#REF!</f>
        <v>#REF!</v>
      </c>
      <c r="HC1305" s="1230" t="e">
        <f>#REF!</f>
        <v>#REF!</v>
      </c>
      <c r="HD1305" s="1230" t="e">
        <f>#REF!</f>
        <v>#REF!</v>
      </c>
      <c r="HE1305" s="1230" t="e">
        <f>#REF!</f>
        <v>#REF!</v>
      </c>
      <c r="HF1305" s="1230" t="e">
        <f>#REF!</f>
        <v>#REF!</v>
      </c>
      <c r="HG1305" s="1230" t="e">
        <f>#REF!</f>
        <v>#REF!</v>
      </c>
      <c r="HH1305" s="1230" t="e">
        <f>#REF!</f>
        <v>#REF!</v>
      </c>
      <c r="HI1305" s="1230" t="e">
        <f>#REF!</f>
        <v>#REF!</v>
      </c>
      <c r="HJ1305" s="1230" t="e">
        <f>#REF!</f>
        <v>#REF!</v>
      </c>
      <c r="HK1305" s="1230" t="e">
        <f>#REF!</f>
        <v>#REF!</v>
      </c>
      <c r="HL1305" s="1230" t="e">
        <f>#REF!</f>
        <v>#REF!</v>
      </c>
      <c r="HM1305" s="1230" t="e">
        <f>#REF!</f>
        <v>#REF!</v>
      </c>
      <c r="HN1305" s="1230" t="e">
        <f>#REF!</f>
        <v>#REF!</v>
      </c>
      <c r="HO1305" s="1230" t="e">
        <f>#REF!</f>
        <v>#REF!</v>
      </c>
      <c r="HP1305" s="1230" t="e">
        <f>#REF!</f>
        <v>#REF!</v>
      </c>
      <c r="HQ1305" s="1230" t="e">
        <f>#REF!</f>
        <v>#REF!</v>
      </c>
      <c r="HR1305" s="1230" t="e">
        <f>#REF!</f>
        <v>#REF!</v>
      </c>
      <c r="HS1305" s="1230" t="e">
        <f>#REF!</f>
        <v>#REF!</v>
      </c>
      <c r="HT1305" s="1230" t="e">
        <f>#REF!</f>
        <v>#REF!</v>
      </c>
      <c r="HU1305" s="1230" t="e">
        <f>#REF!</f>
        <v>#REF!</v>
      </c>
      <c r="HV1305" s="1230" t="e">
        <f>#REF!</f>
        <v>#REF!</v>
      </c>
      <c r="HW1305" s="1230" t="e">
        <f>#REF!</f>
        <v>#REF!</v>
      </c>
      <c r="HX1305" s="1230" t="e">
        <f>#REF!</f>
        <v>#REF!</v>
      </c>
      <c r="HY1305" s="1230" t="e">
        <f>#REF!</f>
        <v>#REF!</v>
      </c>
      <c r="HZ1305" s="1230" t="e">
        <f>#REF!</f>
        <v>#REF!</v>
      </c>
      <c r="IA1305" s="1230" t="e">
        <f>#REF!</f>
        <v>#REF!</v>
      </c>
      <c r="IB1305" s="1230" t="e">
        <f>#REF!</f>
        <v>#REF!</v>
      </c>
      <c r="IC1305" s="1230" t="e">
        <f>#REF!</f>
        <v>#REF!</v>
      </c>
      <c r="ID1305" s="1230" t="e">
        <f>#REF!</f>
        <v>#REF!</v>
      </c>
      <c r="IE1305" s="1230" t="e">
        <f>#REF!</f>
        <v>#REF!</v>
      </c>
      <c r="IF1305" s="1230" t="e">
        <f>#REF!</f>
        <v>#REF!</v>
      </c>
      <c r="IG1305" s="1230" t="e">
        <f>#REF!</f>
        <v>#REF!</v>
      </c>
    </row>
    <row r="1306" spans="1:241" ht="24.95" customHeight="1">
      <c r="A1306" s="1237"/>
      <c r="B1306" s="1247"/>
      <c r="C1306" s="1234"/>
      <c r="D1306" s="1234"/>
      <c r="E1306" s="1234"/>
      <c r="F1306" s="1248"/>
      <c r="G1306" s="1248"/>
      <c r="H1306" s="1248"/>
      <c r="I1306" s="1249">
        <f>SUM(I1304:I1305)</f>
        <v>23.05</v>
      </c>
      <c r="J1306" s="1246"/>
    </row>
    <row r="1307" spans="1:241" ht="24.95" customHeight="1">
      <c r="A1307" s="1237"/>
      <c r="B1307" s="1247"/>
      <c r="C1307" s="1234"/>
      <c r="D1307" s="1234"/>
      <c r="E1307" s="1234"/>
      <c r="F1307" s="1248"/>
      <c r="G1307" s="1248"/>
      <c r="H1307" s="1249" t="s">
        <v>4322</v>
      </c>
      <c r="I1307" s="1249">
        <f>ROUNDUP(I1306,1-0)</f>
        <v>23.1</v>
      </c>
      <c r="J1307" s="1246" t="s">
        <v>2308</v>
      </c>
      <c r="K1307" s="1230">
        <v>0.03</v>
      </c>
    </row>
    <row r="1308" spans="1:241" ht="24.95" customHeight="1">
      <c r="A1308" s="1237"/>
      <c r="B1308" s="1247" t="s">
        <v>5777</v>
      </c>
      <c r="C1308" s="1234">
        <v>1</v>
      </c>
      <c r="D1308" s="1234"/>
      <c r="E1308" s="1234">
        <v>7</v>
      </c>
      <c r="F1308" s="1248">
        <v>0.9</v>
      </c>
      <c r="G1308" s="1248"/>
      <c r="H1308" s="1248">
        <v>2.4</v>
      </c>
      <c r="I1308" s="1263">
        <f>PRODUCT(C1308:H1308)</f>
        <v>15.12</v>
      </c>
      <c r="J1308" s="1246"/>
    </row>
    <row r="1309" spans="1:241" ht="32.450000000000003" customHeight="1">
      <c r="A1309" s="1237"/>
      <c r="B1309" s="1247"/>
      <c r="C1309" s="1234"/>
      <c r="D1309" s="1234"/>
      <c r="E1309" s="1234"/>
      <c r="F1309" s="1235"/>
      <c r="G1309" s="1235"/>
      <c r="H1309" s="1235"/>
      <c r="I1309" s="1263">
        <v>0.03</v>
      </c>
      <c r="J1309" s="1246"/>
    </row>
    <row r="1310" spans="1:241" ht="24.95" customHeight="1">
      <c r="A1310" s="1237"/>
      <c r="B1310" s="1247"/>
      <c r="C1310" s="1234"/>
      <c r="D1310" s="1234"/>
      <c r="E1310" s="1234"/>
      <c r="F1310" s="1235"/>
      <c r="G1310" s="1235"/>
      <c r="H1310" s="1235"/>
      <c r="I1310" s="1249">
        <f>SUM(I1308:I1309)</f>
        <v>15.15</v>
      </c>
      <c r="J1310" s="1246" t="s">
        <v>236</v>
      </c>
    </row>
    <row r="1311" spans="1:241" ht="24.95" customHeight="1">
      <c r="A1311" s="1230"/>
      <c r="B1311" s="1230"/>
      <c r="C1311" s="1234"/>
      <c r="D1311" s="1234"/>
      <c r="E1311" s="1234"/>
      <c r="F1311" s="1235"/>
      <c r="G1311" s="1235"/>
      <c r="H1311" s="1249" t="s">
        <v>4322</v>
      </c>
      <c r="I1311" s="1249">
        <f>ROUNDUP(I1310,1-0)</f>
        <v>15.2</v>
      </c>
      <c r="J1311" s="1246" t="s">
        <v>2308</v>
      </c>
    </row>
    <row r="1312" spans="1:241" ht="24.95" customHeight="1">
      <c r="A1312" s="1237"/>
      <c r="B1312" s="1247"/>
      <c r="C1312" s="1234"/>
      <c r="D1312" s="1234"/>
      <c r="E1312" s="1234"/>
      <c r="F1312" s="1235"/>
      <c r="G1312" s="1235"/>
      <c r="H1312" s="1235"/>
      <c r="I1312" s="1235"/>
      <c r="J1312" s="1236"/>
    </row>
    <row r="1313" spans="1:11" ht="47.25" customHeight="1">
      <c r="A1313" s="1258" t="s">
        <v>703</v>
      </c>
      <c r="B1313" s="1233" t="s">
        <v>5782</v>
      </c>
      <c r="C1313" s="1234"/>
      <c r="D1313" s="1234"/>
      <c r="E1313" s="1234"/>
      <c r="F1313" s="1235"/>
      <c r="G1313" s="1235"/>
      <c r="H1313" s="1235"/>
      <c r="I1313" s="1235"/>
      <c r="J1313" s="1236"/>
    </row>
    <row r="1314" spans="1:11" ht="24.95" customHeight="1">
      <c r="A1314" s="1237"/>
      <c r="B1314" s="1233" t="s">
        <v>5680</v>
      </c>
      <c r="C1314" s="1234">
        <v>1</v>
      </c>
      <c r="D1314" s="1234"/>
      <c r="E1314" s="1234">
        <v>2</v>
      </c>
      <c r="F1314" s="1235">
        <v>1.8</v>
      </c>
      <c r="G1314" s="1235"/>
      <c r="H1314" s="1235">
        <v>1.65</v>
      </c>
      <c r="I1314" s="1235">
        <f t="shared" ref="I1314:I1324" si="76">PRODUCT(C1314:H1314)</f>
        <v>5.94</v>
      </c>
      <c r="J1314" s="1236"/>
    </row>
    <row r="1315" spans="1:11" ht="24.95" customHeight="1">
      <c r="A1315" s="1237"/>
      <c r="B1315" s="1233" t="s">
        <v>5469</v>
      </c>
      <c r="C1315" s="1234">
        <v>1</v>
      </c>
      <c r="D1315" s="1234"/>
      <c r="E1315" s="1234">
        <v>13</v>
      </c>
      <c r="F1315" s="1235">
        <v>1.5</v>
      </c>
      <c r="G1315" s="1235"/>
      <c r="H1315" s="1235">
        <v>1.65</v>
      </c>
      <c r="I1315" s="1235">
        <f t="shared" si="76"/>
        <v>32.18</v>
      </c>
      <c r="J1315" s="1236"/>
    </row>
    <row r="1316" spans="1:11" ht="24.95" customHeight="1">
      <c r="A1316" s="1237"/>
      <c r="B1316" s="1233" t="s">
        <v>5461</v>
      </c>
      <c r="C1316" s="1234">
        <v>1</v>
      </c>
      <c r="D1316" s="1234"/>
      <c r="E1316" s="1234">
        <v>1</v>
      </c>
      <c r="F1316" s="1235">
        <v>1.35</v>
      </c>
      <c r="G1316" s="1235"/>
      <c r="H1316" s="1235">
        <v>1.65</v>
      </c>
      <c r="I1316" s="1235">
        <f t="shared" si="76"/>
        <v>2.23</v>
      </c>
      <c r="J1316" s="1236"/>
    </row>
    <row r="1317" spans="1:11" ht="24.95" customHeight="1">
      <c r="A1317" s="1237"/>
      <c r="B1317" s="1233" t="s">
        <v>5462</v>
      </c>
      <c r="C1317" s="1234">
        <v>1</v>
      </c>
      <c r="D1317" s="1234"/>
      <c r="E1317" s="1234">
        <v>10</v>
      </c>
      <c r="F1317" s="1235">
        <v>0.9</v>
      </c>
      <c r="G1317" s="1235"/>
      <c r="H1317" s="1235">
        <v>1.65</v>
      </c>
      <c r="I1317" s="1235">
        <f t="shared" si="76"/>
        <v>14.85</v>
      </c>
      <c r="J1317" s="1236"/>
    </row>
    <row r="1318" spans="1:11" ht="24.95" customHeight="1">
      <c r="A1318" s="1237"/>
      <c r="B1318" s="1233" t="s">
        <v>5482</v>
      </c>
      <c r="C1318" s="1234">
        <v>1</v>
      </c>
      <c r="D1318" s="1234"/>
      <c r="E1318" s="1234">
        <v>4</v>
      </c>
      <c r="F1318" s="1235">
        <v>1.2</v>
      </c>
      <c r="G1318" s="1235"/>
      <c r="H1318" s="1235">
        <v>1.65</v>
      </c>
      <c r="I1318" s="1235">
        <f t="shared" si="76"/>
        <v>7.92</v>
      </c>
      <c r="J1318" s="1236"/>
    </row>
    <row r="1319" spans="1:11" ht="24.95" customHeight="1">
      <c r="A1319" s="1237"/>
      <c r="B1319" s="1233" t="s">
        <v>5464</v>
      </c>
      <c r="C1319" s="1234">
        <v>1</v>
      </c>
      <c r="D1319" s="1234"/>
      <c r="E1319" s="1234">
        <v>2</v>
      </c>
      <c r="F1319" s="1235">
        <v>1.2</v>
      </c>
      <c r="G1319" s="1235"/>
      <c r="H1319" s="1235">
        <v>1.65</v>
      </c>
      <c r="I1319" s="1235">
        <f t="shared" si="76"/>
        <v>3.96</v>
      </c>
      <c r="J1319" s="1236"/>
    </row>
    <row r="1320" spans="1:11" ht="24.95" customHeight="1">
      <c r="A1320" s="1237"/>
      <c r="B1320" s="1233" t="s">
        <v>5465</v>
      </c>
      <c r="C1320" s="1234">
        <v>1</v>
      </c>
      <c r="D1320" s="1234"/>
      <c r="E1320" s="1234">
        <v>2</v>
      </c>
      <c r="F1320" s="1235">
        <v>1.5</v>
      </c>
      <c r="G1320" s="1235"/>
      <c r="H1320" s="1235">
        <v>1.65</v>
      </c>
      <c r="I1320" s="1235">
        <f t="shared" si="76"/>
        <v>4.95</v>
      </c>
      <c r="J1320" s="1236"/>
    </row>
    <row r="1321" spans="1:11" ht="24.95" customHeight="1">
      <c r="A1321" s="1237"/>
      <c r="B1321" s="1233" t="s">
        <v>5466</v>
      </c>
      <c r="C1321" s="1234">
        <v>1</v>
      </c>
      <c r="D1321" s="1234"/>
      <c r="E1321" s="1234">
        <v>4</v>
      </c>
      <c r="F1321" s="1235">
        <v>1.05</v>
      </c>
      <c r="G1321" s="1235"/>
      <c r="H1321" s="1235">
        <v>1.65</v>
      </c>
      <c r="I1321" s="1235">
        <f t="shared" si="76"/>
        <v>6.93</v>
      </c>
      <c r="J1321" s="1236"/>
    </row>
    <row r="1322" spans="1:11" ht="24.95" customHeight="1">
      <c r="A1322" s="1237"/>
      <c r="B1322" s="1233" t="s">
        <v>5501</v>
      </c>
      <c r="C1322" s="1234">
        <v>1</v>
      </c>
      <c r="D1322" s="1234"/>
      <c r="E1322" s="1234">
        <v>2</v>
      </c>
      <c r="F1322" s="1235">
        <v>0.75</v>
      </c>
      <c r="G1322" s="1235"/>
      <c r="H1322" s="1235">
        <v>2.4</v>
      </c>
      <c r="I1322" s="1235">
        <f t="shared" si="76"/>
        <v>3.6</v>
      </c>
      <c r="J1322" s="1236"/>
    </row>
    <row r="1323" spans="1:11" ht="24.95" customHeight="1">
      <c r="A1323" s="1237"/>
      <c r="B1323" s="1247" t="s">
        <v>5501</v>
      </c>
      <c r="C1323" s="1234">
        <v>1</v>
      </c>
      <c r="D1323" s="1234"/>
      <c r="E1323" s="1234">
        <v>1</v>
      </c>
      <c r="F1323" s="1235">
        <v>0.8</v>
      </c>
      <c r="G1323" s="1235"/>
      <c r="H1323" s="1235">
        <v>2.1</v>
      </c>
      <c r="I1323" s="1235">
        <f t="shared" si="76"/>
        <v>1.68</v>
      </c>
      <c r="J1323" s="1246"/>
    </row>
    <row r="1324" spans="1:11" ht="24.95" customHeight="1">
      <c r="A1324" s="1237"/>
      <c r="B1324" s="1247" t="s">
        <v>5463</v>
      </c>
      <c r="C1324" s="1234">
        <v>1</v>
      </c>
      <c r="D1324" s="1234"/>
      <c r="E1324" s="1234">
        <v>1</v>
      </c>
      <c r="F1324" s="1235">
        <v>0.75</v>
      </c>
      <c r="G1324" s="1235"/>
      <c r="H1324" s="1235">
        <v>2.1</v>
      </c>
      <c r="I1324" s="1235">
        <f t="shared" si="76"/>
        <v>1.58</v>
      </c>
      <c r="J1324" s="1246"/>
      <c r="K1324" s="1230">
        <v>7.0000000000000007E-2</v>
      </c>
    </row>
    <row r="1325" spans="1:11" ht="24.95" customHeight="1">
      <c r="A1325" s="1237"/>
      <c r="B1325" s="1247"/>
      <c r="C1325" s="1234"/>
      <c r="D1325" s="1234"/>
      <c r="E1325" s="1234"/>
      <c r="F1325" s="1235"/>
      <c r="G1325" s="1235"/>
      <c r="H1325" s="1235"/>
      <c r="I1325" s="1235">
        <f>SUM(I1314:I1324)</f>
        <v>85.82</v>
      </c>
      <c r="J1325" s="1246"/>
    </row>
    <row r="1326" spans="1:11" ht="24.95" customHeight="1">
      <c r="A1326" s="1237"/>
      <c r="B1326" s="1247"/>
      <c r="C1326" s="1234"/>
      <c r="D1326" s="1234"/>
      <c r="E1326" s="1234"/>
      <c r="F1326" s="1235"/>
      <c r="G1326" s="1235"/>
      <c r="H1326" s="1235" t="str">
        <f>H1300</f>
        <v>Say</v>
      </c>
      <c r="I1326" s="1231">
        <f>SUM(I1325+K1307)</f>
        <v>85.85</v>
      </c>
      <c r="J1326" s="1246" t="str">
        <f>J1300</f>
        <v>Sqm</v>
      </c>
    </row>
    <row r="1327" spans="1:11" ht="24.95" customHeight="1">
      <c r="A1327" s="1258">
        <v>378.2</v>
      </c>
      <c r="B1327" s="1233" t="s">
        <v>5783</v>
      </c>
      <c r="C1327" s="1234"/>
      <c r="D1327" s="1234"/>
      <c r="E1327" s="1234"/>
      <c r="F1327" s="1235"/>
      <c r="G1327" s="1235"/>
      <c r="H1327" s="1231"/>
      <c r="I1327" s="1231"/>
      <c r="J1327" s="1236"/>
    </row>
    <row r="1328" spans="1:11" ht="24.95" customHeight="1">
      <c r="A1328" s="1237"/>
      <c r="B1328" s="1247" t="s">
        <v>5941</v>
      </c>
      <c r="C1328" s="1234"/>
      <c r="D1328" s="1234"/>
      <c r="E1328" s="1234"/>
      <c r="F1328" s="1248"/>
      <c r="G1328" s="1248"/>
      <c r="H1328" s="1248"/>
      <c r="I1328" s="1248"/>
      <c r="J1328" s="1236"/>
    </row>
    <row r="1329" spans="1:11" ht="24.95" customHeight="1">
      <c r="A1329" s="1237"/>
      <c r="B1329" s="1247" t="s">
        <v>5636</v>
      </c>
      <c r="C1329" s="1234">
        <v>1</v>
      </c>
      <c r="D1329" s="1234" t="s">
        <v>5404</v>
      </c>
      <c r="E1329" s="1234">
        <v>1</v>
      </c>
      <c r="F1329" s="1313">
        <v>4.5</v>
      </c>
      <c r="G1329" s="1313">
        <v>3.3</v>
      </c>
      <c r="H1329" s="1313"/>
      <c r="I1329" s="1313">
        <f t="shared" ref="I1329:I1336" si="77">G1329*F1329*E1329*C1329</f>
        <v>14.85</v>
      </c>
      <c r="J1329" s="1236"/>
      <c r="K1329" s="1230">
        <v>0.06</v>
      </c>
    </row>
    <row r="1330" spans="1:11" ht="24.95" customHeight="1">
      <c r="A1330" s="1237"/>
      <c r="B1330" s="1247" t="s">
        <v>5637</v>
      </c>
      <c r="C1330" s="1234">
        <v>1</v>
      </c>
      <c r="D1330" s="1234" t="s">
        <v>5404</v>
      </c>
      <c r="E1330" s="1234">
        <v>1</v>
      </c>
      <c r="F1330" s="1313">
        <v>3.3</v>
      </c>
      <c r="G1330" s="1313">
        <v>3.3</v>
      </c>
      <c r="H1330" s="1313"/>
      <c r="I1330" s="1313">
        <f t="shared" si="77"/>
        <v>10.89</v>
      </c>
      <c r="J1330" s="1236"/>
    </row>
    <row r="1331" spans="1:11" ht="24.95" customHeight="1">
      <c r="A1331" s="1237"/>
      <c r="B1331" s="1247" t="s">
        <v>5638</v>
      </c>
      <c r="C1331" s="1234">
        <v>1</v>
      </c>
      <c r="D1331" s="1234" t="s">
        <v>5404</v>
      </c>
      <c r="E1331" s="1234">
        <v>1</v>
      </c>
      <c r="F1331" s="1313">
        <v>3.6</v>
      </c>
      <c r="G1331" s="1313">
        <v>2</v>
      </c>
      <c r="H1331" s="1313"/>
      <c r="I1331" s="1313">
        <f t="shared" si="77"/>
        <v>7.2</v>
      </c>
      <c r="J1331" s="1236"/>
    </row>
    <row r="1332" spans="1:11" ht="24.95" customHeight="1">
      <c r="A1332" s="1237"/>
      <c r="B1332" s="1247" t="s">
        <v>5639</v>
      </c>
      <c r="C1332" s="1234">
        <v>1</v>
      </c>
      <c r="D1332" s="1234" t="s">
        <v>5404</v>
      </c>
      <c r="E1332" s="1234">
        <v>1</v>
      </c>
      <c r="F1332" s="1313">
        <v>6</v>
      </c>
      <c r="G1332" s="1313">
        <v>6</v>
      </c>
      <c r="H1332" s="1313"/>
      <c r="I1332" s="1313">
        <f t="shared" si="77"/>
        <v>36</v>
      </c>
      <c r="J1332" s="1236"/>
    </row>
    <row r="1333" spans="1:11" ht="24.95" customHeight="1">
      <c r="A1333" s="1237"/>
      <c r="B1333" s="1247" t="s">
        <v>5926</v>
      </c>
      <c r="C1333" s="1234">
        <v>1</v>
      </c>
      <c r="D1333" s="1234" t="s">
        <v>5404</v>
      </c>
      <c r="E1333" s="1234">
        <v>1</v>
      </c>
      <c r="F1333" s="1313">
        <v>3.6</v>
      </c>
      <c r="G1333" s="1313">
        <v>7.55</v>
      </c>
      <c r="H1333" s="1313"/>
      <c r="I1333" s="1313">
        <f t="shared" si="77"/>
        <v>27.18</v>
      </c>
      <c r="J1333" s="1236"/>
    </row>
    <row r="1334" spans="1:11" ht="24.95" customHeight="1">
      <c r="A1334" s="1237"/>
      <c r="B1334" s="1247" t="s">
        <v>5611</v>
      </c>
      <c r="C1334" s="1234">
        <v>1</v>
      </c>
      <c r="D1334" s="1234" t="s">
        <v>5404</v>
      </c>
      <c r="E1334" s="1234">
        <v>1</v>
      </c>
      <c r="F1334" s="1313">
        <v>1.8</v>
      </c>
      <c r="G1334" s="1313">
        <v>14.04</v>
      </c>
      <c r="H1334" s="1313"/>
      <c r="I1334" s="1313">
        <f t="shared" si="77"/>
        <v>25.27</v>
      </c>
      <c r="J1334" s="1236"/>
    </row>
    <row r="1335" spans="1:11" ht="34.9" customHeight="1">
      <c r="A1335" s="1237"/>
      <c r="B1335" s="1247" t="s">
        <v>5786</v>
      </c>
      <c r="C1335" s="1234">
        <v>1</v>
      </c>
      <c r="D1335" s="1234" t="s">
        <v>5404</v>
      </c>
      <c r="E1335" s="1234">
        <v>1</v>
      </c>
      <c r="F1335" s="1313">
        <v>5.03</v>
      </c>
      <c r="G1335" s="1313">
        <v>2</v>
      </c>
      <c r="H1335" s="1313"/>
      <c r="I1335" s="1313">
        <f t="shared" si="77"/>
        <v>10.06</v>
      </c>
      <c r="J1335" s="1236"/>
    </row>
    <row r="1336" spans="1:11" ht="34.9" customHeight="1">
      <c r="A1336" s="1237"/>
      <c r="B1336" s="1247" t="s">
        <v>5640</v>
      </c>
      <c r="C1336" s="1234">
        <v>1</v>
      </c>
      <c r="D1336" s="1234" t="s">
        <v>5404</v>
      </c>
      <c r="E1336" s="1234">
        <v>1</v>
      </c>
      <c r="F1336" s="1313">
        <v>1.2</v>
      </c>
      <c r="G1336" s="1313">
        <v>2</v>
      </c>
      <c r="H1336" s="1313"/>
      <c r="I1336" s="1313">
        <f t="shared" si="77"/>
        <v>2.4</v>
      </c>
      <c r="J1336" s="1236"/>
    </row>
    <row r="1337" spans="1:11" ht="24.95" customHeight="1">
      <c r="A1337" s="1237"/>
      <c r="B1337" s="1247" t="s">
        <v>5942</v>
      </c>
      <c r="C1337" s="1234">
        <v>1</v>
      </c>
      <c r="D1337" s="1234" t="s">
        <v>5404</v>
      </c>
      <c r="E1337" s="1234">
        <v>7</v>
      </c>
      <c r="F1337" s="1248">
        <v>1</v>
      </c>
      <c r="G1337" s="1248">
        <v>0.23</v>
      </c>
      <c r="H1337" s="1248"/>
      <c r="I1337" s="1248">
        <f t="shared" ref="I1337:I1348" si="78">PRODUCT(C1337:H1337)</f>
        <v>1.61</v>
      </c>
      <c r="J1337" s="1236"/>
    </row>
    <row r="1338" spans="1:11" ht="24.95" customHeight="1">
      <c r="A1338" s="1237"/>
      <c r="B1338" s="1247" t="s">
        <v>5784</v>
      </c>
      <c r="C1338" s="1234">
        <v>1</v>
      </c>
      <c r="D1338" s="1234" t="s">
        <v>5404</v>
      </c>
      <c r="E1338" s="1234">
        <v>1</v>
      </c>
      <c r="F1338" s="1248">
        <v>150</v>
      </c>
      <c r="G1338" s="1248"/>
      <c r="H1338" s="1248">
        <v>0.1</v>
      </c>
      <c r="I1338" s="1248">
        <f t="shared" si="78"/>
        <v>15</v>
      </c>
      <c r="J1338" s="1236"/>
    </row>
    <row r="1339" spans="1:11" ht="24.95" customHeight="1">
      <c r="A1339" s="1237"/>
      <c r="B1339" s="1233" t="s">
        <v>5943</v>
      </c>
      <c r="C1339" s="1234"/>
      <c r="D1339" s="1234"/>
      <c r="E1339" s="1234"/>
      <c r="F1339" s="1248"/>
      <c r="G1339" s="1248"/>
      <c r="H1339" s="1248"/>
      <c r="I1339" s="1248"/>
      <c r="J1339" s="1236"/>
    </row>
    <row r="1340" spans="1:11" ht="24.95" customHeight="1">
      <c r="A1340" s="1237"/>
      <c r="B1340" s="1247" t="s">
        <v>5553</v>
      </c>
      <c r="C1340" s="1234">
        <v>1</v>
      </c>
      <c r="D1340" s="1234" t="s">
        <v>5404</v>
      </c>
      <c r="E1340" s="1234">
        <v>1</v>
      </c>
      <c r="F1340" s="1313">
        <v>3.6</v>
      </c>
      <c r="G1340" s="1313">
        <v>6.17</v>
      </c>
      <c r="H1340" s="1248"/>
      <c r="I1340" s="1248">
        <f t="shared" si="78"/>
        <v>22.21</v>
      </c>
      <c r="J1340" s="1236"/>
    </row>
    <row r="1341" spans="1:11" ht="24.95" customHeight="1">
      <c r="A1341" s="1237"/>
      <c r="B1341" s="1247" t="s">
        <v>5650</v>
      </c>
      <c r="C1341" s="1234">
        <v>1</v>
      </c>
      <c r="D1341" s="1234" t="s">
        <v>5404</v>
      </c>
      <c r="E1341" s="1234">
        <v>1</v>
      </c>
      <c r="F1341" s="1313">
        <v>3.35</v>
      </c>
      <c r="G1341" s="1313">
        <v>1.2</v>
      </c>
      <c r="H1341" s="1248"/>
      <c r="I1341" s="1248">
        <f t="shared" si="78"/>
        <v>4.0199999999999996</v>
      </c>
      <c r="J1341" s="1236"/>
    </row>
    <row r="1342" spans="1:11" ht="24.95" customHeight="1">
      <c r="A1342" s="1237"/>
      <c r="B1342" s="1247" t="s">
        <v>5651</v>
      </c>
      <c r="C1342" s="1234">
        <v>1</v>
      </c>
      <c r="D1342" s="1234" t="s">
        <v>5404</v>
      </c>
      <c r="E1342" s="1234">
        <v>1</v>
      </c>
      <c r="F1342" s="1313">
        <v>3.6</v>
      </c>
      <c r="G1342" s="1313">
        <v>2.75</v>
      </c>
      <c r="H1342" s="1248"/>
      <c r="I1342" s="1248">
        <f t="shared" si="78"/>
        <v>9.9</v>
      </c>
      <c r="J1342" s="1236"/>
    </row>
    <row r="1343" spans="1:11" ht="24.95" customHeight="1">
      <c r="A1343" s="1237"/>
      <c r="B1343" s="1247" t="s">
        <v>5616</v>
      </c>
      <c r="C1343" s="1234">
        <v>1</v>
      </c>
      <c r="D1343" s="1234" t="s">
        <v>5404</v>
      </c>
      <c r="E1343" s="1234">
        <v>1</v>
      </c>
      <c r="F1343" s="1313">
        <v>8.0299999999999994</v>
      </c>
      <c r="G1343" s="1313">
        <v>3.3</v>
      </c>
      <c r="H1343" s="1248"/>
      <c r="I1343" s="1248">
        <f t="shared" si="78"/>
        <v>26.5</v>
      </c>
      <c r="J1343" s="1236"/>
    </row>
    <row r="1344" spans="1:11" ht="24.95" customHeight="1">
      <c r="A1344" s="1237"/>
      <c r="B1344" s="1247"/>
      <c r="C1344" s="1234">
        <v>1</v>
      </c>
      <c r="D1344" s="1234" t="s">
        <v>5404</v>
      </c>
      <c r="E1344" s="1234">
        <v>1</v>
      </c>
      <c r="F1344" s="1313">
        <v>1.8</v>
      </c>
      <c r="G1344" s="1313">
        <v>1.1499999999999999</v>
      </c>
      <c r="H1344" s="1248"/>
      <c r="I1344" s="1248">
        <f t="shared" si="78"/>
        <v>2.0699999999999998</v>
      </c>
      <c r="J1344" s="1236"/>
    </row>
    <row r="1345" spans="1:11" ht="24.95" customHeight="1">
      <c r="A1345" s="1237"/>
      <c r="B1345" s="1247" t="s">
        <v>5922</v>
      </c>
      <c r="C1345" s="1234">
        <v>1</v>
      </c>
      <c r="D1345" s="1234" t="s">
        <v>5404</v>
      </c>
      <c r="E1345" s="1234">
        <v>1</v>
      </c>
      <c r="F1345" s="1313">
        <v>12.77</v>
      </c>
      <c r="G1345" s="1313">
        <v>1.8</v>
      </c>
      <c r="H1345" s="1248"/>
      <c r="I1345" s="1248">
        <f t="shared" si="78"/>
        <v>22.99</v>
      </c>
      <c r="J1345" s="1236"/>
    </row>
    <row r="1346" spans="1:11" ht="24.95" customHeight="1">
      <c r="A1346" s="1237"/>
      <c r="B1346" s="1247" t="s">
        <v>5552</v>
      </c>
      <c r="C1346" s="1234">
        <v>1</v>
      </c>
      <c r="D1346" s="1234" t="s">
        <v>5404</v>
      </c>
      <c r="E1346" s="1234">
        <v>1</v>
      </c>
      <c r="F1346" s="1313">
        <v>6</v>
      </c>
      <c r="G1346" s="1313">
        <v>6</v>
      </c>
      <c r="H1346" s="1248"/>
      <c r="I1346" s="1248">
        <f t="shared" si="78"/>
        <v>36</v>
      </c>
      <c r="J1346" s="1236"/>
    </row>
    <row r="1347" spans="1:11" ht="24.95" customHeight="1">
      <c r="A1347" s="1237"/>
      <c r="B1347" s="1247" t="s">
        <v>5554</v>
      </c>
      <c r="C1347" s="1234">
        <v>1</v>
      </c>
      <c r="D1347" s="1234" t="s">
        <v>5404</v>
      </c>
      <c r="E1347" s="1234">
        <v>1</v>
      </c>
      <c r="F1347" s="1313">
        <v>6</v>
      </c>
      <c r="G1347" s="1313">
        <v>10.36</v>
      </c>
      <c r="H1347" s="1248"/>
      <c r="I1347" s="1248">
        <f t="shared" si="78"/>
        <v>62.16</v>
      </c>
      <c r="J1347" s="1236"/>
    </row>
    <row r="1348" spans="1:11" ht="24.95" customHeight="1">
      <c r="A1348" s="1237"/>
      <c r="B1348" s="1247" t="s">
        <v>5784</v>
      </c>
      <c r="C1348" s="1234">
        <v>1</v>
      </c>
      <c r="D1348" s="1234" t="s">
        <v>5404</v>
      </c>
      <c r="E1348" s="1234">
        <v>1</v>
      </c>
      <c r="F1348" s="1248">
        <v>150</v>
      </c>
      <c r="G1348" s="1248"/>
      <c r="H1348" s="1248">
        <v>0.1</v>
      </c>
      <c r="I1348" s="1248">
        <f t="shared" si="78"/>
        <v>15</v>
      </c>
      <c r="J1348" s="1236"/>
    </row>
    <row r="1349" spans="1:11" ht="24.95" customHeight="1">
      <c r="A1349" s="1237"/>
      <c r="B1349" s="1247"/>
      <c r="C1349" s="1234"/>
      <c r="D1349" s="1234"/>
      <c r="E1349" s="1234"/>
      <c r="F1349" s="1248"/>
      <c r="G1349" s="1248"/>
      <c r="H1349" s="1249"/>
      <c r="I1349" s="1249">
        <f>SUM(I1328:I1348)</f>
        <v>351.31</v>
      </c>
      <c r="J1349" s="1246"/>
    </row>
    <row r="1350" spans="1:11" ht="24.95" customHeight="1">
      <c r="A1350" s="1237"/>
      <c r="B1350" s="1247"/>
      <c r="C1350" s="1234"/>
      <c r="D1350" s="1234"/>
      <c r="E1350" s="1234"/>
      <c r="F1350" s="1248"/>
      <c r="G1350" s="1248"/>
      <c r="H1350" s="1249" t="s">
        <v>4322</v>
      </c>
      <c r="I1350" s="1249">
        <f>ROUNDUP(I1349,1-0)</f>
        <v>351.4</v>
      </c>
      <c r="J1350" s="1246" t="s">
        <v>2308</v>
      </c>
      <c r="K1350" s="1230">
        <v>0.01</v>
      </c>
    </row>
    <row r="1351" spans="1:11" ht="24.95" customHeight="1">
      <c r="A1351" s="1237"/>
      <c r="B1351" s="1247"/>
      <c r="C1351" s="1234"/>
      <c r="D1351" s="1234"/>
      <c r="E1351" s="1234"/>
      <c r="F1351" s="1248"/>
      <c r="G1351" s="1248"/>
      <c r="H1351" s="1249"/>
      <c r="I1351" s="1249"/>
      <c r="J1351" s="1246"/>
    </row>
    <row r="1352" spans="1:11" ht="43.15" customHeight="1">
      <c r="A1352" s="1258" t="s">
        <v>5789</v>
      </c>
      <c r="B1352" s="1233" t="s">
        <v>5790</v>
      </c>
      <c r="C1352" s="1234"/>
      <c r="D1352" s="1234"/>
      <c r="E1352" s="1234"/>
      <c r="F1352" s="1235"/>
      <c r="G1352" s="1235"/>
      <c r="H1352" s="1235"/>
      <c r="I1352" s="1235"/>
      <c r="J1352" s="1236"/>
    </row>
    <row r="1353" spans="1:11" ht="24.95" customHeight="1">
      <c r="A1353" s="1258"/>
      <c r="B1353" s="1233" t="s">
        <v>5562</v>
      </c>
      <c r="C1353" s="1234"/>
      <c r="D1353" s="1234"/>
      <c r="E1353" s="1234"/>
      <c r="F1353" s="1313"/>
      <c r="G1353" s="1313"/>
      <c r="H1353" s="1313"/>
      <c r="I1353" s="1313"/>
      <c r="J1353" s="1236"/>
    </row>
    <row r="1354" spans="1:11" ht="24.95" customHeight="1">
      <c r="A1354" s="1232"/>
      <c r="B1354" s="1247" t="s">
        <v>5912</v>
      </c>
      <c r="C1354" s="1234">
        <v>1</v>
      </c>
      <c r="D1354" s="1234" t="s">
        <v>5404</v>
      </c>
      <c r="E1354" s="1234">
        <v>1</v>
      </c>
      <c r="F1354" s="1248">
        <v>10.51</v>
      </c>
      <c r="G1354" s="1313"/>
      <c r="H1354" s="1313">
        <v>1.5</v>
      </c>
      <c r="I1354" s="1248">
        <f t="shared" ref="I1354:I1361" si="79">PRODUCT(C1354:H1354)</f>
        <v>15.77</v>
      </c>
      <c r="J1354" s="1236"/>
    </row>
    <row r="1355" spans="1:11" ht="45.75" customHeight="1">
      <c r="A1355" s="1232"/>
      <c r="B1355" s="1247" t="s">
        <v>5913</v>
      </c>
      <c r="C1355" s="1234">
        <v>1</v>
      </c>
      <c r="D1355" s="1234" t="s">
        <v>5404</v>
      </c>
      <c r="E1355" s="1234">
        <v>1</v>
      </c>
      <c r="F1355" s="1248">
        <v>5.7</v>
      </c>
      <c r="G1355" s="1313"/>
      <c r="H1355" s="1313">
        <v>1.5</v>
      </c>
      <c r="I1355" s="1248">
        <f t="shared" si="79"/>
        <v>8.5500000000000007</v>
      </c>
      <c r="J1355" s="1236"/>
    </row>
    <row r="1356" spans="1:11" ht="24.95" customHeight="1">
      <c r="A1356" s="1232"/>
      <c r="B1356" s="1247" t="s">
        <v>5614</v>
      </c>
      <c r="C1356" s="1234">
        <v>1</v>
      </c>
      <c r="D1356" s="1234" t="s">
        <v>5404</v>
      </c>
      <c r="E1356" s="1234">
        <v>1</v>
      </c>
      <c r="F1356" s="1248">
        <v>6.16</v>
      </c>
      <c r="G1356" s="1313"/>
      <c r="H1356" s="1313">
        <v>1.5</v>
      </c>
      <c r="I1356" s="1248">
        <f t="shared" si="79"/>
        <v>9.24</v>
      </c>
      <c r="J1356" s="1236"/>
    </row>
    <row r="1357" spans="1:11" ht="24.95" customHeight="1">
      <c r="A1357" s="1232"/>
      <c r="B1357" s="1247" t="s">
        <v>5914</v>
      </c>
      <c r="C1357" s="1234">
        <v>1</v>
      </c>
      <c r="D1357" s="1234" t="s">
        <v>5404</v>
      </c>
      <c r="E1357" s="1234">
        <v>1</v>
      </c>
      <c r="F1357" s="1248">
        <v>9.82</v>
      </c>
      <c r="G1357" s="1313"/>
      <c r="H1357" s="1313">
        <v>1.5</v>
      </c>
      <c r="I1357" s="1248">
        <f t="shared" si="79"/>
        <v>14.73</v>
      </c>
      <c r="J1357" s="1236"/>
    </row>
    <row r="1358" spans="1:11" s="1257" customFormat="1" ht="54.75" customHeight="1">
      <c r="A1358" s="1232"/>
      <c r="B1358" s="1247" t="s">
        <v>5791</v>
      </c>
      <c r="C1358" s="1234">
        <v>1</v>
      </c>
      <c r="D1358" s="1234" t="s">
        <v>5404</v>
      </c>
      <c r="E1358" s="1234">
        <v>2</v>
      </c>
      <c r="F1358" s="1248">
        <v>6</v>
      </c>
      <c r="G1358" s="1313"/>
      <c r="H1358" s="1313">
        <v>1.5</v>
      </c>
      <c r="I1358" s="1248">
        <f t="shared" si="79"/>
        <v>18</v>
      </c>
      <c r="J1358" s="1236"/>
    </row>
    <row r="1359" spans="1:11" s="1257" customFormat="1" ht="28.5" customHeight="1">
      <c r="A1359" s="1232"/>
      <c r="B1359" s="1247" t="s">
        <v>5915</v>
      </c>
      <c r="C1359" s="1234">
        <v>1</v>
      </c>
      <c r="D1359" s="1234" t="s">
        <v>5404</v>
      </c>
      <c r="E1359" s="1234">
        <v>2</v>
      </c>
      <c r="F1359" s="1248">
        <v>5.7</v>
      </c>
      <c r="G1359" s="1313"/>
      <c r="H1359" s="1313">
        <v>1.5</v>
      </c>
      <c r="I1359" s="1248">
        <f t="shared" si="79"/>
        <v>17.100000000000001</v>
      </c>
      <c r="J1359" s="1236"/>
    </row>
    <row r="1360" spans="1:11" s="1257" customFormat="1" ht="28.5" customHeight="1">
      <c r="A1360" s="1232"/>
      <c r="B1360" s="1233" t="s">
        <v>5566</v>
      </c>
      <c r="C1360" s="1234"/>
      <c r="D1360" s="1234"/>
      <c r="E1360" s="1234"/>
      <c r="F1360" s="1313"/>
      <c r="G1360" s="1313"/>
      <c r="H1360" s="1313"/>
      <c r="I1360" s="1248">
        <f t="shared" si="79"/>
        <v>0</v>
      </c>
      <c r="J1360" s="1236"/>
    </row>
    <row r="1361" spans="1:10" s="1257" customFormat="1" ht="61.5" customHeight="1">
      <c r="A1361" s="1232"/>
      <c r="B1361" s="1247" t="s">
        <v>5912</v>
      </c>
      <c r="C1361" s="1234">
        <v>1</v>
      </c>
      <c r="D1361" s="1234" t="s">
        <v>5404</v>
      </c>
      <c r="E1361" s="1234">
        <v>1</v>
      </c>
      <c r="F1361" s="1248">
        <v>5.56</v>
      </c>
      <c r="G1361" s="1313"/>
      <c r="H1361" s="1313">
        <v>1.5</v>
      </c>
      <c r="I1361" s="1248">
        <f t="shared" si="79"/>
        <v>8.34</v>
      </c>
      <c r="J1361" s="1236"/>
    </row>
    <row r="1362" spans="1:10" s="1257" customFormat="1" ht="28.5" customHeight="1">
      <c r="A1362" s="1237"/>
      <c r="B1362" s="1247" t="s">
        <v>5452</v>
      </c>
      <c r="C1362" s="1234">
        <v>1</v>
      </c>
      <c r="D1362" s="1234" t="s">
        <v>5404</v>
      </c>
      <c r="E1362" s="1234">
        <v>1</v>
      </c>
      <c r="F1362" s="1248">
        <v>6.16</v>
      </c>
      <c r="G1362" s="1248"/>
      <c r="H1362" s="1313">
        <v>1.5</v>
      </c>
      <c r="I1362" s="1248">
        <f>H1362*F1362*E1362*C1362</f>
        <v>9.24</v>
      </c>
      <c r="J1362" s="1236"/>
    </row>
    <row r="1363" spans="1:10" s="1257" customFormat="1" ht="28.5" customHeight="1">
      <c r="A1363" s="1237"/>
      <c r="B1363" s="1247" t="s">
        <v>5613</v>
      </c>
      <c r="C1363" s="1234">
        <v>1</v>
      </c>
      <c r="D1363" s="1234" t="s">
        <v>5404</v>
      </c>
      <c r="E1363" s="1234">
        <v>1</v>
      </c>
      <c r="F1363" s="1248">
        <v>12.98</v>
      </c>
      <c r="G1363" s="1248"/>
      <c r="H1363" s="1313">
        <v>1.5</v>
      </c>
      <c r="I1363" s="1248">
        <f t="shared" ref="I1363:I1365" si="80">PRODUCT(C1363:H1363)</f>
        <v>19.47</v>
      </c>
      <c r="J1363" s="1236"/>
    </row>
    <row r="1364" spans="1:10" s="1257" customFormat="1" ht="28.5" customHeight="1">
      <c r="A1364" s="1237"/>
      <c r="B1364" s="1247" t="s">
        <v>5918</v>
      </c>
      <c r="C1364" s="1234">
        <v>1</v>
      </c>
      <c r="D1364" s="1234" t="s">
        <v>5404</v>
      </c>
      <c r="E1364" s="1234">
        <v>2</v>
      </c>
      <c r="F1364" s="1248">
        <v>6</v>
      </c>
      <c r="G1364" s="1248"/>
      <c r="H1364" s="1313">
        <v>1.5</v>
      </c>
      <c r="I1364" s="1248">
        <f t="shared" si="80"/>
        <v>18</v>
      </c>
      <c r="J1364" s="1236"/>
    </row>
    <row r="1365" spans="1:10" s="1257" customFormat="1" ht="24.95" customHeight="1">
      <c r="A1365" s="1237"/>
      <c r="B1365" s="1247" t="s">
        <v>5919</v>
      </c>
      <c r="C1365" s="1234">
        <v>1</v>
      </c>
      <c r="D1365" s="1234" t="s">
        <v>5404</v>
      </c>
      <c r="E1365" s="1234">
        <v>3</v>
      </c>
      <c r="F1365" s="1248">
        <v>5.7</v>
      </c>
      <c r="G1365" s="1248"/>
      <c r="H1365" s="1313">
        <v>1.5</v>
      </c>
      <c r="I1365" s="1248">
        <f t="shared" si="80"/>
        <v>25.65</v>
      </c>
      <c r="J1365" s="1236"/>
    </row>
    <row r="1366" spans="1:10" s="1257" customFormat="1" ht="24.95" customHeight="1">
      <c r="A1366" s="1237"/>
      <c r="B1366" s="1247"/>
      <c r="C1366" s="1234"/>
      <c r="D1366" s="1234"/>
      <c r="E1366" s="1234"/>
      <c r="F1366" s="1248"/>
      <c r="G1366" s="1248"/>
      <c r="H1366" s="1248"/>
      <c r="I1366" s="1248">
        <f>SUM(I1354:I1365)</f>
        <v>164.09</v>
      </c>
      <c r="J1366" s="1236"/>
    </row>
    <row r="1367" spans="1:10" s="1257" customFormat="1" ht="24.95" customHeight="1">
      <c r="A1367" s="1237"/>
      <c r="B1367" s="1247"/>
      <c r="C1367" s="1234"/>
      <c r="D1367" s="1234"/>
      <c r="E1367" s="1234"/>
      <c r="F1367" s="1248"/>
      <c r="G1367" s="1248"/>
      <c r="H1367" s="1249" t="s">
        <v>4322</v>
      </c>
      <c r="I1367" s="1249">
        <f>ROUNDUP(I1366,1-0)</f>
        <v>164.1</v>
      </c>
      <c r="J1367" s="1246" t="s">
        <v>2308</v>
      </c>
    </row>
    <row r="1368" spans="1:10" ht="24.95" customHeight="1">
      <c r="A1368" s="1292" t="s">
        <v>5792</v>
      </c>
      <c r="B1368" s="1233" t="s">
        <v>5793</v>
      </c>
      <c r="C1368" s="1234"/>
      <c r="D1368" s="1234"/>
      <c r="E1368" s="1234"/>
      <c r="F1368" s="1235"/>
      <c r="G1368" s="1235"/>
      <c r="H1368" s="1235"/>
      <c r="I1368" s="1235"/>
      <c r="J1368" s="1246"/>
    </row>
    <row r="1369" spans="1:10" ht="24.95" customHeight="1">
      <c r="A1369" s="1292"/>
      <c r="B1369" s="1233" t="s">
        <v>5562</v>
      </c>
      <c r="C1369" s="1234"/>
      <c r="D1369" s="1234"/>
      <c r="E1369" s="1234"/>
      <c r="F1369" s="1313"/>
      <c r="G1369" s="1313"/>
      <c r="H1369" s="1313"/>
      <c r="I1369" s="1313"/>
      <c r="J1369" s="1246"/>
    </row>
    <row r="1370" spans="1:10" ht="24.95" customHeight="1">
      <c r="A1370" s="1237"/>
      <c r="B1370" s="1247" t="s">
        <v>5642</v>
      </c>
      <c r="C1370" s="1234">
        <v>1</v>
      </c>
      <c r="D1370" s="1234" t="s">
        <v>5404</v>
      </c>
      <c r="E1370" s="1234">
        <v>1</v>
      </c>
      <c r="F1370" s="1290">
        <v>3.7149999999999999</v>
      </c>
      <c r="G1370" s="1313">
        <v>5.94</v>
      </c>
      <c r="H1370" s="1313"/>
      <c r="I1370" s="1313">
        <f t="shared" ref="I1370:I1374" si="81">G1370*F1370*E1370*C1370</f>
        <v>22.07</v>
      </c>
      <c r="J1370" s="1236"/>
    </row>
    <row r="1371" spans="1:10" ht="24.95" customHeight="1">
      <c r="A1371" s="1237"/>
      <c r="B1371" s="1247" t="s">
        <v>5578</v>
      </c>
      <c r="C1371" s="1234">
        <v>1</v>
      </c>
      <c r="D1371" s="1234" t="s">
        <v>5404</v>
      </c>
      <c r="E1371" s="1234">
        <v>1</v>
      </c>
      <c r="F1371" s="1313">
        <v>1.65</v>
      </c>
      <c r="G1371" s="1313">
        <v>2.66</v>
      </c>
      <c r="H1371" s="1313"/>
      <c r="I1371" s="1313">
        <f t="shared" si="81"/>
        <v>4.3899999999999997</v>
      </c>
      <c r="J1371" s="1236"/>
    </row>
    <row r="1372" spans="1:10" ht="24.95" customHeight="1">
      <c r="A1372" s="1237"/>
      <c r="B1372" s="1247" t="s">
        <v>5566</v>
      </c>
      <c r="C1372" s="1234"/>
      <c r="D1372" s="1234"/>
      <c r="E1372" s="1234"/>
      <c r="F1372" s="1313"/>
      <c r="G1372" s="1313"/>
      <c r="H1372" s="1313"/>
      <c r="I1372" s="1313"/>
      <c r="J1372" s="1236"/>
    </row>
    <row r="1373" spans="1:10" ht="24.95" customHeight="1">
      <c r="A1373" s="1237"/>
      <c r="B1373" s="1247" t="s">
        <v>5642</v>
      </c>
      <c r="C1373" s="1234">
        <v>1</v>
      </c>
      <c r="D1373" s="1234" t="s">
        <v>5404</v>
      </c>
      <c r="E1373" s="1234">
        <v>1</v>
      </c>
      <c r="F1373" s="1290">
        <v>3.7149999999999999</v>
      </c>
      <c r="G1373" s="1313">
        <v>5.94</v>
      </c>
      <c r="H1373" s="1313"/>
      <c r="I1373" s="1313">
        <f t="shared" si="81"/>
        <v>22.07</v>
      </c>
      <c r="J1373" s="1236"/>
    </row>
    <row r="1374" spans="1:10" ht="32.25" customHeight="1">
      <c r="A1374" s="1237"/>
      <c r="B1374" s="1247" t="s">
        <v>5578</v>
      </c>
      <c r="C1374" s="1234">
        <v>1</v>
      </c>
      <c r="D1374" s="1234" t="s">
        <v>5404</v>
      </c>
      <c r="E1374" s="1234">
        <v>1</v>
      </c>
      <c r="F1374" s="1313">
        <v>1.65</v>
      </c>
      <c r="G1374" s="1313">
        <v>2.66</v>
      </c>
      <c r="H1374" s="1313"/>
      <c r="I1374" s="1313">
        <f t="shared" si="81"/>
        <v>4.3899999999999997</v>
      </c>
      <c r="J1374" s="1236"/>
    </row>
    <row r="1375" spans="1:10" ht="24.95" customHeight="1">
      <c r="A1375" s="1237"/>
      <c r="B1375" s="1247"/>
      <c r="C1375" s="1234"/>
      <c r="D1375" s="1234"/>
      <c r="E1375" s="1234"/>
      <c r="F1375" s="1248"/>
      <c r="G1375" s="1248"/>
      <c r="H1375" s="1248"/>
      <c r="I1375" s="1248">
        <f>SUM(I1370:I1374)</f>
        <v>52.92</v>
      </c>
      <c r="J1375" s="1236"/>
    </row>
    <row r="1376" spans="1:10" ht="24.95" customHeight="1">
      <c r="A1376" s="1237"/>
      <c r="B1376" s="1247"/>
      <c r="C1376" s="1234"/>
      <c r="D1376" s="1234"/>
      <c r="E1376" s="1234"/>
      <c r="F1376" s="1248"/>
      <c r="G1376" s="1248"/>
      <c r="H1376" s="1249" t="s">
        <v>4322</v>
      </c>
      <c r="I1376" s="1249">
        <f>ROUNDUP(I1375,1-0)</f>
        <v>53</v>
      </c>
      <c r="J1376" s="1246" t="s">
        <v>2308</v>
      </c>
    </row>
    <row r="1377" spans="1:10" ht="49.5" customHeight="1">
      <c r="A1377" s="1237">
        <v>38.6</v>
      </c>
      <c r="B1377" s="1233" t="s">
        <v>1724</v>
      </c>
      <c r="C1377" s="1234"/>
      <c r="D1377" s="1234"/>
      <c r="E1377" s="1234"/>
      <c r="F1377" s="1235"/>
      <c r="G1377" s="1235"/>
      <c r="H1377" s="1235"/>
      <c r="I1377" s="1235"/>
      <c r="J1377" s="1236"/>
    </row>
    <row r="1378" spans="1:10" ht="24.95" customHeight="1">
      <c r="A1378" s="1237"/>
      <c r="B1378" s="1247" t="s">
        <v>5794</v>
      </c>
      <c r="C1378" s="1234">
        <v>1</v>
      </c>
      <c r="D1378" s="1234"/>
      <c r="E1378" s="1234">
        <v>1</v>
      </c>
      <c r="F1378" s="1248">
        <f>I725</f>
        <v>1879</v>
      </c>
      <c r="G1378" s="1248"/>
      <c r="H1378" s="1248"/>
      <c r="I1378" s="1248">
        <f>PRODUCT(C1378:H1378)</f>
        <v>1879</v>
      </c>
      <c r="J1378" s="1236"/>
    </row>
    <row r="1379" spans="1:10" ht="24.95" customHeight="1">
      <c r="A1379" s="1237"/>
      <c r="B1379" s="1247"/>
      <c r="C1379" s="1234"/>
      <c r="D1379" s="1234"/>
      <c r="E1379" s="1234"/>
      <c r="F1379" s="1248"/>
      <c r="G1379" s="1248"/>
      <c r="H1379" s="1248"/>
      <c r="I1379" s="1248">
        <f>SUM(I1378)</f>
        <v>1879</v>
      </c>
      <c r="J1379" s="1236"/>
    </row>
    <row r="1380" spans="1:10" ht="24.95" customHeight="1">
      <c r="A1380" s="1237"/>
      <c r="B1380" s="1247"/>
      <c r="C1380" s="1234"/>
      <c r="D1380" s="1234"/>
      <c r="E1380" s="1234"/>
      <c r="F1380" s="1248"/>
      <c r="G1380" s="1248"/>
      <c r="H1380" s="1249" t="s">
        <v>4322</v>
      </c>
      <c r="I1380" s="1249">
        <f>ROUNDUP(I1379,1-0)</f>
        <v>1879</v>
      </c>
      <c r="J1380" s="1246" t="s">
        <v>2308</v>
      </c>
    </row>
    <row r="1381" spans="1:10" ht="24.95" customHeight="1">
      <c r="A1381" s="1237"/>
      <c r="B1381" s="1247" t="s">
        <v>6449</v>
      </c>
      <c r="C1381" s="1234"/>
      <c r="D1381" s="1234"/>
      <c r="E1381" s="1234"/>
      <c r="F1381" s="1248"/>
      <c r="G1381" s="1248"/>
      <c r="H1381" s="1249"/>
      <c r="I1381" s="1249"/>
      <c r="J1381" s="1246"/>
    </row>
    <row r="1382" spans="1:10" ht="24.95" customHeight="1">
      <c r="A1382" s="1237"/>
      <c r="B1382" s="1247" t="s">
        <v>5794</v>
      </c>
      <c r="C1382" s="1234">
        <v>1</v>
      </c>
      <c r="D1382" s="1234"/>
      <c r="E1382" s="1234">
        <v>1</v>
      </c>
      <c r="F1382" s="1248">
        <v>1879</v>
      </c>
      <c r="G1382" s="1248"/>
      <c r="H1382" s="1248"/>
      <c r="I1382" s="1248">
        <f>PRODUCT(C1382:H1382)</f>
        <v>1879</v>
      </c>
      <c r="J1382" s="1236"/>
    </row>
    <row r="1383" spans="1:10" ht="24.95" customHeight="1">
      <c r="A1383" s="1237"/>
      <c r="B1383" s="1247"/>
      <c r="C1383" s="1234"/>
      <c r="D1383" s="1234"/>
      <c r="E1383" s="1234"/>
      <c r="F1383" s="1248"/>
      <c r="G1383" s="1248"/>
      <c r="H1383" s="1248"/>
      <c r="I1383" s="1248">
        <f>SUM(I1382)</f>
        <v>1879</v>
      </c>
      <c r="J1383" s="1236"/>
    </row>
    <row r="1384" spans="1:10" ht="24.95" customHeight="1">
      <c r="A1384" s="1237"/>
      <c r="B1384" s="1247"/>
      <c r="C1384" s="1234"/>
      <c r="D1384" s="1234"/>
      <c r="E1384" s="1234"/>
      <c r="F1384" s="1248"/>
      <c r="G1384" s="1248"/>
      <c r="H1384" s="1249" t="s">
        <v>4322</v>
      </c>
      <c r="I1384" s="1249">
        <f>ROUNDUP(I1383,1-0)</f>
        <v>1879</v>
      </c>
      <c r="J1384" s="1246" t="s">
        <v>2308</v>
      </c>
    </row>
    <row r="1385" spans="1:10" ht="24.95" customHeight="1">
      <c r="A1385" s="1237"/>
      <c r="B1385" s="1247"/>
      <c r="C1385" s="1234"/>
      <c r="D1385" s="1234"/>
      <c r="E1385" s="1234"/>
      <c r="F1385" s="1248"/>
      <c r="G1385" s="1248"/>
      <c r="H1385" s="1249"/>
      <c r="I1385" s="1249"/>
      <c r="J1385" s="1246"/>
    </row>
    <row r="1386" spans="1:10" ht="24.95" customHeight="1">
      <c r="A1386" s="1237">
        <v>796</v>
      </c>
      <c r="B1386" s="1247" t="s">
        <v>5795</v>
      </c>
      <c r="C1386" s="1234"/>
      <c r="D1386" s="1234"/>
      <c r="E1386" s="1234"/>
      <c r="F1386" s="1235"/>
      <c r="G1386" s="1235"/>
      <c r="H1386" s="1235"/>
      <c r="I1386" s="1235"/>
      <c r="J1386" s="1236"/>
    </row>
    <row r="1387" spans="1:10" ht="24.95" customHeight="1">
      <c r="A1387" s="1237"/>
      <c r="B1387" s="1247" t="s">
        <v>5796</v>
      </c>
      <c r="C1387" s="1234"/>
      <c r="D1387" s="1234"/>
      <c r="E1387" s="1234"/>
      <c r="F1387" s="1235"/>
      <c r="G1387" s="1235"/>
      <c r="H1387" s="1235"/>
      <c r="I1387" s="1231">
        <f>I728</f>
        <v>1147</v>
      </c>
      <c r="J1387" s="1246" t="s">
        <v>2308</v>
      </c>
    </row>
    <row r="1388" spans="1:10" ht="60.75" customHeight="1">
      <c r="A1388" s="1232" t="s">
        <v>5797</v>
      </c>
      <c r="B1388" s="1288" t="s">
        <v>5798</v>
      </c>
      <c r="C1388" s="1244"/>
      <c r="D1388" s="1244"/>
      <c r="E1388" s="1244"/>
      <c r="F1388" s="1289"/>
      <c r="G1388" s="1289"/>
      <c r="H1388" s="1289"/>
      <c r="I1388" s="1289"/>
      <c r="J1388" s="1266"/>
    </row>
    <row r="1389" spans="1:10" ht="24.95" customHeight="1">
      <c r="A1389" s="1232"/>
      <c r="B1389" s="1288" t="s">
        <v>5799</v>
      </c>
      <c r="C1389" s="1244"/>
      <c r="D1389" s="1244"/>
      <c r="E1389" s="1244"/>
      <c r="F1389" s="1289"/>
      <c r="G1389" s="1289"/>
      <c r="H1389" s="1289"/>
      <c r="I1389" s="1289">
        <f>I149</f>
        <v>87.4</v>
      </c>
      <c r="J1389" s="1266"/>
    </row>
    <row r="1390" spans="1:10" ht="24.95" customHeight="1">
      <c r="A1390" s="1232"/>
      <c r="B1390" s="1288" t="s">
        <v>5800</v>
      </c>
      <c r="C1390" s="1244"/>
      <c r="D1390" s="1244"/>
      <c r="E1390" s="1244"/>
      <c r="F1390" s="1289"/>
      <c r="G1390" s="1289"/>
      <c r="H1390" s="1289"/>
      <c r="I1390" s="1289">
        <f>I229</f>
        <v>67.2</v>
      </c>
      <c r="J1390" s="1266"/>
    </row>
    <row r="1391" spans="1:10" ht="60" customHeight="1">
      <c r="A1391" s="1232"/>
      <c r="B1391" s="1288" t="s">
        <v>5801</v>
      </c>
      <c r="C1391" s="1244"/>
      <c r="D1391" s="1244"/>
      <c r="E1391" s="1244"/>
      <c r="F1391" s="1289"/>
      <c r="G1391" s="1289"/>
      <c r="H1391" s="1289"/>
      <c r="I1391" s="1289">
        <f>I296</f>
        <v>113.6</v>
      </c>
      <c r="J1391" s="1266"/>
    </row>
    <row r="1392" spans="1:10" ht="24.95" customHeight="1">
      <c r="A1392" s="1232"/>
      <c r="B1392" s="1288"/>
      <c r="C1392" s="1244"/>
      <c r="D1392" s="1244"/>
      <c r="E1392" s="1244"/>
      <c r="F1392" s="1289"/>
      <c r="G1392" s="1289"/>
      <c r="H1392" s="1289"/>
      <c r="I1392" s="1289">
        <f>I306</f>
        <v>8</v>
      </c>
      <c r="J1392" s="1266"/>
    </row>
    <row r="1393" spans="1:10" ht="24.95" customHeight="1">
      <c r="A1393" s="1232"/>
      <c r="B1393" s="1288" t="s">
        <v>5802</v>
      </c>
      <c r="C1393" s="1244"/>
      <c r="D1393" s="1244"/>
      <c r="E1393" s="1244"/>
      <c r="F1393" s="1289"/>
      <c r="G1393" s="1289">
        <v>6.2</v>
      </c>
      <c r="H1393" s="1289">
        <v>0.04</v>
      </c>
      <c r="I1393" s="1289">
        <f>H1393*G1393</f>
        <v>0.25</v>
      </c>
      <c r="J1393" s="1266"/>
    </row>
    <row r="1394" spans="1:10" ht="24.95" customHeight="1">
      <c r="A1394" s="1232"/>
      <c r="B1394" s="1288"/>
      <c r="C1394" s="1244"/>
      <c r="D1394" s="1244"/>
      <c r="E1394" s="1244"/>
      <c r="F1394" s="1289"/>
      <c r="G1394" s="1289"/>
      <c r="H1394" s="1289"/>
      <c r="I1394" s="1298">
        <f>SUM(I1389:I1393)</f>
        <v>276.45</v>
      </c>
      <c r="J1394" s="1266"/>
    </row>
    <row r="1395" spans="1:10" ht="24.95" customHeight="1">
      <c r="A1395" s="1232"/>
      <c r="B1395" s="1254"/>
      <c r="C1395" s="1244"/>
      <c r="D1395" s="1244"/>
      <c r="E1395" s="1244"/>
      <c r="F1395" s="1289">
        <f>I1394</f>
        <v>276.45</v>
      </c>
      <c r="G1395" s="1289">
        <v>120</v>
      </c>
      <c r="H1395" s="1289"/>
      <c r="I1395" s="1299">
        <f>G1395*F1395</f>
        <v>33174</v>
      </c>
      <c r="J1395" s="1256"/>
    </row>
    <row r="1396" spans="1:10" ht="32.25" customHeight="1">
      <c r="A1396" s="1232"/>
      <c r="B1396" s="1254"/>
      <c r="C1396" s="1244"/>
      <c r="D1396" s="1244"/>
      <c r="E1396" s="1244"/>
      <c r="F1396" s="1289"/>
      <c r="G1396" s="1289"/>
      <c r="H1396" s="1289"/>
      <c r="I1396" s="1300">
        <f>I1395/1000</f>
        <v>33.173999999999999</v>
      </c>
      <c r="J1396" s="1256" t="s">
        <v>870</v>
      </c>
    </row>
    <row r="1397" spans="1:10" ht="24.95" customHeight="1">
      <c r="A1397" s="1232"/>
      <c r="B1397" s="1254"/>
      <c r="C1397" s="1244"/>
      <c r="D1397" s="1244"/>
      <c r="E1397" s="1244"/>
      <c r="F1397" s="1289"/>
      <c r="G1397" s="1289"/>
      <c r="H1397" s="1289"/>
      <c r="I1397" s="1300"/>
      <c r="J1397" s="1256"/>
    </row>
    <row r="1398" spans="1:10" ht="24.95" customHeight="1">
      <c r="A1398" s="1258" t="s">
        <v>5803</v>
      </c>
      <c r="B1398" s="1233" t="s">
        <v>5804</v>
      </c>
      <c r="C1398" s="1234"/>
      <c r="D1398" s="1234"/>
      <c r="E1398" s="1234"/>
      <c r="F1398" s="1235"/>
      <c r="G1398" s="1235"/>
      <c r="H1398" s="1235"/>
      <c r="I1398" s="1235"/>
      <c r="J1398" s="1236"/>
    </row>
    <row r="1399" spans="1:10" ht="24.95" customHeight="1">
      <c r="A1399" s="1237"/>
      <c r="B1399" s="1247" t="s">
        <v>5805</v>
      </c>
      <c r="C1399" s="1234">
        <v>1</v>
      </c>
      <c r="D1399" s="1234"/>
      <c r="E1399" s="1234">
        <v>6</v>
      </c>
      <c r="F1399" s="1248">
        <v>8</v>
      </c>
      <c r="G1399" s="1248"/>
      <c r="H1399" s="1248"/>
      <c r="I1399" s="1248">
        <f>PRODUCT(C1399:H1399)</f>
        <v>48</v>
      </c>
      <c r="J1399" s="1236"/>
    </row>
    <row r="1400" spans="1:10" ht="24.95" customHeight="1">
      <c r="A1400" s="1237"/>
      <c r="B1400" s="1247" t="s">
        <v>5806</v>
      </c>
      <c r="C1400" s="1234">
        <v>1</v>
      </c>
      <c r="D1400" s="1234"/>
      <c r="E1400" s="1234">
        <v>6</v>
      </c>
      <c r="F1400" s="1248">
        <v>4.3</v>
      </c>
      <c r="G1400" s="1248"/>
      <c r="H1400" s="1248"/>
      <c r="I1400" s="1248">
        <f>PRODUCT(C1400:H1400)</f>
        <v>25.8</v>
      </c>
      <c r="J1400" s="1236"/>
    </row>
    <row r="1401" spans="1:10" ht="24.95" customHeight="1">
      <c r="A1401" s="1237"/>
      <c r="B1401" s="1247"/>
      <c r="C1401" s="1234"/>
      <c r="D1401" s="1234"/>
      <c r="E1401" s="1234"/>
      <c r="F1401" s="1248"/>
      <c r="G1401" s="1248"/>
      <c r="H1401" s="1248"/>
      <c r="I1401" s="1248">
        <f>SUM(I1399:I1400)</f>
        <v>73.8</v>
      </c>
      <c r="J1401" s="1236"/>
    </row>
    <row r="1402" spans="1:10" ht="24.95" customHeight="1">
      <c r="A1402" s="1237"/>
      <c r="B1402" s="1263"/>
      <c r="C1402" s="1234"/>
      <c r="D1402" s="1234"/>
      <c r="E1402" s="1234"/>
      <c r="F1402" s="1248"/>
      <c r="G1402" s="1248"/>
      <c r="H1402" s="1249" t="s">
        <v>4322</v>
      </c>
      <c r="I1402" s="1249">
        <f>ROUNDUP(I1401,1-0)</f>
        <v>73.8</v>
      </c>
      <c r="J1402" s="1246" t="s">
        <v>835</v>
      </c>
    </row>
    <row r="1403" spans="1:10" ht="24.95" customHeight="1">
      <c r="A1403" s="1237"/>
      <c r="B1403" s="1247"/>
      <c r="C1403" s="1234"/>
      <c r="D1403" s="1234"/>
      <c r="E1403" s="1234"/>
      <c r="F1403" s="1235"/>
      <c r="G1403" s="1235"/>
      <c r="H1403" s="1235"/>
      <c r="I1403" s="1235"/>
      <c r="J1403" s="1236"/>
    </row>
    <row r="1404" spans="1:10" ht="24.95" customHeight="1">
      <c r="A1404" s="1258">
        <v>53.5</v>
      </c>
      <c r="B1404" s="1233" t="s">
        <v>5807</v>
      </c>
      <c r="C1404" s="1234"/>
      <c r="D1404" s="1234"/>
      <c r="E1404" s="1234"/>
      <c r="F1404" s="1235"/>
      <c r="G1404" s="1235"/>
      <c r="H1404" s="1235"/>
      <c r="I1404" s="1235"/>
      <c r="J1404" s="1236"/>
    </row>
    <row r="1405" spans="1:10" ht="24.95" customHeight="1">
      <c r="A1405" s="1237"/>
      <c r="B1405" s="1247" t="s">
        <v>5808</v>
      </c>
      <c r="C1405" s="1234">
        <v>1</v>
      </c>
      <c r="D1405" s="1234"/>
      <c r="E1405" s="1234">
        <v>6</v>
      </c>
      <c r="F1405" s="1248"/>
      <c r="G1405" s="1248"/>
      <c r="H1405" s="1248"/>
      <c r="I1405" s="1249">
        <f>PRODUCT(C1405:H1405)</f>
        <v>6</v>
      </c>
      <c r="J1405" s="1246" t="s">
        <v>1418</v>
      </c>
    </row>
    <row r="1406" spans="1:10" ht="24.95" customHeight="1">
      <c r="A1406" s="1237"/>
      <c r="B1406" s="1247" t="s">
        <v>5809</v>
      </c>
      <c r="C1406" s="1234">
        <v>1</v>
      </c>
      <c r="D1406" s="1234"/>
      <c r="E1406" s="1234">
        <v>4</v>
      </c>
      <c r="F1406" s="1248"/>
      <c r="G1406" s="1248"/>
      <c r="H1406" s="1248"/>
      <c r="I1406" s="1249">
        <f>PRODUCT(C1406:H1406)</f>
        <v>4</v>
      </c>
      <c r="J1406" s="1246" t="s">
        <v>1418</v>
      </c>
    </row>
    <row r="1407" spans="1:10" ht="24.95" customHeight="1">
      <c r="A1407" s="1237"/>
      <c r="B1407" s="1247"/>
      <c r="C1407" s="1234"/>
      <c r="D1407" s="1234"/>
      <c r="E1407" s="1234"/>
      <c r="F1407" s="1248"/>
      <c r="G1407" s="1248"/>
      <c r="H1407" s="1248"/>
      <c r="I1407" s="1249">
        <f>SUM(I1405:I1406)</f>
        <v>10</v>
      </c>
      <c r="J1407" s="1246"/>
    </row>
    <row r="1408" spans="1:10" ht="24.95" customHeight="1">
      <c r="A1408" s="1237"/>
      <c r="B1408" s="1247"/>
      <c r="C1408" s="1234"/>
      <c r="D1408" s="1234"/>
      <c r="E1408" s="1234"/>
      <c r="F1408" s="1248"/>
      <c r="G1408" s="1248"/>
      <c r="H1408" s="1248"/>
      <c r="I1408" s="1249"/>
      <c r="J1408" s="1246"/>
    </row>
    <row r="1409" spans="1:10" ht="24.95" customHeight="1">
      <c r="A1409" s="1258">
        <v>58.3</v>
      </c>
      <c r="B1409" s="1233" t="s">
        <v>5810</v>
      </c>
      <c r="C1409" s="1234"/>
      <c r="D1409" s="1234"/>
      <c r="E1409" s="1234"/>
      <c r="F1409" s="1248"/>
      <c r="G1409" s="1248"/>
      <c r="H1409" s="1248"/>
      <c r="I1409" s="1248"/>
      <c r="J1409" s="1246"/>
    </row>
    <row r="1410" spans="1:10" ht="24.95" customHeight="1">
      <c r="A1410" s="1237"/>
      <c r="B1410" s="1233" t="s">
        <v>5811</v>
      </c>
      <c r="C1410" s="1234">
        <v>1</v>
      </c>
      <c r="D1410" s="1234"/>
      <c r="E1410" s="1234">
        <v>3</v>
      </c>
      <c r="F1410" s="1248">
        <v>8</v>
      </c>
      <c r="G1410" s="1248"/>
      <c r="H1410" s="1248"/>
      <c r="I1410" s="1249">
        <f>PRODUCT(C1410:H1410)</f>
        <v>24</v>
      </c>
      <c r="J1410" s="1246" t="s">
        <v>835</v>
      </c>
    </row>
    <row r="1411" spans="1:10" ht="24.95" customHeight="1">
      <c r="A1411" s="1237"/>
      <c r="B1411" s="1233" t="s">
        <v>5812</v>
      </c>
      <c r="C1411" s="1234"/>
      <c r="D1411" s="1234"/>
      <c r="E1411" s="1234"/>
      <c r="F1411" s="1235"/>
      <c r="G1411" s="1235"/>
      <c r="H1411" s="1235"/>
      <c r="I1411" s="1235"/>
      <c r="J1411" s="1246"/>
    </row>
    <row r="1412" spans="1:10" ht="24.95" customHeight="1">
      <c r="A1412" s="1237"/>
      <c r="B1412" s="1247" t="s">
        <v>5813</v>
      </c>
      <c r="C1412" s="1234">
        <v>1</v>
      </c>
      <c r="D1412" s="1234"/>
      <c r="E1412" s="1234">
        <v>3</v>
      </c>
      <c r="F1412" s="1248">
        <v>9</v>
      </c>
      <c r="G1412" s="1248"/>
      <c r="H1412" s="1248"/>
      <c r="I1412" s="1248">
        <f>PRODUCT(C1412:H1412)</f>
        <v>27</v>
      </c>
      <c r="J1412" s="1236"/>
    </row>
    <row r="1413" spans="1:10" ht="24.95" customHeight="1">
      <c r="A1413" s="1237"/>
      <c r="B1413" s="1247" t="s">
        <v>5814</v>
      </c>
      <c r="C1413" s="1234">
        <v>1</v>
      </c>
      <c r="D1413" s="1234"/>
      <c r="E1413" s="1234">
        <v>4</v>
      </c>
      <c r="F1413" s="1248">
        <v>13.1</v>
      </c>
      <c r="G1413" s="1248"/>
      <c r="H1413" s="1248"/>
      <c r="I1413" s="1248">
        <f>PRODUCT(C1413:H1413)</f>
        <v>52.4</v>
      </c>
      <c r="J1413" s="1236"/>
    </row>
    <row r="1414" spans="1:10" ht="24.95" customHeight="1">
      <c r="A1414" s="1237"/>
      <c r="B1414" s="1247"/>
      <c r="C1414" s="1234"/>
      <c r="D1414" s="1234"/>
      <c r="E1414" s="1234"/>
      <c r="F1414" s="1248"/>
      <c r="G1414" s="1248"/>
      <c r="H1414" s="1248"/>
      <c r="I1414" s="1248">
        <f>SUM(I1412:I1413)</f>
        <v>79.400000000000006</v>
      </c>
      <c r="J1414" s="1236"/>
    </row>
    <row r="1415" spans="1:10" ht="24.95" customHeight="1">
      <c r="A1415" s="1237"/>
      <c r="B1415" s="1247"/>
      <c r="C1415" s="1234"/>
      <c r="D1415" s="1234"/>
      <c r="E1415" s="1234"/>
      <c r="F1415" s="1248"/>
      <c r="G1415" s="1248"/>
      <c r="H1415" s="1249" t="s">
        <v>4322</v>
      </c>
      <c r="I1415" s="1249">
        <f>ROUNDUP(I1414,1-0)</f>
        <v>79.400000000000006</v>
      </c>
      <c r="J1415" s="1246" t="s">
        <v>835</v>
      </c>
    </row>
    <row r="1416" spans="1:10" ht="56.25" customHeight="1">
      <c r="A1416" s="1258">
        <v>58.4</v>
      </c>
      <c r="B1416" s="1233" t="s">
        <v>5815</v>
      </c>
      <c r="C1416" s="1234"/>
      <c r="D1416" s="1234"/>
      <c r="E1416" s="1234"/>
      <c r="F1416" s="1248"/>
      <c r="G1416" s="1248"/>
      <c r="H1416" s="1248"/>
      <c r="I1416" s="1248"/>
      <c r="J1416" s="1246"/>
    </row>
    <row r="1417" spans="1:10" ht="38.25" customHeight="1">
      <c r="A1417" s="1237"/>
      <c r="B1417" s="1247" t="s">
        <v>5816</v>
      </c>
      <c r="C1417" s="1234">
        <v>1</v>
      </c>
      <c r="D1417" s="1234"/>
      <c r="E1417" s="1234">
        <v>4</v>
      </c>
      <c r="F1417" s="1248">
        <v>7</v>
      </c>
      <c r="G1417" s="1248"/>
      <c r="H1417" s="1248"/>
      <c r="I1417" s="1249">
        <f>PRODUCT(C1417:H1417)</f>
        <v>28</v>
      </c>
      <c r="J1417" s="1246" t="s">
        <v>835</v>
      </c>
    </row>
    <row r="1418" spans="1:10" ht="24.95" customHeight="1">
      <c r="A1418" s="1237"/>
      <c r="B1418" s="1247"/>
      <c r="C1418" s="1234"/>
      <c r="D1418" s="1234"/>
      <c r="E1418" s="1234"/>
      <c r="F1418" s="1235"/>
      <c r="G1418" s="1235"/>
      <c r="H1418" s="1235"/>
      <c r="I1418" s="1235"/>
      <c r="J1418" s="1236"/>
    </row>
    <row r="1419" spans="1:10" ht="24.95" customHeight="1">
      <c r="A1419" s="1350"/>
      <c r="B1419" s="1351" t="s">
        <v>5870</v>
      </c>
      <c r="C1419" s="1283"/>
      <c r="D1419" s="1283"/>
      <c r="E1419" s="1283"/>
      <c r="F1419" s="1352"/>
      <c r="G1419" s="1352"/>
      <c r="H1419" s="1352"/>
      <c r="I1419" s="1352"/>
      <c r="J1419" s="1353"/>
    </row>
    <row r="1420" spans="1:10" ht="24.95" customHeight="1">
      <c r="A1420" s="1354"/>
      <c r="B1420" s="1355" t="s">
        <v>5871</v>
      </c>
      <c r="C1420" s="1356">
        <v>1</v>
      </c>
      <c r="D1420" s="1342" t="s">
        <v>5404</v>
      </c>
      <c r="E1420" s="1356">
        <v>1</v>
      </c>
      <c r="F1420" s="1357">
        <v>3.6</v>
      </c>
      <c r="G1420" s="1357">
        <v>2.75</v>
      </c>
      <c r="H1420" s="1357"/>
      <c r="I1420" s="1357">
        <f t="shared" ref="I1420:I1426" si="82">PRODUCT(C1420:H1420)</f>
        <v>9.9</v>
      </c>
      <c r="J1420" s="1353"/>
    </row>
    <row r="1421" spans="1:10" ht="24.95" customHeight="1">
      <c r="A1421" s="1354"/>
      <c r="B1421" s="1355" t="s">
        <v>5872</v>
      </c>
      <c r="C1421" s="1356">
        <v>1</v>
      </c>
      <c r="D1421" s="1342" t="s">
        <v>5404</v>
      </c>
      <c r="E1421" s="1356">
        <v>21</v>
      </c>
      <c r="F1421" s="1357">
        <v>1.5</v>
      </c>
      <c r="G1421" s="1357"/>
      <c r="H1421" s="1357">
        <v>0.45</v>
      </c>
      <c r="I1421" s="1357">
        <f t="shared" si="82"/>
        <v>14.18</v>
      </c>
      <c r="J1421" s="1353"/>
    </row>
    <row r="1422" spans="1:10" ht="24.95" customHeight="1">
      <c r="A1422" s="1354"/>
      <c r="B1422" s="1355" t="s">
        <v>5583</v>
      </c>
      <c r="C1422" s="1356">
        <v>1</v>
      </c>
      <c r="D1422" s="1342" t="s">
        <v>5404</v>
      </c>
      <c r="E1422" s="1356">
        <v>1</v>
      </c>
      <c r="F1422" s="1357">
        <v>3.6</v>
      </c>
      <c r="G1422" s="1357">
        <v>1.5</v>
      </c>
      <c r="H1422" s="1357"/>
      <c r="I1422" s="1357">
        <f t="shared" si="82"/>
        <v>5.4</v>
      </c>
      <c r="J1422" s="1353"/>
    </row>
    <row r="1423" spans="1:10" ht="24.95" customHeight="1">
      <c r="A1423" s="1354"/>
      <c r="B1423" s="1355" t="s">
        <v>5873</v>
      </c>
      <c r="C1423" s="1356">
        <v>1</v>
      </c>
      <c r="D1423" s="1342" t="s">
        <v>5404</v>
      </c>
      <c r="E1423" s="1356">
        <v>21</v>
      </c>
      <c r="F1423" s="1357">
        <v>1.5</v>
      </c>
      <c r="G1423" s="1357"/>
      <c r="H1423" s="1357">
        <v>0.45</v>
      </c>
      <c r="I1423" s="1357">
        <f t="shared" si="82"/>
        <v>14.18</v>
      </c>
      <c r="J1423" s="1353"/>
    </row>
    <row r="1424" spans="1:10" ht="24.95" customHeight="1">
      <c r="A1424" s="1354"/>
      <c r="B1424" s="1355" t="s">
        <v>5583</v>
      </c>
      <c r="C1424" s="1356">
        <v>1</v>
      </c>
      <c r="D1424" s="1342" t="s">
        <v>5404</v>
      </c>
      <c r="E1424" s="1356">
        <v>1</v>
      </c>
      <c r="F1424" s="1357">
        <v>3.6</v>
      </c>
      <c r="G1424" s="1357">
        <v>1.5</v>
      </c>
      <c r="H1424" s="1357"/>
      <c r="I1424" s="1357">
        <f t="shared" si="82"/>
        <v>5.4</v>
      </c>
      <c r="J1424" s="1353"/>
    </row>
    <row r="1425" spans="1:10" ht="24.95" customHeight="1">
      <c r="A1425" s="1354"/>
      <c r="B1425" s="1358" t="s">
        <v>5874</v>
      </c>
      <c r="C1425" s="1359">
        <v>1</v>
      </c>
      <c r="D1425" s="1360" t="s">
        <v>5404</v>
      </c>
      <c r="E1425" s="1359">
        <v>1</v>
      </c>
      <c r="F1425" s="1361">
        <v>3.6</v>
      </c>
      <c r="G1425" s="1361">
        <v>2.75</v>
      </c>
      <c r="H1425" s="1361"/>
      <c r="I1425" s="1357">
        <f t="shared" si="82"/>
        <v>9.9</v>
      </c>
      <c r="J1425" s="1353"/>
    </row>
    <row r="1426" spans="1:10" ht="24.95" customHeight="1">
      <c r="A1426" s="1354"/>
      <c r="B1426" s="1358" t="s">
        <v>5608</v>
      </c>
      <c r="C1426" s="1359">
        <v>1</v>
      </c>
      <c r="D1426" s="1360" t="s">
        <v>5404</v>
      </c>
      <c r="E1426" s="1359">
        <v>1</v>
      </c>
      <c r="F1426" s="1361">
        <v>3.6</v>
      </c>
      <c r="G1426" s="1361">
        <v>5</v>
      </c>
      <c r="H1426" s="1361"/>
      <c r="I1426" s="1357">
        <f t="shared" si="82"/>
        <v>18</v>
      </c>
      <c r="J1426" s="1353"/>
    </row>
    <row r="1427" spans="1:10" ht="24.95" customHeight="1">
      <c r="A1427" s="1354"/>
      <c r="B1427" s="1362"/>
      <c r="C1427" s="1359"/>
      <c r="D1427" s="1360"/>
      <c r="E1427" s="1359"/>
      <c r="F1427" s="1361"/>
      <c r="G1427" s="1361"/>
      <c r="H1427" s="1361"/>
      <c r="I1427" s="1363">
        <f>+SUM(I1420:I1426)</f>
        <v>76.959999999999994</v>
      </c>
      <c r="J1427" s="1353"/>
    </row>
    <row r="1428" spans="1:10" ht="24.95" customHeight="1">
      <c r="A1428" s="1350"/>
      <c r="B1428" s="1364"/>
      <c r="C1428" s="1283"/>
      <c r="D1428" s="1283"/>
      <c r="E1428" s="1283"/>
      <c r="F1428" s="1352"/>
      <c r="G1428" s="1352"/>
      <c r="H1428" s="1365" t="s">
        <v>5423</v>
      </c>
      <c r="I1428" s="1366">
        <f>ROUNDUP(I1427,1-0)</f>
        <v>77</v>
      </c>
      <c r="J1428" s="1353" t="s">
        <v>236</v>
      </c>
    </row>
    <row r="1429" spans="1:10" ht="24.95" customHeight="1">
      <c r="A1429" s="1237"/>
      <c r="B1429" s="1247"/>
      <c r="C1429" s="1234"/>
      <c r="D1429" s="1234"/>
      <c r="E1429" s="1234"/>
      <c r="F1429" s="1235"/>
      <c r="G1429" s="1235"/>
      <c r="H1429" s="1248"/>
      <c r="I1429" s="1248"/>
      <c r="J1429" s="1236"/>
    </row>
    <row r="1430" spans="1:10" ht="51.75" customHeight="1">
      <c r="A1430" s="1258" t="s">
        <v>5841</v>
      </c>
      <c r="B1430" s="1233" t="s">
        <v>5842</v>
      </c>
      <c r="C1430" s="1234"/>
      <c r="D1430" s="1234"/>
      <c r="E1430" s="1234"/>
      <c r="F1430" s="1235"/>
      <c r="G1430" s="1235"/>
      <c r="H1430" s="1235"/>
      <c r="I1430" s="1235"/>
      <c r="J1430" s="1246"/>
    </row>
    <row r="1431" spans="1:10" ht="24.95" customHeight="1">
      <c r="A1431" s="1237"/>
      <c r="B1431" s="1233" t="s">
        <v>916</v>
      </c>
      <c r="C1431" s="1234"/>
      <c r="D1431" s="1234"/>
      <c r="E1431" s="1234"/>
      <c r="F1431" s="1235"/>
      <c r="G1431" s="1235"/>
      <c r="H1431" s="1235"/>
      <c r="I1431" s="1235"/>
      <c r="J1431" s="1236"/>
    </row>
    <row r="1432" spans="1:10" ht="24.95" customHeight="1">
      <c r="A1432" s="1237"/>
      <c r="B1432" s="1233" t="s">
        <v>5727</v>
      </c>
      <c r="C1432" s="1234">
        <v>1</v>
      </c>
      <c r="D1432" s="1234"/>
      <c r="E1432" s="1234">
        <v>1</v>
      </c>
      <c r="F1432" s="1235"/>
      <c r="G1432" s="1235"/>
      <c r="H1432" s="1235"/>
      <c r="I1432" s="1235">
        <v>1</v>
      </c>
      <c r="J1432" s="1236"/>
    </row>
    <row r="1433" spans="1:10" ht="24.95" customHeight="1">
      <c r="A1433" s="1237"/>
      <c r="B1433" s="1233" t="s">
        <v>5419</v>
      </c>
      <c r="C1433" s="1234">
        <v>1</v>
      </c>
      <c r="D1433" s="1234"/>
      <c r="E1433" s="1234">
        <v>2</v>
      </c>
      <c r="F1433" s="1235"/>
      <c r="G1433" s="1235"/>
      <c r="H1433" s="1235"/>
      <c r="I1433" s="1235">
        <v>2</v>
      </c>
      <c r="J1433" s="1236"/>
    </row>
    <row r="1434" spans="1:10" ht="24.95" customHeight="1">
      <c r="A1434" s="1237"/>
      <c r="B1434" s="1233" t="s">
        <v>5540</v>
      </c>
      <c r="C1434" s="1234">
        <v>1</v>
      </c>
      <c r="D1434" s="1234"/>
      <c r="E1434" s="1234">
        <v>2</v>
      </c>
      <c r="F1434" s="1235"/>
      <c r="G1434" s="1235"/>
      <c r="H1434" s="1235"/>
      <c r="I1434" s="1235">
        <v>2</v>
      </c>
      <c r="J1434" s="1236"/>
    </row>
    <row r="1435" spans="1:10" ht="24.95" customHeight="1">
      <c r="A1435" s="1237"/>
      <c r="B1435" s="1233" t="s">
        <v>5540</v>
      </c>
      <c r="C1435" s="1234">
        <v>1</v>
      </c>
      <c r="D1435" s="1234"/>
      <c r="E1435" s="1234">
        <v>1</v>
      </c>
      <c r="F1435" s="1235"/>
      <c r="G1435" s="1235"/>
      <c r="H1435" s="1235"/>
      <c r="I1435" s="1235">
        <v>1</v>
      </c>
      <c r="J1435" s="1236"/>
    </row>
    <row r="1436" spans="1:10" ht="24.95" customHeight="1">
      <c r="A1436" s="1237"/>
      <c r="B1436" s="1233" t="s">
        <v>5728</v>
      </c>
      <c r="C1436" s="1234">
        <v>1</v>
      </c>
      <c r="D1436" s="1234"/>
      <c r="E1436" s="1234">
        <v>1</v>
      </c>
      <c r="F1436" s="1235"/>
      <c r="G1436" s="1235"/>
      <c r="H1436" s="1235"/>
      <c r="I1436" s="1235">
        <v>1</v>
      </c>
      <c r="J1436" s="1236"/>
    </row>
    <row r="1437" spans="1:10" ht="24.95" customHeight="1">
      <c r="A1437" s="1237"/>
      <c r="B1437" s="1233" t="s">
        <v>5729</v>
      </c>
      <c r="C1437" s="1234">
        <v>1</v>
      </c>
      <c r="D1437" s="1234"/>
      <c r="E1437" s="1234">
        <v>1</v>
      </c>
      <c r="F1437" s="1235"/>
      <c r="G1437" s="1235"/>
      <c r="H1437" s="1235"/>
      <c r="I1437" s="1235">
        <v>1</v>
      </c>
      <c r="J1437" s="1236"/>
    </row>
    <row r="1438" spans="1:10" ht="24.95" customHeight="1">
      <c r="A1438" s="1237"/>
      <c r="B1438" s="1233" t="s">
        <v>5616</v>
      </c>
      <c r="C1438" s="1234">
        <v>1</v>
      </c>
      <c r="D1438" s="1234"/>
      <c r="E1438" s="1234">
        <v>1</v>
      </c>
      <c r="F1438" s="1235"/>
      <c r="G1438" s="1235"/>
      <c r="H1438" s="1235"/>
      <c r="I1438" s="1235">
        <v>1</v>
      </c>
      <c r="J1438" s="1236"/>
    </row>
    <row r="1439" spans="1:10" ht="24.95" customHeight="1">
      <c r="A1439" s="1237"/>
      <c r="B1439" s="1233" t="s">
        <v>5728</v>
      </c>
      <c r="C1439" s="1234">
        <v>1</v>
      </c>
      <c r="D1439" s="1234"/>
      <c r="E1439" s="1234">
        <v>1</v>
      </c>
      <c r="F1439" s="1235"/>
      <c r="G1439" s="1235"/>
      <c r="H1439" s="1235"/>
      <c r="I1439" s="1235">
        <v>1</v>
      </c>
      <c r="J1439" s="1236"/>
    </row>
    <row r="1440" spans="1:10" ht="39.75" customHeight="1">
      <c r="A1440" s="1237"/>
      <c r="B1440" s="1233" t="s">
        <v>5730</v>
      </c>
      <c r="C1440" s="1234">
        <v>3</v>
      </c>
      <c r="D1440" s="1234"/>
      <c r="E1440" s="1234">
        <v>2</v>
      </c>
      <c r="F1440" s="1235"/>
      <c r="G1440" s="1235"/>
      <c r="H1440" s="1235"/>
      <c r="I1440" s="1235">
        <v>6</v>
      </c>
      <c r="J1440" s="1236"/>
    </row>
    <row r="1441" spans="1:10" ht="24.95" customHeight="1">
      <c r="A1441" s="1237"/>
      <c r="B1441" s="1233"/>
      <c r="C1441" s="1234"/>
      <c r="D1441" s="1234"/>
      <c r="E1441" s="1234"/>
      <c r="F1441" s="1235"/>
      <c r="G1441" s="1235"/>
      <c r="H1441" s="1235" t="s">
        <v>5423</v>
      </c>
      <c r="I1441" s="1235">
        <f>SUM(I1432:I1440)</f>
        <v>16</v>
      </c>
      <c r="J1441" s="1236" t="s">
        <v>1739</v>
      </c>
    </row>
    <row r="1442" spans="1:10" ht="70.5" customHeight="1">
      <c r="A1442" s="1258">
        <v>77.7</v>
      </c>
      <c r="B1442" s="1233" t="s">
        <v>3616</v>
      </c>
      <c r="C1442" s="1234">
        <v>1</v>
      </c>
      <c r="D1442" s="1234"/>
      <c r="E1442" s="1234">
        <v>1</v>
      </c>
      <c r="F1442" s="1248">
        <v>50</v>
      </c>
      <c r="G1442" s="1248"/>
      <c r="H1442" s="1248"/>
      <c r="I1442" s="1249">
        <f>PRODUCT(C1442:H1442)</f>
        <v>50</v>
      </c>
      <c r="J1442" s="1246" t="s">
        <v>835</v>
      </c>
    </row>
    <row r="1443" spans="1:10" ht="24.95" customHeight="1">
      <c r="A1443" s="1232"/>
      <c r="B1443" s="1288"/>
      <c r="C1443" s="1244"/>
      <c r="D1443" s="1244"/>
      <c r="E1443" s="1244"/>
      <c r="F1443" s="1242"/>
      <c r="G1443" s="1242"/>
      <c r="H1443" s="1242"/>
      <c r="I1443" s="1249"/>
      <c r="J1443" s="1246"/>
    </row>
    <row r="1444" spans="1:10" ht="54.75" customHeight="1">
      <c r="A1444" s="1258" t="s">
        <v>5843</v>
      </c>
      <c r="B1444" s="1233" t="s">
        <v>5844</v>
      </c>
      <c r="C1444" s="1234"/>
      <c r="D1444" s="1234"/>
      <c r="E1444" s="1234"/>
      <c r="F1444" s="1248"/>
      <c r="G1444" s="1235"/>
      <c r="H1444" s="1235"/>
      <c r="I1444" s="1235"/>
      <c r="J1444" s="1236"/>
    </row>
    <row r="1445" spans="1:10" ht="24.95" customHeight="1">
      <c r="A1445" s="1237"/>
      <c r="B1445" s="1247" t="s">
        <v>5845</v>
      </c>
      <c r="C1445" s="1234">
        <v>1</v>
      </c>
      <c r="D1445" s="1234"/>
      <c r="E1445" s="1234">
        <v>4</v>
      </c>
      <c r="F1445" s="1248"/>
      <c r="G1445" s="1248"/>
      <c r="H1445" s="1249" t="s">
        <v>4322</v>
      </c>
      <c r="I1445" s="1249">
        <f>PRODUCT(C1445:H1445)</f>
        <v>4</v>
      </c>
      <c r="J1445" s="1246" t="s">
        <v>1452</v>
      </c>
    </row>
    <row r="1446" spans="1:10" ht="24.95" customHeight="1">
      <c r="A1446" s="1237"/>
      <c r="B1446" s="1247" t="s">
        <v>5846</v>
      </c>
      <c r="C1446" s="1234">
        <v>1</v>
      </c>
      <c r="D1446" s="1234"/>
      <c r="E1446" s="1234">
        <v>5</v>
      </c>
      <c r="F1446" s="1248">
        <v>3</v>
      </c>
      <c r="G1446" s="1248"/>
      <c r="H1446" s="1249" t="s">
        <v>4322</v>
      </c>
      <c r="I1446" s="1249">
        <f>PRODUCT(C1446:H1446)</f>
        <v>15</v>
      </c>
      <c r="J1446" s="1246" t="s">
        <v>835</v>
      </c>
    </row>
    <row r="1447" spans="1:10" ht="24.95" customHeight="1">
      <c r="A1447" s="1232"/>
      <c r="B1447" s="1288"/>
      <c r="C1447" s="1244"/>
      <c r="D1447" s="1244"/>
      <c r="E1447" s="1244"/>
      <c r="F1447" s="1242"/>
      <c r="G1447" s="1242"/>
      <c r="H1447" s="1242"/>
      <c r="I1447" s="1249"/>
      <c r="J1447" s="1246"/>
    </row>
    <row r="1448" spans="1:10" ht="61.5" customHeight="1">
      <c r="A1448" s="1367"/>
      <c r="B1448" s="1338" t="str">
        <f>'main abst'!B147</f>
        <v>Providing Rain water Harvesting well ring of Circular shape of 90mm dia, 60cm depth using Standardised Mix design M20</v>
      </c>
      <c r="C1448" s="1283">
        <v>1</v>
      </c>
      <c r="D1448" s="1368"/>
      <c r="E1448" s="1283">
        <v>4</v>
      </c>
      <c r="F1448" s="1365"/>
      <c r="G1448" s="1368"/>
      <c r="H1448" s="1366" t="s">
        <v>4322</v>
      </c>
      <c r="I1448" s="1366">
        <f>PRODUCT(B1448:H1448)</f>
        <v>4</v>
      </c>
      <c r="J1448" s="1326" t="s">
        <v>1452</v>
      </c>
    </row>
    <row r="1449" spans="1:10" ht="24.95" customHeight="1">
      <c r="A1449" s="1232"/>
      <c r="B1449" s="1288"/>
      <c r="C1449" s="1244"/>
      <c r="D1449" s="1244"/>
      <c r="E1449" s="1244"/>
      <c r="F1449" s="1242"/>
      <c r="G1449" s="1242"/>
      <c r="H1449" s="1242"/>
      <c r="I1449" s="1249"/>
      <c r="J1449" s="1246"/>
    </row>
    <row r="1450" spans="1:10" ht="57" customHeight="1">
      <c r="A1450" s="1258">
        <v>344.2</v>
      </c>
      <c r="B1450" s="1233" t="s">
        <v>773</v>
      </c>
      <c r="C1450" s="1234">
        <v>4</v>
      </c>
      <c r="D1450" s="1234"/>
      <c r="E1450" s="1234">
        <v>2</v>
      </c>
      <c r="F1450" s="1248"/>
      <c r="G1450" s="1248"/>
      <c r="H1450" s="1249" t="s">
        <v>4322</v>
      </c>
      <c r="I1450" s="1249">
        <f>PRODUCT(C1450:H1450)</f>
        <v>8</v>
      </c>
      <c r="J1450" s="1246" t="s">
        <v>1452</v>
      </c>
    </row>
    <row r="1451" spans="1:10" ht="24.95" customHeight="1">
      <c r="A1451" s="1232"/>
      <c r="B1451" s="1288"/>
      <c r="C1451" s="1244"/>
      <c r="D1451" s="1244"/>
      <c r="E1451" s="1244"/>
      <c r="F1451" s="1242"/>
      <c r="G1451" s="1242"/>
      <c r="H1451" s="1242"/>
      <c r="I1451" s="1249"/>
      <c r="J1451" s="1246"/>
    </row>
    <row r="1452" spans="1:10" ht="24.95" customHeight="1">
      <c r="A1452" s="1369">
        <v>71.2</v>
      </c>
      <c r="B1452" s="1338" t="s">
        <v>5977</v>
      </c>
      <c r="C1452" s="1370">
        <v>1</v>
      </c>
      <c r="D1452" s="1370"/>
      <c r="E1452" s="1370">
        <v>2</v>
      </c>
      <c r="F1452" s="1371"/>
      <c r="G1452" s="1371"/>
      <c r="H1452" s="1366" t="s">
        <v>4322</v>
      </c>
      <c r="I1452" s="1366">
        <f>PRODUCT(C1452:H1452)</f>
        <v>2</v>
      </c>
      <c r="J1452" s="1326" t="s">
        <v>1452</v>
      </c>
    </row>
    <row r="1453" spans="1:10" ht="24.95" customHeight="1">
      <c r="A1453" s="1232"/>
      <c r="B1453" s="1288"/>
      <c r="C1453" s="1244"/>
      <c r="D1453" s="1244"/>
      <c r="E1453" s="1244"/>
      <c r="F1453" s="1242"/>
      <c r="G1453" s="1242"/>
      <c r="H1453" s="1242"/>
      <c r="I1453" s="1249"/>
      <c r="J1453" s="1246"/>
    </row>
    <row r="1454" spans="1:10" ht="24.95" customHeight="1">
      <c r="A1454" s="1232"/>
      <c r="B1454" s="1254" t="str">
        <f>'main abst'!B150</f>
        <v>3 Nos.of 32Amps - Fuse Unit</v>
      </c>
      <c r="C1454" s="1370">
        <v>1</v>
      </c>
      <c r="D1454" s="1370"/>
      <c r="E1454" s="1370">
        <v>2</v>
      </c>
      <c r="F1454" s="1371"/>
      <c r="G1454" s="1371"/>
      <c r="H1454" s="1366" t="s">
        <v>4322</v>
      </c>
      <c r="I1454" s="1366">
        <f>PRODUCT(C1454:H1454)</f>
        <v>2</v>
      </c>
      <c r="J1454" s="1326" t="s">
        <v>1452</v>
      </c>
    </row>
    <row r="1455" spans="1:10" ht="24.95" customHeight="1">
      <c r="A1455" s="1232"/>
      <c r="B1455" s="1254" t="str">
        <f>'main abst'!B151</f>
        <v>1 Nos.of 32Amps - Fuse Unit</v>
      </c>
      <c r="C1455" s="1370">
        <v>1</v>
      </c>
      <c r="D1455" s="1370"/>
      <c r="E1455" s="1370">
        <v>3</v>
      </c>
      <c r="F1455" s="1371"/>
      <c r="G1455" s="1371"/>
      <c r="H1455" s="1366" t="s">
        <v>4322</v>
      </c>
      <c r="I1455" s="1366">
        <f>PRODUCT(C1455:H1455)</f>
        <v>3</v>
      </c>
      <c r="J1455" s="1326" t="s">
        <v>1452</v>
      </c>
    </row>
    <row r="1456" spans="1:10" ht="24.95" customHeight="1">
      <c r="A1456" s="1232"/>
      <c r="B1456" s="1288"/>
      <c r="C1456" s="1244"/>
      <c r="D1456" s="1244"/>
      <c r="E1456" s="1244"/>
      <c r="F1456" s="1242"/>
      <c r="G1456" s="1242"/>
      <c r="H1456" s="1242"/>
      <c r="I1456" s="1249"/>
      <c r="J1456" s="1246"/>
    </row>
    <row r="1457" spans="1:10" ht="24.95" customHeight="1">
      <c r="A1457" s="1258">
        <v>448.2</v>
      </c>
      <c r="B1457" s="1297" t="s">
        <v>4356</v>
      </c>
      <c r="C1457" s="1234"/>
      <c r="D1457" s="1234"/>
      <c r="E1457" s="1234"/>
      <c r="F1457" s="1235"/>
      <c r="G1457" s="1235"/>
      <c r="H1457" s="1235"/>
      <c r="I1457" s="1235"/>
      <c r="J1457" s="1236"/>
    </row>
    <row r="1458" spans="1:10" ht="24.95" customHeight="1">
      <c r="A1458" s="1237"/>
      <c r="B1458" s="1247" t="s">
        <v>51</v>
      </c>
      <c r="C1458" s="1234">
        <v>4</v>
      </c>
      <c r="D1458" s="1234"/>
      <c r="E1458" s="1234">
        <v>2</v>
      </c>
      <c r="F1458" s="1235"/>
      <c r="G1458" s="1235"/>
      <c r="H1458" s="1235"/>
      <c r="I1458" s="1249">
        <f>PRODUCT(C1458:H1458)</f>
        <v>8</v>
      </c>
      <c r="J1458" s="1246" t="s">
        <v>1452</v>
      </c>
    </row>
    <row r="1459" spans="1:10" ht="24.95" customHeight="1">
      <c r="A1459" s="1302"/>
      <c r="B1459" s="1303"/>
      <c r="C1459" s="1234"/>
      <c r="D1459" s="1234"/>
      <c r="E1459" s="1234"/>
      <c r="F1459" s="1248"/>
      <c r="G1459" s="1248"/>
      <c r="H1459" s="1248"/>
      <c r="I1459" s="1249"/>
      <c r="J1459" s="1246"/>
    </row>
    <row r="1460" spans="1:10" ht="24.95" customHeight="1">
      <c r="A1460" s="1237">
        <v>367</v>
      </c>
      <c r="B1460" s="1233" t="s">
        <v>5849</v>
      </c>
      <c r="C1460" s="1234">
        <v>1</v>
      </c>
      <c r="D1460" s="1234" t="s">
        <v>5404</v>
      </c>
      <c r="E1460" s="1234">
        <v>1</v>
      </c>
      <c r="F1460" s="1248">
        <v>1.8</v>
      </c>
      <c r="G1460" s="1248">
        <v>2.25</v>
      </c>
      <c r="H1460" s="1248">
        <v>2.4</v>
      </c>
      <c r="I1460" s="1248">
        <f>PRODUCT(C1460:H1460)</f>
        <v>9.7200000000000006</v>
      </c>
      <c r="J1460" s="1230"/>
    </row>
    <row r="1461" spans="1:10" ht="24.95" customHeight="1">
      <c r="A1461" s="1237"/>
      <c r="B1461" s="1233" t="s">
        <v>5850</v>
      </c>
      <c r="C1461" s="1234">
        <v>1</v>
      </c>
      <c r="D1461" s="1234" t="s">
        <v>5404</v>
      </c>
      <c r="E1461" s="1234">
        <v>2</v>
      </c>
      <c r="F1461" s="1248">
        <v>1.2</v>
      </c>
      <c r="G1461" s="1248">
        <v>2.25</v>
      </c>
      <c r="H1461" s="1248">
        <v>2.4</v>
      </c>
      <c r="I1461" s="1248">
        <f>PRODUCT(C1461:H1461)</f>
        <v>12.96</v>
      </c>
      <c r="J1461" s="1246"/>
    </row>
    <row r="1462" spans="1:10" ht="24.95" customHeight="1">
      <c r="A1462" s="1237"/>
      <c r="B1462" s="1233"/>
      <c r="C1462" s="1234"/>
      <c r="D1462" s="1234"/>
      <c r="E1462" s="1234"/>
      <c r="F1462" s="1248"/>
      <c r="G1462" s="1248"/>
      <c r="H1462" s="1248"/>
      <c r="I1462" s="1248">
        <v>0.02</v>
      </c>
      <c r="J1462" s="1246"/>
    </row>
    <row r="1463" spans="1:10" ht="24.95" customHeight="1">
      <c r="A1463" s="1237"/>
      <c r="B1463" s="1233"/>
      <c r="C1463" s="1234"/>
      <c r="D1463" s="1234"/>
      <c r="E1463" s="1234"/>
      <c r="F1463" s="1248"/>
      <c r="G1463" s="1248"/>
      <c r="H1463" s="1248"/>
      <c r="I1463" s="1249">
        <f>SUM(I1460:I1462)</f>
        <v>22.7</v>
      </c>
      <c r="J1463" s="1246" t="s">
        <v>2308</v>
      </c>
    </row>
    <row r="1464" spans="1:10" ht="24.95" customHeight="1">
      <c r="A1464" s="1237"/>
      <c r="B1464" s="1247" t="s">
        <v>1104</v>
      </c>
      <c r="C1464" s="1234">
        <v>1</v>
      </c>
      <c r="D1464" s="1234" t="s">
        <v>5404</v>
      </c>
      <c r="E1464" s="1234">
        <v>5</v>
      </c>
      <c r="F1464" s="1235">
        <v>1</v>
      </c>
      <c r="G1464" s="1235"/>
      <c r="H1464" s="1235"/>
      <c r="I1464" s="1231">
        <v>5</v>
      </c>
      <c r="J1464" s="1246" t="s">
        <v>1452</v>
      </c>
    </row>
    <row r="1465" spans="1:10" ht="24.95" customHeight="1">
      <c r="A1465" s="1237"/>
      <c r="B1465" s="1247"/>
      <c r="C1465" s="1234"/>
      <c r="D1465" s="1234"/>
      <c r="E1465" s="1234"/>
      <c r="F1465" s="1313"/>
      <c r="G1465" s="1313"/>
      <c r="H1465" s="1313"/>
      <c r="I1465" s="1231"/>
      <c r="J1465" s="1246"/>
    </row>
    <row r="1466" spans="1:10" ht="24.95" customHeight="1">
      <c r="A1466" s="1258" t="s">
        <v>5851</v>
      </c>
      <c r="B1466" s="1233" t="s">
        <v>5852</v>
      </c>
      <c r="C1466" s="1234"/>
      <c r="D1466" s="1234"/>
      <c r="E1466" s="1234"/>
      <c r="F1466" s="1248"/>
      <c r="G1466" s="1248"/>
      <c r="H1466" s="1248"/>
      <c r="I1466" s="1248"/>
      <c r="J1466" s="1246"/>
    </row>
    <row r="1467" spans="1:10" ht="24.95" customHeight="1">
      <c r="A1467" s="1237"/>
      <c r="B1467" s="1247" t="s">
        <v>5853</v>
      </c>
      <c r="C1467" s="1234">
        <v>2</v>
      </c>
      <c r="D1467" s="1234"/>
      <c r="E1467" s="1234">
        <v>6</v>
      </c>
      <c r="F1467" s="1248"/>
      <c r="G1467" s="1248"/>
      <c r="H1467" s="1248"/>
      <c r="I1467" s="1249">
        <f>PRODUCT(C1467:H1467)</f>
        <v>12</v>
      </c>
      <c r="J1467" s="1246" t="s">
        <v>1452</v>
      </c>
    </row>
    <row r="1468" spans="1:10" ht="24.95" customHeight="1">
      <c r="A1468" s="1258" t="s">
        <v>5854</v>
      </c>
      <c r="B1468" s="1233" t="s">
        <v>5855</v>
      </c>
      <c r="C1468" s="1234"/>
      <c r="D1468" s="1234"/>
      <c r="E1468" s="1234"/>
      <c r="F1468" s="1248"/>
      <c r="G1468" s="1248"/>
      <c r="H1468" s="1248"/>
      <c r="I1468" s="1248"/>
      <c r="J1468" s="1246"/>
    </row>
    <row r="1469" spans="1:10" ht="24.95" customHeight="1">
      <c r="A1469" s="1237"/>
      <c r="B1469" s="1247" t="s">
        <v>5853</v>
      </c>
      <c r="C1469" s="1234">
        <v>2</v>
      </c>
      <c r="D1469" s="1234"/>
      <c r="E1469" s="1234">
        <v>6</v>
      </c>
      <c r="F1469" s="1248"/>
      <c r="G1469" s="1248"/>
      <c r="H1469" s="1248"/>
      <c r="I1469" s="1249">
        <f>PRODUCT(C1469:H1469)</f>
        <v>12</v>
      </c>
      <c r="J1469" s="1246" t="s">
        <v>1452</v>
      </c>
    </row>
    <row r="1470" spans="1:10" ht="24.95" customHeight="1">
      <c r="A1470" s="1302"/>
      <c r="B1470" s="1303"/>
      <c r="C1470" s="1234"/>
      <c r="D1470" s="1234"/>
      <c r="E1470" s="1234"/>
      <c r="F1470" s="1248"/>
      <c r="G1470" s="1248"/>
      <c r="H1470" s="1248"/>
      <c r="I1470" s="1249"/>
      <c r="J1470" s="1246"/>
    </row>
    <row r="1471" spans="1:10" ht="24.95" customHeight="1">
      <c r="A1471" s="1258">
        <v>55.2</v>
      </c>
      <c r="B1471" s="1233" t="s">
        <v>5856</v>
      </c>
      <c r="C1471" s="1234">
        <v>2</v>
      </c>
      <c r="D1471" s="1234"/>
      <c r="E1471" s="1234">
        <v>2</v>
      </c>
      <c r="F1471" s="1248"/>
      <c r="G1471" s="1248"/>
      <c r="H1471" s="1248"/>
      <c r="I1471" s="1249">
        <f>PRODUCT(C1471:H1471)</f>
        <v>4</v>
      </c>
      <c r="J1471" s="1246" t="s">
        <v>1452</v>
      </c>
    </row>
    <row r="1472" spans="1:10" ht="24.95" customHeight="1">
      <c r="A1472" s="1302"/>
      <c r="B1472" s="1303"/>
      <c r="C1472" s="1234"/>
      <c r="D1472" s="1234"/>
      <c r="E1472" s="1234"/>
      <c r="F1472" s="1248"/>
      <c r="G1472" s="1248"/>
      <c r="H1472" s="1248"/>
      <c r="I1472" s="1249"/>
      <c r="J1472" s="1246"/>
    </row>
    <row r="1473" spans="1:10" ht="24.95" customHeight="1">
      <c r="A1473" s="1258" t="s">
        <v>5706</v>
      </c>
      <c r="B1473" s="1233" t="s">
        <v>5707</v>
      </c>
      <c r="C1473" s="1234"/>
      <c r="D1473" s="1234"/>
      <c r="E1473" s="1234"/>
      <c r="F1473" s="1235"/>
      <c r="G1473" s="1235"/>
      <c r="H1473" s="1235"/>
      <c r="I1473" s="1235"/>
      <c r="J1473" s="1236"/>
    </row>
    <row r="1474" spans="1:10" ht="24.95" customHeight="1">
      <c r="A1474" s="1237"/>
      <c r="B1474" s="1247" t="s">
        <v>5708</v>
      </c>
      <c r="C1474" s="1234"/>
      <c r="D1474" s="1234"/>
      <c r="E1474" s="1234"/>
      <c r="F1474" s="1235"/>
      <c r="G1474" s="1235"/>
      <c r="H1474" s="1235"/>
      <c r="I1474" s="1235"/>
      <c r="J1474" s="1236"/>
    </row>
    <row r="1475" spans="1:10" ht="24.95" customHeight="1">
      <c r="A1475" s="1237"/>
      <c r="B1475" s="1247" t="s">
        <v>5709</v>
      </c>
      <c r="C1475" s="1234">
        <v>1</v>
      </c>
      <c r="D1475" s="1234"/>
      <c r="E1475" s="1234">
        <v>1</v>
      </c>
      <c r="F1475" s="1248">
        <v>30</v>
      </c>
      <c r="G1475" s="1248"/>
      <c r="H1475" s="1248"/>
      <c r="I1475" s="1249">
        <f>PRODUCT(C1475:H1475)</f>
        <v>30</v>
      </c>
      <c r="J1475" s="1246" t="s">
        <v>835</v>
      </c>
    </row>
    <row r="1476" spans="1:10" ht="24.95" customHeight="1">
      <c r="A1476" s="1237"/>
      <c r="B1476" s="1233" t="s">
        <v>5710</v>
      </c>
      <c r="C1476" s="1234"/>
      <c r="D1476" s="1234"/>
      <c r="E1476" s="1234"/>
      <c r="F1476" s="1248"/>
      <c r="G1476" s="1248"/>
      <c r="H1476" s="1248"/>
      <c r="I1476" s="1249"/>
      <c r="J1476" s="1246"/>
    </row>
    <row r="1477" spans="1:10" ht="24.95" customHeight="1">
      <c r="A1477" s="1237"/>
      <c r="B1477" s="1247" t="s">
        <v>5711</v>
      </c>
      <c r="C1477" s="1234">
        <v>1</v>
      </c>
      <c r="D1477" s="1234"/>
      <c r="E1477" s="1234">
        <v>1</v>
      </c>
      <c r="F1477" s="1248">
        <v>45</v>
      </c>
      <c r="G1477" s="1248"/>
      <c r="H1477" s="1248"/>
      <c r="I1477" s="1249">
        <f>PRODUCT(C1477:H1477)</f>
        <v>45</v>
      </c>
      <c r="J1477" s="1246" t="s">
        <v>835</v>
      </c>
    </row>
    <row r="1478" spans="1:10" ht="24.95" customHeight="1">
      <c r="A1478" s="1302"/>
      <c r="B1478" s="1303"/>
      <c r="C1478" s="1234"/>
      <c r="D1478" s="1234"/>
      <c r="E1478" s="1234"/>
      <c r="F1478" s="1248"/>
      <c r="G1478" s="1248"/>
      <c r="H1478" s="1248"/>
      <c r="I1478" s="1249"/>
      <c r="J1478" s="1246"/>
    </row>
    <row r="1479" spans="1:10" ht="24.95" customHeight="1">
      <c r="A1479" s="1258" t="s">
        <v>5712</v>
      </c>
      <c r="B1479" s="1233" t="s">
        <v>5713</v>
      </c>
      <c r="C1479" s="1234"/>
      <c r="D1479" s="1234"/>
      <c r="E1479" s="1234"/>
      <c r="F1479" s="1235"/>
      <c r="G1479" s="1235"/>
      <c r="H1479" s="1235"/>
      <c r="I1479" s="1235"/>
      <c r="J1479" s="1236"/>
    </row>
    <row r="1480" spans="1:10" ht="24.95" customHeight="1">
      <c r="A1480" s="1237"/>
      <c r="B1480" s="1247" t="s">
        <v>5714</v>
      </c>
      <c r="C1480" s="1234">
        <v>1</v>
      </c>
      <c r="D1480" s="1234"/>
      <c r="E1480" s="1234">
        <v>6</v>
      </c>
      <c r="F1480" s="1235"/>
      <c r="G1480" s="1235"/>
      <c r="H1480" s="1235"/>
      <c r="I1480" s="1249">
        <f>PRODUCT(C1480:H1480)</f>
        <v>6</v>
      </c>
      <c r="J1480" s="1246" t="s">
        <v>1418</v>
      </c>
    </row>
    <row r="1481" spans="1:10" ht="24.95" customHeight="1">
      <c r="A1481" s="1237"/>
      <c r="B1481" s="1247" t="s">
        <v>5715</v>
      </c>
      <c r="C1481" s="1234">
        <v>1</v>
      </c>
      <c r="D1481" s="1234"/>
      <c r="E1481" s="1234">
        <v>4</v>
      </c>
      <c r="F1481" s="1235"/>
      <c r="G1481" s="1235"/>
      <c r="H1481" s="1235"/>
      <c r="I1481" s="1249">
        <f>PRODUCT(C1481:H1481)</f>
        <v>4</v>
      </c>
      <c r="J1481" s="1246" t="s">
        <v>1418</v>
      </c>
    </row>
    <row r="1482" spans="1:10" ht="24.95" customHeight="1">
      <c r="A1482" s="1258" t="s">
        <v>5716</v>
      </c>
      <c r="B1482" s="1233" t="s">
        <v>5717</v>
      </c>
      <c r="C1482" s="1234"/>
      <c r="D1482" s="1234"/>
      <c r="E1482" s="1234"/>
      <c r="F1482" s="1235"/>
      <c r="G1482" s="1235"/>
      <c r="H1482" s="1235"/>
      <c r="I1482" s="1235"/>
      <c r="J1482" s="1236"/>
    </row>
    <row r="1483" spans="1:10" ht="24.95" customHeight="1">
      <c r="A1483" s="1237"/>
      <c r="B1483" s="1247" t="s">
        <v>5718</v>
      </c>
      <c r="C1483" s="1234">
        <v>1</v>
      </c>
      <c r="D1483" s="1234"/>
      <c r="E1483" s="1234">
        <v>2</v>
      </c>
      <c r="F1483" s="1235"/>
      <c r="G1483" s="1248"/>
      <c r="H1483" s="1248"/>
      <c r="I1483" s="1249">
        <f>PRODUCT(C1483:H1483)</f>
        <v>2</v>
      </c>
      <c r="J1483" s="1256" t="s">
        <v>1418</v>
      </c>
    </row>
    <row r="1484" spans="1:10" ht="24.95" customHeight="1">
      <c r="A1484" s="1237"/>
      <c r="B1484" s="1247" t="s">
        <v>5719</v>
      </c>
      <c r="C1484" s="1234">
        <v>1</v>
      </c>
      <c r="D1484" s="1234"/>
      <c r="E1484" s="1234">
        <v>2</v>
      </c>
      <c r="F1484" s="1235"/>
      <c r="G1484" s="1248"/>
      <c r="H1484" s="1248"/>
      <c r="I1484" s="1249">
        <f>PRODUCT(C1484:H1484)</f>
        <v>2</v>
      </c>
      <c r="J1484" s="1256" t="s">
        <v>1418</v>
      </c>
    </row>
    <row r="1485" spans="1:10" ht="24.95" customHeight="1">
      <c r="A1485" s="1302"/>
      <c r="B1485" s="1303"/>
      <c r="C1485" s="1234"/>
      <c r="D1485" s="1234"/>
      <c r="E1485" s="1234"/>
      <c r="F1485" s="1248"/>
      <c r="G1485" s="1248"/>
      <c r="H1485" s="1248"/>
      <c r="I1485" s="1249"/>
      <c r="J1485" s="1246"/>
    </row>
    <row r="1486" spans="1:10" ht="45.75" customHeight="1">
      <c r="A1486" s="1258" t="s">
        <v>5860</v>
      </c>
      <c r="B1486" s="1233" t="s">
        <v>833</v>
      </c>
      <c r="C1486" s="1234"/>
      <c r="D1486" s="1234"/>
      <c r="E1486" s="1234"/>
      <c r="F1486" s="1235"/>
      <c r="G1486" s="1235"/>
      <c r="H1486" s="1235"/>
      <c r="I1486" s="1235"/>
      <c r="J1486" s="1236"/>
    </row>
    <row r="1487" spans="1:10" ht="24.95" customHeight="1">
      <c r="A1487" s="1237"/>
      <c r="B1487" s="1247" t="s">
        <v>5861</v>
      </c>
      <c r="C1487" s="1234">
        <v>1</v>
      </c>
      <c r="D1487" s="1234"/>
      <c r="E1487" s="1234">
        <v>3</v>
      </c>
      <c r="F1487" s="1235"/>
      <c r="G1487" s="1235"/>
      <c r="H1487" s="1235"/>
      <c r="I1487" s="1249">
        <f>PRODUCT(C1487:H1487)</f>
        <v>3</v>
      </c>
      <c r="J1487" s="1246" t="s">
        <v>1414</v>
      </c>
    </row>
    <row r="1488" spans="1:10" ht="36" customHeight="1">
      <c r="A1488" s="1237"/>
      <c r="B1488" s="1247" t="s">
        <v>5862</v>
      </c>
      <c r="C1488" s="1234">
        <v>1</v>
      </c>
      <c r="D1488" s="1234"/>
      <c r="E1488" s="1234">
        <v>3</v>
      </c>
      <c r="F1488" s="1235"/>
      <c r="G1488" s="1235"/>
      <c r="H1488" s="1235"/>
      <c r="I1488" s="1249">
        <f>PRODUCT(C1488:H1488)</f>
        <v>3</v>
      </c>
      <c r="J1488" s="1246" t="s">
        <v>1414</v>
      </c>
    </row>
    <row r="1489" spans="1:11" ht="24.95" customHeight="1">
      <c r="A1489" s="1302"/>
      <c r="B1489" s="1303"/>
      <c r="C1489" s="1234"/>
      <c r="D1489" s="1234"/>
      <c r="E1489" s="1234"/>
      <c r="F1489" s="1248"/>
      <c r="G1489" s="1248"/>
      <c r="H1489" s="1248"/>
      <c r="I1489" s="1249"/>
      <c r="J1489" s="1246"/>
    </row>
    <row r="1490" spans="1:11" ht="24.95" customHeight="1">
      <c r="A1490" s="1232">
        <v>57.2</v>
      </c>
      <c r="B1490" s="1288" t="s">
        <v>5703</v>
      </c>
      <c r="C1490" s="1244">
        <v>1</v>
      </c>
      <c r="D1490" s="1244"/>
      <c r="E1490" s="1244">
        <v>1</v>
      </c>
      <c r="F1490" s="1242"/>
      <c r="G1490" s="1242"/>
      <c r="H1490" s="1242"/>
      <c r="I1490" s="1255">
        <f>PRODUCT(C1490:H1490)</f>
        <v>1</v>
      </c>
      <c r="J1490" s="1246" t="s">
        <v>1418</v>
      </c>
    </row>
    <row r="1491" spans="1:11" ht="24.95" customHeight="1">
      <c r="A1491" s="1302"/>
      <c r="B1491" s="1303"/>
      <c r="C1491" s="1234"/>
      <c r="D1491" s="1234"/>
      <c r="E1491" s="1234"/>
      <c r="F1491" s="1248"/>
      <c r="G1491" s="1248"/>
      <c r="H1491" s="1248"/>
      <c r="I1491" s="1249"/>
      <c r="J1491" s="1246"/>
    </row>
    <row r="1492" spans="1:11" ht="24.95" customHeight="1">
      <c r="A1492" s="1350"/>
      <c r="B1492" s="1364" t="s">
        <v>5875</v>
      </c>
      <c r="C1492" s="1283"/>
      <c r="D1492" s="1283"/>
      <c r="E1492" s="1283"/>
      <c r="F1492" s="1352"/>
      <c r="G1492" s="1352"/>
      <c r="H1492" s="1352"/>
      <c r="I1492" s="1352"/>
      <c r="J1492" s="1353"/>
    </row>
    <row r="1493" spans="1:11" ht="24.95" customHeight="1">
      <c r="A1493" s="1350"/>
      <c r="B1493" s="1364" t="s">
        <v>5876</v>
      </c>
      <c r="C1493" s="1283">
        <v>2</v>
      </c>
      <c r="D1493" s="1283" t="s">
        <v>5404</v>
      </c>
      <c r="E1493" s="1283">
        <v>9</v>
      </c>
      <c r="F1493" s="1352">
        <v>1</v>
      </c>
      <c r="G1493" s="1352"/>
      <c r="H1493" s="1352"/>
      <c r="I1493" s="1357">
        <f>PRODUCT(C1493:H1493)</f>
        <v>18</v>
      </c>
      <c r="J1493" s="1353" t="s">
        <v>1452</v>
      </c>
    </row>
    <row r="1494" spans="1:11" ht="24.95" customHeight="1">
      <c r="A1494" s="1302"/>
      <c r="B1494" s="1303"/>
      <c r="C1494" s="1234"/>
      <c r="D1494" s="1234"/>
      <c r="E1494" s="1234"/>
      <c r="F1494" s="1248"/>
      <c r="G1494" s="1248"/>
      <c r="H1494" s="1248"/>
      <c r="I1494" s="1249"/>
      <c r="J1494" s="1246"/>
    </row>
    <row r="1495" spans="1:11" ht="24.95" customHeight="1">
      <c r="A1495" s="1258"/>
      <c r="B1495" s="1233"/>
      <c r="C1495" s="1234"/>
      <c r="D1495" s="1234"/>
      <c r="E1495" s="1234"/>
      <c r="F1495" s="1248"/>
      <c r="G1495" s="1248"/>
      <c r="H1495" s="1249"/>
      <c r="I1495" s="1249"/>
      <c r="J1495" s="1246"/>
      <c r="K1495" s="1230">
        <f>PRODUCT(C1502:H1502)</f>
        <v>296.49</v>
      </c>
    </row>
    <row r="1496" spans="1:11" ht="42" customHeight="1">
      <c r="A1496" s="1237" t="s">
        <v>4464</v>
      </c>
      <c r="B1496" s="1233" t="s">
        <v>5847</v>
      </c>
      <c r="C1496" s="1234"/>
      <c r="D1496" s="1234"/>
      <c r="E1496" s="1234"/>
      <c r="F1496" s="1235"/>
      <c r="G1496" s="1235"/>
      <c r="H1496" s="1235"/>
      <c r="I1496" s="1235"/>
      <c r="J1496" s="1246"/>
    </row>
    <row r="1497" spans="1:11" ht="24.95" customHeight="1">
      <c r="A1497" s="1237"/>
      <c r="B1497" s="1247" t="s">
        <v>5848</v>
      </c>
      <c r="C1497" s="1234">
        <v>1</v>
      </c>
      <c r="D1497" s="1234"/>
      <c r="E1497" s="1234">
        <v>1</v>
      </c>
      <c r="F1497" s="1235">
        <f>I727</f>
        <v>1879</v>
      </c>
      <c r="G1497" s="1235"/>
      <c r="H1497" s="1235"/>
      <c r="I1497" s="1235">
        <f>PRODUCT(C1497:H1497)</f>
        <v>1879</v>
      </c>
      <c r="J1497" s="1236"/>
    </row>
    <row r="1498" spans="1:11" ht="24.95" customHeight="1">
      <c r="A1498" s="1237"/>
      <c r="B1498" s="1247"/>
      <c r="C1498" s="1234"/>
      <c r="D1498" s="1234"/>
      <c r="E1498" s="1234"/>
      <c r="F1498" s="1235"/>
      <c r="G1498" s="1235"/>
      <c r="H1498" s="1235"/>
      <c r="I1498" s="1235">
        <f>SUM(I1497:I1497)</f>
        <v>1879</v>
      </c>
      <c r="J1498" s="1236"/>
    </row>
    <row r="1499" spans="1:11" ht="24.95" customHeight="1">
      <c r="A1499" s="1237"/>
      <c r="B1499" s="1247"/>
      <c r="C1499" s="1234"/>
      <c r="D1499" s="1234"/>
      <c r="E1499" s="1234"/>
      <c r="F1499" s="1235"/>
      <c r="G1499" s="1235"/>
      <c r="H1499" s="1231" t="s">
        <v>4322</v>
      </c>
      <c r="I1499" s="1231">
        <f>ROUNDUP(I1498,1-0)</f>
        <v>1879</v>
      </c>
      <c r="J1499" s="1246" t="s">
        <v>2308</v>
      </c>
    </row>
    <row r="1500" spans="1:11" ht="24.95" customHeight="1">
      <c r="A1500" s="1237"/>
      <c r="B1500" s="1247"/>
      <c r="C1500" s="1234"/>
      <c r="D1500" s="1234"/>
      <c r="E1500" s="1234"/>
      <c r="F1500" s="1235"/>
      <c r="G1500" s="1235"/>
      <c r="H1500" s="1235"/>
      <c r="I1500" s="1235"/>
      <c r="J1500" s="1236"/>
    </row>
    <row r="1501" spans="1:11" ht="24.95" customHeight="1">
      <c r="A1501" s="1258" t="s">
        <v>5857</v>
      </c>
      <c r="B1501" s="1233" t="s">
        <v>5858</v>
      </c>
      <c r="C1501" s="1234"/>
      <c r="D1501" s="1234"/>
      <c r="E1501" s="1234"/>
      <c r="F1501" s="1235"/>
      <c r="G1501" s="1235"/>
      <c r="H1501" s="1235"/>
      <c r="I1501" s="1235"/>
      <c r="J1501" s="1236"/>
    </row>
    <row r="1502" spans="1:11" ht="24.95" customHeight="1">
      <c r="A1502" s="1237"/>
      <c r="B1502" s="1247" t="s">
        <v>5454</v>
      </c>
      <c r="C1502" s="1234">
        <v>1</v>
      </c>
      <c r="D1502" s="1234" t="s">
        <v>5404</v>
      </c>
      <c r="E1502" s="1234">
        <v>1</v>
      </c>
      <c r="F1502" s="1248">
        <v>21.93</v>
      </c>
      <c r="G1502" s="1248">
        <v>13.52</v>
      </c>
      <c r="H1502" s="1248"/>
      <c r="I1502" s="1248">
        <f t="shared" ref="I1502:I1512" si="83">PRODUCT(C1502:H1502)</f>
        <v>296.49</v>
      </c>
      <c r="J1502" s="1236"/>
    </row>
    <row r="1503" spans="1:11" ht="24.95" customHeight="1">
      <c r="A1503" s="1237"/>
      <c r="B1503" s="1247" t="s">
        <v>5784</v>
      </c>
      <c r="C1503" s="1234">
        <v>1</v>
      </c>
      <c r="D1503" s="1234" t="s">
        <v>5404</v>
      </c>
      <c r="E1503" s="1234">
        <v>1</v>
      </c>
      <c r="F1503" s="1248">
        <v>70.900000000000006</v>
      </c>
      <c r="G1503" s="1248"/>
      <c r="H1503" s="1248">
        <v>0.1</v>
      </c>
      <c r="I1503" s="1248">
        <f t="shared" si="83"/>
        <v>7.09</v>
      </c>
      <c r="J1503" s="1236"/>
    </row>
    <row r="1504" spans="1:11" ht="24.95" customHeight="1">
      <c r="A1504" s="1237"/>
      <c r="B1504" s="1247" t="s">
        <v>5754</v>
      </c>
      <c r="C1504" s="1234">
        <v>1</v>
      </c>
      <c r="D1504" s="1234" t="s">
        <v>5404</v>
      </c>
      <c r="E1504" s="1234">
        <v>-1</v>
      </c>
      <c r="F1504" s="1248">
        <v>13.08</v>
      </c>
      <c r="G1504" s="1248">
        <v>1.1499999999999999</v>
      </c>
      <c r="H1504" s="1248"/>
      <c r="I1504" s="1248">
        <f t="shared" si="83"/>
        <v>-15.04</v>
      </c>
      <c r="J1504" s="1236"/>
    </row>
    <row r="1505" spans="1:12" ht="24.95" customHeight="1">
      <c r="A1505" s="1237"/>
      <c r="B1505" s="1247" t="s">
        <v>5754</v>
      </c>
      <c r="C1505" s="1234">
        <v>1</v>
      </c>
      <c r="D1505" s="1234" t="s">
        <v>5404</v>
      </c>
      <c r="E1505" s="1234">
        <v>-1</v>
      </c>
      <c r="F1505" s="1248">
        <v>6.05</v>
      </c>
      <c r="G1505" s="1248">
        <v>0.6</v>
      </c>
      <c r="H1505" s="1248"/>
      <c r="I1505" s="1248">
        <f t="shared" si="83"/>
        <v>-3.63</v>
      </c>
      <c r="J1505" s="1236"/>
    </row>
    <row r="1506" spans="1:12" ht="24.95" customHeight="1">
      <c r="A1506" s="1237"/>
      <c r="B1506" s="1247" t="s">
        <v>5754</v>
      </c>
      <c r="C1506" s="1234">
        <v>1</v>
      </c>
      <c r="D1506" s="1234" t="s">
        <v>5404</v>
      </c>
      <c r="E1506" s="1234">
        <v>-1</v>
      </c>
      <c r="F1506" s="1248">
        <v>6.23</v>
      </c>
      <c r="G1506" s="1248">
        <v>0.45</v>
      </c>
      <c r="H1506" s="1248"/>
      <c r="I1506" s="1248">
        <f t="shared" si="83"/>
        <v>-2.8</v>
      </c>
      <c r="J1506" s="1236"/>
    </row>
    <row r="1507" spans="1:12" ht="24.95" customHeight="1">
      <c r="A1507" s="1237"/>
      <c r="B1507" s="1247" t="s">
        <v>5455</v>
      </c>
      <c r="C1507" s="1234">
        <v>1</v>
      </c>
      <c r="D1507" s="1234" t="s">
        <v>5404</v>
      </c>
      <c r="E1507" s="1234">
        <v>1</v>
      </c>
      <c r="F1507" s="1248">
        <v>5.54</v>
      </c>
      <c r="G1507" s="1248">
        <v>1.05</v>
      </c>
      <c r="H1507" s="1248"/>
      <c r="I1507" s="1248">
        <f t="shared" si="83"/>
        <v>5.82</v>
      </c>
      <c r="J1507" s="1236"/>
    </row>
    <row r="1508" spans="1:12" ht="24.95" customHeight="1">
      <c r="A1508" s="1237"/>
      <c r="B1508" s="1247" t="s">
        <v>5755</v>
      </c>
      <c r="C1508" s="1234">
        <v>1</v>
      </c>
      <c r="D1508" s="1234" t="s">
        <v>5404</v>
      </c>
      <c r="E1508" s="1234">
        <v>1</v>
      </c>
      <c r="F1508" s="1248">
        <v>1.96</v>
      </c>
      <c r="G1508" s="1248">
        <v>1.05</v>
      </c>
      <c r="H1508" s="1248"/>
      <c r="I1508" s="1248">
        <f t="shared" si="83"/>
        <v>2.06</v>
      </c>
      <c r="J1508" s="1236"/>
    </row>
    <row r="1509" spans="1:12" ht="24.95" customHeight="1">
      <c r="A1509" s="1237"/>
      <c r="B1509" s="1247" t="s">
        <v>5747</v>
      </c>
      <c r="C1509" s="1234">
        <v>1</v>
      </c>
      <c r="D1509" s="1234" t="s">
        <v>5404</v>
      </c>
      <c r="E1509" s="1234">
        <v>1</v>
      </c>
      <c r="F1509" s="1248">
        <v>19.2</v>
      </c>
      <c r="G1509" s="1248">
        <v>12.03</v>
      </c>
      <c r="H1509" s="1248"/>
      <c r="I1509" s="1248">
        <f t="shared" si="83"/>
        <v>230.98</v>
      </c>
      <c r="J1509" s="1236"/>
    </row>
    <row r="1510" spans="1:12" ht="39.75" customHeight="1">
      <c r="A1510" s="1237"/>
      <c r="B1510" s="1247" t="s">
        <v>5784</v>
      </c>
      <c r="C1510" s="1234">
        <v>1</v>
      </c>
      <c r="D1510" s="1234" t="s">
        <v>5404</v>
      </c>
      <c r="E1510" s="1234">
        <v>1</v>
      </c>
      <c r="F1510" s="1248">
        <v>62.46</v>
      </c>
      <c r="G1510" s="1248"/>
      <c r="H1510" s="1248">
        <v>0.1</v>
      </c>
      <c r="I1510" s="1248">
        <f t="shared" si="83"/>
        <v>6.25</v>
      </c>
      <c r="J1510" s="1236"/>
    </row>
    <row r="1511" spans="1:12" ht="24.95" customHeight="1">
      <c r="A1511" s="1237"/>
      <c r="B1511" s="1247" t="s">
        <v>5859</v>
      </c>
      <c r="C1511" s="1234">
        <v>1</v>
      </c>
      <c r="D1511" s="1234" t="s">
        <v>5404</v>
      </c>
      <c r="E1511" s="1234">
        <v>1</v>
      </c>
      <c r="F1511" s="1248">
        <v>7.26</v>
      </c>
      <c r="G1511" s="1248">
        <v>4.1100000000000003</v>
      </c>
      <c r="H1511" s="1248"/>
      <c r="I1511" s="1248">
        <f t="shared" si="83"/>
        <v>29.84</v>
      </c>
      <c r="J1511" s="1236"/>
    </row>
    <row r="1512" spans="1:12" ht="24.95" customHeight="1">
      <c r="A1512" s="1237"/>
      <c r="B1512" s="1247" t="s">
        <v>5784</v>
      </c>
      <c r="C1512" s="1234">
        <v>1</v>
      </c>
      <c r="D1512" s="1234" t="s">
        <v>5404</v>
      </c>
      <c r="E1512" s="1234">
        <v>1</v>
      </c>
      <c r="F1512" s="1248">
        <v>22.74</v>
      </c>
      <c r="G1512" s="1248"/>
      <c r="H1512" s="1248">
        <v>0.1</v>
      </c>
      <c r="I1512" s="1248">
        <f t="shared" si="83"/>
        <v>2.27</v>
      </c>
      <c r="J1512" s="1236"/>
    </row>
    <row r="1513" spans="1:12" ht="24.75" customHeight="1">
      <c r="A1513" s="1237"/>
      <c r="B1513" s="1247"/>
      <c r="C1513" s="1234"/>
      <c r="D1513" s="1234"/>
      <c r="E1513" s="1234"/>
      <c r="F1513" s="1248"/>
      <c r="G1513" s="1248"/>
      <c r="H1513" s="1248"/>
      <c r="I1513" s="1248">
        <f>SUM(I1502:I1512)</f>
        <v>559.33000000000004</v>
      </c>
      <c r="J1513" s="1236"/>
    </row>
    <row r="1514" spans="1:12" ht="24.95" customHeight="1">
      <c r="A1514" s="1237"/>
      <c r="B1514" s="1247"/>
      <c r="C1514" s="1234"/>
      <c r="D1514" s="1234"/>
      <c r="E1514" s="1234"/>
      <c r="F1514" s="1248"/>
      <c r="G1514" s="1248"/>
      <c r="H1514" s="1231" t="s">
        <v>4322</v>
      </c>
      <c r="I1514" s="1231">
        <f>ROUNDUP(I1513,1-0)</f>
        <v>559.4</v>
      </c>
      <c r="J1514" s="1246" t="s">
        <v>2308</v>
      </c>
    </row>
    <row r="1515" spans="1:12" s="1305" customFormat="1" ht="16.5">
      <c r="A1515" s="1258">
        <v>147</v>
      </c>
      <c r="B1515" s="1247" t="s">
        <v>5867</v>
      </c>
      <c r="C1515" s="1234"/>
      <c r="D1515" s="1234"/>
      <c r="E1515" s="1234"/>
      <c r="F1515" s="1235"/>
      <c r="G1515" s="1235"/>
      <c r="H1515" s="1235"/>
      <c r="I1515" s="1235"/>
      <c r="J1515" s="1236"/>
      <c r="K1515" s="1304"/>
      <c r="L1515" s="1304"/>
    </row>
    <row r="1516" spans="1:12" s="1305" customFormat="1" ht="16.5">
      <c r="A1516" s="1237"/>
      <c r="B1516" s="1247" t="s">
        <v>5864</v>
      </c>
      <c r="C1516" s="1234">
        <v>1</v>
      </c>
      <c r="D1516" s="1234">
        <v>3</v>
      </c>
      <c r="E1516" s="1234"/>
      <c r="F1516" s="1235"/>
      <c r="G1516" s="1235"/>
      <c r="H1516" s="1235"/>
      <c r="I1516" s="1235">
        <v>3</v>
      </c>
      <c r="J1516" s="1236"/>
      <c r="K1516" s="1304"/>
      <c r="L1516" s="1304"/>
    </row>
    <row r="1517" spans="1:12" s="1305" customFormat="1" ht="16.5">
      <c r="A1517" s="1237"/>
      <c r="B1517" s="1247" t="s">
        <v>5749</v>
      </c>
      <c r="C1517" s="1234">
        <v>1</v>
      </c>
      <c r="D1517" s="1234">
        <v>1</v>
      </c>
      <c r="E1517" s="1234"/>
      <c r="F1517" s="1235"/>
      <c r="G1517" s="1235"/>
      <c r="H1517" s="1235"/>
      <c r="I1517" s="1235">
        <v>1</v>
      </c>
      <c r="J1517" s="1236"/>
      <c r="K1517" s="1306"/>
      <c r="L1517" s="1306"/>
    </row>
    <row r="1518" spans="1:12" ht="24.95" customHeight="1">
      <c r="A1518" s="1237"/>
      <c r="B1518" s="1247" t="s">
        <v>5865</v>
      </c>
      <c r="C1518" s="1234">
        <v>1</v>
      </c>
      <c r="D1518" s="1234">
        <v>3</v>
      </c>
      <c r="E1518" s="1234"/>
      <c r="F1518" s="1235"/>
      <c r="G1518" s="1235"/>
      <c r="H1518" s="1235"/>
      <c r="I1518" s="1235">
        <v>3</v>
      </c>
      <c r="J1518" s="1236"/>
    </row>
    <row r="1519" spans="1:12" ht="24.95" customHeight="1">
      <c r="A1519" s="1237"/>
      <c r="B1519" s="1247"/>
      <c r="C1519" s="1234"/>
      <c r="D1519" s="1234"/>
      <c r="E1519" s="1234"/>
      <c r="F1519" s="1235"/>
      <c r="G1519" s="1235"/>
      <c r="H1519" s="1235"/>
      <c r="I1519" s="1235">
        <f>SUM(I1516:I1518)</f>
        <v>7</v>
      </c>
      <c r="J1519" s="1236" t="s">
        <v>5866</v>
      </c>
    </row>
    <row r="1520" spans="1:12" ht="53.25" customHeight="1">
      <c r="A1520" s="1237"/>
      <c r="B1520" s="1200" t="s">
        <v>604</v>
      </c>
      <c r="C1520" s="1234">
        <v>1</v>
      </c>
      <c r="D1520" s="1234">
        <v>2</v>
      </c>
      <c r="E1520" s="1234"/>
      <c r="F1520" s="1235">
        <v>1</v>
      </c>
      <c r="G1520" s="1235"/>
      <c r="H1520" s="1799"/>
      <c r="I1520" s="1235">
        <f>D1520*F1520</f>
        <v>2</v>
      </c>
      <c r="J1520" s="1236" t="s">
        <v>1452</v>
      </c>
    </row>
    <row r="1521" spans="1:10" ht="24.95" customHeight="1">
      <c r="A1521" s="1237"/>
      <c r="B1521" s="1247"/>
      <c r="C1521" s="1234"/>
      <c r="D1521" s="1234"/>
      <c r="E1521" s="1234"/>
      <c r="F1521" s="1248"/>
      <c r="G1521" s="1248"/>
      <c r="H1521" s="1248"/>
      <c r="I1521" s="1249"/>
      <c r="J1521" s="1246"/>
    </row>
    <row r="1522" spans="1:10" ht="24.95" customHeight="1">
      <c r="A1522" s="1237"/>
      <c r="B1522" s="1247"/>
      <c r="C1522" s="1234"/>
      <c r="D1522" s="1234"/>
      <c r="E1522" s="1234"/>
      <c r="F1522" s="1248"/>
      <c r="G1522" s="1248"/>
      <c r="H1522" s="1248"/>
      <c r="I1522" s="1249"/>
      <c r="J1522" s="1246"/>
    </row>
    <row r="1523" spans="1:10" ht="24.95" customHeight="1">
      <c r="A1523" s="1230"/>
      <c r="B1523" s="1230"/>
      <c r="C1523" s="1230"/>
      <c r="D1523" s="1230"/>
      <c r="E1523" s="1230"/>
      <c r="F1523" s="1230"/>
      <c r="G1523" s="1230"/>
      <c r="H1523" s="1230"/>
      <c r="I1523" s="1230"/>
      <c r="J1523" s="1230"/>
    </row>
    <row r="1525" spans="1:10" ht="24.95" customHeight="1">
      <c r="A1525" s="1230"/>
      <c r="B1525" s="1230"/>
      <c r="C1525" s="1230"/>
      <c r="D1525" s="1230"/>
      <c r="E1525" s="1230"/>
      <c r="F1525" s="1230"/>
      <c r="G1525" s="1230"/>
      <c r="H1525" s="1230"/>
      <c r="I1525" s="1230"/>
      <c r="J1525" s="1230"/>
    </row>
    <row r="1526" spans="1:10" ht="24.95" customHeight="1">
      <c r="A1526" s="1230"/>
      <c r="B1526" s="1230"/>
      <c r="C1526" s="1230"/>
      <c r="D1526" s="1230"/>
      <c r="E1526" s="1230"/>
      <c r="F1526" s="1230"/>
      <c r="G1526" s="1230"/>
      <c r="H1526" s="1230"/>
      <c r="I1526" s="1230"/>
      <c r="J1526" s="1230"/>
    </row>
    <row r="1527" spans="1:10" ht="24.95" customHeight="1">
      <c r="A1527" s="1230"/>
      <c r="B1527" s="1230"/>
      <c r="C1527" s="1230"/>
      <c r="D1527" s="1230"/>
      <c r="E1527" s="1230"/>
      <c r="F1527" s="1230"/>
      <c r="G1527" s="1230"/>
      <c r="H1527" s="1230"/>
      <c r="I1527" s="1230"/>
      <c r="J1527" s="1230"/>
    </row>
    <row r="1528" spans="1:10" ht="24.95" customHeight="1">
      <c r="A1528" s="1230"/>
      <c r="B1528" s="1230"/>
      <c r="C1528" s="1230"/>
      <c r="D1528" s="1230"/>
      <c r="E1528" s="1230"/>
      <c r="F1528" s="1230"/>
      <c r="G1528" s="1230"/>
      <c r="H1528" s="1230"/>
      <c r="I1528" s="1230"/>
      <c r="J1528" s="1230"/>
    </row>
    <row r="1529" spans="1:10" ht="24.95" customHeight="1">
      <c r="A1529" s="1230"/>
      <c r="B1529" s="1230"/>
      <c r="C1529" s="1230"/>
      <c r="D1529" s="1230"/>
      <c r="E1529" s="1230"/>
      <c r="F1529" s="1230"/>
      <c r="G1529" s="1230"/>
      <c r="H1529" s="1230"/>
      <c r="I1529" s="1230"/>
      <c r="J1529" s="1230"/>
    </row>
    <row r="1530" spans="1:10" ht="24.95" customHeight="1">
      <c r="A1530" s="1237"/>
      <c r="B1530" s="1247"/>
      <c r="C1530" s="1234"/>
      <c r="D1530" s="1234"/>
      <c r="E1530" s="1234"/>
      <c r="F1530" s="1235"/>
      <c r="G1530" s="1235"/>
      <c r="H1530" s="1235"/>
      <c r="I1530" s="1235"/>
      <c r="J1530" s="1236"/>
    </row>
    <row r="1531" spans="1:10" ht="24.95" customHeight="1">
      <c r="A1531" s="1230"/>
      <c r="B1531" s="1230"/>
      <c r="C1531" s="1230"/>
      <c r="D1531" s="1230"/>
      <c r="E1531" s="1230"/>
      <c r="F1531" s="1230"/>
      <c r="G1531" s="1230"/>
      <c r="H1531" s="1230"/>
      <c r="I1531" s="1230"/>
      <c r="J1531" s="1230"/>
    </row>
    <row r="1532" spans="1:10" ht="24.95" customHeight="1">
      <c r="A1532" s="1230"/>
      <c r="B1532" s="1230"/>
      <c r="C1532" s="1230"/>
      <c r="D1532" s="1230"/>
      <c r="E1532" s="1230"/>
      <c r="F1532" s="1230"/>
      <c r="G1532" s="1230"/>
      <c r="H1532" s="1230"/>
      <c r="I1532" s="1230"/>
      <c r="J1532" s="1230"/>
    </row>
    <row r="1533" spans="1:10" ht="24.95" customHeight="1">
      <c r="A1533" s="1230"/>
      <c r="B1533" s="1230"/>
      <c r="C1533" s="1230"/>
      <c r="D1533" s="1230"/>
      <c r="E1533" s="1230"/>
      <c r="F1533" s="1230"/>
      <c r="G1533" s="1230"/>
      <c r="H1533" s="1230"/>
      <c r="I1533" s="1230"/>
      <c r="J1533" s="1230"/>
    </row>
    <row r="1534" spans="1:10" ht="24.95" customHeight="1">
      <c r="A1534" s="1230"/>
      <c r="B1534" s="1230"/>
      <c r="C1534" s="1230"/>
      <c r="D1534" s="1230"/>
      <c r="E1534" s="1230"/>
      <c r="F1534" s="1230"/>
      <c r="G1534" s="1230"/>
      <c r="H1534" s="1230"/>
      <c r="I1534" s="1230"/>
      <c r="J1534" s="1230"/>
    </row>
    <row r="1535" spans="1:10" ht="24.95" customHeight="1">
      <c r="A1535" s="1230"/>
      <c r="B1535" s="1230"/>
      <c r="C1535" s="1230"/>
      <c r="D1535" s="1230"/>
      <c r="E1535" s="1230"/>
      <c r="F1535" s="1230"/>
      <c r="G1535" s="1230"/>
      <c r="H1535" s="1230"/>
      <c r="I1535" s="1230"/>
      <c r="J1535" s="1230"/>
    </row>
    <row r="1536" spans="1:10" ht="24.95" customHeight="1">
      <c r="A1536" s="1230"/>
      <c r="B1536" s="1230"/>
      <c r="C1536" s="1230"/>
      <c r="D1536" s="1230"/>
      <c r="E1536" s="1230"/>
      <c r="F1536" s="1230"/>
      <c r="G1536" s="1230"/>
      <c r="H1536" s="1230"/>
      <c r="I1536" s="1230"/>
      <c r="J1536" s="1230"/>
    </row>
  </sheetData>
  <mergeCells count="11">
    <mergeCell ref="G151:I151"/>
    <mergeCell ref="F231:I231"/>
    <mergeCell ref="F850:H850"/>
    <mergeCell ref="A1:J1"/>
    <mergeCell ref="A2:J2"/>
    <mergeCell ref="A3:A4"/>
    <mergeCell ref="B3:B4"/>
    <mergeCell ref="C3:E4"/>
    <mergeCell ref="F3:H3"/>
    <mergeCell ref="I3:I4"/>
    <mergeCell ref="J3:J4"/>
  </mergeCells>
  <pageMargins left="0.5" right="0.6" top="0.7" bottom="0.2" header="0.3" footer="0.3"/>
  <pageSetup paperSize="9" scale="70" orientation="portrait" r:id="rId1"/>
  <headerFooter>
    <oddHeader>&amp;CPage &amp;P&amp;RFire Station, Pattukottai</oddHeader>
  </headerFooter>
</worksheet>
</file>

<file path=xl/worksheets/sheet12.xml><?xml version="1.0" encoding="utf-8"?>
<worksheet xmlns="http://schemas.openxmlformats.org/spreadsheetml/2006/main" xmlns:r="http://schemas.openxmlformats.org/officeDocument/2006/relationships">
  <sheetPr>
    <tabColor rgb="FFFFFF00"/>
  </sheetPr>
  <dimension ref="A1:F176"/>
  <sheetViews>
    <sheetView topLeftCell="A133" workbookViewId="0">
      <selection activeCell="G143" sqref="G143"/>
    </sheetView>
  </sheetViews>
  <sheetFormatPr defaultRowHeight="15.75"/>
  <cols>
    <col min="1" max="1" width="9" bestFit="1" customWidth="1"/>
    <col min="2" max="2" width="32.77734375" customWidth="1"/>
    <col min="3" max="3" width="9" bestFit="1" customWidth="1"/>
    <col min="5" max="5" width="9" bestFit="1" customWidth="1"/>
    <col min="6" max="6" width="10.6640625" bestFit="1" customWidth="1"/>
  </cols>
  <sheetData>
    <row r="1" spans="1:6" ht="35.25" customHeight="1">
      <c r="A1" s="1902" t="str">
        <f>'[5]main detail'!A1:J1</f>
        <v>Name of work : Construction of Fire and Rescue service station building with development works at Kadamalaikundu in Theni District.</v>
      </c>
      <c r="B1" s="1903"/>
      <c r="C1" s="1903"/>
      <c r="D1" s="1903"/>
      <c r="E1" s="1903"/>
      <c r="F1" s="1904"/>
    </row>
    <row r="2" spans="1:6">
      <c r="A2" s="1328"/>
      <c r="B2" s="93" t="s">
        <v>5950</v>
      </c>
      <c r="C2" s="87"/>
      <c r="D2" s="87"/>
      <c r="E2" s="87"/>
      <c r="F2" s="1329"/>
    </row>
    <row r="3" spans="1:6">
      <c r="A3" s="1330"/>
      <c r="B3" s="95"/>
      <c r="C3" s="95"/>
      <c r="D3" s="95"/>
      <c r="E3" s="95"/>
      <c r="F3" s="1331"/>
    </row>
    <row r="4" spans="1:6">
      <c r="A4" s="1332" t="s">
        <v>227</v>
      </c>
      <c r="B4" s="1332" t="s">
        <v>1802</v>
      </c>
      <c r="C4" s="1332" t="s">
        <v>99</v>
      </c>
      <c r="D4" s="1332" t="s">
        <v>225</v>
      </c>
      <c r="E4" s="1332" t="s">
        <v>1055</v>
      </c>
      <c r="F4" s="1332" t="s">
        <v>986</v>
      </c>
    </row>
    <row r="5" spans="1:6" ht="31.5">
      <c r="A5" s="1302">
        <f>[5]building!A5</f>
        <v>1.1000000000000001</v>
      </c>
      <c r="B5" s="1291" t="str">
        <f>[5]building!B5</f>
        <v>Earth work excavation in all soils (including refilling)</v>
      </c>
      <c r="C5" s="1302"/>
      <c r="D5" s="1302"/>
      <c r="E5" s="1302"/>
      <c r="F5" s="1302"/>
    </row>
    <row r="6" spans="1:6">
      <c r="A6" s="1302"/>
      <c r="B6" s="1291" t="str">
        <f>[5]building!B6</f>
        <v>a. 0 to 2 mt.</v>
      </c>
      <c r="C6" s="1302">
        <f>Abs!C7</f>
        <v>204.4</v>
      </c>
      <c r="D6" s="1302" t="str">
        <f>[5]building!D6</f>
        <v>Cum.</v>
      </c>
      <c r="E6" s="1302">
        <f>station!I29</f>
        <v>261.7</v>
      </c>
      <c r="F6" s="1302">
        <f>C6*E6</f>
        <v>53491.48</v>
      </c>
    </row>
    <row r="7" spans="1:6">
      <c r="A7" s="1302"/>
      <c r="B7" s="1291" t="str">
        <f>[5]building!B7</f>
        <v>b. 2 to 3 mt.</v>
      </c>
      <c r="C7" s="1302">
        <f>Abs!C8</f>
        <v>213.7</v>
      </c>
      <c r="D7" s="1302" t="str">
        <f>[5]building!D7</f>
        <v>Cum.</v>
      </c>
      <c r="E7" s="1302"/>
      <c r="F7" s="1302">
        <f t="shared" ref="F7:F70" si="0">C7*E7</f>
        <v>0</v>
      </c>
    </row>
    <row r="8" spans="1:6" ht="31.5">
      <c r="A8" s="1302">
        <f>[5]building!A17</f>
        <v>1.5</v>
      </c>
      <c r="B8" s="1291" t="str">
        <f>[5]building!B17</f>
        <v>Earth work excavation for Open foundation (excluding refilling)</v>
      </c>
      <c r="C8" s="1302"/>
      <c r="D8" s="1302" t="str">
        <f>[5]building!D17</f>
        <v xml:space="preserve"> </v>
      </c>
      <c r="E8" s="1302"/>
      <c r="F8" s="1302">
        <f t="shared" si="0"/>
        <v>0</v>
      </c>
    </row>
    <row r="9" spans="1:6">
      <c r="A9" s="1302"/>
      <c r="B9" s="1303" t="str">
        <f>[5]building!B18</f>
        <v>a. 0 to 2 mt.</v>
      </c>
      <c r="C9" s="1302">
        <f>Abs!C19</f>
        <v>96.6</v>
      </c>
      <c r="D9" s="1302" t="str">
        <f>[5]building!D18</f>
        <v>Cum.</v>
      </c>
      <c r="E9" s="1302"/>
      <c r="F9" s="1302">
        <f t="shared" si="0"/>
        <v>0</v>
      </c>
    </row>
    <row r="10" spans="1:6">
      <c r="A10" s="1302"/>
      <c r="B10" s="1303" t="str">
        <f>[5]building!B19</f>
        <v>b. 2 to 3 mt.</v>
      </c>
      <c r="C10" s="1302">
        <f>Abs!C20</f>
        <v>105.9</v>
      </c>
      <c r="D10" s="1302" t="str">
        <f>[5]building!D19</f>
        <v>Cum.</v>
      </c>
      <c r="E10" s="1302"/>
      <c r="F10" s="1302">
        <f t="shared" si="0"/>
        <v>0</v>
      </c>
    </row>
    <row r="11" spans="1:6">
      <c r="A11" s="1302">
        <f>[5]building!A38</f>
        <v>2.1</v>
      </c>
      <c r="B11" s="1303" t="str">
        <f>[5]building!B38</f>
        <v>Filling sand</v>
      </c>
      <c r="C11" s="1302">
        <f>Abs!C39</f>
        <v>1540.6</v>
      </c>
      <c r="D11" s="1302" t="str">
        <f>[5]building!D38</f>
        <v>Cum.</v>
      </c>
      <c r="E11" s="1302">
        <f>station!I46</f>
        <v>61.2</v>
      </c>
      <c r="F11" s="1302">
        <f t="shared" si="0"/>
        <v>94284.72</v>
      </c>
    </row>
    <row r="12" spans="1:6">
      <c r="A12" s="1333" t="s">
        <v>5420</v>
      </c>
      <c r="B12" s="1303" t="s">
        <v>5951</v>
      </c>
      <c r="C12" s="1302">
        <f>[5]Data!R126</f>
        <v>249.9</v>
      </c>
      <c r="D12" s="1302" t="s">
        <v>1215</v>
      </c>
      <c r="E12" s="1302">
        <f>station!I65</f>
        <v>381.2</v>
      </c>
      <c r="F12" s="1302">
        <f t="shared" si="0"/>
        <v>95261.88</v>
      </c>
    </row>
    <row r="13" spans="1:6">
      <c r="A13" s="1302">
        <f>[5]building!A45</f>
        <v>3.1</v>
      </c>
      <c r="B13" s="1303" t="str">
        <f>[5]building!B45</f>
        <v>C.C.1:5:10 for Foundation &amp; Basement</v>
      </c>
      <c r="C13" s="1302">
        <f>Abs!C49</f>
        <v>4435.7299999999996</v>
      </c>
      <c r="D13" s="1302" t="str">
        <f>[5]building!D45</f>
        <v>Cum.</v>
      </c>
      <c r="E13" s="1302">
        <f>station!I92</f>
        <v>21.2</v>
      </c>
      <c r="F13" s="1302">
        <f t="shared" si="0"/>
        <v>94037.48</v>
      </c>
    </row>
    <row r="14" spans="1:6">
      <c r="A14" s="1302">
        <v>4.0999999999999996</v>
      </c>
      <c r="B14" s="1303" t="s">
        <v>5952</v>
      </c>
      <c r="C14" s="1302">
        <f>[5]Data!X715</f>
        <v>7263.8</v>
      </c>
      <c r="D14" s="1302" t="s">
        <v>1215</v>
      </c>
      <c r="E14" s="1302">
        <f>station!I149</f>
        <v>87.4</v>
      </c>
      <c r="F14" s="1302">
        <f t="shared" si="0"/>
        <v>634856.12</v>
      </c>
    </row>
    <row r="15" spans="1:6" ht="47.25">
      <c r="A15" s="1302">
        <f>[5]building!A59</f>
        <v>6.5</v>
      </c>
      <c r="B15" s="1291" t="str">
        <f>[5]building!B59</f>
        <v>Brick work in C.M. 1:5 (F&amp; B) using Kiln Burnt Country bricks of size 22 x 11 x 7 cm (8 3/4" x 4 1/4" x 2 3/4")</v>
      </c>
      <c r="C15" s="1302">
        <f>Abs!C63</f>
        <v>6145.59</v>
      </c>
      <c r="D15" s="1302" t="str">
        <f>[5]building!D59</f>
        <v>Cum.</v>
      </c>
      <c r="E15" s="1302">
        <f>station!I171</f>
        <v>66</v>
      </c>
      <c r="F15" s="1302">
        <f t="shared" si="0"/>
        <v>405608.94</v>
      </c>
    </row>
    <row r="16" spans="1:6">
      <c r="A16" s="1302">
        <v>8.1</v>
      </c>
      <c r="B16" s="1291" t="s">
        <v>5953</v>
      </c>
      <c r="C16" s="1302"/>
      <c r="D16" s="1302"/>
      <c r="E16" s="1302"/>
      <c r="F16" s="1302">
        <f t="shared" si="0"/>
        <v>0</v>
      </c>
    </row>
    <row r="17" spans="1:6">
      <c r="A17" s="1302"/>
      <c r="B17" s="1291" t="s">
        <v>5954</v>
      </c>
      <c r="C17" s="1302">
        <f>[5]Data!X717</f>
        <v>7372.27</v>
      </c>
      <c r="D17" s="1302" t="s">
        <v>1215</v>
      </c>
      <c r="E17" s="1302">
        <f>station!I229</f>
        <v>67.2</v>
      </c>
      <c r="F17" s="1302">
        <f t="shared" si="0"/>
        <v>495416.54</v>
      </c>
    </row>
    <row r="18" spans="1:6">
      <c r="A18" s="1302"/>
      <c r="B18" s="1291" t="s">
        <v>5955</v>
      </c>
      <c r="C18" s="1302">
        <f>[5]Data!X718</f>
        <v>7585.95</v>
      </c>
      <c r="D18" s="1302" t="s">
        <v>1215</v>
      </c>
      <c r="E18" s="1302">
        <f>station!I296</f>
        <v>113.6</v>
      </c>
      <c r="F18" s="1302">
        <f t="shared" si="0"/>
        <v>861763.92</v>
      </c>
    </row>
    <row r="19" spans="1:6">
      <c r="A19" s="1334"/>
      <c r="B19" s="1303" t="s">
        <v>5956</v>
      </c>
      <c r="C19" s="1302">
        <f>[5]Data!X719</f>
        <v>7799.63</v>
      </c>
      <c r="D19" s="1302" t="s">
        <v>1215</v>
      </c>
      <c r="E19" s="1302">
        <f>station!I306</f>
        <v>8</v>
      </c>
      <c r="F19" s="1302">
        <f t="shared" si="0"/>
        <v>62397.04</v>
      </c>
    </row>
    <row r="20" spans="1:6" ht="47.25">
      <c r="A20" s="1302">
        <f>[5]building!A117</f>
        <v>9.5</v>
      </c>
      <c r="B20" s="1291" t="str">
        <f>[5]building!B117</f>
        <v>Brick work in C.M. 1:6  using Kiln Burnt Country bricks of size 22 x 11 x 7 cm ( 8 3/4" x 4 1/4" x 2 3/4")</v>
      </c>
      <c r="C20" s="1302"/>
      <c r="D20" s="1302"/>
      <c r="E20" s="1302"/>
      <c r="F20" s="1302">
        <f t="shared" si="0"/>
        <v>0</v>
      </c>
    </row>
    <row r="21" spans="1:6">
      <c r="A21" s="1302"/>
      <c r="B21" s="1291" t="str">
        <f>[5]building!B118</f>
        <v>a. In Ground Floor</v>
      </c>
      <c r="C21" s="1302">
        <f>Abs!C122</f>
        <v>6142.07</v>
      </c>
      <c r="D21" s="1302" t="str">
        <f>[5]building!D118</f>
        <v>Cum.</v>
      </c>
      <c r="E21" s="1302">
        <f>station!I366</f>
        <v>76.8</v>
      </c>
      <c r="F21" s="1302">
        <f t="shared" si="0"/>
        <v>471710.98</v>
      </c>
    </row>
    <row r="22" spans="1:6">
      <c r="A22" s="1302"/>
      <c r="B22" s="1291" t="str">
        <f>[5]building!B119</f>
        <v>b. In First Floor</v>
      </c>
      <c r="C22" s="1302">
        <f>Abs!C123</f>
        <v>6279.27</v>
      </c>
      <c r="D22" s="1302" t="str">
        <f>[5]building!D119</f>
        <v>Cum.</v>
      </c>
      <c r="E22" s="1302">
        <f>station!I411</f>
        <v>94.2</v>
      </c>
      <c r="F22" s="1302">
        <f t="shared" si="0"/>
        <v>591507.23</v>
      </c>
    </row>
    <row r="23" spans="1:6">
      <c r="A23" s="1302"/>
      <c r="B23" s="1291" t="str">
        <f>[5]building!B120</f>
        <v>c. In Second Floor</v>
      </c>
      <c r="C23" s="1302">
        <f>Abs!C124</f>
        <v>6416.47</v>
      </c>
      <c r="D23" s="1302" t="str">
        <f>[5]building!D120</f>
        <v>Cum.</v>
      </c>
      <c r="E23" s="1302">
        <f>station!I422</f>
        <v>18</v>
      </c>
      <c r="F23" s="1302">
        <f t="shared" si="0"/>
        <v>115496.46</v>
      </c>
    </row>
    <row r="24" spans="1:6" ht="47.25">
      <c r="A24" s="1302">
        <f>[5]building!A166</f>
        <v>10.5</v>
      </c>
      <c r="B24" s="1291" t="str">
        <f>[5]building!B166</f>
        <v>Brick partition work in C.M. 1:4 Kiln Burnt Country bricks of size 22 x 11 x 7 cm (8 3/4" x 4 1/4" x 2 3/4") 110 mm tk (B.P.)</v>
      </c>
      <c r="C24" s="1302"/>
      <c r="D24" s="1302"/>
      <c r="E24" s="1302"/>
      <c r="F24" s="1302">
        <f t="shared" si="0"/>
        <v>0</v>
      </c>
    </row>
    <row r="25" spans="1:6">
      <c r="A25" s="1302"/>
      <c r="B25" s="1291" t="str">
        <f>[5]building!B167</f>
        <v>a. In Foundation and basement</v>
      </c>
      <c r="C25" s="1302">
        <f>Abs!C171</f>
        <v>738.51</v>
      </c>
      <c r="D25" s="1302" t="str">
        <f>[5]building!D167</f>
        <v>Sqm.</v>
      </c>
      <c r="E25" s="1302"/>
      <c r="F25" s="1302">
        <f t="shared" si="0"/>
        <v>0</v>
      </c>
    </row>
    <row r="26" spans="1:6">
      <c r="A26" s="1302"/>
      <c r="B26" s="1291" t="str">
        <f>[5]building!B168</f>
        <v>b. In Ground Floor</v>
      </c>
      <c r="C26" s="1302">
        <f>Abs!C172</f>
        <v>745.99</v>
      </c>
      <c r="D26" s="1302" t="str">
        <f>[5]building!D168</f>
        <v>Sqm.</v>
      </c>
      <c r="E26" s="1302">
        <f>station!I437</f>
        <v>56.2</v>
      </c>
      <c r="F26" s="1302">
        <f t="shared" si="0"/>
        <v>41924.639999999999</v>
      </c>
    </row>
    <row r="27" spans="1:6">
      <c r="A27" s="1302"/>
      <c r="B27" s="1291" t="str">
        <f>[5]building!B169</f>
        <v>c. In First Floor</v>
      </c>
      <c r="C27" s="1302">
        <f>Abs!C173</f>
        <v>761.08</v>
      </c>
      <c r="D27" s="1302" t="str">
        <f>[5]building!D169</f>
        <v>Sqm.</v>
      </c>
      <c r="E27" s="1302">
        <f>station!I447</f>
        <v>48.8</v>
      </c>
      <c r="F27" s="1302">
        <f t="shared" si="0"/>
        <v>37140.699999999997</v>
      </c>
    </row>
    <row r="28" spans="1:6">
      <c r="A28" s="1302"/>
      <c r="B28" s="1291" t="s">
        <v>5969</v>
      </c>
      <c r="C28" s="1302">
        <f>Abs!C174</f>
        <v>776.17</v>
      </c>
      <c r="D28" s="1302" t="s">
        <v>1867</v>
      </c>
      <c r="E28" s="1302" t="e">
        <f>station!#REF!</f>
        <v>#REF!</v>
      </c>
      <c r="F28" s="1302" t="e">
        <f t="shared" si="0"/>
        <v>#REF!</v>
      </c>
    </row>
    <row r="29" spans="1:6" ht="47.25">
      <c r="A29" s="1302">
        <v>11.5</v>
      </c>
      <c r="B29" s="1291" t="str">
        <f>[5]building!B180</f>
        <v>Brick work in C.M. 1:4 Chamber Burnt brick of size 23 x 11.2 x 7 cm (9" x 4 3/8" x 2 3/4")70 mm tk (B.P.)</v>
      </c>
      <c r="C29" s="1302"/>
      <c r="D29" s="1302"/>
      <c r="E29" s="1302"/>
      <c r="F29" s="1302">
        <f t="shared" si="0"/>
        <v>0</v>
      </c>
    </row>
    <row r="30" spans="1:6">
      <c r="A30" s="1302"/>
      <c r="B30" s="1291" t="str">
        <f>[5]building!B181</f>
        <v>a. In Ground Floor</v>
      </c>
      <c r="C30" s="1302">
        <f>Abs!C185</f>
        <v>506.03</v>
      </c>
      <c r="D30" s="1302" t="str">
        <f>[5]building!D181</f>
        <v>Sqm.</v>
      </c>
      <c r="E30" s="1302">
        <f>station!I456</f>
        <v>39.299999999999997</v>
      </c>
      <c r="F30" s="1302">
        <f t="shared" si="0"/>
        <v>19886.98</v>
      </c>
    </row>
    <row r="31" spans="1:6">
      <c r="A31" s="1302"/>
      <c r="B31" s="1291" t="str">
        <f>[5]building!B182</f>
        <v>b. In First Floor</v>
      </c>
      <c r="C31" s="1302">
        <f>Abs!C186</f>
        <v>515.63</v>
      </c>
      <c r="D31" s="1302" t="str">
        <f>[5]building!D182</f>
        <v>Sqm.</v>
      </c>
      <c r="E31" s="1302">
        <f>station!I461</f>
        <v>26</v>
      </c>
      <c r="F31" s="1302">
        <f t="shared" si="0"/>
        <v>13406.38</v>
      </c>
    </row>
    <row r="32" spans="1:6" ht="31.5">
      <c r="A32" s="1302">
        <v>12.5</v>
      </c>
      <c r="B32" s="1291" t="str">
        <f>[5]building!B216</f>
        <v>Brick partition in C.M. 1:4 using country bricks of size 22 x11x5cm 50 mm thick</v>
      </c>
      <c r="C32" s="1302"/>
      <c r="D32" s="1302"/>
      <c r="E32" s="1302"/>
      <c r="F32" s="1302">
        <f t="shared" si="0"/>
        <v>0</v>
      </c>
    </row>
    <row r="33" spans="1:6">
      <c r="A33" s="1302"/>
      <c r="B33" s="1303" t="str">
        <f>[5]building!B217</f>
        <v>a. In Ground Floor</v>
      </c>
      <c r="C33" s="1302">
        <f>Abs!C221</f>
        <v>367.78</v>
      </c>
      <c r="D33" s="1302" t="str">
        <f>[5]building!D217</f>
        <v>Sqm.</v>
      </c>
      <c r="E33" s="1302">
        <f>station!I466</f>
        <v>7.7</v>
      </c>
      <c r="F33" s="1302">
        <f t="shared" si="0"/>
        <v>2831.91</v>
      </c>
    </row>
    <row r="34" spans="1:6">
      <c r="A34" s="1302"/>
      <c r="B34" s="1303" t="str">
        <f>[5]building!B218</f>
        <v>b. In First Floor</v>
      </c>
      <c r="C34" s="1302">
        <f>Abs!C222</f>
        <v>374.64</v>
      </c>
      <c r="D34" s="1302" t="str">
        <f>[5]building!D218</f>
        <v>Sqm.</v>
      </c>
      <c r="E34" s="1302">
        <f>station!I469</f>
        <v>9</v>
      </c>
      <c r="F34" s="1302">
        <f t="shared" si="0"/>
        <v>3371.76</v>
      </c>
    </row>
    <row r="35" spans="1:6">
      <c r="A35" s="1302">
        <f>[5]building!A229</f>
        <v>13.1</v>
      </c>
      <c r="B35" s="1303" t="str">
        <f>[5]building!B229</f>
        <v>Filling with Excavated Earth</v>
      </c>
      <c r="C35" s="1302">
        <f>Abs!C233</f>
        <v>33.6</v>
      </c>
      <c r="D35" s="1302" t="str">
        <f>[5]building!D229</f>
        <v>Cum.</v>
      </c>
      <c r="E35" s="1302">
        <f>station!I508</f>
        <v>76.2</v>
      </c>
      <c r="F35" s="1302">
        <f t="shared" si="0"/>
        <v>2560.3200000000002</v>
      </c>
    </row>
    <row r="36" spans="1:6" ht="47.25">
      <c r="A36" s="1334">
        <v>16.100000000000001</v>
      </c>
      <c r="B36" s="1291" t="s">
        <v>5970</v>
      </c>
      <c r="C36" s="1302"/>
      <c r="D36" s="1302"/>
      <c r="E36" s="1302"/>
      <c r="F36" s="1302">
        <f t="shared" si="0"/>
        <v>0</v>
      </c>
    </row>
    <row r="37" spans="1:6">
      <c r="A37" s="1334"/>
      <c r="B37" s="1291" t="s">
        <v>5971</v>
      </c>
      <c r="C37" s="1302">
        <f>Data!X483</f>
        <v>2569.0300000000002</v>
      </c>
      <c r="D37" s="1302" t="s">
        <v>2308</v>
      </c>
      <c r="E37" s="1302">
        <f>station!I517</f>
        <v>9.4</v>
      </c>
      <c r="F37" s="1302">
        <f t="shared" si="0"/>
        <v>24148.880000000001</v>
      </c>
    </row>
    <row r="38" spans="1:6">
      <c r="A38" s="1334"/>
      <c r="B38" s="1291" t="s">
        <v>5972</v>
      </c>
      <c r="C38" s="1302">
        <f>Data!X484</f>
        <v>2577.0700000000002</v>
      </c>
      <c r="D38" s="1302" t="s">
        <v>2308</v>
      </c>
      <c r="E38" s="1302">
        <f>station!I523</f>
        <v>9</v>
      </c>
      <c r="F38" s="1302">
        <f t="shared" si="0"/>
        <v>23193.63</v>
      </c>
    </row>
    <row r="39" spans="1:6">
      <c r="A39" s="1302">
        <f>[5]building!A289</f>
        <v>21.2</v>
      </c>
      <c r="B39" s="1303" t="str">
        <f>[5]building!B289</f>
        <v>Teak wood Wrought &amp; Put up</v>
      </c>
      <c r="C39" s="1302"/>
      <c r="D39" s="1302"/>
      <c r="E39" s="1302"/>
      <c r="F39" s="1302">
        <f t="shared" si="0"/>
        <v>0</v>
      </c>
    </row>
    <row r="40" spans="1:6">
      <c r="A40" s="1302"/>
      <c r="B40" s="1303" t="str">
        <f>[5]building!B290</f>
        <v>a. T.W. over 2 m &amp; below 3 m</v>
      </c>
      <c r="C40" s="1302">
        <f>Abs!C296</f>
        <v>123400</v>
      </c>
      <c r="D40" s="1302" t="str">
        <f>[5]building!D290</f>
        <v>Cum.</v>
      </c>
      <c r="E40" s="1302">
        <f>station!I530</f>
        <v>0.6</v>
      </c>
      <c r="F40" s="1302">
        <f t="shared" si="0"/>
        <v>74040</v>
      </c>
    </row>
    <row r="41" spans="1:6">
      <c r="A41" s="1334"/>
      <c r="B41" s="1303" t="str">
        <f>[5]building!B291</f>
        <v>b. T.W. below 2 m length.</v>
      </c>
      <c r="C41" s="1302">
        <f>Abs!C297</f>
        <v>111200</v>
      </c>
      <c r="D41" s="1302" t="str">
        <f>[5]building!D291</f>
        <v>Cum.</v>
      </c>
      <c r="E41" s="1302">
        <f>station!I535</f>
        <v>0.5</v>
      </c>
      <c r="F41" s="1302">
        <f t="shared" si="0"/>
        <v>55600</v>
      </c>
    </row>
    <row r="42" spans="1:6">
      <c r="A42" s="1302">
        <f>[5]building!A307</f>
        <v>23.3</v>
      </c>
      <c r="B42" s="1291" t="str">
        <f>[5]building!B307</f>
        <v>S&amp;F of Magnetic door catches</v>
      </c>
      <c r="C42" s="1302">
        <f>Abs!C313</f>
        <v>52</v>
      </c>
      <c r="D42" s="1302" t="str">
        <f>[5]building!D307</f>
        <v>Each</v>
      </c>
      <c r="E42" s="1302">
        <f>station!I538</f>
        <v>13</v>
      </c>
      <c r="F42" s="1302">
        <f t="shared" si="0"/>
        <v>676</v>
      </c>
    </row>
    <row r="43" spans="1:6">
      <c r="A43" s="1302">
        <f>[5]building!A322</f>
        <v>25</v>
      </c>
      <c r="B43" s="1291" t="str">
        <f>[5]building!B322</f>
        <v>M.S.Holdfast</v>
      </c>
      <c r="C43" s="1302">
        <f>Abs!C328</f>
        <v>9.6</v>
      </c>
      <c r="D43" s="1302" t="str">
        <f>[5]building!D322</f>
        <v>Each</v>
      </c>
      <c r="E43" s="1302">
        <f>station!I541</f>
        <v>84</v>
      </c>
      <c r="F43" s="1302">
        <f t="shared" si="0"/>
        <v>806.4</v>
      </c>
    </row>
    <row r="44" spans="1:6">
      <c r="A44" s="1302">
        <f>[5]building!A323</f>
        <v>26</v>
      </c>
      <c r="B44" s="1291" t="str">
        <f>[5]building!B323</f>
        <v>Flooring in C.C.1:5:10</v>
      </c>
      <c r="C44" s="1302">
        <f>Abs!C329</f>
        <v>4435.7299999999996</v>
      </c>
      <c r="D44" s="1302" t="str">
        <f>[5]building!D323</f>
        <v>Cum.</v>
      </c>
      <c r="E44" s="1302">
        <f>station!I559</f>
        <v>61</v>
      </c>
      <c r="F44" s="1302">
        <f t="shared" si="0"/>
        <v>270579.53000000003</v>
      </c>
    </row>
    <row r="45" spans="1:6">
      <c r="A45" s="1302">
        <f>[5]building!A330</f>
        <v>28</v>
      </c>
      <c r="B45" s="1291" t="str">
        <f>[5]building!B330</f>
        <v>Floor plastering in C.M. 1:4, 20 mm tk.</v>
      </c>
      <c r="C45" s="1302">
        <f>Abs!C336</f>
        <v>448.19</v>
      </c>
      <c r="D45" s="1302" t="str">
        <f>[5]building!D330</f>
        <v>Sqm.</v>
      </c>
      <c r="E45" s="1302">
        <f>station!I570</f>
        <v>375.7</v>
      </c>
      <c r="F45" s="1302">
        <f t="shared" si="0"/>
        <v>168384.98</v>
      </c>
    </row>
    <row r="46" spans="1:6">
      <c r="A46" s="1302">
        <f>[5]building!A336</f>
        <v>30</v>
      </c>
      <c r="B46" s="1303" t="str">
        <f>[5]building!B336</f>
        <v>Ellispattern</v>
      </c>
      <c r="C46" s="1302">
        <f>Abs!C342</f>
        <v>396.64</v>
      </c>
      <c r="D46" s="1302" t="str">
        <f>[5]building!D336</f>
        <v>Sqm.</v>
      </c>
      <c r="E46" s="1302">
        <f>station!I574</f>
        <v>48.2</v>
      </c>
      <c r="F46" s="1302">
        <f t="shared" si="0"/>
        <v>19118.05</v>
      </c>
    </row>
    <row r="47" spans="1:6">
      <c r="A47" s="1302">
        <f>[5]building!A337</f>
        <v>31</v>
      </c>
      <c r="B47" s="1303" t="str">
        <f>[5]building!B337</f>
        <v>Weathering course</v>
      </c>
      <c r="C47" s="1302">
        <f>Abs!C343</f>
        <v>3507.88</v>
      </c>
      <c r="D47" s="1302" t="str">
        <f>[5]building!D337</f>
        <v>Cum.</v>
      </c>
      <c r="E47" s="1302">
        <f>station!I578</f>
        <v>3.25</v>
      </c>
      <c r="F47" s="1302">
        <f t="shared" si="0"/>
        <v>11400.61</v>
      </c>
    </row>
    <row r="48" spans="1:6">
      <c r="A48" s="1302">
        <f>[5]building!A341</f>
        <v>33</v>
      </c>
      <c r="B48" s="1303" t="str">
        <f>[5]building!B341</f>
        <v>Plastering in C.M. 1:5, 12 mm tk.</v>
      </c>
      <c r="C48" s="1302">
        <f>Abs!C347</f>
        <v>220.61</v>
      </c>
      <c r="D48" s="1302" t="str">
        <f>[5]building!D341</f>
        <v>Sqm.</v>
      </c>
      <c r="E48" s="1302">
        <f>station!I729</f>
        <v>3026</v>
      </c>
      <c r="F48" s="1302">
        <f t="shared" si="0"/>
        <v>667565.86</v>
      </c>
    </row>
    <row r="49" spans="1:6">
      <c r="A49" s="1302">
        <f>[5]building!A342</f>
        <v>34</v>
      </c>
      <c r="B49" s="1303" t="str">
        <f>[5]building!B342</f>
        <v>Plastering in C.M. 1:4, 12 mm tk.</v>
      </c>
      <c r="C49" s="1302">
        <f>Abs!C348</f>
        <v>226.61</v>
      </c>
      <c r="D49" s="1302" t="str">
        <f>[5]building!D342</f>
        <v>Sqm.</v>
      </c>
      <c r="E49" s="1302">
        <f>station!I736</f>
        <v>40.5</v>
      </c>
      <c r="F49" s="1302">
        <f t="shared" si="0"/>
        <v>9177.7099999999991</v>
      </c>
    </row>
    <row r="50" spans="1:6">
      <c r="A50" s="1334">
        <f>[5]building!A343</f>
        <v>35</v>
      </c>
      <c r="B50" s="1303" t="str">
        <f>[5]building!B343</f>
        <v>Spl. Ceiling plastering in C.M. 1:3,
 10 mm tk.</v>
      </c>
      <c r="C50" s="1302">
        <f>Abs!C349</f>
        <v>252.46</v>
      </c>
      <c r="D50" s="1302" t="str">
        <f>[5]building!D343</f>
        <v>Sqm.</v>
      </c>
      <c r="E50" s="1302">
        <f>station!I792</f>
        <v>910</v>
      </c>
      <c r="F50" s="1302">
        <f t="shared" si="0"/>
        <v>229738.6</v>
      </c>
    </row>
    <row r="51" spans="1:6">
      <c r="A51" s="1334">
        <v>35.1</v>
      </c>
      <c r="B51" s="1291" t="e">
        <f>station!#REF!</f>
        <v>#REF!</v>
      </c>
      <c r="C51" s="1302">
        <f>Data!K1439</f>
        <v>244.59</v>
      </c>
      <c r="D51" s="1302" t="s">
        <v>2308</v>
      </c>
      <c r="E51" s="1302" t="e">
        <f>station!#REF!</f>
        <v>#REF!</v>
      </c>
      <c r="F51" s="1302" t="e">
        <f t="shared" si="0"/>
        <v>#REF!</v>
      </c>
    </row>
    <row r="52" spans="1:6">
      <c r="A52" s="1334"/>
      <c r="B52" s="1303"/>
      <c r="C52" s="1302"/>
      <c r="D52" s="1302"/>
      <c r="E52" s="1302"/>
      <c r="F52" s="1302">
        <f t="shared" si="0"/>
        <v>0</v>
      </c>
    </row>
    <row r="53" spans="1:6">
      <c r="A53" s="1302">
        <f>[5]building!A344</f>
        <v>36</v>
      </c>
      <c r="B53" s="1303" t="str">
        <f>[5]building!B344</f>
        <v>Cement mortar Border in  C.M. 1:5, 12 mm tk.</v>
      </c>
      <c r="C53" s="1302"/>
      <c r="D53" s="1302"/>
      <c r="E53" s="1302"/>
      <c r="F53" s="1302">
        <f t="shared" si="0"/>
        <v>0</v>
      </c>
    </row>
    <row r="54" spans="1:6">
      <c r="A54" s="1302" t="str">
        <f>[5]building!A345</f>
        <v xml:space="preserve"> </v>
      </c>
      <c r="B54" s="1291" t="str">
        <f>[5]building!B345</f>
        <v>a. 150 mm wide</v>
      </c>
      <c r="C54" s="1302">
        <f>Abs!C351</f>
        <v>69.94</v>
      </c>
      <c r="D54" s="1302" t="str">
        <f>[5]building!D345</f>
        <v>Rmt</v>
      </c>
      <c r="E54" s="1302">
        <f>station!I799</f>
        <v>144</v>
      </c>
      <c r="F54" s="1302">
        <f t="shared" si="0"/>
        <v>10071.36</v>
      </c>
    </row>
    <row r="55" spans="1:6">
      <c r="A55" s="1302"/>
      <c r="B55" s="1291" t="str">
        <f>[5]building!B346</f>
        <v>b. 75 mm wide</v>
      </c>
      <c r="C55" s="1302">
        <f>Abs!C352</f>
        <v>45.48</v>
      </c>
      <c r="D55" s="1302" t="str">
        <f>[5]building!D346</f>
        <v>Rmt</v>
      </c>
      <c r="E55" s="1302">
        <f>station!I804</f>
        <v>144</v>
      </c>
      <c r="F55" s="1302">
        <f t="shared" si="0"/>
        <v>6549.12</v>
      </c>
    </row>
    <row r="56" spans="1:6">
      <c r="A56" s="1302"/>
      <c r="B56" s="1291" t="str">
        <f>[5]building!B347</f>
        <v>c. 50 mm wide</v>
      </c>
      <c r="C56" s="1302">
        <f>Abs!C353</f>
        <v>33.840000000000003</v>
      </c>
      <c r="D56" s="1302" t="str">
        <f>[5]building!D347</f>
        <v>Rmt</v>
      </c>
      <c r="E56" s="1302">
        <f>station!I809</f>
        <v>144</v>
      </c>
      <c r="F56" s="1302">
        <f t="shared" si="0"/>
        <v>4872.96</v>
      </c>
    </row>
    <row r="57" spans="1:6">
      <c r="A57" s="1302">
        <f>[5]building!A348</f>
        <v>37.1</v>
      </c>
      <c r="B57" s="1291" t="str">
        <f>[5]building!B348</f>
        <v>White washing 3 coats  (slaked)</v>
      </c>
      <c r="C57" s="1302">
        <f>Abs!C354</f>
        <v>39.22</v>
      </c>
      <c r="D57" s="1302" t="str">
        <f>[5]building!D348</f>
        <v>Sqm.</v>
      </c>
      <c r="E57" s="1302">
        <f>station!I812</f>
        <v>910</v>
      </c>
      <c r="F57" s="1302">
        <f t="shared" si="0"/>
        <v>35690.199999999997</v>
      </c>
    </row>
    <row r="58" spans="1:6">
      <c r="A58" s="1302">
        <f>[5]building!A355</f>
        <v>39</v>
      </c>
      <c r="B58" s="1291" t="str">
        <f>[5]building!B355</f>
        <v>M.s Grills</v>
      </c>
      <c r="C58" s="1302">
        <f>Abs!C361</f>
        <v>62.6</v>
      </c>
      <c r="D58" s="1302" t="str">
        <f>[5]building!D355</f>
        <v>Kg.</v>
      </c>
      <c r="E58" s="1302">
        <f>station!I823</f>
        <v>952</v>
      </c>
      <c r="F58" s="1302">
        <f t="shared" si="0"/>
        <v>59595.199999999997</v>
      </c>
    </row>
    <row r="59" spans="1:6">
      <c r="A59" s="1302">
        <v>24</v>
      </c>
      <c r="B59" s="1291" t="s">
        <v>5679</v>
      </c>
      <c r="C59" s="1302">
        <v>62.1</v>
      </c>
      <c r="D59" s="1302" t="s">
        <v>268</v>
      </c>
      <c r="E59" s="1302">
        <f>station!I845</f>
        <v>4060</v>
      </c>
      <c r="F59" s="1302">
        <f t="shared" si="0"/>
        <v>252126</v>
      </c>
    </row>
    <row r="60" spans="1:6">
      <c r="A60" s="1302">
        <f>[5]building!A356</f>
        <v>40</v>
      </c>
      <c r="B60" s="1291" t="str">
        <f>[5]building!B356</f>
        <v>Painting - New "wood work"</v>
      </c>
      <c r="C60" s="1302">
        <f>Abs!C363</f>
        <v>212.24</v>
      </c>
      <c r="D60" s="1302" t="str">
        <f>[5]building!D356</f>
        <v>Sqm.</v>
      </c>
      <c r="E60" s="1302">
        <f>station!I851</f>
        <v>62.15</v>
      </c>
      <c r="F60" s="1302">
        <f t="shared" si="0"/>
        <v>13190.72</v>
      </c>
    </row>
    <row r="61" spans="1:6">
      <c r="A61" s="1302">
        <f>[5]building!A357</f>
        <v>41</v>
      </c>
      <c r="B61" s="1291" t="str">
        <f>[5]building!B357</f>
        <v>Painting - New "iron work"</v>
      </c>
      <c r="C61" s="1302">
        <f>Abs!C364</f>
        <v>125.87</v>
      </c>
      <c r="D61" s="1302" t="str">
        <f>[5]building!D357</f>
        <v>Sqm.</v>
      </c>
      <c r="E61" s="1302">
        <f>station!I875</f>
        <v>147.6</v>
      </c>
      <c r="F61" s="1302">
        <f t="shared" si="0"/>
        <v>18578.41</v>
      </c>
    </row>
    <row r="62" spans="1:6">
      <c r="A62" s="1302">
        <f>[5]building!A367</f>
        <v>46</v>
      </c>
      <c r="B62" s="1291" t="str">
        <f>[5]building!B367</f>
        <v>S &amp; F 20 mm dia Alu. Hanger Rod</v>
      </c>
      <c r="C62" s="1302">
        <f>Abs!C374</f>
        <v>58</v>
      </c>
      <c r="D62" s="1302" t="str">
        <f>[5]building!D367</f>
        <v>Rmt</v>
      </c>
      <c r="E62" s="1302">
        <f>station!I878</f>
        <v>8</v>
      </c>
      <c r="F62" s="1302">
        <f t="shared" si="0"/>
        <v>464</v>
      </c>
    </row>
    <row r="63" spans="1:6">
      <c r="A63" s="1302">
        <f>[5]building!A368</f>
        <v>47</v>
      </c>
      <c r="B63" s="1291" t="str">
        <f>[5]building!B368</f>
        <v>S &amp; F Alu  Towel rail 75 cm long</v>
      </c>
      <c r="C63" s="1302">
        <f>[5]building!C368</f>
        <v>95</v>
      </c>
      <c r="D63" s="1302" t="str">
        <f>[5]building!D368</f>
        <v>Each</v>
      </c>
      <c r="E63" s="1302">
        <f>station!I879</f>
        <v>8</v>
      </c>
      <c r="F63" s="1302">
        <f t="shared" si="0"/>
        <v>760</v>
      </c>
    </row>
    <row r="64" spans="1:6">
      <c r="A64" s="1302">
        <f>[5]building!A369</f>
        <v>48</v>
      </c>
      <c r="B64" s="1291" t="str">
        <f>[5]building!B369</f>
        <v>S &amp; F 5 pin Coat stand</v>
      </c>
      <c r="C64" s="1302">
        <f>[5]building!C369</f>
        <v>55</v>
      </c>
      <c r="D64" s="1302" t="str">
        <f>[5]building!D369</f>
        <v>Each</v>
      </c>
      <c r="E64" s="1302">
        <f>station!I880</f>
        <v>10</v>
      </c>
      <c r="F64" s="1302">
        <f t="shared" si="0"/>
        <v>550</v>
      </c>
    </row>
    <row r="65" spans="1:6">
      <c r="A65" s="1302">
        <f>[5]building!A370</f>
        <v>49</v>
      </c>
      <c r="B65" s="1291" t="str">
        <f>[5]building!B370</f>
        <v>S &amp; F chromium plated 8 guage Picture Hook</v>
      </c>
      <c r="C65" s="1302">
        <f>[5]building!C370</f>
        <v>1.5</v>
      </c>
      <c r="D65" s="1302" t="str">
        <f>[5]building!D370</f>
        <v>Each</v>
      </c>
      <c r="E65" s="1302">
        <f>station!I882</f>
        <v>100</v>
      </c>
      <c r="F65" s="1302">
        <f t="shared" si="0"/>
        <v>150</v>
      </c>
    </row>
    <row r="66" spans="1:6" ht="31.5">
      <c r="A66" s="1302">
        <f>[5]building!A372</f>
        <v>50.2</v>
      </c>
      <c r="B66" s="1291" t="str">
        <f>[5]building!B372</f>
        <v xml:space="preserve">Providing precast Kerb stone in C.C. 1:3:6,  450 x 300 x 150 mm </v>
      </c>
      <c r="C66" s="1302">
        <f>[5]building!C372</f>
        <v>244.49</v>
      </c>
      <c r="D66" s="1302" t="str">
        <f>[5]building!D372</f>
        <v>Rmt</v>
      </c>
      <c r="E66" s="1302"/>
      <c r="F66" s="1302">
        <f t="shared" si="0"/>
        <v>0</v>
      </c>
    </row>
    <row r="67" spans="1:6">
      <c r="A67" s="1302">
        <f>[5]building!A373</f>
        <v>50.3</v>
      </c>
      <c r="B67" s="1291" t="str">
        <f>[5]building!B373</f>
        <v>Supply and planting avenue trees</v>
      </c>
      <c r="C67" s="1302">
        <f>[5]building!C373</f>
        <v>341.76</v>
      </c>
      <c r="D67" s="1302" t="str">
        <f>[5]building!D373</f>
        <v>Each</v>
      </c>
      <c r="E67" s="1302">
        <f>station!I883</f>
        <v>15</v>
      </c>
      <c r="F67" s="1302">
        <f t="shared" si="0"/>
        <v>5126.3999999999996</v>
      </c>
    </row>
    <row r="68" spans="1:6">
      <c r="A68" s="1302">
        <f>[5]building!A374</f>
        <v>50.4</v>
      </c>
      <c r="B68" s="1291" t="str">
        <f>[5]building!B374</f>
        <v>Providing Tree guard</v>
      </c>
      <c r="C68" s="1302">
        <f>[5]building!C374</f>
        <v>807.7</v>
      </c>
      <c r="D68" s="1302" t="str">
        <f>[5]building!D374</f>
        <v>Each</v>
      </c>
      <c r="E68" s="1302">
        <f>station!I884</f>
        <v>15</v>
      </c>
      <c r="F68" s="1302">
        <f t="shared" si="0"/>
        <v>12115.5</v>
      </c>
    </row>
    <row r="69" spans="1:6" ht="31.5">
      <c r="A69" s="1302">
        <f>[5]building!A375</f>
        <v>50.5</v>
      </c>
      <c r="B69" s="1291" t="str">
        <f>[5]building!B375</f>
        <v>Supplying. Fabricating and erection of M.S Scheme Name board</v>
      </c>
      <c r="C69" s="1302">
        <f>[5]building!C375</f>
        <v>17220.29</v>
      </c>
      <c r="D69" s="1302" t="str">
        <f>[5]building!D375</f>
        <v>Each</v>
      </c>
      <c r="E69" s="1302">
        <f>station!I885</f>
        <v>1</v>
      </c>
      <c r="F69" s="1302">
        <f t="shared" si="0"/>
        <v>17220.29</v>
      </c>
    </row>
    <row r="70" spans="1:6" ht="31.5">
      <c r="A70" s="1302">
        <f>[5]building!A376</f>
        <v>51</v>
      </c>
      <c r="B70" s="1291" t="str">
        <f>[5]building!B376</f>
        <v>HDPE water tank 700 lit capacity with ISI mark</v>
      </c>
      <c r="C70" s="1302">
        <f>[5]building!C376</f>
        <v>6720</v>
      </c>
      <c r="D70" s="1302" t="str">
        <f>[5]building!D376</f>
        <v>Each</v>
      </c>
      <c r="E70" s="1302"/>
      <c r="F70" s="1302">
        <f t="shared" si="0"/>
        <v>0</v>
      </c>
    </row>
    <row r="71" spans="1:6">
      <c r="A71" s="1302">
        <f>[5]building!A377</f>
        <v>52</v>
      </c>
      <c r="B71" s="1291" t="str">
        <f>[5]building!B377</f>
        <v>PVC Water supply (ASTM)</v>
      </c>
      <c r="C71" s="1302"/>
      <c r="D71" s="1302"/>
      <c r="E71" s="1302"/>
      <c r="F71" s="1302">
        <f t="shared" ref="F71:F78" si="1">C71*E71</f>
        <v>0</v>
      </c>
    </row>
    <row r="72" spans="1:6">
      <c r="A72" s="1302"/>
      <c r="B72" s="1303" t="str">
        <f>[5]building!B378</f>
        <v xml:space="preserve">a. 32 mm dia </v>
      </c>
      <c r="C72" s="1302">
        <f>[5]building!C378</f>
        <v>227.81</v>
      </c>
      <c r="D72" s="1302" t="str">
        <f>[5]building!D378</f>
        <v>Rmt</v>
      </c>
      <c r="E72" s="1302">
        <f>station!I889</f>
        <v>50</v>
      </c>
      <c r="F72" s="1302">
        <f t="shared" si="1"/>
        <v>11390.5</v>
      </c>
    </row>
    <row r="73" spans="1:6">
      <c r="A73" s="1302"/>
      <c r="B73" s="1303" t="str">
        <f>[5]building!B379</f>
        <v xml:space="preserve">b. 25 mm dia </v>
      </c>
      <c r="C73" s="1302">
        <f>[5]building!C379</f>
        <v>208.73</v>
      </c>
      <c r="D73" s="1302" t="str">
        <f>[5]building!D379</f>
        <v>Rmt</v>
      </c>
      <c r="E73" s="1302">
        <f>station!I892</f>
        <v>60</v>
      </c>
      <c r="F73" s="1302">
        <f t="shared" si="1"/>
        <v>12523.8</v>
      </c>
    </row>
    <row r="74" spans="1:6">
      <c r="A74" s="1302"/>
      <c r="B74" s="1303" t="s">
        <v>5973</v>
      </c>
      <c r="C74" s="1302">
        <f>Abs!C387</f>
        <v>205.03</v>
      </c>
      <c r="D74" s="1302" t="s">
        <v>835</v>
      </c>
      <c r="E74" s="1302">
        <f>station!I895</f>
        <v>60</v>
      </c>
      <c r="F74" s="1302">
        <f t="shared" si="1"/>
        <v>12301.8</v>
      </c>
    </row>
    <row r="75" spans="1:6" ht="31.5">
      <c r="A75" s="1302">
        <f>[5]building!A381</f>
        <v>52.1</v>
      </c>
      <c r="B75" s="1291" t="str">
        <f>[5]building!B381</f>
        <v>G.I Pipe 20mm dia for Hot water line (Fully Concealed in walls)</v>
      </c>
      <c r="C75" s="1302">
        <f>[5]building!C381</f>
        <v>286.08</v>
      </c>
      <c r="D75" s="1302" t="str">
        <f>[5]building!D381</f>
        <v>Rmt</v>
      </c>
      <c r="E75" s="1302">
        <f>station!I897</f>
        <v>6</v>
      </c>
      <c r="F75" s="1302">
        <f t="shared" si="1"/>
        <v>1716.48</v>
      </c>
    </row>
    <row r="76" spans="1:6">
      <c r="A76" s="1302">
        <f>[5]building!A384</f>
        <v>53.3</v>
      </c>
      <c r="B76" s="1291" t="str">
        <f>[5]building!B384</f>
        <v>C.I. Steps ( 5 kg)</v>
      </c>
      <c r="C76" s="1302">
        <f>[5]building!C384</f>
        <v>30</v>
      </c>
      <c r="D76" s="1302" t="str">
        <f>[5]building!D384</f>
        <v>Each</v>
      </c>
      <c r="E76" s="1302">
        <f>[5]building!E384</f>
        <v>0</v>
      </c>
      <c r="F76" s="1302">
        <f t="shared" si="1"/>
        <v>0</v>
      </c>
    </row>
    <row r="77" spans="1:6" ht="31.5">
      <c r="A77" s="1302">
        <f>[5]building!A402</f>
        <v>59.5</v>
      </c>
      <c r="B77" s="1291" t="str">
        <f>[5]building!B402</f>
        <v>Gully Trap using Kiln burnt country bricks 22 x 11 x 7 cm.</v>
      </c>
      <c r="C77" s="1302">
        <f>[5]building!C402</f>
        <v>1747.74</v>
      </c>
      <c r="D77" s="1302" t="str">
        <f>[5]building!D402</f>
        <v>Each</v>
      </c>
      <c r="E77" s="1302"/>
      <c r="F77" s="1302">
        <f t="shared" si="1"/>
        <v>0</v>
      </c>
    </row>
    <row r="78" spans="1:6">
      <c r="A78" s="1335">
        <f>[5]building!A404</f>
        <v>60</v>
      </c>
      <c r="B78" s="1291" t="str">
        <f>[5]building!B404</f>
        <v>PVC Nahani trap (4way/2way)</v>
      </c>
      <c r="C78" s="1302">
        <f>[5]building!C404</f>
        <v>152.6</v>
      </c>
      <c r="D78" s="1302" t="str">
        <f>[5]building!D404</f>
        <v>Each</v>
      </c>
      <c r="E78" s="1302">
        <f>station!I900</f>
        <v>22</v>
      </c>
      <c r="F78" s="1302">
        <f t="shared" si="1"/>
        <v>3357.2</v>
      </c>
    </row>
    <row r="79" spans="1:6" ht="27" customHeight="1">
      <c r="A79" s="1302"/>
      <c r="B79" s="1336" t="str">
        <f>[5]building!B418</f>
        <v>Electrical arrangements</v>
      </c>
      <c r="C79" s="1302"/>
      <c r="D79" s="1302"/>
      <c r="E79" s="1302"/>
      <c r="F79" s="1302">
        <f t="shared" ref="F79:F101" si="2">C79*E79</f>
        <v>0</v>
      </c>
    </row>
    <row r="80" spans="1:6">
      <c r="A80" s="1302">
        <f>[5]building!A419</f>
        <v>64</v>
      </c>
      <c r="B80" s="1303" t="str">
        <f>[5]building!B419</f>
        <v>a. Light point with ceiling rose</v>
      </c>
      <c r="C80" s="1302">
        <f>Abs!C426</f>
        <v>1499.19</v>
      </c>
      <c r="D80" s="1302" t="str">
        <f>[5]building!D419</f>
        <v>Each</v>
      </c>
      <c r="E80" s="1302">
        <f>station!I920</f>
        <v>50</v>
      </c>
      <c r="F80" s="1302">
        <f t="shared" si="2"/>
        <v>74959.5</v>
      </c>
    </row>
    <row r="81" spans="1:6">
      <c r="A81" s="1302"/>
      <c r="B81" s="1303" t="str">
        <f>[5]building!B420</f>
        <v>b. Light point without ceiling rose</v>
      </c>
      <c r="C81" s="1302">
        <v>1503.34</v>
      </c>
      <c r="D81" s="1302" t="str">
        <f>[5]building!D420</f>
        <v>Each</v>
      </c>
      <c r="E81" s="1302">
        <f>station!I934</f>
        <v>41</v>
      </c>
      <c r="F81" s="1302">
        <f t="shared" si="2"/>
        <v>61636.94</v>
      </c>
    </row>
    <row r="82" spans="1:6">
      <c r="A82" s="1302"/>
      <c r="B82" s="1303" t="str">
        <f>[5]building!B421</f>
        <v>c. Calling bell point with Buzzer/Calling bell</v>
      </c>
      <c r="C82" s="1302">
        <f>[5]building!C421</f>
        <v>1538.57</v>
      </c>
      <c r="D82" s="1302" t="str">
        <f>[5]building!D421</f>
        <v>Each</v>
      </c>
      <c r="E82" s="1302">
        <f>station!I936</f>
        <v>2</v>
      </c>
      <c r="F82" s="1302">
        <f t="shared" si="2"/>
        <v>3077.14</v>
      </c>
    </row>
    <row r="83" spans="1:6">
      <c r="A83" s="1302">
        <f>[5]building!A422</f>
        <v>65</v>
      </c>
      <c r="B83" s="1303" t="str">
        <f>[5]building!B422</f>
        <v xml:space="preserve">Fan point </v>
      </c>
      <c r="C83" s="1302">
        <f>Abs!C429</f>
        <v>1565.4</v>
      </c>
      <c r="D83" s="1302" t="str">
        <f>[5]building!D422</f>
        <v>Each</v>
      </c>
      <c r="E83" s="1302">
        <f>station!I948</f>
        <v>16</v>
      </c>
      <c r="F83" s="1302">
        <f t="shared" si="2"/>
        <v>25046.400000000001</v>
      </c>
    </row>
    <row r="84" spans="1:6">
      <c r="A84" s="1302">
        <f>[5]building!A423</f>
        <v>66</v>
      </c>
      <c r="B84" s="1303" t="str">
        <f>[5]building!B423</f>
        <v>Staircase light point</v>
      </c>
      <c r="C84" s="1302">
        <f>Abs!C430</f>
        <v>2802.09</v>
      </c>
      <c r="D84" s="1302" t="str">
        <f>[5]building!D423</f>
        <v>Each</v>
      </c>
      <c r="E84" s="1302">
        <f>station!I950</f>
        <v>2</v>
      </c>
      <c r="F84" s="1302">
        <f t="shared" si="2"/>
        <v>5604.18</v>
      </c>
    </row>
    <row r="85" spans="1:6">
      <c r="A85" s="1302">
        <f>[5]building!A424</f>
        <v>67</v>
      </c>
      <c r="B85" s="1303" t="str">
        <f>[5]building!B424</f>
        <v>5 amps 5 pin Plug point (Switch board itself)</v>
      </c>
      <c r="C85" s="1302">
        <f>Abs!C431</f>
        <v>764.91</v>
      </c>
      <c r="D85" s="1302" t="str">
        <f>[5]building!D424</f>
        <v>Each</v>
      </c>
      <c r="E85" s="1302">
        <f>station!I961</f>
        <v>16</v>
      </c>
      <c r="F85" s="1302">
        <f t="shared" si="2"/>
        <v>12238.56</v>
      </c>
    </row>
    <row r="86" spans="1:6">
      <c r="A86" s="1302">
        <f>[5]building!A425</f>
        <v>68</v>
      </c>
      <c r="B86" s="1303" t="str">
        <f>[5]building!B425</f>
        <v>5 amps 5 pin Plug point (Convenient places)</v>
      </c>
      <c r="C86" s="1302">
        <f>Abs!C432</f>
        <v>1041.2</v>
      </c>
      <c r="D86" s="1302" t="str">
        <f>[5]building!D425</f>
        <v>Each</v>
      </c>
      <c r="E86" s="1302">
        <f>station!I970</f>
        <v>14</v>
      </c>
      <c r="F86" s="1302">
        <f t="shared" si="2"/>
        <v>14576.8</v>
      </c>
    </row>
    <row r="87" spans="1:6">
      <c r="A87" s="1302">
        <f>[5]building!A426</f>
        <v>69</v>
      </c>
      <c r="B87" s="1303" t="str">
        <f>[5]building!B426</f>
        <v>15 Amp. Power plug</v>
      </c>
      <c r="C87" s="1302">
        <f>Abs!C433</f>
        <v>138.69999999999999</v>
      </c>
      <c r="D87" s="1302" t="str">
        <f>[5]building!D426</f>
        <v>Each</v>
      </c>
      <c r="E87" s="1302">
        <f>station!I979</f>
        <v>20</v>
      </c>
      <c r="F87" s="1302">
        <f t="shared" si="2"/>
        <v>2774</v>
      </c>
    </row>
    <row r="88" spans="1:6">
      <c r="A88" s="1302">
        <f>[5]building!A427</f>
        <v>70.099999999999994</v>
      </c>
      <c r="B88" s="1303" t="str">
        <f>[5]building!B427</f>
        <v>Bulk head fitting</v>
      </c>
      <c r="C88" s="1302">
        <f>Abs!C434</f>
        <v>462</v>
      </c>
      <c r="D88" s="1302" t="str">
        <f>[5]building!D427</f>
        <v>Each</v>
      </c>
      <c r="E88" s="1302">
        <f>station!I981</f>
        <v>6</v>
      </c>
      <c r="F88" s="1302">
        <f t="shared" si="2"/>
        <v>2772</v>
      </c>
    </row>
    <row r="89" spans="1:6">
      <c r="A89" s="1302">
        <f>[5]building!A428</f>
        <v>70.2</v>
      </c>
      <c r="B89" s="1303" t="s">
        <v>6003</v>
      </c>
      <c r="C89" s="1302">
        <v>642</v>
      </c>
      <c r="D89" s="1302" t="str">
        <f>[5]building!D428</f>
        <v>Each</v>
      </c>
      <c r="E89" s="1302">
        <f>station!I999</f>
        <v>73</v>
      </c>
      <c r="F89" s="1302">
        <f t="shared" si="2"/>
        <v>46866</v>
      </c>
    </row>
    <row r="90" spans="1:6" ht="33">
      <c r="A90" s="1349">
        <v>71.2</v>
      </c>
      <c r="B90" s="1247" t="s">
        <v>5975</v>
      </c>
      <c r="C90" s="1302">
        <f>Abs!C438</f>
        <v>562</v>
      </c>
      <c r="D90" s="1302" t="s">
        <v>1418</v>
      </c>
      <c r="E90" s="1302">
        <f>station!I1002</f>
        <v>2</v>
      </c>
      <c r="F90" s="1302">
        <f t="shared" si="2"/>
        <v>1124</v>
      </c>
    </row>
    <row r="91" spans="1:6" ht="16.5">
      <c r="A91" s="1349">
        <v>72</v>
      </c>
      <c r="B91" s="1247" t="s">
        <v>5974</v>
      </c>
      <c r="C91" s="1302">
        <f>Abs!C439</f>
        <v>33.9</v>
      </c>
      <c r="D91" s="1302" t="s">
        <v>1418</v>
      </c>
      <c r="E91" s="1302">
        <f>station!I1013</f>
        <v>16</v>
      </c>
      <c r="F91" s="1302">
        <f t="shared" si="2"/>
        <v>542.4</v>
      </c>
    </row>
    <row r="92" spans="1:6" ht="16.5">
      <c r="A92" s="1349">
        <v>73.099999999999994</v>
      </c>
      <c r="B92" s="1247" t="s">
        <v>5976</v>
      </c>
      <c r="C92" s="1302">
        <f>Abs!C441</f>
        <v>3342.85</v>
      </c>
      <c r="D92" s="1302" t="s">
        <v>1418</v>
      </c>
      <c r="E92" s="1302">
        <f>station!I1014</f>
        <v>2</v>
      </c>
      <c r="F92" s="1302">
        <f t="shared" si="2"/>
        <v>6685.7</v>
      </c>
    </row>
    <row r="93" spans="1:6">
      <c r="A93" s="1302">
        <f>[5]building!A435</f>
        <v>74</v>
      </c>
      <c r="B93" s="1303" t="str">
        <f>[5]building!B435</f>
        <v>Charges for fixing of "Fan"</v>
      </c>
      <c r="C93" s="1302">
        <f>Abs!C442</f>
        <v>520.79999999999995</v>
      </c>
      <c r="D93" s="1302" t="str">
        <f>[5]building!D435</f>
        <v>Each</v>
      </c>
      <c r="E93" s="1302">
        <f>station!I1025</f>
        <v>16</v>
      </c>
      <c r="F93" s="1302">
        <f t="shared" si="2"/>
        <v>8332.7999999999993</v>
      </c>
    </row>
    <row r="94" spans="1:6">
      <c r="A94" s="1302">
        <f>[5]building!A439</f>
        <v>76</v>
      </c>
      <c r="B94" s="1303" t="str">
        <f>[5]building!B439</f>
        <v>8 SWG wire</v>
      </c>
      <c r="C94" s="1302">
        <f>Abs!C446</f>
        <v>23.79</v>
      </c>
      <c r="D94" s="1302" t="str">
        <f>[5]building!D439</f>
        <v>Rmt</v>
      </c>
      <c r="E94" s="1302">
        <f>station!I1027</f>
        <v>23</v>
      </c>
      <c r="F94" s="1302">
        <f t="shared" si="2"/>
        <v>547.16999999999996</v>
      </c>
    </row>
    <row r="95" spans="1:6">
      <c r="A95" s="1302">
        <f>[5]building!A443</f>
        <v>77.3</v>
      </c>
      <c r="B95" s="1303" t="str">
        <f>[5]building!B443</f>
        <v>S&amp;F of TV/Telephone line Socket</v>
      </c>
      <c r="C95" s="1302">
        <f>Abs!C450</f>
        <v>76.67</v>
      </c>
      <c r="D95" s="1302" t="str">
        <f>[5]building!D443</f>
        <v>Each</v>
      </c>
      <c r="E95" s="1302">
        <f>station!I1031</f>
        <v>5</v>
      </c>
      <c r="F95" s="1302">
        <f t="shared" si="2"/>
        <v>383.35</v>
      </c>
    </row>
    <row r="96" spans="1:6" ht="31.5">
      <c r="A96" s="1302">
        <f>[5]building!A444</f>
        <v>77.400000000000006</v>
      </c>
      <c r="B96" s="1291" t="str">
        <f>[5]building!B444</f>
        <v>S&amp;F of 20mm dia PVC pipe for TV/Telephone line</v>
      </c>
      <c r="C96" s="1302">
        <f>Abs!C451</f>
        <v>79.650000000000006</v>
      </c>
      <c r="D96" s="1302" t="str">
        <f>[5]building!D444</f>
        <v>Rmt</v>
      </c>
      <c r="E96" s="1302">
        <f>station!I1035</f>
        <v>30</v>
      </c>
      <c r="F96" s="1302">
        <f t="shared" si="2"/>
        <v>2389.5</v>
      </c>
    </row>
    <row r="97" spans="1:6">
      <c r="A97" s="1302">
        <f>[5]building!A445</f>
        <v>78</v>
      </c>
      <c r="B97" s="1303" t="str">
        <f>[5]building!B445</f>
        <v>Earthing Station IS3043 (Type I)</v>
      </c>
      <c r="C97" s="1302">
        <f>Abs!C452</f>
        <v>2745.95</v>
      </c>
      <c r="D97" s="1302" t="str">
        <f>[5]building!D445</f>
        <v>Each</v>
      </c>
      <c r="E97" s="1302">
        <f>station!I1037</f>
        <v>2</v>
      </c>
      <c r="F97" s="1302">
        <f t="shared" si="2"/>
        <v>5491.9</v>
      </c>
    </row>
    <row r="98" spans="1:6">
      <c r="A98" s="1302">
        <f>[5]building!A450</f>
        <v>81</v>
      </c>
      <c r="B98" s="1303" t="str">
        <f>[5]building!B450</f>
        <v>Meter cupboard</v>
      </c>
      <c r="C98" s="1302">
        <f>Abs!C457</f>
        <v>2363.98</v>
      </c>
      <c r="D98" s="1302" t="str">
        <f>[5]building!D450</f>
        <v>Sqm</v>
      </c>
      <c r="E98" s="1302">
        <f>station!I1038</f>
        <v>0.75</v>
      </c>
      <c r="F98" s="1302">
        <f t="shared" si="2"/>
        <v>1772.99</v>
      </c>
    </row>
    <row r="99" spans="1:6">
      <c r="A99" s="1302">
        <f>[5]building!A455</f>
        <v>86</v>
      </c>
      <c r="B99" s="1303" t="str">
        <f>[5]building!B455</f>
        <v>Anti termite treatment</v>
      </c>
      <c r="C99" s="1302">
        <f>Abs!C462</f>
        <v>34</v>
      </c>
      <c r="D99" s="1302" t="str">
        <f>[5]building!D455</f>
        <v>Sqm.</v>
      </c>
      <c r="E99" s="1302">
        <f>station!I1041</f>
        <v>239.3</v>
      </c>
      <c r="F99" s="1302">
        <f t="shared" si="2"/>
        <v>8136.2</v>
      </c>
    </row>
    <row r="100" spans="1:6" ht="16.5">
      <c r="A100" s="1302">
        <v>87.1</v>
      </c>
      <c r="B100" s="1247" t="s">
        <v>5742</v>
      </c>
      <c r="C100" s="1302">
        <v>449.93</v>
      </c>
      <c r="D100" s="1302" t="s">
        <v>1418</v>
      </c>
      <c r="E100" s="1302">
        <f>station!I1042</f>
        <v>2</v>
      </c>
      <c r="F100" s="1302">
        <f t="shared" si="2"/>
        <v>899.86</v>
      </c>
    </row>
    <row r="101" spans="1:6">
      <c r="A101" s="1302">
        <f>[5]building!A457</f>
        <v>112</v>
      </c>
      <c r="B101" s="1303" t="str">
        <f>[5]building!B457</f>
        <v>S &amp; F of Exsaust Fan 300 mm dia</v>
      </c>
      <c r="C101" s="1302">
        <f>Abs!C464</f>
        <v>2147.63</v>
      </c>
      <c r="D101" s="1302" t="str">
        <f>[5]building!D457</f>
        <v>Each</v>
      </c>
      <c r="E101" s="1302">
        <f>station!I1048</f>
        <v>7</v>
      </c>
      <c r="F101" s="1302">
        <f t="shared" si="2"/>
        <v>15033.41</v>
      </c>
    </row>
    <row r="102" spans="1:6" ht="31.5" customHeight="1">
      <c r="A102" s="1302"/>
      <c r="B102" s="1348" t="str">
        <f>[5]building!B459</f>
        <v>ANNEXURE</v>
      </c>
      <c r="C102" s="1302"/>
      <c r="D102" s="1302"/>
      <c r="E102" s="1302"/>
      <c r="F102" s="1302"/>
    </row>
    <row r="103" spans="1:6" ht="31.5">
      <c r="A103" s="1333" t="s">
        <v>1009</v>
      </c>
      <c r="B103" s="1291" t="s">
        <v>5957</v>
      </c>
      <c r="C103" s="1302"/>
      <c r="D103" s="1302"/>
      <c r="E103" s="1302"/>
      <c r="F103" s="1302"/>
    </row>
    <row r="104" spans="1:6">
      <c r="A104" s="1333"/>
      <c r="B104" s="1303" t="str">
        <f>[5]building!B487</f>
        <v xml:space="preserve">a. In Ground floor </v>
      </c>
      <c r="C104" s="1302">
        <f>[5]Data!X534</f>
        <v>1284.18</v>
      </c>
      <c r="D104" s="1302" t="str">
        <f>[5]building!D487</f>
        <v>Sqm.</v>
      </c>
      <c r="E104" s="1302">
        <f>station!I1059</f>
        <v>82.9</v>
      </c>
      <c r="F104" s="1302">
        <f>C104*E104</f>
        <v>106458.52</v>
      </c>
    </row>
    <row r="105" spans="1:6">
      <c r="A105" s="1333"/>
      <c r="B105" s="1303" t="str">
        <f>[5]building!B488</f>
        <v>b. In First floor</v>
      </c>
      <c r="C105" s="1302">
        <f>[5]Data!X535</f>
        <v>1288.49</v>
      </c>
      <c r="D105" s="1302" t="str">
        <f>[5]building!D488</f>
        <v>Sqm.</v>
      </c>
      <c r="E105" s="1302">
        <f>station!I1065</f>
        <v>36.200000000000003</v>
      </c>
      <c r="F105" s="1302">
        <f t="shared" ref="F105:F168" si="3">C105*E105</f>
        <v>46643.34</v>
      </c>
    </row>
    <row r="106" spans="1:6" ht="47.25">
      <c r="A106" s="1333" t="s">
        <v>1146</v>
      </c>
      <c r="B106" s="762" t="s">
        <v>5228</v>
      </c>
      <c r="C106" s="1302"/>
      <c r="D106" s="1302"/>
      <c r="E106" s="1302"/>
      <c r="F106" s="1302">
        <f t="shared" si="3"/>
        <v>0</v>
      </c>
    </row>
    <row r="107" spans="1:6">
      <c r="A107" s="1302"/>
      <c r="B107" s="1337" t="s">
        <v>5958</v>
      </c>
      <c r="C107" s="1302">
        <f>[5]Data!X556</f>
        <v>1417.27</v>
      </c>
      <c r="D107" s="1302" t="str">
        <f>[5]building!D490</f>
        <v>Sqm.</v>
      </c>
      <c r="E107" s="1302">
        <f>station!I1069</f>
        <v>10.199999999999999</v>
      </c>
      <c r="F107" s="1302">
        <f t="shared" si="3"/>
        <v>14456.15</v>
      </c>
    </row>
    <row r="108" spans="1:6">
      <c r="A108" s="1302"/>
      <c r="B108" s="1337" t="s">
        <v>5959</v>
      </c>
      <c r="C108" s="1302">
        <f>[5]Data!X558</f>
        <v>1421.65</v>
      </c>
      <c r="D108" s="1302" t="str">
        <f>[5]building!D491</f>
        <v>Sqm.</v>
      </c>
      <c r="E108" s="1302">
        <f>station!I1078</f>
        <v>82.9</v>
      </c>
      <c r="F108" s="1302">
        <f t="shared" si="3"/>
        <v>117854.79</v>
      </c>
    </row>
    <row r="109" spans="1:6">
      <c r="A109" s="1302"/>
      <c r="B109" s="1337" t="s">
        <v>5960</v>
      </c>
      <c r="C109" s="1302">
        <f>[5]Data!X559</f>
        <v>1430.28</v>
      </c>
      <c r="D109" s="1302" t="s">
        <v>2308</v>
      </c>
      <c r="E109" s="1302">
        <f>station!I1084</f>
        <v>36.200000000000003</v>
      </c>
      <c r="F109" s="1302">
        <f t="shared" si="3"/>
        <v>51776.14</v>
      </c>
    </row>
    <row r="110" spans="1:6">
      <c r="A110" s="1302">
        <f>[5]building!A584</f>
        <v>18.100000000000001</v>
      </c>
      <c r="B110" s="1303" t="str">
        <f>[5]building!B584</f>
        <v>Formwork using M.S.Sheet</v>
      </c>
      <c r="C110" s="1302"/>
      <c r="D110" s="1302"/>
      <c r="E110" s="1302"/>
      <c r="F110" s="1302">
        <f t="shared" si="3"/>
        <v>0</v>
      </c>
    </row>
    <row r="111" spans="1:6" ht="31.5">
      <c r="A111" s="1302"/>
      <c r="B111" s="1291" t="str">
        <f>[5]building!B585</f>
        <v>a.For Column footings,plinth beam,Grade beam,Raftbeam,Raft slab etc.,</v>
      </c>
      <c r="C111" s="1302">
        <f>[5]building!C585</f>
        <v>739.38</v>
      </c>
      <c r="D111" s="1302" t="str">
        <f>[5]building!D585</f>
        <v>Sqm</v>
      </c>
      <c r="E111" s="1302">
        <f>station!I1125</f>
        <v>345.8</v>
      </c>
      <c r="F111" s="1302">
        <f t="shared" si="3"/>
        <v>255677.6</v>
      </c>
    </row>
    <row r="112" spans="1:6" ht="63">
      <c r="A112" s="1302"/>
      <c r="B112" s="1291" t="str">
        <f>[5]building!B586</f>
        <v>b.Plain surfaces such as Roof slab,floorslab,Beams,lintels,lofts,sill slab,staircase,portico slab and other similar works</v>
      </c>
      <c r="C112" s="1302">
        <f>[5]building!C586</f>
        <v>831.23</v>
      </c>
      <c r="D112" s="1302" t="str">
        <f>[5]building!D586</f>
        <v>Sqm</v>
      </c>
      <c r="E112" s="1302">
        <f>station!I1224</f>
        <v>1300.5999999999999</v>
      </c>
      <c r="F112" s="1302">
        <f t="shared" si="3"/>
        <v>1081097.74</v>
      </c>
    </row>
    <row r="113" spans="1:6" ht="31.5">
      <c r="A113" s="1302"/>
      <c r="B113" s="1291" t="str">
        <f>[5]building!B587</f>
        <v>c.For Square and rectangular columns and small quantities</v>
      </c>
      <c r="C113" s="1302">
        <f>[5]building!C587</f>
        <v>997.48</v>
      </c>
      <c r="D113" s="1302" t="str">
        <f>[5]building!D587</f>
        <v>Sqm</v>
      </c>
      <c r="E113" s="1302">
        <f>station!I1280</f>
        <v>434</v>
      </c>
      <c r="F113" s="1302">
        <f t="shared" si="3"/>
        <v>432906.32</v>
      </c>
    </row>
    <row r="114" spans="1:6">
      <c r="A114" s="1302"/>
      <c r="B114" s="1291" t="str">
        <f>[5]building!B588</f>
        <v>d.Vertical wall</v>
      </c>
      <c r="C114" s="1302">
        <f>[5]building!C588</f>
        <v>914.35</v>
      </c>
      <c r="D114" s="1302" t="str">
        <f>[5]building!D588</f>
        <v>Sqm</v>
      </c>
      <c r="E114" s="1302" t="e">
        <f>station!#REF!</f>
        <v>#REF!</v>
      </c>
      <c r="F114" s="1302" t="e">
        <f t="shared" si="3"/>
        <v>#REF!</v>
      </c>
    </row>
    <row r="115" spans="1:6">
      <c r="A115" s="1302"/>
      <c r="B115" s="1291" t="str">
        <f>[5]building!B590</f>
        <v>f.Curved surface</v>
      </c>
      <c r="C115" s="1302">
        <f>[5]building!C590</f>
        <v>1246.8499999999999</v>
      </c>
      <c r="D115" s="1302" t="str">
        <f>[5]building!D590</f>
        <v>Sqm</v>
      </c>
      <c r="E115" s="1302"/>
      <c r="F115" s="1302">
        <f t="shared" si="3"/>
        <v>0</v>
      </c>
    </row>
    <row r="116" spans="1:6">
      <c r="A116" s="1302"/>
      <c r="B116" s="1303" t="str">
        <f>[5]building!B591</f>
        <v>g.Double centering portico area</v>
      </c>
      <c r="C116" s="1302">
        <f>[5]building!C591</f>
        <v>1662.46</v>
      </c>
      <c r="D116" s="1302" t="str">
        <f>[5]building!D591</f>
        <v>Sqm</v>
      </c>
      <c r="E116" s="1302">
        <f>station!I1285</f>
        <v>434.6</v>
      </c>
      <c r="F116" s="1302">
        <f t="shared" si="3"/>
        <v>722505.12</v>
      </c>
    </row>
    <row r="117" spans="1:6" ht="47.25">
      <c r="A117" s="1232" t="s">
        <v>5770</v>
      </c>
      <c r="B117" s="1291" t="str">
        <f>[5]building!B604</f>
        <v>Providing T.W double leaf shutter with 18mm thick BWR Plywood for Cupboard / ward robes shutters (Rest room) 4000x2100mm</v>
      </c>
      <c r="C117" s="1302">
        <f>[5]building!C604</f>
        <v>6981.88</v>
      </c>
      <c r="D117" s="1302" t="str">
        <f>[5]building!D604</f>
        <v>Sqm</v>
      </c>
      <c r="E117" s="1302">
        <f>station!I1292</f>
        <v>15.15</v>
      </c>
      <c r="F117" s="1302">
        <f t="shared" si="3"/>
        <v>105775.48</v>
      </c>
    </row>
    <row r="118" spans="1:6" ht="35.25" customHeight="1">
      <c r="A118" s="1302">
        <v>99.1</v>
      </c>
      <c r="B118" s="1291" t="str">
        <f>[5]building!B614</f>
        <v xml:space="preserve">a. 1200X2100mm.(Single leaf)  </v>
      </c>
      <c r="C118" s="1302">
        <f>[5]building!C614</f>
        <v>5777.7</v>
      </c>
      <c r="D118" s="1302" t="str">
        <f>[5]building!D614</f>
        <v>Sqm</v>
      </c>
      <c r="E118" s="1302">
        <f>station!I1295</f>
        <v>5.8</v>
      </c>
      <c r="F118" s="1302">
        <f t="shared" si="3"/>
        <v>33510.660000000003</v>
      </c>
    </row>
    <row r="119" spans="1:6" ht="31.5">
      <c r="A119" s="1302"/>
      <c r="B119" s="1291" t="str">
        <f>[5]building!B619</f>
        <v>TW double leaves shutter of size  with brass fittings a.1800 x 2100mm For PS</v>
      </c>
      <c r="C119" s="1302">
        <f>[5]building!C619</f>
        <v>5533.07</v>
      </c>
      <c r="D119" s="1302" t="str">
        <f>[5]building!D619</f>
        <v>Sqm</v>
      </c>
      <c r="E119" s="1302">
        <f>station!I1298</f>
        <v>8.6999999999999993</v>
      </c>
      <c r="F119" s="1302">
        <f t="shared" si="3"/>
        <v>48137.71</v>
      </c>
    </row>
    <row r="120" spans="1:6" ht="31.5">
      <c r="A120" s="1302" t="str">
        <f>[5]building!A630</f>
        <v>21.5.2</v>
      </c>
      <c r="B120" s="1291" t="str">
        <f>[5]building!B630</f>
        <v>Supply and Fixing Soild UPVC door Shutter with frame</v>
      </c>
      <c r="C120" s="1302">
        <f>[5]building!C630</f>
        <v>3167</v>
      </c>
      <c r="D120" s="1302" t="str">
        <f>[5]building!D630</f>
        <v>Sqm</v>
      </c>
      <c r="E120" s="1302">
        <f>station!I1300</f>
        <v>20.5</v>
      </c>
      <c r="F120" s="1302">
        <f t="shared" si="3"/>
        <v>64923.5</v>
      </c>
    </row>
    <row r="121" spans="1:6" ht="37.5">
      <c r="A121" s="1302">
        <v>22.9</v>
      </c>
      <c r="B121" s="1338" t="s">
        <v>5961</v>
      </c>
      <c r="C121" s="1302">
        <f>[5]Data!K3530</f>
        <v>3198.2</v>
      </c>
      <c r="D121" s="1302" t="s">
        <v>2308</v>
      </c>
      <c r="E121" s="1302">
        <f>station!I1307</f>
        <v>23.1</v>
      </c>
      <c r="F121" s="1302">
        <f t="shared" si="3"/>
        <v>73878.42</v>
      </c>
    </row>
    <row r="122" spans="1:6" ht="37.5">
      <c r="A122" s="1302"/>
      <c r="B122" s="1338" t="s">
        <v>5962</v>
      </c>
      <c r="C122" s="1302">
        <f>Abs!C553</f>
        <v>2959.11</v>
      </c>
      <c r="D122" s="1302" t="s">
        <v>2308</v>
      </c>
      <c r="E122" s="1302">
        <f>station!I1311</f>
        <v>15.2</v>
      </c>
      <c r="F122" s="1302">
        <f t="shared" si="3"/>
        <v>44978.47</v>
      </c>
    </row>
    <row r="123" spans="1:6" ht="26.25" customHeight="1">
      <c r="A123" s="1302" t="s">
        <v>703</v>
      </c>
      <c r="B123" s="1303" t="s">
        <v>5963</v>
      </c>
      <c r="C123" s="1302">
        <v>708.1</v>
      </c>
      <c r="D123" s="1302" t="s">
        <v>2308</v>
      </c>
      <c r="E123" s="1302">
        <f>station!I1326</f>
        <v>85.85</v>
      </c>
      <c r="F123" s="1302">
        <f t="shared" si="3"/>
        <v>60790.39</v>
      </c>
    </row>
    <row r="124" spans="1:6" ht="29.25" customHeight="1">
      <c r="A124" s="1302"/>
      <c r="B124" s="1303" t="s">
        <v>5964</v>
      </c>
      <c r="C124" s="1302">
        <f>[5]Data!R1246</f>
        <v>1361.71</v>
      </c>
      <c r="D124" s="1302" t="s">
        <v>2308</v>
      </c>
      <c r="E124" s="1302">
        <f>station!I1350</f>
        <v>351.4</v>
      </c>
      <c r="F124" s="1302">
        <f t="shared" si="3"/>
        <v>478504.89</v>
      </c>
    </row>
    <row r="125" spans="1:6">
      <c r="A125" s="1302">
        <f>[5]building!A656</f>
        <v>29.8</v>
      </c>
      <c r="B125" s="1291" t="str">
        <f>[5]building!B656</f>
        <v>Glazed tiles using Grout (Tile Joint Filler)</v>
      </c>
      <c r="C125" s="1302">
        <f>[5]building!C656</f>
        <v>1236.28</v>
      </c>
      <c r="D125" s="1302" t="str">
        <f>[5]building!D656</f>
        <v>Sqm</v>
      </c>
      <c r="E125" s="1302">
        <f>station!I1367</f>
        <v>164.1</v>
      </c>
      <c r="F125" s="1302">
        <f t="shared" si="3"/>
        <v>202873.55</v>
      </c>
    </row>
    <row r="126" spans="1:6" ht="31.5">
      <c r="A126" s="1302">
        <f>[5]building!A658</f>
        <v>29.9</v>
      </c>
      <c r="B126" s="1291" t="str">
        <f>[5]building!B658</f>
        <v>Floor ceramic tiles (Anti-skid) using Grout (Tile Joint Filler).</v>
      </c>
      <c r="C126" s="1302">
        <f>[5]building!C658</f>
        <v>1092.05</v>
      </c>
      <c r="D126" s="1302" t="str">
        <f>[5]building!D658</f>
        <v>Sqm</v>
      </c>
      <c r="E126" s="1302">
        <f>station!I1376</f>
        <v>53</v>
      </c>
      <c r="F126" s="1302">
        <f t="shared" si="3"/>
        <v>57878.65</v>
      </c>
    </row>
    <row r="127" spans="1:6" ht="31.5">
      <c r="A127" s="1302">
        <f>[5]building!A659</f>
        <v>38.4</v>
      </c>
      <c r="B127" s="1291" t="str">
        <f>[5]building!B659</f>
        <v>Two coat of cement paint over one coat white cement</v>
      </c>
      <c r="C127" s="1302">
        <f>[5]building!C659</f>
        <v>114.39</v>
      </c>
      <c r="D127" s="1302" t="str">
        <f>[5]building!D659</f>
        <v>Sqm</v>
      </c>
      <c r="E127" s="1302">
        <f>[5]building!E659</f>
        <v>0</v>
      </c>
      <c r="F127" s="1302">
        <f t="shared" si="3"/>
        <v>0</v>
      </c>
    </row>
    <row r="128" spans="1:6" ht="31.5">
      <c r="A128" s="1302">
        <f>[5]building!A661</f>
        <v>38.6</v>
      </c>
      <c r="B128" s="1291" t="str">
        <f>[5]building!B661</f>
        <v>One coat white cement for new walls and other similar works.</v>
      </c>
      <c r="C128" s="1302">
        <f>[5]building!C661</f>
        <v>53.72</v>
      </c>
      <c r="D128" s="1302" t="str">
        <f>[5]building!D661</f>
        <v>Sqm</v>
      </c>
      <c r="E128" s="1302">
        <f>station!I1380</f>
        <v>1879</v>
      </c>
      <c r="F128" s="1302">
        <f t="shared" si="3"/>
        <v>100939.88</v>
      </c>
    </row>
    <row r="129" spans="1:6" ht="26.25" customHeight="1">
      <c r="A129" s="1302">
        <v>796</v>
      </c>
      <c r="B129" s="1291" t="s">
        <v>5965</v>
      </c>
      <c r="C129" s="1302">
        <f>[5]Data!R1323</f>
        <v>206.91</v>
      </c>
      <c r="D129" s="1302" t="s">
        <v>2308</v>
      </c>
      <c r="E129" s="1302">
        <f>station!I1387</f>
        <v>1147</v>
      </c>
      <c r="F129" s="1302">
        <f t="shared" si="3"/>
        <v>237325.77</v>
      </c>
    </row>
    <row r="130" spans="1:6" ht="47.25">
      <c r="A130" s="1302">
        <f>[5]building!A663</f>
        <v>43</v>
      </c>
      <c r="B130" s="1291" t="str">
        <f>[5]building!B663</f>
        <v xml:space="preserve">Fabrication of Mild steel / RTS grills (without cement slurry) for all sizes of rods.
</v>
      </c>
      <c r="C130" s="1302">
        <f>[5]building!C663</f>
        <v>77593</v>
      </c>
      <c r="D130" s="1302" t="str">
        <f>[5]building!D663</f>
        <v>MT</v>
      </c>
      <c r="E130" s="1302">
        <f>station!I1396</f>
        <v>33.17</v>
      </c>
      <c r="F130" s="1302">
        <f t="shared" si="3"/>
        <v>2573759.81</v>
      </c>
    </row>
    <row r="131" spans="1:6" ht="31.5">
      <c r="A131" s="1302">
        <f>[5]building!A664</f>
        <v>44.6</v>
      </c>
      <c r="B131" s="1291" t="str">
        <f>[5]building!B664</f>
        <v>PVC SWR 110 mm dia with ISI mark type- A for Rain water down fall pipe</v>
      </c>
      <c r="C131" s="1302">
        <f>[5]building!C664</f>
        <v>321.74</v>
      </c>
      <c r="D131" s="1302" t="str">
        <f>[5]building!D664</f>
        <v>Rmt</v>
      </c>
      <c r="E131" s="1302">
        <f>station!I1402</f>
        <v>73.8</v>
      </c>
      <c r="F131" s="1302">
        <f t="shared" si="3"/>
        <v>23744.41</v>
      </c>
    </row>
    <row r="132" spans="1:6">
      <c r="A132" s="1302">
        <f>[5]building!A665</f>
        <v>50.6</v>
      </c>
      <c r="B132" s="1291" t="str">
        <f>[5]building!B665</f>
        <v>Precast slab 50 mm tk.in C.C. 1:3:6 with fibre</v>
      </c>
      <c r="C132" s="1302">
        <f>[5]building!C665</f>
        <v>373.41</v>
      </c>
      <c r="D132" s="1302" t="str">
        <f>[5]building!D665</f>
        <v>Sqm</v>
      </c>
      <c r="E132" s="1302">
        <f>[5]building!E665</f>
        <v>0</v>
      </c>
      <c r="F132" s="1302">
        <f t="shared" si="3"/>
        <v>0</v>
      </c>
    </row>
    <row r="133" spans="1:6" ht="31.5">
      <c r="A133" s="1302">
        <f>[5]building!A666</f>
        <v>52.4</v>
      </c>
      <c r="B133" s="1291" t="str">
        <f>[5]building!B666</f>
        <v>20mm dia PVC water supply ASTM pipe (fully consealed in walls)</v>
      </c>
      <c r="C133" s="1302">
        <f>[5]building!C666</f>
        <v>205.94</v>
      </c>
      <c r="D133" s="1302" t="str">
        <f>[5]building!D666</f>
        <v>Rmt</v>
      </c>
      <c r="E133" s="1302">
        <v>60</v>
      </c>
      <c r="F133" s="1302">
        <f t="shared" si="3"/>
        <v>12356.4</v>
      </c>
    </row>
    <row r="134" spans="1:6" ht="31.5">
      <c r="A134" s="1302">
        <f>[5]building!A667</f>
        <v>53.4</v>
      </c>
      <c r="B134" s="1291" t="str">
        <f>[5]building!B667</f>
        <v xml:space="preserve">S&amp;F of C.I Manhole cover 60 x 60 cm (50kg weight ) </v>
      </c>
      <c r="C134" s="1302">
        <f>[5]building!C667</f>
        <v>1846</v>
      </c>
      <c r="D134" s="1302" t="str">
        <f>[5]building!D667</f>
        <v>Each</v>
      </c>
      <c r="E134" s="1302"/>
      <c r="F134" s="1302">
        <f t="shared" si="3"/>
        <v>0</v>
      </c>
    </row>
    <row r="135" spans="1:6" ht="31.5">
      <c r="A135" s="1302">
        <f>[5]building!A668</f>
        <v>0</v>
      </c>
      <c r="B135" s="1291" t="str">
        <f>[5]building!B668</f>
        <v>Wash Hand  Basin of size 550 x 400 mm
(White with Pedestal)</v>
      </c>
      <c r="C135" s="1302">
        <f>[5]building!C668</f>
        <v>3105.82</v>
      </c>
      <c r="D135" s="1302" t="str">
        <f>[5]building!D668</f>
        <v>Each</v>
      </c>
      <c r="E135" s="1302">
        <f>station!I1407</f>
        <v>10</v>
      </c>
      <c r="F135" s="1302">
        <f t="shared" si="3"/>
        <v>31058.2</v>
      </c>
    </row>
    <row r="136" spans="1:6" ht="31.5">
      <c r="A136" s="1302">
        <f>[5]building!A672</f>
        <v>58.3</v>
      </c>
      <c r="B136" s="1291" t="str">
        <f>[5]building!B672</f>
        <v>PVC SWR pipe (Soil line) with ISI mark - type 'B'.</v>
      </c>
      <c r="C136" s="1302"/>
      <c r="D136" s="1302"/>
      <c r="E136" s="1302"/>
      <c r="F136" s="1302">
        <f t="shared" si="3"/>
        <v>0</v>
      </c>
    </row>
    <row r="137" spans="1:6">
      <c r="A137" s="1302"/>
      <c r="B137" s="1303" t="str">
        <f>[5]building!B673</f>
        <v>a. 110 mm dia.</v>
      </c>
      <c r="C137" s="1302">
        <f>[5]building!C673</f>
        <v>657.29</v>
      </c>
      <c r="D137" s="1302" t="str">
        <f>[5]building!D673</f>
        <v>Rmt</v>
      </c>
      <c r="E137" s="1302">
        <f>station!I1410</f>
        <v>24</v>
      </c>
      <c r="F137" s="1302">
        <f t="shared" si="3"/>
        <v>15774.96</v>
      </c>
    </row>
    <row r="138" spans="1:6">
      <c r="A138" s="1302"/>
      <c r="B138" s="1303" t="str">
        <f>[5]building!B674</f>
        <v>b. 75 mm dia.</v>
      </c>
      <c r="C138" s="1302">
        <f>[5]building!C674</f>
        <v>541.41999999999996</v>
      </c>
      <c r="D138" s="1302" t="str">
        <f>[5]building!D674</f>
        <v>Rmt</v>
      </c>
      <c r="E138" s="1302">
        <f>station!I1415</f>
        <v>79.400000000000006</v>
      </c>
      <c r="F138" s="1302">
        <f t="shared" si="3"/>
        <v>42988.75</v>
      </c>
    </row>
    <row r="139" spans="1:6" ht="47.25">
      <c r="A139" s="1302">
        <f>[5]building!A675</f>
        <v>58.4</v>
      </c>
      <c r="B139" s="1291" t="str">
        <f>[5]building!B675</f>
        <v>Supplying, Laying &amp; Concealing the 50mm dia PVC ( SWR) pipe with ISI mark type - 'B' with relevant specials.</v>
      </c>
      <c r="C139" s="1302">
        <f>[5]building!C675</f>
        <v>114.45</v>
      </c>
      <c r="D139" s="1302" t="str">
        <f>[5]building!D675</f>
        <v>Rmt</v>
      </c>
      <c r="E139" s="1302">
        <f>station!I1417</f>
        <v>28</v>
      </c>
      <c r="F139" s="1302">
        <f t="shared" si="3"/>
        <v>3204.6</v>
      </c>
    </row>
    <row r="140" spans="1:6" ht="31.5">
      <c r="A140" s="1302">
        <f>[5]building!A676</f>
        <v>58.5</v>
      </c>
      <c r="B140" s="1291" t="str">
        <f>[5]building!B676</f>
        <v>PVC(SWR) pipe with ISI mark - type 'A' for Ventilating shaft with cowl</v>
      </c>
      <c r="C140" s="1302">
        <f>[5]building!C676</f>
        <v>450.1</v>
      </c>
      <c r="D140" s="1302" t="str">
        <f>[5]building!D676</f>
        <v>Each</v>
      </c>
      <c r="E140" s="1302">
        <f>[5]building!E676</f>
        <v>0</v>
      </c>
      <c r="F140" s="1302">
        <f t="shared" si="3"/>
        <v>0</v>
      </c>
    </row>
    <row r="141" spans="1:6">
      <c r="A141" s="1302"/>
      <c r="B141" s="1291" t="s">
        <v>5966</v>
      </c>
      <c r="C141" s="1302">
        <f>[5]Data!R1227</f>
        <v>1354.89</v>
      </c>
      <c r="D141" s="1302" t="s">
        <v>2308</v>
      </c>
      <c r="E141" s="1302">
        <f>station!I1428</f>
        <v>77</v>
      </c>
      <c r="F141" s="1302">
        <f t="shared" si="3"/>
        <v>104326.53</v>
      </c>
    </row>
    <row r="142" spans="1:6" ht="31.5">
      <c r="A142" s="1302">
        <f>[5]building!A686</f>
        <v>0</v>
      </c>
      <c r="B142" s="1291" t="str">
        <f>[5]building!B686</f>
        <v>Supply and delivery of  48" (1200 mm) Fan with ISI mark with Eletronic Dimmer</v>
      </c>
      <c r="C142" s="1302">
        <f>[5]building!C686</f>
        <v>1437.4</v>
      </c>
      <c r="D142" s="1302" t="str">
        <f>[5]building!D686</f>
        <v>Each</v>
      </c>
      <c r="E142" s="1302">
        <f>station!I1441</f>
        <v>16</v>
      </c>
      <c r="F142" s="1302">
        <f t="shared" si="3"/>
        <v>22998.400000000001</v>
      </c>
    </row>
    <row r="143" spans="1:6" ht="63">
      <c r="A143" s="1302">
        <f>[5]building!A689</f>
        <v>0</v>
      </c>
      <c r="B143" s="1291" t="str">
        <f>[5]building!B689</f>
        <v>Run of 2 Wires of 2.5 sqmm PVC insulated single core multi strand fire retardant flexible copper cable with ISI mark confirming IS: 694:1990.</v>
      </c>
      <c r="C143" s="1302">
        <f>[5]building!C689</f>
        <v>209.78</v>
      </c>
      <c r="D143" s="1302" t="str">
        <f>[5]building!D689</f>
        <v>Rmt</v>
      </c>
      <c r="E143" s="1302">
        <f>station!I1442</f>
        <v>50</v>
      </c>
      <c r="F143" s="1302">
        <f t="shared" si="3"/>
        <v>10489</v>
      </c>
    </row>
    <row r="144" spans="1:6" ht="36" customHeight="1">
      <c r="A144" s="1302">
        <f>[5]building!A698</f>
        <v>44.2</v>
      </c>
      <c r="B144" s="1905" t="s">
        <v>1184</v>
      </c>
      <c r="C144" s="1906"/>
      <c r="D144" s="1907"/>
      <c r="E144" s="1302"/>
      <c r="F144" s="1302">
        <f t="shared" si="3"/>
        <v>0</v>
      </c>
    </row>
    <row r="145" spans="1:6">
      <c r="A145" s="1302"/>
      <c r="B145" s="1303" t="str">
        <f>[5]building!B699</f>
        <v>a). Providing pit (M30)</v>
      </c>
      <c r="C145" s="1302">
        <f>[5]Data!R2347</f>
        <v>1896.6</v>
      </c>
      <c r="D145" s="1302" t="str">
        <f>[5]building!D699</f>
        <v>Each</v>
      </c>
      <c r="E145" s="1302">
        <f>station!I1445</f>
        <v>4</v>
      </c>
      <c r="F145" s="1302">
        <f t="shared" si="3"/>
        <v>7586.4</v>
      </c>
    </row>
    <row r="146" spans="1:6">
      <c r="A146" s="1302"/>
      <c r="B146" s="1303" t="str">
        <f>[5]building!B700</f>
        <v>b) Augering 30cm dia</v>
      </c>
      <c r="C146" s="1302">
        <f>[5]building!C700</f>
        <v>434.61</v>
      </c>
      <c r="D146" s="1302" t="str">
        <f>[5]building!D700</f>
        <v>Rmt</v>
      </c>
      <c r="E146" s="1302">
        <f>station!I1446</f>
        <v>15</v>
      </c>
      <c r="F146" s="1302">
        <f t="shared" si="3"/>
        <v>6519.15</v>
      </c>
    </row>
    <row r="147" spans="1:6" ht="47.25">
      <c r="A147" s="1302"/>
      <c r="B147" s="1291" t="str">
        <f>[5]building!B701</f>
        <v>Providing Rain water Harvesting well ring of Circular shape of 90mm dia, 60cm depth using Standardised Mix design M20</v>
      </c>
      <c r="C147" s="1302">
        <f>[5]building!C701</f>
        <v>1315.68</v>
      </c>
      <c r="D147" s="1302" t="str">
        <f>[5]building!D701</f>
        <v>Each</v>
      </c>
      <c r="E147" s="1302">
        <f>[5]building!E701</f>
        <v>4</v>
      </c>
      <c r="F147" s="1302">
        <f t="shared" si="3"/>
        <v>5262.72</v>
      </c>
    </row>
    <row r="148" spans="1:6" ht="31.5">
      <c r="A148" s="1302">
        <f>[5]building!A703</f>
        <v>344.2</v>
      </c>
      <c r="B148" s="1291" t="str">
        <f>[5]building!B703</f>
        <v>S&amp;F of Bevelled edge mirror 500 x 400 x 5.5mm</v>
      </c>
      <c r="C148" s="1302">
        <f>[5]building!C703</f>
        <v>379.4</v>
      </c>
      <c r="D148" s="1302" t="str">
        <f>[5]building!D703</f>
        <v>Each</v>
      </c>
      <c r="E148" s="1302">
        <f>station!I1450</f>
        <v>8</v>
      </c>
      <c r="F148" s="1302">
        <f t="shared" si="3"/>
        <v>3035.2</v>
      </c>
    </row>
    <row r="149" spans="1:6" ht="31.5">
      <c r="A149" s="1302">
        <f>[5]building!A710</f>
        <v>71.2</v>
      </c>
      <c r="B149" s="1291" t="str">
        <f>[5]building!B710</f>
        <v>Supplying and fixing of 32 AMPS Triple pole main switch</v>
      </c>
      <c r="C149" s="1302">
        <f>[5]building!C710</f>
        <v>2084</v>
      </c>
      <c r="D149" s="1302" t="str">
        <f>[5]building!D710</f>
        <v>Each</v>
      </c>
      <c r="E149" s="1302">
        <f>station!I1452</f>
        <v>2</v>
      </c>
      <c r="F149" s="1302">
        <f t="shared" si="3"/>
        <v>4168</v>
      </c>
    </row>
    <row r="150" spans="1:6">
      <c r="A150" s="1302"/>
      <c r="B150" s="1291" t="str">
        <f>[5]building!B712</f>
        <v>3 Nos.of 32Amps - Fuse Unit</v>
      </c>
      <c r="C150" s="1302">
        <f>[5]building!C712</f>
        <v>778</v>
      </c>
      <c r="D150" s="1302" t="str">
        <f>[5]building!D712</f>
        <v>Each</v>
      </c>
      <c r="E150" s="1302">
        <f>[5]building!E712</f>
        <v>2</v>
      </c>
      <c r="F150" s="1302">
        <f t="shared" si="3"/>
        <v>1556</v>
      </c>
    </row>
    <row r="151" spans="1:6">
      <c r="A151" s="1302"/>
      <c r="B151" s="1291" t="str">
        <f>[5]building!B713</f>
        <v>1 Nos.of 32Amps - Fuse Unit</v>
      </c>
      <c r="C151" s="1302">
        <f>[5]building!C713</f>
        <v>508.26</v>
      </c>
      <c r="D151" s="1302" t="str">
        <f>[5]building!D713</f>
        <v>Each</v>
      </c>
      <c r="E151" s="1302">
        <v>3</v>
      </c>
      <c r="F151" s="1302">
        <f t="shared" si="3"/>
        <v>1524.78</v>
      </c>
    </row>
    <row r="152" spans="1:6" ht="30" customHeight="1">
      <c r="A152" s="1302">
        <f>[5]building!A721</f>
        <v>448.2</v>
      </c>
      <c r="B152" s="1303" t="str">
        <f>[5]building!B721</f>
        <v xml:space="preserve">Providing PVC Tee with end cap </v>
      </c>
      <c r="C152" s="1302">
        <f>[5]building!C721</f>
        <v>122.25</v>
      </c>
      <c r="D152" s="1302" t="str">
        <f>[5]building!D721</f>
        <v>Each</v>
      </c>
      <c r="E152" s="1302">
        <f>station!I1458</f>
        <v>8</v>
      </c>
      <c r="F152" s="1302">
        <f t="shared" si="3"/>
        <v>978</v>
      </c>
    </row>
    <row r="153" spans="1:6" ht="31.5">
      <c r="A153" s="1302"/>
      <c r="B153" s="1291" t="str">
        <f>[5]building!B723</f>
        <v>Providing wooden Melamine polish for new wood work</v>
      </c>
      <c r="C153" s="1302">
        <f>[5]building!C723</f>
        <v>1298.51</v>
      </c>
      <c r="D153" s="1302" t="str">
        <f>[5]building!D723</f>
        <v>Sqm</v>
      </c>
      <c r="E153" s="1302">
        <f>station!I1463</f>
        <v>22.7</v>
      </c>
      <c r="F153" s="1302">
        <f t="shared" si="3"/>
        <v>29476.18</v>
      </c>
    </row>
    <row r="154" spans="1:6" ht="31.5">
      <c r="A154" s="1302"/>
      <c r="B154" s="1291" t="str">
        <f>[5]building!B841</f>
        <v xml:space="preserve">S &amp; F of CFL road way lighting luminaries suitable for fixing 36w CFL lamp </v>
      </c>
      <c r="C154" s="1302">
        <f>[5]building!C841</f>
        <v>3190.14</v>
      </c>
      <c r="D154" s="1302" t="str">
        <f>[5]building!D841</f>
        <v>Each</v>
      </c>
      <c r="E154" s="1302">
        <f>station!I1464</f>
        <v>5</v>
      </c>
      <c r="F154" s="1302">
        <f t="shared" si="3"/>
        <v>15950.7</v>
      </c>
    </row>
    <row r="155" spans="1:6" ht="16.5">
      <c r="A155" s="1258">
        <v>147</v>
      </c>
      <c r="B155" s="1247" t="s">
        <v>5867</v>
      </c>
      <c r="C155" s="1302"/>
      <c r="D155" s="1302" t="s">
        <v>1418</v>
      </c>
      <c r="E155" s="1302">
        <v>7</v>
      </c>
      <c r="F155" s="1302">
        <f t="shared" si="3"/>
        <v>0</v>
      </c>
    </row>
    <row r="156" spans="1:6">
      <c r="A156" s="1302"/>
      <c r="B156" s="1291"/>
      <c r="C156" s="1302"/>
      <c r="D156" s="1302"/>
      <c r="E156" s="1302"/>
      <c r="F156" s="1302">
        <f t="shared" si="3"/>
        <v>0</v>
      </c>
    </row>
    <row r="157" spans="1:6">
      <c r="A157" s="1302"/>
      <c r="B157" s="1291" t="s">
        <v>5967</v>
      </c>
      <c r="C157" s="1302">
        <f>[5]Data!AG3112</f>
        <v>467</v>
      </c>
      <c r="D157" s="1302" t="s">
        <v>1418</v>
      </c>
      <c r="E157" s="1302">
        <f>station!I1467</f>
        <v>12</v>
      </c>
      <c r="F157" s="1302">
        <f t="shared" si="3"/>
        <v>5604</v>
      </c>
    </row>
    <row r="158" spans="1:6">
      <c r="A158" s="1302"/>
      <c r="B158" s="1291" t="s">
        <v>5968</v>
      </c>
      <c r="C158" s="1302">
        <f>[5]Data!AH3112</f>
        <v>419</v>
      </c>
      <c r="D158" s="1302" t="s">
        <v>1418</v>
      </c>
      <c r="E158" s="1302">
        <f>station!I1469</f>
        <v>12</v>
      </c>
      <c r="F158" s="1302">
        <f t="shared" si="3"/>
        <v>5028</v>
      </c>
    </row>
    <row r="159" spans="1:6">
      <c r="A159" s="1302"/>
      <c r="B159" s="1291" t="s">
        <v>5856</v>
      </c>
      <c r="C159" s="1302">
        <f>[5]Data!K2412</f>
        <v>2016.25</v>
      </c>
      <c r="D159" s="1302" t="s">
        <v>1418</v>
      </c>
      <c r="E159" s="1302">
        <f>station!I1471</f>
        <v>4</v>
      </c>
      <c r="F159" s="1302">
        <f t="shared" si="3"/>
        <v>8065</v>
      </c>
    </row>
    <row r="160" spans="1:6" ht="31.5">
      <c r="A160" s="1302"/>
      <c r="B160" s="1291" t="str">
        <f>[5]building!B845</f>
        <v>UPVC Non Pressure  pipe of SN8 SDR 34
( S 16.5) as per IS 15328/2003</v>
      </c>
      <c r="C160" s="1302"/>
      <c r="D160" s="1302"/>
      <c r="E160" s="1302"/>
      <c r="F160" s="1302">
        <f t="shared" si="3"/>
        <v>0</v>
      </c>
    </row>
    <row r="161" spans="1:6">
      <c r="A161" s="1302"/>
      <c r="B161" s="1291" t="str">
        <f>[5]building!B846</f>
        <v>a. 110 mm UPVC Non Pressure  pipe</v>
      </c>
      <c r="C161" s="1302">
        <f>[5]building!C846</f>
        <v>366.07</v>
      </c>
      <c r="D161" s="1302" t="str">
        <f>[5]building!D846</f>
        <v>Rmt</v>
      </c>
      <c r="E161" s="1302">
        <f>station!I1475</f>
        <v>30</v>
      </c>
      <c r="F161" s="1302">
        <f t="shared" si="3"/>
        <v>10982.1</v>
      </c>
    </row>
    <row r="162" spans="1:6">
      <c r="A162" s="1302"/>
      <c r="B162" s="1291" t="str">
        <f>[5]building!B847</f>
        <v>b. 160 mm UPVC Non Pressure  pipe</v>
      </c>
      <c r="C162" s="1302">
        <f>[5]building!C847</f>
        <v>593.33000000000004</v>
      </c>
      <c r="D162" s="1302" t="str">
        <f>[5]building!D847</f>
        <v>Rmt</v>
      </c>
      <c r="E162" s="1302">
        <f>station!I1477</f>
        <v>45</v>
      </c>
      <c r="F162" s="1302">
        <f t="shared" si="3"/>
        <v>26699.85</v>
      </c>
    </row>
    <row r="163" spans="1:6">
      <c r="A163" s="1302"/>
      <c r="B163" s="1291" t="str">
        <f>[5]building!B848</f>
        <v>PVC Specials  as per IS 10124/1982 Part II</v>
      </c>
      <c r="C163" s="1302"/>
      <c r="D163" s="1302"/>
      <c r="E163" s="1302"/>
      <c r="F163" s="1302">
        <f t="shared" si="3"/>
        <v>0</v>
      </c>
    </row>
    <row r="164" spans="1:6" ht="31.5">
      <c r="A164" s="1302"/>
      <c r="B164" s="1291" t="str">
        <f>[5]building!B849</f>
        <v>a. 110 mm dia PVC bend (TWAD SR 19-20  P-19 S.No-4 )</v>
      </c>
      <c r="C164" s="1302">
        <f>[5]building!C849</f>
        <v>156</v>
      </c>
      <c r="D164" s="1302" t="str">
        <f>[5]building!D849</f>
        <v>Each</v>
      </c>
      <c r="E164" s="1302">
        <f>'[5]main detail'!I967</f>
        <v>6</v>
      </c>
      <c r="F164" s="1302">
        <f t="shared" si="3"/>
        <v>936</v>
      </c>
    </row>
    <row r="165" spans="1:6" ht="31.5">
      <c r="A165" s="1302"/>
      <c r="B165" s="1291" t="str">
        <f>[5]building!B850</f>
        <v>b. 160 mm dia PVC bend (TWAD SR 19-20 P-19 it-1.5, S.No-4 )</v>
      </c>
      <c r="C165" s="1302">
        <f>[5]building!C850</f>
        <v>497</v>
      </c>
      <c r="D165" s="1302" t="str">
        <f>[5]building!D850</f>
        <v>Each</v>
      </c>
      <c r="E165" s="1302">
        <f>'[5]main detail'!I968</f>
        <v>4</v>
      </c>
      <c r="F165" s="1302">
        <f t="shared" si="3"/>
        <v>1988</v>
      </c>
    </row>
    <row r="166" spans="1:6">
      <c r="A166" s="1302"/>
      <c r="B166" s="1291" t="str">
        <f>[5]building!B851</f>
        <v xml:space="preserve">PVC Equal Tee  as per  BIS 7834/1975 </v>
      </c>
      <c r="C166" s="1302"/>
      <c r="D166" s="1302"/>
      <c r="E166" s="1302"/>
      <c r="F166" s="1302">
        <f t="shared" si="3"/>
        <v>0</v>
      </c>
    </row>
    <row r="167" spans="1:6" ht="31.5">
      <c r="A167" s="1302"/>
      <c r="B167" s="1291" t="str">
        <f>[5]building!B852</f>
        <v>a. 110 mm dia PVC Equal tee(TWAD SR 19-20 P-19 S.No-9 )</v>
      </c>
      <c r="C167" s="1302">
        <f>[5]building!C852</f>
        <v>186</v>
      </c>
      <c r="D167" s="1302" t="str">
        <f>[5]building!D852</f>
        <v>Each</v>
      </c>
      <c r="E167" s="1302">
        <f>'[5]main detail'!I970</f>
        <v>2</v>
      </c>
      <c r="F167" s="1302">
        <f t="shared" si="3"/>
        <v>372</v>
      </c>
    </row>
    <row r="168" spans="1:6" ht="31.5">
      <c r="A168" s="1302"/>
      <c r="B168" s="1291" t="str">
        <f>[5]building!B853</f>
        <v>b. 160 mm dia PVC Equal tee(TWAD SR 19-20 P-19 S.No-9 )</v>
      </c>
      <c r="C168" s="1302">
        <f>[5]building!C853</f>
        <v>328</v>
      </c>
      <c r="D168" s="1302" t="str">
        <f>[5]building!D853</f>
        <v>Each</v>
      </c>
      <c r="E168" s="1302">
        <f>'[5]main detail'!I971</f>
        <v>2</v>
      </c>
      <c r="F168" s="1302">
        <f t="shared" si="3"/>
        <v>656</v>
      </c>
    </row>
    <row r="169" spans="1:6" ht="47.25">
      <c r="A169" s="1302"/>
      <c r="B169" s="1291" t="str">
        <f>[5]building!B854</f>
        <v xml:space="preserve">S &amp; F of Indian Water closet white glazed (Oriya type) of size 580 x 440mm with PVC SWR grade ' P' or "S' trap   - in G.F.  </v>
      </c>
      <c r="C169" s="1302">
        <f>[5]building!C854</f>
        <v>3030.06</v>
      </c>
      <c r="D169" s="1302" t="str">
        <f>[5]building!D854</f>
        <v>Each</v>
      </c>
      <c r="E169" s="1334">
        <f>'[5]main detail'!I1536</f>
        <v>3</v>
      </c>
      <c r="F169" s="1302">
        <f t="shared" ref="F169:F175" si="4">C169*E169</f>
        <v>9090.18</v>
      </c>
    </row>
    <row r="170" spans="1:6" ht="47.25">
      <c r="A170" s="1302"/>
      <c r="B170" s="1291" t="str">
        <f>[5]building!B855</f>
        <v xml:space="preserve">S &amp; F of Indian Water closet white glazed (Oriya type) of size 580 x 440mm  with PVC SWR grade ' P' or "S' trap- Other than  G.F.  </v>
      </c>
      <c r="C170" s="1302">
        <f>[5]building!C855</f>
        <v>4768.38</v>
      </c>
      <c r="D170" s="1302" t="str">
        <f>[5]building!D855</f>
        <v>Each</v>
      </c>
      <c r="E170" s="1302">
        <f>'[5]main detail'!I1537</f>
        <v>3</v>
      </c>
      <c r="F170" s="1302">
        <f t="shared" si="4"/>
        <v>14305.14</v>
      </c>
    </row>
    <row r="171" spans="1:6" ht="31.5">
      <c r="A171" s="1302"/>
      <c r="B171" s="1291" t="str">
        <f>[5]building!B856</f>
        <v xml:space="preserve">S &amp; F of E.W.C.(White) 500 mm with PVC SWR grade "P" or "S" TRAP </v>
      </c>
      <c r="C171" s="1302">
        <f>[5]building!C856</f>
        <v>6501.3</v>
      </c>
      <c r="D171" s="1302" t="str">
        <f>[5]building!D856</f>
        <v>Each</v>
      </c>
      <c r="E171" s="1302">
        <f>'[5]main detail'!I957</f>
        <v>1</v>
      </c>
      <c r="F171" s="1302">
        <f t="shared" si="4"/>
        <v>6501.3</v>
      </c>
    </row>
    <row r="172" spans="1:6" ht="23.25" customHeight="1">
      <c r="A172" s="1302"/>
      <c r="B172" s="1303" t="str">
        <f>[5]building!B924</f>
        <v>Supply and fixing of 12 watts  LED bulb  (qtn)</v>
      </c>
      <c r="C172" s="1302">
        <f>[5]building!C924</f>
        <v>170</v>
      </c>
      <c r="D172" s="1302" t="str">
        <f>[5]building!D924</f>
        <v>Each</v>
      </c>
      <c r="E172" s="1302">
        <f>'[5]main detail'!I1575</f>
        <v>18</v>
      </c>
      <c r="F172" s="1302">
        <f t="shared" si="4"/>
        <v>3060</v>
      </c>
    </row>
    <row r="173" spans="1:6" ht="33">
      <c r="A173" s="1293" t="s">
        <v>4464</v>
      </c>
      <c r="B173" s="1247" t="s">
        <v>5847</v>
      </c>
      <c r="C173" s="1302">
        <f>Abs!C653</f>
        <v>109.44</v>
      </c>
      <c r="D173" s="1302" t="s">
        <v>2308</v>
      </c>
      <c r="E173" s="1302">
        <f>station!I1499</f>
        <v>1879</v>
      </c>
      <c r="F173" s="1302">
        <f t="shared" si="4"/>
        <v>205637.76000000001</v>
      </c>
    </row>
    <row r="174" spans="1:6" ht="16.5">
      <c r="A174" s="1349" t="s">
        <v>5857</v>
      </c>
      <c r="B174" s="1247" t="s">
        <v>5858</v>
      </c>
      <c r="C174" s="1302">
        <f>Data!X1344</f>
        <v>1537.76</v>
      </c>
      <c r="D174" s="1302" t="s">
        <v>2308</v>
      </c>
      <c r="E174" s="1302">
        <f>station!I1514</f>
        <v>559.4</v>
      </c>
      <c r="F174" s="1302">
        <f t="shared" si="4"/>
        <v>860222.94</v>
      </c>
    </row>
    <row r="175" spans="1:6" ht="31.5">
      <c r="A175" s="1327">
        <v>53.4</v>
      </c>
      <c r="B175" s="1318" t="s">
        <v>5949</v>
      </c>
      <c r="C175" s="1302">
        <f>Data!K1948</f>
        <v>1846</v>
      </c>
      <c r="D175" s="1302" t="s">
        <v>1418</v>
      </c>
      <c r="E175" s="1302" t="e">
        <f>station!#REF!</f>
        <v>#REF!</v>
      </c>
      <c r="F175" s="1302" t="e">
        <f t="shared" si="4"/>
        <v>#REF!</v>
      </c>
    </row>
    <row r="176" spans="1:6" ht="22.5" customHeight="1">
      <c r="A176" s="1302"/>
      <c r="B176" s="1291" t="str">
        <f>[5]building!B1025</f>
        <v>Total</v>
      </c>
      <c r="C176" s="1302"/>
      <c r="D176" s="1302"/>
      <c r="E176" s="1302"/>
      <c r="F176" s="1339" t="e">
        <f>+SUM(F5:F175)</f>
        <v>#REF!</v>
      </c>
    </row>
  </sheetData>
  <mergeCells count="2">
    <mergeCell ref="A1:F1"/>
    <mergeCell ref="B144:D144"/>
  </mergeCells>
  <pageMargins left="0.7" right="0.7" top="0.75" bottom="0.75" header="0.3" footer="0.3"/>
</worksheet>
</file>

<file path=xl/worksheets/sheet13.xml><?xml version="1.0" encoding="utf-8"?>
<worksheet xmlns="http://schemas.openxmlformats.org/spreadsheetml/2006/main" xmlns:r="http://schemas.openxmlformats.org/officeDocument/2006/relationships">
  <sheetPr>
    <tabColor rgb="FFFFFF00"/>
  </sheetPr>
  <dimension ref="A1:G42"/>
  <sheetViews>
    <sheetView view="pageBreakPreview" topLeftCell="A34" zoomScale="80" zoomScaleNormal="75" zoomScaleSheetLayoutView="80" workbookViewId="0">
      <selection activeCell="G5" sqref="G5"/>
    </sheetView>
  </sheetViews>
  <sheetFormatPr defaultRowHeight="35.1" customHeight="1"/>
  <cols>
    <col min="1" max="1" width="8" style="1312" customWidth="1"/>
    <col min="2" max="2" width="6.6640625" style="1312" customWidth="1"/>
    <col min="3" max="3" width="43" style="1312" customWidth="1"/>
    <col min="4" max="4" width="15.6640625" style="1312" customWidth="1"/>
    <col min="5" max="5" width="10.33203125" style="1312" customWidth="1"/>
    <col min="6" max="6" width="18.5546875" style="1312" customWidth="1"/>
    <col min="7" max="7" width="34.109375" style="100" customWidth="1"/>
    <col min="8" max="256" width="8.88671875" style="100"/>
    <col min="257" max="257" width="8" style="100" customWidth="1"/>
    <col min="258" max="258" width="6.6640625" style="100" customWidth="1"/>
    <col min="259" max="259" width="43" style="100" customWidth="1"/>
    <col min="260" max="260" width="15.6640625" style="100" customWidth="1"/>
    <col min="261" max="261" width="10.33203125" style="100" customWidth="1"/>
    <col min="262" max="262" width="18.5546875" style="100" customWidth="1"/>
    <col min="263" max="263" width="34.109375" style="100" customWidth="1"/>
    <col min="264" max="512" width="8.88671875" style="100"/>
    <col min="513" max="513" width="8" style="100" customWidth="1"/>
    <col min="514" max="514" width="6.6640625" style="100" customWidth="1"/>
    <col min="515" max="515" width="43" style="100" customWidth="1"/>
    <col min="516" max="516" width="15.6640625" style="100" customWidth="1"/>
    <col min="517" max="517" width="10.33203125" style="100" customWidth="1"/>
    <col min="518" max="518" width="18.5546875" style="100" customWidth="1"/>
    <col min="519" max="519" width="34.109375" style="100" customWidth="1"/>
    <col min="520" max="768" width="8.88671875" style="100"/>
    <col min="769" max="769" width="8" style="100" customWidth="1"/>
    <col min="770" max="770" width="6.6640625" style="100" customWidth="1"/>
    <col min="771" max="771" width="43" style="100" customWidth="1"/>
    <col min="772" max="772" width="15.6640625" style="100" customWidth="1"/>
    <col min="773" max="773" width="10.33203125" style="100" customWidth="1"/>
    <col min="774" max="774" width="18.5546875" style="100" customWidth="1"/>
    <col min="775" max="775" width="34.109375" style="100" customWidth="1"/>
    <col min="776" max="1024" width="8.88671875" style="100"/>
    <col min="1025" max="1025" width="8" style="100" customWidth="1"/>
    <col min="1026" max="1026" width="6.6640625" style="100" customWidth="1"/>
    <col min="1027" max="1027" width="43" style="100" customWidth="1"/>
    <col min="1028" max="1028" width="15.6640625" style="100" customWidth="1"/>
    <col min="1029" max="1029" width="10.33203125" style="100" customWidth="1"/>
    <col min="1030" max="1030" width="18.5546875" style="100" customWidth="1"/>
    <col min="1031" max="1031" width="34.109375" style="100" customWidth="1"/>
    <col min="1032" max="1280" width="8.88671875" style="100"/>
    <col min="1281" max="1281" width="8" style="100" customWidth="1"/>
    <col min="1282" max="1282" width="6.6640625" style="100" customWidth="1"/>
    <col min="1283" max="1283" width="43" style="100" customWidth="1"/>
    <col min="1284" max="1284" width="15.6640625" style="100" customWidth="1"/>
    <col min="1285" max="1285" width="10.33203125" style="100" customWidth="1"/>
    <col min="1286" max="1286" width="18.5546875" style="100" customWidth="1"/>
    <col min="1287" max="1287" width="34.109375" style="100" customWidth="1"/>
    <col min="1288" max="1536" width="8.88671875" style="100"/>
    <col min="1537" max="1537" width="8" style="100" customWidth="1"/>
    <col min="1538" max="1538" width="6.6640625" style="100" customWidth="1"/>
    <col min="1539" max="1539" width="43" style="100" customWidth="1"/>
    <col min="1540" max="1540" width="15.6640625" style="100" customWidth="1"/>
    <col min="1541" max="1541" width="10.33203125" style="100" customWidth="1"/>
    <col min="1542" max="1542" width="18.5546875" style="100" customWidth="1"/>
    <col min="1543" max="1543" width="34.109375" style="100" customWidth="1"/>
    <col min="1544" max="1792" width="8.88671875" style="100"/>
    <col min="1793" max="1793" width="8" style="100" customWidth="1"/>
    <col min="1794" max="1794" width="6.6640625" style="100" customWidth="1"/>
    <col min="1795" max="1795" width="43" style="100" customWidth="1"/>
    <col min="1796" max="1796" width="15.6640625" style="100" customWidth="1"/>
    <col min="1797" max="1797" width="10.33203125" style="100" customWidth="1"/>
    <col min="1798" max="1798" width="18.5546875" style="100" customWidth="1"/>
    <col min="1799" max="1799" width="34.109375" style="100" customWidth="1"/>
    <col min="1800" max="2048" width="8.88671875" style="100"/>
    <col min="2049" max="2049" width="8" style="100" customWidth="1"/>
    <col min="2050" max="2050" width="6.6640625" style="100" customWidth="1"/>
    <col min="2051" max="2051" width="43" style="100" customWidth="1"/>
    <col min="2052" max="2052" width="15.6640625" style="100" customWidth="1"/>
    <col min="2053" max="2053" width="10.33203125" style="100" customWidth="1"/>
    <col min="2054" max="2054" width="18.5546875" style="100" customWidth="1"/>
    <col min="2055" max="2055" width="34.109375" style="100" customWidth="1"/>
    <col min="2056" max="2304" width="8.88671875" style="100"/>
    <col min="2305" max="2305" width="8" style="100" customWidth="1"/>
    <col min="2306" max="2306" width="6.6640625" style="100" customWidth="1"/>
    <col min="2307" max="2307" width="43" style="100" customWidth="1"/>
    <col min="2308" max="2308" width="15.6640625" style="100" customWidth="1"/>
    <col min="2309" max="2309" width="10.33203125" style="100" customWidth="1"/>
    <col min="2310" max="2310" width="18.5546875" style="100" customWidth="1"/>
    <col min="2311" max="2311" width="34.109375" style="100" customWidth="1"/>
    <col min="2312" max="2560" width="8.88671875" style="100"/>
    <col min="2561" max="2561" width="8" style="100" customWidth="1"/>
    <col min="2562" max="2562" width="6.6640625" style="100" customWidth="1"/>
    <col min="2563" max="2563" width="43" style="100" customWidth="1"/>
    <col min="2564" max="2564" width="15.6640625" style="100" customWidth="1"/>
    <col min="2565" max="2565" width="10.33203125" style="100" customWidth="1"/>
    <col min="2566" max="2566" width="18.5546875" style="100" customWidth="1"/>
    <col min="2567" max="2567" width="34.109375" style="100" customWidth="1"/>
    <col min="2568" max="2816" width="8.88671875" style="100"/>
    <col min="2817" max="2817" width="8" style="100" customWidth="1"/>
    <col min="2818" max="2818" width="6.6640625" style="100" customWidth="1"/>
    <col min="2819" max="2819" width="43" style="100" customWidth="1"/>
    <col min="2820" max="2820" width="15.6640625" style="100" customWidth="1"/>
    <col min="2821" max="2821" width="10.33203125" style="100" customWidth="1"/>
    <col min="2822" max="2822" width="18.5546875" style="100" customWidth="1"/>
    <col min="2823" max="2823" width="34.109375" style="100" customWidth="1"/>
    <col min="2824" max="3072" width="8.88671875" style="100"/>
    <col min="3073" max="3073" width="8" style="100" customWidth="1"/>
    <col min="3074" max="3074" width="6.6640625" style="100" customWidth="1"/>
    <col min="3075" max="3075" width="43" style="100" customWidth="1"/>
    <col min="3076" max="3076" width="15.6640625" style="100" customWidth="1"/>
    <col min="3077" max="3077" width="10.33203125" style="100" customWidth="1"/>
    <col min="3078" max="3078" width="18.5546875" style="100" customWidth="1"/>
    <col min="3079" max="3079" width="34.109375" style="100" customWidth="1"/>
    <col min="3080" max="3328" width="8.88671875" style="100"/>
    <col min="3329" max="3329" width="8" style="100" customWidth="1"/>
    <col min="3330" max="3330" width="6.6640625" style="100" customWidth="1"/>
    <col min="3331" max="3331" width="43" style="100" customWidth="1"/>
    <col min="3332" max="3332" width="15.6640625" style="100" customWidth="1"/>
    <col min="3333" max="3333" width="10.33203125" style="100" customWidth="1"/>
    <col min="3334" max="3334" width="18.5546875" style="100" customWidth="1"/>
    <col min="3335" max="3335" width="34.109375" style="100" customWidth="1"/>
    <col min="3336" max="3584" width="8.88671875" style="100"/>
    <col min="3585" max="3585" width="8" style="100" customWidth="1"/>
    <col min="3586" max="3586" width="6.6640625" style="100" customWidth="1"/>
    <col min="3587" max="3587" width="43" style="100" customWidth="1"/>
    <col min="3588" max="3588" width="15.6640625" style="100" customWidth="1"/>
    <col min="3589" max="3589" width="10.33203125" style="100" customWidth="1"/>
    <col min="3590" max="3590" width="18.5546875" style="100" customWidth="1"/>
    <col min="3591" max="3591" width="34.109375" style="100" customWidth="1"/>
    <col min="3592" max="3840" width="8.88671875" style="100"/>
    <col min="3841" max="3841" width="8" style="100" customWidth="1"/>
    <col min="3842" max="3842" width="6.6640625" style="100" customWidth="1"/>
    <col min="3843" max="3843" width="43" style="100" customWidth="1"/>
    <col min="3844" max="3844" width="15.6640625" style="100" customWidth="1"/>
    <col min="3845" max="3845" width="10.33203125" style="100" customWidth="1"/>
    <col min="3846" max="3846" width="18.5546875" style="100" customWidth="1"/>
    <col min="3847" max="3847" width="34.109375" style="100" customWidth="1"/>
    <col min="3848" max="4096" width="8.88671875" style="100"/>
    <col min="4097" max="4097" width="8" style="100" customWidth="1"/>
    <col min="4098" max="4098" width="6.6640625" style="100" customWidth="1"/>
    <col min="4099" max="4099" width="43" style="100" customWidth="1"/>
    <col min="4100" max="4100" width="15.6640625" style="100" customWidth="1"/>
    <col min="4101" max="4101" width="10.33203125" style="100" customWidth="1"/>
    <col min="4102" max="4102" width="18.5546875" style="100" customWidth="1"/>
    <col min="4103" max="4103" width="34.109375" style="100" customWidth="1"/>
    <col min="4104" max="4352" width="8.88671875" style="100"/>
    <col min="4353" max="4353" width="8" style="100" customWidth="1"/>
    <col min="4354" max="4354" width="6.6640625" style="100" customWidth="1"/>
    <col min="4355" max="4355" width="43" style="100" customWidth="1"/>
    <col min="4356" max="4356" width="15.6640625" style="100" customWidth="1"/>
    <col min="4357" max="4357" width="10.33203125" style="100" customWidth="1"/>
    <col min="4358" max="4358" width="18.5546875" style="100" customWidth="1"/>
    <col min="4359" max="4359" width="34.109375" style="100" customWidth="1"/>
    <col min="4360" max="4608" width="8.88671875" style="100"/>
    <col min="4609" max="4609" width="8" style="100" customWidth="1"/>
    <col min="4610" max="4610" width="6.6640625" style="100" customWidth="1"/>
    <col min="4611" max="4611" width="43" style="100" customWidth="1"/>
    <col min="4612" max="4612" width="15.6640625" style="100" customWidth="1"/>
    <col min="4613" max="4613" width="10.33203125" style="100" customWidth="1"/>
    <col min="4614" max="4614" width="18.5546875" style="100" customWidth="1"/>
    <col min="4615" max="4615" width="34.109375" style="100" customWidth="1"/>
    <col min="4616" max="4864" width="8.88671875" style="100"/>
    <col min="4865" max="4865" width="8" style="100" customWidth="1"/>
    <col min="4866" max="4866" width="6.6640625" style="100" customWidth="1"/>
    <col min="4867" max="4867" width="43" style="100" customWidth="1"/>
    <col min="4868" max="4868" width="15.6640625" style="100" customWidth="1"/>
    <col min="4869" max="4869" width="10.33203125" style="100" customWidth="1"/>
    <col min="4870" max="4870" width="18.5546875" style="100" customWidth="1"/>
    <col min="4871" max="4871" width="34.109375" style="100" customWidth="1"/>
    <col min="4872" max="5120" width="8.88671875" style="100"/>
    <col min="5121" max="5121" width="8" style="100" customWidth="1"/>
    <col min="5122" max="5122" width="6.6640625" style="100" customWidth="1"/>
    <col min="5123" max="5123" width="43" style="100" customWidth="1"/>
    <col min="5124" max="5124" width="15.6640625" style="100" customWidth="1"/>
    <col min="5125" max="5125" width="10.33203125" style="100" customWidth="1"/>
    <col min="5126" max="5126" width="18.5546875" style="100" customWidth="1"/>
    <col min="5127" max="5127" width="34.109375" style="100" customWidth="1"/>
    <col min="5128" max="5376" width="8.88671875" style="100"/>
    <col min="5377" max="5377" width="8" style="100" customWidth="1"/>
    <col min="5378" max="5378" width="6.6640625" style="100" customWidth="1"/>
    <col min="5379" max="5379" width="43" style="100" customWidth="1"/>
    <col min="5380" max="5380" width="15.6640625" style="100" customWidth="1"/>
    <col min="5381" max="5381" width="10.33203125" style="100" customWidth="1"/>
    <col min="5382" max="5382" width="18.5546875" style="100" customWidth="1"/>
    <col min="5383" max="5383" width="34.109375" style="100" customWidth="1"/>
    <col min="5384" max="5632" width="8.88671875" style="100"/>
    <col min="5633" max="5633" width="8" style="100" customWidth="1"/>
    <col min="5634" max="5634" width="6.6640625" style="100" customWidth="1"/>
    <col min="5635" max="5635" width="43" style="100" customWidth="1"/>
    <col min="5636" max="5636" width="15.6640625" style="100" customWidth="1"/>
    <col min="5637" max="5637" width="10.33203125" style="100" customWidth="1"/>
    <col min="5638" max="5638" width="18.5546875" style="100" customWidth="1"/>
    <col min="5639" max="5639" width="34.109375" style="100" customWidth="1"/>
    <col min="5640" max="5888" width="8.88671875" style="100"/>
    <col min="5889" max="5889" width="8" style="100" customWidth="1"/>
    <col min="5890" max="5890" width="6.6640625" style="100" customWidth="1"/>
    <col min="5891" max="5891" width="43" style="100" customWidth="1"/>
    <col min="5892" max="5892" width="15.6640625" style="100" customWidth="1"/>
    <col min="5893" max="5893" width="10.33203125" style="100" customWidth="1"/>
    <col min="5894" max="5894" width="18.5546875" style="100" customWidth="1"/>
    <col min="5895" max="5895" width="34.109375" style="100" customWidth="1"/>
    <col min="5896" max="6144" width="8.88671875" style="100"/>
    <col min="6145" max="6145" width="8" style="100" customWidth="1"/>
    <col min="6146" max="6146" width="6.6640625" style="100" customWidth="1"/>
    <col min="6147" max="6147" width="43" style="100" customWidth="1"/>
    <col min="6148" max="6148" width="15.6640625" style="100" customWidth="1"/>
    <col min="6149" max="6149" width="10.33203125" style="100" customWidth="1"/>
    <col min="6150" max="6150" width="18.5546875" style="100" customWidth="1"/>
    <col min="6151" max="6151" width="34.109375" style="100" customWidth="1"/>
    <col min="6152" max="6400" width="8.88671875" style="100"/>
    <col min="6401" max="6401" width="8" style="100" customWidth="1"/>
    <col min="6402" max="6402" width="6.6640625" style="100" customWidth="1"/>
    <col min="6403" max="6403" width="43" style="100" customWidth="1"/>
    <col min="6404" max="6404" width="15.6640625" style="100" customWidth="1"/>
    <col min="6405" max="6405" width="10.33203125" style="100" customWidth="1"/>
    <col min="6406" max="6406" width="18.5546875" style="100" customWidth="1"/>
    <col min="6407" max="6407" width="34.109375" style="100" customWidth="1"/>
    <col min="6408" max="6656" width="8.88671875" style="100"/>
    <col min="6657" max="6657" width="8" style="100" customWidth="1"/>
    <col min="6658" max="6658" width="6.6640625" style="100" customWidth="1"/>
    <col min="6659" max="6659" width="43" style="100" customWidth="1"/>
    <col min="6660" max="6660" width="15.6640625" style="100" customWidth="1"/>
    <col min="6661" max="6661" width="10.33203125" style="100" customWidth="1"/>
    <col min="6662" max="6662" width="18.5546875" style="100" customWidth="1"/>
    <col min="6663" max="6663" width="34.109375" style="100" customWidth="1"/>
    <col min="6664" max="6912" width="8.88671875" style="100"/>
    <col min="6913" max="6913" width="8" style="100" customWidth="1"/>
    <col min="6914" max="6914" width="6.6640625" style="100" customWidth="1"/>
    <col min="6915" max="6915" width="43" style="100" customWidth="1"/>
    <col min="6916" max="6916" width="15.6640625" style="100" customWidth="1"/>
    <col min="6917" max="6917" width="10.33203125" style="100" customWidth="1"/>
    <col min="6918" max="6918" width="18.5546875" style="100" customWidth="1"/>
    <col min="6919" max="6919" width="34.109375" style="100" customWidth="1"/>
    <col min="6920" max="7168" width="8.88671875" style="100"/>
    <col min="7169" max="7169" width="8" style="100" customWidth="1"/>
    <col min="7170" max="7170" width="6.6640625" style="100" customWidth="1"/>
    <col min="7171" max="7171" width="43" style="100" customWidth="1"/>
    <col min="7172" max="7172" width="15.6640625" style="100" customWidth="1"/>
    <col min="7173" max="7173" width="10.33203125" style="100" customWidth="1"/>
    <col min="7174" max="7174" width="18.5546875" style="100" customWidth="1"/>
    <col min="7175" max="7175" width="34.109375" style="100" customWidth="1"/>
    <col min="7176" max="7424" width="8.88671875" style="100"/>
    <col min="7425" max="7425" width="8" style="100" customWidth="1"/>
    <col min="7426" max="7426" width="6.6640625" style="100" customWidth="1"/>
    <col min="7427" max="7427" width="43" style="100" customWidth="1"/>
    <col min="7428" max="7428" width="15.6640625" style="100" customWidth="1"/>
    <col min="7429" max="7429" width="10.33203125" style="100" customWidth="1"/>
    <col min="7430" max="7430" width="18.5546875" style="100" customWidth="1"/>
    <col min="7431" max="7431" width="34.109375" style="100" customWidth="1"/>
    <col min="7432" max="7680" width="8.88671875" style="100"/>
    <col min="7681" max="7681" width="8" style="100" customWidth="1"/>
    <col min="7682" max="7682" width="6.6640625" style="100" customWidth="1"/>
    <col min="7683" max="7683" width="43" style="100" customWidth="1"/>
    <col min="7684" max="7684" width="15.6640625" style="100" customWidth="1"/>
    <col min="7685" max="7685" width="10.33203125" style="100" customWidth="1"/>
    <col min="7686" max="7686" width="18.5546875" style="100" customWidth="1"/>
    <col min="7687" max="7687" width="34.109375" style="100" customWidth="1"/>
    <col min="7688" max="7936" width="8.88671875" style="100"/>
    <col min="7937" max="7937" width="8" style="100" customWidth="1"/>
    <col min="7938" max="7938" width="6.6640625" style="100" customWidth="1"/>
    <col min="7939" max="7939" width="43" style="100" customWidth="1"/>
    <col min="7940" max="7940" width="15.6640625" style="100" customWidth="1"/>
    <col min="7941" max="7941" width="10.33203125" style="100" customWidth="1"/>
    <col min="7942" max="7942" width="18.5546875" style="100" customWidth="1"/>
    <col min="7943" max="7943" width="34.109375" style="100" customWidth="1"/>
    <col min="7944" max="8192" width="8.88671875" style="100"/>
    <col min="8193" max="8193" width="8" style="100" customWidth="1"/>
    <col min="8194" max="8194" width="6.6640625" style="100" customWidth="1"/>
    <col min="8195" max="8195" width="43" style="100" customWidth="1"/>
    <col min="8196" max="8196" width="15.6640625" style="100" customWidth="1"/>
    <col min="8197" max="8197" width="10.33203125" style="100" customWidth="1"/>
    <col min="8198" max="8198" width="18.5546875" style="100" customWidth="1"/>
    <col min="8199" max="8199" width="34.109375" style="100" customWidth="1"/>
    <col min="8200" max="8448" width="8.88671875" style="100"/>
    <col min="8449" max="8449" width="8" style="100" customWidth="1"/>
    <col min="8450" max="8450" width="6.6640625" style="100" customWidth="1"/>
    <col min="8451" max="8451" width="43" style="100" customWidth="1"/>
    <col min="8452" max="8452" width="15.6640625" style="100" customWidth="1"/>
    <col min="8453" max="8453" width="10.33203125" style="100" customWidth="1"/>
    <col min="8454" max="8454" width="18.5546875" style="100" customWidth="1"/>
    <col min="8455" max="8455" width="34.109375" style="100" customWidth="1"/>
    <col min="8456" max="8704" width="8.88671875" style="100"/>
    <col min="8705" max="8705" width="8" style="100" customWidth="1"/>
    <col min="8706" max="8706" width="6.6640625" style="100" customWidth="1"/>
    <col min="8707" max="8707" width="43" style="100" customWidth="1"/>
    <col min="8708" max="8708" width="15.6640625" style="100" customWidth="1"/>
    <col min="8709" max="8709" width="10.33203125" style="100" customWidth="1"/>
    <col min="8710" max="8710" width="18.5546875" style="100" customWidth="1"/>
    <col min="8711" max="8711" width="34.109375" style="100" customWidth="1"/>
    <col min="8712" max="8960" width="8.88671875" style="100"/>
    <col min="8961" max="8961" width="8" style="100" customWidth="1"/>
    <col min="8962" max="8962" width="6.6640625" style="100" customWidth="1"/>
    <col min="8963" max="8963" width="43" style="100" customWidth="1"/>
    <col min="8964" max="8964" width="15.6640625" style="100" customWidth="1"/>
    <col min="8965" max="8965" width="10.33203125" style="100" customWidth="1"/>
    <col min="8966" max="8966" width="18.5546875" style="100" customWidth="1"/>
    <col min="8967" max="8967" width="34.109375" style="100" customWidth="1"/>
    <col min="8968" max="9216" width="8.88671875" style="100"/>
    <col min="9217" max="9217" width="8" style="100" customWidth="1"/>
    <col min="9218" max="9218" width="6.6640625" style="100" customWidth="1"/>
    <col min="9219" max="9219" width="43" style="100" customWidth="1"/>
    <col min="9220" max="9220" width="15.6640625" style="100" customWidth="1"/>
    <col min="9221" max="9221" width="10.33203125" style="100" customWidth="1"/>
    <col min="9222" max="9222" width="18.5546875" style="100" customWidth="1"/>
    <col min="9223" max="9223" width="34.109375" style="100" customWidth="1"/>
    <col min="9224" max="9472" width="8.88671875" style="100"/>
    <col min="9473" max="9473" width="8" style="100" customWidth="1"/>
    <col min="9474" max="9474" width="6.6640625" style="100" customWidth="1"/>
    <col min="9475" max="9475" width="43" style="100" customWidth="1"/>
    <col min="9476" max="9476" width="15.6640625" style="100" customWidth="1"/>
    <col min="9477" max="9477" width="10.33203125" style="100" customWidth="1"/>
    <col min="9478" max="9478" width="18.5546875" style="100" customWidth="1"/>
    <col min="9479" max="9479" width="34.109375" style="100" customWidth="1"/>
    <col min="9480" max="9728" width="8.88671875" style="100"/>
    <col min="9729" max="9729" width="8" style="100" customWidth="1"/>
    <col min="9730" max="9730" width="6.6640625" style="100" customWidth="1"/>
    <col min="9731" max="9731" width="43" style="100" customWidth="1"/>
    <col min="9732" max="9732" width="15.6640625" style="100" customWidth="1"/>
    <col min="9733" max="9733" width="10.33203125" style="100" customWidth="1"/>
    <col min="9734" max="9734" width="18.5546875" style="100" customWidth="1"/>
    <col min="9735" max="9735" width="34.109375" style="100" customWidth="1"/>
    <col min="9736" max="9984" width="8.88671875" style="100"/>
    <col min="9985" max="9985" width="8" style="100" customWidth="1"/>
    <col min="9986" max="9986" width="6.6640625" style="100" customWidth="1"/>
    <col min="9987" max="9987" width="43" style="100" customWidth="1"/>
    <col min="9988" max="9988" width="15.6640625" style="100" customWidth="1"/>
    <col min="9989" max="9989" width="10.33203125" style="100" customWidth="1"/>
    <col min="9990" max="9990" width="18.5546875" style="100" customWidth="1"/>
    <col min="9991" max="9991" width="34.109375" style="100" customWidth="1"/>
    <col min="9992" max="10240" width="8.88671875" style="100"/>
    <col min="10241" max="10241" width="8" style="100" customWidth="1"/>
    <col min="10242" max="10242" width="6.6640625" style="100" customWidth="1"/>
    <col min="10243" max="10243" width="43" style="100" customWidth="1"/>
    <col min="10244" max="10244" width="15.6640625" style="100" customWidth="1"/>
    <col min="10245" max="10245" width="10.33203125" style="100" customWidth="1"/>
    <col min="10246" max="10246" width="18.5546875" style="100" customWidth="1"/>
    <col min="10247" max="10247" width="34.109375" style="100" customWidth="1"/>
    <col min="10248" max="10496" width="8.88671875" style="100"/>
    <col min="10497" max="10497" width="8" style="100" customWidth="1"/>
    <col min="10498" max="10498" width="6.6640625" style="100" customWidth="1"/>
    <col min="10499" max="10499" width="43" style="100" customWidth="1"/>
    <col min="10500" max="10500" width="15.6640625" style="100" customWidth="1"/>
    <col min="10501" max="10501" width="10.33203125" style="100" customWidth="1"/>
    <col min="10502" max="10502" width="18.5546875" style="100" customWidth="1"/>
    <col min="10503" max="10503" width="34.109375" style="100" customWidth="1"/>
    <col min="10504" max="10752" width="8.88671875" style="100"/>
    <col min="10753" max="10753" width="8" style="100" customWidth="1"/>
    <col min="10754" max="10754" width="6.6640625" style="100" customWidth="1"/>
    <col min="10755" max="10755" width="43" style="100" customWidth="1"/>
    <col min="10756" max="10756" width="15.6640625" style="100" customWidth="1"/>
    <col min="10757" max="10757" width="10.33203125" style="100" customWidth="1"/>
    <col min="10758" max="10758" width="18.5546875" style="100" customWidth="1"/>
    <col min="10759" max="10759" width="34.109375" style="100" customWidth="1"/>
    <col min="10760" max="11008" width="8.88671875" style="100"/>
    <col min="11009" max="11009" width="8" style="100" customWidth="1"/>
    <col min="11010" max="11010" width="6.6640625" style="100" customWidth="1"/>
    <col min="11011" max="11011" width="43" style="100" customWidth="1"/>
    <col min="11012" max="11012" width="15.6640625" style="100" customWidth="1"/>
    <col min="11013" max="11013" width="10.33203125" style="100" customWidth="1"/>
    <col min="11014" max="11014" width="18.5546875" style="100" customWidth="1"/>
    <col min="11015" max="11015" width="34.109375" style="100" customWidth="1"/>
    <col min="11016" max="11264" width="8.88671875" style="100"/>
    <col min="11265" max="11265" width="8" style="100" customWidth="1"/>
    <col min="11266" max="11266" width="6.6640625" style="100" customWidth="1"/>
    <col min="11267" max="11267" width="43" style="100" customWidth="1"/>
    <col min="11268" max="11268" width="15.6640625" style="100" customWidth="1"/>
    <col min="11269" max="11269" width="10.33203125" style="100" customWidth="1"/>
    <col min="11270" max="11270" width="18.5546875" style="100" customWidth="1"/>
    <col min="11271" max="11271" width="34.109375" style="100" customWidth="1"/>
    <col min="11272" max="11520" width="8.88671875" style="100"/>
    <col min="11521" max="11521" width="8" style="100" customWidth="1"/>
    <col min="11522" max="11522" width="6.6640625" style="100" customWidth="1"/>
    <col min="11523" max="11523" width="43" style="100" customWidth="1"/>
    <col min="11524" max="11524" width="15.6640625" style="100" customWidth="1"/>
    <col min="11525" max="11525" width="10.33203125" style="100" customWidth="1"/>
    <col min="11526" max="11526" width="18.5546875" style="100" customWidth="1"/>
    <col min="11527" max="11527" width="34.109375" style="100" customWidth="1"/>
    <col min="11528" max="11776" width="8.88671875" style="100"/>
    <col min="11777" max="11777" width="8" style="100" customWidth="1"/>
    <col min="11778" max="11778" width="6.6640625" style="100" customWidth="1"/>
    <col min="11779" max="11779" width="43" style="100" customWidth="1"/>
    <col min="11780" max="11780" width="15.6640625" style="100" customWidth="1"/>
    <col min="11781" max="11781" width="10.33203125" style="100" customWidth="1"/>
    <col min="11782" max="11782" width="18.5546875" style="100" customWidth="1"/>
    <col min="11783" max="11783" width="34.109375" style="100" customWidth="1"/>
    <col min="11784" max="12032" width="8.88671875" style="100"/>
    <col min="12033" max="12033" width="8" style="100" customWidth="1"/>
    <col min="12034" max="12034" width="6.6640625" style="100" customWidth="1"/>
    <col min="12035" max="12035" width="43" style="100" customWidth="1"/>
    <col min="12036" max="12036" width="15.6640625" style="100" customWidth="1"/>
    <col min="12037" max="12037" width="10.33203125" style="100" customWidth="1"/>
    <col min="12038" max="12038" width="18.5546875" style="100" customWidth="1"/>
    <col min="12039" max="12039" width="34.109375" style="100" customWidth="1"/>
    <col min="12040" max="12288" width="8.88671875" style="100"/>
    <col min="12289" max="12289" width="8" style="100" customWidth="1"/>
    <col min="12290" max="12290" width="6.6640625" style="100" customWidth="1"/>
    <col min="12291" max="12291" width="43" style="100" customWidth="1"/>
    <col min="12292" max="12292" width="15.6640625" style="100" customWidth="1"/>
    <col min="12293" max="12293" width="10.33203125" style="100" customWidth="1"/>
    <col min="12294" max="12294" width="18.5546875" style="100" customWidth="1"/>
    <col min="12295" max="12295" width="34.109375" style="100" customWidth="1"/>
    <col min="12296" max="12544" width="8.88671875" style="100"/>
    <col min="12545" max="12545" width="8" style="100" customWidth="1"/>
    <col min="12546" max="12546" width="6.6640625" style="100" customWidth="1"/>
    <col min="12547" max="12547" width="43" style="100" customWidth="1"/>
    <col min="12548" max="12548" width="15.6640625" style="100" customWidth="1"/>
    <col min="12549" max="12549" width="10.33203125" style="100" customWidth="1"/>
    <col min="12550" max="12550" width="18.5546875" style="100" customWidth="1"/>
    <col min="12551" max="12551" width="34.109375" style="100" customWidth="1"/>
    <col min="12552" max="12800" width="8.88671875" style="100"/>
    <col min="12801" max="12801" width="8" style="100" customWidth="1"/>
    <col min="12802" max="12802" width="6.6640625" style="100" customWidth="1"/>
    <col min="12803" max="12803" width="43" style="100" customWidth="1"/>
    <col min="12804" max="12804" width="15.6640625" style="100" customWidth="1"/>
    <col min="12805" max="12805" width="10.33203125" style="100" customWidth="1"/>
    <col min="12806" max="12806" width="18.5546875" style="100" customWidth="1"/>
    <col min="12807" max="12807" width="34.109375" style="100" customWidth="1"/>
    <col min="12808" max="13056" width="8.88671875" style="100"/>
    <col min="13057" max="13057" width="8" style="100" customWidth="1"/>
    <col min="13058" max="13058" width="6.6640625" style="100" customWidth="1"/>
    <col min="13059" max="13059" width="43" style="100" customWidth="1"/>
    <col min="13060" max="13060" width="15.6640625" style="100" customWidth="1"/>
    <col min="13061" max="13061" width="10.33203125" style="100" customWidth="1"/>
    <col min="13062" max="13062" width="18.5546875" style="100" customWidth="1"/>
    <col min="13063" max="13063" width="34.109375" style="100" customWidth="1"/>
    <col min="13064" max="13312" width="8.88671875" style="100"/>
    <col min="13313" max="13313" width="8" style="100" customWidth="1"/>
    <col min="13314" max="13314" width="6.6640625" style="100" customWidth="1"/>
    <col min="13315" max="13315" width="43" style="100" customWidth="1"/>
    <col min="13316" max="13316" width="15.6640625" style="100" customWidth="1"/>
    <col min="13317" max="13317" width="10.33203125" style="100" customWidth="1"/>
    <col min="13318" max="13318" width="18.5546875" style="100" customWidth="1"/>
    <col min="13319" max="13319" width="34.109375" style="100" customWidth="1"/>
    <col min="13320" max="13568" width="8.88671875" style="100"/>
    <col min="13569" max="13569" width="8" style="100" customWidth="1"/>
    <col min="13570" max="13570" width="6.6640625" style="100" customWidth="1"/>
    <col min="13571" max="13571" width="43" style="100" customWidth="1"/>
    <col min="13572" max="13572" width="15.6640625" style="100" customWidth="1"/>
    <col min="13573" max="13573" width="10.33203125" style="100" customWidth="1"/>
    <col min="13574" max="13574" width="18.5546875" style="100" customWidth="1"/>
    <col min="13575" max="13575" width="34.109375" style="100" customWidth="1"/>
    <col min="13576" max="13824" width="8.88671875" style="100"/>
    <col min="13825" max="13825" width="8" style="100" customWidth="1"/>
    <col min="13826" max="13826" width="6.6640625" style="100" customWidth="1"/>
    <col min="13827" max="13827" width="43" style="100" customWidth="1"/>
    <col min="13828" max="13828" width="15.6640625" style="100" customWidth="1"/>
    <col min="13829" max="13829" width="10.33203125" style="100" customWidth="1"/>
    <col min="13830" max="13830" width="18.5546875" style="100" customWidth="1"/>
    <col min="13831" max="13831" width="34.109375" style="100" customWidth="1"/>
    <col min="13832" max="14080" width="8.88671875" style="100"/>
    <col min="14081" max="14081" width="8" style="100" customWidth="1"/>
    <col min="14082" max="14082" width="6.6640625" style="100" customWidth="1"/>
    <col min="14083" max="14083" width="43" style="100" customWidth="1"/>
    <col min="14084" max="14084" width="15.6640625" style="100" customWidth="1"/>
    <col min="14085" max="14085" width="10.33203125" style="100" customWidth="1"/>
    <col min="14086" max="14086" width="18.5546875" style="100" customWidth="1"/>
    <col min="14087" max="14087" width="34.109375" style="100" customWidth="1"/>
    <col min="14088" max="14336" width="8.88671875" style="100"/>
    <col min="14337" max="14337" width="8" style="100" customWidth="1"/>
    <col min="14338" max="14338" width="6.6640625" style="100" customWidth="1"/>
    <col min="14339" max="14339" width="43" style="100" customWidth="1"/>
    <col min="14340" max="14340" width="15.6640625" style="100" customWidth="1"/>
    <col min="14341" max="14341" width="10.33203125" style="100" customWidth="1"/>
    <col min="14342" max="14342" width="18.5546875" style="100" customWidth="1"/>
    <col min="14343" max="14343" width="34.109375" style="100" customWidth="1"/>
    <col min="14344" max="14592" width="8.88671875" style="100"/>
    <col min="14593" max="14593" width="8" style="100" customWidth="1"/>
    <col min="14594" max="14594" width="6.6640625" style="100" customWidth="1"/>
    <col min="14595" max="14595" width="43" style="100" customWidth="1"/>
    <col min="14596" max="14596" width="15.6640625" style="100" customWidth="1"/>
    <col min="14597" max="14597" width="10.33203125" style="100" customWidth="1"/>
    <col min="14598" max="14598" width="18.5546875" style="100" customWidth="1"/>
    <col min="14599" max="14599" width="34.109375" style="100" customWidth="1"/>
    <col min="14600" max="14848" width="8.88671875" style="100"/>
    <col min="14849" max="14849" width="8" style="100" customWidth="1"/>
    <col min="14850" max="14850" width="6.6640625" style="100" customWidth="1"/>
    <col min="14851" max="14851" width="43" style="100" customWidth="1"/>
    <col min="14852" max="14852" width="15.6640625" style="100" customWidth="1"/>
    <col min="14853" max="14853" width="10.33203125" style="100" customWidth="1"/>
    <col min="14854" max="14854" width="18.5546875" style="100" customWidth="1"/>
    <col min="14855" max="14855" width="34.109375" style="100" customWidth="1"/>
    <col min="14856" max="15104" width="8.88671875" style="100"/>
    <col min="15105" max="15105" width="8" style="100" customWidth="1"/>
    <col min="15106" max="15106" width="6.6640625" style="100" customWidth="1"/>
    <col min="15107" max="15107" width="43" style="100" customWidth="1"/>
    <col min="15108" max="15108" width="15.6640625" style="100" customWidth="1"/>
    <col min="15109" max="15109" width="10.33203125" style="100" customWidth="1"/>
    <col min="15110" max="15110" width="18.5546875" style="100" customWidth="1"/>
    <col min="15111" max="15111" width="34.109375" style="100" customWidth="1"/>
    <col min="15112" max="15360" width="8.88671875" style="100"/>
    <col min="15361" max="15361" width="8" style="100" customWidth="1"/>
    <col min="15362" max="15362" width="6.6640625" style="100" customWidth="1"/>
    <col min="15363" max="15363" width="43" style="100" customWidth="1"/>
    <col min="15364" max="15364" width="15.6640625" style="100" customWidth="1"/>
    <col min="15365" max="15365" width="10.33203125" style="100" customWidth="1"/>
    <col min="15366" max="15366" width="18.5546875" style="100" customWidth="1"/>
    <col min="15367" max="15367" width="34.109375" style="100" customWidth="1"/>
    <col min="15368" max="15616" width="8.88671875" style="100"/>
    <col min="15617" max="15617" width="8" style="100" customWidth="1"/>
    <col min="15618" max="15618" width="6.6640625" style="100" customWidth="1"/>
    <col min="15619" max="15619" width="43" style="100" customWidth="1"/>
    <col min="15620" max="15620" width="15.6640625" style="100" customWidth="1"/>
    <col min="15621" max="15621" width="10.33203125" style="100" customWidth="1"/>
    <col min="15622" max="15622" width="18.5546875" style="100" customWidth="1"/>
    <col min="15623" max="15623" width="34.109375" style="100" customWidth="1"/>
    <col min="15624" max="15872" width="8.88671875" style="100"/>
    <col min="15873" max="15873" width="8" style="100" customWidth="1"/>
    <col min="15874" max="15874" width="6.6640625" style="100" customWidth="1"/>
    <col min="15875" max="15875" width="43" style="100" customWidth="1"/>
    <col min="15876" max="15876" width="15.6640625" style="100" customWidth="1"/>
    <col min="15877" max="15877" width="10.33203125" style="100" customWidth="1"/>
    <col min="15878" max="15878" width="18.5546875" style="100" customWidth="1"/>
    <col min="15879" max="15879" width="34.109375" style="100" customWidth="1"/>
    <col min="15880" max="16128" width="8.88671875" style="100"/>
    <col min="16129" max="16129" width="8" style="100" customWidth="1"/>
    <col min="16130" max="16130" width="6.6640625" style="100" customWidth="1"/>
    <col min="16131" max="16131" width="43" style="100" customWidth="1"/>
    <col min="16132" max="16132" width="15.6640625" style="100" customWidth="1"/>
    <col min="16133" max="16133" width="10.33203125" style="100" customWidth="1"/>
    <col min="16134" max="16134" width="18.5546875" style="100" customWidth="1"/>
    <col min="16135" max="16135" width="34.109375" style="100" customWidth="1"/>
    <col min="16136" max="16384" width="8.88671875" style="100"/>
  </cols>
  <sheetData>
    <row r="1" spans="1:7" ht="36" customHeight="1">
      <c r="A1" s="1915" t="s">
        <v>5978</v>
      </c>
      <c r="B1" s="1915"/>
      <c r="C1" s="1915"/>
      <c r="D1" s="1915"/>
      <c r="E1" s="1915"/>
      <c r="F1" s="1915"/>
    </row>
    <row r="2" spans="1:7" ht="36" customHeight="1">
      <c r="A2" s="1915" t="s">
        <v>4363</v>
      </c>
      <c r="B2" s="1915"/>
      <c r="C2" s="1915"/>
      <c r="D2" s="1915"/>
      <c r="E2" s="1915"/>
      <c r="F2" s="1915"/>
    </row>
    <row r="3" spans="1:7" ht="48.75" customHeight="1">
      <c r="A3" s="1916" t="s">
        <v>5395</v>
      </c>
      <c r="B3" s="1916"/>
      <c r="C3" s="1916"/>
      <c r="D3" s="1916"/>
      <c r="E3" s="1916"/>
      <c r="F3" s="1916"/>
    </row>
    <row r="4" spans="1:7" ht="43.5" customHeight="1">
      <c r="A4" s="1372" t="s">
        <v>1054</v>
      </c>
      <c r="B4" s="1372" t="s">
        <v>1055</v>
      </c>
      <c r="C4" s="1372" t="s">
        <v>1802</v>
      </c>
      <c r="D4" s="1372" t="s">
        <v>99</v>
      </c>
      <c r="E4" s="1372" t="s">
        <v>225</v>
      </c>
      <c r="F4" s="1372" t="s">
        <v>986</v>
      </c>
    </row>
    <row r="5" spans="1:7" ht="33.75" customHeight="1">
      <c r="A5" s="1373"/>
      <c r="B5" s="1373"/>
      <c r="C5" s="1373" t="s">
        <v>1056</v>
      </c>
      <c r="D5" s="1917" t="s">
        <v>5979</v>
      </c>
      <c r="E5" s="1917"/>
      <c r="F5" s="1917"/>
    </row>
    <row r="6" spans="1:7" ht="51" customHeight="1">
      <c r="A6" s="1374">
        <v>1</v>
      </c>
      <c r="B6" s="1375">
        <v>1</v>
      </c>
      <c r="C6" s="1375" t="s">
        <v>5980</v>
      </c>
      <c r="D6" s="1375">
        <f>Abs!F959</f>
        <v>14984773.390000001</v>
      </c>
      <c r="E6" s="1375">
        <v>1</v>
      </c>
      <c r="F6" s="1375">
        <f>D6</f>
        <v>14984773.390000001</v>
      </c>
    </row>
    <row r="7" spans="1:7" ht="35.25" customHeight="1">
      <c r="A7" s="1376"/>
      <c r="B7" s="1377"/>
      <c r="C7" s="1377" t="s">
        <v>4352</v>
      </c>
      <c r="D7" s="1377"/>
      <c r="E7" s="1377"/>
      <c r="F7" s="1378">
        <f>+SUM(F6)</f>
        <v>14984773.390000001</v>
      </c>
      <c r="G7" s="100">
        <f>F7-Abs!F959</f>
        <v>0</v>
      </c>
    </row>
    <row r="8" spans="1:7" ht="36" customHeight="1">
      <c r="A8" s="1374">
        <v>2</v>
      </c>
      <c r="B8" s="1379">
        <v>1</v>
      </c>
      <c r="C8" s="1375" t="s">
        <v>5981</v>
      </c>
      <c r="D8" s="1375">
        <f>Abs!J959</f>
        <v>372420.02</v>
      </c>
      <c r="E8" s="1377"/>
      <c r="F8" s="1375">
        <f t="shared" ref="F8:F15" si="0">D8*B8</f>
        <v>372420.02</v>
      </c>
      <c r="G8" s="100">
        <f>F8-Abs!J959</f>
        <v>0</v>
      </c>
    </row>
    <row r="9" spans="1:7" ht="36" customHeight="1">
      <c r="A9" s="1374">
        <f t="shared" ref="A9:A10" si="1">A8+1</f>
        <v>3</v>
      </c>
      <c r="B9" s="1379">
        <v>1</v>
      </c>
      <c r="C9" s="1375" t="s">
        <v>5982</v>
      </c>
      <c r="D9" s="1375">
        <f>Abs!H959</f>
        <v>223386.48</v>
      </c>
      <c r="E9" s="1377"/>
      <c r="F9" s="1375">
        <f t="shared" si="0"/>
        <v>223386.48</v>
      </c>
      <c r="G9" s="100">
        <f>F9-Abs!H959</f>
        <v>0</v>
      </c>
    </row>
    <row r="10" spans="1:7" ht="36" customHeight="1">
      <c r="A10" s="1374">
        <f t="shared" si="1"/>
        <v>4</v>
      </c>
      <c r="B10" s="1379">
        <v>1</v>
      </c>
      <c r="C10" s="1375" t="s">
        <v>5983</v>
      </c>
      <c r="D10" s="1375">
        <f>Abs!L959</f>
        <v>91594.25</v>
      </c>
      <c r="E10" s="1377"/>
      <c r="F10" s="1375">
        <f t="shared" si="0"/>
        <v>91594.25</v>
      </c>
      <c r="G10" s="100">
        <f>F10-Abs!L959</f>
        <v>0</v>
      </c>
    </row>
    <row r="11" spans="1:7" ht="36" customHeight="1">
      <c r="A11" s="1374">
        <v>6</v>
      </c>
      <c r="B11" s="1379">
        <v>1</v>
      </c>
      <c r="C11" s="1375" t="s">
        <v>5984</v>
      </c>
      <c r="D11" s="1375">
        <f>Abs!P959</f>
        <v>225970.33</v>
      </c>
      <c r="E11" s="1377"/>
      <c r="F11" s="1375">
        <f t="shared" si="0"/>
        <v>225970.33</v>
      </c>
      <c r="G11" s="100">
        <f>F11-Abs!P959</f>
        <v>0</v>
      </c>
    </row>
    <row r="12" spans="1:7" ht="36" customHeight="1">
      <c r="A12" s="1374">
        <v>7</v>
      </c>
      <c r="B12" s="1379">
        <v>1</v>
      </c>
      <c r="C12" s="1375" t="s">
        <v>5985</v>
      </c>
      <c r="D12" s="1375">
        <f>Abs!V959</f>
        <v>558121.80000000005</v>
      </c>
      <c r="E12" s="1377"/>
      <c r="F12" s="1375">
        <f t="shared" si="0"/>
        <v>558121.80000000005</v>
      </c>
      <c r="G12" s="100">
        <f>F12-Abs!V959</f>
        <v>0</v>
      </c>
    </row>
    <row r="13" spans="1:7" ht="36" customHeight="1">
      <c r="A13" s="1374">
        <v>8</v>
      </c>
      <c r="B13" s="1379">
        <v>1</v>
      </c>
      <c r="C13" s="1375" t="s">
        <v>6444</v>
      </c>
      <c r="D13" s="1375">
        <f>Abs!R959</f>
        <v>160982.6</v>
      </c>
      <c r="E13" s="1377"/>
      <c r="F13" s="1375">
        <f t="shared" ref="F13" si="2">D13*B13</f>
        <v>160982.6</v>
      </c>
      <c r="G13" s="100">
        <f>F13-Abs!R959</f>
        <v>0</v>
      </c>
    </row>
    <row r="14" spans="1:7" ht="36" customHeight="1">
      <c r="A14" s="1374">
        <v>9</v>
      </c>
      <c r="B14" s="1379">
        <v>1</v>
      </c>
      <c r="C14" s="1375" t="s">
        <v>5986</v>
      </c>
      <c r="D14" s="1375">
        <f>Abs!T959</f>
        <v>169744.96</v>
      </c>
      <c r="E14" s="1377"/>
      <c r="F14" s="1375">
        <f t="shared" si="0"/>
        <v>169744.96</v>
      </c>
      <c r="G14" s="100">
        <f>F14-Abs!T959</f>
        <v>0</v>
      </c>
    </row>
    <row r="15" spans="1:7" ht="36" customHeight="1">
      <c r="A15" s="1374">
        <v>10</v>
      </c>
      <c r="B15" s="1379">
        <v>1</v>
      </c>
      <c r="C15" s="1375" t="s">
        <v>5987</v>
      </c>
      <c r="D15" s="1375">
        <f>Abs!N959</f>
        <v>858748.29</v>
      </c>
      <c r="E15" s="1377"/>
      <c r="F15" s="1375">
        <f t="shared" si="0"/>
        <v>858748.29</v>
      </c>
      <c r="G15" s="100">
        <f>F15-Abs!N959</f>
        <v>0</v>
      </c>
    </row>
    <row r="16" spans="1:7" ht="42" customHeight="1">
      <c r="A16" s="1374"/>
      <c r="B16" s="1380"/>
      <c r="C16" s="1910" t="s">
        <v>4072</v>
      </c>
      <c r="D16" s="1910"/>
      <c r="E16" s="1910"/>
      <c r="F16" s="1381">
        <f>+SUM(F7:F15)</f>
        <v>17645742.120000001</v>
      </c>
      <c r="G16" s="1382" t="e">
        <f>F16-Abs!Z959</f>
        <v>#REF!</v>
      </c>
    </row>
    <row r="17" spans="1:7" ht="33" customHeight="1">
      <c r="A17" s="1374">
        <v>11</v>
      </c>
      <c r="B17" s="1380"/>
      <c r="C17" s="1383" t="s">
        <v>4362</v>
      </c>
      <c r="D17" s="1910"/>
      <c r="E17" s="1910"/>
      <c r="F17" s="1384">
        <f>F16*0.12</f>
        <v>2117489.0499999998</v>
      </c>
      <c r="G17" s="1385"/>
    </row>
    <row r="18" spans="1:7" ht="31.5" customHeight="1">
      <c r="A18" s="1374"/>
      <c r="B18" s="1380"/>
      <c r="C18" s="1910" t="s">
        <v>4343</v>
      </c>
      <c r="D18" s="1910"/>
      <c r="E18" s="1910"/>
      <c r="F18" s="1381">
        <f>SUM(F16:F17)</f>
        <v>19763231.170000002</v>
      </c>
      <c r="G18" s="1385"/>
    </row>
    <row r="19" spans="1:7" ht="42.75" customHeight="1">
      <c r="A19" s="1374">
        <v>12</v>
      </c>
      <c r="B19" s="1380"/>
      <c r="C19" s="1386" t="s">
        <v>5988</v>
      </c>
      <c r="D19" s="1909" t="s">
        <v>663</v>
      </c>
      <c r="E19" s="1909"/>
      <c r="F19" s="1375">
        <v>100000</v>
      </c>
      <c r="G19" s="1385"/>
    </row>
    <row r="20" spans="1:7" ht="42.75" customHeight="1">
      <c r="A20" s="1374">
        <v>13</v>
      </c>
      <c r="B20" s="1380"/>
      <c r="C20" s="1386" t="s">
        <v>5989</v>
      </c>
      <c r="D20" s="1909" t="s">
        <v>663</v>
      </c>
      <c r="E20" s="1909"/>
      <c r="F20" s="1375">
        <v>50000</v>
      </c>
      <c r="G20" s="1385"/>
    </row>
    <row r="21" spans="1:7" ht="42.75" customHeight="1">
      <c r="A21" s="1374">
        <v>14</v>
      </c>
      <c r="B21" s="1380"/>
      <c r="C21" s="1386" t="s">
        <v>5990</v>
      </c>
      <c r="D21" s="1909" t="s">
        <v>663</v>
      </c>
      <c r="E21" s="1909"/>
      <c r="F21" s="1375">
        <v>150000</v>
      </c>
      <c r="G21" s="1385"/>
    </row>
    <row r="22" spans="1:7" s="1794" customFormat="1" ht="42.75" customHeight="1">
      <c r="A22" s="1790">
        <v>15</v>
      </c>
      <c r="B22" s="1768"/>
      <c r="C22" s="1791" t="s">
        <v>6417</v>
      </c>
      <c r="D22" s="1908" t="s">
        <v>663</v>
      </c>
      <c r="E22" s="1908"/>
      <c r="F22" s="1792">
        <v>20000</v>
      </c>
      <c r="G22" s="1793"/>
    </row>
    <row r="23" spans="1:7" ht="42.75" customHeight="1">
      <c r="A23" s="1374">
        <v>16</v>
      </c>
      <c r="B23" s="1380"/>
      <c r="C23" s="1386" t="s">
        <v>5991</v>
      </c>
      <c r="D23" s="1909" t="s">
        <v>663</v>
      </c>
      <c r="E23" s="1909"/>
      <c r="F23" s="1375">
        <v>100000</v>
      </c>
      <c r="G23" s="1385"/>
    </row>
    <row r="24" spans="1:7" ht="42.75" customHeight="1">
      <c r="A24" s="1374">
        <v>17</v>
      </c>
      <c r="B24" s="1380"/>
      <c r="C24" s="1386" t="s">
        <v>5992</v>
      </c>
      <c r="D24" s="1909" t="s">
        <v>663</v>
      </c>
      <c r="E24" s="1909"/>
      <c r="F24" s="1375">
        <v>75000</v>
      </c>
      <c r="G24" s="1385"/>
    </row>
    <row r="25" spans="1:7" ht="42.75" customHeight="1">
      <c r="A25" s="1374">
        <v>18</v>
      </c>
      <c r="B25" s="1380"/>
      <c r="C25" s="1386" t="s">
        <v>5993</v>
      </c>
      <c r="D25" s="1909" t="s">
        <v>663</v>
      </c>
      <c r="E25" s="1909"/>
      <c r="F25" s="1375">
        <v>60000</v>
      </c>
      <c r="G25" s="1385"/>
    </row>
    <row r="26" spans="1:7" ht="35.1" customHeight="1">
      <c r="A26" s="1374">
        <v>19</v>
      </c>
      <c r="B26" s="1380"/>
      <c r="C26" s="1386" t="s">
        <v>5994</v>
      </c>
      <c r="D26" s="1908" t="s">
        <v>663</v>
      </c>
      <c r="E26" s="1908"/>
      <c r="F26" s="1375">
        <v>28000</v>
      </c>
    </row>
    <row r="27" spans="1:7" ht="52.5" customHeight="1">
      <c r="A27" s="1374">
        <v>20</v>
      </c>
      <c r="B27" s="1380"/>
      <c r="C27" s="1386" t="s">
        <v>5995</v>
      </c>
      <c r="D27" s="1908" t="s">
        <v>663</v>
      </c>
      <c r="E27" s="1908"/>
      <c r="F27" s="1375">
        <v>60000</v>
      </c>
    </row>
    <row r="28" spans="1:7" ht="37.5" customHeight="1">
      <c r="A28" s="1374">
        <v>21</v>
      </c>
      <c r="B28" s="1380"/>
      <c r="C28" s="1386" t="s">
        <v>5996</v>
      </c>
      <c r="D28" s="1908" t="s">
        <v>663</v>
      </c>
      <c r="E28" s="1908"/>
      <c r="F28" s="1375">
        <v>150000</v>
      </c>
    </row>
    <row r="29" spans="1:7" ht="29.25" customHeight="1">
      <c r="A29" s="1387"/>
      <c r="B29" s="1380"/>
      <c r="C29" s="1910" t="s">
        <v>5997</v>
      </c>
      <c r="D29" s="1910"/>
      <c r="E29" s="1910"/>
      <c r="F29" s="1378">
        <f>+SUM(F18:F28)</f>
        <v>20556231.170000002</v>
      </c>
    </row>
    <row r="30" spans="1:7" ht="42" customHeight="1">
      <c r="A30" s="1388">
        <v>22</v>
      </c>
      <c r="B30" s="1380"/>
      <c r="C30" s="1386" t="s">
        <v>4361</v>
      </c>
      <c r="D30" s="1911"/>
      <c r="E30" s="1911"/>
      <c r="F30" s="1375">
        <f>F29*0.01</f>
        <v>205562.31</v>
      </c>
    </row>
    <row r="31" spans="1:7" ht="42" customHeight="1">
      <c r="A31" s="1374">
        <v>23</v>
      </c>
      <c r="B31" s="1380"/>
      <c r="C31" s="1386" t="s">
        <v>5998</v>
      </c>
      <c r="D31" s="1912"/>
      <c r="E31" s="1913"/>
      <c r="F31" s="1375">
        <f>F29*0.025</f>
        <v>513905.78</v>
      </c>
    </row>
    <row r="32" spans="1:7" ht="37.5" customHeight="1">
      <c r="A32" s="1388">
        <v>24</v>
      </c>
      <c r="B32" s="1380"/>
      <c r="C32" s="1386" t="s">
        <v>4470</v>
      </c>
      <c r="D32" s="1914"/>
      <c r="E32" s="1914"/>
      <c r="F32" s="1375">
        <f>F29*0.075</f>
        <v>1541717.34</v>
      </c>
    </row>
    <row r="33" spans="1:6" ht="35.1" customHeight="1">
      <c r="A33" s="1387"/>
      <c r="B33" s="1380"/>
      <c r="C33" s="1910" t="s">
        <v>4360</v>
      </c>
      <c r="D33" s="1910"/>
      <c r="E33" s="1910"/>
      <c r="F33" s="1378">
        <f>+SUM(F29:F32)</f>
        <v>22817416.600000001</v>
      </c>
    </row>
    <row r="34" spans="1:6" ht="38.25" customHeight="1">
      <c r="A34" s="1388">
        <v>25</v>
      </c>
      <c r="B34" s="1380"/>
      <c r="C34" s="1386" t="s">
        <v>4359</v>
      </c>
      <c r="D34" s="1909" t="s">
        <v>663</v>
      </c>
      <c r="E34" s="1909"/>
      <c r="F34" s="1375">
        <v>50000</v>
      </c>
    </row>
    <row r="35" spans="1:6" ht="38.25" customHeight="1">
      <c r="A35" s="1374">
        <v>26</v>
      </c>
      <c r="B35" s="1380"/>
      <c r="C35" s="1386" t="s">
        <v>4358</v>
      </c>
      <c r="D35" s="1908" t="s">
        <v>663</v>
      </c>
      <c r="E35" s="1908"/>
      <c r="F35" s="1375">
        <v>50000</v>
      </c>
    </row>
    <row r="36" spans="1:6" ht="49.5" customHeight="1">
      <c r="A36" s="1374">
        <v>27</v>
      </c>
      <c r="B36" s="1380"/>
      <c r="C36" s="1386" t="s">
        <v>4478</v>
      </c>
      <c r="D36" s="1908" t="s">
        <v>663</v>
      </c>
      <c r="E36" s="1908"/>
      <c r="F36" s="1375">
        <v>50000</v>
      </c>
    </row>
    <row r="37" spans="1:6" ht="38.25" customHeight="1">
      <c r="A37" s="1374">
        <v>28</v>
      </c>
      <c r="B37" s="1380"/>
      <c r="C37" s="1386" t="s">
        <v>4357</v>
      </c>
      <c r="D37" s="1909" t="s">
        <v>663</v>
      </c>
      <c r="E37" s="1909"/>
      <c r="F37" s="1375">
        <v>25000</v>
      </c>
    </row>
    <row r="38" spans="1:6" ht="38.25" customHeight="1">
      <c r="A38" s="1387"/>
      <c r="B38" s="1380"/>
      <c r="C38" s="1910" t="s">
        <v>4472</v>
      </c>
      <c r="D38" s="1910"/>
      <c r="E38" s="1910"/>
      <c r="F38" s="1378">
        <f>SUM(F33:F37)</f>
        <v>22992416.600000001</v>
      </c>
    </row>
    <row r="39" spans="1:6" ht="35.1" customHeight="1">
      <c r="A39" s="1389"/>
      <c r="B39" s="1389"/>
      <c r="C39" s="1389"/>
      <c r="D39" s="1390" t="s">
        <v>5999</v>
      </c>
      <c r="E39" s="1390">
        <f>F38/100000</f>
        <v>229.92</v>
      </c>
      <c r="F39" s="1390" t="s">
        <v>6000</v>
      </c>
    </row>
    <row r="42" spans="1:6" ht="35.1" customHeight="1">
      <c r="F42" s="1312">
        <f>255-E39</f>
        <v>25.08</v>
      </c>
    </row>
  </sheetData>
  <mergeCells count="27">
    <mergeCell ref="D23:E23"/>
    <mergeCell ref="A1:F1"/>
    <mergeCell ref="A2:F2"/>
    <mergeCell ref="A3:F3"/>
    <mergeCell ref="D5:F5"/>
    <mergeCell ref="C16:E16"/>
    <mergeCell ref="D17:E17"/>
    <mergeCell ref="C18:E18"/>
    <mergeCell ref="D19:E19"/>
    <mergeCell ref="D20:E20"/>
    <mergeCell ref="D21:E21"/>
    <mergeCell ref="D22:E22"/>
    <mergeCell ref="D24:E24"/>
    <mergeCell ref="D25:E25"/>
    <mergeCell ref="D26:E26"/>
    <mergeCell ref="D27:E27"/>
    <mergeCell ref="D28:E28"/>
    <mergeCell ref="D35:E35"/>
    <mergeCell ref="D36:E36"/>
    <mergeCell ref="D37:E37"/>
    <mergeCell ref="C38:E38"/>
    <mergeCell ref="C29:E29"/>
    <mergeCell ref="D30:E30"/>
    <mergeCell ref="D31:E31"/>
    <mergeCell ref="D32:E32"/>
    <mergeCell ref="C33:E33"/>
    <mergeCell ref="D34:E34"/>
  </mergeCells>
  <printOptions horizontalCentered="1"/>
  <pageMargins left="0.92" right="0.47" top="0.87" bottom="0.68" header="0.42" footer="0.28000000000000003"/>
  <pageSetup paperSize="9" scale="71" orientation="portrait" r:id="rId1"/>
  <headerFooter alignWithMargins="0">
    <oddHeader>&amp;CInamkulathur Qtrs&amp;R&amp;P</oddHeader>
  </headerFooter>
</worksheet>
</file>

<file path=xl/worksheets/sheet14.xml><?xml version="1.0" encoding="utf-8"?>
<worksheet xmlns="http://schemas.openxmlformats.org/spreadsheetml/2006/main" xmlns:r="http://schemas.openxmlformats.org/officeDocument/2006/relationships">
  <sheetPr filterMode="1">
    <tabColor rgb="FFFFFF00"/>
  </sheetPr>
  <dimension ref="A1:AJ1098"/>
  <sheetViews>
    <sheetView showZeros="0" view="pageBreakPreview" zoomScale="55" zoomScaleNormal="40" zoomScaleSheetLayoutView="55" workbookViewId="0">
      <pane xSplit="4" ySplit="5" topLeftCell="E508" activePane="bottomRight" state="frozen"/>
      <selection pane="topRight" activeCell="E1" sqref="E1"/>
      <selection pane="bottomLeft" activeCell="A5" sqref="A5"/>
      <selection pane="bottomRight" activeCell="E512" sqref="E512"/>
    </sheetView>
  </sheetViews>
  <sheetFormatPr defaultRowHeight="25.5"/>
  <cols>
    <col min="1" max="1" width="10" style="1211" customWidth="1"/>
    <col min="2" max="2" width="64.44140625" style="1211" customWidth="1"/>
    <col min="3" max="3" width="16.5546875" style="1748" customWidth="1"/>
    <col min="4" max="4" width="11" style="1749" customWidth="1"/>
    <col min="5" max="5" width="14" style="1749" customWidth="1"/>
    <col min="6" max="6" width="18" style="1749" customWidth="1"/>
    <col min="7" max="7" width="14.6640625" style="1749" customWidth="1"/>
    <col min="8" max="8" width="17.33203125" style="1749" customWidth="1"/>
    <col min="9" max="9" width="13.5546875" style="1757" customWidth="1"/>
    <col min="10" max="18" width="16.6640625" style="1748" customWidth="1"/>
    <col min="19" max="19" width="14.21875" style="1748" customWidth="1"/>
    <col min="20" max="20" width="15.88671875" style="1748" customWidth="1"/>
    <col min="21" max="21" width="15.21875" style="1748" customWidth="1"/>
    <col min="22" max="22" width="16.21875" style="1748" customWidth="1"/>
    <col min="23" max="23" width="13.109375" style="1758" customWidth="1"/>
    <col min="24" max="24" width="16.77734375" style="1748" customWidth="1"/>
    <col min="25" max="25" width="13.77734375" style="1759" customWidth="1"/>
    <col min="26" max="26" width="19.33203125" style="1759" customWidth="1"/>
    <col min="27" max="27" width="22.21875" style="321" bestFit="1" customWidth="1"/>
    <col min="28" max="28" width="21.109375" style="321" bestFit="1" customWidth="1"/>
    <col min="29" max="29" width="15.88671875" style="322" bestFit="1" customWidth="1"/>
    <col min="30" max="30" width="8.88671875" style="322"/>
    <col min="31" max="31" width="13.44140625" style="322" bestFit="1" customWidth="1"/>
    <col min="32" max="32" width="8.88671875" style="322"/>
    <col min="33" max="33" width="11.77734375" style="322" bestFit="1" customWidth="1"/>
    <col min="34" max="35" width="8.88671875" style="322"/>
    <col min="36" max="36" width="11.6640625" style="322" bestFit="1" customWidth="1"/>
    <col min="37" max="16384" width="8.88671875" style="322"/>
  </cols>
  <sheetData>
    <row r="1" spans="1:28" ht="72.75" customHeight="1">
      <c r="A1" s="1926" t="str">
        <f>station!A1</f>
        <v>Name of work : Construction of Fire and Rescue service station building with development works at Kadamalaikundu in Theni District.</v>
      </c>
      <c r="B1" s="1927"/>
      <c r="C1" s="1927"/>
      <c r="D1" s="1927"/>
      <c r="E1" s="1927"/>
      <c r="F1" s="1927"/>
      <c r="G1" s="1927"/>
      <c r="H1" s="1927"/>
      <c r="I1" s="1927"/>
      <c r="J1" s="1927"/>
      <c r="K1" s="1927"/>
      <c r="L1" s="1927"/>
      <c r="M1" s="1927"/>
      <c r="N1" s="1927"/>
      <c r="O1" s="1927"/>
      <c r="P1" s="1927"/>
      <c r="Q1" s="1927"/>
      <c r="R1" s="1927"/>
      <c r="S1" s="1927"/>
      <c r="T1" s="1927"/>
      <c r="U1" s="1927"/>
      <c r="V1" s="1927"/>
      <c r="W1" s="1927"/>
      <c r="X1" s="1927"/>
      <c r="Y1" s="1927"/>
      <c r="Z1" s="1928"/>
    </row>
    <row r="2" spans="1:28" ht="72.75" customHeight="1">
      <c r="A2" s="1926" t="s">
        <v>6447</v>
      </c>
      <c r="B2" s="1927"/>
      <c r="C2" s="1927"/>
      <c r="D2" s="1927"/>
      <c r="E2" s="1927"/>
      <c r="F2" s="1927"/>
      <c r="G2" s="1927"/>
      <c r="H2" s="1927"/>
      <c r="I2" s="1927"/>
      <c r="J2" s="1927"/>
      <c r="K2" s="1927"/>
      <c r="L2" s="1927"/>
      <c r="M2" s="1927"/>
      <c r="N2" s="1927"/>
      <c r="O2" s="1927"/>
      <c r="P2" s="1927"/>
      <c r="Q2" s="1927"/>
      <c r="R2" s="1927"/>
      <c r="S2" s="1927"/>
      <c r="T2" s="1927"/>
      <c r="U2" s="1927"/>
      <c r="V2" s="1927"/>
      <c r="W2" s="1927"/>
      <c r="X2" s="1927"/>
      <c r="Y2" s="1927"/>
      <c r="Z2" s="1928"/>
    </row>
    <row r="3" spans="1:28" s="671" customFormat="1" ht="55.9" customHeight="1">
      <c r="A3" s="1929" t="s">
        <v>227</v>
      </c>
      <c r="B3" s="1929" t="s">
        <v>1802</v>
      </c>
      <c r="C3" s="1929" t="s">
        <v>99</v>
      </c>
      <c r="D3" s="1929" t="s">
        <v>225</v>
      </c>
      <c r="E3" s="1921" t="s">
        <v>6001</v>
      </c>
      <c r="F3" s="1921"/>
      <c r="G3" s="1922" t="s">
        <v>6349</v>
      </c>
      <c r="H3" s="1922"/>
      <c r="I3" s="1922" t="s">
        <v>5981</v>
      </c>
      <c r="J3" s="1922"/>
      <c r="K3" s="1922" t="s">
        <v>6350</v>
      </c>
      <c r="L3" s="1922"/>
      <c r="M3" s="1922" t="s">
        <v>6351</v>
      </c>
      <c r="N3" s="1922"/>
      <c r="O3" s="1930" t="s">
        <v>5984</v>
      </c>
      <c r="P3" s="1931"/>
      <c r="Q3" s="1930" t="s">
        <v>6444</v>
      </c>
      <c r="R3" s="1931"/>
      <c r="S3" s="1922" t="s">
        <v>5986</v>
      </c>
      <c r="T3" s="1922"/>
      <c r="U3" s="1922" t="s">
        <v>4896</v>
      </c>
      <c r="V3" s="1922"/>
      <c r="W3" s="1922" t="s">
        <v>4846</v>
      </c>
      <c r="X3" s="1922"/>
      <c r="Y3" s="1932" t="s">
        <v>1055</v>
      </c>
      <c r="Z3" s="1932" t="s">
        <v>986</v>
      </c>
      <c r="AB3" s="672"/>
    </row>
    <row r="4" spans="1:28" s="671" customFormat="1" ht="31.9" customHeight="1">
      <c r="A4" s="1929"/>
      <c r="B4" s="1929"/>
      <c r="C4" s="1929"/>
      <c r="D4" s="1929"/>
      <c r="E4" s="1606" t="s">
        <v>1055</v>
      </c>
      <c r="F4" s="1391" t="s">
        <v>986</v>
      </c>
      <c r="G4" s="1606" t="s">
        <v>1055</v>
      </c>
      <c r="H4" s="1391" t="s">
        <v>986</v>
      </c>
      <c r="I4" s="1606" t="s">
        <v>1055</v>
      </c>
      <c r="J4" s="1391" t="s">
        <v>986</v>
      </c>
      <c r="K4" s="1606" t="s">
        <v>1055</v>
      </c>
      <c r="L4" s="1391" t="s">
        <v>986</v>
      </c>
      <c r="M4" s="1606" t="s">
        <v>1055</v>
      </c>
      <c r="N4" s="1391" t="s">
        <v>986</v>
      </c>
      <c r="O4" s="1606" t="s">
        <v>1055</v>
      </c>
      <c r="P4" s="1391" t="s">
        <v>986</v>
      </c>
      <c r="Q4" s="1606" t="s">
        <v>1055</v>
      </c>
      <c r="R4" s="1767" t="s">
        <v>986</v>
      </c>
      <c r="S4" s="1606" t="s">
        <v>1055</v>
      </c>
      <c r="T4" s="1391" t="s">
        <v>986</v>
      </c>
      <c r="U4" s="1606" t="s">
        <v>1055</v>
      </c>
      <c r="V4" s="1391" t="s">
        <v>986</v>
      </c>
      <c r="W4" s="1606" t="s">
        <v>1055</v>
      </c>
      <c r="X4" s="1391" t="s">
        <v>986</v>
      </c>
      <c r="Y4" s="1933"/>
      <c r="Z4" s="1933"/>
      <c r="AA4" s="672"/>
      <c r="AB4" s="672"/>
    </row>
    <row r="5" spans="1:28" s="671" customFormat="1" ht="39.75" customHeight="1">
      <c r="A5" s="1391"/>
      <c r="B5" s="1391"/>
      <c r="C5" s="1391"/>
      <c r="D5" s="1391"/>
      <c r="E5" s="1391"/>
      <c r="F5" s="1391"/>
      <c r="G5" s="1391"/>
      <c r="H5" s="1391"/>
      <c r="I5" s="1607"/>
      <c r="J5" s="1391"/>
      <c r="K5" s="1391"/>
      <c r="L5" s="1391"/>
      <c r="M5" s="1391"/>
      <c r="N5" s="1391"/>
      <c r="O5" s="1391"/>
      <c r="P5" s="1391"/>
      <c r="Q5" s="1767"/>
      <c r="R5" s="1767"/>
      <c r="S5" s="1391"/>
      <c r="T5" s="1391"/>
      <c r="U5" s="1391"/>
      <c r="V5" s="1391"/>
      <c r="W5" s="1606"/>
      <c r="X5" s="1391"/>
      <c r="Y5" s="1391"/>
      <c r="Z5" s="1769"/>
      <c r="AA5" s="672"/>
      <c r="AB5" s="672"/>
    </row>
    <row r="6" spans="1:28" ht="50.25" customHeight="1">
      <c r="A6" s="1608">
        <v>1.1000000000000001</v>
      </c>
      <c r="B6" s="1166" t="s">
        <v>5290</v>
      </c>
      <c r="C6" s="1609"/>
      <c r="D6" s="1610" t="s">
        <v>987</v>
      </c>
      <c r="E6" s="1611"/>
      <c r="F6" s="1611"/>
      <c r="G6" s="1612"/>
      <c r="H6" s="1612"/>
      <c r="I6" s="1613"/>
      <c r="J6" s="1612"/>
      <c r="K6" s="1612"/>
      <c r="L6" s="1612"/>
      <c r="M6" s="1612"/>
      <c r="N6" s="1612"/>
      <c r="O6" s="1612"/>
      <c r="P6" s="1612"/>
      <c r="Q6" s="1612"/>
      <c r="R6" s="1612"/>
      <c r="S6" s="1612"/>
      <c r="T6" s="1612"/>
      <c r="U6" s="1612"/>
      <c r="V6" s="1612"/>
      <c r="W6" s="1614"/>
      <c r="X6" s="1612"/>
      <c r="Y6" s="1615" t="s">
        <v>2276</v>
      </c>
      <c r="Z6" s="1615"/>
    </row>
    <row r="7" spans="1:28" ht="36" customHeight="1">
      <c r="A7" s="1608"/>
      <c r="B7" s="1166" t="s">
        <v>2003</v>
      </c>
      <c r="C7" s="1612">
        <f>ROUND(Data!K85,2)</f>
        <v>204.4</v>
      </c>
      <c r="D7" s="1610" t="s">
        <v>1215</v>
      </c>
      <c r="E7" s="1616">
        <f>station!I29</f>
        <v>261.7</v>
      </c>
      <c r="F7" s="1617">
        <f>E7*C7</f>
        <v>53491.48</v>
      </c>
      <c r="G7" s="1618"/>
      <c r="H7" s="1618">
        <f>G7*C7</f>
        <v>0</v>
      </c>
      <c r="I7" s="1618"/>
      <c r="J7" s="1618">
        <f>I7*C7</f>
        <v>0</v>
      </c>
      <c r="K7" s="1618">
        <f>'Plinth '!I9</f>
        <v>11</v>
      </c>
      <c r="L7" s="1618">
        <f>K7*C7</f>
        <v>2248.4</v>
      </c>
      <c r="M7" s="1618"/>
      <c r="N7" s="1618">
        <f>M7*C7</f>
        <v>0</v>
      </c>
      <c r="O7" s="1618"/>
      <c r="P7" s="1618">
        <f>O7*C7</f>
        <v>0</v>
      </c>
      <c r="Q7" s="1618"/>
      <c r="R7" s="1618">
        <f>Q7*C7</f>
        <v>0</v>
      </c>
      <c r="S7" s="1618"/>
      <c r="T7" s="1618">
        <f t="shared" ref="T7:T70" si="0">S7*C7</f>
        <v>0</v>
      </c>
      <c r="U7" s="1618"/>
      <c r="V7" s="1618">
        <f t="shared" ref="V7:V70" si="1">U7*C7</f>
        <v>0</v>
      </c>
      <c r="W7" s="1619" t="e">
        <f>U7+S7+O7+M7+#REF!+K7+I7+G7+Q7</f>
        <v>#REF!</v>
      </c>
      <c r="X7" s="1618" t="e">
        <f t="shared" ref="X7:X45" si="2">W7*C7</f>
        <v>#REF!</v>
      </c>
      <c r="Y7" s="1619" t="e">
        <f>W7+E7</f>
        <v>#REF!</v>
      </c>
      <c r="Z7" s="1618" t="e">
        <f t="shared" ref="Z7:Z38" si="3">Y7*C7</f>
        <v>#REF!</v>
      </c>
      <c r="AA7" s="673"/>
      <c r="AB7" s="673"/>
    </row>
    <row r="8" spans="1:28" s="475" customFormat="1">
      <c r="A8" s="1620"/>
      <c r="B8" s="1167" t="s">
        <v>730</v>
      </c>
      <c r="C8" s="1621">
        <f>ROUND(Data!K86,2)</f>
        <v>213.7</v>
      </c>
      <c r="D8" s="1622" t="s">
        <v>1215</v>
      </c>
      <c r="E8" s="1616"/>
      <c r="F8" s="1617">
        <f t="shared" ref="F8:F74" si="4">E8*C8</f>
        <v>0</v>
      </c>
      <c r="G8" s="1616"/>
      <c r="H8" s="1618">
        <f>G8*C8</f>
        <v>0</v>
      </c>
      <c r="I8" s="1616"/>
      <c r="J8" s="1618">
        <f>I8*C8</f>
        <v>0</v>
      </c>
      <c r="K8" s="1618"/>
      <c r="L8" s="1618">
        <f>K8*C8</f>
        <v>0</v>
      </c>
      <c r="M8" s="1618"/>
      <c r="N8" s="1618">
        <f>M8*C8</f>
        <v>0</v>
      </c>
      <c r="O8" s="1618"/>
      <c r="P8" s="1618">
        <f>O8*C8</f>
        <v>0</v>
      </c>
      <c r="Q8" s="1618"/>
      <c r="R8" s="1618">
        <f>Q8*C8</f>
        <v>0</v>
      </c>
      <c r="S8" s="1618"/>
      <c r="T8" s="1618">
        <f t="shared" si="0"/>
        <v>0</v>
      </c>
      <c r="U8" s="1616"/>
      <c r="V8" s="1618">
        <f t="shared" si="1"/>
        <v>0</v>
      </c>
      <c r="W8" s="1619" t="e">
        <f>U8+S8+O8+M8+#REF!+K8+I8+G8+Q8</f>
        <v>#REF!</v>
      </c>
      <c r="X8" s="1618" t="e">
        <f t="shared" si="2"/>
        <v>#REF!</v>
      </c>
      <c r="Y8" s="1619" t="e">
        <f>W8+E8</f>
        <v>#REF!</v>
      </c>
      <c r="Z8" s="1618" t="e">
        <f t="shared" si="3"/>
        <v>#REF!</v>
      </c>
      <c r="AA8" s="674"/>
      <c r="AB8" s="674"/>
    </row>
    <row r="9" spans="1:28" s="301" customFormat="1" ht="46.5" hidden="1">
      <c r="A9" s="368">
        <v>1.2</v>
      </c>
      <c r="B9" s="320" t="s">
        <v>4050</v>
      </c>
      <c r="C9" s="307"/>
      <c r="D9" s="486"/>
      <c r="E9" s="526"/>
      <c r="F9" s="630">
        <f t="shared" si="4"/>
        <v>0</v>
      </c>
      <c r="G9" s="526"/>
      <c r="H9" s="517">
        <f t="shared" ref="H9:H74" si="5">G9*C9</f>
        <v>0</v>
      </c>
      <c r="I9" s="526"/>
      <c r="J9" s="517">
        <f t="shared" ref="J9:J74" si="6">I9*C9</f>
        <v>0</v>
      </c>
      <c r="K9" s="517"/>
      <c r="L9" s="517"/>
      <c r="M9" s="517"/>
      <c r="N9" s="517"/>
      <c r="O9" s="517"/>
      <c r="P9" s="517"/>
      <c r="Q9" s="517"/>
      <c r="R9" s="517"/>
      <c r="S9" s="517"/>
      <c r="T9" s="517">
        <f t="shared" si="0"/>
        <v>0</v>
      </c>
      <c r="U9" s="526"/>
      <c r="V9" s="517">
        <f t="shared" si="1"/>
        <v>0</v>
      </c>
      <c r="W9" s="632">
        <f t="shared" ref="W9:W17" si="7">I9+S9+U9</f>
        <v>0</v>
      </c>
      <c r="X9" s="517">
        <f t="shared" si="2"/>
        <v>0</v>
      </c>
      <c r="Y9" s="632">
        <f t="shared" ref="Y9:Y17" si="8">W9+E9+G9</f>
        <v>0</v>
      </c>
      <c r="Z9" s="517">
        <f t="shared" si="3"/>
        <v>0</v>
      </c>
      <c r="AA9" s="675"/>
      <c r="AB9" s="674"/>
    </row>
    <row r="10" spans="1:28" s="301" customFormat="1" hidden="1">
      <c r="A10" s="368"/>
      <c r="B10" s="320" t="s">
        <v>2003</v>
      </c>
      <c r="C10" s="307">
        <f>ROUND(Data!K87,2)</f>
        <v>193.2</v>
      </c>
      <c r="D10" s="486" t="s">
        <v>1215</v>
      </c>
      <c r="E10" s="526"/>
      <c r="F10" s="630">
        <f t="shared" si="4"/>
        <v>0</v>
      </c>
      <c r="G10" s="526"/>
      <c r="H10" s="517">
        <f t="shared" si="5"/>
        <v>0</v>
      </c>
      <c r="I10" s="526"/>
      <c r="J10" s="517">
        <f t="shared" si="6"/>
        <v>0</v>
      </c>
      <c r="K10" s="517"/>
      <c r="L10" s="517"/>
      <c r="M10" s="517"/>
      <c r="N10" s="517"/>
      <c r="O10" s="517"/>
      <c r="P10" s="517"/>
      <c r="Q10" s="517"/>
      <c r="R10" s="517"/>
      <c r="S10" s="517"/>
      <c r="T10" s="517">
        <f t="shared" si="0"/>
        <v>0</v>
      </c>
      <c r="U10" s="526"/>
      <c r="V10" s="517">
        <f t="shared" si="1"/>
        <v>0</v>
      </c>
      <c r="W10" s="632">
        <f t="shared" si="7"/>
        <v>0</v>
      </c>
      <c r="X10" s="517">
        <f t="shared" si="2"/>
        <v>0</v>
      </c>
      <c r="Y10" s="632">
        <f t="shared" si="8"/>
        <v>0</v>
      </c>
      <c r="Z10" s="517">
        <f t="shared" si="3"/>
        <v>0</v>
      </c>
      <c r="AA10" s="675"/>
      <c r="AB10" s="674"/>
    </row>
    <row r="11" spans="1:28" s="301" customFormat="1" hidden="1">
      <c r="A11" s="649"/>
      <c r="B11" s="520" t="s">
        <v>730</v>
      </c>
      <c r="C11" s="650">
        <f>ROUND(Data!K88,2)</f>
        <v>202.5</v>
      </c>
      <c r="D11" s="446" t="s">
        <v>1215</v>
      </c>
      <c r="E11" s="651"/>
      <c r="F11" s="630">
        <f t="shared" si="4"/>
        <v>0</v>
      </c>
      <c r="G11" s="651"/>
      <c r="H11" s="517">
        <f t="shared" si="5"/>
        <v>0</v>
      </c>
      <c r="I11" s="651"/>
      <c r="J11" s="517">
        <f t="shared" si="6"/>
        <v>0</v>
      </c>
      <c r="K11" s="654"/>
      <c r="L11" s="654"/>
      <c r="M11" s="654"/>
      <c r="N11" s="654"/>
      <c r="O11" s="654"/>
      <c r="P11" s="654"/>
      <c r="Q11" s="654"/>
      <c r="R11" s="654"/>
      <c r="S11" s="654"/>
      <c r="T11" s="517">
        <f t="shared" si="0"/>
        <v>0</v>
      </c>
      <c r="U11" s="651"/>
      <c r="V11" s="517">
        <f t="shared" si="1"/>
        <v>0</v>
      </c>
      <c r="W11" s="632">
        <f t="shared" si="7"/>
        <v>0</v>
      </c>
      <c r="X11" s="517">
        <f t="shared" si="2"/>
        <v>0</v>
      </c>
      <c r="Y11" s="632">
        <f t="shared" si="8"/>
        <v>0</v>
      </c>
      <c r="Z11" s="517">
        <f t="shared" si="3"/>
        <v>0</v>
      </c>
      <c r="AA11" s="675"/>
      <c r="AB11" s="674"/>
    </row>
    <row r="12" spans="1:28" s="475" customFormat="1" ht="52.5" hidden="1">
      <c r="A12" s="476">
        <v>1.3</v>
      </c>
      <c r="B12" s="479" t="s">
        <v>4353</v>
      </c>
      <c r="C12" s="511"/>
      <c r="D12" s="510" t="s">
        <v>987</v>
      </c>
      <c r="E12" s="526"/>
      <c r="F12" s="630">
        <f t="shared" si="4"/>
        <v>0</v>
      </c>
      <c r="G12" s="526"/>
      <c r="H12" s="517">
        <f t="shared" si="5"/>
        <v>0</v>
      </c>
      <c r="I12" s="526"/>
      <c r="J12" s="517">
        <f t="shared" si="6"/>
        <v>0</v>
      </c>
      <c r="K12" s="517"/>
      <c r="L12" s="517"/>
      <c r="M12" s="517"/>
      <c r="N12" s="517"/>
      <c r="O12" s="517"/>
      <c r="P12" s="517"/>
      <c r="Q12" s="517"/>
      <c r="R12" s="517"/>
      <c r="S12" s="517"/>
      <c r="T12" s="517">
        <f t="shared" si="0"/>
        <v>0</v>
      </c>
      <c r="U12" s="526"/>
      <c r="V12" s="517">
        <f t="shared" si="1"/>
        <v>0</v>
      </c>
      <c r="W12" s="632">
        <f t="shared" si="7"/>
        <v>0</v>
      </c>
      <c r="X12" s="517">
        <f t="shared" si="2"/>
        <v>0</v>
      </c>
      <c r="Y12" s="632">
        <f t="shared" si="8"/>
        <v>0</v>
      </c>
      <c r="Z12" s="517">
        <f t="shared" si="3"/>
        <v>0</v>
      </c>
      <c r="AA12" s="674"/>
      <c r="AB12" s="674"/>
    </row>
    <row r="13" spans="1:28" s="475" customFormat="1" hidden="1">
      <c r="A13" s="476"/>
      <c r="B13" s="479" t="s">
        <v>2003</v>
      </c>
      <c r="C13" s="470">
        <f>ROUND(Data!K98,2)</f>
        <v>299</v>
      </c>
      <c r="D13" s="510" t="s">
        <v>1215</v>
      </c>
      <c r="E13" s="526"/>
      <c r="F13" s="630">
        <f t="shared" si="4"/>
        <v>0</v>
      </c>
      <c r="G13" s="526"/>
      <c r="H13" s="517">
        <f t="shared" si="5"/>
        <v>0</v>
      </c>
      <c r="I13" s="526"/>
      <c r="J13" s="517">
        <f t="shared" si="6"/>
        <v>0</v>
      </c>
      <c r="K13" s="517"/>
      <c r="L13" s="517"/>
      <c r="M13" s="517"/>
      <c r="N13" s="517"/>
      <c r="O13" s="517"/>
      <c r="P13" s="517"/>
      <c r="Q13" s="517"/>
      <c r="R13" s="517"/>
      <c r="S13" s="517"/>
      <c r="T13" s="517">
        <f t="shared" si="0"/>
        <v>0</v>
      </c>
      <c r="U13" s="526"/>
      <c r="V13" s="517">
        <f t="shared" si="1"/>
        <v>0</v>
      </c>
      <c r="W13" s="632">
        <f t="shared" si="7"/>
        <v>0</v>
      </c>
      <c r="X13" s="517">
        <f t="shared" si="2"/>
        <v>0</v>
      </c>
      <c r="Y13" s="632">
        <f t="shared" si="8"/>
        <v>0</v>
      </c>
      <c r="Z13" s="517">
        <f t="shared" si="3"/>
        <v>0</v>
      </c>
      <c r="AA13" s="674"/>
      <c r="AB13" s="674"/>
    </row>
    <row r="14" spans="1:28" s="301" customFormat="1" hidden="1">
      <c r="A14" s="536"/>
      <c r="B14" s="537" t="s">
        <v>730</v>
      </c>
      <c r="C14" s="452">
        <f>ROUND(Data!K99,2)</f>
        <v>308.3</v>
      </c>
      <c r="D14" s="443" t="s">
        <v>1215</v>
      </c>
      <c r="E14" s="526"/>
      <c r="F14" s="630">
        <f t="shared" si="4"/>
        <v>0</v>
      </c>
      <c r="G14" s="526"/>
      <c r="H14" s="517">
        <f t="shared" si="5"/>
        <v>0</v>
      </c>
      <c r="I14" s="526"/>
      <c r="J14" s="517">
        <f t="shared" si="6"/>
        <v>0</v>
      </c>
      <c r="K14" s="517"/>
      <c r="L14" s="517"/>
      <c r="M14" s="517"/>
      <c r="N14" s="517"/>
      <c r="O14" s="517"/>
      <c r="P14" s="517"/>
      <c r="Q14" s="517"/>
      <c r="R14" s="517"/>
      <c r="S14" s="517"/>
      <c r="T14" s="517">
        <f t="shared" si="0"/>
        <v>0</v>
      </c>
      <c r="U14" s="526"/>
      <c r="V14" s="517">
        <f t="shared" si="1"/>
        <v>0</v>
      </c>
      <c r="W14" s="632">
        <f t="shared" si="7"/>
        <v>0</v>
      </c>
      <c r="X14" s="517">
        <f t="shared" si="2"/>
        <v>0</v>
      </c>
      <c r="Y14" s="632">
        <f t="shared" si="8"/>
        <v>0</v>
      </c>
      <c r="Z14" s="517">
        <f t="shared" si="3"/>
        <v>0</v>
      </c>
      <c r="AA14" s="675"/>
      <c r="AB14" s="674"/>
    </row>
    <row r="15" spans="1:28" s="301" customFormat="1" ht="46.5" hidden="1">
      <c r="A15" s="368">
        <v>1.4</v>
      </c>
      <c r="B15" s="320" t="s">
        <v>4051</v>
      </c>
      <c r="C15" s="307"/>
      <c r="D15" s="486"/>
      <c r="E15" s="526"/>
      <c r="F15" s="630">
        <f t="shared" si="4"/>
        <v>0</v>
      </c>
      <c r="G15" s="526"/>
      <c r="H15" s="517">
        <f t="shared" si="5"/>
        <v>0</v>
      </c>
      <c r="I15" s="526"/>
      <c r="J15" s="517">
        <f t="shared" si="6"/>
        <v>0</v>
      </c>
      <c r="K15" s="517"/>
      <c r="L15" s="517"/>
      <c r="M15" s="517"/>
      <c r="N15" s="517"/>
      <c r="O15" s="517"/>
      <c r="P15" s="517"/>
      <c r="Q15" s="517"/>
      <c r="R15" s="517"/>
      <c r="S15" s="517"/>
      <c r="T15" s="517">
        <f t="shared" si="0"/>
        <v>0</v>
      </c>
      <c r="U15" s="526"/>
      <c r="V15" s="517">
        <f t="shared" si="1"/>
        <v>0</v>
      </c>
      <c r="W15" s="632">
        <f t="shared" si="7"/>
        <v>0</v>
      </c>
      <c r="X15" s="517">
        <f t="shared" si="2"/>
        <v>0</v>
      </c>
      <c r="Y15" s="632">
        <f t="shared" si="8"/>
        <v>0</v>
      </c>
      <c r="Z15" s="517">
        <f t="shared" si="3"/>
        <v>0</v>
      </c>
      <c r="AA15" s="675"/>
      <c r="AB15" s="674"/>
    </row>
    <row r="16" spans="1:28" s="301" customFormat="1" hidden="1">
      <c r="A16" s="368"/>
      <c r="B16" s="320" t="s">
        <v>2003</v>
      </c>
      <c r="C16" s="307">
        <f>ROUND(Data!K113,2)</f>
        <v>107.8</v>
      </c>
      <c r="D16" s="486" t="s">
        <v>1215</v>
      </c>
      <c r="E16" s="526"/>
      <c r="F16" s="630">
        <f t="shared" si="4"/>
        <v>0</v>
      </c>
      <c r="G16" s="526"/>
      <c r="H16" s="517">
        <f t="shared" si="5"/>
        <v>0</v>
      </c>
      <c r="I16" s="526"/>
      <c r="J16" s="517">
        <f t="shared" si="6"/>
        <v>0</v>
      </c>
      <c r="K16" s="517"/>
      <c r="L16" s="517"/>
      <c r="M16" s="517"/>
      <c r="N16" s="517"/>
      <c r="O16" s="517"/>
      <c r="P16" s="517"/>
      <c r="Q16" s="517"/>
      <c r="R16" s="517"/>
      <c r="S16" s="517"/>
      <c r="T16" s="517">
        <f t="shared" si="0"/>
        <v>0</v>
      </c>
      <c r="U16" s="526"/>
      <c r="V16" s="517">
        <f t="shared" si="1"/>
        <v>0</v>
      </c>
      <c r="W16" s="632">
        <f t="shared" si="7"/>
        <v>0</v>
      </c>
      <c r="X16" s="517">
        <f t="shared" si="2"/>
        <v>0</v>
      </c>
      <c r="Y16" s="632">
        <f t="shared" si="8"/>
        <v>0</v>
      </c>
      <c r="Z16" s="517">
        <f t="shared" si="3"/>
        <v>0</v>
      </c>
      <c r="AA16" s="675"/>
      <c r="AB16" s="674"/>
    </row>
    <row r="17" spans="1:29" s="301" customFormat="1" hidden="1">
      <c r="A17" s="649"/>
      <c r="B17" s="520" t="s">
        <v>730</v>
      </c>
      <c r="C17" s="650">
        <f>ROUND(Data!L113,2)</f>
        <v>117.1</v>
      </c>
      <c r="D17" s="446" t="s">
        <v>1215</v>
      </c>
      <c r="E17" s="651"/>
      <c r="F17" s="630">
        <f t="shared" si="4"/>
        <v>0</v>
      </c>
      <c r="G17" s="651"/>
      <c r="H17" s="517">
        <f t="shared" si="5"/>
        <v>0</v>
      </c>
      <c r="I17" s="651"/>
      <c r="J17" s="517">
        <f t="shared" si="6"/>
        <v>0</v>
      </c>
      <c r="K17" s="654"/>
      <c r="L17" s="654"/>
      <c r="M17" s="654"/>
      <c r="N17" s="654"/>
      <c r="O17" s="654"/>
      <c r="P17" s="654"/>
      <c r="Q17" s="654"/>
      <c r="R17" s="654"/>
      <c r="S17" s="654"/>
      <c r="T17" s="517">
        <f t="shared" si="0"/>
        <v>0</v>
      </c>
      <c r="U17" s="651"/>
      <c r="V17" s="517">
        <f t="shared" si="1"/>
        <v>0</v>
      </c>
      <c r="W17" s="632">
        <f t="shared" si="7"/>
        <v>0</v>
      </c>
      <c r="X17" s="517">
        <f t="shared" si="2"/>
        <v>0</v>
      </c>
      <c r="Y17" s="632">
        <f t="shared" si="8"/>
        <v>0</v>
      </c>
      <c r="Z17" s="517">
        <f t="shared" si="3"/>
        <v>0</v>
      </c>
      <c r="AA17" s="675"/>
      <c r="AB17" s="674"/>
    </row>
    <row r="18" spans="1:29" ht="45">
      <c r="A18" s="1608">
        <v>1.5</v>
      </c>
      <c r="B18" s="1166" t="s">
        <v>5291</v>
      </c>
      <c r="C18" s="1612"/>
      <c r="D18" s="1610" t="s">
        <v>987</v>
      </c>
      <c r="E18" s="1623"/>
      <c r="F18" s="1617">
        <f t="shared" si="4"/>
        <v>0</v>
      </c>
      <c r="G18" s="1618"/>
      <c r="H18" s="1618">
        <f t="shared" si="5"/>
        <v>0</v>
      </c>
      <c r="I18" s="1618"/>
      <c r="J18" s="1618">
        <f t="shared" si="6"/>
        <v>0</v>
      </c>
      <c r="K18" s="1618"/>
      <c r="L18" s="1618">
        <f t="shared" ref="L18:L20" si="9">K18*C18</f>
        <v>0</v>
      </c>
      <c r="M18" s="1618"/>
      <c r="N18" s="1618">
        <f>M18*C18</f>
        <v>0</v>
      </c>
      <c r="O18" s="1618"/>
      <c r="P18" s="1618">
        <f>O18*C18</f>
        <v>0</v>
      </c>
      <c r="Q18" s="1618"/>
      <c r="R18" s="1618">
        <f>Q18*C18</f>
        <v>0</v>
      </c>
      <c r="S18" s="1618"/>
      <c r="T18" s="1618">
        <f t="shared" si="0"/>
        <v>0</v>
      </c>
      <c r="U18" s="1618"/>
      <c r="V18" s="1618">
        <f t="shared" si="1"/>
        <v>0</v>
      </c>
      <c r="W18" s="1619" t="e">
        <f>U18+S18+O18+M18+#REF!+K18+I18+G18+Q18</f>
        <v>#REF!</v>
      </c>
      <c r="X18" s="1618" t="e">
        <f t="shared" si="2"/>
        <v>#REF!</v>
      </c>
      <c r="Y18" s="1619" t="e">
        <f>W18+E18</f>
        <v>#REF!</v>
      </c>
      <c r="Z18" s="1618" t="e">
        <f t="shared" si="3"/>
        <v>#REF!</v>
      </c>
      <c r="AA18" s="530"/>
      <c r="AB18" s="673"/>
      <c r="AC18" s="627"/>
    </row>
    <row r="19" spans="1:29" ht="49.5" customHeight="1">
      <c r="A19" s="1608"/>
      <c r="B19" s="1166" t="s">
        <v>2003</v>
      </c>
      <c r="C19" s="1612">
        <f>ROUND(Data!K115,2)</f>
        <v>96.6</v>
      </c>
      <c r="D19" s="1610" t="s">
        <v>1215</v>
      </c>
      <c r="E19" s="1616"/>
      <c r="F19" s="1617">
        <f t="shared" si="4"/>
        <v>0</v>
      </c>
      <c r="G19" s="1618">
        <f>S.T!H15</f>
        <v>41.7</v>
      </c>
      <c r="H19" s="1618">
        <f t="shared" si="5"/>
        <v>4028.22</v>
      </c>
      <c r="I19" s="1618">
        <f>Sump!H7</f>
        <v>53.9</v>
      </c>
      <c r="J19" s="1618">
        <f t="shared" si="6"/>
        <v>5206.74</v>
      </c>
      <c r="K19" s="1618"/>
      <c r="L19" s="1618">
        <f t="shared" si="9"/>
        <v>0</v>
      </c>
      <c r="M19" s="1618">
        <f>'paver block (2)'!H13</f>
        <v>186.5</v>
      </c>
      <c r="N19" s="1618">
        <f>M19*C19</f>
        <v>18015.900000000001</v>
      </c>
      <c r="O19" s="1618"/>
      <c r="P19" s="1618">
        <f>O19*C19</f>
        <v>0</v>
      </c>
      <c r="Q19" s="1618">
        <f>CUlvert!G7</f>
        <v>15.6</v>
      </c>
      <c r="R19" s="1618">
        <f>Q19*C19</f>
        <v>1506.96</v>
      </c>
      <c r="S19" s="1618"/>
      <c r="T19" s="1618">
        <f t="shared" si="0"/>
        <v>0</v>
      </c>
      <c r="U19" s="1618"/>
      <c r="V19" s="1618">
        <f t="shared" si="1"/>
        <v>0</v>
      </c>
      <c r="W19" s="1619" t="e">
        <f>U19+S19+O19+M19+#REF!+K19+I19+G19+Q19</f>
        <v>#REF!</v>
      </c>
      <c r="X19" s="1618" t="e">
        <f t="shared" si="2"/>
        <v>#REF!</v>
      </c>
      <c r="Y19" s="1619" t="e">
        <f>W19+E19</f>
        <v>#REF!</v>
      </c>
      <c r="Z19" s="1618" t="e">
        <f t="shared" si="3"/>
        <v>#REF!</v>
      </c>
      <c r="AA19" s="673"/>
      <c r="AB19" s="673"/>
    </row>
    <row r="20" spans="1:29">
      <c r="A20" s="1624"/>
      <c r="B20" s="1168" t="s">
        <v>730</v>
      </c>
      <c r="C20" s="1625">
        <f>ROUND(Data!K116,2)</f>
        <v>105.9</v>
      </c>
      <c r="D20" s="1610" t="s">
        <v>1215</v>
      </c>
      <c r="E20" s="1616"/>
      <c r="F20" s="1617">
        <f t="shared" si="4"/>
        <v>0</v>
      </c>
      <c r="G20" s="1618">
        <f>S.T!H21</f>
        <v>4.4000000000000004</v>
      </c>
      <c r="H20" s="1618">
        <f t="shared" si="5"/>
        <v>465.96</v>
      </c>
      <c r="I20" s="1618">
        <f>Sump!H10</f>
        <v>12.1</v>
      </c>
      <c r="J20" s="1618">
        <f t="shared" si="6"/>
        <v>1281.3900000000001</v>
      </c>
      <c r="K20" s="1618"/>
      <c r="L20" s="1618">
        <f t="shared" si="9"/>
        <v>0</v>
      </c>
      <c r="M20" s="1618"/>
      <c r="N20" s="1618">
        <f>M20*C20</f>
        <v>0</v>
      </c>
      <c r="O20" s="1618"/>
      <c r="P20" s="1618">
        <f>O20*C20</f>
        <v>0</v>
      </c>
      <c r="Q20" s="1618"/>
      <c r="R20" s="1618">
        <f>Q20*C20</f>
        <v>0</v>
      </c>
      <c r="S20" s="1618"/>
      <c r="T20" s="1618">
        <f t="shared" si="0"/>
        <v>0</v>
      </c>
      <c r="U20" s="1618"/>
      <c r="V20" s="1618">
        <f t="shared" si="1"/>
        <v>0</v>
      </c>
      <c r="W20" s="1619" t="e">
        <f>U20+S20+O20+M20+#REF!+K20+I20+G20+Q20</f>
        <v>#REF!</v>
      </c>
      <c r="X20" s="1618" t="e">
        <f t="shared" si="2"/>
        <v>#REF!</v>
      </c>
      <c r="Y20" s="1619" t="e">
        <f>W20+E20</f>
        <v>#REF!</v>
      </c>
      <c r="Z20" s="1618" t="e">
        <f t="shared" si="3"/>
        <v>#REF!</v>
      </c>
      <c r="AA20" s="673"/>
      <c r="AB20" s="673"/>
    </row>
    <row r="21" spans="1:29" s="301" customFormat="1" hidden="1">
      <c r="A21" s="368"/>
      <c r="B21" s="320" t="s">
        <v>3831</v>
      </c>
      <c r="C21" s="307">
        <f>ROUND(Data!K117,2)</f>
        <v>115.2</v>
      </c>
      <c r="D21" s="486" t="s">
        <v>1215</v>
      </c>
      <c r="E21" s="526"/>
      <c r="F21" s="630">
        <f t="shared" si="4"/>
        <v>0</v>
      </c>
      <c r="G21" s="526"/>
      <c r="H21" s="517">
        <f t="shared" si="5"/>
        <v>0</v>
      </c>
      <c r="I21" s="526"/>
      <c r="J21" s="517">
        <f t="shared" si="6"/>
        <v>0</v>
      </c>
      <c r="K21" s="517"/>
      <c r="L21" s="517"/>
      <c r="M21" s="517"/>
      <c r="N21" s="517"/>
      <c r="O21" s="517"/>
      <c r="P21" s="517"/>
      <c r="Q21" s="517"/>
      <c r="R21" s="517"/>
      <c r="S21" s="517"/>
      <c r="T21" s="517">
        <f t="shared" si="0"/>
        <v>0</v>
      </c>
      <c r="U21" s="526"/>
      <c r="V21" s="517">
        <f t="shared" si="1"/>
        <v>0</v>
      </c>
      <c r="W21" s="632">
        <f>I21+S21+U21</f>
        <v>0</v>
      </c>
      <c r="X21" s="517">
        <f t="shared" si="2"/>
        <v>0</v>
      </c>
      <c r="Y21" s="632">
        <f>W21+E21+G21</f>
        <v>0</v>
      </c>
      <c r="Z21" s="517">
        <f t="shared" si="3"/>
        <v>0</v>
      </c>
      <c r="AA21" s="675"/>
      <c r="AB21" s="674"/>
    </row>
    <row r="22" spans="1:29" s="301" customFormat="1" hidden="1">
      <c r="A22" s="649"/>
      <c r="B22" s="520" t="s">
        <v>3832</v>
      </c>
      <c r="C22" s="650">
        <f>ROUND(Data!K118,2)</f>
        <v>124.5</v>
      </c>
      <c r="D22" s="446" t="s">
        <v>1215</v>
      </c>
      <c r="E22" s="651"/>
      <c r="F22" s="630">
        <f t="shared" si="4"/>
        <v>0</v>
      </c>
      <c r="G22" s="651"/>
      <c r="H22" s="517">
        <f t="shared" si="5"/>
        <v>0</v>
      </c>
      <c r="I22" s="651"/>
      <c r="J22" s="517">
        <f t="shared" si="6"/>
        <v>0</v>
      </c>
      <c r="K22" s="654"/>
      <c r="L22" s="654"/>
      <c r="M22" s="654"/>
      <c r="N22" s="654"/>
      <c r="O22" s="654"/>
      <c r="P22" s="654"/>
      <c r="Q22" s="654"/>
      <c r="R22" s="654"/>
      <c r="S22" s="654"/>
      <c r="T22" s="517">
        <f t="shared" si="0"/>
        <v>0</v>
      </c>
      <c r="U22" s="651"/>
      <c r="V22" s="517">
        <f t="shared" si="1"/>
        <v>0</v>
      </c>
      <c r="W22" s="632">
        <f>I22+S22+U22</f>
        <v>0</v>
      </c>
      <c r="X22" s="517">
        <f t="shared" si="2"/>
        <v>0</v>
      </c>
      <c r="Y22" s="632">
        <f>W22+E22+G22</f>
        <v>0</v>
      </c>
      <c r="Z22" s="517">
        <f t="shared" si="3"/>
        <v>0</v>
      </c>
      <c r="AA22" s="675"/>
      <c r="AB22" s="674"/>
    </row>
    <row r="23" spans="1:29" s="301" customFormat="1" ht="45">
      <c r="A23" s="1608">
        <v>1.6</v>
      </c>
      <c r="B23" s="1166" t="s">
        <v>6396</v>
      </c>
      <c r="C23" s="1612"/>
      <c r="D23" s="1610"/>
      <c r="E23" s="1616"/>
      <c r="F23" s="1626">
        <f t="shared" si="4"/>
        <v>0</v>
      </c>
      <c r="G23" s="1616"/>
      <c r="H23" s="1618">
        <f t="shared" si="5"/>
        <v>0</v>
      </c>
      <c r="I23" s="1616"/>
      <c r="J23" s="1618">
        <f t="shared" si="6"/>
        <v>0</v>
      </c>
      <c r="K23" s="1618"/>
      <c r="L23" s="1618">
        <f t="shared" ref="L23:L25" si="10">K23*C23</f>
        <v>0</v>
      </c>
      <c r="M23" s="1618"/>
      <c r="N23" s="1618">
        <f>M23*C23</f>
        <v>0</v>
      </c>
      <c r="O23" s="1618"/>
      <c r="P23" s="1618">
        <f>O23*C23</f>
        <v>0</v>
      </c>
      <c r="Q23" s="1618"/>
      <c r="R23" s="1618">
        <f>Q23*C23</f>
        <v>0</v>
      </c>
      <c r="S23" s="1618"/>
      <c r="T23" s="1618">
        <f t="shared" si="0"/>
        <v>0</v>
      </c>
      <c r="U23" s="1616"/>
      <c r="V23" s="1618">
        <f t="shared" si="1"/>
        <v>0</v>
      </c>
      <c r="W23" s="1619" t="e">
        <f>U23+S23+O23+M23+#REF!+K23+I23+G23+Q23</f>
        <v>#REF!</v>
      </c>
      <c r="X23" s="1618" t="e">
        <f t="shared" si="2"/>
        <v>#REF!</v>
      </c>
      <c r="Y23" s="1619" t="e">
        <f>W23+E23</f>
        <v>#REF!</v>
      </c>
      <c r="Z23" s="1618" t="e">
        <f t="shared" si="3"/>
        <v>#REF!</v>
      </c>
      <c r="AA23" s="675"/>
      <c r="AB23" s="674"/>
    </row>
    <row r="24" spans="1:29" s="301" customFormat="1">
      <c r="A24" s="1608"/>
      <c r="B24" s="1166" t="s">
        <v>2003</v>
      </c>
      <c r="C24" s="1612">
        <f>ROUND(Data!K130,2)</f>
        <v>144.9</v>
      </c>
      <c r="D24" s="1610" t="s">
        <v>1215</v>
      </c>
      <c r="E24" s="1616"/>
      <c r="F24" s="1626">
        <f t="shared" si="4"/>
        <v>0</v>
      </c>
      <c r="G24" s="1616"/>
      <c r="H24" s="1618">
        <f t="shared" si="5"/>
        <v>0</v>
      </c>
      <c r="I24" s="1616"/>
      <c r="J24" s="1618">
        <f t="shared" si="6"/>
        <v>0</v>
      </c>
      <c r="K24" s="1618"/>
      <c r="L24" s="1618">
        <f t="shared" si="10"/>
        <v>0</v>
      </c>
      <c r="M24" s="1618"/>
      <c r="N24" s="1618">
        <f>M24*C24</f>
        <v>0</v>
      </c>
      <c r="O24" s="1618">
        <f>Sullage!H11</f>
        <v>34.1</v>
      </c>
      <c r="P24" s="1618">
        <f>O24*C24</f>
        <v>4941.09</v>
      </c>
      <c r="Q24" s="1618"/>
      <c r="R24" s="1618">
        <f>Q24*C24</f>
        <v>0</v>
      </c>
      <c r="S24" s="1618"/>
      <c r="T24" s="1618">
        <f t="shared" si="0"/>
        <v>0</v>
      </c>
      <c r="U24" s="1616"/>
      <c r="V24" s="1618">
        <f t="shared" si="1"/>
        <v>0</v>
      </c>
      <c r="W24" s="1619" t="e">
        <f>U24+S24+O24+M24+#REF!+K24+I24+G24+Q24</f>
        <v>#REF!</v>
      </c>
      <c r="X24" s="1618" t="e">
        <f t="shared" si="2"/>
        <v>#REF!</v>
      </c>
      <c r="Y24" s="1619" t="e">
        <f>W24+E24</f>
        <v>#REF!</v>
      </c>
      <c r="Z24" s="1618" t="e">
        <f t="shared" si="3"/>
        <v>#REF!</v>
      </c>
      <c r="AA24" s="675"/>
      <c r="AB24" s="674"/>
    </row>
    <row r="25" spans="1:29" s="301" customFormat="1">
      <c r="A25" s="1627"/>
      <c r="B25" s="1177" t="s">
        <v>730</v>
      </c>
      <c r="C25" s="1628">
        <f>ROUND(Data!K131,2)</f>
        <v>154.19999999999999</v>
      </c>
      <c r="D25" s="1629" t="s">
        <v>1215</v>
      </c>
      <c r="E25" s="1616"/>
      <c r="F25" s="1626">
        <f t="shared" si="4"/>
        <v>0</v>
      </c>
      <c r="G25" s="1616"/>
      <c r="H25" s="1618">
        <f t="shared" si="5"/>
        <v>0</v>
      </c>
      <c r="I25" s="1616"/>
      <c r="J25" s="1618">
        <f t="shared" si="6"/>
        <v>0</v>
      </c>
      <c r="K25" s="1618"/>
      <c r="L25" s="1618">
        <f t="shared" si="10"/>
        <v>0</v>
      </c>
      <c r="M25" s="1618"/>
      <c r="N25" s="1618">
        <f>M25*C25</f>
        <v>0</v>
      </c>
      <c r="O25" s="1618"/>
      <c r="P25" s="1618">
        <f>O25*C25</f>
        <v>0</v>
      </c>
      <c r="Q25" s="1618"/>
      <c r="R25" s="1618">
        <f>Q25*C25</f>
        <v>0</v>
      </c>
      <c r="S25" s="1618"/>
      <c r="T25" s="1618">
        <f t="shared" si="0"/>
        <v>0</v>
      </c>
      <c r="U25" s="1616"/>
      <c r="V25" s="1618">
        <f t="shared" si="1"/>
        <v>0</v>
      </c>
      <c r="W25" s="1619" t="e">
        <f>U25+S25+O25+M25+#REF!+K25+I25+G25+Q25</f>
        <v>#REF!</v>
      </c>
      <c r="X25" s="1618" t="e">
        <f t="shared" si="2"/>
        <v>#REF!</v>
      </c>
      <c r="Y25" s="1619" t="e">
        <f>W25+E25</f>
        <v>#REF!</v>
      </c>
      <c r="Z25" s="1618" t="e">
        <f t="shared" si="3"/>
        <v>#REF!</v>
      </c>
      <c r="AA25" s="675"/>
      <c r="AB25" s="674"/>
    </row>
    <row r="26" spans="1:29" s="301" customFormat="1" ht="46.5" hidden="1">
      <c r="A26" s="368">
        <v>1.7</v>
      </c>
      <c r="B26" s="320" t="s">
        <v>4052</v>
      </c>
      <c r="C26" s="307"/>
      <c r="D26" s="486" t="s">
        <v>987</v>
      </c>
      <c r="E26" s="526"/>
      <c r="F26" s="630">
        <f t="shared" si="4"/>
        <v>0</v>
      </c>
      <c r="G26" s="526"/>
      <c r="H26" s="517">
        <f t="shared" si="5"/>
        <v>0</v>
      </c>
      <c r="I26" s="526"/>
      <c r="J26" s="517">
        <f t="shared" si="6"/>
        <v>0</v>
      </c>
      <c r="K26" s="517"/>
      <c r="L26" s="517"/>
      <c r="M26" s="517"/>
      <c r="N26" s="517"/>
      <c r="O26" s="517"/>
      <c r="P26" s="517"/>
      <c r="Q26" s="517"/>
      <c r="R26" s="517"/>
      <c r="S26" s="517"/>
      <c r="T26" s="517">
        <f t="shared" si="0"/>
        <v>0</v>
      </c>
      <c r="U26" s="526"/>
      <c r="V26" s="517">
        <f t="shared" si="1"/>
        <v>0</v>
      </c>
      <c r="W26" s="632">
        <f t="shared" ref="W26:W38" si="11">I26+S26+U26</f>
        <v>0</v>
      </c>
      <c r="X26" s="517">
        <f t="shared" si="2"/>
        <v>0</v>
      </c>
      <c r="Y26" s="632">
        <f t="shared" ref="Y26:Y38" si="12">W26+E26+G26</f>
        <v>0</v>
      </c>
      <c r="Z26" s="517">
        <f t="shared" si="3"/>
        <v>0</v>
      </c>
      <c r="AA26" s="675"/>
      <c r="AB26" s="674"/>
    </row>
    <row r="27" spans="1:29" s="301" customFormat="1" hidden="1">
      <c r="A27" s="368"/>
      <c r="B27" s="320" t="s">
        <v>2003</v>
      </c>
      <c r="C27" s="307">
        <f>ROUND(Data!K101,2)</f>
        <v>287.8</v>
      </c>
      <c r="D27" s="486" t="s">
        <v>1215</v>
      </c>
      <c r="E27" s="526"/>
      <c r="F27" s="630">
        <f t="shared" si="4"/>
        <v>0</v>
      </c>
      <c r="G27" s="526"/>
      <c r="H27" s="517">
        <f t="shared" si="5"/>
        <v>0</v>
      </c>
      <c r="I27" s="526"/>
      <c r="J27" s="517">
        <f t="shared" si="6"/>
        <v>0</v>
      </c>
      <c r="K27" s="517"/>
      <c r="L27" s="517"/>
      <c r="M27" s="517"/>
      <c r="N27" s="517"/>
      <c r="O27" s="517"/>
      <c r="P27" s="517"/>
      <c r="Q27" s="517"/>
      <c r="R27" s="517"/>
      <c r="S27" s="517"/>
      <c r="T27" s="517">
        <f t="shared" si="0"/>
        <v>0</v>
      </c>
      <c r="U27" s="526"/>
      <c r="V27" s="517">
        <f t="shared" si="1"/>
        <v>0</v>
      </c>
      <c r="W27" s="632">
        <f t="shared" si="11"/>
        <v>0</v>
      </c>
      <c r="X27" s="517">
        <f t="shared" si="2"/>
        <v>0</v>
      </c>
      <c r="Y27" s="632">
        <f t="shared" si="12"/>
        <v>0</v>
      </c>
      <c r="Z27" s="517">
        <f t="shared" si="3"/>
        <v>0</v>
      </c>
      <c r="AA27" s="675"/>
      <c r="AB27" s="674"/>
    </row>
    <row r="28" spans="1:29" s="301" customFormat="1" hidden="1">
      <c r="A28" s="649"/>
      <c r="B28" s="520" t="s">
        <v>730</v>
      </c>
      <c r="C28" s="650">
        <f>ROUND(Data!K102,2)</f>
        <v>297.10000000000002</v>
      </c>
      <c r="D28" s="446" t="s">
        <v>1215</v>
      </c>
      <c r="E28" s="651"/>
      <c r="F28" s="630">
        <f t="shared" si="4"/>
        <v>0</v>
      </c>
      <c r="G28" s="651"/>
      <c r="H28" s="517">
        <f t="shared" si="5"/>
        <v>0</v>
      </c>
      <c r="I28" s="651"/>
      <c r="J28" s="517">
        <f t="shared" si="6"/>
        <v>0</v>
      </c>
      <c r="K28" s="654"/>
      <c r="L28" s="654"/>
      <c r="M28" s="654"/>
      <c r="N28" s="654"/>
      <c r="O28" s="654"/>
      <c r="P28" s="654"/>
      <c r="Q28" s="654"/>
      <c r="R28" s="654"/>
      <c r="S28" s="654"/>
      <c r="T28" s="517">
        <f t="shared" si="0"/>
        <v>0</v>
      </c>
      <c r="U28" s="651"/>
      <c r="V28" s="517">
        <f t="shared" si="1"/>
        <v>0</v>
      </c>
      <c r="W28" s="632">
        <f t="shared" si="11"/>
        <v>0</v>
      </c>
      <c r="X28" s="517">
        <f t="shared" si="2"/>
        <v>0</v>
      </c>
      <c r="Y28" s="632">
        <f t="shared" si="12"/>
        <v>0</v>
      </c>
      <c r="Z28" s="517">
        <f t="shared" si="3"/>
        <v>0</v>
      </c>
      <c r="AA28" s="675"/>
      <c r="AB28" s="674"/>
    </row>
    <row r="29" spans="1:29" s="301" customFormat="1" ht="46.5" hidden="1">
      <c r="A29" s="368">
        <v>1.8</v>
      </c>
      <c r="B29" s="320" t="s">
        <v>4053</v>
      </c>
      <c r="C29" s="513"/>
      <c r="D29" s="514" t="s">
        <v>987</v>
      </c>
      <c r="E29" s="526"/>
      <c r="F29" s="630">
        <f t="shared" si="4"/>
        <v>0</v>
      </c>
      <c r="G29" s="526"/>
      <c r="H29" s="517">
        <f t="shared" si="5"/>
        <v>0</v>
      </c>
      <c r="I29" s="526"/>
      <c r="J29" s="517">
        <f t="shared" si="6"/>
        <v>0</v>
      </c>
      <c r="K29" s="517"/>
      <c r="L29" s="517"/>
      <c r="M29" s="517"/>
      <c r="N29" s="517"/>
      <c r="O29" s="517"/>
      <c r="P29" s="517"/>
      <c r="Q29" s="517"/>
      <c r="R29" s="517"/>
      <c r="S29" s="517"/>
      <c r="T29" s="517">
        <f t="shared" si="0"/>
        <v>0</v>
      </c>
      <c r="U29" s="526"/>
      <c r="V29" s="517">
        <f t="shared" si="1"/>
        <v>0</v>
      </c>
      <c r="W29" s="632">
        <f t="shared" si="11"/>
        <v>0</v>
      </c>
      <c r="X29" s="517">
        <f t="shared" si="2"/>
        <v>0</v>
      </c>
      <c r="Y29" s="632">
        <f t="shared" si="12"/>
        <v>0</v>
      </c>
      <c r="Z29" s="517">
        <f t="shared" si="3"/>
        <v>0</v>
      </c>
      <c r="AA29" s="675"/>
      <c r="AB29" s="674"/>
    </row>
    <row r="30" spans="1:29" s="315" customFormat="1" hidden="1">
      <c r="A30" s="368"/>
      <c r="B30" s="320" t="s">
        <v>2003</v>
      </c>
      <c r="C30" s="377">
        <f>ROUND(Data!K126,2)</f>
        <v>143.9</v>
      </c>
      <c r="D30" s="514" t="s">
        <v>1215</v>
      </c>
      <c r="E30" s="526"/>
      <c r="F30" s="630">
        <f t="shared" si="4"/>
        <v>0</v>
      </c>
      <c r="G30" s="526"/>
      <c r="H30" s="517">
        <f t="shared" si="5"/>
        <v>0</v>
      </c>
      <c r="I30" s="526"/>
      <c r="J30" s="517">
        <f t="shared" si="6"/>
        <v>0</v>
      </c>
      <c r="K30" s="517"/>
      <c r="L30" s="517"/>
      <c r="M30" s="517"/>
      <c r="N30" s="517"/>
      <c r="O30" s="517"/>
      <c r="P30" s="517"/>
      <c r="Q30" s="517"/>
      <c r="R30" s="517"/>
      <c r="S30" s="517"/>
      <c r="T30" s="517">
        <f t="shared" si="0"/>
        <v>0</v>
      </c>
      <c r="U30" s="526"/>
      <c r="V30" s="517">
        <f t="shared" si="1"/>
        <v>0</v>
      </c>
      <c r="W30" s="632">
        <f t="shared" si="11"/>
        <v>0</v>
      </c>
      <c r="X30" s="517">
        <f t="shared" si="2"/>
        <v>0</v>
      </c>
      <c r="Y30" s="632">
        <f t="shared" si="12"/>
        <v>0</v>
      </c>
      <c r="Z30" s="517">
        <f t="shared" si="3"/>
        <v>0</v>
      </c>
      <c r="AA30" s="676"/>
      <c r="AB30" s="674"/>
    </row>
    <row r="31" spans="1:29" s="301" customFormat="1" hidden="1">
      <c r="A31" s="368"/>
      <c r="B31" s="320" t="s">
        <v>730</v>
      </c>
      <c r="C31" s="307">
        <f>ROUND(Data!K127,2)</f>
        <v>153.19999999999999</v>
      </c>
      <c r="D31" s="486" t="s">
        <v>1215</v>
      </c>
      <c r="E31" s="526"/>
      <c r="F31" s="630">
        <f t="shared" si="4"/>
        <v>0</v>
      </c>
      <c r="G31" s="526"/>
      <c r="H31" s="517">
        <f t="shared" si="5"/>
        <v>0</v>
      </c>
      <c r="I31" s="526"/>
      <c r="J31" s="517">
        <f t="shared" si="6"/>
        <v>0</v>
      </c>
      <c r="K31" s="517"/>
      <c r="L31" s="517"/>
      <c r="M31" s="517"/>
      <c r="N31" s="517"/>
      <c r="O31" s="517"/>
      <c r="P31" s="517"/>
      <c r="Q31" s="517"/>
      <c r="R31" s="517"/>
      <c r="S31" s="517"/>
      <c r="T31" s="517">
        <f t="shared" si="0"/>
        <v>0</v>
      </c>
      <c r="U31" s="526"/>
      <c r="V31" s="517">
        <f t="shared" si="1"/>
        <v>0</v>
      </c>
      <c r="W31" s="632">
        <f t="shared" si="11"/>
        <v>0</v>
      </c>
      <c r="X31" s="517">
        <f t="shared" si="2"/>
        <v>0</v>
      </c>
      <c r="Y31" s="632">
        <f t="shared" si="12"/>
        <v>0</v>
      </c>
      <c r="Z31" s="517">
        <f t="shared" si="3"/>
        <v>0</v>
      </c>
      <c r="AA31" s="675"/>
      <c r="AB31" s="674"/>
    </row>
    <row r="32" spans="1:29" s="301" customFormat="1" hidden="1">
      <c r="A32" s="368">
        <v>1.9</v>
      </c>
      <c r="B32" s="320" t="s">
        <v>476</v>
      </c>
      <c r="C32" s="307"/>
      <c r="D32" s="486"/>
      <c r="E32" s="526"/>
      <c r="F32" s="630">
        <f t="shared" si="4"/>
        <v>0</v>
      </c>
      <c r="G32" s="526"/>
      <c r="H32" s="517">
        <f t="shared" si="5"/>
        <v>0</v>
      </c>
      <c r="I32" s="526"/>
      <c r="J32" s="517">
        <f t="shared" si="6"/>
        <v>0</v>
      </c>
      <c r="K32" s="517"/>
      <c r="L32" s="517"/>
      <c r="M32" s="517"/>
      <c r="N32" s="517"/>
      <c r="O32" s="517"/>
      <c r="P32" s="517"/>
      <c r="Q32" s="517"/>
      <c r="R32" s="517"/>
      <c r="S32" s="517"/>
      <c r="T32" s="517">
        <f t="shared" si="0"/>
        <v>0</v>
      </c>
      <c r="U32" s="526"/>
      <c r="V32" s="517">
        <f t="shared" si="1"/>
        <v>0</v>
      </c>
      <c r="W32" s="632">
        <f t="shared" si="11"/>
        <v>0</v>
      </c>
      <c r="X32" s="517">
        <f t="shared" si="2"/>
        <v>0</v>
      </c>
      <c r="Y32" s="632">
        <f t="shared" si="12"/>
        <v>0</v>
      </c>
      <c r="Z32" s="517">
        <f t="shared" si="3"/>
        <v>0</v>
      </c>
      <c r="AA32" s="675"/>
      <c r="AB32" s="674"/>
    </row>
    <row r="33" spans="1:28" s="301" customFormat="1" hidden="1">
      <c r="A33" s="368"/>
      <c r="B33" s="320" t="s">
        <v>477</v>
      </c>
      <c r="C33" s="307"/>
      <c r="D33" s="486" t="s">
        <v>835</v>
      </c>
      <c r="E33" s="526"/>
      <c r="F33" s="630">
        <f t="shared" si="4"/>
        <v>0</v>
      </c>
      <c r="G33" s="526"/>
      <c r="H33" s="517">
        <f t="shared" si="5"/>
        <v>0</v>
      </c>
      <c r="I33" s="526"/>
      <c r="J33" s="517">
        <f t="shared" si="6"/>
        <v>0</v>
      </c>
      <c r="K33" s="517"/>
      <c r="L33" s="517"/>
      <c r="M33" s="517"/>
      <c r="N33" s="517"/>
      <c r="O33" s="517"/>
      <c r="P33" s="517"/>
      <c r="Q33" s="517"/>
      <c r="R33" s="517"/>
      <c r="S33" s="517"/>
      <c r="T33" s="517">
        <f t="shared" si="0"/>
        <v>0</v>
      </c>
      <c r="U33" s="526"/>
      <c r="V33" s="517">
        <f t="shared" si="1"/>
        <v>0</v>
      </c>
      <c r="W33" s="632">
        <f t="shared" si="11"/>
        <v>0</v>
      </c>
      <c r="X33" s="517">
        <f t="shared" si="2"/>
        <v>0</v>
      </c>
      <c r="Y33" s="632">
        <f t="shared" si="12"/>
        <v>0</v>
      </c>
      <c r="Z33" s="517">
        <f t="shared" si="3"/>
        <v>0</v>
      </c>
      <c r="AA33" s="675"/>
      <c r="AB33" s="674"/>
    </row>
    <row r="34" spans="1:28" s="301" customFormat="1" hidden="1">
      <c r="A34" s="368"/>
      <c r="B34" s="320" t="s">
        <v>478</v>
      </c>
      <c r="C34" s="307"/>
      <c r="D34" s="486" t="s">
        <v>835</v>
      </c>
      <c r="E34" s="526"/>
      <c r="F34" s="630">
        <f t="shared" si="4"/>
        <v>0</v>
      </c>
      <c r="G34" s="526"/>
      <c r="H34" s="517">
        <f t="shared" si="5"/>
        <v>0</v>
      </c>
      <c r="I34" s="526"/>
      <c r="J34" s="517">
        <f t="shared" si="6"/>
        <v>0</v>
      </c>
      <c r="K34" s="517"/>
      <c r="L34" s="517"/>
      <c r="M34" s="517"/>
      <c r="N34" s="517"/>
      <c r="O34" s="517"/>
      <c r="P34" s="517"/>
      <c r="Q34" s="517"/>
      <c r="R34" s="517"/>
      <c r="S34" s="517"/>
      <c r="T34" s="517">
        <f t="shared" si="0"/>
        <v>0</v>
      </c>
      <c r="U34" s="526"/>
      <c r="V34" s="517">
        <f t="shared" si="1"/>
        <v>0</v>
      </c>
      <c r="W34" s="632">
        <f t="shared" si="11"/>
        <v>0</v>
      </c>
      <c r="X34" s="517">
        <f t="shared" si="2"/>
        <v>0</v>
      </c>
      <c r="Y34" s="632">
        <f t="shared" si="12"/>
        <v>0</v>
      </c>
      <c r="Z34" s="517">
        <f t="shared" si="3"/>
        <v>0</v>
      </c>
      <c r="AA34" s="675"/>
      <c r="AB34" s="674"/>
    </row>
    <row r="35" spans="1:28" s="301" customFormat="1" hidden="1">
      <c r="A35" s="368"/>
      <c r="B35" s="320" t="s">
        <v>479</v>
      </c>
      <c r="C35" s="307"/>
      <c r="D35" s="486" t="s">
        <v>835</v>
      </c>
      <c r="E35" s="526"/>
      <c r="F35" s="630">
        <f t="shared" si="4"/>
        <v>0</v>
      </c>
      <c r="G35" s="526"/>
      <c r="H35" s="517">
        <f t="shared" si="5"/>
        <v>0</v>
      </c>
      <c r="I35" s="526"/>
      <c r="J35" s="517">
        <f t="shared" si="6"/>
        <v>0</v>
      </c>
      <c r="K35" s="517"/>
      <c r="L35" s="517"/>
      <c r="M35" s="517"/>
      <c r="N35" s="517"/>
      <c r="O35" s="517"/>
      <c r="P35" s="517"/>
      <c r="Q35" s="517"/>
      <c r="R35" s="517"/>
      <c r="S35" s="517"/>
      <c r="T35" s="517">
        <f t="shared" si="0"/>
        <v>0</v>
      </c>
      <c r="U35" s="526"/>
      <c r="V35" s="517">
        <f t="shared" si="1"/>
        <v>0</v>
      </c>
      <c r="W35" s="632">
        <f t="shared" si="11"/>
        <v>0</v>
      </c>
      <c r="X35" s="517">
        <f t="shared" si="2"/>
        <v>0</v>
      </c>
      <c r="Y35" s="632">
        <f t="shared" si="12"/>
        <v>0</v>
      </c>
      <c r="Z35" s="517">
        <f t="shared" si="3"/>
        <v>0</v>
      </c>
      <c r="AA35" s="675"/>
      <c r="AB35" s="674"/>
    </row>
    <row r="36" spans="1:28" s="301" customFormat="1" hidden="1">
      <c r="A36" s="368"/>
      <c r="B36" s="320" t="s">
        <v>2091</v>
      </c>
      <c r="C36" s="307"/>
      <c r="D36" s="486" t="s">
        <v>835</v>
      </c>
      <c r="E36" s="526"/>
      <c r="F36" s="630">
        <f t="shared" si="4"/>
        <v>0</v>
      </c>
      <c r="G36" s="526"/>
      <c r="H36" s="517">
        <f t="shared" si="5"/>
        <v>0</v>
      </c>
      <c r="I36" s="526"/>
      <c r="J36" s="517">
        <f t="shared" si="6"/>
        <v>0</v>
      </c>
      <c r="K36" s="517"/>
      <c r="L36" s="517"/>
      <c r="M36" s="517"/>
      <c r="N36" s="517"/>
      <c r="O36" s="517"/>
      <c r="P36" s="517"/>
      <c r="Q36" s="517"/>
      <c r="R36" s="517"/>
      <c r="S36" s="517"/>
      <c r="T36" s="517">
        <f t="shared" si="0"/>
        <v>0</v>
      </c>
      <c r="U36" s="526"/>
      <c r="V36" s="517">
        <f t="shared" si="1"/>
        <v>0</v>
      </c>
      <c r="W36" s="632">
        <f t="shared" si="11"/>
        <v>0</v>
      </c>
      <c r="X36" s="517">
        <f t="shared" si="2"/>
        <v>0</v>
      </c>
      <c r="Y36" s="632">
        <f t="shared" si="12"/>
        <v>0</v>
      </c>
      <c r="Z36" s="517">
        <f t="shared" si="3"/>
        <v>0</v>
      </c>
      <c r="AA36" s="675"/>
      <c r="AB36" s="674"/>
    </row>
    <row r="37" spans="1:28" s="301" customFormat="1" hidden="1">
      <c r="A37" s="368"/>
      <c r="B37" s="320" t="s">
        <v>2092</v>
      </c>
      <c r="C37" s="307"/>
      <c r="D37" s="486" t="s">
        <v>835</v>
      </c>
      <c r="E37" s="526"/>
      <c r="F37" s="630">
        <f t="shared" si="4"/>
        <v>0</v>
      </c>
      <c r="G37" s="526"/>
      <c r="H37" s="517">
        <f t="shared" si="5"/>
        <v>0</v>
      </c>
      <c r="I37" s="526"/>
      <c r="J37" s="517">
        <f t="shared" si="6"/>
        <v>0</v>
      </c>
      <c r="K37" s="517"/>
      <c r="L37" s="517"/>
      <c r="M37" s="517"/>
      <c r="N37" s="517"/>
      <c r="O37" s="517"/>
      <c r="P37" s="517"/>
      <c r="Q37" s="517"/>
      <c r="R37" s="517"/>
      <c r="S37" s="517"/>
      <c r="T37" s="517">
        <f t="shared" si="0"/>
        <v>0</v>
      </c>
      <c r="U37" s="526"/>
      <c r="V37" s="517">
        <f t="shared" si="1"/>
        <v>0</v>
      </c>
      <c r="W37" s="632">
        <f t="shared" si="11"/>
        <v>0</v>
      </c>
      <c r="X37" s="517">
        <f t="shared" si="2"/>
        <v>0</v>
      </c>
      <c r="Y37" s="632">
        <f t="shared" si="12"/>
        <v>0</v>
      </c>
      <c r="Z37" s="517">
        <f t="shared" si="3"/>
        <v>0</v>
      </c>
      <c r="AA37" s="675"/>
      <c r="AB37" s="674"/>
    </row>
    <row r="38" spans="1:28" s="301" customFormat="1" hidden="1">
      <c r="A38" s="368"/>
      <c r="B38" s="320" t="s">
        <v>234</v>
      </c>
      <c r="C38" s="307"/>
      <c r="D38" s="486" t="s">
        <v>835</v>
      </c>
      <c r="E38" s="526"/>
      <c r="F38" s="630">
        <f t="shared" si="4"/>
        <v>0</v>
      </c>
      <c r="G38" s="526"/>
      <c r="H38" s="517">
        <f t="shared" si="5"/>
        <v>0</v>
      </c>
      <c r="I38" s="526"/>
      <c r="J38" s="517">
        <f t="shared" si="6"/>
        <v>0</v>
      </c>
      <c r="K38" s="517"/>
      <c r="L38" s="517"/>
      <c r="M38" s="517"/>
      <c r="N38" s="517"/>
      <c r="O38" s="517"/>
      <c r="P38" s="517"/>
      <c r="Q38" s="517"/>
      <c r="R38" s="517"/>
      <c r="S38" s="517"/>
      <c r="T38" s="517">
        <f t="shared" si="0"/>
        <v>0</v>
      </c>
      <c r="U38" s="526"/>
      <c r="V38" s="517">
        <f t="shared" si="1"/>
        <v>0</v>
      </c>
      <c r="W38" s="632">
        <f t="shared" si="11"/>
        <v>0</v>
      </c>
      <c r="X38" s="517">
        <f t="shared" si="2"/>
        <v>0</v>
      </c>
      <c r="Y38" s="632">
        <f t="shared" si="12"/>
        <v>0</v>
      </c>
      <c r="Z38" s="517">
        <f t="shared" si="3"/>
        <v>0</v>
      </c>
      <c r="AA38" s="675"/>
      <c r="AB38" s="674"/>
    </row>
    <row r="39" spans="1:28" s="309" customFormat="1">
      <c r="A39" s="1608">
        <v>2.1</v>
      </c>
      <c r="B39" s="1166" t="s">
        <v>921</v>
      </c>
      <c r="C39" s="1612">
        <f>ROUND(Data!K141,2)</f>
        <v>1540.6</v>
      </c>
      <c r="D39" s="1610" t="s">
        <v>1215</v>
      </c>
      <c r="E39" s="1616">
        <f>station!I46</f>
        <v>61.2</v>
      </c>
      <c r="F39" s="1617">
        <f t="shared" si="4"/>
        <v>94284.72</v>
      </c>
      <c r="G39" s="1618">
        <f>S.T!H25</f>
        <v>1</v>
      </c>
      <c r="H39" s="1618">
        <f t="shared" si="5"/>
        <v>1540.6</v>
      </c>
      <c r="I39" s="1618"/>
      <c r="J39" s="1618">
        <f t="shared" si="6"/>
        <v>0</v>
      </c>
      <c r="K39" s="1618">
        <f>'Plinth '!I16</f>
        <v>4</v>
      </c>
      <c r="L39" s="1618">
        <f t="shared" ref="L39:L50" si="13">K39*C39</f>
        <v>6162.4</v>
      </c>
      <c r="M39" s="1618">
        <f>'paver block (2)'!H24</f>
        <v>73.7</v>
      </c>
      <c r="N39" s="1618">
        <f t="shared" ref="N39:N50" si="14">M39*C39</f>
        <v>113542.22</v>
      </c>
      <c r="O39" s="1618"/>
      <c r="P39" s="1618">
        <f t="shared" ref="P39:P50" si="15">O39*C39</f>
        <v>0</v>
      </c>
      <c r="Q39" s="1618"/>
      <c r="R39" s="1618">
        <f>Q39*C39</f>
        <v>0</v>
      </c>
      <c r="S39" s="1618"/>
      <c r="T39" s="1618">
        <f t="shared" si="0"/>
        <v>0</v>
      </c>
      <c r="U39" s="1618"/>
      <c r="V39" s="1618">
        <f t="shared" si="1"/>
        <v>0</v>
      </c>
      <c r="W39" s="1619" t="e">
        <f>U39+S39+O39+M39+#REF!+K39+I39+G39+Q39</f>
        <v>#REF!</v>
      </c>
      <c r="X39" s="1618" t="e">
        <f t="shared" si="2"/>
        <v>#REF!</v>
      </c>
      <c r="Y39" s="1619" t="e">
        <f t="shared" ref="Y39:Y51" si="16">W39+E39</f>
        <v>#REF!</v>
      </c>
      <c r="Z39" s="1618" t="e">
        <f t="shared" ref="Z39:Z70" si="17">Y39*C39</f>
        <v>#REF!</v>
      </c>
      <c r="AA39" s="673"/>
      <c r="AB39" s="673"/>
    </row>
    <row r="40" spans="1:28" s="301" customFormat="1" hidden="1">
      <c r="A40" s="536">
        <v>2.2000000000000002</v>
      </c>
      <c r="B40" s="537" t="s">
        <v>235</v>
      </c>
      <c r="C40" s="538">
        <f>ROUND(Data!K158,2)</f>
        <v>1447.89</v>
      </c>
      <c r="D40" s="443" t="s">
        <v>1215</v>
      </c>
      <c r="E40" s="526"/>
      <c r="F40" s="630">
        <f t="shared" si="4"/>
        <v>0</v>
      </c>
      <c r="G40" s="526"/>
      <c r="H40" s="517">
        <f t="shared" si="5"/>
        <v>0</v>
      </c>
      <c r="I40" s="526"/>
      <c r="J40" s="517">
        <f t="shared" si="6"/>
        <v>0</v>
      </c>
      <c r="K40" s="517"/>
      <c r="L40" s="517">
        <f t="shared" si="13"/>
        <v>0</v>
      </c>
      <c r="M40" s="517"/>
      <c r="N40" s="517">
        <f t="shared" si="14"/>
        <v>0</v>
      </c>
      <c r="O40" s="517"/>
      <c r="P40" s="517">
        <f t="shared" si="15"/>
        <v>0</v>
      </c>
      <c r="Q40" s="517"/>
      <c r="R40" s="517"/>
      <c r="S40" s="517"/>
      <c r="T40" s="517">
        <f t="shared" si="0"/>
        <v>0</v>
      </c>
      <c r="U40" s="526"/>
      <c r="V40" s="517">
        <f t="shared" si="1"/>
        <v>0</v>
      </c>
      <c r="W40" s="632" t="e">
        <f>U40+S40+O40+M40+#REF!+K40+I40+G40</f>
        <v>#REF!</v>
      </c>
      <c r="X40" s="517" t="e">
        <f t="shared" si="2"/>
        <v>#REF!</v>
      </c>
      <c r="Y40" s="632" t="e">
        <f t="shared" si="16"/>
        <v>#REF!</v>
      </c>
      <c r="Z40" s="517" t="e">
        <f t="shared" si="17"/>
        <v>#REF!</v>
      </c>
      <c r="AA40" s="675"/>
      <c r="AB40" s="674"/>
    </row>
    <row r="41" spans="1:28" s="475" customFormat="1" hidden="1">
      <c r="A41" s="476">
        <v>2.2999999999999998</v>
      </c>
      <c r="B41" s="479" t="s">
        <v>2017</v>
      </c>
      <c r="C41" s="468">
        <f>ROUND(Data!C162,2)</f>
        <v>908.62</v>
      </c>
      <c r="D41" s="467" t="s">
        <v>1215</v>
      </c>
      <c r="E41" s="526"/>
      <c r="F41" s="630">
        <f t="shared" si="4"/>
        <v>0</v>
      </c>
      <c r="G41" s="526"/>
      <c r="H41" s="517">
        <f t="shared" si="5"/>
        <v>0</v>
      </c>
      <c r="I41" s="526"/>
      <c r="J41" s="517">
        <f t="shared" si="6"/>
        <v>0</v>
      </c>
      <c r="K41" s="517"/>
      <c r="L41" s="517">
        <f t="shared" si="13"/>
        <v>0</v>
      </c>
      <c r="M41" s="517"/>
      <c r="N41" s="517">
        <f t="shared" si="14"/>
        <v>0</v>
      </c>
      <c r="O41" s="517"/>
      <c r="P41" s="517">
        <f t="shared" si="15"/>
        <v>0</v>
      </c>
      <c r="Q41" s="517"/>
      <c r="R41" s="517"/>
      <c r="S41" s="517"/>
      <c r="T41" s="517">
        <f t="shared" si="0"/>
        <v>0</v>
      </c>
      <c r="U41" s="526"/>
      <c r="V41" s="517">
        <f t="shared" si="1"/>
        <v>0</v>
      </c>
      <c r="W41" s="632" t="e">
        <f>U41+S41+O41+M41+#REF!+K41+I41+G41</f>
        <v>#REF!</v>
      </c>
      <c r="X41" s="517" t="e">
        <f t="shared" si="2"/>
        <v>#REF!</v>
      </c>
      <c r="Y41" s="632" t="e">
        <f t="shared" si="16"/>
        <v>#REF!</v>
      </c>
      <c r="Z41" s="517" t="e">
        <f t="shared" si="17"/>
        <v>#REF!</v>
      </c>
      <c r="AA41" s="674"/>
      <c r="AB41" s="674"/>
    </row>
    <row r="42" spans="1:28" s="475" customFormat="1" hidden="1">
      <c r="A42" s="476">
        <v>2.4</v>
      </c>
      <c r="B42" s="479" t="s">
        <v>362</v>
      </c>
      <c r="C42" s="468">
        <f>ROUND(Data!C163,2)</f>
        <v>987.62</v>
      </c>
      <c r="D42" s="467" t="s">
        <v>1215</v>
      </c>
      <c r="E42" s="526"/>
      <c r="F42" s="630">
        <f t="shared" si="4"/>
        <v>0</v>
      </c>
      <c r="G42" s="526"/>
      <c r="H42" s="517">
        <f t="shared" si="5"/>
        <v>0</v>
      </c>
      <c r="I42" s="526"/>
      <c r="J42" s="517">
        <f t="shared" si="6"/>
        <v>0</v>
      </c>
      <c r="K42" s="517"/>
      <c r="L42" s="517">
        <f t="shared" si="13"/>
        <v>0</v>
      </c>
      <c r="M42" s="517"/>
      <c r="N42" s="517">
        <f t="shared" si="14"/>
        <v>0</v>
      </c>
      <c r="O42" s="517"/>
      <c r="P42" s="517">
        <f t="shared" si="15"/>
        <v>0</v>
      </c>
      <c r="Q42" s="517"/>
      <c r="R42" s="517"/>
      <c r="S42" s="517"/>
      <c r="T42" s="517">
        <f t="shared" si="0"/>
        <v>0</v>
      </c>
      <c r="U42" s="526"/>
      <c r="V42" s="517">
        <f t="shared" si="1"/>
        <v>0</v>
      </c>
      <c r="W42" s="632" t="e">
        <f>U42+S42+O42+M42+#REF!+K42+I42+G42</f>
        <v>#REF!</v>
      </c>
      <c r="X42" s="517" t="e">
        <f t="shared" si="2"/>
        <v>#REF!</v>
      </c>
      <c r="Y42" s="632" t="e">
        <f t="shared" si="16"/>
        <v>#REF!</v>
      </c>
      <c r="Z42" s="517" t="e">
        <f t="shared" si="17"/>
        <v>#REF!</v>
      </c>
      <c r="AA42" s="674"/>
      <c r="AB42" s="674"/>
    </row>
    <row r="43" spans="1:28" s="301" customFormat="1">
      <c r="A43" s="1608">
        <v>2.5</v>
      </c>
      <c r="B43" s="1166" t="s">
        <v>366</v>
      </c>
      <c r="C43" s="1630">
        <f>ROUND(Data!K186,2)</f>
        <v>393.85</v>
      </c>
      <c r="D43" s="1631" t="s">
        <v>1215</v>
      </c>
      <c r="E43" s="1616"/>
      <c r="F43" s="1626">
        <f t="shared" si="4"/>
        <v>0</v>
      </c>
      <c r="G43" s="1616"/>
      <c r="H43" s="1618">
        <f t="shared" si="5"/>
        <v>0</v>
      </c>
      <c r="I43" s="1616"/>
      <c r="J43" s="1618">
        <f t="shared" si="6"/>
        <v>0</v>
      </c>
      <c r="K43" s="1618"/>
      <c r="L43" s="1618">
        <f t="shared" si="13"/>
        <v>0</v>
      </c>
      <c r="M43" s="1618"/>
      <c r="N43" s="1618">
        <f t="shared" si="14"/>
        <v>0</v>
      </c>
      <c r="O43" s="1618"/>
      <c r="P43" s="1618">
        <f t="shared" si="15"/>
        <v>0</v>
      </c>
      <c r="Q43" s="1618"/>
      <c r="R43" s="1618">
        <f t="shared" ref="R43:R51" si="18">Q43*C43</f>
        <v>0</v>
      </c>
      <c r="S43" s="1618"/>
      <c r="T43" s="1618">
        <f t="shared" si="0"/>
        <v>0</v>
      </c>
      <c r="U43" s="1616"/>
      <c r="V43" s="1618">
        <f t="shared" si="1"/>
        <v>0</v>
      </c>
      <c r="W43" s="1619" t="e">
        <f>U43+S43+O43+M43+#REF!+K43+I43+G43+Q43</f>
        <v>#REF!</v>
      </c>
      <c r="X43" s="1618" t="e">
        <f t="shared" si="2"/>
        <v>#REF!</v>
      </c>
      <c r="Y43" s="1619" t="e">
        <f t="shared" si="16"/>
        <v>#REF!</v>
      </c>
      <c r="Z43" s="1618" t="e">
        <f t="shared" si="17"/>
        <v>#REF!</v>
      </c>
      <c r="AA43" s="675"/>
      <c r="AB43" s="674"/>
    </row>
    <row r="44" spans="1:28" s="301" customFormat="1">
      <c r="A44" s="1608">
        <v>2.6</v>
      </c>
      <c r="B44" s="1166" t="s">
        <v>481</v>
      </c>
      <c r="C44" s="1612">
        <f>ROUND(Data!K168,2)</f>
        <v>1310.0999999999999</v>
      </c>
      <c r="D44" s="1610" t="s">
        <v>1215</v>
      </c>
      <c r="E44" s="1616"/>
      <c r="F44" s="1626">
        <f t="shared" si="4"/>
        <v>0</v>
      </c>
      <c r="G44" s="1616">
        <f>S.T!G30</f>
        <v>6</v>
      </c>
      <c r="H44" s="1618">
        <f t="shared" si="5"/>
        <v>7860.6</v>
      </c>
      <c r="I44" s="1616"/>
      <c r="J44" s="1618">
        <f t="shared" si="6"/>
        <v>0</v>
      </c>
      <c r="K44" s="1618"/>
      <c r="L44" s="1618">
        <f t="shared" si="13"/>
        <v>0</v>
      </c>
      <c r="M44" s="1618"/>
      <c r="N44" s="1618">
        <f t="shared" si="14"/>
        <v>0</v>
      </c>
      <c r="O44" s="1618"/>
      <c r="P44" s="1618">
        <f t="shared" si="15"/>
        <v>0</v>
      </c>
      <c r="Q44" s="1618"/>
      <c r="R44" s="1618">
        <f t="shared" si="18"/>
        <v>0</v>
      </c>
      <c r="S44" s="1618"/>
      <c r="T44" s="1618">
        <f t="shared" si="0"/>
        <v>0</v>
      </c>
      <c r="U44" s="1616"/>
      <c r="V44" s="1618">
        <f t="shared" si="1"/>
        <v>0</v>
      </c>
      <c r="W44" s="1619" t="e">
        <f>U44+S44+O44+M44+#REF!+K44+I44+G44+Q44</f>
        <v>#REF!</v>
      </c>
      <c r="X44" s="1618" t="e">
        <f t="shared" si="2"/>
        <v>#REF!</v>
      </c>
      <c r="Y44" s="1619" t="e">
        <f t="shared" si="16"/>
        <v>#REF!</v>
      </c>
      <c r="Z44" s="1618" t="e">
        <f t="shared" si="17"/>
        <v>#REF!</v>
      </c>
      <c r="AA44" s="675"/>
      <c r="AB44" s="674"/>
    </row>
    <row r="45" spans="1:28" s="301" customFormat="1">
      <c r="A45" s="1608">
        <v>2.7</v>
      </c>
      <c r="B45" s="1166" t="s">
        <v>303</v>
      </c>
      <c r="C45" s="1612">
        <f>ROUND(Data!K176,2)</f>
        <v>1713.1</v>
      </c>
      <c r="D45" s="1610" t="s">
        <v>1215</v>
      </c>
      <c r="E45" s="1616"/>
      <c r="F45" s="1626">
        <f t="shared" si="4"/>
        <v>0</v>
      </c>
      <c r="G45" s="1616">
        <f>S.T!G34</f>
        <v>2</v>
      </c>
      <c r="H45" s="1618">
        <f t="shared" si="5"/>
        <v>3426.2</v>
      </c>
      <c r="I45" s="1616"/>
      <c r="J45" s="1618">
        <f t="shared" si="6"/>
        <v>0</v>
      </c>
      <c r="K45" s="1618"/>
      <c r="L45" s="1618">
        <f t="shared" si="13"/>
        <v>0</v>
      </c>
      <c r="M45" s="1618"/>
      <c r="N45" s="1618">
        <f t="shared" si="14"/>
        <v>0</v>
      </c>
      <c r="O45" s="1618"/>
      <c r="P45" s="1618">
        <f t="shared" si="15"/>
        <v>0</v>
      </c>
      <c r="Q45" s="1618"/>
      <c r="R45" s="1618">
        <f t="shared" si="18"/>
        <v>0</v>
      </c>
      <c r="S45" s="1618"/>
      <c r="T45" s="1618">
        <f t="shared" si="0"/>
        <v>0</v>
      </c>
      <c r="U45" s="1616"/>
      <c r="V45" s="1618">
        <f t="shared" si="1"/>
        <v>0</v>
      </c>
      <c r="W45" s="1619" t="e">
        <f>U45+S45+O45+M45+#REF!+K45+I45+G45+Q45</f>
        <v>#REF!</v>
      </c>
      <c r="X45" s="1618" t="e">
        <f t="shared" si="2"/>
        <v>#REF!</v>
      </c>
      <c r="Y45" s="1619" t="e">
        <f t="shared" si="16"/>
        <v>#REF!</v>
      </c>
      <c r="Z45" s="1618" t="e">
        <f t="shared" si="17"/>
        <v>#REF!</v>
      </c>
      <c r="AA45" s="675"/>
      <c r="AB45" s="674"/>
    </row>
    <row r="46" spans="1:28" s="1762" customFormat="1">
      <c r="A46" s="1635"/>
      <c r="B46" s="1760" t="s">
        <v>6226</v>
      </c>
      <c r="C46" s="1636">
        <f>'Sub Data'!F111</f>
        <v>1465.6</v>
      </c>
      <c r="D46" s="1611" t="s">
        <v>1215</v>
      </c>
      <c r="E46" s="1616"/>
      <c r="F46" s="1617"/>
      <c r="G46" s="1616"/>
      <c r="H46" s="1616">
        <f t="shared" si="5"/>
        <v>0</v>
      </c>
      <c r="I46" s="1616"/>
      <c r="J46" s="1616">
        <f t="shared" si="6"/>
        <v>0</v>
      </c>
      <c r="K46" s="1616"/>
      <c r="L46" s="1616">
        <f t="shared" si="13"/>
        <v>0</v>
      </c>
      <c r="M46" s="1616">
        <f>'paver block (2)'!H18</f>
        <v>73.7</v>
      </c>
      <c r="N46" s="1616">
        <f t="shared" si="14"/>
        <v>108014.72</v>
      </c>
      <c r="O46" s="1616"/>
      <c r="P46" s="1616">
        <f t="shared" si="15"/>
        <v>0</v>
      </c>
      <c r="Q46" s="1616"/>
      <c r="R46" s="1618">
        <f t="shared" si="18"/>
        <v>0</v>
      </c>
      <c r="S46" s="1616"/>
      <c r="T46" s="1616">
        <f t="shared" si="0"/>
        <v>0</v>
      </c>
      <c r="U46" s="1616"/>
      <c r="V46" s="1616">
        <f t="shared" si="1"/>
        <v>0</v>
      </c>
      <c r="W46" s="1619" t="e">
        <f>U46+S46+O46+M46+#REF!+K46+I46+G46+Q46</f>
        <v>#REF!</v>
      </c>
      <c r="X46" s="1616"/>
      <c r="Y46" s="1619" t="e">
        <f t="shared" si="16"/>
        <v>#REF!</v>
      </c>
      <c r="Z46" s="1616" t="e">
        <f t="shared" si="17"/>
        <v>#REF!</v>
      </c>
      <c r="AA46" s="1761"/>
      <c r="AB46" s="674"/>
    </row>
    <row r="47" spans="1:28" s="301" customFormat="1" ht="45">
      <c r="A47" s="1608"/>
      <c r="B47" s="1634" t="s">
        <v>6385</v>
      </c>
      <c r="C47" s="1612">
        <f>Data!R151</f>
        <v>326.2</v>
      </c>
      <c r="D47" s="1610" t="s">
        <v>1215</v>
      </c>
      <c r="E47" s="1616"/>
      <c r="F47" s="1626"/>
      <c r="G47" s="1616"/>
      <c r="H47" s="1618">
        <f t="shared" si="5"/>
        <v>0</v>
      </c>
      <c r="I47" s="1616"/>
      <c r="J47" s="1618">
        <f t="shared" si="6"/>
        <v>0</v>
      </c>
      <c r="K47" s="1618"/>
      <c r="L47" s="1618">
        <f t="shared" si="13"/>
        <v>0</v>
      </c>
      <c r="M47" s="1618"/>
      <c r="N47" s="1618">
        <f t="shared" si="14"/>
        <v>0</v>
      </c>
      <c r="O47" s="1618"/>
      <c r="P47" s="1618">
        <f t="shared" si="15"/>
        <v>0</v>
      </c>
      <c r="Q47" s="1618"/>
      <c r="R47" s="1618">
        <f t="shared" si="18"/>
        <v>0</v>
      </c>
      <c r="S47" s="1618"/>
      <c r="T47" s="1618">
        <f t="shared" si="0"/>
        <v>0</v>
      </c>
      <c r="U47" s="1616"/>
      <c r="V47" s="1618">
        <f t="shared" si="1"/>
        <v>0</v>
      </c>
      <c r="W47" s="1619" t="e">
        <f>U47+S47+O47+M47+#REF!+K47+I47+G47+Q47</f>
        <v>#REF!</v>
      </c>
      <c r="X47" s="1618"/>
      <c r="Y47" s="1619" t="e">
        <f t="shared" si="16"/>
        <v>#REF!</v>
      </c>
      <c r="Z47" s="1618" t="e">
        <f t="shared" si="17"/>
        <v>#REF!</v>
      </c>
      <c r="AA47" s="675"/>
      <c r="AB47" s="674"/>
    </row>
    <row r="48" spans="1:28" s="301" customFormat="1">
      <c r="A48" s="1608" t="s">
        <v>5420</v>
      </c>
      <c r="B48" s="1166" t="s">
        <v>6445</v>
      </c>
      <c r="C48" s="1612">
        <f>Data!R126</f>
        <v>354.2</v>
      </c>
      <c r="D48" s="1610" t="s">
        <v>1215</v>
      </c>
      <c r="E48" s="1616">
        <f>station!I65</f>
        <v>381.2</v>
      </c>
      <c r="F48" s="1617">
        <f t="shared" si="4"/>
        <v>135021.04</v>
      </c>
      <c r="G48" s="1616"/>
      <c r="H48" s="1618">
        <f t="shared" si="5"/>
        <v>0</v>
      </c>
      <c r="I48" s="1616"/>
      <c r="J48" s="1618">
        <f t="shared" si="6"/>
        <v>0</v>
      </c>
      <c r="K48" s="1618"/>
      <c r="L48" s="1618">
        <f t="shared" si="13"/>
        <v>0</v>
      </c>
      <c r="M48" s="1618"/>
      <c r="N48" s="1618">
        <f t="shared" si="14"/>
        <v>0</v>
      </c>
      <c r="O48" s="1618"/>
      <c r="P48" s="1618">
        <f t="shared" si="15"/>
        <v>0</v>
      </c>
      <c r="Q48" s="1618"/>
      <c r="R48" s="1618">
        <f t="shared" si="18"/>
        <v>0</v>
      </c>
      <c r="S48" s="1618"/>
      <c r="T48" s="1618">
        <f t="shared" si="0"/>
        <v>0</v>
      </c>
      <c r="U48" s="1616"/>
      <c r="V48" s="1618">
        <f t="shared" si="1"/>
        <v>0</v>
      </c>
      <c r="W48" s="1619" t="e">
        <f>U48+S48+O48+M48+#REF!+K48+I48+G48+Q48</f>
        <v>#REF!</v>
      </c>
      <c r="X48" s="1618"/>
      <c r="Y48" s="1619" t="e">
        <f t="shared" si="16"/>
        <v>#REF!</v>
      </c>
      <c r="Z48" s="1618" t="e">
        <f t="shared" si="17"/>
        <v>#REF!</v>
      </c>
      <c r="AA48" s="675"/>
      <c r="AB48" s="674"/>
    </row>
    <row r="49" spans="1:28" s="309" customFormat="1" ht="48" customHeight="1">
      <c r="A49" s="1608">
        <v>3.1</v>
      </c>
      <c r="B49" s="1166" t="s">
        <v>1910</v>
      </c>
      <c r="C49" s="1612">
        <f>ROUND(Data!K201,2)</f>
        <v>4435.7299999999996</v>
      </c>
      <c r="D49" s="1610" t="s">
        <v>1215</v>
      </c>
      <c r="E49" s="1616">
        <f>station!I92</f>
        <v>21.2</v>
      </c>
      <c r="F49" s="1617">
        <f t="shared" si="4"/>
        <v>94037.48</v>
      </c>
      <c r="G49" s="1618">
        <f>S.T!H38</f>
        <v>0.3</v>
      </c>
      <c r="H49" s="1618">
        <f t="shared" si="5"/>
        <v>1330.72</v>
      </c>
      <c r="I49" s="1618">
        <f>Sump!H13</f>
        <v>2.7</v>
      </c>
      <c r="J49" s="1618">
        <f t="shared" si="6"/>
        <v>11976.47</v>
      </c>
      <c r="K49" s="1618">
        <f>'Plinth '!I23</f>
        <v>2.5</v>
      </c>
      <c r="L49" s="1618">
        <f t="shared" si="13"/>
        <v>11089.33</v>
      </c>
      <c r="M49" s="1618"/>
      <c r="N49" s="1618">
        <f t="shared" si="14"/>
        <v>0</v>
      </c>
      <c r="O49" s="1618">
        <f>Sullage!H17</f>
        <v>11.4</v>
      </c>
      <c r="P49" s="1618">
        <f t="shared" si="15"/>
        <v>50567.32</v>
      </c>
      <c r="Q49" s="1618">
        <f>CUlvert!G10</f>
        <v>2.6</v>
      </c>
      <c r="R49" s="1618">
        <f t="shared" si="18"/>
        <v>11532.9</v>
      </c>
      <c r="S49" s="1618"/>
      <c r="T49" s="1618">
        <f t="shared" si="0"/>
        <v>0</v>
      </c>
      <c r="U49" s="1618"/>
      <c r="V49" s="1618">
        <f t="shared" si="1"/>
        <v>0</v>
      </c>
      <c r="W49" s="1619" t="e">
        <f>U49+S49+O49+M49+#REF!+K49+I49+G49+Q49</f>
        <v>#REF!</v>
      </c>
      <c r="X49" s="1618" t="e">
        <f t="shared" ref="X49:X112" si="19">W49*C49</f>
        <v>#REF!</v>
      </c>
      <c r="Y49" s="1619" t="e">
        <f t="shared" si="16"/>
        <v>#REF!</v>
      </c>
      <c r="Z49" s="1618" t="e">
        <f t="shared" si="17"/>
        <v>#REF!</v>
      </c>
      <c r="AA49" s="673"/>
      <c r="AB49" s="673"/>
    </row>
    <row r="50" spans="1:28" ht="45">
      <c r="A50" s="1608">
        <v>3.2</v>
      </c>
      <c r="B50" s="1166" t="s">
        <v>1959</v>
      </c>
      <c r="C50" s="1612">
        <f>ROUND(Data!K216,2)</f>
        <v>5957.06</v>
      </c>
      <c r="D50" s="1610" t="s">
        <v>1215</v>
      </c>
      <c r="E50" s="1616"/>
      <c r="F50" s="1617">
        <f t="shared" si="4"/>
        <v>0</v>
      </c>
      <c r="G50" s="1618">
        <f>S.T!H42</f>
        <v>3.4</v>
      </c>
      <c r="H50" s="1618">
        <f t="shared" si="5"/>
        <v>20254</v>
      </c>
      <c r="I50" s="1618"/>
      <c r="J50" s="1618">
        <f t="shared" si="6"/>
        <v>0</v>
      </c>
      <c r="K50" s="1618"/>
      <c r="L50" s="1618">
        <f t="shared" si="13"/>
        <v>0</v>
      </c>
      <c r="M50" s="1618"/>
      <c r="N50" s="1618">
        <f t="shared" si="14"/>
        <v>0</v>
      </c>
      <c r="O50" s="1618"/>
      <c r="P50" s="1618">
        <f t="shared" si="15"/>
        <v>0</v>
      </c>
      <c r="Q50" s="1618"/>
      <c r="R50" s="1618">
        <f t="shared" si="18"/>
        <v>0</v>
      </c>
      <c r="S50" s="1618"/>
      <c r="T50" s="1618">
        <f t="shared" si="0"/>
        <v>0</v>
      </c>
      <c r="U50" s="1618"/>
      <c r="V50" s="1618">
        <f t="shared" si="1"/>
        <v>0</v>
      </c>
      <c r="W50" s="1619" t="e">
        <f>U50+S50+O50+M50+#REF!+K50+I50+G50+Q50</f>
        <v>#REF!</v>
      </c>
      <c r="X50" s="1618" t="e">
        <f t="shared" si="19"/>
        <v>#REF!</v>
      </c>
      <c r="Y50" s="1619" t="e">
        <f t="shared" si="16"/>
        <v>#REF!</v>
      </c>
      <c r="Z50" s="1618" t="e">
        <f t="shared" si="17"/>
        <v>#REF!</v>
      </c>
      <c r="AA50" s="673"/>
      <c r="AB50" s="673"/>
    </row>
    <row r="51" spans="1:28" s="301" customFormat="1">
      <c r="A51" s="1608">
        <v>3.3</v>
      </c>
      <c r="B51" s="1166" t="s">
        <v>1960</v>
      </c>
      <c r="C51" s="1612">
        <f>ROUND(Data!K231,2)</f>
        <v>3855.84</v>
      </c>
      <c r="D51" s="1610" t="s">
        <v>1215</v>
      </c>
      <c r="E51" s="1616"/>
      <c r="F51" s="1626">
        <f t="shared" si="4"/>
        <v>0</v>
      </c>
      <c r="G51" s="1616"/>
      <c r="H51" s="1618">
        <f t="shared" si="5"/>
        <v>0</v>
      </c>
      <c r="I51" s="1616"/>
      <c r="J51" s="1618">
        <f t="shared" si="6"/>
        <v>0</v>
      </c>
      <c r="K51" s="1618"/>
      <c r="L51" s="1618"/>
      <c r="M51" s="1618"/>
      <c r="N51" s="1618"/>
      <c r="O51" s="1618"/>
      <c r="P51" s="1618"/>
      <c r="Q51" s="1618"/>
      <c r="R51" s="1618">
        <f t="shared" si="18"/>
        <v>0</v>
      </c>
      <c r="S51" s="1618"/>
      <c r="T51" s="1618">
        <f t="shared" si="0"/>
        <v>0</v>
      </c>
      <c r="U51" s="1616"/>
      <c r="V51" s="1618">
        <f t="shared" si="1"/>
        <v>0</v>
      </c>
      <c r="W51" s="1619" t="e">
        <f>U51+S51+O51+M51+#REF!+K51+I51+G51+Q51</f>
        <v>#REF!</v>
      </c>
      <c r="X51" s="1618" t="e">
        <f t="shared" si="19"/>
        <v>#REF!</v>
      </c>
      <c r="Y51" s="1619" t="e">
        <f t="shared" si="16"/>
        <v>#REF!</v>
      </c>
      <c r="Z51" s="1618" t="e">
        <f t="shared" si="17"/>
        <v>#REF!</v>
      </c>
      <c r="AA51" s="675"/>
      <c r="AB51" s="674"/>
    </row>
    <row r="52" spans="1:28" s="301" customFormat="1" ht="46.5" hidden="1">
      <c r="A52" s="368">
        <v>3.4</v>
      </c>
      <c r="B52" s="320" t="s">
        <v>599</v>
      </c>
      <c r="C52" s="307"/>
      <c r="D52" s="486" t="s">
        <v>1867</v>
      </c>
      <c r="E52" s="526"/>
      <c r="F52" s="630">
        <f t="shared" si="4"/>
        <v>0</v>
      </c>
      <c r="G52" s="526"/>
      <c r="H52" s="517">
        <f t="shared" si="5"/>
        <v>0</v>
      </c>
      <c r="I52" s="526"/>
      <c r="J52" s="517">
        <f t="shared" si="6"/>
        <v>0</v>
      </c>
      <c r="K52" s="517"/>
      <c r="L52" s="517"/>
      <c r="M52" s="517"/>
      <c r="N52" s="517"/>
      <c r="O52" s="517"/>
      <c r="P52" s="517"/>
      <c r="Q52" s="517"/>
      <c r="R52" s="517"/>
      <c r="S52" s="517"/>
      <c r="T52" s="517">
        <f t="shared" si="0"/>
        <v>0</v>
      </c>
      <c r="U52" s="526"/>
      <c r="V52" s="517">
        <f t="shared" si="1"/>
        <v>0</v>
      </c>
      <c r="W52" s="632">
        <f t="shared" ref="W52:W59" si="20">I52+S52+U52</f>
        <v>0</v>
      </c>
      <c r="X52" s="517">
        <f t="shared" si="19"/>
        <v>0</v>
      </c>
      <c r="Y52" s="632">
        <f t="shared" ref="Y52:Y59" si="21">W52+E52+G52</f>
        <v>0</v>
      </c>
      <c r="Z52" s="517">
        <f t="shared" si="17"/>
        <v>0</v>
      </c>
      <c r="AA52" s="675"/>
      <c r="AB52" s="674"/>
    </row>
    <row r="53" spans="1:28" s="301" customFormat="1" hidden="1">
      <c r="A53" s="368">
        <v>3.5</v>
      </c>
      <c r="B53" s="320" t="s">
        <v>600</v>
      </c>
      <c r="C53" s="307"/>
      <c r="D53" s="486" t="s">
        <v>1867</v>
      </c>
      <c r="E53" s="526"/>
      <c r="F53" s="630">
        <f t="shared" si="4"/>
        <v>0</v>
      </c>
      <c r="G53" s="526"/>
      <c r="H53" s="517">
        <f t="shared" si="5"/>
        <v>0</v>
      </c>
      <c r="I53" s="526"/>
      <c r="J53" s="517">
        <f t="shared" si="6"/>
        <v>0</v>
      </c>
      <c r="K53" s="517"/>
      <c r="L53" s="517"/>
      <c r="M53" s="517"/>
      <c r="N53" s="517"/>
      <c r="O53" s="517"/>
      <c r="P53" s="517"/>
      <c r="Q53" s="517"/>
      <c r="R53" s="517"/>
      <c r="S53" s="517"/>
      <c r="T53" s="517">
        <f t="shared" si="0"/>
        <v>0</v>
      </c>
      <c r="U53" s="526"/>
      <c r="V53" s="517">
        <f t="shared" si="1"/>
        <v>0</v>
      </c>
      <c r="W53" s="632">
        <f t="shared" si="20"/>
        <v>0</v>
      </c>
      <c r="X53" s="517">
        <f t="shared" si="19"/>
        <v>0</v>
      </c>
      <c r="Y53" s="632">
        <f t="shared" si="21"/>
        <v>0</v>
      </c>
      <c r="Z53" s="517">
        <f t="shared" si="17"/>
        <v>0</v>
      </c>
      <c r="AA53" s="675"/>
      <c r="AB53" s="674"/>
    </row>
    <row r="54" spans="1:28" s="301" customFormat="1" ht="93" hidden="1">
      <c r="A54" s="368">
        <v>3.6</v>
      </c>
      <c r="B54" s="320" t="s">
        <v>830</v>
      </c>
      <c r="C54" s="307">
        <f>ROUND(Data!K246,2)</f>
        <v>184.13</v>
      </c>
      <c r="D54" s="486" t="s">
        <v>1867</v>
      </c>
      <c r="E54" s="526"/>
      <c r="F54" s="630">
        <f t="shared" si="4"/>
        <v>0</v>
      </c>
      <c r="G54" s="526"/>
      <c r="H54" s="517">
        <f t="shared" si="5"/>
        <v>0</v>
      </c>
      <c r="I54" s="526"/>
      <c r="J54" s="517">
        <f t="shared" si="6"/>
        <v>0</v>
      </c>
      <c r="K54" s="517"/>
      <c r="L54" s="517"/>
      <c r="M54" s="517"/>
      <c r="N54" s="517"/>
      <c r="O54" s="517"/>
      <c r="P54" s="517"/>
      <c r="Q54" s="517"/>
      <c r="R54" s="517"/>
      <c r="S54" s="517"/>
      <c r="T54" s="517">
        <f t="shared" si="0"/>
        <v>0</v>
      </c>
      <c r="U54" s="526"/>
      <c r="V54" s="517">
        <f t="shared" si="1"/>
        <v>0</v>
      </c>
      <c r="W54" s="632">
        <f t="shared" si="20"/>
        <v>0</v>
      </c>
      <c r="X54" s="517">
        <f t="shared" si="19"/>
        <v>0</v>
      </c>
      <c r="Y54" s="632">
        <f t="shared" si="21"/>
        <v>0</v>
      </c>
      <c r="Z54" s="517">
        <f t="shared" si="17"/>
        <v>0</v>
      </c>
      <c r="AA54" s="675"/>
      <c r="AB54" s="674"/>
    </row>
    <row r="55" spans="1:28" s="301" customFormat="1" ht="46.5" hidden="1">
      <c r="A55" s="368">
        <v>3.7</v>
      </c>
      <c r="B55" s="320" t="s">
        <v>1911</v>
      </c>
      <c r="C55" s="307">
        <f>ROUND(Data!K258,2)</f>
        <v>143.44</v>
      </c>
      <c r="D55" s="486" t="s">
        <v>1867</v>
      </c>
      <c r="E55" s="526"/>
      <c r="F55" s="630">
        <f t="shared" si="4"/>
        <v>0</v>
      </c>
      <c r="G55" s="526"/>
      <c r="H55" s="517">
        <f t="shared" si="5"/>
        <v>0</v>
      </c>
      <c r="I55" s="526"/>
      <c r="J55" s="517">
        <f t="shared" si="6"/>
        <v>0</v>
      </c>
      <c r="K55" s="517"/>
      <c r="L55" s="517"/>
      <c r="M55" s="517"/>
      <c r="N55" s="517"/>
      <c r="O55" s="517"/>
      <c r="P55" s="517"/>
      <c r="Q55" s="517"/>
      <c r="R55" s="517"/>
      <c r="S55" s="517"/>
      <c r="T55" s="517">
        <f t="shared" si="0"/>
        <v>0</v>
      </c>
      <c r="U55" s="526"/>
      <c r="V55" s="517">
        <f t="shared" si="1"/>
        <v>0</v>
      </c>
      <c r="W55" s="632">
        <f t="shared" si="20"/>
        <v>0</v>
      </c>
      <c r="X55" s="517">
        <f t="shared" si="19"/>
        <v>0</v>
      </c>
      <c r="Y55" s="632">
        <f t="shared" si="21"/>
        <v>0</v>
      </c>
      <c r="Z55" s="517">
        <f t="shared" si="17"/>
        <v>0</v>
      </c>
      <c r="AA55" s="675"/>
      <c r="AB55" s="674"/>
    </row>
    <row r="56" spans="1:28" s="301" customFormat="1" hidden="1">
      <c r="A56" s="368">
        <v>4.0999999999999996</v>
      </c>
      <c r="B56" s="369" t="s">
        <v>4048</v>
      </c>
      <c r="C56" s="308">
        <f>ROUND(Data!K282,2)</f>
        <v>7298.69</v>
      </c>
      <c r="D56" s="486" t="s">
        <v>1215</v>
      </c>
      <c r="E56" s="526"/>
      <c r="F56" s="630">
        <f t="shared" si="4"/>
        <v>0</v>
      </c>
      <c r="G56" s="526"/>
      <c r="H56" s="517">
        <f t="shared" si="5"/>
        <v>0</v>
      </c>
      <c r="I56" s="526"/>
      <c r="J56" s="517">
        <f t="shared" si="6"/>
        <v>0</v>
      </c>
      <c r="K56" s="517"/>
      <c r="L56" s="517"/>
      <c r="M56" s="517"/>
      <c r="N56" s="517"/>
      <c r="O56" s="517"/>
      <c r="P56" s="517"/>
      <c r="Q56" s="517"/>
      <c r="R56" s="517"/>
      <c r="S56" s="517"/>
      <c r="T56" s="517">
        <f t="shared" si="0"/>
        <v>0</v>
      </c>
      <c r="U56" s="526"/>
      <c r="V56" s="517">
        <f t="shared" si="1"/>
        <v>0</v>
      </c>
      <c r="W56" s="632">
        <f t="shared" si="20"/>
        <v>0</v>
      </c>
      <c r="X56" s="517">
        <f t="shared" si="19"/>
        <v>0</v>
      </c>
      <c r="Y56" s="632">
        <f t="shared" si="21"/>
        <v>0</v>
      </c>
      <c r="Z56" s="517">
        <f t="shared" si="17"/>
        <v>0</v>
      </c>
      <c r="AA56" s="675"/>
      <c r="AB56" s="674"/>
    </row>
    <row r="57" spans="1:28" s="301" customFormat="1" hidden="1">
      <c r="A57" s="368">
        <v>4.2</v>
      </c>
      <c r="B57" s="369" t="s">
        <v>4049</v>
      </c>
      <c r="C57" s="308">
        <f>Data!K818</f>
        <v>7940.58</v>
      </c>
      <c r="D57" s="486" t="s">
        <v>1215</v>
      </c>
      <c r="E57" s="526"/>
      <c r="F57" s="630">
        <f t="shared" si="4"/>
        <v>0</v>
      </c>
      <c r="G57" s="526"/>
      <c r="H57" s="517">
        <f t="shared" si="5"/>
        <v>0</v>
      </c>
      <c r="I57" s="526"/>
      <c r="J57" s="517">
        <f t="shared" si="6"/>
        <v>0</v>
      </c>
      <c r="K57" s="517"/>
      <c r="L57" s="517"/>
      <c r="M57" s="517"/>
      <c r="N57" s="517"/>
      <c r="O57" s="517"/>
      <c r="P57" s="517"/>
      <c r="Q57" s="517"/>
      <c r="R57" s="517"/>
      <c r="S57" s="517"/>
      <c r="T57" s="517">
        <f t="shared" si="0"/>
        <v>0</v>
      </c>
      <c r="U57" s="526"/>
      <c r="V57" s="517">
        <f t="shared" si="1"/>
        <v>0</v>
      </c>
      <c r="W57" s="632">
        <f t="shared" si="20"/>
        <v>0</v>
      </c>
      <c r="X57" s="517">
        <f t="shared" si="19"/>
        <v>0</v>
      </c>
      <c r="Y57" s="632">
        <f t="shared" si="21"/>
        <v>0</v>
      </c>
      <c r="Z57" s="517">
        <f t="shared" si="17"/>
        <v>0</v>
      </c>
      <c r="AA57" s="675"/>
      <c r="AB57" s="674"/>
    </row>
    <row r="58" spans="1:28" s="475" customFormat="1" ht="51" hidden="1">
      <c r="A58" s="476">
        <v>5</v>
      </c>
      <c r="B58" s="479" t="s">
        <v>897</v>
      </c>
      <c r="C58" s="466">
        <f>ROUND(Data!K303,2)</f>
        <v>4818.8100000000004</v>
      </c>
      <c r="D58" s="467" t="s">
        <v>1215</v>
      </c>
      <c r="E58" s="526"/>
      <c r="F58" s="630">
        <f t="shared" si="4"/>
        <v>0</v>
      </c>
      <c r="G58" s="526"/>
      <c r="H58" s="517">
        <f t="shared" si="5"/>
        <v>0</v>
      </c>
      <c r="I58" s="526"/>
      <c r="J58" s="517">
        <f t="shared" si="6"/>
        <v>0</v>
      </c>
      <c r="K58" s="517"/>
      <c r="L58" s="517"/>
      <c r="M58" s="517"/>
      <c r="N58" s="517"/>
      <c r="O58" s="517"/>
      <c r="P58" s="517"/>
      <c r="Q58" s="517"/>
      <c r="R58" s="517"/>
      <c r="S58" s="517"/>
      <c r="T58" s="517">
        <f t="shared" si="0"/>
        <v>0</v>
      </c>
      <c r="U58" s="526"/>
      <c r="V58" s="517">
        <f t="shared" si="1"/>
        <v>0</v>
      </c>
      <c r="W58" s="632">
        <f t="shared" si="20"/>
        <v>0</v>
      </c>
      <c r="X58" s="517">
        <f t="shared" si="19"/>
        <v>0</v>
      </c>
      <c r="Y58" s="632">
        <f t="shared" si="21"/>
        <v>0</v>
      </c>
      <c r="Z58" s="517">
        <f t="shared" si="17"/>
        <v>0</v>
      </c>
      <c r="AA58" s="674"/>
      <c r="AB58" s="674"/>
    </row>
    <row r="59" spans="1:28" s="301" customFormat="1" ht="69.75" hidden="1">
      <c r="A59" s="368">
        <v>6.1</v>
      </c>
      <c r="B59" s="369" t="s">
        <v>4054</v>
      </c>
      <c r="C59" s="307">
        <f>Data!X318</f>
        <v>6393.87</v>
      </c>
      <c r="D59" s="486" t="s">
        <v>1215</v>
      </c>
      <c r="E59" s="526"/>
      <c r="F59" s="630">
        <f t="shared" si="4"/>
        <v>0</v>
      </c>
      <c r="G59" s="526"/>
      <c r="H59" s="517">
        <f t="shared" si="5"/>
        <v>0</v>
      </c>
      <c r="I59" s="526"/>
      <c r="J59" s="517">
        <f t="shared" si="6"/>
        <v>0</v>
      </c>
      <c r="K59" s="517"/>
      <c r="L59" s="517"/>
      <c r="M59" s="517"/>
      <c r="N59" s="517"/>
      <c r="O59" s="517"/>
      <c r="P59" s="517"/>
      <c r="Q59" s="517"/>
      <c r="R59" s="517"/>
      <c r="S59" s="517"/>
      <c r="T59" s="517">
        <f t="shared" si="0"/>
        <v>0</v>
      </c>
      <c r="U59" s="526"/>
      <c r="V59" s="517">
        <f t="shared" si="1"/>
        <v>0</v>
      </c>
      <c r="W59" s="632">
        <f t="shared" si="20"/>
        <v>0</v>
      </c>
      <c r="X59" s="517">
        <f t="shared" si="19"/>
        <v>0</v>
      </c>
      <c r="Y59" s="632">
        <f t="shared" si="21"/>
        <v>0</v>
      </c>
      <c r="Z59" s="517">
        <f t="shared" si="17"/>
        <v>0</v>
      </c>
      <c r="AA59" s="675"/>
      <c r="AB59" s="674"/>
    </row>
    <row r="60" spans="1:28" s="1762" customFormat="1" ht="90">
      <c r="A60" s="1635">
        <v>6.2</v>
      </c>
      <c r="B60" s="1170" t="s">
        <v>6386</v>
      </c>
      <c r="C60" s="1636">
        <f>'Sub Data'!F123</f>
        <v>1160.44</v>
      </c>
      <c r="D60" s="1611" t="s">
        <v>1867</v>
      </c>
      <c r="E60" s="1616"/>
      <c r="F60" s="1617">
        <f t="shared" si="4"/>
        <v>0</v>
      </c>
      <c r="G60" s="1616"/>
      <c r="H60" s="1616">
        <f t="shared" si="5"/>
        <v>0</v>
      </c>
      <c r="I60" s="1616"/>
      <c r="J60" s="1616">
        <f t="shared" si="6"/>
        <v>0</v>
      </c>
      <c r="K60" s="1616"/>
      <c r="L60" s="1616">
        <f t="shared" ref="L60:L66" si="22">K60*C60</f>
        <v>0</v>
      </c>
      <c r="M60" s="1616">
        <f>'paver block (2)'!H30</f>
        <v>490.8</v>
      </c>
      <c r="N60" s="1616">
        <f t="shared" ref="N60:N66" si="23">M60*C60</f>
        <v>569543.94999999995</v>
      </c>
      <c r="O60" s="1616"/>
      <c r="P60" s="1616">
        <f t="shared" ref="P60:P66" si="24">O60*C60</f>
        <v>0</v>
      </c>
      <c r="Q60" s="1616"/>
      <c r="R60" s="1618">
        <f>Q60*C60</f>
        <v>0</v>
      </c>
      <c r="S60" s="1616"/>
      <c r="T60" s="1616">
        <f t="shared" si="0"/>
        <v>0</v>
      </c>
      <c r="U60" s="1616"/>
      <c r="V60" s="1616">
        <f t="shared" si="1"/>
        <v>0</v>
      </c>
      <c r="W60" s="1619" t="e">
        <f>U60+S60+O60+M60+#REF!+K60+I60+G60+Q60</f>
        <v>#REF!</v>
      </c>
      <c r="X60" s="1616" t="e">
        <f t="shared" si="19"/>
        <v>#REF!</v>
      </c>
      <c r="Y60" s="1619" t="e">
        <f t="shared" ref="Y60:Y66" si="25">W60+E60</f>
        <v>#REF!</v>
      </c>
      <c r="Z60" s="1616" t="e">
        <f t="shared" si="17"/>
        <v>#REF!</v>
      </c>
      <c r="AA60" s="1761"/>
      <c r="AB60" s="674"/>
    </row>
    <row r="61" spans="1:28" s="301" customFormat="1" ht="45" hidden="1">
      <c r="A61" s="368">
        <v>6.3</v>
      </c>
      <c r="B61" s="1169" t="s">
        <v>5292</v>
      </c>
      <c r="C61" s="307"/>
      <c r="D61" s="486" t="s">
        <v>1215</v>
      </c>
      <c r="E61" s="526"/>
      <c r="F61" s="1394">
        <f t="shared" si="4"/>
        <v>0</v>
      </c>
      <c r="G61" s="526"/>
      <c r="H61" s="517">
        <f t="shared" si="5"/>
        <v>0</v>
      </c>
      <c r="I61" s="526"/>
      <c r="J61" s="517">
        <f t="shared" si="6"/>
        <v>0</v>
      </c>
      <c r="K61" s="517"/>
      <c r="L61" s="517">
        <f t="shared" si="22"/>
        <v>0</v>
      </c>
      <c r="M61" s="517"/>
      <c r="N61" s="517">
        <f t="shared" si="23"/>
        <v>0</v>
      </c>
      <c r="O61" s="517"/>
      <c r="P61" s="517">
        <f t="shared" si="24"/>
        <v>0</v>
      </c>
      <c r="Q61" s="517"/>
      <c r="R61" s="517"/>
      <c r="S61" s="517"/>
      <c r="T61" s="517">
        <f t="shared" si="0"/>
        <v>0</v>
      </c>
      <c r="U61" s="526"/>
      <c r="V61" s="517">
        <f t="shared" si="1"/>
        <v>0</v>
      </c>
      <c r="W61" s="632" t="e">
        <f>U61+S61+O61+M61+#REF!+K61+I61+G61</f>
        <v>#REF!</v>
      </c>
      <c r="X61" s="517" t="e">
        <f t="shared" si="19"/>
        <v>#REF!</v>
      </c>
      <c r="Y61" s="632" t="e">
        <f t="shared" si="25"/>
        <v>#REF!</v>
      </c>
      <c r="Z61" s="517" t="e">
        <f t="shared" si="17"/>
        <v>#REF!</v>
      </c>
      <c r="AA61" s="675"/>
      <c r="AB61" s="674"/>
    </row>
    <row r="62" spans="1:28" s="301" customFormat="1" ht="45" hidden="1">
      <c r="A62" s="368">
        <v>6.4</v>
      </c>
      <c r="B62" s="1169" t="s">
        <v>5293</v>
      </c>
      <c r="C62" s="307"/>
      <c r="D62" s="486" t="s">
        <v>1215</v>
      </c>
      <c r="E62" s="526"/>
      <c r="F62" s="1394">
        <f t="shared" si="4"/>
        <v>0</v>
      </c>
      <c r="G62" s="526"/>
      <c r="H62" s="517">
        <f t="shared" si="5"/>
        <v>0</v>
      </c>
      <c r="I62" s="526"/>
      <c r="J62" s="517">
        <f t="shared" si="6"/>
        <v>0</v>
      </c>
      <c r="K62" s="517"/>
      <c r="L62" s="517">
        <f t="shared" si="22"/>
        <v>0</v>
      </c>
      <c r="M62" s="517"/>
      <c r="N62" s="517">
        <f t="shared" si="23"/>
        <v>0</v>
      </c>
      <c r="O62" s="517"/>
      <c r="P62" s="517">
        <f t="shared" si="24"/>
        <v>0</v>
      </c>
      <c r="Q62" s="517"/>
      <c r="R62" s="517"/>
      <c r="S62" s="517"/>
      <c r="T62" s="517">
        <f t="shared" si="0"/>
        <v>0</v>
      </c>
      <c r="U62" s="526"/>
      <c r="V62" s="517">
        <f t="shared" si="1"/>
        <v>0</v>
      </c>
      <c r="W62" s="632" t="e">
        <f>U62+S62+O62+M62+#REF!+K62+I62+G62</f>
        <v>#REF!</v>
      </c>
      <c r="X62" s="517" t="e">
        <f t="shared" si="19"/>
        <v>#REF!</v>
      </c>
      <c r="Y62" s="632" t="e">
        <f t="shared" si="25"/>
        <v>#REF!</v>
      </c>
      <c r="Z62" s="517" t="e">
        <f t="shared" si="17"/>
        <v>#REF!</v>
      </c>
      <c r="AA62" s="675"/>
      <c r="AB62" s="674"/>
    </row>
    <row r="63" spans="1:28" s="475" customFormat="1" ht="67.5">
      <c r="A63" s="1635">
        <v>6.5</v>
      </c>
      <c r="B63" s="1170" t="s">
        <v>5294</v>
      </c>
      <c r="C63" s="1636">
        <f>Data!K318</f>
        <v>6145.59</v>
      </c>
      <c r="D63" s="1611" t="s">
        <v>1215</v>
      </c>
      <c r="E63" s="1616">
        <f>station!I171</f>
        <v>66</v>
      </c>
      <c r="F63" s="1617">
        <f t="shared" si="4"/>
        <v>405608.94</v>
      </c>
      <c r="G63" s="1616">
        <f>S.T!H53</f>
        <v>10.4</v>
      </c>
      <c r="H63" s="1618">
        <f t="shared" si="5"/>
        <v>63914.14</v>
      </c>
      <c r="I63" s="1616"/>
      <c r="J63" s="1618">
        <f t="shared" si="6"/>
        <v>0</v>
      </c>
      <c r="K63" s="1618">
        <f>'Plinth '!I28</f>
        <v>1.2</v>
      </c>
      <c r="L63" s="1618">
        <f t="shared" si="22"/>
        <v>7374.71</v>
      </c>
      <c r="M63" s="1618"/>
      <c r="N63" s="1618">
        <f t="shared" si="23"/>
        <v>0</v>
      </c>
      <c r="O63" s="1618"/>
      <c r="P63" s="1618">
        <f t="shared" si="24"/>
        <v>0</v>
      </c>
      <c r="Q63" s="1618"/>
      <c r="R63" s="1618">
        <f>Q63*C63</f>
        <v>0</v>
      </c>
      <c r="S63" s="1618"/>
      <c r="T63" s="1618">
        <f t="shared" si="0"/>
        <v>0</v>
      </c>
      <c r="U63" s="1616"/>
      <c r="V63" s="1618">
        <f t="shared" si="1"/>
        <v>0</v>
      </c>
      <c r="W63" s="1619" t="e">
        <f>U63+S63+O63+M63+#REF!+K63+I63+G63+Q63</f>
        <v>#REF!</v>
      </c>
      <c r="X63" s="1618" t="e">
        <f t="shared" si="19"/>
        <v>#REF!</v>
      </c>
      <c r="Y63" s="1619" t="e">
        <f t="shared" si="25"/>
        <v>#REF!</v>
      </c>
      <c r="Z63" s="1618" t="e">
        <f t="shared" si="17"/>
        <v>#REF!</v>
      </c>
      <c r="AA63" s="674"/>
      <c r="AB63" s="674"/>
    </row>
    <row r="64" spans="1:28" s="301" customFormat="1" ht="67.5">
      <c r="A64" s="1627">
        <v>6.6</v>
      </c>
      <c r="B64" s="1171" t="s">
        <v>5295</v>
      </c>
      <c r="C64" s="1628"/>
      <c r="D64" s="1629" t="s">
        <v>1215</v>
      </c>
      <c r="E64" s="1616"/>
      <c r="F64" s="1617">
        <f t="shared" si="4"/>
        <v>0</v>
      </c>
      <c r="G64" s="1616"/>
      <c r="H64" s="1618">
        <f t="shared" si="5"/>
        <v>0</v>
      </c>
      <c r="I64" s="1616"/>
      <c r="J64" s="1618">
        <f t="shared" si="6"/>
        <v>0</v>
      </c>
      <c r="K64" s="1618"/>
      <c r="L64" s="1618">
        <f t="shared" si="22"/>
        <v>0</v>
      </c>
      <c r="M64" s="1618"/>
      <c r="N64" s="1618">
        <f t="shared" si="23"/>
        <v>0</v>
      </c>
      <c r="O64" s="1618"/>
      <c r="P64" s="1618">
        <f t="shared" si="24"/>
        <v>0</v>
      </c>
      <c r="Q64" s="1618"/>
      <c r="R64" s="1618">
        <f>Q64*C64</f>
        <v>0</v>
      </c>
      <c r="S64" s="1618"/>
      <c r="T64" s="1618">
        <f t="shared" si="0"/>
        <v>0</v>
      </c>
      <c r="U64" s="1616"/>
      <c r="V64" s="1618">
        <f t="shared" si="1"/>
        <v>0</v>
      </c>
      <c r="W64" s="1619" t="e">
        <f>U64+S64+O64+M64+#REF!+K64+I64+G64+Q64</f>
        <v>#REF!</v>
      </c>
      <c r="X64" s="1618" t="e">
        <f t="shared" si="19"/>
        <v>#REF!</v>
      </c>
      <c r="Y64" s="1619" t="e">
        <f t="shared" si="25"/>
        <v>#REF!</v>
      </c>
      <c r="Z64" s="1618" t="e">
        <f t="shared" si="17"/>
        <v>#REF!</v>
      </c>
      <c r="AA64" s="675"/>
      <c r="AB64" s="674"/>
    </row>
    <row r="65" spans="1:28" s="301" customFormat="1" ht="45">
      <c r="A65" s="1608">
        <v>7.1</v>
      </c>
      <c r="B65" s="1169" t="s">
        <v>5296</v>
      </c>
      <c r="C65" s="1630"/>
      <c r="D65" s="1631" t="s">
        <v>1867</v>
      </c>
      <c r="E65" s="1616"/>
      <c r="F65" s="1617">
        <f t="shared" si="4"/>
        <v>0</v>
      </c>
      <c r="G65" s="1616"/>
      <c r="H65" s="1618">
        <f t="shared" si="5"/>
        <v>0</v>
      </c>
      <c r="I65" s="1616"/>
      <c r="J65" s="1618">
        <f t="shared" si="6"/>
        <v>0</v>
      </c>
      <c r="K65" s="1618"/>
      <c r="L65" s="1618">
        <f t="shared" si="22"/>
        <v>0</v>
      </c>
      <c r="M65" s="1618"/>
      <c r="N65" s="1618">
        <f t="shared" si="23"/>
        <v>0</v>
      </c>
      <c r="O65" s="1618"/>
      <c r="P65" s="1618">
        <f t="shared" si="24"/>
        <v>0</v>
      </c>
      <c r="Q65" s="1618"/>
      <c r="R65" s="1618">
        <f>Q65*C65</f>
        <v>0</v>
      </c>
      <c r="S65" s="1618"/>
      <c r="T65" s="1618">
        <f t="shared" si="0"/>
        <v>0</v>
      </c>
      <c r="U65" s="1616"/>
      <c r="V65" s="1618">
        <f t="shared" si="1"/>
        <v>0</v>
      </c>
      <c r="W65" s="1619" t="e">
        <f>U65+S65+O65+M65+#REF!+K65+I65+G65+Q65</f>
        <v>#REF!</v>
      </c>
      <c r="X65" s="1618" t="e">
        <f t="shared" si="19"/>
        <v>#REF!</v>
      </c>
      <c r="Y65" s="1619" t="e">
        <f t="shared" si="25"/>
        <v>#REF!</v>
      </c>
      <c r="Z65" s="1618" t="e">
        <f t="shared" si="17"/>
        <v>#REF!</v>
      </c>
      <c r="AA65" s="675"/>
      <c r="AB65" s="674"/>
    </row>
    <row r="66" spans="1:28" s="301" customFormat="1" ht="45">
      <c r="A66" s="1608">
        <v>7.2</v>
      </c>
      <c r="B66" s="1166" t="s">
        <v>5297</v>
      </c>
      <c r="C66" s="1637">
        <f>ROUND(Data!K326,2)</f>
        <v>712</v>
      </c>
      <c r="D66" s="1631" t="s">
        <v>1867</v>
      </c>
      <c r="E66" s="1616"/>
      <c r="F66" s="1617">
        <f t="shared" si="4"/>
        <v>0</v>
      </c>
      <c r="G66" s="1618"/>
      <c r="H66" s="1618">
        <f t="shared" si="5"/>
        <v>0</v>
      </c>
      <c r="I66" s="1618"/>
      <c r="J66" s="1618">
        <f t="shared" si="6"/>
        <v>0</v>
      </c>
      <c r="K66" s="1618"/>
      <c r="L66" s="1618">
        <f t="shared" si="22"/>
        <v>0</v>
      </c>
      <c r="M66" s="1618"/>
      <c r="N66" s="1618">
        <f t="shared" si="23"/>
        <v>0</v>
      </c>
      <c r="O66" s="1618"/>
      <c r="P66" s="1618">
        <f t="shared" si="24"/>
        <v>0</v>
      </c>
      <c r="Q66" s="1618"/>
      <c r="R66" s="1618">
        <f>Q66*C66</f>
        <v>0</v>
      </c>
      <c r="S66" s="1618"/>
      <c r="T66" s="1618">
        <f t="shared" si="0"/>
        <v>0</v>
      </c>
      <c r="U66" s="1618"/>
      <c r="V66" s="1618">
        <f t="shared" si="1"/>
        <v>0</v>
      </c>
      <c r="W66" s="1619" t="e">
        <f>U66+S66+O66+M66+#REF!+K66+I66+G66+Q66</f>
        <v>#REF!</v>
      </c>
      <c r="X66" s="1618" t="e">
        <f t="shared" si="19"/>
        <v>#REF!</v>
      </c>
      <c r="Y66" s="1619" t="e">
        <f t="shared" si="25"/>
        <v>#REF!</v>
      </c>
      <c r="Z66" s="1618" t="e">
        <f t="shared" si="17"/>
        <v>#REF!</v>
      </c>
      <c r="AA66" s="675"/>
      <c r="AB66" s="673"/>
    </row>
    <row r="67" spans="1:28" s="301" customFormat="1" ht="46.5" hidden="1">
      <c r="A67" s="536">
        <v>7.3</v>
      </c>
      <c r="B67" s="539" t="s">
        <v>4055</v>
      </c>
      <c r="C67" s="538">
        <f>ROUND(Data!K494,2)</f>
        <v>276.70999999999998</v>
      </c>
      <c r="D67" s="443" t="s">
        <v>1867</v>
      </c>
      <c r="E67" s="526"/>
      <c r="F67" s="630">
        <f t="shared" si="4"/>
        <v>0</v>
      </c>
      <c r="G67" s="526"/>
      <c r="H67" s="517">
        <f t="shared" si="5"/>
        <v>0</v>
      </c>
      <c r="I67" s="526"/>
      <c r="J67" s="517">
        <f t="shared" si="6"/>
        <v>0</v>
      </c>
      <c r="K67" s="517"/>
      <c r="L67" s="517"/>
      <c r="M67" s="517"/>
      <c r="N67" s="517"/>
      <c r="O67" s="517"/>
      <c r="P67" s="517"/>
      <c r="Q67" s="517"/>
      <c r="R67" s="517"/>
      <c r="S67" s="517"/>
      <c r="T67" s="517">
        <f t="shared" si="0"/>
        <v>0</v>
      </c>
      <c r="U67" s="526"/>
      <c r="V67" s="517">
        <f t="shared" si="1"/>
        <v>0</v>
      </c>
      <c r="W67" s="632">
        <f t="shared" ref="W67:W93" si="26">I67+S67+U67</f>
        <v>0</v>
      </c>
      <c r="X67" s="517">
        <f t="shared" si="19"/>
        <v>0</v>
      </c>
      <c r="Y67" s="632">
        <f t="shared" ref="Y67:Y93" si="27">W67+E67+G67</f>
        <v>0</v>
      </c>
      <c r="Z67" s="517">
        <f t="shared" si="17"/>
        <v>0</v>
      </c>
      <c r="AA67" s="675"/>
      <c r="AB67" s="674"/>
    </row>
    <row r="68" spans="1:28" s="315" customFormat="1" hidden="1">
      <c r="A68" s="368">
        <v>8.1</v>
      </c>
      <c r="B68" s="369" t="s">
        <v>601</v>
      </c>
      <c r="C68" s="308"/>
      <c r="D68" s="486"/>
      <c r="E68" s="526"/>
      <c r="F68" s="630">
        <f t="shared" si="4"/>
        <v>0</v>
      </c>
      <c r="G68" s="526"/>
      <c r="H68" s="517">
        <f t="shared" si="5"/>
        <v>0</v>
      </c>
      <c r="I68" s="526"/>
      <c r="J68" s="517">
        <f t="shared" si="6"/>
        <v>0</v>
      </c>
      <c r="K68" s="517"/>
      <c r="L68" s="517"/>
      <c r="M68" s="517"/>
      <c r="N68" s="517"/>
      <c r="O68" s="517"/>
      <c r="P68" s="517"/>
      <c r="Q68" s="517"/>
      <c r="R68" s="517"/>
      <c r="S68" s="517"/>
      <c r="T68" s="517">
        <f t="shared" si="0"/>
        <v>0</v>
      </c>
      <c r="U68" s="526"/>
      <c r="V68" s="517">
        <f t="shared" si="1"/>
        <v>0</v>
      </c>
      <c r="W68" s="632">
        <f t="shared" si="26"/>
        <v>0</v>
      </c>
      <c r="X68" s="517">
        <f t="shared" si="19"/>
        <v>0</v>
      </c>
      <c r="Y68" s="632">
        <f t="shared" si="27"/>
        <v>0</v>
      </c>
      <c r="Z68" s="517">
        <f t="shared" si="17"/>
        <v>0</v>
      </c>
      <c r="AA68" s="676"/>
      <c r="AB68" s="674"/>
    </row>
    <row r="69" spans="1:28" s="315" customFormat="1" hidden="1">
      <c r="A69" s="368"/>
      <c r="B69" s="320" t="s">
        <v>1270</v>
      </c>
      <c r="C69" s="308">
        <f>ROUND(Data!K284,2)</f>
        <v>7407.16</v>
      </c>
      <c r="D69" s="486" t="s">
        <v>1215</v>
      </c>
      <c r="E69" s="526"/>
      <c r="F69" s="630">
        <f t="shared" si="4"/>
        <v>0</v>
      </c>
      <c r="G69" s="526"/>
      <c r="H69" s="517">
        <f t="shared" si="5"/>
        <v>0</v>
      </c>
      <c r="I69" s="526"/>
      <c r="J69" s="517">
        <f t="shared" si="6"/>
        <v>0</v>
      </c>
      <c r="K69" s="517"/>
      <c r="L69" s="517"/>
      <c r="M69" s="517"/>
      <c r="N69" s="517"/>
      <c r="O69" s="517"/>
      <c r="P69" s="517"/>
      <c r="Q69" s="517"/>
      <c r="R69" s="517"/>
      <c r="S69" s="517"/>
      <c r="T69" s="517">
        <f t="shared" si="0"/>
        <v>0</v>
      </c>
      <c r="U69" s="526"/>
      <c r="V69" s="517">
        <f t="shared" si="1"/>
        <v>0</v>
      </c>
      <c r="W69" s="632">
        <f t="shared" si="26"/>
        <v>0</v>
      </c>
      <c r="X69" s="517">
        <f t="shared" si="19"/>
        <v>0</v>
      </c>
      <c r="Y69" s="632">
        <f t="shared" si="27"/>
        <v>0</v>
      </c>
      <c r="Z69" s="517">
        <f t="shared" si="17"/>
        <v>0</v>
      </c>
      <c r="AA69" s="676"/>
      <c r="AB69" s="674"/>
    </row>
    <row r="70" spans="1:28" s="315" customFormat="1" hidden="1">
      <c r="A70" s="368"/>
      <c r="B70" s="320" t="s">
        <v>1406</v>
      </c>
      <c r="C70" s="308">
        <f>ROUND(Data!K285,2)</f>
        <v>7620.84</v>
      </c>
      <c r="D70" s="486" t="s">
        <v>1215</v>
      </c>
      <c r="E70" s="526"/>
      <c r="F70" s="630">
        <f t="shared" si="4"/>
        <v>0</v>
      </c>
      <c r="G70" s="526"/>
      <c r="H70" s="517">
        <f t="shared" si="5"/>
        <v>0</v>
      </c>
      <c r="I70" s="526"/>
      <c r="J70" s="517">
        <f t="shared" si="6"/>
        <v>0</v>
      </c>
      <c r="K70" s="517"/>
      <c r="L70" s="517"/>
      <c r="M70" s="517"/>
      <c r="N70" s="517"/>
      <c r="O70" s="517"/>
      <c r="P70" s="517"/>
      <c r="Q70" s="517"/>
      <c r="R70" s="517"/>
      <c r="S70" s="517"/>
      <c r="T70" s="517">
        <f t="shared" si="0"/>
        <v>0</v>
      </c>
      <c r="U70" s="526"/>
      <c r="V70" s="517">
        <f t="shared" si="1"/>
        <v>0</v>
      </c>
      <c r="W70" s="632">
        <f t="shared" si="26"/>
        <v>0</v>
      </c>
      <c r="X70" s="517">
        <f t="shared" si="19"/>
        <v>0</v>
      </c>
      <c r="Y70" s="632">
        <f t="shared" si="27"/>
        <v>0</v>
      </c>
      <c r="Z70" s="517">
        <f t="shared" si="17"/>
        <v>0</v>
      </c>
      <c r="AA70" s="676"/>
      <c r="AB70" s="674"/>
    </row>
    <row r="71" spans="1:28" s="315" customFormat="1" hidden="1">
      <c r="A71" s="368"/>
      <c r="B71" s="320" t="s">
        <v>1455</v>
      </c>
      <c r="C71" s="308">
        <f>ROUND(Data!K286,2)</f>
        <v>7834.52</v>
      </c>
      <c r="D71" s="486" t="s">
        <v>1215</v>
      </c>
      <c r="E71" s="526"/>
      <c r="F71" s="630">
        <f t="shared" si="4"/>
        <v>0</v>
      </c>
      <c r="G71" s="526"/>
      <c r="H71" s="517">
        <f t="shared" si="5"/>
        <v>0</v>
      </c>
      <c r="I71" s="526"/>
      <c r="J71" s="517">
        <f t="shared" si="6"/>
        <v>0</v>
      </c>
      <c r="K71" s="517"/>
      <c r="L71" s="517"/>
      <c r="M71" s="517"/>
      <c r="N71" s="517"/>
      <c r="O71" s="517"/>
      <c r="P71" s="517"/>
      <c r="Q71" s="517"/>
      <c r="R71" s="517"/>
      <c r="S71" s="517"/>
      <c r="T71" s="517">
        <f t="shared" ref="T71:T134" si="28">S71*C71</f>
        <v>0</v>
      </c>
      <c r="U71" s="526"/>
      <c r="V71" s="517">
        <f t="shared" ref="V71:V134" si="29">U71*C71</f>
        <v>0</v>
      </c>
      <c r="W71" s="632">
        <f t="shared" si="26"/>
        <v>0</v>
      </c>
      <c r="X71" s="517">
        <f t="shared" si="19"/>
        <v>0</v>
      </c>
      <c r="Y71" s="632">
        <f t="shared" si="27"/>
        <v>0</v>
      </c>
      <c r="Z71" s="517">
        <f t="shared" ref="Z71:Z93" si="30">Y71*C71</f>
        <v>0</v>
      </c>
      <c r="AA71" s="676"/>
      <c r="AB71" s="674"/>
    </row>
    <row r="72" spans="1:28" s="315" customFormat="1" hidden="1">
      <c r="A72" s="368"/>
      <c r="B72" s="320" t="s">
        <v>1344</v>
      </c>
      <c r="C72" s="308">
        <f>ROUND(Data!K287,2)</f>
        <v>8048.2</v>
      </c>
      <c r="D72" s="486" t="s">
        <v>1215</v>
      </c>
      <c r="E72" s="526"/>
      <c r="F72" s="630">
        <f t="shared" si="4"/>
        <v>0</v>
      </c>
      <c r="G72" s="526"/>
      <c r="H72" s="517">
        <f t="shared" si="5"/>
        <v>0</v>
      </c>
      <c r="I72" s="526"/>
      <c r="J72" s="517">
        <f t="shared" si="6"/>
        <v>0</v>
      </c>
      <c r="K72" s="517"/>
      <c r="L72" s="517"/>
      <c r="M72" s="517"/>
      <c r="N72" s="517"/>
      <c r="O72" s="517"/>
      <c r="P72" s="517"/>
      <c r="Q72" s="517"/>
      <c r="R72" s="517"/>
      <c r="S72" s="517"/>
      <c r="T72" s="517">
        <f t="shared" si="28"/>
        <v>0</v>
      </c>
      <c r="U72" s="526"/>
      <c r="V72" s="517">
        <f t="shared" si="29"/>
        <v>0</v>
      </c>
      <c r="W72" s="632">
        <f t="shared" si="26"/>
        <v>0</v>
      </c>
      <c r="X72" s="517">
        <f t="shared" si="19"/>
        <v>0</v>
      </c>
      <c r="Y72" s="632">
        <f t="shared" si="27"/>
        <v>0</v>
      </c>
      <c r="Z72" s="517">
        <f t="shared" si="30"/>
        <v>0</v>
      </c>
      <c r="AA72" s="676"/>
      <c r="AB72" s="674"/>
    </row>
    <row r="73" spans="1:28" s="315" customFormat="1" hidden="1">
      <c r="A73" s="441"/>
      <c r="B73" s="320" t="s">
        <v>1096</v>
      </c>
      <c r="C73" s="308">
        <f>ROUND(Data!K288,2)</f>
        <v>8261.8799999999992</v>
      </c>
      <c r="D73" s="486" t="s">
        <v>1215</v>
      </c>
      <c r="E73" s="526"/>
      <c r="F73" s="630">
        <f t="shared" si="4"/>
        <v>0</v>
      </c>
      <c r="G73" s="526"/>
      <c r="H73" s="517">
        <f t="shared" si="5"/>
        <v>0</v>
      </c>
      <c r="I73" s="526"/>
      <c r="J73" s="517">
        <f t="shared" si="6"/>
        <v>0</v>
      </c>
      <c r="K73" s="517"/>
      <c r="L73" s="517"/>
      <c r="M73" s="517"/>
      <c r="N73" s="517"/>
      <c r="O73" s="517"/>
      <c r="P73" s="517"/>
      <c r="Q73" s="517"/>
      <c r="R73" s="517"/>
      <c r="S73" s="517"/>
      <c r="T73" s="517">
        <f t="shared" si="28"/>
        <v>0</v>
      </c>
      <c r="U73" s="526"/>
      <c r="V73" s="517">
        <f t="shared" si="29"/>
        <v>0</v>
      </c>
      <c r="W73" s="632">
        <f t="shared" si="26"/>
        <v>0</v>
      </c>
      <c r="X73" s="517">
        <f t="shared" si="19"/>
        <v>0</v>
      </c>
      <c r="Y73" s="632">
        <f t="shared" si="27"/>
        <v>0</v>
      </c>
      <c r="Z73" s="517">
        <f t="shared" si="30"/>
        <v>0</v>
      </c>
      <c r="AA73" s="676"/>
      <c r="AB73" s="674"/>
    </row>
    <row r="74" spans="1:28" s="301" customFormat="1" hidden="1">
      <c r="A74" s="368">
        <v>8.1999999999999993</v>
      </c>
      <c r="B74" s="369" t="s">
        <v>1097</v>
      </c>
      <c r="C74" s="307"/>
      <c r="D74" s="486"/>
      <c r="E74" s="526"/>
      <c r="F74" s="630">
        <f t="shared" si="4"/>
        <v>0</v>
      </c>
      <c r="G74" s="526"/>
      <c r="H74" s="517">
        <f t="shared" si="5"/>
        <v>0</v>
      </c>
      <c r="I74" s="526"/>
      <c r="J74" s="517">
        <f t="shared" si="6"/>
        <v>0</v>
      </c>
      <c r="K74" s="517"/>
      <c r="L74" s="517"/>
      <c r="M74" s="517"/>
      <c r="N74" s="517"/>
      <c r="O74" s="517"/>
      <c r="P74" s="517"/>
      <c r="Q74" s="517"/>
      <c r="R74" s="517"/>
      <c r="S74" s="517"/>
      <c r="T74" s="517">
        <f t="shared" si="28"/>
        <v>0</v>
      </c>
      <c r="U74" s="526"/>
      <c r="V74" s="517">
        <f t="shared" si="29"/>
        <v>0</v>
      </c>
      <c r="W74" s="632">
        <f t="shared" si="26"/>
        <v>0</v>
      </c>
      <c r="X74" s="517">
        <f t="shared" si="19"/>
        <v>0</v>
      </c>
      <c r="Y74" s="632">
        <f t="shared" si="27"/>
        <v>0</v>
      </c>
      <c r="Z74" s="517">
        <f t="shared" si="30"/>
        <v>0</v>
      </c>
      <c r="AA74" s="675"/>
      <c r="AB74" s="674"/>
    </row>
    <row r="75" spans="1:28" s="301" customFormat="1" hidden="1">
      <c r="A75" s="320"/>
      <c r="B75" s="320" t="s">
        <v>1270</v>
      </c>
      <c r="C75" s="307">
        <f>ROUND(Data!K820,2)</f>
        <v>8049.05</v>
      </c>
      <c r="D75" s="486" t="s">
        <v>1215</v>
      </c>
      <c r="E75" s="526"/>
      <c r="F75" s="630">
        <f t="shared" ref="F75:F138" si="31">E75*C75</f>
        <v>0</v>
      </c>
      <c r="G75" s="526"/>
      <c r="H75" s="517">
        <f t="shared" ref="H75:H138" si="32">G75*C75</f>
        <v>0</v>
      </c>
      <c r="I75" s="526"/>
      <c r="J75" s="517">
        <f t="shared" ref="J75:J138" si="33">I75*C75</f>
        <v>0</v>
      </c>
      <c r="K75" s="517"/>
      <c r="L75" s="517"/>
      <c r="M75" s="517"/>
      <c r="N75" s="517"/>
      <c r="O75" s="517"/>
      <c r="P75" s="517"/>
      <c r="Q75" s="517"/>
      <c r="R75" s="517"/>
      <c r="S75" s="517"/>
      <c r="T75" s="517">
        <f t="shared" si="28"/>
        <v>0</v>
      </c>
      <c r="U75" s="526"/>
      <c r="V75" s="517">
        <f t="shared" si="29"/>
        <v>0</v>
      </c>
      <c r="W75" s="632">
        <f t="shared" si="26"/>
        <v>0</v>
      </c>
      <c r="X75" s="517">
        <f t="shared" si="19"/>
        <v>0</v>
      </c>
      <c r="Y75" s="632">
        <f t="shared" si="27"/>
        <v>0</v>
      </c>
      <c r="Z75" s="517">
        <f t="shared" si="30"/>
        <v>0</v>
      </c>
      <c r="AA75" s="675"/>
      <c r="AB75" s="674"/>
    </row>
    <row r="76" spans="1:28" s="301" customFormat="1" hidden="1">
      <c r="A76" s="320"/>
      <c r="B76" s="320" t="s">
        <v>1406</v>
      </c>
      <c r="C76" s="307">
        <f>ROUND(Data!K821,2)</f>
        <v>8262.73</v>
      </c>
      <c r="D76" s="486" t="s">
        <v>1215</v>
      </c>
      <c r="E76" s="526"/>
      <c r="F76" s="630">
        <f t="shared" si="31"/>
        <v>0</v>
      </c>
      <c r="G76" s="526"/>
      <c r="H76" s="517">
        <f t="shared" si="32"/>
        <v>0</v>
      </c>
      <c r="I76" s="526"/>
      <c r="J76" s="517">
        <f t="shared" si="33"/>
        <v>0</v>
      </c>
      <c r="K76" s="517"/>
      <c r="L76" s="517"/>
      <c r="M76" s="517"/>
      <c r="N76" s="517"/>
      <c r="O76" s="517"/>
      <c r="P76" s="517"/>
      <c r="Q76" s="517"/>
      <c r="R76" s="517"/>
      <c r="S76" s="517"/>
      <c r="T76" s="517">
        <f t="shared" si="28"/>
        <v>0</v>
      </c>
      <c r="U76" s="526"/>
      <c r="V76" s="517">
        <f t="shared" si="29"/>
        <v>0</v>
      </c>
      <c r="W76" s="632">
        <f t="shared" si="26"/>
        <v>0</v>
      </c>
      <c r="X76" s="517">
        <f t="shared" si="19"/>
        <v>0</v>
      </c>
      <c r="Y76" s="632">
        <f t="shared" si="27"/>
        <v>0</v>
      </c>
      <c r="Z76" s="517">
        <f t="shared" si="30"/>
        <v>0</v>
      </c>
      <c r="AA76" s="675"/>
      <c r="AB76" s="674"/>
    </row>
    <row r="77" spans="1:28" s="301" customFormat="1" hidden="1">
      <c r="A77" s="320"/>
      <c r="B77" s="320" t="s">
        <v>1455</v>
      </c>
      <c r="C77" s="307">
        <f>ROUND(Data!K822,2)</f>
        <v>8476.41</v>
      </c>
      <c r="D77" s="486" t="s">
        <v>1215</v>
      </c>
      <c r="E77" s="526"/>
      <c r="F77" s="630">
        <f t="shared" si="31"/>
        <v>0</v>
      </c>
      <c r="G77" s="526"/>
      <c r="H77" s="517">
        <f t="shared" si="32"/>
        <v>0</v>
      </c>
      <c r="I77" s="526"/>
      <c r="J77" s="517">
        <f t="shared" si="33"/>
        <v>0</v>
      </c>
      <c r="K77" s="517"/>
      <c r="L77" s="517"/>
      <c r="M77" s="517"/>
      <c r="N77" s="517"/>
      <c r="O77" s="517"/>
      <c r="P77" s="517"/>
      <c r="Q77" s="517"/>
      <c r="R77" s="517"/>
      <c r="S77" s="517"/>
      <c r="T77" s="517">
        <f t="shared" si="28"/>
        <v>0</v>
      </c>
      <c r="U77" s="526"/>
      <c r="V77" s="517">
        <f t="shared" si="29"/>
        <v>0</v>
      </c>
      <c r="W77" s="632">
        <f t="shared" si="26"/>
        <v>0</v>
      </c>
      <c r="X77" s="517">
        <f t="shared" si="19"/>
        <v>0</v>
      </c>
      <c r="Y77" s="632">
        <f t="shared" si="27"/>
        <v>0</v>
      </c>
      <c r="Z77" s="517">
        <f t="shared" si="30"/>
        <v>0</v>
      </c>
      <c r="AA77" s="675"/>
      <c r="AB77" s="674"/>
    </row>
    <row r="78" spans="1:28" s="301" customFormat="1" hidden="1">
      <c r="A78" s="320"/>
      <c r="B78" s="320" t="s">
        <v>1344</v>
      </c>
      <c r="C78" s="307">
        <f>ROUND(Data!K823,2)</f>
        <v>8690.09</v>
      </c>
      <c r="D78" s="486" t="s">
        <v>1215</v>
      </c>
      <c r="E78" s="526"/>
      <c r="F78" s="630">
        <f t="shared" si="31"/>
        <v>0</v>
      </c>
      <c r="G78" s="526"/>
      <c r="H78" s="517">
        <f t="shared" si="32"/>
        <v>0</v>
      </c>
      <c r="I78" s="526"/>
      <c r="J78" s="517">
        <f t="shared" si="33"/>
        <v>0</v>
      </c>
      <c r="K78" s="517"/>
      <c r="L78" s="517"/>
      <c r="M78" s="517"/>
      <c r="N78" s="517"/>
      <c r="O78" s="517"/>
      <c r="P78" s="517"/>
      <c r="Q78" s="517"/>
      <c r="R78" s="517"/>
      <c r="S78" s="517"/>
      <c r="T78" s="517">
        <f t="shared" si="28"/>
        <v>0</v>
      </c>
      <c r="U78" s="526"/>
      <c r="V78" s="517">
        <f t="shared" si="29"/>
        <v>0</v>
      </c>
      <c r="W78" s="632">
        <f t="shared" si="26"/>
        <v>0</v>
      </c>
      <c r="X78" s="517">
        <f t="shared" si="19"/>
        <v>0</v>
      </c>
      <c r="Y78" s="632">
        <f t="shared" si="27"/>
        <v>0</v>
      </c>
      <c r="Z78" s="517">
        <f t="shared" si="30"/>
        <v>0</v>
      </c>
      <c r="AA78" s="675"/>
      <c r="AB78" s="674"/>
    </row>
    <row r="79" spans="1:28" s="301" customFormat="1" hidden="1">
      <c r="A79" s="368"/>
      <c r="B79" s="320" t="s">
        <v>1096</v>
      </c>
      <c r="C79" s="307">
        <f>ROUND(Data!K824,2)</f>
        <v>8903.77</v>
      </c>
      <c r="D79" s="486" t="s">
        <v>1215</v>
      </c>
      <c r="E79" s="526"/>
      <c r="F79" s="630">
        <f t="shared" si="31"/>
        <v>0</v>
      </c>
      <c r="G79" s="526"/>
      <c r="H79" s="517">
        <f t="shared" si="32"/>
        <v>0</v>
      </c>
      <c r="I79" s="526"/>
      <c r="J79" s="517">
        <f t="shared" si="33"/>
        <v>0</v>
      </c>
      <c r="K79" s="517"/>
      <c r="L79" s="517"/>
      <c r="M79" s="517"/>
      <c r="N79" s="517"/>
      <c r="O79" s="517"/>
      <c r="P79" s="517"/>
      <c r="Q79" s="517"/>
      <c r="R79" s="517"/>
      <c r="S79" s="517"/>
      <c r="T79" s="517">
        <f t="shared" si="28"/>
        <v>0</v>
      </c>
      <c r="U79" s="526"/>
      <c r="V79" s="517">
        <f t="shared" si="29"/>
        <v>0</v>
      </c>
      <c r="W79" s="632">
        <f t="shared" si="26"/>
        <v>0</v>
      </c>
      <c r="X79" s="517">
        <f t="shared" si="19"/>
        <v>0</v>
      </c>
      <c r="Y79" s="632">
        <f t="shared" si="27"/>
        <v>0</v>
      </c>
      <c r="Z79" s="517">
        <f t="shared" si="30"/>
        <v>0</v>
      </c>
      <c r="AA79" s="675"/>
      <c r="AB79" s="674"/>
    </row>
    <row r="80" spans="1:28" s="301" customFormat="1" hidden="1">
      <c r="A80" s="368"/>
      <c r="B80" s="320" t="s">
        <v>3821</v>
      </c>
      <c r="C80" s="307">
        <f>ROUND(Data!K825,2)</f>
        <v>9117.4500000000007</v>
      </c>
      <c r="D80" s="486" t="s">
        <v>1215</v>
      </c>
      <c r="E80" s="526"/>
      <c r="F80" s="630">
        <f t="shared" si="31"/>
        <v>0</v>
      </c>
      <c r="G80" s="526"/>
      <c r="H80" s="517">
        <f t="shared" si="32"/>
        <v>0</v>
      </c>
      <c r="I80" s="526"/>
      <c r="J80" s="517">
        <f t="shared" si="33"/>
        <v>0</v>
      </c>
      <c r="K80" s="517"/>
      <c r="L80" s="517"/>
      <c r="M80" s="517"/>
      <c r="N80" s="517"/>
      <c r="O80" s="517"/>
      <c r="P80" s="517"/>
      <c r="Q80" s="517"/>
      <c r="R80" s="517"/>
      <c r="S80" s="517"/>
      <c r="T80" s="517">
        <f t="shared" si="28"/>
        <v>0</v>
      </c>
      <c r="U80" s="526"/>
      <c r="V80" s="517">
        <f t="shared" si="29"/>
        <v>0</v>
      </c>
      <c r="W80" s="632">
        <f t="shared" si="26"/>
        <v>0</v>
      </c>
      <c r="X80" s="517">
        <f t="shared" si="19"/>
        <v>0</v>
      </c>
      <c r="Y80" s="632">
        <f t="shared" si="27"/>
        <v>0</v>
      </c>
      <c r="Z80" s="517">
        <f t="shared" si="30"/>
        <v>0</v>
      </c>
      <c r="AA80" s="675"/>
      <c r="AB80" s="674"/>
    </row>
    <row r="81" spans="1:28" s="301" customFormat="1" hidden="1">
      <c r="A81" s="368"/>
      <c r="B81" s="320" t="s">
        <v>3822</v>
      </c>
      <c r="C81" s="307">
        <f>ROUND(Data!K826,2)</f>
        <v>9331.1299999999992</v>
      </c>
      <c r="D81" s="486" t="s">
        <v>1215</v>
      </c>
      <c r="E81" s="526"/>
      <c r="F81" s="630">
        <f t="shared" si="31"/>
        <v>0</v>
      </c>
      <c r="G81" s="526"/>
      <c r="H81" s="517">
        <f t="shared" si="32"/>
        <v>0</v>
      </c>
      <c r="I81" s="526"/>
      <c r="J81" s="517">
        <f t="shared" si="33"/>
        <v>0</v>
      </c>
      <c r="K81" s="517"/>
      <c r="L81" s="517"/>
      <c r="M81" s="517"/>
      <c r="N81" s="517"/>
      <c r="O81" s="517"/>
      <c r="P81" s="517"/>
      <c r="Q81" s="517"/>
      <c r="R81" s="517"/>
      <c r="S81" s="517"/>
      <c r="T81" s="517">
        <f t="shared" si="28"/>
        <v>0</v>
      </c>
      <c r="U81" s="526"/>
      <c r="V81" s="517">
        <f t="shared" si="29"/>
        <v>0</v>
      </c>
      <c r="W81" s="632">
        <f t="shared" si="26"/>
        <v>0</v>
      </c>
      <c r="X81" s="517">
        <f t="shared" si="19"/>
        <v>0</v>
      </c>
      <c r="Y81" s="632">
        <f t="shared" si="27"/>
        <v>0</v>
      </c>
      <c r="Z81" s="517">
        <f t="shared" si="30"/>
        <v>0</v>
      </c>
      <c r="AA81" s="675"/>
      <c r="AB81" s="674"/>
    </row>
    <row r="82" spans="1:28" s="301" customFormat="1" hidden="1">
      <c r="A82" s="368"/>
      <c r="B82" s="320" t="s">
        <v>3823</v>
      </c>
      <c r="C82" s="307">
        <f>ROUND(Data!K827,2)</f>
        <v>9544.81</v>
      </c>
      <c r="D82" s="486" t="s">
        <v>1215</v>
      </c>
      <c r="E82" s="526"/>
      <c r="F82" s="630">
        <f t="shared" si="31"/>
        <v>0</v>
      </c>
      <c r="G82" s="526"/>
      <c r="H82" s="517">
        <f t="shared" si="32"/>
        <v>0</v>
      </c>
      <c r="I82" s="526"/>
      <c r="J82" s="517">
        <f t="shared" si="33"/>
        <v>0</v>
      </c>
      <c r="K82" s="517"/>
      <c r="L82" s="517"/>
      <c r="M82" s="517"/>
      <c r="N82" s="517"/>
      <c r="O82" s="517"/>
      <c r="P82" s="517"/>
      <c r="Q82" s="517"/>
      <c r="R82" s="517"/>
      <c r="S82" s="517"/>
      <c r="T82" s="517">
        <f t="shared" si="28"/>
        <v>0</v>
      </c>
      <c r="U82" s="526"/>
      <c r="V82" s="517">
        <f t="shared" si="29"/>
        <v>0</v>
      </c>
      <c r="W82" s="632">
        <f t="shared" si="26"/>
        <v>0</v>
      </c>
      <c r="X82" s="517">
        <f t="shared" si="19"/>
        <v>0</v>
      </c>
      <c r="Y82" s="632">
        <f t="shared" si="27"/>
        <v>0</v>
      </c>
      <c r="Z82" s="517">
        <f t="shared" si="30"/>
        <v>0</v>
      </c>
      <c r="AA82" s="675"/>
      <c r="AB82" s="674"/>
    </row>
    <row r="83" spans="1:28" s="301" customFormat="1" hidden="1">
      <c r="A83" s="368"/>
      <c r="B83" s="320" t="s">
        <v>3824</v>
      </c>
      <c r="C83" s="307">
        <f>ROUND(Data!K828,2)</f>
        <v>9758.49</v>
      </c>
      <c r="D83" s="486" t="s">
        <v>1215</v>
      </c>
      <c r="E83" s="526"/>
      <c r="F83" s="630">
        <f t="shared" si="31"/>
        <v>0</v>
      </c>
      <c r="G83" s="526"/>
      <c r="H83" s="517">
        <f t="shared" si="32"/>
        <v>0</v>
      </c>
      <c r="I83" s="526"/>
      <c r="J83" s="517">
        <f t="shared" si="33"/>
        <v>0</v>
      </c>
      <c r="K83" s="517"/>
      <c r="L83" s="517"/>
      <c r="M83" s="517"/>
      <c r="N83" s="517"/>
      <c r="O83" s="517"/>
      <c r="P83" s="517"/>
      <c r="Q83" s="517"/>
      <c r="R83" s="517"/>
      <c r="S83" s="517"/>
      <c r="T83" s="517">
        <f t="shared" si="28"/>
        <v>0</v>
      </c>
      <c r="U83" s="526"/>
      <c r="V83" s="517">
        <f t="shared" si="29"/>
        <v>0</v>
      </c>
      <c r="W83" s="632">
        <f t="shared" si="26"/>
        <v>0</v>
      </c>
      <c r="X83" s="517">
        <f t="shared" si="19"/>
        <v>0</v>
      </c>
      <c r="Y83" s="632">
        <f t="shared" si="27"/>
        <v>0</v>
      </c>
      <c r="Z83" s="517">
        <f t="shared" si="30"/>
        <v>0</v>
      </c>
      <c r="AA83" s="675"/>
      <c r="AB83" s="674"/>
    </row>
    <row r="84" spans="1:28" s="301" customFormat="1" hidden="1">
      <c r="A84" s="368"/>
      <c r="B84" s="320" t="s">
        <v>3825</v>
      </c>
      <c r="C84" s="307">
        <f>ROUND(Data!K829,2)</f>
        <v>9972.17</v>
      </c>
      <c r="D84" s="486" t="s">
        <v>1215</v>
      </c>
      <c r="E84" s="526"/>
      <c r="F84" s="630">
        <f t="shared" si="31"/>
        <v>0</v>
      </c>
      <c r="G84" s="526"/>
      <c r="H84" s="517">
        <f t="shared" si="32"/>
        <v>0</v>
      </c>
      <c r="I84" s="526"/>
      <c r="J84" s="517">
        <f t="shared" si="33"/>
        <v>0</v>
      </c>
      <c r="K84" s="517"/>
      <c r="L84" s="517"/>
      <c r="M84" s="517"/>
      <c r="N84" s="517"/>
      <c r="O84" s="517"/>
      <c r="P84" s="517"/>
      <c r="Q84" s="517"/>
      <c r="R84" s="517"/>
      <c r="S84" s="517"/>
      <c r="T84" s="517">
        <f t="shared" si="28"/>
        <v>0</v>
      </c>
      <c r="U84" s="526"/>
      <c r="V84" s="517">
        <f t="shared" si="29"/>
        <v>0</v>
      </c>
      <c r="W84" s="632">
        <f t="shared" si="26"/>
        <v>0</v>
      </c>
      <c r="X84" s="517">
        <f t="shared" si="19"/>
        <v>0</v>
      </c>
      <c r="Y84" s="632">
        <f t="shared" si="27"/>
        <v>0</v>
      </c>
      <c r="Z84" s="517">
        <f t="shared" si="30"/>
        <v>0</v>
      </c>
      <c r="AA84" s="675"/>
      <c r="AB84" s="674"/>
    </row>
    <row r="85" spans="1:28" s="301" customFormat="1" hidden="1">
      <c r="A85" s="368"/>
      <c r="B85" s="320" t="s">
        <v>3826</v>
      </c>
      <c r="C85" s="307">
        <f>ROUND(Data!K830,2)</f>
        <v>10185.85</v>
      </c>
      <c r="D85" s="486" t="s">
        <v>1215</v>
      </c>
      <c r="E85" s="526"/>
      <c r="F85" s="630">
        <f t="shared" si="31"/>
        <v>0</v>
      </c>
      <c r="G85" s="526"/>
      <c r="H85" s="517">
        <f t="shared" si="32"/>
        <v>0</v>
      </c>
      <c r="I85" s="526"/>
      <c r="J85" s="517">
        <f t="shared" si="33"/>
        <v>0</v>
      </c>
      <c r="K85" s="517"/>
      <c r="L85" s="517"/>
      <c r="M85" s="517"/>
      <c r="N85" s="517"/>
      <c r="O85" s="517"/>
      <c r="P85" s="517"/>
      <c r="Q85" s="517"/>
      <c r="R85" s="517"/>
      <c r="S85" s="517"/>
      <c r="T85" s="517">
        <f t="shared" si="28"/>
        <v>0</v>
      </c>
      <c r="U85" s="526"/>
      <c r="V85" s="517">
        <f t="shared" si="29"/>
        <v>0</v>
      </c>
      <c r="W85" s="632">
        <f t="shared" si="26"/>
        <v>0</v>
      </c>
      <c r="X85" s="517">
        <f t="shared" si="19"/>
        <v>0</v>
      </c>
      <c r="Y85" s="632">
        <f t="shared" si="27"/>
        <v>0</v>
      </c>
      <c r="Z85" s="517">
        <f t="shared" si="30"/>
        <v>0</v>
      </c>
      <c r="AA85" s="675"/>
      <c r="AB85" s="674"/>
    </row>
    <row r="86" spans="1:28" s="301" customFormat="1" hidden="1">
      <c r="A86" s="368"/>
      <c r="B86" s="320" t="s">
        <v>3827</v>
      </c>
      <c r="C86" s="307">
        <f>ROUND(Data!K831,2)</f>
        <v>10399.530000000001</v>
      </c>
      <c r="D86" s="486" t="s">
        <v>1215</v>
      </c>
      <c r="E86" s="526"/>
      <c r="F86" s="630">
        <f t="shared" si="31"/>
        <v>0</v>
      </c>
      <c r="G86" s="526"/>
      <c r="H86" s="517">
        <f t="shared" si="32"/>
        <v>0</v>
      </c>
      <c r="I86" s="526"/>
      <c r="J86" s="517">
        <f t="shared" si="33"/>
        <v>0</v>
      </c>
      <c r="K86" s="517"/>
      <c r="L86" s="517"/>
      <c r="M86" s="517"/>
      <c r="N86" s="517"/>
      <c r="O86" s="517"/>
      <c r="P86" s="517"/>
      <c r="Q86" s="517"/>
      <c r="R86" s="517"/>
      <c r="S86" s="517"/>
      <c r="T86" s="517">
        <f t="shared" si="28"/>
        <v>0</v>
      </c>
      <c r="U86" s="526"/>
      <c r="V86" s="517">
        <f t="shared" si="29"/>
        <v>0</v>
      </c>
      <c r="W86" s="632">
        <f t="shared" si="26"/>
        <v>0</v>
      </c>
      <c r="X86" s="517">
        <f t="shared" si="19"/>
        <v>0</v>
      </c>
      <c r="Y86" s="632">
        <f t="shared" si="27"/>
        <v>0</v>
      </c>
      <c r="Z86" s="517">
        <f t="shared" si="30"/>
        <v>0</v>
      </c>
      <c r="AA86" s="675"/>
      <c r="AB86" s="674"/>
    </row>
    <row r="87" spans="1:28" s="301" customFormat="1" hidden="1">
      <c r="A87" s="368"/>
      <c r="B87" s="320" t="s">
        <v>3828</v>
      </c>
      <c r="C87" s="307">
        <f>ROUND(Data!K832,2)</f>
        <v>10613.21</v>
      </c>
      <c r="D87" s="486" t="s">
        <v>1215</v>
      </c>
      <c r="E87" s="526"/>
      <c r="F87" s="630">
        <f t="shared" si="31"/>
        <v>0</v>
      </c>
      <c r="G87" s="526"/>
      <c r="H87" s="517">
        <f t="shared" si="32"/>
        <v>0</v>
      </c>
      <c r="I87" s="526"/>
      <c r="J87" s="517">
        <f t="shared" si="33"/>
        <v>0</v>
      </c>
      <c r="K87" s="517"/>
      <c r="L87" s="517"/>
      <c r="M87" s="517"/>
      <c r="N87" s="517"/>
      <c r="O87" s="517"/>
      <c r="P87" s="517"/>
      <c r="Q87" s="517"/>
      <c r="R87" s="517"/>
      <c r="S87" s="517"/>
      <c r="T87" s="517">
        <f t="shared" si="28"/>
        <v>0</v>
      </c>
      <c r="U87" s="526"/>
      <c r="V87" s="517">
        <f t="shared" si="29"/>
        <v>0</v>
      </c>
      <c r="W87" s="632">
        <f t="shared" si="26"/>
        <v>0</v>
      </c>
      <c r="X87" s="517">
        <f t="shared" si="19"/>
        <v>0</v>
      </c>
      <c r="Y87" s="632">
        <f t="shared" si="27"/>
        <v>0</v>
      </c>
      <c r="Z87" s="517">
        <f t="shared" si="30"/>
        <v>0</v>
      </c>
      <c r="AA87" s="675"/>
      <c r="AB87" s="674"/>
    </row>
    <row r="88" spans="1:28" s="301" customFormat="1" ht="46.5" hidden="1">
      <c r="A88" s="368">
        <v>9.1</v>
      </c>
      <c r="B88" s="320" t="s">
        <v>2262</v>
      </c>
      <c r="C88" s="307"/>
      <c r="D88" s="486"/>
      <c r="E88" s="526"/>
      <c r="F88" s="630">
        <f t="shared" si="31"/>
        <v>0</v>
      </c>
      <c r="G88" s="526"/>
      <c r="H88" s="517">
        <f t="shared" si="32"/>
        <v>0</v>
      </c>
      <c r="I88" s="526"/>
      <c r="J88" s="517">
        <f t="shared" si="33"/>
        <v>0</v>
      </c>
      <c r="K88" s="517"/>
      <c r="L88" s="517"/>
      <c r="M88" s="517"/>
      <c r="N88" s="517"/>
      <c r="O88" s="517"/>
      <c r="P88" s="517"/>
      <c r="Q88" s="517"/>
      <c r="R88" s="517"/>
      <c r="S88" s="517"/>
      <c r="T88" s="517">
        <f t="shared" si="28"/>
        <v>0</v>
      </c>
      <c r="U88" s="526"/>
      <c r="V88" s="517">
        <f t="shared" si="29"/>
        <v>0</v>
      </c>
      <c r="W88" s="632">
        <f t="shared" si="26"/>
        <v>0</v>
      </c>
      <c r="X88" s="517">
        <f t="shared" si="19"/>
        <v>0</v>
      </c>
      <c r="Y88" s="632">
        <f t="shared" si="27"/>
        <v>0</v>
      </c>
      <c r="Z88" s="517">
        <f t="shared" si="30"/>
        <v>0</v>
      </c>
      <c r="AA88" s="675"/>
      <c r="AB88" s="674"/>
    </row>
    <row r="89" spans="1:28" s="301" customFormat="1" hidden="1">
      <c r="A89" s="368"/>
      <c r="B89" s="320" t="s">
        <v>205</v>
      </c>
      <c r="C89" s="307">
        <f>Data!X344</f>
        <v>6393.75</v>
      </c>
      <c r="D89" s="486" t="s">
        <v>1215</v>
      </c>
      <c r="E89" s="526"/>
      <c r="F89" s="630">
        <f t="shared" si="31"/>
        <v>0</v>
      </c>
      <c r="G89" s="526"/>
      <c r="H89" s="517">
        <f t="shared" si="32"/>
        <v>0</v>
      </c>
      <c r="I89" s="526"/>
      <c r="J89" s="517">
        <f t="shared" si="33"/>
        <v>0</v>
      </c>
      <c r="K89" s="517"/>
      <c r="L89" s="517"/>
      <c r="M89" s="517"/>
      <c r="N89" s="517"/>
      <c r="O89" s="517"/>
      <c r="P89" s="517"/>
      <c r="Q89" s="517"/>
      <c r="R89" s="517"/>
      <c r="S89" s="517"/>
      <c r="T89" s="517">
        <f t="shared" si="28"/>
        <v>0</v>
      </c>
      <c r="U89" s="526"/>
      <c r="V89" s="517">
        <f t="shared" si="29"/>
        <v>0</v>
      </c>
      <c r="W89" s="632">
        <f t="shared" si="26"/>
        <v>0</v>
      </c>
      <c r="X89" s="517">
        <f t="shared" si="19"/>
        <v>0</v>
      </c>
      <c r="Y89" s="632">
        <f t="shared" si="27"/>
        <v>0</v>
      </c>
      <c r="Z89" s="517">
        <f t="shared" si="30"/>
        <v>0</v>
      </c>
      <c r="AA89" s="675"/>
      <c r="AB89" s="674"/>
    </row>
    <row r="90" spans="1:28" s="301" customFormat="1" hidden="1">
      <c r="A90" s="368"/>
      <c r="B90" s="320" t="s">
        <v>206</v>
      </c>
      <c r="C90" s="307">
        <f>Data!X345</f>
        <v>6537.81</v>
      </c>
      <c r="D90" s="486" t="s">
        <v>1215</v>
      </c>
      <c r="E90" s="526"/>
      <c r="F90" s="630">
        <f t="shared" si="31"/>
        <v>0</v>
      </c>
      <c r="G90" s="526"/>
      <c r="H90" s="517">
        <f t="shared" si="32"/>
        <v>0</v>
      </c>
      <c r="I90" s="526"/>
      <c r="J90" s="517">
        <f t="shared" si="33"/>
        <v>0</v>
      </c>
      <c r="K90" s="517"/>
      <c r="L90" s="517"/>
      <c r="M90" s="517"/>
      <c r="N90" s="517"/>
      <c r="O90" s="517"/>
      <c r="P90" s="517"/>
      <c r="Q90" s="517"/>
      <c r="R90" s="517"/>
      <c r="S90" s="517"/>
      <c r="T90" s="517">
        <f t="shared" si="28"/>
        <v>0</v>
      </c>
      <c r="U90" s="526"/>
      <c r="V90" s="517">
        <f t="shared" si="29"/>
        <v>0</v>
      </c>
      <c r="W90" s="632">
        <f t="shared" si="26"/>
        <v>0</v>
      </c>
      <c r="X90" s="517">
        <f t="shared" si="19"/>
        <v>0</v>
      </c>
      <c r="Y90" s="632">
        <f t="shared" si="27"/>
        <v>0</v>
      </c>
      <c r="Z90" s="517">
        <f t="shared" si="30"/>
        <v>0</v>
      </c>
      <c r="AA90" s="675"/>
      <c r="AB90" s="674"/>
    </row>
    <row r="91" spans="1:28" s="301" customFormat="1" hidden="1">
      <c r="A91" s="368"/>
      <c r="B91" s="320" t="s">
        <v>207</v>
      </c>
      <c r="C91" s="307">
        <f>Data!X346</f>
        <v>6681.87</v>
      </c>
      <c r="D91" s="486" t="s">
        <v>1215</v>
      </c>
      <c r="E91" s="526"/>
      <c r="F91" s="630">
        <f t="shared" si="31"/>
        <v>0</v>
      </c>
      <c r="G91" s="526"/>
      <c r="H91" s="517">
        <f t="shared" si="32"/>
        <v>0</v>
      </c>
      <c r="I91" s="526"/>
      <c r="J91" s="517">
        <f t="shared" si="33"/>
        <v>0</v>
      </c>
      <c r="K91" s="517"/>
      <c r="L91" s="517"/>
      <c r="M91" s="517"/>
      <c r="N91" s="517"/>
      <c r="O91" s="517"/>
      <c r="P91" s="517"/>
      <c r="Q91" s="517"/>
      <c r="R91" s="517"/>
      <c r="S91" s="517"/>
      <c r="T91" s="517">
        <f t="shared" si="28"/>
        <v>0</v>
      </c>
      <c r="U91" s="526"/>
      <c r="V91" s="517">
        <f t="shared" si="29"/>
        <v>0</v>
      </c>
      <c r="W91" s="632">
        <f t="shared" si="26"/>
        <v>0</v>
      </c>
      <c r="X91" s="517">
        <f t="shared" si="19"/>
        <v>0</v>
      </c>
      <c r="Y91" s="632">
        <f t="shared" si="27"/>
        <v>0</v>
      </c>
      <c r="Z91" s="517">
        <f t="shared" si="30"/>
        <v>0</v>
      </c>
      <c r="AA91" s="675"/>
      <c r="AB91" s="674"/>
    </row>
    <row r="92" spans="1:28" s="301" customFormat="1" hidden="1">
      <c r="A92" s="368"/>
      <c r="B92" s="320" t="s">
        <v>208</v>
      </c>
      <c r="C92" s="307">
        <f>Data!X347</f>
        <v>6825.93</v>
      </c>
      <c r="D92" s="486" t="s">
        <v>1215</v>
      </c>
      <c r="E92" s="526"/>
      <c r="F92" s="630">
        <f t="shared" si="31"/>
        <v>0</v>
      </c>
      <c r="G92" s="526"/>
      <c r="H92" s="517">
        <f t="shared" si="32"/>
        <v>0</v>
      </c>
      <c r="I92" s="526"/>
      <c r="J92" s="517">
        <f t="shared" si="33"/>
        <v>0</v>
      </c>
      <c r="K92" s="517"/>
      <c r="L92" s="517"/>
      <c r="M92" s="517"/>
      <c r="N92" s="517"/>
      <c r="O92" s="517"/>
      <c r="P92" s="517"/>
      <c r="Q92" s="517"/>
      <c r="R92" s="517"/>
      <c r="S92" s="517"/>
      <c r="T92" s="517">
        <f t="shared" si="28"/>
        <v>0</v>
      </c>
      <c r="U92" s="526"/>
      <c r="V92" s="517">
        <f t="shared" si="29"/>
        <v>0</v>
      </c>
      <c r="W92" s="632">
        <f t="shared" si="26"/>
        <v>0</v>
      </c>
      <c r="X92" s="517">
        <f t="shared" si="19"/>
        <v>0</v>
      </c>
      <c r="Y92" s="632">
        <f t="shared" si="27"/>
        <v>0</v>
      </c>
      <c r="Z92" s="517">
        <f t="shared" si="30"/>
        <v>0</v>
      </c>
      <c r="AA92" s="675"/>
      <c r="AB92" s="674"/>
    </row>
    <row r="93" spans="1:28" s="301" customFormat="1" hidden="1">
      <c r="A93" s="649"/>
      <c r="B93" s="520" t="s">
        <v>612</v>
      </c>
      <c r="C93" s="650">
        <f>Data!X348</f>
        <v>6969.99</v>
      </c>
      <c r="D93" s="446" t="s">
        <v>1215</v>
      </c>
      <c r="E93" s="651"/>
      <c r="F93" s="630">
        <f t="shared" si="31"/>
        <v>0</v>
      </c>
      <c r="G93" s="651"/>
      <c r="H93" s="517">
        <f t="shared" si="32"/>
        <v>0</v>
      </c>
      <c r="I93" s="651"/>
      <c r="J93" s="517">
        <f t="shared" si="33"/>
        <v>0</v>
      </c>
      <c r="K93" s="654"/>
      <c r="L93" s="654"/>
      <c r="M93" s="654"/>
      <c r="N93" s="654"/>
      <c r="O93" s="654"/>
      <c r="P93" s="654"/>
      <c r="Q93" s="654"/>
      <c r="R93" s="654"/>
      <c r="S93" s="654"/>
      <c r="T93" s="517">
        <f t="shared" si="28"/>
        <v>0</v>
      </c>
      <c r="U93" s="651"/>
      <c r="V93" s="517">
        <f t="shared" si="29"/>
        <v>0</v>
      </c>
      <c r="W93" s="632">
        <f t="shared" si="26"/>
        <v>0</v>
      </c>
      <c r="X93" s="517">
        <f t="shared" si="19"/>
        <v>0</v>
      </c>
      <c r="Y93" s="632">
        <f t="shared" si="27"/>
        <v>0</v>
      </c>
      <c r="Z93" s="517">
        <f t="shared" si="30"/>
        <v>0</v>
      </c>
      <c r="AA93" s="675"/>
      <c r="AB93" s="674"/>
    </row>
    <row r="94" spans="1:28" s="301" customFormat="1" ht="45" hidden="1">
      <c r="A94" s="368">
        <v>9.1999999999999993</v>
      </c>
      <c r="B94" s="1169" t="s">
        <v>5298</v>
      </c>
      <c r="C94" s="377"/>
      <c r="D94" s="514"/>
      <c r="E94" s="512"/>
      <c r="F94" s="1394">
        <f t="shared" si="31"/>
        <v>0</v>
      </c>
      <c r="G94" s="517"/>
      <c r="H94" s="517">
        <f t="shared" si="32"/>
        <v>0</v>
      </c>
      <c r="I94" s="517"/>
      <c r="J94" s="517">
        <f t="shared" si="33"/>
        <v>0</v>
      </c>
      <c r="K94" s="517"/>
      <c r="L94" s="517">
        <f t="shared" ref="L94:L157" si="34">K94*C94</f>
        <v>0</v>
      </c>
      <c r="M94" s="517"/>
      <c r="N94" s="517">
        <f t="shared" ref="N94:N125" si="35">M94*C94</f>
        <v>0</v>
      </c>
      <c r="O94" s="517"/>
      <c r="P94" s="517">
        <f t="shared" ref="P94:P125" si="36">O94*C94</f>
        <v>0</v>
      </c>
      <c r="Q94" s="517"/>
      <c r="R94" s="517"/>
      <c r="S94" s="517"/>
      <c r="T94" s="517">
        <f t="shared" si="28"/>
        <v>0</v>
      </c>
      <c r="U94" s="517"/>
      <c r="V94" s="517">
        <f t="shared" si="29"/>
        <v>0</v>
      </c>
      <c r="W94" s="632" t="e">
        <f>U94+S94+O94+M94+#REF!+K94+I94+G94</f>
        <v>#REF!</v>
      </c>
      <c r="X94" s="517" t="e">
        <f t="shared" si="19"/>
        <v>#REF!</v>
      </c>
      <c r="Y94" s="632" t="e">
        <f t="shared" ref="Y94:Y125" si="37">W94+E94</f>
        <v>#REF!</v>
      </c>
      <c r="Z94" s="517"/>
      <c r="AA94" s="675"/>
      <c r="AB94" s="673"/>
    </row>
    <row r="95" spans="1:28" s="301" customFormat="1" ht="43.9" hidden="1" customHeight="1">
      <c r="A95" s="368"/>
      <c r="B95" s="1166" t="s">
        <v>3835</v>
      </c>
      <c r="C95" s="377">
        <f>ROUND(Data!AG344,2)</f>
        <v>6087.06</v>
      </c>
      <c r="D95" s="514" t="s">
        <v>1215</v>
      </c>
      <c r="E95" s="526"/>
      <c r="F95" s="1394">
        <f t="shared" si="31"/>
        <v>0</v>
      </c>
      <c r="G95" s="517"/>
      <c r="H95" s="517">
        <f t="shared" si="32"/>
        <v>0</v>
      </c>
      <c r="I95" s="517"/>
      <c r="J95" s="517">
        <f t="shared" si="33"/>
        <v>0</v>
      </c>
      <c r="K95" s="517"/>
      <c r="L95" s="517">
        <f t="shared" si="34"/>
        <v>0</v>
      </c>
      <c r="M95" s="517"/>
      <c r="N95" s="517">
        <f t="shared" si="35"/>
        <v>0</v>
      </c>
      <c r="O95" s="517"/>
      <c r="P95" s="517">
        <f t="shared" si="36"/>
        <v>0</v>
      </c>
      <c r="Q95" s="517"/>
      <c r="R95" s="517"/>
      <c r="S95" s="517"/>
      <c r="T95" s="517">
        <f t="shared" si="28"/>
        <v>0</v>
      </c>
      <c r="U95" s="517"/>
      <c r="V95" s="517">
        <f t="shared" si="29"/>
        <v>0</v>
      </c>
      <c r="W95" s="632" t="e">
        <f>U95+S95+O95+M95+#REF!+K95+I95+G95</f>
        <v>#REF!</v>
      </c>
      <c r="X95" s="517" t="e">
        <f t="shared" si="19"/>
        <v>#REF!</v>
      </c>
      <c r="Y95" s="632" t="e">
        <f t="shared" si="37"/>
        <v>#REF!</v>
      </c>
      <c r="Z95" s="517" t="e">
        <f t="shared" ref="Z95:Z139" si="38">Y95*C95</f>
        <v>#REF!</v>
      </c>
      <c r="AA95" s="675"/>
      <c r="AB95" s="673"/>
    </row>
    <row r="96" spans="1:28" s="301" customFormat="1" ht="43.9" hidden="1" customHeight="1">
      <c r="A96" s="368"/>
      <c r="B96" s="1166" t="s">
        <v>206</v>
      </c>
      <c r="C96" s="377">
        <f>ROUND(Data!AG345,2)</f>
        <v>6231.12</v>
      </c>
      <c r="D96" s="514" t="s">
        <v>1215</v>
      </c>
      <c r="E96" s="526"/>
      <c r="F96" s="1394">
        <f t="shared" si="31"/>
        <v>0</v>
      </c>
      <c r="G96" s="517"/>
      <c r="H96" s="517">
        <f t="shared" si="32"/>
        <v>0</v>
      </c>
      <c r="I96" s="517"/>
      <c r="J96" s="517">
        <f t="shared" si="33"/>
        <v>0</v>
      </c>
      <c r="K96" s="517"/>
      <c r="L96" s="517">
        <f t="shared" si="34"/>
        <v>0</v>
      </c>
      <c r="M96" s="517"/>
      <c r="N96" s="517">
        <f t="shared" si="35"/>
        <v>0</v>
      </c>
      <c r="O96" s="517"/>
      <c r="P96" s="517">
        <f t="shared" si="36"/>
        <v>0</v>
      </c>
      <c r="Q96" s="517"/>
      <c r="R96" s="517"/>
      <c r="S96" s="517"/>
      <c r="T96" s="517">
        <f t="shared" si="28"/>
        <v>0</v>
      </c>
      <c r="U96" s="517"/>
      <c r="V96" s="517">
        <f t="shared" si="29"/>
        <v>0</v>
      </c>
      <c r="W96" s="632" t="e">
        <f>U96+S96+O96+M96+#REF!+K96+I96+G96</f>
        <v>#REF!</v>
      </c>
      <c r="X96" s="517" t="e">
        <f t="shared" si="19"/>
        <v>#REF!</v>
      </c>
      <c r="Y96" s="632" t="e">
        <f t="shared" si="37"/>
        <v>#REF!</v>
      </c>
      <c r="Z96" s="517" t="e">
        <f t="shared" si="38"/>
        <v>#REF!</v>
      </c>
      <c r="AA96" s="675"/>
      <c r="AB96" s="673"/>
    </row>
    <row r="97" spans="1:28" s="301" customFormat="1" ht="43.9" hidden="1" customHeight="1">
      <c r="A97" s="368"/>
      <c r="B97" s="1166" t="s">
        <v>207</v>
      </c>
      <c r="C97" s="377">
        <f>ROUND(Data!AG346,2)</f>
        <v>6375.18</v>
      </c>
      <c r="D97" s="514" t="s">
        <v>1215</v>
      </c>
      <c r="E97" s="526"/>
      <c r="F97" s="1394">
        <f t="shared" si="31"/>
        <v>0</v>
      </c>
      <c r="G97" s="517"/>
      <c r="H97" s="517">
        <f t="shared" si="32"/>
        <v>0</v>
      </c>
      <c r="I97" s="517"/>
      <c r="J97" s="517">
        <f t="shared" si="33"/>
        <v>0</v>
      </c>
      <c r="K97" s="517"/>
      <c r="L97" s="517">
        <f t="shared" si="34"/>
        <v>0</v>
      </c>
      <c r="M97" s="517"/>
      <c r="N97" s="517">
        <f t="shared" si="35"/>
        <v>0</v>
      </c>
      <c r="O97" s="517"/>
      <c r="P97" s="517">
        <f t="shared" si="36"/>
        <v>0</v>
      </c>
      <c r="Q97" s="517"/>
      <c r="R97" s="517"/>
      <c r="S97" s="517"/>
      <c r="T97" s="517">
        <f t="shared" si="28"/>
        <v>0</v>
      </c>
      <c r="U97" s="517"/>
      <c r="V97" s="517">
        <f t="shared" si="29"/>
        <v>0</v>
      </c>
      <c r="W97" s="632" t="e">
        <f>U97+S97+O97+M97+#REF!+K97+I97+G97</f>
        <v>#REF!</v>
      </c>
      <c r="X97" s="517" t="e">
        <f t="shared" si="19"/>
        <v>#REF!</v>
      </c>
      <c r="Y97" s="632" t="e">
        <f t="shared" si="37"/>
        <v>#REF!</v>
      </c>
      <c r="Z97" s="517" t="e">
        <f t="shared" si="38"/>
        <v>#REF!</v>
      </c>
      <c r="AA97" s="675"/>
      <c r="AB97" s="673"/>
    </row>
    <row r="98" spans="1:28" s="301" customFormat="1" hidden="1">
      <c r="A98" s="368"/>
      <c r="B98" s="1166" t="s">
        <v>208</v>
      </c>
      <c r="C98" s="377">
        <f>ROUND(Data!AG347,2)</f>
        <v>6519.24</v>
      </c>
      <c r="D98" s="514" t="s">
        <v>1215</v>
      </c>
      <c r="E98" s="526"/>
      <c r="F98" s="1394">
        <f t="shared" si="31"/>
        <v>0</v>
      </c>
      <c r="G98" s="526"/>
      <c r="H98" s="517">
        <f t="shared" si="32"/>
        <v>0</v>
      </c>
      <c r="I98" s="526"/>
      <c r="J98" s="517">
        <f t="shared" si="33"/>
        <v>0</v>
      </c>
      <c r="K98" s="517"/>
      <c r="L98" s="517">
        <f t="shared" si="34"/>
        <v>0</v>
      </c>
      <c r="M98" s="517"/>
      <c r="N98" s="517">
        <f t="shared" si="35"/>
        <v>0</v>
      </c>
      <c r="O98" s="517"/>
      <c r="P98" s="517">
        <f t="shared" si="36"/>
        <v>0</v>
      </c>
      <c r="Q98" s="517"/>
      <c r="R98" s="517"/>
      <c r="S98" s="517"/>
      <c r="T98" s="517">
        <f t="shared" si="28"/>
        <v>0</v>
      </c>
      <c r="U98" s="526"/>
      <c r="V98" s="517">
        <f t="shared" si="29"/>
        <v>0</v>
      </c>
      <c r="W98" s="632" t="e">
        <f>U98+S98+O98+M98+#REF!+K98+I98+G98</f>
        <v>#REF!</v>
      </c>
      <c r="X98" s="517" t="e">
        <f t="shared" si="19"/>
        <v>#REF!</v>
      </c>
      <c r="Y98" s="632" t="e">
        <f t="shared" si="37"/>
        <v>#REF!</v>
      </c>
      <c r="Z98" s="517" t="e">
        <f t="shared" si="38"/>
        <v>#REF!</v>
      </c>
      <c r="AA98" s="675"/>
      <c r="AB98" s="674"/>
    </row>
    <row r="99" spans="1:28" s="301" customFormat="1" hidden="1">
      <c r="A99" s="368"/>
      <c r="B99" s="1166" t="s">
        <v>612</v>
      </c>
      <c r="C99" s="307">
        <f>ROUND(Data!AG348,2)</f>
        <v>6663.3</v>
      </c>
      <c r="D99" s="486" t="s">
        <v>1215</v>
      </c>
      <c r="E99" s="526"/>
      <c r="F99" s="1394">
        <f t="shared" si="31"/>
        <v>0</v>
      </c>
      <c r="G99" s="526"/>
      <c r="H99" s="517">
        <f t="shared" si="32"/>
        <v>0</v>
      </c>
      <c r="I99" s="526"/>
      <c r="J99" s="517">
        <f t="shared" si="33"/>
        <v>0</v>
      </c>
      <c r="K99" s="517"/>
      <c r="L99" s="517">
        <f t="shared" si="34"/>
        <v>0</v>
      </c>
      <c r="M99" s="517"/>
      <c r="N99" s="517">
        <f t="shared" si="35"/>
        <v>0</v>
      </c>
      <c r="O99" s="517"/>
      <c r="P99" s="517">
        <f t="shared" si="36"/>
        <v>0</v>
      </c>
      <c r="Q99" s="517"/>
      <c r="R99" s="517"/>
      <c r="S99" s="517"/>
      <c r="T99" s="517">
        <f t="shared" si="28"/>
        <v>0</v>
      </c>
      <c r="U99" s="526"/>
      <c r="V99" s="517">
        <f t="shared" si="29"/>
        <v>0</v>
      </c>
      <c r="W99" s="632" t="e">
        <f>U99+S99+O99+M99+#REF!+K99+I99+G99</f>
        <v>#REF!</v>
      </c>
      <c r="X99" s="517" t="e">
        <f t="shared" si="19"/>
        <v>#REF!</v>
      </c>
      <c r="Y99" s="632" t="e">
        <f t="shared" si="37"/>
        <v>#REF!</v>
      </c>
      <c r="Z99" s="517" t="e">
        <f t="shared" si="38"/>
        <v>#REF!</v>
      </c>
      <c r="AA99" s="675"/>
      <c r="AB99" s="674"/>
    </row>
    <row r="100" spans="1:28" s="301" customFormat="1" hidden="1">
      <c r="A100" s="368"/>
      <c r="B100" s="1166" t="s">
        <v>3821</v>
      </c>
      <c r="C100" s="307">
        <f>ROUND(Data!AG349,2)</f>
        <v>6807.36</v>
      </c>
      <c r="D100" s="486" t="s">
        <v>1215</v>
      </c>
      <c r="E100" s="526"/>
      <c r="F100" s="1394">
        <f t="shared" si="31"/>
        <v>0</v>
      </c>
      <c r="G100" s="526"/>
      <c r="H100" s="517">
        <f t="shared" si="32"/>
        <v>0</v>
      </c>
      <c r="I100" s="526"/>
      <c r="J100" s="517">
        <f t="shared" si="33"/>
        <v>0</v>
      </c>
      <c r="K100" s="517"/>
      <c r="L100" s="517">
        <f t="shared" si="34"/>
        <v>0</v>
      </c>
      <c r="M100" s="517"/>
      <c r="N100" s="517">
        <f t="shared" si="35"/>
        <v>0</v>
      </c>
      <c r="O100" s="517"/>
      <c r="P100" s="517">
        <f t="shared" si="36"/>
        <v>0</v>
      </c>
      <c r="Q100" s="517"/>
      <c r="R100" s="517"/>
      <c r="S100" s="517"/>
      <c r="T100" s="517">
        <f t="shared" si="28"/>
        <v>0</v>
      </c>
      <c r="U100" s="526"/>
      <c r="V100" s="517">
        <f t="shared" si="29"/>
        <v>0</v>
      </c>
      <c r="W100" s="632" t="e">
        <f>U100+S100+O100+M100+#REF!+K100+I100+G100</f>
        <v>#REF!</v>
      </c>
      <c r="X100" s="517" t="e">
        <f t="shared" si="19"/>
        <v>#REF!</v>
      </c>
      <c r="Y100" s="632" t="e">
        <f t="shared" si="37"/>
        <v>#REF!</v>
      </c>
      <c r="Z100" s="517" t="e">
        <f t="shared" si="38"/>
        <v>#REF!</v>
      </c>
      <c r="AA100" s="675"/>
      <c r="AB100" s="674"/>
    </row>
    <row r="101" spans="1:28" s="301" customFormat="1" hidden="1">
      <c r="A101" s="368"/>
      <c r="B101" s="1166" t="s">
        <v>3822</v>
      </c>
      <c r="C101" s="307">
        <f>ROUND(Data!AG350,2)</f>
        <v>6951.42</v>
      </c>
      <c r="D101" s="486" t="s">
        <v>1215</v>
      </c>
      <c r="E101" s="526"/>
      <c r="F101" s="1394">
        <f t="shared" si="31"/>
        <v>0</v>
      </c>
      <c r="G101" s="526"/>
      <c r="H101" s="517">
        <f t="shared" si="32"/>
        <v>0</v>
      </c>
      <c r="I101" s="526"/>
      <c r="J101" s="517">
        <f t="shared" si="33"/>
        <v>0</v>
      </c>
      <c r="K101" s="517"/>
      <c r="L101" s="517">
        <f t="shared" si="34"/>
        <v>0</v>
      </c>
      <c r="M101" s="517"/>
      <c r="N101" s="517">
        <f t="shared" si="35"/>
        <v>0</v>
      </c>
      <c r="O101" s="517"/>
      <c r="P101" s="517">
        <f t="shared" si="36"/>
        <v>0</v>
      </c>
      <c r="Q101" s="517"/>
      <c r="R101" s="517"/>
      <c r="S101" s="517"/>
      <c r="T101" s="517">
        <f t="shared" si="28"/>
        <v>0</v>
      </c>
      <c r="U101" s="526"/>
      <c r="V101" s="517">
        <f t="shared" si="29"/>
        <v>0</v>
      </c>
      <c r="W101" s="632" t="e">
        <f>U101+S101+O101+M101+#REF!+K101+I101+G101</f>
        <v>#REF!</v>
      </c>
      <c r="X101" s="517" t="e">
        <f t="shared" si="19"/>
        <v>#REF!</v>
      </c>
      <c r="Y101" s="632" t="e">
        <f t="shared" si="37"/>
        <v>#REF!</v>
      </c>
      <c r="Z101" s="517" t="e">
        <f t="shared" si="38"/>
        <v>#REF!</v>
      </c>
      <c r="AA101" s="675"/>
      <c r="AB101" s="674"/>
    </row>
    <row r="102" spans="1:28" s="301" customFormat="1" hidden="1">
      <c r="A102" s="368"/>
      <c r="B102" s="1166" t="s">
        <v>3823</v>
      </c>
      <c r="C102" s="307">
        <f>ROUND(Data!AG351,2)</f>
        <v>7095.48</v>
      </c>
      <c r="D102" s="486" t="s">
        <v>1215</v>
      </c>
      <c r="E102" s="526"/>
      <c r="F102" s="1394">
        <f t="shared" si="31"/>
        <v>0</v>
      </c>
      <c r="G102" s="526"/>
      <c r="H102" s="517">
        <f t="shared" si="32"/>
        <v>0</v>
      </c>
      <c r="I102" s="526"/>
      <c r="J102" s="517">
        <f t="shared" si="33"/>
        <v>0</v>
      </c>
      <c r="K102" s="517"/>
      <c r="L102" s="517">
        <f t="shared" si="34"/>
        <v>0</v>
      </c>
      <c r="M102" s="517"/>
      <c r="N102" s="517">
        <f t="shared" si="35"/>
        <v>0</v>
      </c>
      <c r="O102" s="517"/>
      <c r="P102" s="517">
        <f t="shared" si="36"/>
        <v>0</v>
      </c>
      <c r="Q102" s="517"/>
      <c r="R102" s="517"/>
      <c r="S102" s="517"/>
      <c r="T102" s="517">
        <f t="shared" si="28"/>
        <v>0</v>
      </c>
      <c r="U102" s="526"/>
      <c r="V102" s="517">
        <f t="shared" si="29"/>
        <v>0</v>
      </c>
      <c r="W102" s="632" t="e">
        <f>U102+S102+O102+M102+#REF!+K102+I102+G102</f>
        <v>#REF!</v>
      </c>
      <c r="X102" s="517" t="e">
        <f t="shared" si="19"/>
        <v>#REF!</v>
      </c>
      <c r="Y102" s="632" t="e">
        <f t="shared" si="37"/>
        <v>#REF!</v>
      </c>
      <c r="Z102" s="517" t="e">
        <f t="shared" si="38"/>
        <v>#REF!</v>
      </c>
      <c r="AA102" s="675"/>
      <c r="AB102" s="674"/>
    </row>
    <row r="103" spans="1:28" s="301" customFormat="1" hidden="1">
      <c r="A103" s="368"/>
      <c r="B103" s="1166" t="s">
        <v>3824</v>
      </c>
      <c r="C103" s="307">
        <f>ROUND(Data!AG352,2)</f>
        <v>7239.54</v>
      </c>
      <c r="D103" s="486" t="s">
        <v>1215</v>
      </c>
      <c r="E103" s="526"/>
      <c r="F103" s="1394">
        <f t="shared" si="31"/>
        <v>0</v>
      </c>
      <c r="G103" s="526"/>
      <c r="H103" s="517">
        <f t="shared" si="32"/>
        <v>0</v>
      </c>
      <c r="I103" s="526"/>
      <c r="J103" s="517">
        <f t="shared" si="33"/>
        <v>0</v>
      </c>
      <c r="K103" s="517"/>
      <c r="L103" s="517">
        <f t="shared" si="34"/>
        <v>0</v>
      </c>
      <c r="M103" s="517"/>
      <c r="N103" s="517">
        <f t="shared" si="35"/>
        <v>0</v>
      </c>
      <c r="O103" s="517"/>
      <c r="P103" s="517">
        <f t="shared" si="36"/>
        <v>0</v>
      </c>
      <c r="Q103" s="517"/>
      <c r="R103" s="517"/>
      <c r="S103" s="517"/>
      <c r="T103" s="517">
        <f t="shared" si="28"/>
        <v>0</v>
      </c>
      <c r="U103" s="526"/>
      <c r="V103" s="517">
        <f t="shared" si="29"/>
        <v>0</v>
      </c>
      <c r="W103" s="632" t="e">
        <f>U103+S103+O103+M103+#REF!+K103+I103+G103</f>
        <v>#REF!</v>
      </c>
      <c r="X103" s="517" t="e">
        <f t="shared" si="19"/>
        <v>#REF!</v>
      </c>
      <c r="Y103" s="632" t="e">
        <f t="shared" si="37"/>
        <v>#REF!</v>
      </c>
      <c r="Z103" s="517" t="e">
        <f t="shared" si="38"/>
        <v>#REF!</v>
      </c>
      <c r="AA103" s="675"/>
      <c r="AB103" s="674"/>
    </row>
    <row r="104" spans="1:28" s="301" customFormat="1" hidden="1">
      <c r="A104" s="368"/>
      <c r="B104" s="1166" t="s">
        <v>3825</v>
      </c>
      <c r="C104" s="307">
        <f>ROUND(Data!AG353,2)</f>
        <v>7383.6</v>
      </c>
      <c r="D104" s="486" t="s">
        <v>1215</v>
      </c>
      <c r="E104" s="526"/>
      <c r="F104" s="1394">
        <f t="shared" si="31"/>
        <v>0</v>
      </c>
      <c r="G104" s="526"/>
      <c r="H104" s="517">
        <f t="shared" si="32"/>
        <v>0</v>
      </c>
      <c r="I104" s="526"/>
      <c r="J104" s="517">
        <f t="shared" si="33"/>
        <v>0</v>
      </c>
      <c r="K104" s="517"/>
      <c r="L104" s="517">
        <f t="shared" si="34"/>
        <v>0</v>
      </c>
      <c r="M104" s="517"/>
      <c r="N104" s="517">
        <f t="shared" si="35"/>
        <v>0</v>
      </c>
      <c r="O104" s="517"/>
      <c r="P104" s="517">
        <f t="shared" si="36"/>
        <v>0</v>
      </c>
      <c r="Q104" s="517"/>
      <c r="R104" s="517"/>
      <c r="S104" s="517"/>
      <c r="T104" s="517">
        <f t="shared" si="28"/>
        <v>0</v>
      </c>
      <c r="U104" s="526"/>
      <c r="V104" s="517">
        <f t="shared" si="29"/>
        <v>0</v>
      </c>
      <c r="W104" s="632" t="e">
        <f>U104+S104+O104+M104+#REF!+K104+I104+G104</f>
        <v>#REF!</v>
      </c>
      <c r="X104" s="517" t="e">
        <f t="shared" si="19"/>
        <v>#REF!</v>
      </c>
      <c r="Y104" s="632" t="e">
        <f t="shared" si="37"/>
        <v>#REF!</v>
      </c>
      <c r="Z104" s="517" t="e">
        <f t="shared" si="38"/>
        <v>#REF!</v>
      </c>
      <c r="AA104" s="675"/>
      <c r="AB104" s="674"/>
    </row>
    <row r="105" spans="1:28" s="301" customFormat="1" hidden="1">
      <c r="A105" s="368"/>
      <c r="B105" s="1166" t="s">
        <v>3826</v>
      </c>
      <c r="C105" s="307">
        <f>ROUND(Data!AG354,2)</f>
        <v>7527.66</v>
      </c>
      <c r="D105" s="486" t="s">
        <v>1215</v>
      </c>
      <c r="E105" s="526"/>
      <c r="F105" s="1394">
        <f t="shared" si="31"/>
        <v>0</v>
      </c>
      <c r="G105" s="526"/>
      <c r="H105" s="517">
        <f t="shared" si="32"/>
        <v>0</v>
      </c>
      <c r="I105" s="526"/>
      <c r="J105" s="517">
        <f t="shared" si="33"/>
        <v>0</v>
      </c>
      <c r="K105" s="517"/>
      <c r="L105" s="517">
        <f t="shared" si="34"/>
        <v>0</v>
      </c>
      <c r="M105" s="517"/>
      <c r="N105" s="517">
        <f t="shared" si="35"/>
        <v>0</v>
      </c>
      <c r="O105" s="517"/>
      <c r="P105" s="517">
        <f t="shared" si="36"/>
        <v>0</v>
      </c>
      <c r="Q105" s="517"/>
      <c r="R105" s="517"/>
      <c r="S105" s="517"/>
      <c r="T105" s="517">
        <f t="shared" si="28"/>
        <v>0</v>
      </c>
      <c r="U105" s="526"/>
      <c r="V105" s="517">
        <f t="shared" si="29"/>
        <v>0</v>
      </c>
      <c r="W105" s="632" t="e">
        <f>U105+S105+O105+M105+#REF!+K105+I105+G105</f>
        <v>#REF!</v>
      </c>
      <c r="X105" s="517" t="e">
        <f t="shared" si="19"/>
        <v>#REF!</v>
      </c>
      <c r="Y105" s="632" t="e">
        <f t="shared" si="37"/>
        <v>#REF!</v>
      </c>
      <c r="Z105" s="517" t="e">
        <f t="shared" si="38"/>
        <v>#REF!</v>
      </c>
      <c r="AA105" s="675"/>
      <c r="AB105" s="674"/>
    </row>
    <row r="106" spans="1:28" s="301" customFormat="1" hidden="1">
      <c r="A106" s="368"/>
      <c r="B106" s="1166" t="s">
        <v>3827</v>
      </c>
      <c r="C106" s="307">
        <f>ROUND(Data!AG355,2)</f>
        <v>7671.72</v>
      </c>
      <c r="D106" s="486" t="s">
        <v>1215</v>
      </c>
      <c r="E106" s="526"/>
      <c r="F106" s="1394">
        <f t="shared" si="31"/>
        <v>0</v>
      </c>
      <c r="G106" s="526"/>
      <c r="H106" s="517">
        <f t="shared" si="32"/>
        <v>0</v>
      </c>
      <c r="I106" s="526"/>
      <c r="J106" s="517">
        <f t="shared" si="33"/>
        <v>0</v>
      </c>
      <c r="K106" s="517"/>
      <c r="L106" s="517">
        <f t="shared" si="34"/>
        <v>0</v>
      </c>
      <c r="M106" s="517"/>
      <c r="N106" s="517">
        <f t="shared" si="35"/>
        <v>0</v>
      </c>
      <c r="O106" s="517"/>
      <c r="P106" s="517">
        <f t="shared" si="36"/>
        <v>0</v>
      </c>
      <c r="Q106" s="517"/>
      <c r="R106" s="517"/>
      <c r="S106" s="517"/>
      <c r="T106" s="517">
        <f t="shared" si="28"/>
        <v>0</v>
      </c>
      <c r="U106" s="526"/>
      <c r="V106" s="517">
        <f t="shared" si="29"/>
        <v>0</v>
      </c>
      <c r="W106" s="632" t="e">
        <f>U106+S106+O106+M106+#REF!+K106+I106+G106</f>
        <v>#REF!</v>
      </c>
      <c r="X106" s="517" t="e">
        <f t="shared" si="19"/>
        <v>#REF!</v>
      </c>
      <c r="Y106" s="632" t="e">
        <f t="shared" si="37"/>
        <v>#REF!</v>
      </c>
      <c r="Z106" s="517" t="e">
        <f t="shared" si="38"/>
        <v>#REF!</v>
      </c>
      <c r="AA106" s="675"/>
      <c r="AB106" s="674"/>
    </row>
    <row r="107" spans="1:28" s="301" customFormat="1" hidden="1">
      <c r="A107" s="368"/>
      <c r="B107" s="1166" t="s">
        <v>3828</v>
      </c>
      <c r="C107" s="307">
        <f>ROUND(Data!AG356,2)</f>
        <v>7815.78</v>
      </c>
      <c r="D107" s="486" t="s">
        <v>1215</v>
      </c>
      <c r="E107" s="526"/>
      <c r="F107" s="1394">
        <f t="shared" si="31"/>
        <v>0</v>
      </c>
      <c r="G107" s="526"/>
      <c r="H107" s="517">
        <f t="shared" si="32"/>
        <v>0</v>
      </c>
      <c r="I107" s="526"/>
      <c r="J107" s="517">
        <f t="shared" si="33"/>
        <v>0</v>
      </c>
      <c r="K107" s="517"/>
      <c r="L107" s="517">
        <f t="shared" si="34"/>
        <v>0</v>
      </c>
      <c r="M107" s="517"/>
      <c r="N107" s="517">
        <f t="shared" si="35"/>
        <v>0</v>
      </c>
      <c r="O107" s="517"/>
      <c r="P107" s="517">
        <f t="shared" si="36"/>
        <v>0</v>
      </c>
      <c r="Q107" s="517"/>
      <c r="R107" s="517"/>
      <c r="S107" s="517"/>
      <c r="T107" s="517">
        <f t="shared" si="28"/>
        <v>0</v>
      </c>
      <c r="U107" s="526"/>
      <c r="V107" s="517">
        <f t="shared" si="29"/>
        <v>0</v>
      </c>
      <c r="W107" s="632" t="e">
        <f>U107+S107+O107+M107+#REF!+K107+I107+G107</f>
        <v>#REF!</v>
      </c>
      <c r="X107" s="517" t="e">
        <f t="shared" si="19"/>
        <v>#REF!</v>
      </c>
      <c r="Y107" s="632" t="e">
        <f t="shared" si="37"/>
        <v>#REF!</v>
      </c>
      <c r="Z107" s="517" t="e">
        <f t="shared" si="38"/>
        <v>#REF!</v>
      </c>
      <c r="AA107" s="675"/>
      <c r="AB107" s="674"/>
    </row>
    <row r="108" spans="1:28" s="301" customFormat="1" hidden="1">
      <c r="A108" s="368"/>
      <c r="B108" s="1166" t="s">
        <v>3830</v>
      </c>
      <c r="C108" s="307">
        <f>ROUND(Data!AG357,2)</f>
        <v>7959.84</v>
      </c>
      <c r="D108" s="486" t="s">
        <v>1215</v>
      </c>
      <c r="E108" s="526"/>
      <c r="F108" s="1394">
        <f t="shared" si="31"/>
        <v>0</v>
      </c>
      <c r="G108" s="526"/>
      <c r="H108" s="517">
        <f t="shared" si="32"/>
        <v>0</v>
      </c>
      <c r="I108" s="526"/>
      <c r="J108" s="517">
        <f t="shared" si="33"/>
        <v>0</v>
      </c>
      <c r="K108" s="517"/>
      <c r="L108" s="517">
        <f t="shared" si="34"/>
        <v>0</v>
      </c>
      <c r="M108" s="517"/>
      <c r="N108" s="517">
        <f t="shared" si="35"/>
        <v>0</v>
      </c>
      <c r="O108" s="517"/>
      <c r="P108" s="517">
        <f t="shared" si="36"/>
        <v>0</v>
      </c>
      <c r="Q108" s="517"/>
      <c r="R108" s="517"/>
      <c r="S108" s="517"/>
      <c r="T108" s="517">
        <f t="shared" si="28"/>
        <v>0</v>
      </c>
      <c r="U108" s="526"/>
      <c r="V108" s="517">
        <f t="shared" si="29"/>
        <v>0</v>
      </c>
      <c r="W108" s="632" t="e">
        <f>U108+S108+O108+M108+#REF!+K108+I108+G108</f>
        <v>#REF!</v>
      </c>
      <c r="X108" s="517" t="e">
        <f t="shared" si="19"/>
        <v>#REF!</v>
      </c>
      <c r="Y108" s="632" t="e">
        <f t="shared" si="37"/>
        <v>#REF!</v>
      </c>
      <c r="Z108" s="517" t="e">
        <f t="shared" si="38"/>
        <v>#REF!</v>
      </c>
      <c r="AA108" s="675"/>
      <c r="AB108" s="674"/>
    </row>
    <row r="109" spans="1:28" s="301" customFormat="1" ht="45" hidden="1">
      <c r="A109" s="368">
        <v>9.3000000000000007</v>
      </c>
      <c r="B109" s="1166" t="s">
        <v>1834</v>
      </c>
      <c r="C109" s="307"/>
      <c r="D109" s="486"/>
      <c r="E109" s="526"/>
      <c r="F109" s="1394">
        <f t="shared" si="31"/>
        <v>0</v>
      </c>
      <c r="G109" s="526"/>
      <c r="H109" s="517">
        <f t="shared" si="32"/>
        <v>0</v>
      </c>
      <c r="I109" s="526"/>
      <c r="J109" s="517">
        <f t="shared" si="33"/>
        <v>0</v>
      </c>
      <c r="K109" s="517"/>
      <c r="L109" s="517">
        <f t="shared" si="34"/>
        <v>0</v>
      </c>
      <c r="M109" s="517"/>
      <c r="N109" s="517">
        <f t="shared" si="35"/>
        <v>0</v>
      </c>
      <c r="O109" s="517"/>
      <c r="P109" s="517">
        <f t="shared" si="36"/>
        <v>0</v>
      </c>
      <c r="Q109" s="517"/>
      <c r="R109" s="517"/>
      <c r="S109" s="517"/>
      <c r="T109" s="517">
        <f t="shared" si="28"/>
        <v>0</v>
      </c>
      <c r="U109" s="526"/>
      <c r="V109" s="517">
        <f t="shared" si="29"/>
        <v>0</v>
      </c>
      <c r="W109" s="632" t="e">
        <f>U109+S109+O109+M109+#REF!+K109+I109+G109</f>
        <v>#REF!</v>
      </c>
      <c r="X109" s="517" t="e">
        <f t="shared" si="19"/>
        <v>#REF!</v>
      </c>
      <c r="Y109" s="632" t="e">
        <f t="shared" si="37"/>
        <v>#REF!</v>
      </c>
      <c r="Z109" s="517" t="e">
        <f t="shared" si="38"/>
        <v>#REF!</v>
      </c>
      <c r="AA109" s="675"/>
      <c r="AB109" s="674"/>
    </row>
    <row r="110" spans="1:28" s="301" customFormat="1" hidden="1">
      <c r="A110" s="368"/>
      <c r="B110" s="1166" t="s">
        <v>205</v>
      </c>
      <c r="C110" s="307"/>
      <c r="D110" s="486" t="s">
        <v>1215</v>
      </c>
      <c r="E110" s="526"/>
      <c r="F110" s="1394">
        <f t="shared" si="31"/>
        <v>0</v>
      </c>
      <c r="G110" s="526"/>
      <c r="H110" s="517">
        <f t="shared" si="32"/>
        <v>0</v>
      </c>
      <c r="I110" s="526"/>
      <c r="J110" s="517">
        <f t="shared" si="33"/>
        <v>0</v>
      </c>
      <c r="K110" s="517"/>
      <c r="L110" s="517">
        <f t="shared" si="34"/>
        <v>0</v>
      </c>
      <c r="M110" s="517"/>
      <c r="N110" s="517">
        <f t="shared" si="35"/>
        <v>0</v>
      </c>
      <c r="O110" s="517"/>
      <c r="P110" s="517">
        <f t="shared" si="36"/>
        <v>0</v>
      </c>
      <c r="Q110" s="517"/>
      <c r="R110" s="517"/>
      <c r="S110" s="517"/>
      <c r="T110" s="517">
        <f t="shared" si="28"/>
        <v>0</v>
      </c>
      <c r="U110" s="526"/>
      <c r="V110" s="517">
        <f t="shared" si="29"/>
        <v>0</v>
      </c>
      <c r="W110" s="632" t="e">
        <f>U110+S110+O110+M110+#REF!+K110+I110+G110</f>
        <v>#REF!</v>
      </c>
      <c r="X110" s="517" t="e">
        <f t="shared" si="19"/>
        <v>#REF!</v>
      </c>
      <c r="Y110" s="632" t="e">
        <f t="shared" si="37"/>
        <v>#REF!</v>
      </c>
      <c r="Z110" s="517" t="e">
        <f t="shared" si="38"/>
        <v>#REF!</v>
      </c>
      <c r="AA110" s="675"/>
      <c r="AB110" s="674"/>
    </row>
    <row r="111" spans="1:28" s="301" customFormat="1" hidden="1">
      <c r="A111" s="368"/>
      <c r="B111" s="1166" t="s">
        <v>206</v>
      </c>
      <c r="C111" s="307"/>
      <c r="D111" s="486" t="s">
        <v>1215</v>
      </c>
      <c r="E111" s="526"/>
      <c r="F111" s="1394">
        <f t="shared" si="31"/>
        <v>0</v>
      </c>
      <c r="G111" s="526"/>
      <c r="H111" s="517">
        <f t="shared" si="32"/>
        <v>0</v>
      </c>
      <c r="I111" s="526"/>
      <c r="J111" s="517">
        <f t="shared" si="33"/>
        <v>0</v>
      </c>
      <c r="K111" s="517"/>
      <c r="L111" s="517">
        <f t="shared" si="34"/>
        <v>0</v>
      </c>
      <c r="M111" s="517"/>
      <c r="N111" s="517">
        <f t="shared" si="35"/>
        <v>0</v>
      </c>
      <c r="O111" s="517"/>
      <c r="P111" s="517">
        <f t="shared" si="36"/>
        <v>0</v>
      </c>
      <c r="Q111" s="517"/>
      <c r="R111" s="517"/>
      <c r="S111" s="517"/>
      <c r="T111" s="517">
        <f t="shared" si="28"/>
        <v>0</v>
      </c>
      <c r="U111" s="526"/>
      <c r="V111" s="517">
        <f t="shared" si="29"/>
        <v>0</v>
      </c>
      <c r="W111" s="632" t="e">
        <f>U111+S111+O111+M111+#REF!+K111+I111+G111</f>
        <v>#REF!</v>
      </c>
      <c r="X111" s="517" t="e">
        <f t="shared" si="19"/>
        <v>#REF!</v>
      </c>
      <c r="Y111" s="632" t="e">
        <f t="shared" si="37"/>
        <v>#REF!</v>
      </c>
      <c r="Z111" s="517" t="e">
        <f t="shared" si="38"/>
        <v>#REF!</v>
      </c>
      <c r="AA111" s="675"/>
      <c r="AB111" s="674"/>
    </row>
    <row r="112" spans="1:28" s="301" customFormat="1" hidden="1">
      <c r="A112" s="368"/>
      <c r="B112" s="1166" t="s">
        <v>207</v>
      </c>
      <c r="C112" s="307"/>
      <c r="D112" s="486" t="s">
        <v>1215</v>
      </c>
      <c r="E112" s="526"/>
      <c r="F112" s="1394">
        <f t="shared" si="31"/>
        <v>0</v>
      </c>
      <c r="G112" s="526"/>
      <c r="H112" s="517">
        <f t="shared" si="32"/>
        <v>0</v>
      </c>
      <c r="I112" s="526"/>
      <c r="J112" s="517">
        <f t="shared" si="33"/>
        <v>0</v>
      </c>
      <c r="K112" s="517"/>
      <c r="L112" s="517">
        <f t="shared" si="34"/>
        <v>0</v>
      </c>
      <c r="M112" s="517"/>
      <c r="N112" s="517">
        <f t="shared" si="35"/>
        <v>0</v>
      </c>
      <c r="O112" s="517"/>
      <c r="P112" s="517">
        <f t="shared" si="36"/>
        <v>0</v>
      </c>
      <c r="Q112" s="517"/>
      <c r="R112" s="517"/>
      <c r="S112" s="517"/>
      <c r="T112" s="517">
        <f t="shared" si="28"/>
        <v>0</v>
      </c>
      <c r="U112" s="526"/>
      <c r="V112" s="517">
        <f t="shared" si="29"/>
        <v>0</v>
      </c>
      <c r="W112" s="632" t="e">
        <f>U112+S112+O112+M112+#REF!+K112+I112+G112</f>
        <v>#REF!</v>
      </c>
      <c r="X112" s="517" t="e">
        <f t="shared" si="19"/>
        <v>#REF!</v>
      </c>
      <c r="Y112" s="632" t="e">
        <f t="shared" si="37"/>
        <v>#REF!</v>
      </c>
      <c r="Z112" s="517" t="e">
        <f t="shared" si="38"/>
        <v>#REF!</v>
      </c>
      <c r="AA112" s="675"/>
      <c r="AB112" s="674"/>
    </row>
    <row r="113" spans="1:29" s="301" customFormat="1" hidden="1">
      <c r="A113" s="368"/>
      <c r="B113" s="1166" t="s">
        <v>208</v>
      </c>
      <c r="C113" s="307"/>
      <c r="D113" s="486" t="s">
        <v>1215</v>
      </c>
      <c r="E113" s="526"/>
      <c r="F113" s="1394">
        <f t="shared" si="31"/>
        <v>0</v>
      </c>
      <c r="G113" s="526"/>
      <c r="H113" s="517">
        <f t="shared" si="32"/>
        <v>0</v>
      </c>
      <c r="I113" s="526"/>
      <c r="J113" s="517">
        <f t="shared" si="33"/>
        <v>0</v>
      </c>
      <c r="K113" s="517"/>
      <c r="L113" s="517">
        <f t="shared" si="34"/>
        <v>0</v>
      </c>
      <c r="M113" s="517"/>
      <c r="N113" s="517">
        <f t="shared" si="35"/>
        <v>0</v>
      </c>
      <c r="O113" s="517"/>
      <c r="P113" s="517">
        <f t="shared" si="36"/>
        <v>0</v>
      </c>
      <c r="Q113" s="517"/>
      <c r="R113" s="517"/>
      <c r="S113" s="517"/>
      <c r="T113" s="517">
        <f t="shared" si="28"/>
        <v>0</v>
      </c>
      <c r="U113" s="526"/>
      <c r="V113" s="517">
        <f t="shared" si="29"/>
        <v>0</v>
      </c>
      <c r="W113" s="632" t="e">
        <f>U113+S113+O113+M113+#REF!+K113+I113+G113</f>
        <v>#REF!</v>
      </c>
      <c r="X113" s="517" t="e">
        <f t="shared" ref="X113:X176" si="39">W113*C113</f>
        <v>#REF!</v>
      </c>
      <c r="Y113" s="632" t="e">
        <f t="shared" si="37"/>
        <v>#REF!</v>
      </c>
      <c r="Z113" s="517" t="e">
        <f t="shared" si="38"/>
        <v>#REF!</v>
      </c>
      <c r="AA113" s="675"/>
      <c r="AB113" s="674"/>
    </row>
    <row r="114" spans="1:29" s="301" customFormat="1" hidden="1">
      <c r="A114" s="442"/>
      <c r="B114" s="1166" t="s">
        <v>612</v>
      </c>
      <c r="C114" s="307"/>
      <c r="D114" s="486" t="s">
        <v>1215</v>
      </c>
      <c r="E114" s="526"/>
      <c r="F114" s="1394">
        <f t="shared" si="31"/>
        <v>0</v>
      </c>
      <c r="G114" s="526"/>
      <c r="H114" s="517">
        <f t="shared" si="32"/>
        <v>0</v>
      </c>
      <c r="I114" s="526"/>
      <c r="J114" s="517">
        <f t="shared" si="33"/>
        <v>0</v>
      </c>
      <c r="K114" s="517"/>
      <c r="L114" s="517">
        <f t="shared" si="34"/>
        <v>0</v>
      </c>
      <c r="M114" s="517"/>
      <c r="N114" s="517">
        <f t="shared" si="35"/>
        <v>0</v>
      </c>
      <c r="O114" s="517"/>
      <c r="P114" s="517">
        <f t="shared" si="36"/>
        <v>0</v>
      </c>
      <c r="Q114" s="517"/>
      <c r="R114" s="517"/>
      <c r="S114" s="517"/>
      <c r="T114" s="517">
        <f t="shared" si="28"/>
        <v>0</v>
      </c>
      <c r="U114" s="526"/>
      <c r="V114" s="517">
        <f t="shared" si="29"/>
        <v>0</v>
      </c>
      <c r="W114" s="632" t="e">
        <f>U114+S114+O114+M114+#REF!+K114+I114+G114</f>
        <v>#REF!</v>
      </c>
      <c r="X114" s="517" t="e">
        <f t="shared" si="39"/>
        <v>#REF!</v>
      </c>
      <c r="Y114" s="632" t="e">
        <f t="shared" si="37"/>
        <v>#REF!</v>
      </c>
      <c r="Z114" s="517" t="e">
        <f t="shared" si="38"/>
        <v>#REF!</v>
      </c>
      <c r="AA114" s="675"/>
      <c r="AB114" s="674"/>
    </row>
    <row r="115" spans="1:29" s="301" customFormat="1" ht="45" hidden="1">
      <c r="A115" s="368">
        <v>9.4</v>
      </c>
      <c r="B115" s="1166" t="s">
        <v>5299</v>
      </c>
      <c r="C115" s="307"/>
      <c r="D115" s="486"/>
      <c r="E115" s="526"/>
      <c r="F115" s="1394">
        <f t="shared" si="31"/>
        <v>0</v>
      </c>
      <c r="G115" s="526"/>
      <c r="H115" s="517">
        <f t="shared" si="32"/>
        <v>0</v>
      </c>
      <c r="I115" s="526"/>
      <c r="J115" s="517">
        <f t="shared" si="33"/>
        <v>0</v>
      </c>
      <c r="K115" s="517"/>
      <c r="L115" s="517">
        <f t="shared" si="34"/>
        <v>0</v>
      </c>
      <c r="M115" s="517"/>
      <c r="N115" s="517">
        <f t="shared" si="35"/>
        <v>0</v>
      </c>
      <c r="O115" s="517"/>
      <c r="P115" s="517">
        <f t="shared" si="36"/>
        <v>0</v>
      </c>
      <c r="Q115" s="517"/>
      <c r="R115" s="517"/>
      <c r="S115" s="517"/>
      <c r="T115" s="517">
        <f t="shared" si="28"/>
        <v>0</v>
      </c>
      <c r="U115" s="526"/>
      <c r="V115" s="517">
        <f t="shared" si="29"/>
        <v>0</v>
      </c>
      <c r="W115" s="632" t="e">
        <f>U115+S115+O115+M115+#REF!+K115+I115+G115</f>
        <v>#REF!</v>
      </c>
      <c r="X115" s="517" t="e">
        <f t="shared" si="39"/>
        <v>#REF!</v>
      </c>
      <c r="Y115" s="632" t="e">
        <f t="shared" si="37"/>
        <v>#REF!</v>
      </c>
      <c r="Z115" s="517" t="e">
        <f t="shared" si="38"/>
        <v>#REF!</v>
      </c>
      <c r="AA115" s="675"/>
      <c r="AB115" s="674"/>
    </row>
    <row r="116" spans="1:29" s="301" customFormat="1" hidden="1">
      <c r="A116" s="368"/>
      <c r="B116" s="1166" t="s">
        <v>205</v>
      </c>
      <c r="C116" s="307"/>
      <c r="D116" s="486" t="s">
        <v>1215</v>
      </c>
      <c r="E116" s="526"/>
      <c r="F116" s="1394">
        <f t="shared" si="31"/>
        <v>0</v>
      </c>
      <c r="G116" s="526"/>
      <c r="H116" s="517">
        <f t="shared" si="32"/>
        <v>0</v>
      </c>
      <c r="I116" s="526"/>
      <c r="J116" s="517">
        <f t="shared" si="33"/>
        <v>0</v>
      </c>
      <c r="K116" s="517"/>
      <c r="L116" s="517">
        <f t="shared" si="34"/>
        <v>0</v>
      </c>
      <c r="M116" s="517"/>
      <c r="N116" s="517">
        <f t="shared" si="35"/>
        <v>0</v>
      </c>
      <c r="O116" s="517"/>
      <c r="P116" s="517">
        <f t="shared" si="36"/>
        <v>0</v>
      </c>
      <c r="Q116" s="517"/>
      <c r="R116" s="517"/>
      <c r="S116" s="517"/>
      <c r="T116" s="517">
        <f t="shared" si="28"/>
        <v>0</v>
      </c>
      <c r="U116" s="526"/>
      <c r="V116" s="517">
        <f t="shared" si="29"/>
        <v>0</v>
      </c>
      <c r="W116" s="632" t="e">
        <f>U116+S116+O116+M116+#REF!+K116+I116+G116</f>
        <v>#REF!</v>
      </c>
      <c r="X116" s="517" t="e">
        <f t="shared" si="39"/>
        <v>#REF!</v>
      </c>
      <c r="Y116" s="632" t="e">
        <f t="shared" si="37"/>
        <v>#REF!</v>
      </c>
      <c r="Z116" s="517" t="e">
        <f t="shared" si="38"/>
        <v>#REF!</v>
      </c>
      <c r="AA116" s="675"/>
      <c r="AB116" s="674"/>
    </row>
    <row r="117" spans="1:29" s="301" customFormat="1" hidden="1">
      <c r="A117" s="368"/>
      <c r="B117" s="1166" t="s">
        <v>206</v>
      </c>
      <c r="C117" s="307"/>
      <c r="D117" s="486" t="s">
        <v>1215</v>
      </c>
      <c r="E117" s="526"/>
      <c r="F117" s="1394">
        <f t="shared" si="31"/>
        <v>0</v>
      </c>
      <c r="G117" s="526"/>
      <c r="H117" s="517">
        <f t="shared" si="32"/>
        <v>0</v>
      </c>
      <c r="I117" s="526"/>
      <c r="J117" s="517">
        <f t="shared" si="33"/>
        <v>0</v>
      </c>
      <c r="K117" s="517"/>
      <c r="L117" s="517">
        <f t="shared" si="34"/>
        <v>0</v>
      </c>
      <c r="M117" s="517"/>
      <c r="N117" s="517">
        <f t="shared" si="35"/>
        <v>0</v>
      </c>
      <c r="O117" s="517"/>
      <c r="P117" s="517">
        <f t="shared" si="36"/>
        <v>0</v>
      </c>
      <c r="Q117" s="517"/>
      <c r="R117" s="517"/>
      <c r="S117" s="517"/>
      <c r="T117" s="517">
        <f t="shared" si="28"/>
        <v>0</v>
      </c>
      <c r="U117" s="526"/>
      <c r="V117" s="517">
        <f t="shared" si="29"/>
        <v>0</v>
      </c>
      <c r="W117" s="632" t="e">
        <f>U117+S117+O117+M117+#REF!+K117+I117+G117</f>
        <v>#REF!</v>
      </c>
      <c r="X117" s="517" t="e">
        <f t="shared" si="39"/>
        <v>#REF!</v>
      </c>
      <c r="Y117" s="632" t="e">
        <f t="shared" si="37"/>
        <v>#REF!</v>
      </c>
      <c r="Z117" s="517" t="e">
        <f t="shared" si="38"/>
        <v>#REF!</v>
      </c>
      <c r="AA117" s="675"/>
      <c r="AB117" s="674"/>
    </row>
    <row r="118" spans="1:29" s="301" customFormat="1" hidden="1">
      <c r="A118" s="368"/>
      <c r="B118" s="1166" t="s">
        <v>207</v>
      </c>
      <c r="C118" s="307"/>
      <c r="D118" s="486" t="s">
        <v>1215</v>
      </c>
      <c r="E118" s="526"/>
      <c r="F118" s="1394">
        <f t="shared" si="31"/>
        <v>0</v>
      </c>
      <c r="G118" s="526"/>
      <c r="H118" s="517">
        <f t="shared" si="32"/>
        <v>0</v>
      </c>
      <c r="I118" s="526"/>
      <c r="J118" s="517">
        <f t="shared" si="33"/>
        <v>0</v>
      </c>
      <c r="K118" s="517"/>
      <c r="L118" s="517">
        <f t="shared" si="34"/>
        <v>0</v>
      </c>
      <c r="M118" s="517"/>
      <c r="N118" s="517">
        <f t="shared" si="35"/>
        <v>0</v>
      </c>
      <c r="O118" s="517"/>
      <c r="P118" s="517">
        <f t="shared" si="36"/>
        <v>0</v>
      </c>
      <c r="Q118" s="517"/>
      <c r="R118" s="517"/>
      <c r="S118" s="517"/>
      <c r="T118" s="517">
        <f t="shared" si="28"/>
        <v>0</v>
      </c>
      <c r="U118" s="526"/>
      <c r="V118" s="517">
        <f t="shared" si="29"/>
        <v>0</v>
      </c>
      <c r="W118" s="632" t="e">
        <f>U118+S118+O118+M118+#REF!+K118+I118+G118</f>
        <v>#REF!</v>
      </c>
      <c r="X118" s="517" t="e">
        <f t="shared" si="39"/>
        <v>#REF!</v>
      </c>
      <c r="Y118" s="632" t="e">
        <f t="shared" si="37"/>
        <v>#REF!</v>
      </c>
      <c r="Z118" s="517" t="e">
        <f t="shared" si="38"/>
        <v>#REF!</v>
      </c>
      <c r="AA118" s="675"/>
      <c r="AB118" s="674"/>
    </row>
    <row r="119" spans="1:29" s="301" customFormat="1" hidden="1">
      <c r="A119" s="368"/>
      <c r="B119" s="1166" t="s">
        <v>208</v>
      </c>
      <c r="C119" s="307"/>
      <c r="D119" s="486" t="s">
        <v>1215</v>
      </c>
      <c r="E119" s="526"/>
      <c r="F119" s="1394">
        <f t="shared" si="31"/>
        <v>0</v>
      </c>
      <c r="G119" s="526"/>
      <c r="H119" s="517">
        <f t="shared" si="32"/>
        <v>0</v>
      </c>
      <c r="I119" s="526"/>
      <c r="J119" s="517">
        <f t="shared" si="33"/>
        <v>0</v>
      </c>
      <c r="K119" s="517"/>
      <c r="L119" s="517">
        <f t="shared" si="34"/>
        <v>0</v>
      </c>
      <c r="M119" s="517"/>
      <c r="N119" s="517">
        <f t="shared" si="35"/>
        <v>0</v>
      </c>
      <c r="O119" s="517"/>
      <c r="P119" s="517">
        <f t="shared" si="36"/>
        <v>0</v>
      </c>
      <c r="Q119" s="517"/>
      <c r="R119" s="517"/>
      <c r="S119" s="517"/>
      <c r="T119" s="517">
        <f t="shared" si="28"/>
        <v>0</v>
      </c>
      <c r="U119" s="526"/>
      <c r="V119" s="517">
        <f t="shared" si="29"/>
        <v>0</v>
      </c>
      <c r="W119" s="632" t="e">
        <f>U119+S119+O119+M119+#REF!+K119+I119+G119</f>
        <v>#REF!</v>
      </c>
      <c r="X119" s="517" t="e">
        <f t="shared" si="39"/>
        <v>#REF!</v>
      </c>
      <c r="Y119" s="632" t="e">
        <f t="shared" si="37"/>
        <v>#REF!</v>
      </c>
      <c r="Z119" s="517" t="e">
        <f t="shared" si="38"/>
        <v>#REF!</v>
      </c>
      <c r="AA119" s="675"/>
      <c r="AB119" s="674"/>
    </row>
    <row r="120" spans="1:29" s="301" customFormat="1" hidden="1">
      <c r="A120" s="442"/>
      <c r="B120" s="1166" t="s">
        <v>612</v>
      </c>
      <c r="C120" s="307"/>
      <c r="D120" s="486" t="s">
        <v>1215</v>
      </c>
      <c r="E120" s="526"/>
      <c r="F120" s="1394">
        <f t="shared" si="31"/>
        <v>0</v>
      </c>
      <c r="G120" s="526"/>
      <c r="H120" s="517">
        <f t="shared" si="32"/>
        <v>0</v>
      </c>
      <c r="I120" s="526"/>
      <c r="J120" s="517">
        <f t="shared" si="33"/>
        <v>0</v>
      </c>
      <c r="K120" s="517"/>
      <c r="L120" s="517">
        <f t="shared" si="34"/>
        <v>0</v>
      </c>
      <c r="M120" s="517"/>
      <c r="N120" s="517">
        <f t="shared" si="35"/>
        <v>0</v>
      </c>
      <c r="O120" s="517"/>
      <c r="P120" s="517">
        <f t="shared" si="36"/>
        <v>0</v>
      </c>
      <c r="Q120" s="517"/>
      <c r="R120" s="517"/>
      <c r="S120" s="517"/>
      <c r="T120" s="517">
        <f t="shared" si="28"/>
        <v>0</v>
      </c>
      <c r="U120" s="526"/>
      <c r="V120" s="517">
        <f t="shared" si="29"/>
        <v>0</v>
      </c>
      <c r="W120" s="632" t="e">
        <f>U120+S120+O120+M120+#REF!+K120+I120+G120</f>
        <v>#REF!</v>
      </c>
      <c r="X120" s="517" t="e">
        <f t="shared" si="39"/>
        <v>#REF!</v>
      </c>
      <c r="Y120" s="632" t="e">
        <f t="shared" si="37"/>
        <v>#REF!</v>
      </c>
      <c r="Z120" s="517" t="e">
        <f t="shared" si="38"/>
        <v>#REF!</v>
      </c>
      <c r="AA120" s="675"/>
      <c r="AB120" s="674"/>
    </row>
    <row r="121" spans="1:29" s="475" customFormat="1" ht="67.5">
      <c r="A121" s="1635">
        <v>9.5</v>
      </c>
      <c r="B121" s="1170" t="s">
        <v>56</v>
      </c>
      <c r="C121" s="1636"/>
      <c r="D121" s="1611"/>
      <c r="E121" s="1616"/>
      <c r="F121" s="1617">
        <f t="shared" si="31"/>
        <v>0</v>
      </c>
      <c r="G121" s="1616"/>
      <c r="H121" s="1618">
        <f t="shared" si="32"/>
        <v>0</v>
      </c>
      <c r="I121" s="1616"/>
      <c r="J121" s="1618">
        <f t="shared" si="33"/>
        <v>0</v>
      </c>
      <c r="K121" s="1618"/>
      <c r="L121" s="1618">
        <f t="shared" si="34"/>
        <v>0</v>
      </c>
      <c r="M121" s="1618"/>
      <c r="N121" s="1618">
        <f t="shared" si="35"/>
        <v>0</v>
      </c>
      <c r="O121" s="1618"/>
      <c r="P121" s="1618">
        <f t="shared" si="36"/>
        <v>0</v>
      </c>
      <c r="Q121" s="1618"/>
      <c r="R121" s="1618">
        <f t="shared" ref="R121:R126" si="40">Q121*C121</f>
        <v>0</v>
      </c>
      <c r="S121" s="1618"/>
      <c r="T121" s="1618">
        <f t="shared" si="28"/>
        <v>0</v>
      </c>
      <c r="U121" s="1616"/>
      <c r="V121" s="1618">
        <f t="shared" si="29"/>
        <v>0</v>
      </c>
      <c r="W121" s="1619" t="e">
        <f>U121+S121+O121+M121+#REF!+K121+I121+G121+Q121</f>
        <v>#REF!</v>
      </c>
      <c r="X121" s="1618" t="e">
        <f t="shared" si="39"/>
        <v>#REF!</v>
      </c>
      <c r="Y121" s="1619" t="e">
        <f t="shared" si="37"/>
        <v>#REF!</v>
      </c>
      <c r="Z121" s="1618" t="e">
        <f t="shared" si="38"/>
        <v>#REF!</v>
      </c>
      <c r="AA121" s="533"/>
      <c r="AB121" s="674"/>
      <c r="AC121" s="474"/>
    </row>
    <row r="122" spans="1:29" s="475" customFormat="1">
      <c r="A122" s="1635"/>
      <c r="B122" s="1172" t="s">
        <v>205</v>
      </c>
      <c r="C122" s="1797">
        <v>6142.07</v>
      </c>
      <c r="D122" s="1611" t="s">
        <v>1215</v>
      </c>
      <c r="E122" s="1616">
        <f>station!I366</f>
        <v>76.8</v>
      </c>
      <c r="F122" s="1617">
        <f t="shared" si="31"/>
        <v>471710.98</v>
      </c>
      <c r="G122" s="1616"/>
      <c r="H122" s="1618">
        <f t="shared" si="32"/>
        <v>0</v>
      </c>
      <c r="I122" s="1616"/>
      <c r="J122" s="1618">
        <f t="shared" si="33"/>
        <v>0</v>
      </c>
      <c r="K122" s="1618"/>
      <c r="L122" s="1618">
        <f t="shared" si="34"/>
        <v>0</v>
      </c>
      <c r="M122" s="1618"/>
      <c r="N122" s="1618">
        <f t="shared" si="35"/>
        <v>0</v>
      </c>
      <c r="O122" s="1618"/>
      <c r="P122" s="1618">
        <f t="shared" si="36"/>
        <v>0</v>
      </c>
      <c r="Q122" s="1618"/>
      <c r="R122" s="1618">
        <f t="shared" si="40"/>
        <v>0</v>
      </c>
      <c r="S122" s="1618"/>
      <c r="T122" s="1618">
        <f t="shared" si="28"/>
        <v>0</v>
      </c>
      <c r="U122" s="1616"/>
      <c r="V122" s="1618">
        <f t="shared" si="29"/>
        <v>0</v>
      </c>
      <c r="W122" s="1619" t="e">
        <f>U122+S122+O122+M122+#REF!+K122+I122+G122+Q122</f>
        <v>#REF!</v>
      </c>
      <c r="X122" s="1618" t="e">
        <f t="shared" si="39"/>
        <v>#REF!</v>
      </c>
      <c r="Y122" s="1619" t="e">
        <f t="shared" si="37"/>
        <v>#REF!</v>
      </c>
      <c r="Z122" s="1618" t="e">
        <f t="shared" si="38"/>
        <v>#REF!</v>
      </c>
      <c r="AA122" s="674"/>
      <c r="AB122" s="674"/>
    </row>
    <row r="123" spans="1:29" s="475" customFormat="1">
      <c r="A123" s="1635"/>
      <c r="B123" s="1172" t="s">
        <v>206</v>
      </c>
      <c r="C123" s="1797">
        <v>6279.27</v>
      </c>
      <c r="D123" s="1611" t="s">
        <v>1215</v>
      </c>
      <c r="E123" s="1616">
        <f>station!I411</f>
        <v>94.2</v>
      </c>
      <c r="F123" s="1617">
        <f t="shared" si="31"/>
        <v>591507.23</v>
      </c>
      <c r="G123" s="1616"/>
      <c r="H123" s="1618">
        <f t="shared" si="32"/>
        <v>0</v>
      </c>
      <c r="I123" s="1616"/>
      <c r="J123" s="1618">
        <f t="shared" si="33"/>
        <v>0</v>
      </c>
      <c r="K123" s="1618"/>
      <c r="L123" s="1618">
        <f t="shared" si="34"/>
        <v>0</v>
      </c>
      <c r="M123" s="1618"/>
      <c r="N123" s="1618">
        <f t="shared" si="35"/>
        <v>0</v>
      </c>
      <c r="O123" s="1618"/>
      <c r="P123" s="1618">
        <f t="shared" si="36"/>
        <v>0</v>
      </c>
      <c r="Q123" s="1618"/>
      <c r="R123" s="1618">
        <f t="shared" si="40"/>
        <v>0</v>
      </c>
      <c r="S123" s="1618"/>
      <c r="T123" s="1618">
        <f t="shared" si="28"/>
        <v>0</v>
      </c>
      <c r="U123" s="1616"/>
      <c r="V123" s="1618">
        <f t="shared" si="29"/>
        <v>0</v>
      </c>
      <c r="W123" s="1619" t="e">
        <f>U123+S123+O123+M123+#REF!+K123+I123+G123+Q123</f>
        <v>#REF!</v>
      </c>
      <c r="X123" s="1618" t="e">
        <f t="shared" si="39"/>
        <v>#REF!</v>
      </c>
      <c r="Y123" s="1619" t="e">
        <f t="shared" si="37"/>
        <v>#REF!</v>
      </c>
      <c r="Z123" s="1618" t="e">
        <f t="shared" si="38"/>
        <v>#REF!</v>
      </c>
      <c r="AA123" s="674"/>
      <c r="AB123" s="674"/>
    </row>
    <row r="124" spans="1:29" s="475" customFormat="1">
      <c r="A124" s="1638"/>
      <c r="B124" s="1173" t="s">
        <v>207</v>
      </c>
      <c r="C124" s="1798">
        <v>6416.47</v>
      </c>
      <c r="D124" s="1640" t="s">
        <v>1215</v>
      </c>
      <c r="E124" s="1616">
        <f>station!I422</f>
        <v>18</v>
      </c>
      <c r="F124" s="1617">
        <f t="shared" si="31"/>
        <v>115496.46</v>
      </c>
      <c r="G124" s="1616"/>
      <c r="H124" s="1618">
        <f t="shared" si="32"/>
        <v>0</v>
      </c>
      <c r="I124" s="1616"/>
      <c r="J124" s="1618">
        <f t="shared" si="33"/>
        <v>0</v>
      </c>
      <c r="K124" s="1618"/>
      <c r="L124" s="1618">
        <f t="shared" si="34"/>
        <v>0</v>
      </c>
      <c r="M124" s="1618"/>
      <c r="N124" s="1618">
        <f t="shared" si="35"/>
        <v>0</v>
      </c>
      <c r="O124" s="1618"/>
      <c r="P124" s="1618">
        <f t="shared" si="36"/>
        <v>0</v>
      </c>
      <c r="Q124" s="1618"/>
      <c r="R124" s="1618">
        <f t="shared" si="40"/>
        <v>0</v>
      </c>
      <c r="S124" s="1618"/>
      <c r="T124" s="1618">
        <f t="shared" si="28"/>
        <v>0</v>
      </c>
      <c r="U124" s="1616"/>
      <c r="V124" s="1618">
        <f t="shared" si="29"/>
        <v>0</v>
      </c>
      <c r="W124" s="1619" t="e">
        <f>U124+S124+O124+M124+#REF!+K124+I124+G124+Q124</f>
        <v>#REF!</v>
      </c>
      <c r="X124" s="1618" t="e">
        <f t="shared" si="39"/>
        <v>#REF!</v>
      </c>
      <c r="Y124" s="1619" t="e">
        <f t="shared" si="37"/>
        <v>#REF!</v>
      </c>
      <c r="Z124" s="1618" t="e">
        <f t="shared" si="38"/>
        <v>#REF!</v>
      </c>
      <c r="AA124" s="674"/>
      <c r="AB124" s="674"/>
    </row>
    <row r="125" spans="1:29" s="475" customFormat="1">
      <c r="A125" s="1635"/>
      <c r="B125" s="1172" t="s">
        <v>208</v>
      </c>
      <c r="C125" s="1636">
        <f>ROUND(Data!K347,2)</f>
        <v>6577.65</v>
      </c>
      <c r="D125" s="1611" t="s">
        <v>1215</v>
      </c>
      <c r="E125" s="1616"/>
      <c r="F125" s="1617">
        <f t="shared" si="31"/>
        <v>0</v>
      </c>
      <c r="G125" s="1616"/>
      <c r="H125" s="1618">
        <f t="shared" si="32"/>
        <v>0</v>
      </c>
      <c r="I125" s="1616"/>
      <c r="J125" s="1618">
        <f t="shared" si="33"/>
        <v>0</v>
      </c>
      <c r="K125" s="1618"/>
      <c r="L125" s="1618">
        <f t="shared" si="34"/>
        <v>0</v>
      </c>
      <c r="M125" s="1618"/>
      <c r="N125" s="1618">
        <f t="shared" si="35"/>
        <v>0</v>
      </c>
      <c r="O125" s="1618"/>
      <c r="P125" s="1618">
        <f t="shared" si="36"/>
        <v>0</v>
      </c>
      <c r="Q125" s="1618"/>
      <c r="R125" s="1618">
        <f t="shared" si="40"/>
        <v>0</v>
      </c>
      <c r="S125" s="1618"/>
      <c r="T125" s="1618">
        <f t="shared" si="28"/>
        <v>0</v>
      </c>
      <c r="U125" s="1616"/>
      <c r="V125" s="1618">
        <f t="shared" si="29"/>
        <v>0</v>
      </c>
      <c r="W125" s="1619" t="e">
        <f>U125+S125+O125+M125+#REF!+K125+I125+G125+Q125</f>
        <v>#REF!</v>
      </c>
      <c r="X125" s="1618" t="e">
        <f t="shared" si="39"/>
        <v>#REF!</v>
      </c>
      <c r="Y125" s="1619" t="e">
        <f t="shared" si="37"/>
        <v>#REF!</v>
      </c>
      <c r="Z125" s="1618" t="e">
        <f t="shared" si="38"/>
        <v>#REF!</v>
      </c>
      <c r="AA125" s="674"/>
      <c r="AB125" s="674"/>
    </row>
    <row r="126" spans="1:29" s="475" customFormat="1">
      <c r="A126" s="1641"/>
      <c r="B126" s="1172" t="s">
        <v>612</v>
      </c>
      <c r="C126" s="1636">
        <f>ROUND(Data!K348,2)</f>
        <v>6721.71</v>
      </c>
      <c r="D126" s="1611" t="s">
        <v>1215</v>
      </c>
      <c r="E126" s="1616"/>
      <c r="F126" s="1617">
        <f t="shared" si="31"/>
        <v>0</v>
      </c>
      <c r="G126" s="1616"/>
      <c r="H126" s="1618">
        <f t="shared" si="32"/>
        <v>0</v>
      </c>
      <c r="I126" s="1616"/>
      <c r="J126" s="1618">
        <f t="shared" si="33"/>
        <v>0</v>
      </c>
      <c r="K126" s="1618"/>
      <c r="L126" s="1618">
        <f t="shared" si="34"/>
        <v>0</v>
      </c>
      <c r="M126" s="1618"/>
      <c r="N126" s="1618">
        <f t="shared" ref="N126:N157" si="41">M126*C126</f>
        <v>0</v>
      </c>
      <c r="O126" s="1618"/>
      <c r="P126" s="1618">
        <f t="shared" ref="P126:P157" si="42">O126*C126</f>
        <v>0</v>
      </c>
      <c r="Q126" s="1618"/>
      <c r="R126" s="1618">
        <f t="shared" si="40"/>
        <v>0</v>
      </c>
      <c r="S126" s="1618"/>
      <c r="T126" s="1618">
        <f t="shared" si="28"/>
        <v>0</v>
      </c>
      <c r="U126" s="1616"/>
      <c r="V126" s="1618">
        <f t="shared" si="29"/>
        <v>0</v>
      </c>
      <c r="W126" s="1619" t="e">
        <f>U126+S126+O126+M126+#REF!+K126+I126+G126+Q126</f>
        <v>#REF!</v>
      </c>
      <c r="X126" s="1618" t="e">
        <f t="shared" si="39"/>
        <v>#REF!</v>
      </c>
      <c r="Y126" s="1619" t="e">
        <f t="shared" ref="Y126:Y157" si="43">W126+E126</f>
        <v>#REF!</v>
      </c>
      <c r="Z126" s="1618" t="e">
        <f t="shared" si="38"/>
        <v>#REF!</v>
      </c>
      <c r="AA126" s="674"/>
      <c r="AB126" s="674"/>
    </row>
    <row r="127" spans="1:29" s="301" customFormat="1" ht="67.5" hidden="1">
      <c r="A127" s="368">
        <v>9.6</v>
      </c>
      <c r="B127" s="1166" t="s">
        <v>1596</v>
      </c>
      <c r="C127" s="307"/>
      <c r="D127" s="486"/>
      <c r="E127" s="526"/>
      <c r="F127" s="1394">
        <f t="shared" si="31"/>
        <v>0</v>
      </c>
      <c r="G127" s="526"/>
      <c r="H127" s="517">
        <f t="shared" si="32"/>
        <v>0</v>
      </c>
      <c r="I127" s="526"/>
      <c r="J127" s="517">
        <f t="shared" si="33"/>
        <v>0</v>
      </c>
      <c r="K127" s="517"/>
      <c r="L127" s="517">
        <f t="shared" si="34"/>
        <v>0</v>
      </c>
      <c r="M127" s="517"/>
      <c r="N127" s="517">
        <f t="shared" si="41"/>
        <v>0</v>
      </c>
      <c r="O127" s="517"/>
      <c r="P127" s="517">
        <f t="shared" si="42"/>
        <v>0</v>
      </c>
      <c r="Q127" s="517"/>
      <c r="R127" s="517"/>
      <c r="S127" s="517"/>
      <c r="T127" s="517">
        <f t="shared" si="28"/>
        <v>0</v>
      </c>
      <c r="U127" s="526"/>
      <c r="V127" s="517">
        <f t="shared" si="29"/>
        <v>0</v>
      </c>
      <c r="W127" s="632" t="e">
        <f>U127+S127+O127+M127+#REF!+K127+I127+G127</f>
        <v>#REF!</v>
      </c>
      <c r="X127" s="517" t="e">
        <f t="shared" si="39"/>
        <v>#REF!</v>
      </c>
      <c r="Y127" s="632" t="e">
        <f t="shared" si="43"/>
        <v>#REF!</v>
      </c>
      <c r="Z127" s="517" t="e">
        <f t="shared" si="38"/>
        <v>#REF!</v>
      </c>
      <c r="AA127" s="675"/>
      <c r="AB127" s="674"/>
    </row>
    <row r="128" spans="1:29" s="301" customFormat="1" hidden="1">
      <c r="A128" s="368"/>
      <c r="B128" s="1166" t="s">
        <v>205</v>
      </c>
      <c r="C128" s="307"/>
      <c r="D128" s="486" t="s">
        <v>1215</v>
      </c>
      <c r="E128" s="526"/>
      <c r="F128" s="1394">
        <f t="shared" si="31"/>
        <v>0</v>
      </c>
      <c r="G128" s="526"/>
      <c r="H128" s="517">
        <f t="shared" si="32"/>
        <v>0</v>
      </c>
      <c r="I128" s="526"/>
      <c r="J128" s="517">
        <f t="shared" si="33"/>
        <v>0</v>
      </c>
      <c r="K128" s="517"/>
      <c r="L128" s="517">
        <f t="shared" si="34"/>
        <v>0</v>
      </c>
      <c r="M128" s="517"/>
      <c r="N128" s="517">
        <f t="shared" si="41"/>
        <v>0</v>
      </c>
      <c r="O128" s="517"/>
      <c r="P128" s="517">
        <f t="shared" si="42"/>
        <v>0</v>
      </c>
      <c r="Q128" s="517"/>
      <c r="R128" s="517"/>
      <c r="S128" s="517"/>
      <c r="T128" s="517">
        <f t="shared" si="28"/>
        <v>0</v>
      </c>
      <c r="U128" s="526"/>
      <c r="V128" s="517">
        <f t="shared" si="29"/>
        <v>0</v>
      </c>
      <c r="W128" s="632" t="e">
        <f>U128+S128+O128+M128+#REF!+K128+I128+G128</f>
        <v>#REF!</v>
      </c>
      <c r="X128" s="517" t="e">
        <f t="shared" si="39"/>
        <v>#REF!</v>
      </c>
      <c r="Y128" s="632" t="e">
        <f t="shared" si="43"/>
        <v>#REF!</v>
      </c>
      <c r="Z128" s="517" t="e">
        <f t="shared" si="38"/>
        <v>#REF!</v>
      </c>
      <c r="AA128" s="675"/>
      <c r="AB128" s="674"/>
    </row>
    <row r="129" spans="1:28" s="301" customFormat="1" hidden="1">
      <c r="A129" s="368"/>
      <c r="B129" s="1166" t="s">
        <v>206</v>
      </c>
      <c r="C129" s="307"/>
      <c r="D129" s="486" t="s">
        <v>1215</v>
      </c>
      <c r="E129" s="526"/>
      <c r="F129" s="1394">
        <f t="shared" si="31"/>
        <v>0</v>
      </c>
      <c r="G129" s="526"/>
      <c r="H129" s="517">
        <f t="shared" si="32"/>
        <v>0</v>
      </c>
      <c r="I129" s="526"/>
      <c r="J129" s="517">
        <f t="shared" si="33"/>
        <v>0</v>
      </c>
      <c r="K129" s="517"/>
      <c r="L129" s="517">
        <f t="shared" si="34"/>
        <v>0</v>
      </c>
      <c r="M129" s="517"/>
      <c r="N129" s="517">
        <f t="shared" si="41"/>
        <v>0</v>
      </c>
      <c r="O129" s="517"/>
      <c r="P129" s="517">
        <f t="shared" si="42"/>
        <v>0</v>
      </c>
      <c r="Q129" s="517"/>
      <c r="R129" s="517"/>
      <c r="S129" s="517"/>
      <c r="T129" s="517">
        <f t="shared" si="28"/>
        <v>0</v>
      </c>
      <c r="U129" s="526"/>
      <c r="V129" s="517">
        <f t="shared" si="29"/>
        <v>0</v>
      </c>
      <c r="W129" s="632" t="e">
        <f>U129+S129+O129+M129+#REF!+K129+I129+G129</f>
        <v>#REF!</v>
      </c>
      <c r="X129" s="517" t="e">
        <f t="shared" si="39"/>
        <v>#REF!</v>
      </c>
      <c r="Y129" s="632" t="e">
        <f t="shared" si="43"/>
        <v>#REF!</v>
      </c>
      <c r="Z129" s="517" t="e">
        <f t="shared" si="38"/>
        <v>#REF!</v>
      </c>
      <c r="AA129" s="675"/>
      <c r="AB129" s="674"/>
    </row>
    <row r="130" spans="1:28" s="301" customFormat="1" hidden="1">
      <c r="A130" s="368"/>
      <c r="B130" s="1166" t="s">
        <v>207</v>
      </c>
      <c r="C130" s="307"/>
      <c r="D130" s="486" t="s">
        <v>1215</v>
      </c>
      <c r="E130" s="526"/>
      <c r="F130" s="1394">
        <f t="shared" si="31"/>
        <v>0</v>
      </c>
      <c r="G130" s="526"/>
      <c r="H130" s="517">
        <f t="shared" si="32"/>
        <v>0</v>
      </c>
      <c r="I130" s="526"/>
      <c r="J130" s="517">
        <f t="shared" si="33"/>
        <v>0</v>
      </c>
      <c r="K130" s="517"/>
      <c r="L130" s="517">
        <f t="shared" si="34"/>
        <v>0</v>
      </c>
      <c r="M130" s="517"/>
      <c r="N130" s="517">
        <f t="shared" si="41"/>
        <v>0</v>
      </c>
      <c r="O130" s="517"/>
      <c r="P130" s="517">
        <f t="shared" si="42"/>
        <v>0</v>
      </c>
      <c r="Q130" s="517"/>
      <c r="R130" s="517"/>
      <c r="S130" s="517"/>
      <c r="T130" s="517">
        <f t="shared" si="28"/>
        <v>0</v>
      </c>
      <c r="U130" s="526"/>
      <c r="V130" s="517">
        <f t="shared" si="29"/>
        <v>0</v>
      </c>
      <c r="W130" s="632" t="e">
        <f>U130+S130+O130+M130+#REF!+K130+I130+G130</f>
        <v>#REF!</v>
      </c>
      <c r="X130" s="517" t="e">
        <f t="shared" si="39"/>
        <v>#REF!</v>
      </c>
      <c r="Y130" s="632" t="e">
        <f t="shared" si="43"/>
        <v>#REF!</v>
      </c>
      <c r="Z130" s="517" t="e">
        <f t="shared" si="38"/>
        <v>#REF!</v>
      </c>
      <c r="AA130" s="675"/>
      <c r="AB130" s="674"/>
    </row>
    <row r="131" spans="1:28" s="301" customFormat="1" hidden="1">
      <c r="A131" s="368"/>
      <c r="B131" s="1166" t="s">
        <v>208</v>
      </c>
      <c r="C131" s="307"/>
      <c r="D131" s="486" t="s">
        <v>1215</v>
      </c>
      <c r="E131" s="526"/>
      <c r="F131" s="1394">
        <f t="shared" si="31"/>
        <v>0</v>
      </c>
      <c r="G131" s="526"/>
      <c r="H131" s="517">
        <f t="shared" si="32"/>
        <v>0</v>
      </c>
      <c r="I131" s="526"/>
      <c r="J131" s="517">
        <f t="shared" si="33"/>
        <v>0</v>
      </c>
      <c r="K131" s="517"/>
      <c r="L131" s="517">
        <f t="shared" si="34"/>
        <v>0</v>
      </c>
      <c r="M131" s="517"/>
      <c r="N131" s="517">
        <f t="shared" si="41"/>
        <v>0</v>
      </c>
      <c r="O131" s="517"/>
      <c r="P131" s="517">
        <f t="shared" si="42"/>
        <v>0</v>
      </c>
      <c r="Q131" s="517"/>
      <c r="R131" s="517"/>
      <c r="S131" s="517"/>
      <c r="T131" s="517">
        <f t="shared" si="28"/>
        <v>0</v>
      </c>
      <c r="U131" s="526"/>
      <c r="V131" s="517">
        <f t="shared" si="29"/>
        <v>0</v>
      </c>
      <c r="W131" s="632" t="e">
        <f>U131+S131+O131+M131+#REF!+K131+I131+G131</f>
        <v>#REF!</v>
      </c>
      <c r="X131" s="517" t="e">
        <f t="shared" si="39"/>
        <v>#REF!</v>
      </c>
      <c r="Y131" s="632" t="e">
        <f t="shared" si="43"/>
        <v>#REF!</v>
      </c>
      <c r="Z131" s="517" t="e">
        <f t="shared" si="38"/>
        <v>#REF!</v>
      </c>
      <c r="AA131" s="675"/>
      <c r="AB131" s="674"/>
    </row>
    <row r="132" spans="1:28" s="301" customFormat="1" hidden="1">
      <c r="A132" s="442"/>
      <c r="B132" s="1166" t="s">
        <v>612</v>
      </c>
      <c r="C132" s="307"/>
      <c r="D132" s="486" t="s">
        <v>1215</v>
      </c>
      <c r="E132" s="526"/>
      <c r="F132" s="1394">
        <f t="shared" si="31"/>
        <v>0</v>
      </c>
      <c r="G132" s="526"/>
      <c r="H132" s="517">
        <f t="shared" si="32"/>
        <v>0</v>
      </c>
      <c r="I132" s="526"/>
      <c r="J132" s="517">
        <f t="shared" si="33"/>
        <v>0</v>
      </c>
      <c r="K132" s="517"/>
      <c r="L132" s="517">
        <f t="shared" si="34"/>
        <v>0</v>
      </c>
      <c r="M132" s="517"/>
      <c r="N132" s="517">
        <f t="shared" si="41"/>
        <v>0</v>
      </c>
      <c r="O132" s="517"/>
      <c r="P132" s="517">
        <f t="shared" si="42"/>
        <v>0</v>
      </c>
      <c r="Q132" s="517"/>
      <c r="R132" s="517"/>
      <c r="S132" s="517"/>
      <c r="T132" s="517">
        <f t="shared" si="28"/>
        <v>0</v>
      </c>
      <c r="U132" s="526"/>
      <c r="V132" s="517">
        <f t="shared" si="29"/>
        <v>0</v>
      </c>
      <c r="W132" s="632" t="e">
        <f>U132+S132+O132+M132+#REF!+K132+I132+G132</f>
        <v>#REF!</v>
      </c>
      <c r="X132" s="517" t="e">
        <f t="shared" si="39"/>
        <v>#REF!</v>
      </c>
      <c r="Y132" s="632" t="e">
        <f t="shared" si="43"/>
        <v>#REF!</v>
      </c>
      <c r="Z132" s="517" t="e">
        <f t="shared" si="38"/>
        <v>#REF!</v>
      </c>
      <c r="AA132" s="675"/>
      <c r="AB132" s="674"/>
    </row>
    <row r="133" spans="1:28" s="301" customFormat="1" ht="67.5" hidden="1">
      <c r="A133" s="368">
        <v>10.1</v>
      </c>
      <c r="B133" s="1169" t="s">
        <v>5300</v>
      </c>
      <c r="C133" s="307"/>
      <c r="D133" s="486"/>
      <c r="E133" s="526"/>
      <c r="F133" s="1394">
        <f t="shared" si="31"/>
        <v>0</v>
      </c>
      <c r="G133" s="526"/>
      <c r="H133" s="517">
        <f t="shared" si="32"/>
        <v>0</v>
      </c>
      <c r="I133" s="526"/>
      <c r="J133" s="517">
        <f t="shared" si="33"/>
        <v>0</v>
      </c>
      <c r="K133" s="517"/>
      <c r="L133" s="517">
        <f t="shared" si="34"/>
        <v>0</v>
      </c>
      <c r="M133" s="517"/>
      <c r="N133" s="517">
        <f t="shared" si="41"/>
        <v>0</v>
      </c>
      <c r="O133" s="517"/>
      <c r="P133" s="517">
        <f t="shared" si="42"/>
        <v>0</v>
      </c>
      <c r="Q133" s="517"/>
      <c r="R133" s="517"/>
      <c r="S133" s="517"/>
      <c r="T133" s="517">
        <f t="shared" si="28"/>
        <v>0</v>
      </c>
      <c r="U133" s="526"/>
      <c r="V133" s="517">
        <f t="shared" si="29"/>
        <v>0</v>
      </c>
      <c r="W133" s="632" t="e">
        <f>U133+S133+O133+M133+#REF!+K133+I133+G133</f>
        <v>#REF!</v>
      </c>
      <c r="X133" s="517" t="e">
        <f t="shared" si="39"/>
        <v>#REF!</v>
      </c>
      <c r="Y133" s="632" t="e">
        <f t="shared" si="43"/>
        <v>#REF!</v>
      </c>
      <c r="Z133" s="517" t="e">
        <f t="shared" si="38"/>
        <v>#REF!</v>
      </c>
      <c r="AA133" s="675"/>
      <c r="AB133" s="674"/>
    </row>
    <row r="134" spans="1:28" s="301" customFormat="1" hidden="1">
      <c r="A134" s="368"/>
      <c r="B134" s="1166" t="s">
        <v>548</v>
      </c>
      <c r="C134" s="307">
        <f>ROUND(Data!X397,2)</f>
        <v>778.18</v>
      </c>
      <c r="D134" s="486" t="s">
        <v>1867</v>
      </c>
      <c r="E134" s="526"/>
      <c r="F134" s="1394">
        <f t="shared" si="31"/>
        <v>0</v>
      </c>
      <c r="G134" s="526"/>
      <c r="H134" s="517">
        <f t="shared" si="32"/>
        <v>0</v>
      </c>
      <c r="I134" s="526"/>
      <c r="J134" s="517">
        <f t="shared" si="33"/>
        <v>0</v>
      </c>
      <c r="K134" s="517"/>
      <c r="L134" s="517">
        <f t="shared" si="34"/>
        <v>0</v>
      </c>
      <c r="M134" s="517"/>
      <c r="N134" s="517">
        <f t="shared" si="41"/>
        <v>0</v>
      </c>
      <c r="O134" s="517"/>
      <c r="P134" s="517">
        <f t="shared" si="42"/>
        <v>0</v>
      </c>
      <c r="Q134" s="517"/>
      <c r="R134" s="517"/>
      <c r="S134" s="517"/>
      <c r="T134" s="517">
        <f t="shared" si="28"/>
        <v>0</v>
      </c>
      <c r="U134" s="526"/>
      <c r="V134" s="517">
        <f t="shared" si="29"/>
        <v>0</v>
      </c>
      <c r="W134" s="632" t="e">
        <f>U134+S134+O134+M134+#REF!+K134+I134+G134</f>
        <v>#REF!</v>
      </c>
      <c r="X134" s="517" t="e">
        <f t="shared" si="39"/>
        <v>#REF!</v>
      </c>
      <c r="Y134" s="632" t="e">
        <f t="shared" si="43"/>
        <v>#REF!</v>
      </c>
      <c r="Z134" s="517" t="e">
        <f t="shared" si="38"/>
        <v>#REF!</v>
      </c>
      <c r="AA134" s="675"/>
      <c r="AB134" s="674"/>
    </row>
    <row r="135" spans="1:28" s="301" customFormat="1" hidden="1">
      <c r="A135" s="368"/>
      <c r="B135" s="1166" t="s">
        <v>549</v>
      </c>
      <c r="C135" s="307">
        <f>ROUND(Data!X399,2)</f>
        <v>786.18</v>
      </c>
      <c r="D135" s="486" t="s">
        <v>1867</v>
      </c>
      <c r="E135" s="526"/>
      <c r="F135" s="1394">
        <f t="shared" si="31"/>
        <v>0</v>
      </c>
      <c r="G135" s="526"/>
      <c r="H135" s="517">
        <f t="shared" si="32"/>
        <v>0</v>
      </c>
      <c r="I135" s="526"/>
      <c r="J135" s="517">
        <f t="shared" si="33"/>
        <v>0</v>
      </c>
      <c r="K135" s="517"/>
      <c r="L135" s="517">
        <f t="shared" si="34"/>
        <v>0</v>
      </c>
      <c r="M135" s="517"/>
      <c r="N135" s="517">
        <f t="shared" si="41"/>
        <v>0</v>
      </c>
      <c r="O135" s="517"/>
      <c r="P135" s="517">
        <f t="shared" si="42"/>
        <v>0</v>
      </c>
      <c r="Q135" s="517"/>
      <c r="R135" s="517"/>
      <c r="S135" s="517"/>
      <c r="T135" s="517">
        <f t="shared" ref="T135:T198" si="44">S135*C135</f>
        <v>0</v>
      </c>
      <c r="U135" s="526"/>
      <c r="V135" s="517">
        <f t="shared" ref="V135:V198" si="45">U135*C135</f>
        <v>0</v>
      </c>
      <c r="W135" s="632" t="e">
        <f>U135+S135+O135+M135+#REF!+K135+I135+G135</f>
        <v>#REF!</v>
      </c>
      <c r="X135" s="517" t="e">
        <f t="shared" si="39"/>
        <v>#REF!</v>
      </c>
      <c r="Y135" s="632" t="e">
        <f t="shared" si="43"/>
        <v>#REF!</v>
      </c>
      <c r="Z135" s="517" t="e">
        <f t="shared" si="38"/>
        <v>#REF!</v>
      </c>
      <c r="AA135" s="675"/>
      <c r="AB135" s="674"/>
    </row>
    <row r="136" spans="1:28" s="301" customFormat="1" hidden="1">
      <c r="A136" s="368"/>
      <c r="B136" s="1166" t="s">
        <v>551</v>
      </c>
      <c r="C136" s="307">
        <f>ROUND(Data!X400,2)</f>
        <v>802.31</v>
      </c>
      <c r="D136" s="486" t="s">
        <v>1867</v>
      </c>
      <c r="E136" s="526"/>
      <c r="F136" s="1394">
        <f t="shared" si="31"/>
        <v>0</v>
      </c>
      <c r="G136" s="526"/>
      <c r="H136" s="517">
        <f t="shared" si="32"/>
        <v>0</v>
      </c>
      <c r="I136" s="526"/>
      <c r="J136" s="517">
        <f t="shared" si="33"/>
        <v>0</v>
      </c>
      <c r="K136" s="517"/>
      <c r="L136" s="517">
        <f t="shared" si="34"/>
        <v>0</v>
      </c>
      <c r="M136" s="517"/>
      <c r="N136" s="517">
        <f t="shared" si="41"/>
        <v>0</v>
      </c>
      <c r="O136" s="517"/>
      <c r="P136" s="517">
        <f t="shared" si="42"/>
        <v>0</v>
      </c>
      <c r="Q136" s="517"/>
      <c r="R136" s="517"/>
      <c r="S136" s="517"/>
      <c r="T136" s="517">
        <f t="shared" si="44"/>
        <v>0</v>
      </c>
      <c r="U136" s="526"/>
      <c r="V136" s="517">
        <f t="shared" si="45"/>
        <v>0</v>
      </c>
      <c r="W136" s="632" t="e">
        <f>U136+S136+O136+M136+#REF!+K136+I136+G136</f>
        <v>#REF!</v>
      </c>
      <c r="X136" s="517" t="e">
        <f t="shared" si="39"/>
        <v>#REF!</v>
      </c>
      <c r="Y136" s="632" t="e">
        <f t="shared" si="43"/>
        <v>#REF!</v>
      </c>
      <c r="Z136" s="517" t="e">
        <f t="shared" si="38"/>
        <v>#REF!</v>
      </c>
      <c r="AA136" s="675"/>
      <c r="AB136" s="674"/>
    </row>
    <row r="137" spans="1:28" s="301" customFormat="1" hidden="1">
      <c r="A137" s="368"/>
      <c r="B137" s="1166" t="s">
        <v>1831</v>
      </c>
      <c r="C137" s="307">
        <f>ROUND(Data!X401,2)</f>
        <v>818.44</v>
      </c>
      <c r="D137" s="486" t="s">
        <v>1867</v>
      </c>
      <c r="E137" s="526"/>
      <c r="F137" s="1394">
        <f t="shared" si="31"/>
        <v>0</v>
      </c>
      <c r="G137" s="526"/>
      <c r="H137" s="517">
        <f t="shared" si="32"/>
        <v>0</v>
      </c>
      <c r="I137" s="526"/>
      <c r="J137" s="517">
        <f t="shared" si="33"/>
        <v>0</v>
      </c>
      <c r="K137" s="517"/>
      <c r="L137" s="517">
        <f t="shared" si="34"/>
        <v>0</v>
      </c>
      <c r="M137" s="517"/>
      <c r="N137" s="517">
        <f t="shared" si="41"/>
        <v>0</v>
      </c>
      <c r="O137" s="517"/>
      <c r="P137" s="517">
        <f t="shared" si="42"/>
        <v>0</v>
      </c>
      <c r="Q137" s="517"/>
      <c r="R137" s="517"/>
      <c r="S137" s="517"/>
      <c r="T137" s="517">
        <f t="shared" si="44"/>
        <v>0</v>
      </c>
      <c r="U137" s="526"/>
      <c r="V137" s="517">
        <f t="shared" si="45"/>
        <v>0</v>
      </c>
      <c r="W137" s="632" t="e">
        <f>U137+S137+O137+M137+#REF!+K137+I137+G137</f>
        <v>#REF!</v>
      </c>
      <c r="X137" s="517" t="e">
        <f t="shared" si="39"/>
        <v>#REF!</v>
      </c>
      <c r="Y137" s="632" t="e">
        <f t="shared" si="43"/>
        <v>#REF!</v>
      </c>
      <c r="Z137" s="517" t="e">
        <f t="shared" si="38"/>
        <v>#REF!</v>
      </c>
      <c r="AA137" s="675"/>
      <c r="AB137" s="674"/>
    </row>
    <row r="138" spans="1:28" s="301" customFormat="1" hidden="1">
      <c r="A138" s="368"/>
      <c r="B138" s="1166" t="s">
        <v>2240</v>
      </c>
      <c r="C138" s="307">
        <f>ROUND(Data!X402,2)</f>
        <v>834.57</v>
      </c>
      <c r="D138" s="486" t="s">
        <v>1867</v>
      </c>
      <c r="E138" s="526"/>
      <c r="F138" s="1394">
        <f t="shared" si="31"/>
        <v>0</v>
      </c>
      <c r="G138" s="526"/>
      <c r="H138" s="517">
        <f t="shared" si="32"/>
        <v>0</v>
      </c>
      <c r="I138" s="526"/>
      <c r="J138" s="517">
        <f t="shared" si="33"/>
        <v>0</v>
      </c>
      <c r="K138" s="517"/>
      <c r="L138" s="517">
        <f t="shared" si="34"/>
        <v>0</v>
      </c>
      <c r="M138" s="517"/>
      <c r="N138" s="517">
        <f t="shared" si="41"/>
        <v>0</v>
      </c>
      <c r="O138" s="517"/>
      <c r="P138" s="517">
        <f t="shared" si="42"/>
        <v>0</v>
      </c>
      <c r="Q138" s="517"/>
      <c r="R138" s="517"/>
      <c r="S138" s="517"/>
      <c r="T138" s="517">
        <f t="shared" si="44"/>
        <v>0</v>
      </c>
      <c r="U138" s="526"/>
      <c r="V138" s="517">
        <f t="shared" si="45"/>
        <v>0</v>
      </c>
      <c r="W138" s="632" t="e">
        <f>U138+S138+O138+M138+#REF!+K138+I138+G138</f>
        <v>#REF!</v>
      </c>
      <c r="X138" s="517" t="e">
        <f t="shared" si="39"/>
        <v>#REF!</v>
      </c>
      <c r="Y138" s="632" t="e">
        <f t="shared" si="43"/>
        <v>#REF!</v>
      </c>
      <c r="Z138" s="517" t="e">
        <f t="shared" si="38"/>
        <v>#REF!</v>
      </c>
      <c r="AA138" s="675"/>
      <c r="AB138" s="674"/>
    </row>
    <row r="139" spans="1:28" s="301" customFormat="1" hidden="1">
      <c r="A139" s="652"/>
      <c r="B139" s="1174" t="s">
        <v>1082</v>
      </c>
      <c r="C139" s="650">
        <f>ROUND(Data!X403,2)</f>
        <v>850.7</v>
      </c>
      <c r="D139" s="446" t="s">
        <v>1867</v>
      </c>
      <c r="E139" s="651"/>
      <c r="F139" s="1394">
        <f t="shared" ref="F139:F202" si="46">E139*C139</f>
        <v>0</v>
      </c>
      <c r="G139" s="651"/>
      <c r="H139" s="517">
        <f t="shared" ref="H139:H193" si="47">G139*C139</f>
        <v>0</v>
      </c>
      <c r="I139" s="651"/>
      <c r="J139" s="517">
        <f t="shared" ref="J139:J193" si="48">I139*C139</f>
        <v>0</v>
      </c>
      <c r="K139" s="654"/>
      <c r="L139" s="517">
        <f t="shared" si="34"/>
        <v>0</v>
      </c>
      <c r="M139" s="654"/>
      <c r="N139" s="517">
        <f t="shared" si="41"/>
        <v>0</v>
      </c>
      <c r="O139" s="654"/>
      <c r="P139" s="517">
        <f t="shared" si="42"/>
        <v>0</v>
      </c>
      <c r="Q139" s="654"/>
      <c r="R139" s="654"/>
      <c r="S139" s="654"/>
      <c r="T139" s="517">
        <f t="shared" si="44"/>
        <v>0</v>
      </c>
      <c r="U139" s="651"/>
      <c r="V139" s="517">
        <f t="shared" si="45"/>
        <v>0</v>
      </c>
      <c r="W139" s="632" t="e">
        <f>U139+S139+O139+M139+#REF!+K139+I139+G139</f>
        <v>#REF!</v>
      </c>
      <c r="X139" s="517" t="e">
        <f t="shared" si="39"/>
        <v>#REF!</v>
      </c>
      <c r="Y139" s="632" t="e">
        <f t="shared" si="43"/>
        <v>#REF!</v>
      </c>
      <c r="Z139" s="517" t="e">
        <f t="shared" si="38"/>
        <v>#REF!</v>
      </c>
      <c r="AA139" s="675"/>
      <c r="AB139" s="674"/>
    </row>
    <row r="140" spans="1:28" s="301" customFormat="1" ht="67.5" hidden="1">
      <c r="A140" s="368">
        <v>10.199999999999999</v>
      </c>
      <c r="B140" s="1169" t="s">
        <v>5301</v>
      </c>
      <c r="C140" s="377"/>
      <c r="D140" s="514"/>
      <c r="E140" s="512"/>
      <c r="F140" s="1394">
        <f t="shared" si="46"/>
        <v>0</v>
      </c>
      <c r="G140" s="517"/>
      <c r="H140" s="517">
        <f t="shared" si="47"/>
        <v>0</v>
      </c>
      <c r="I140" s="517"/>
      <c r="J140" s="517">
        <f t="shared" si="48"/>
        <v>0</v>
      </c>
      <c r="K140" s="517"/>
      <c r="L140" s="517">
        <f t="shared" si="34"/>
        <v>0</v>
      </c>
      <c r="M140" s="517"/>
      <c r="N140" s="517">
        <f t="shared" si="41"/>
        <v>0</v>
      </c>
      <c r="O140" s="517"/>
      <c r="P140" s="517">
        <f t="shared" si="42"/>
        <v>0</v>
      </c>
      <c r="Q140" s="517"/>
      <c r="R140" s="517"/>
      <c r="S140" s="517"/>
      <c r="T140" s="517">
        <f t="shared" si="44"/>
        <v>0</v>
      </c>
      <c r="U140" s="517"/>
      <c r="V140" s="517">
        <f t="shared" si="45"/>
        <v>0</v>
      </c>
      <c r="W140" s="632" t="e">
        <f>U140+S140+O140+M140+#REF!+K140+I140+G140</f>
        <v>#REF!</v>
      </c>
      <c r="X140" s="517" t="e">
        <f t="shared" si="39"/>
        <v>#REF!</v>
      </c>
      <c r="Y140" s="632" t="e">
        <f t="shared" si="43"/>
        <v>#REF!</v>
      </c>
      <c r="Z140" s="517"/>
      <c r="AA140" s="675"/>
      <c r="AB140" s="673"/>
    </row>
    <row r="141" spans="1:28" s="301" customFormat="1" ht="46.15" hidden="1" customHeight="1">
      <c r="A141" s="368"/>
      <c r="B141" s="1166" t="s">
        <v>548</v>
      </c>
      <c r="C141" s="377">
        <f>ROUND(Data!AG406,2)</f>
        <v>759.2</v>
      </c>
      <c r="D141" s="514" t="s">
        <v>1867</v>
      </c>
      <c r="E141" s="526"/>
      <c r="F141" s="1394">
        <f t="shared" si="46"/>
        <v>0</v>
      </c>
      <c r="G141" s="517"/>
      <c r="H141" s="517">
        <f t="shared" si="47"/>
        <v>0</v>
      </c>
      <c r="I141" s="517"/>
      <c r="J141" s="517">
        <f t="shared" si="48"/>
        <v>0</v>
      </c>
      <c r="K141" s="517"/>
      <c r="L141" s="517">
        <f t="shared" si="34"/>
        <v>0</v>
      </c>
      <c r="M141" s="517"/>
      <c r="N141" s="517">
        <f t="shared" si="41"/>
        <v>0</v>
      </c>
      <c r="O141" s="517"/>
      <c r="P141" s="517">
        <f t="shared" si="42"/>
        <v>0</v>
      </c>
      <c r="Q141" s="517"/>
      <c r="R141" s="517"/>
      <c r="S141" s="517"/>
      <c r="T141" s="517">
        <f t="shared" si="44"/>
        <v>0</v>
      </c>
      <c r="U141" s="517"/>
      <c r="V141" s="517">
        <f t="shared" si="45"/>
        <v>0</v>
      </c>
      <c r="W141" s="632" t="e">
        <f>U141+S141+O141+M141+#REF!+K141+I141+G141</f>
        <v>#REF!</v>
      </c>
      <c r="X141" s="517" t="e">
        <f t="shared" si="39"/>
        <v>#REF!</v>
      </c>
      <c r="Y141" s="632" t="e">
        <f t="shared" si="43"/>
        <v>#REF!</v>
      </c>
      <c r="Z141" s="517" t="e">
        <f t="shared" ref="Z141:Z172" si="49">Y141*C141</f>
        <v>#REF!</v>
      </c>
      <c r="AA141" s="675"/>
      <c r="AB141" s="673"/>
    </row>
    <row r="142" spans="1:28" s="301" customFormat="1" ht="36.75" hidden="1" customHeight="1">
      <c r="A142" s="368"/>
      <c r="B142" s="1166" t="s">
        <v>3840</v>
      </c>
      <c r="C142" s="377">
        <f>ROUND(Data!AG408,2)</f>
        <v>767.34</v>
      </c>
      <c r="D142" s="514" t="s">
        <v>1867</v>
      </c>
      <c r="E142" s="526"/>
      <c r="F142" s="1394">
        <f t="shared" si="46"/>
        <v>0</v>
      </c>
      <c r="G142" s="517"/>
      <c r="H142" s="517">
        <f t="shared" si="47"/>
        <v>0</v>
      </c>
      <c r="I142" s="517"/>
      <c r="J142" s="517">
        <f t="shared" si="48"/>
        <v>0</v>
      </c>
      <c r="K142" s="517"/>
      <c r="L142" s="517">
        <f t="shared" si="34"/>
        <v>0</v>
      </c>
      <c r="M142" s="517"/>
      <c r="N142" s="517">
        <f t="shared" si="41"/>
        <v>0</v>
      </c>
      <c r="O142" s="517"/>
      <c r="P142" s="517">
        <f t="shared" si="42"/>
        <v>0</v>
      </c>
      <c r="Q142" s="517"/>
      <c r="R142" s="517"/>
      <c r="S142" s="517"/>
      <c r="T142" s="517">
        <f t="shared" si="44"/>
        <v>0</v>
      </c>
      <c r="U142" s="517"/>
      <c r="V142" s="517">
        <f t="shared" si="45"/>
        <v>0</v>
      </c>
      <c r="W142" s="632" t="e">
        <f>U142+S142+O142+M142+#REF!+K142+I142+G142</f>
        <v>#REF!</v>
      </c>
      <c r="X142" s="517" t="e">
        <f t="shared" si="39"/>
        <v>#REF!</v>
      </c>
      <c r="Y142" s="632" t="e">
        <f t="shared" si="43"/>
        <v>#REF!</v>
      </c>
      <c r="Z142" s="517" t="e">
        <f t="shared" si="49"/>
        <v>#REF!</v>
      </c>
      <c r="AA142" s="675"/>
      <c r="AB142" s="673"/>
    </row>
    <row r="143" spans="1:28" s="301" customFormat="1" ht="40.5" hidden="1" customHeight="1">
      <c r="A143" s="368"/>
      <c r="B143" s="1166" t="s">
        <v>551</v>
      </c>
      <c r="C143" s="377">
        <f>ROUND(Data!AG409,2)</f>
        <v>783.76</v>
      </c>
      <c r="D143" s="514" t="s">
        <v>1867</v>
      </c>
      <c r="E143" s="526"/>
      <c r="F143" s="1394">
        <f t="shared" si="46"/>
        <v>0</v>
      </c>
      <c r="G143" s="517"/>
      <c r="H143" s="517">
        <f t="shared" si="47"/>
        <v>0</v>
      </c>
      <c r="I143" s="517"/>
      <c r="J143" s="517">
        <f t="shared" si="48"/>
        <v>0</v>
      </c>
      <c r="K143" s="517"/>
      <c r="L143" s="517">
        <f t="shared" si="34"/>
        <v>0</v>
      </c>
      <c r="M143" s="517"/>
      <c r="N143" s="517">
        <f t="shared" si="41"/>
        <v>0</v>
      </c>
      <c r="O143" s="517"/>
      <c r="P143" s="517">
        <f t="shared" si="42"/>
        <v>0</v>
      </c>
      <c r="Q143" s="517"/>
      <c r="R143" s="517"/>
      <c r="S143" s="517"/>
      <c r="T143" s="517">
        <f t="shared" si="44"/>
        <v>0</v>
      </c>
      <c r="U143" s="517"/>
      <c r="V143" s="517">
        <f t="shared" si="45"/>
        <v>0</v>
      </c>
      <c r="W143" s="632" t="e">
        <f>U143+S143+O143+M143+#REF!+K143+I143+G143</f>
        <v>#REF!</v>
      </c>
      <c r="X143" s="517" t="e">
        <f t="shared" si="39"/>
        <v>#REF!</v>
      </c>
      <c r="Y143" s="632" t="e">
        <f t="shared" si="43"/>
        <v>#REF!</v>
      </c>
      <c r="Z143" s="517" t="e">
        <f t="shared" si="49"/>
        <v>#REF!</v>
      </c>
      <c r="AA143" s="675"/>
      <c r="AB143" s="673"/>
    </row>
    <row r="144" spans="1:28" s="301" customFormat="1" ht="48.75" hidden="1" customHeight="1">
      <c r="A144" s="368"/>
      <c r="B144" s="1166" t="s">
        <v>1831</v>
      </c>
      <c r="C144" s="377">
        <f>ROUND(Data!AG410,2)</f>
        <v>800.18</v>
      </c>
      <c r="D144" s="486" t="s">
        <v>1867</v>
      </c>
      <c r="E144" s="526"/>
      <c r="F144" s="1394">
        <f t="shared" si="46"/>
        <v>0</v>
      </c>
      <c r="G144" s="526"/>
      <c r="H144" s="517">
        <f t="shared" si="47"/>
        <v>0</v>
      </c>
      <c r="I144" s="526"/>
      <c r="J144" s="517">
        <f t="shared" si="48"/>
        <v>0</v>
      </c>
      <c r="K144" s="517"/>
      <c r="L144" s="517">
        <f t="shared" si="34"/>
        <v>0</v>
      </c>
      <c r="M144" s="517"/>
      <c r="N144" s="517">
        <f t="shared" si="41"/>
        <v>0</v>
      </c>
      <c r="O144" s="517"/>
      <c r="P144" s="517">
        <f t="shared" si="42"/>
        <v>0</v>
      </c>
      <c r="Q144" s="517"/>
      <c r="R144" s="517"/>
      <c r="S144" s="517"/>
      <c r="T144" s="517">
        <f t="shared" si="44"/>
        <v>0</v>
      </c>
      <c r="U144" s="526"/>
      <c r="V144" s="517">
        <f t="shared" si="45"/>
        <v>0</v>
      </c>
      <c r="W144" s="632" t="e">
        <f>U144+S144+O144+M144+#REF!+K144+I144+G144</f>
        <v>#REF!</v>
      </c>
      <c r="X144" s="517" t="e">
        <f t="shared" si="39"/>
        <v>#REF!</v>
      </c>
      <c r="Y144" s="632" t="e">
        <f t="shared" si="43"/>
        <v>#REF!</v>
      </c>
      <c r="Z144" s="517" t="e">
        <f t="shared" si="49"/>
        <v>#REF!</v>
      </c>
      <c r="AA144" s="675"/>
      <c r="AB144" s="674"/>
    </row>
    <row r="145" spans="1:28" s="301" customFormat="1" hidden="1">
      <c r="A145" s="368"/>
      <c r="B145" s="1166" t="s">
        <v>2240</v>
      </c>
      <c r="C145" s="307">
        <f>ROUND(Data!AG411,2)</f>
        <v>816.6</v>
      </c>
      <c r="D145" s="486" t="s">
        <v>1867</v>
      </c>
      <c r="E145" s="526"/>
      <c r="F145" s="1394">
        <f t="shared" si="46"/>
        <v>0</v>
      </c>
      <c r="G145" s="526"/>
      <c r="H145" s="517">
        <f t="shared" si="47"/>
        <v>0</v>
      </c>
      <c r="I145" s="526"/>
      <c r="J145" s="517">
        <f t="shared" si="48"/>
        <v>0</v>
      </c>
      <c r="K145" s="517"/>
      <c r="L145" s="517">
        <f t="shared" si="34"/>
        <v>0</v>
      </c>
      <c r="M145" s="517"/>
      <c r="N145" s="517">
        <f t="shared" si="41"/>
        <v>0</v>
      </c>
      <c r="O145" s="517"/>
      <c r="P145" s="517">
        <f t="shared" si="42"/>
        <v>0</v>
      </c>
      <c r="Q145" s="517"/>
      <c r="R145" s="517"/>
      <c r="S145" s="517"/>
      <c r="T145" s="517">
        <f t="shared" si="44"/>
        <v>0</v>
      </c>
      <c r="U145" s="526"/>
      <c r="V145" s="517">
        <f t="shared" si="45"/>
        <v>0</v>
      </c>
      <c r="W145" s="632" t="e">
        <f>U145+S145+O145+M145+#REF!+K145+I145+G145</f>
        <v>#REF!</v>
      </c>
      <c r="X145" s="517" t="e">
        <f t="shared" si="39"/>
        <v>#REF!</v>
      </c>
      <c r="Y145" s="632" t="e">
        <f t="shared" si="43"/>
        <v>#REF!</v>
      </c>
      <c r="Z145" s="517" t="e">
        <f t="shared" si="49"/>
        <v>#REF!</v>
      </c>
      <c r="AA145" s="675"/>
      <c r="AB145" s="674"/>
    </row>
    <row r="146" spans="1:28" s="301" customFormat="1" hidden="1">
      <c r="A146" s="442"/>
      <c r="B146" s="1166" t="s">
        <v>1082</v>
      </c>
      <c r="C146" s="307">
        <f>ROUND(Data!AG412,2)</f>
        <v>833.02</v>
      </c>
      <c r="D146" s="486" t="s">
        <v>1867</v>
      </c>
      <c r="E146" s="526"/>
      <c r="F146" s="1394">
        <f t="shared" si="46"/>
        <v>0</v>
      </c>
      <c r="G146" s="526"/>
      <c r="H146" s="517">
        <f t="shared" si="47"/>
        <v>0</v>
      </c>
      <c r="I146" s="526"/>
      <c r="J146" s="517">
        <f t="shared" si="48"/>
        <v>0</v>
      </c>
      <c r="K146" s="517"/>
      <c r="L146" s="517">
        <f t="shared" si="34"/>
        <v>0</v>
      </c>
      <c r="M146" s="517"/>
      <c r="N146" s="517">
        <f t="shared" si="41"/>
        <v>0</v>
      </c>
      <c r="O146" s="517"/>
      <c r="P146" s="517">
        <f t="shared" si="42"/>
        <v>0</v>
      </c>
      <c r="Q146" s="517"/>
      <c r="R146" s="517"/>
      <c r="S146" s="517"/>
      <c r="T146" s="517">
        <f t="shared" si="44"/>
        <v>0</v>
      </c>
      <c r="U146" s="526"/>
      <c r="V146" s="517">
        <f t="shared" si="45"/>
        <v>0</v>
      </c>
      <c r="W146" s="632" t="e">
        <f>U146+S146+O146+M146+#REF!+K146+I146+G146</f>
        <v>#REF!</v>
      </c>
      <c r="X146" s="517" t="e">
        <f t="shared" si="39"/>
        <v>#REF!</v>
      </c>
      <c r="Y146" s="632" t="e">
        <f t="shared" si="43"/>
        <v>#REF!</v>
      </c>
      <c r="Z146" s="517" t="e">
        <f t="shared" si="49"/>
        <v>#REF!</v>
      </c>
      <c r="AA146" s="675"/>
      <c r="AB146" s="674"/>
    </row>
    <row r="147" spans="1:28" s="301" customFormat="1" hidden="1">
      <c r="A147" s="442"/>
      <c r="B147" s="1166" t="s">
        <v>3821</v>
      </c>
      <c r="C147" s="307">
        <f>ROUND(Data!AG413,2)</f>
        <v>849.44</v>
      </c>
      <c r="D147" s="486" t="s">
        <v>1867</v>
      </c>
      <c r="E147" s="526"/>
      <c r="F147" s="1394">
        <f t="shared" si="46"/>
        <v>0</v>
      </c>
      <c r="G147" s="526"/>
      <c r="H147" s="517">
        <f t="shared" si="47"/>
        <v>0</v>
      </c>
      <c r="I147" s="526"/>
      <c r="J147" s="517">
        <f t="shared" si="48"/>
        <v>0</v>
      </c>
      <c r="K147" s="517"/>
      <c r="L147" s="517">
        <f t="shared" si="34"/>
        <v>0</v>
      </c>
      <c r="M147" s="517"/>
      <c r="N147" s="517">
        <f t="shared" si="41"/>
        <v>0</v>
      </c>
      <c r="O147" s="517"/>
      <c r="P147" s="517">
        <f t="shared" si="42"/>
        <v>0</v>
      </c>
      <c r="Q147" s="517"/>
      <c r="R147" s="517"/>
      <c r="S147" s="517"/>
      <c r="T147" s="517">
        <f t="shared" si="44"/>
        <v>0</v>
      </c>
      <c r="U147" s="526"/>
      <c r="V147" s="517">
        <f t="shared" si="45"/>
        <v>0</v>
      </c>
      <c r="W147" s="632" t="e">
        <f>U147+S147+O147+M147+#REF!+K147+I147+G147</f>
        <v>#REF!</v>
      </c>
      <c r="X147" s="517" t="e">
        <f t="shared" si="39"/>
        <v>#REF!</v>
      </c>
      <c r="Y147" s="632" t="e">
        <f t="shared" si="43"/>
        <v>#REF!</v>
      </c>
      <c r="Z147" s="517" t="e">
        <f t="shared" si="49"/>
        <v>#REF!</v>
      </c>
      <c r="AA147" s="675"/>
      <c r="AB147" s="674"/>
    </row>
    <row r="148" spans="1:28" s="301" customFormat="1" hidden="1">
      <c r="A148" s="442"/>
      <c r="B148" s="1166" t="s">
        <v>3822</v>
      </c>
      <c r="C148" s="307">
        <f>ROUND(Data!AG414,2)</f>
        <v>865.86</v>
      </c>
      <c r="D148" s="486" t="s">
        <v>1867</v>
      </c>
      <c r="E148" s="526"/>
      <c r="F148" s="1394">
        <f t="shared" si="46"/>
        <v>0</v>
      </c>
      <c r="G148" s="526"/>
      <c r="H148" s="517">
        <f t="shared" si="47"/>
        <v>0</v>
      </c>
      <c r="I148" s="526"/>
      <c r="J148" s="517">
        <f t="shared" si="48"/>
        <v>0</v>
      </c>
      <c r="K148" s="517"/>
      <c r="L148" s="517">
        <f t="shared" si="34"/>
        <v>0</v>
      </c>
      <c r="M148" s="517"/>
      <c r="N148" s="517">
        <f t="shared" si="41"/>
        <v>0</v>
      </c>
      <c r="O148" s="517"/>
      <c r="P148" s="517">
        <f t="shared" si="42"/>
        <v>0</v>
      </c>
      <c r="Q148" s="517"/>
      <c r="R148" s="517"/>
      <c r="S148" s="517"/>
      <c r="T148" s="517">
        <f t="shared" si="44"/>
        <v>0</v>
      </c>
      <c r="U148" s="526"/>
      <c r="V148" s="517">
        <f t="shared" si="45"/>
        <v>0</v>
      </c>
      <c r="W148" s="632" t="e">
        <f>U148+S148+O148+M148+#REF!+K148+I148+G148</f>
        <v>#REF!</v>
      </c>
      <c r="X148" s="517" t="e">
        <f t="shared" si="39"/>
        <v>#REF!</v>
      </c>
      <c r="Y148" s="632" t="e">
        <f t="shared" si="43"/>
        <v>#REF!</v>
      </c>
      <c r="Z148" s="517" t="e">
        <f t="shared" si="49"/>
        <v>#REF!</v>
      </c>
      <c r="AA148" s="675"/>
      <c r="AB148" s="674"/>
    </row>
    <row r="149" spans="1:28" s="301" customFormat="1" hidden="1">
      <c r="A149" s="442"/>
      <c r="B149" s="1166" t="s">
        <v>3823</v>
      </c>
      <c r="C149" s="307">
        <f>ROUND(Data!AG415,2)</f>
        <v>882.28</v>
      </c>
      <c r="D149" s="486" t="s">
        <v>1867</v>
      </c>
      <c r="E149" s="526"/>
      <c r="F149" s="1394">
        <f t="shared" si="46"/>
        <v>0</v>
      </c>
      <c r="G149" s="526"/>
      <c r="H149" s="517">
        <f t="shared" si="47"/>
        <v>0</v>
      </c>
      <c r="I149" s="526"/>
      <c r="J149" s="517">
        <f t="shared" si="48"/>
        <v>0</v>
      </c>
      <c r="K149" s="517"/>
      <c r="L149" s="517">
        <f t="shared" si="34"/>
        <v>0</v>
      </c>
      <c r="M149" s="517"/>
      <c r="N149" s="517">
        <f t="shared" si="41"/>
        <v>0</v>
      </c>
      <c r="O149" s="517"/>
      <c r="P149" s="517">
        <f t="shared" si="42"/>
        <v>0</v>
      </c>
      <c r="Q149" s="517"/>
      <c r="R149" s="517"/>
      <c r="S149" s="517"/>
      <c r="T149" s="517">
        <f t="shared" si="44"/>
        <v>0</v>
      </c>
      <c r="U149" s="526"/>
      <c r="V149" s="517">
        <f t="shared" si="45"/>
        <v>0</v>
      </c>
      <c r="W149" s="632" t="e">
        <f>U149+S149+O149+M149+#REF!+K149+I149+G149</f>
        <v>#REF!</v>
      </c>
      <c r="X149" s="517" t="e">
        <f t="shared" si="39"/>
        <v>#REF!</v>
      </c>
      <c r="Y149" s="632" t="e">
        <f t="shared" si="43"/>
        <v>#REF!</v>
      </c>
      <c r="Z149" s="517" t="e">
        <f t="shared" si="49"/>
        <v>#REF!</v>
      </c>
      <c r="AA149" s="675"/>
      <c r="AB149" s="674"/>
    </row>
    <row r="150" spans="1:28" s="301" customFormat="1" hidden="1">
      <c r="A150" s="442"/>
      <c r="B150" s="1166" t="s">
        <v>3824</v>
      </c>
      <c r="C150" s="307">
        <f>ROUND(Data!AG416,2)</f>
        <v>898.7</v>
      </c>
      <c r="D150" s="486" t="s">
        <v>1867</v>
      </c>
      <c r="E150" s="526"/>
      <c r="F150" s="1394">
        <f t="shared" si="46"/>
        <v>0</v>
      </c>
      <c r="G150" s="526"/>
      <c r="H150" s="517">
        <f t="shared" si="47"/>
        <v>0</v>
      </c>
      <c r="I150" s="526"/>
      <c r="J150" s="517">
        <f t="shared" si="48"/>
        <v>0</v>
      </c>
      <c r="K150" s="517"/>
      <c r="L150" s="517">
        <f t="shared" si="34"/>
        <v>0</v>
      </c>
      <c r="M150" s="517"/>
      <c r="N150" s="517">
        <f t="shared" si="41"/>
        <v>0</v>
      </c>
      <c r="O150" s="517"/>
      <c r="P150" s="517">
        <f t="shared" si="42"/>
        <v>0</v>
      </c>
      <c r="Q150" s="517"/>
      <c r="R150" s="517"/>
      <c r="S150" s="517"/>
      <c r="T150" s="517">
        <f t="shared" si="44"/>
        <v>0</v>
      </c>
      <c r="U150" s="526"/>
      <c r="V150" s="517">
        <f t="shared" si="45"/>
        <v>0</v>
      </c>
      <c r="W150" s="632" t="e">
        <f>U150+S150+O150+M150+#REF!+K150+I150+G150</f>
        <v>#REF!</v>
      </c>
      <c r="X150" s="517" t="e">
        <f t="shared" si="39"/>
        <v>#REF!</v>
      </c>
      <c r="Y150" s="632" t="e">
        <f t="shared" si="43"/>
        <v>#REF!</v>
      </c>
      <c r="Z150" s="517" t="e">
        <f t="shared" si="49"/>
        <v>#REF!</v>
      </c>
      <c r="AA150" s="675"/>
      <c r="AB150" s="674"/>
    </row>
    <row r="151" spans="1:28" s="301" customFormat="1" hidden="1">
      <c r="A151" s="442"/>
      <c r="B151" s="1166" t="s">
        <v>3825</v>
      </c>
      <c r="C151" s="307">
        <f>ROUND(Data!AG417,2)</f>
        <v>915.12</v>
      </c>
      <c r="D151" s="486" t="s">
        <v>1867</v>
      </c>
      <c r="E151" s="526"/>
      <c r="F151" s="1394">
        <f t="shared" si="46"/>
        <v>0</v>
      </c>
      <c r="G151" s="526"/>
      <c r="H151" s="517">
        <f t="shared" si="47"/>
        <v>0</v>
      </c>
      <c r="I151" s="526"/>
      <c r="J151" s="517">
        <f t="shared" si="48"/>
        <v>0</v>
      </c>
      <c r="K151" s="517"/>
      <c r="L151" s="517">
        <f t="shared" si="34"/>
        <v>0</v>
      </c>
      <c r="M151" s="517"/>
      <c r="N151" s="517">
        <f t="shared" si="41"/>
        <v>0</v>
      </c>
      <c r="O151" s="517"/>
      <c r="P151" s="517">
        <f t="shared" si="42"/>
        <v>0</v>
      </c>
      <c r="Q151" s="517"/>
      <c r="R151" s="517"/>
      <c r="S151" s="517"/>
      <c r="T151" s="517">
        <f t="shared" si="44"/>
        <v>0</v>
      </c>
      <c r="U151" s="526"/>
      <c r="V151" s="517">
        <f t="shared" si="45"/>
        <v>0</v>
      </c>
      <c r="W151" s="632" t="e">
        <f>U151+S151+O151+M151+#REF!+K151+I151+G151</f>
        <v>#REF!</v>
      </c>
      <c r="X151" s="517" t="e">
        <f t="shared" si="39"/>
        <v>#REF!</v>
      </c>
      <c r="Y151" s="632" t="e">
        <f t="shared" si="43"/>
        <v>#REF!</v>
      </c>
      <c r="Z151" s="517" t="e">
        <f t="shared" si="49"/>
        <v>#REF!</v>
      </c>
      <c r="AA151" s="675"/>
      <c r="AB151" s="674"/>
    </row>
    <row r="152" spans="1:28" s="301" customFormat="1" hidden="1">
      <c r="A152" s="442"/>
      <c r="B152" s="1166" t="s">
        <v>3826</v>
      </c>
      <c r="C152" s="307">
        <f>ROUND(Data!AG418,2)</f>
        <v>931.54</v>
      </c>
      <c r="D152" s="486" t="s">
        <v>1867</v>
      </c>
      <c r="E152" s="526"/>
      <c r="F152" s="1394">
        <f t="shared" si="46"/>
        <v>0</v>
      </c>
      <c r="G152" s="526"/>
      <c r="H152" s="517">
        <f t="shared" si="47"/>
        <v>0</v>
      </c>
      <c r="I152" s="526"/>
      <c r="J152" s="517">
        <f t="shared" si="48"/>
        <v>0</v>
      </c>
      <c r="K152" s="517"/>
      <c r="L152" s="517">
        <f t="shared" si="34"/>
        <v>0</v>
      </c>
      <c r="M152" s="517"/>
      <c r="N152" s="517">
        <f t="shared" si="41"/>
        <v>0</v>
      </c>
      <c r="O152" s="517"/>
      <c r="P152" s="517">
        <f t="shared" si="42"/>
        <v>0</v>
      </c>
      <c r="Q152" s="517"/>
      <c r="R152" s="517"/>
      <c r="S152" s="517"/>
      <c r="T152" s="517">
        <f t="shared" si="44"/>
        <v>0</v>
      </c>
      <c r="U152" s="526"/>
      <c r="V152" s="517">
        <f t="shared" si="45"/>
        <v>0</v>
      </c>
      <c r="W152" s="632" t="e">
        <f>U152+S152+O152+M152+#REF!+K152+I152+G152</f>
        <v>#REF!</v>
      </c>
      <c r="X152" s="517" t="e">
        <f t="shared" si="39"/>
        <v>#REF!</v>
      </c>
      <c r="Y152" s="632" t="e">
        <f t="shared" si="43"/>
        <v>#REF!</v>
      </c>
      <c r="Z152" s="517" t="e">
        <f t="shared" si="49"/>
        <v>#REF!</v>
      </c>
      <c r="AA152" s="675"/>
      <c r="AB152" s="674"/>
    </row>
    <row r="153" spans="1:28" s="301" customFormat="1" hidden="1">
      <c r="A153" s="442"/>
      <c r="B153" s="1166" t="s">
        <v>3827</v>
      </c>
      <c r="C153" s="307">
        <f>ROUND(Data!AG419,2)</f>
        <v>947.96</v>
      </c>
      <c r="D153" s="486" t="s">
        <v>1867</v>
      </c>
      <c r="E153" s="526"/>
      <c r="F153" s="1394">
        <f t="shared" si="46"/>
        <v>0</v>
      </c>
      <c r="G153" s="526"/>
      <c r="H153" s="517">
        <f t="shared" si="47"/>
        <v>0</v>
      </c>
      <c r="I153" s="526"/>
      <c r="J153" s="517">
        <f t="shared" si="48"/>
        <v>0</v>
      </c>
      <c r="K153" s="517"/>
      <c r="L153" s="517">
        <f t="shared" si="34"/>
        <v>0</v>
      </c>
      <c r="M153" s="517"/>
      <c r="N153" s="517">
        <f t="shared" si="41"/>
        <v>0</v>
      </c>
      <c r="O153" s="517"/>
      <c r="P153" s="517">
        <f t="shared" si="42"/>
        <v>0</v>
      </c>
      <c r="Q153" s="517"/>
      <c r="R153" s="517"/>
      <c r="S153" s="517"/>
      <c r="T153" s="517">
        <f t="shared" si="44"/>
        <v>0</v>
      </c>
      <c r="U153" s="526"/>
      <c r="V153" s="517">
        <f t="shared" si="45"/>
        <v>0</v>
      </c>
      <c r="W153" s="632" t="e">
        <f>U153+S153+O153+M153+#REF!+K153+I153+G153</f>
        <v>#REF!</v>
      </c>
      <c r="X153" s="517" t="e">
        <f t="shared" si="39"/>
        <v>#REF!</v>
      </c>
      <c r="Y153" s="632" t="e">
        <f t="shared" si="43"/>
        <v>#REF!</v>
      </c>
      <c r="Z153" s="517" t="e">
        <f t="shared" si="49"/>
        <v>#REF!</v>
      </c>
      <c r="AA153" s="675"/>
      <c r="AB153" s="674"/>
    </row>
    <row r="154" spans="1:28" s="301" customFormat="1" hidden="1">
      <c r="A154" s="442"/>
      <c r="B154" s="1166" t="s">
        <v>3828</v>
      </c>
      <c r="C154" s="307">
        <f>Data!AI419</f>
        <v>964.38</v>
      </c>
      <c r="D154" s="486" t="s">
        <v>1867</v>
      </c>
      <c r="E154" s="526"/>
      <c r="F154" s="1394">
        <f t="shared" si="46"/>
        <v>0</v>
      </c>
      <c r="G154" s="526"/>
      <c r="H154" s="517">
        <f t="shared" si="47"/>
        <v>0</v>
      </c>
      <c r="I154" s="526"/>
      <c r="J154" s="517">
        <f t="shared" si="48"/>
        <v>0</v>
      </c>
      <c r="K154" s="517"/>
      <c r="L154" s="517">
        <f t="shared" si="34"/>
        <v>0</v>
      </c>
      <c r="M154" s="517"/>
      <c r="N154" s="517">
        <f t="shared" si="41"/>
        <v>0</v>
      </c>
      <c r="O154" s="517"/>
      <c r="P154" s="517">
        <f t="shared" si="42"/>
        <v>0</v>
      </c>
      <c r="Q154" s="517"/>
      <c r="R154" s="517"/>
      <c r="S154" s="517"/>
      <c r="T154" s="517">
        <f t="shared" si="44"/>
        <v>0</v>
      </c>
      <c r="U154" s="526"/>
      <c r="V154" s="517">
        <f t="shared" si="45"/>
        <v>0</v>
      </c>
      <c r="W154" s="632" t="e">
        <f>U154+S154+O154+M154+#REF!+K154+I154+G154</f>
        <v>#REF!</v>
      </c>
      <c r="X154" s="517" t="e">
        <f t="shared" si="39"/>
        <v>#REF!</v>
      </c>
      <c r="Y154" s="632" t="e">
        <f t="shared" si="43"/>
        <v>#REF!</v>
      </c>
      <c r="Z154" s="517" t="e">
        <f t="shared" si="49"/>
        <v>#REF!</v>
      </c>
      <c r="AA154" s="675"/>
      <c r="AB154" s="674"/>
    </row>
    <row r="155" spans="1:28" s="301" customFormat="1" hidden="1">
      <c r="A155" s="442"/>
      <c r="B155" s="1166" t="s">
        <v>3830</v>
      </c>
      <c r="C155" s="307">
        <f>Data!AI420</f>
        <v>980.8</v>
      </c>
      <c r="D155" s="486" t="s">
        <v>1867</v>
      </c>
      <c r="E155" s="526"/>
      <c r="F155" s="1394">
        <f t="shared" si="46"/>
        <v>0</v>
      </c>
      <c r="G155" s="526"/>
      <c r="H155" s="517">
        <f t="shared" si="47"/>
        <v>0</v>
      </c>
      <c r="I155" s="526"/>
      <c r="J155" s="517">
        <f t="shared" si="48"/>
        <v>0</v>
      </c>
      <c r="K155" s="517"/>
      <c r="L155" s="517">
        <f t="shared" si="34"/>
        <v>0</v>
      </c>
      <c r="M155" s="517"/>
      <c r="N155" s="517">
        <f t="shared" si="41"/>
        <v>0</v>
      </c>
      <c r="O155" s="517"/>
      <c r="P155" s="517">
        <f t="shared" si="42"/>
        <v>0</v>
      </c>
      <c r="Q155" s="517"/>
      <c r="R155" s="517"/>
      <c r="S155" s="517"/>
      <c r="T155" s="517">
        <f t="shared" si="44"/>
        <v>0</v>
      </c>
      <c r="U155" s="526"/>
      <c r="V155" s="517">
        <f t="shared" si="45"/>
        <v>0</v>
      </c>
      <c r="W155" s="632" t="e">
        <f>U155+S155+O155+M155+#REF!+K155+I155+G155</f>
        <v>#REF!</v>
      </c>
      <c r="X155" s="517" t="e">
        <f t="shared" si="39"/>
        <v>#REF!</v>
      </c>
      <c r="Y155" s="632" t="e">
        <f t="shared" si="43"/>
        <v>#REF!</v>
      </c>
      <c r="Z155" s="517" t="e">
        <f t="shared" si="49"/>
        <v>#REF!</v>
      </c>
      <c r="AA155" s="675"/>
      <c r="AB155" s="674"/>
    </row>
    <row r="156" spans="1:28" s="301" customFormat="1" ht="67.5" hidden="1">
      <c r="A156" s="368">
        <v>10.3</v>
      </c>
      <c r="B156" s="1169" t="s">
        <v>5302</v>
      </c>
      <c r="C156" s="307"/>
      <c r="D156" s="486"/>
      <c r="E156" s="526"/>
      <c r="F156" s="1394">
        <f t="shared" si="46"/>
        <v>0</v>
      </c>
      <c r="G156" s="526"/>
      <c r="H156" s="517">
        <f t="shared" si="47"/>
        <v>0</v>
      </c>
      <c r="I156" s="526"/>
      <c r="J156" s="517">
        <f t="shared" si="48"/>
        <v>0</v>
      </c>
      <c r="K156" s="517"/>
      <c r="L156" s="517">
        <f t="shared" si="34"/>
        <v>0</v>
      </c>
      <c r="M156" s="517"/>
      <c r="N156" s="517">
        <f t="shared" si="41"/>
        <v>0</v>
      </c>
      <c r="O156" s="517"/>
      <c r="P156" s="517">
        <f t="shared" si="42"/>
        <v>0</v>
      </c>
      <c r="Q156" s="517"/>
      <c r="R156" s="517"/>
      <c r="S156" s="517"/>
      <c r="T156" s="517">
        <f t="shared" si="44"/>
        <v>0</v>
      </c>
      <c r="U156" s="526"/>
      <c r="V156" s="517">
        <f t="shared" si="45"/>
        <v>0</v>
      </c>
      <c r="W156" s="632" t="e">
        <f>U156+S156+O156+M156+#REF!+K156+I156+G156</f>
        <v>#REF!</v>
      </c>
      <c r="X156" s="517" t="e">
        <f t="shared" si="39"/>
        <v>#REF!</v>
      </c>
      <c r="Y156" s="632" t="e">
        <f t="shared" si="43"/>
        <v>#REF!</v>
      </c>
      <c r="Z156" s="517" t="e">
        <f t="shared" si="49"/>
        <v>#REF!</v>
      </c>
      <c r="AA156" s="675"/>
      <c r="AB156" s="674"/>
    </row>
    <row r="157" spans="1:28" s="301" customFormat="1" hidden="1">
      <c r="A157" s="368"/>
      <c r="B157" s="1166" t="s">
        <v>548</v>
      </c>
      <c r="C157" s="307"/>
      <c r="D157" s="486" t="s">
        <v>1867</v>
      </c>
      <c r="E157" s="526"/>
      <c r="F157" s="1394">
        <f t="shared" si="46"/>
        <v>0</v>
      </c>
      <c r="G157" s="526"/>
      <c r="H157" s="517">
        <f t="shared" si="47"/>
        <v>0</v>
      </c>
      <c r="I157" s="526"/>
      <c r="J157" s="517">
        <f t="shared" si="48"/>
        <v>0</v>
      </c>
      <c r="K157" s="517"/>
      <c r="L157" s="517">
        <f t="shared" si="34"/>
        <v>0</v>
      </c>
      <c r="M157" s="517"/>
      <c r="N157" s="517">
        <f t="shared" si="41"/>
        <v>0</v>
      </c>
      <c r="O157" s="517"/>
      <c r="P157" s="517">
        <f t="shared" si="42"/>
        <v>0</v>
      </c>
      <c r="Q157" s="517"/>
      <c r="R157" s="517"/>
      <c r="S157" s="517"/>
      <c r="T157" s="517">
        <f t="shared" si="44"/>
        <v>0</v>
      </c>
      <c r="U157" s="526"/>
      <c r="V157" s="517">
        <f t="shared" si="45"/>
        <v>0</v>
      </c>
      <c r="W157" s="632" t="e">
        <f>U157+S157+O157+M157+#REF!+K157+I157+G157</f>
        <v>#REF!</v>
      </c>
      <c r="X157" s="517" t="e">
        <f t="shared" si="39"/>
        <v>#REF!</v>
      </c>
      <c r="Y157" s="632" t="e">
        <f t="shared" si="43"/>
        <v>#REF!</v>
      </c>
      <c r="Z157" s="517" t="e">
        <f t="shared" si="49"/>
        <v>#REF!</v>
      </c>
      <c r="AA157" s="675"/>
      <c r="AB157" s="674"/>
    </row>
    <row r="158" spans="1:28" s="301" customFormat="1" hidden="1">
      <c r="A158" s="368"/>
      <c r="B158" s="1166" t="s">
        <v>549</v>
      </c>
      <c r="C158" s="307"/>
      <c r="D158" s="486" t="s">
        <v>1867</v>
      </c>
      <c r="E158" s="526"/>
      <c r="F158" s="1394">
        <f t="shared" si="46"/>
        <v>0</v>
      </c>
      <c r="G158" s="526"/>
      <c r="H158" s="517">
        <f t="shared" si="47"/>
        <v>0</v>
      </c>
      <c r="I158" s="526"/>
      <c r="J158" s="517">
        <f t="shared" si="48"/>
        <v>0</v>
      </c>
      <c r="K158" s="517"/>
      <c r="L158" s="517">
        <f t="shared" ref="L158:L193" si="50">K158*C158</f>
        <v>0</v>
      </c>
      <c r="M158" s="517"/>
      <c r="N158" s="517">
        <f t="shared" ref="N158:N189" si="51">M158*C158</f>
        <v>0</v>
      </c>
      <c r="O158" s="517"/>
      <c r="P158" s="517">
        <f t="shared" ref="P158:P189" si="52">O158*C158</f>
        <v>0</v>
      </c>
      <c r="Q158" s="517"/>
      <c r="R158" s="517"/>
      <c r="S158" s="517"/>
      <c r="T158" s="517">
        <f t="shared" si="44"/>
        <v>0</v>
      </c>
      <c r="U158" s="526"/>
      <c r="V158" s="517">
        <f t="shared" si="45"/>
        <v>0</v>
      </c>
      <c r="W158" s="632" t="e">
        <f>U158+S158+O158+M158+#REF!+K158+I158+G158</f>
        <v>#REF!</v>
      </c>
      <c r="X158" s="517" t="e">
        <f t="shared" si="39"/>
        <v>#REF!</v>
      </c>
      <c r="Y158" s="632" t="e">
        <f t="shared" ref="Y158:Y193" si="53">W158+E158</f>
        <v>#REF!</v>
      </c>
      <c r="Z158" s="517" t="e">
        <f t="shared" si="49"/>
        <v>#REF!</v>
      </c>
      <c r="AA158" s="675"/>
      <c r="AB158" s="674"/>
    </row>
    <row r="159" spans="1:28" s="301" customFormat="1" hidden="1">
      <c r="A159" s="368"/>
      <c r="B159" s="1166" t="s">
        <v>551</v>
      </c>
      <c r="C159" s="307"/>
      <c r="D159" s="486" t="s">
        <v>1867</v>
      </c>
      <c r="E159" s="526"/>
      <c r="F159" s="1394">
        <f t="shared" si="46"/>
        <v>0</v>
      </c>
      <c r="G159" s="526"/>
      <c r="H159" s="517">
        <f t="shared" si="47"/>
        <v>0</v>
      </c>
      <c r="I159" s="526"/>
      <c r="J159" s="517">
        <f t="shared" si="48"/>
        <v>0</v>
      </c>
      <c r="K159" s="517"/>
      <c r="L159" s="517">
        <f t="shared" si="50"/>
        <v>0</v>
      </c>
      <c r="M159" s="517"/>
      <c r="N159" s="517">
        <f t="shared" si="51"/>
        <v>0</v>
      </c>
      <c r="O159" s="517"/>
      <c r="P159" s="517">
        <f t="shared" si="52"/>
        <v>0</v>
      </c>
      <c r="Q159" s="517"/>
      <c r="R159" s="517"/>
      <c r="S159" s="517"/>
      <c r="T159" s="517">
        <f t="shared" si="44"/>
        <v>0</v>
      </c>
      <c r="U159" s="526"/>
      <c r="V159" s="517">
        <f t="shared" si="45"/>
        <v>0</v>
      </c>
      <c r="W159" s="632" t="e">
        <f>U159+S159+O159+M159+#REF!+K159+I159+G159</f>
        <v>#REF!</v>
      </c>
      <c r="X159" s="517" t="e">
        <f t="shared" si="39"/>
        <v>#REF!</v>
      </c>
      <c r="Y159" s="632" t="e">
        <f t="shared" si="53"/>
        <v>#REF!</v>
      </c>
      <c r="Z159" s="517" t="e">
        <f t="shared" si="49"/>
        <v>#REF!</v>
      </c>
      <c r="AA159" s="675"/>
      <c r="AB159" s="674"/>
    </row>
    <row r="160" spans="1:28" s="301" customFormat="1" hidden="1">
      <c r="A160" s="368"/>
      <c r="B160" s="1166" t="s">
        <v>1831</v>
      </c>
      <c r="C160" s="307"/>
      <c r="D160" s="486" t="s">
        <v>1867</v>
      </c>
      <c r="E160" s="526"/>
      <c r="F160" s="1394">
        <f t="shared" si="46"/>
        <v>0</v>
      </c>
      <c r="G160" s="526"/>
      <c r="H160" s="517">
        <f t="shared" si="47"/>
        <v>0</v>
      </c>
      <c r="I160" s="526"/>
      <c r="J160" s="517">
        <f t="shared" si="48"/>
        <v>0</v>
      </c>
      <c r="K160" s="517"/>
      <c r="L160" s="517">
        <f t="shared" si="50"/>
        <v>0</v>
      </c>
      <c r="M160" s="517"/>
      <c r="N160" s="517">
        <f t="shared" si="51"/>
        <v>0</v>
      </c>
      <c r="O160" s="517"/>
      <c r="P160" s="517">
        <f t="shared" si="52"/>
        <v>0</v>
      </c>
      <c r="Q160" s="517"/>
      <c r="R160" s="517"/>
      <c r="S160" s="517"/>
      <c r="T160" s="517">
        <f t="shared" si="44"/>
        <v>0</v>
      </c>
      <c r="U160" s="526"/>
      <c r="V160" s="517">
        <f t="shared" si="45"/>
        <v>0</v>
      </c>
      <c r="W160" s="632" t="e">
        <f>U160+S160+O160+M160+#REF!+K160+I160+G160</f>
        <v>#REF!</v>
      </c>
      <c r="X160" s="517" t="e">
        <f t="shared" si="39"/>
        <v>#REF!</v>
      </c>
      <c r="Y160" s="632" t="e">
        <f t="shared" si="53"/>
        <v>#REF!</v>
      </c>
      <c r="Z160" s="517" t="e">
        <f t="shared" si="49"/>
        <v>#REF!</v>
      </c>
      <c r="AA160" s="675"/>
      <c r="AB160" s="674"/>
    </row>
    <row r="161" spans="1:29" s="301" customFormat="1" hidden="1">
      <c r="A161" s="368"/>
      <c r="B161" s="1166" t="s">
        <v>2240</v>
      </c>
      <c r="C161" s="307"/>
      <c r="D161" s="486" t="s">
        <v>1867</v>
      </c>
      <c r="E161" s="526"/>
      <c r="F161" s="1394">
        <f t="shared" si="46"/>
        <v>0</v>
      </c>
      <c r="G161" s="526"/>
      <c r="H161" s="517">
        <f t="shared" si="47"/>
        <v>0</v>
      </c>
      <c r="I161" s="526"/>
      <c r="J161" s="517">
        <f t="shared" si="48"/>
        <v>0</v>
      </c>
      <c r="K161" s="517"/>
      <c r="L161" s="517">
        <f t="shared" si="50"/>
        <v>0</v>
      </c>
      <c r="M161" s="517"/>
      <c r="N161" s="517">
        <f t="shared" si="51"/>
        <v>0</v>
      </c>
      <c r="O161" s="517"/>
      <c r="P161" s="517">
        <f t="shared" si="52"/>
        <v>0</v>
      </c>
      <c r="Q161" s="517"/>
      <c r="R161" s="517"/>
      <c r="S161" s="517"/>
      <c r="T161" s="517">
        <f t="shared" si="44"/>
        <v>0</v>
      </c>
      <c r="U161" s="526"/>
      <c r="V161" s="517">
        <f t="shared" si="45"/>
        <v>0</v>
      </c>
      <c r="W161" s="632" t="e">
        <f>U161+S161+O161+M161+#REF!+K161+I161+G161</f>
        <v>#REF!</v>
      </c>
      <c r="X161" s="517" t="e">
        <f t="shared" si="39"/>
        <v>#REF!</v>
      </c>
      <c r="Y161" s="632" t="e">
        <f t="shared" si="53"/>
        <v>#REF!</v>
      </c>
      <c r="Z161" s="517" t="e">
        <f t="shared" si="49"/>
        <v>#REF!</v>
      </c>
      <c r="AA161" s="675"/>
      <c r="AB161" s="674"/>
    </row>
    <row r="162" spans="1:29" s="301" customFormat="1" hidden="1">
      <c r="A162" s="442"/>
      <c r="B162" s="1166" t="s">
        <v>1082</v>
      </c>
      <c r="C162" s="307"/>
      <c r="D162" s="486" t="s">
        <v>1867</v>
      </c>
      <c r="E162" s="526"/>
      <c r="F162" s="1394">
        <f t="shared" si="46"/>
        <v>0</v>
      </c>
      <c r="G162" s="526"/>
      <c r="H162" s="517">
        <f t="shared" si="47"/>
        <v>0</v>
      </c>
      <c r="I162" s="526"/>
      <c r="J162" s="517">
        <f t="shared" si="48"/>
        <v>0</v>
      </c>
      <c r="K162" s="517"/>
      <c r="L162" s="517">
        <f t="shared" si="50"/>
        <v>0</v>
      </c>
      <c r="M162" s="517"/>
      <c r="N162" s="517">
        <f t="shared" si="51"/>
        <v>0</v>
      </c>
      <c r="O162" s="517"/>
      <c r="P162" s="517">
        <f t="shared" si="52"/>
        <v>0</v>
      </c>
      <c r="Q162" s="517"/>
      <c r="R162" s="517"/>
      <c r="S162" s="517"/>
      <c r="T162" s="517">
        <f t="shared" si="44"/>
        <v>0</v>
      </c>
      <c r="U162" s="526"/>
      <c r="V162" s="517">
        <f t="shared" si="45"/>
        <v>0</v>
      </c>
      <c r="W162" s="632" t="e">
        <f>U162+S162+O162+M162+#REF!+K162+I162+G162</f>
        <v>#REF!</v>
      </c>
      <c r="X162" s="517" t="e">
        <f t="shared" si="39"/>
        <v>#REF!</v>
      </c>
      <c r="Y162" s="632" t="e">
        <f t="shared" si="53"/>
        <v>#REF!</v>
      </c>
      <c r="Z162" s="517" t="e">
        <f t="shared" si="49"/>
        <v>#REF!</v>
      </c>
      <c r="AA162" s="675"/>
      <c r="AB162" s="674"/>
    </row>
    <row r="163" spans="1:29" s="301" customFormat="1" ht="67.5" hidden="1">
      <c r="A163" s="368">
        <v>10.4</v>
      </c>
      <c r="B163" s="1169" t="s">
        <v>5303</v>
      </c>
      <c r="C163" s="307"/>
      <c r="D163" s="486"/>
      <c r="E163" s="526"/>
      <c r="F163" s="1394">
        <f t="shared" si="46"/>
        <v>0</v>
      </c>
      <c r="G163" s="526"/>
      <c r="H163" s="517">
        <f t="shared" si="47"/>
        <v>0</v>
      </c>
      <c r="I163" s="526"/>
      <c r="J163" s="517">
        <f t="shared" si="48"/>
        <v>0</v>
      </c>
      <c r="K163" s="517"/>
      <c r="L163" s="517">
        <f t="shared" si="50"/>
        <v>0</v>
      </c>
      <c r="M163" s="517"/>
      <c r="N163" s="517">
        <f t="shared" si="51"/>
        <v>0</v>
      </c>
      <c r="O163" s="517"/>
      <c r="P163" s="517">
        <f t="shared" si="52"/>
        <v>0</v>
      </c>
      <c r="Q163" s="517"/>
      <c r="R163" s="517"/>
      <c r="S163" s="517"/>
      <c r="T163" s="517">
        <f t="shared" si="44"/>
        <v>0</v>
      </c>
      <c r="U163" s="526"/>
      <c r="V163" s="517">
        <f t="shared" si="45"/>
        <v>0</v>
      </c>
      <c r="W163" s="632" t="e">
        <f>U163+S163+O163+M163+#REF!+K163+I163+G163</f>
        <v>#REF!</v>
      </c>
      <c r="X163" s="517" t="e">
        <f t="shared" si="39"/>
        <v>#REF!</v>
      </c>
      <c r="Y163" s="632" t="e">
        <f t="shared" si="53"/>
        <v>#REF!</v>
      </c>
      <c r="Z163" s="517" t="e">
        <f t="shared" si="49"/>
        <v>#REF!</v>
      </c>
      <c r="AA163" s="675"/>
      <c r="AB163" s="674"/>
    </row>
    <row r="164" spans="1:29" s="301" customFormat="1" hidden="1">
      <c r="A164" s="368"/>
      <c r="B164" s="1166" t="s">
        <v>548</v>
      </c>
      <c r="C164" s="307"/>
      <c r="D164" s="486" t="s">
        <v>1867</v>
      </c>
      <c r="E164" s="526"/>
      <c r="F164" s="1394">
        <f t="shared" si="46"/>
        <v>0</v>
      </c>
      <c r="G164" s="526"/>
      <c r="H164" s="517">
        <f t="shared" si="47"/>
        <v>0</v>
      </c>
      <c r="I164" s="526"/>
      <c r="J164" s="517">
        <f t="shared" si="48"/>
        <v>0</v>
      </c>
      <c r="K164" s="517"/>
      <c r="L164" s="517">
        <f t="shared" si="50"/>
        <v>0</v>
      </c>
      <c r="M164" s="517"/>
      <c r="N164" s="517">
        <f t="shared" si="51"/>
        <v>0</v>
      </c>
      <c r="O164" s="517"/>
      <c r="P164" s="517">
        <f t="shared" si="52"/>
        <v>0</v>
      </c>
      <c r="Q164" s="517"/>
      <c r="R164" s="517"/>
      <c r="S164" s="517"/>
      <c r="T164" s="517">
        <f t="shared" si="44"/>
        <v>0</v>
      </c>
      <c r="U164" s="526"/>
      <c r="V164" s="517">
        <f t="shared" si="45"/>
        <v>0</v>
      </c>
      <c r="W164" s="632" t="e">
        <f>U164+S164+O164+M164+#REF!+K164+I164+G164</f>
        <v>#REF!</v>
      </c>
      <c r="X164" s="517" t="e">
        <f t="shared" si="39"/>
        <v>#REF!</v>
      </c>
      <c r="Y164" s="632" t="e">
        <f t="shared" si="53"/>
        <v>#REF!</v>
      </c>
      <c r="Z164" s="517" t="e">
        <f t="shared" si="49"/>
        <v>#REF!</v>
      </c>
      <c r="AA164" s="675"/>
      <c r="AB164" s="674"/>
    </row>
    <row r="165" spans="1:29" s="301" customFormat="1" hidden="1">
      <c r="A165" s="368"/>
      <c r="B165" s="1166" t="s">
        <v>549</v>
      </c>
      <c r="C165" s="307"/>
      <c r="D165" s="486" t="s">
        <v>1867</v>
      </c>
      <c r="E165" s="526"/>
      <c r="F165" s="1394">
        <f t="shared" si="46"/>
        <v>0</v>
      </c>
      <c r="G165" s="526"/>
      <c r="H165" s="517">
        <f t="shared" si="47"/>
        <v>0</v>
      </c>
      <c r="I165" s="526"/>
      <c r="J165" s="517">
        <f t="shared" si="48"/>
        <v>0</v>
      </c>
      <c r="K165" s="517"/>
      <c r="L165" s="517">
        <f t="shared" si="50"/>
        <v>0</v>
      </c>
      <c r="M165" s="517"/>
      <c r="N165" s="517">
        <f t="shared" si="51"/>
        <v>0</v>
      </c>
      <c r="O165" s="517"/>
      <c r="P165" s="517">
        <f t="shared" si="52"/>
        <v>0</v>
      </c>
      <c r="Q165" s="517"/>
      <c r="R165" s="517"/>
      <c r="S165" s="517"/>
      <c r="T165" s="517">
        <f t="shared" si="44"/>
        <v>0</v>
      </c>
      <c r="U165" s="526"/>
      <c r="V165" s="517">
        <f t="shared" si="45"/>
        <v>0</v>
      </c>
      <c r="W165" s="632" t="e">
        <f>U165+S165+O165+M165+#REF!+K165+I165+G165</f>
        <v>#REF!</v>
      </c>
      <c r="X165" s="517" t="e">
        <f t="shared" si="39"/>
        <v>#REF!</v>
      </c>
      <c r="Y165" s="632" t="e">
        <f t="shared" si="53"/>
        <v>#REF!</v>
      </c>
      <c r="Z165" s="517" t="e">
        <f t="shared" si="49"/>
        <v>#REF!</v>
      </c>
      <c r="AA165" s="675"/>
      <c r="AB165" s="674"/>
    </row>
    <row r="166" spans="1:29" s="301" customFormat="1" hidden="1">
      <c r="A166" s="368"/>
      <c r="B166" s="1166" t="s">
        <v>551</v>
      </c>
      <c r="C166" s="307"/>
      <c r="D166" s="486" t="s">
        <v>1867</v>
      </c>
      <c r="E166" s="526"/>
      <c r="F166" s="1394">
        <f t="shared" si="46"/>
        <v>0</v>
      </c>
      <c r="G166" s="526"/>
      <c r="H166" s="517">
        <f t="shared" si="47"/>
        <v>0</v>
      </c>
      <c r="I166" s="526"/>
      <c r="J166" s="517">
        <f t="shared" si="48"/>
        <v>0</v>
      </c>
      <c r="K166" s="517"/>
      <c r="L166" s="517">
        <f t="shared" si="50"/>
        <v>0</v>
      </c>
      <c r="M166" s="517"/>
      <c r="N166" s="517">
        <f t="shared" si="51"/>
        <v>0</v>
      </c>
      <c r="O166" s="517"/>
      <c r="P166" s="517">
        <f t="shared" si="52"/>
        <v>0</v>
      </c>
      <c r="Q166" s="517"/>
      <c r="R166" s="517"/>
      <c r="S166" s="517"/>
      <c r="T166" s="517">
        <f t="shared" si="44"/>
        <v>0</v>
      </c>
      <c r="U166" s="526"/>
      <c r="V166" s="517">
        <f t="shared" si="45"/>
        <v>0</v>
      </c>
      <c r="W166" s="632" t="e">
        <f>U166+S166+O166+M166+#REF!+K166+I166+G166</f>
        <v>#REF!</v>
      </c>
      <c r="X166" s="517" t="e">
        <f t="shared" si="39"/>
        <v>#REF!</v>
      </c>
      <c r="Y166" s="632" t="e">
        <f t="shared" si="53"/>
        <v>#REF!</v>
      </c>
      <c r="Z166" s="517" t="e">
        <f t="shared" si="49"/>
        <v>#REF!</v>
      </c>
      <c r="AA166" s="675"/>
      <c r="AB166" s="674"/>
    </row>
    <row r="167" spans="1:29" s="301" customFormat="1" hidden="1">
      <c r="A167" s="368"/>
      <c r="B167" s="1166" t="s">
        <v>1831</v>
      </c>
      <c r="C167" s="307"/>
      <c r="D167" s="486" t="s">
        <v>1867</v>
      </c>
      <c r="E167" s="526"/>
      <c r="F167" s="1394">
        <f t="shared" si="46"/>
        <v>0</v>
      </c>
      <c r="G167" s="526"/>
      <c r="H167" s="517">
        <f t="shared" si="47"/>
        <v>0</v>
      </c>
      <c r="I167" s="526"/>
      <c r="J167" s="517">
        <f t="shared" si="48"/>
        <v>0</v>
      </c>
      <c r="K167" s="517"/>
      <c r="L167" s="517">
        <f t="shared" si="50"/>
        <v>0</v>
      </c>
      <c r="M167" s="517"/>
      <c r="N167" s="517">
        <f t="shared" si="51"/>
        <v>0</v>
      </c>
      <c r="O167" s="517"/>
      <c r="P167" s="517">
        <f t="shared" si="52"/>
        <v>0</v>
      </c>
      <c r="Q167" s="517"/>
      <c r="R167" s="517"/>
      <c r="S167" s="517"/>
      <c r="T167" s="517">
        <f t="shared" si="44"/>
        <v>0</v>
      </c>
      <c r="U167" s="526"/>
      <c r="V167" s="517">
        <f t="shared" si="45"/>
        <v>0</v>
      </c>
      <c r="W167" s="632" t="e">
        <f>U167+S167+O167+M167+#REF!+K167+I167+G167</f>
        <v>#REF!</v>
      </c>
      <c r="X167" s="517" t="e">
        <f t="shared" si="39"/>
        <v>#REF!</v>
      </c>
      <c r="Y167" s="632" t="e">
        <f t="shared" si="53"/>
        <v>#REF!</v>
      </c>
      <c r="Z167" s="517" t="e">
        <f t="shared" si="49"/>
        <v>#REF!</v>
      </c>
      <c r="AA167" s="675"/>
      <c r="AB167" s="674"/>
    </row>
    <row r="168" spans="1:29" s="301" customFormat="1" hidden="1">
      <c r="A168" s="368"/>
      <c r="B168" s="1166" t="s">
        <v>2240</v>
      </c>
      <c r="C168" s="307"/>
      <c r="D168" s="486" t="s">
        <v>1867</v>
      </c>
      <c r="E168" s="526"/>
      <c r="F168" s="1394">
        <f t="shared" si="46"/>
        <v>0</v>
      </c>
      <c r="G168" s="526"/>
      <c r="H168" s="517">
        <f t="shared" si="47"/>
        <v>0</v>
      </c>
      <c r="I168" s="526"/>
      <c r="J168" s="517">
        <f t="shared" si="48"/>
        <v>0</v>
      </c>
      <c r="K168" s="517"/>
      <c r="L168" s="517">
        <f t="shared" si="50"/>
        <v>0</v>
      </c>
      <c r="M168" s="517"/>
      <c r="N168" s="517">
        <f t="shared" si="51"/>
        <v>0</v>
      </c>
      <c r="O168" s="517"/>
      <c r="P168" s="517">
        <f t="shared" si="52"/>
        <v>0</v>
      </c>
      <c r="Q168" s="517"/>
      <c r="R168" s="517"/>
      <c r="S168" s="517"/>
      <c r="T168" s="517">
        <f t="shared" si="44"/>
        <v>0</v>
      </c>
      <c r="U168" s="526"/>
      <c r="V168" s="517">
        <f t="shared" si="45"/>
        <v>0</v>
      </c>
      <c r="W168" s="632" t="e">
        <f>U168+S168+O168+M168+#REF!+K168+I168+G168</f>
        <v>#REF!</v>
      </c>
      <c r="X168" s="517" t="e">
        <f t="shared" si="39"/>
        <v>#REF!</v>
      </c>
      <c r="Y168" s="632" t="e">
        <f t="shared" si="53"/>
        <v>#REF!</v>
      </c>
      <c r="Z168" s="517" t="e">
        <f t="shared" si="49"/>
        <v>#REF!</v>
      </c>
      <c r="AA168" s="675"/>
      <c r="AB168" s="674"/>
    </row>
    <row r="169" spans="1:29" s="301" customFormat="1" hidden="1">
      <c r="A169" s="442"/>
      <c r="B169" s="1166" t="s">
        <v>1082</v>
      </c>
      <c r="C169" s="307"/>
      <c r="D169" s="486" t="s">
        <v>1867</v>
      </c>
      <c r="E169" s="526"/>
      <c r="F169" s="1394">
        <f t="shared" si="46"/>
        <v>0</v>
      </c>
      <c r="G169" s="526"/>
      <c r="H169" s="517">
        <f t="shared" si="47"/>
        <v>0</v>
      </c>
      <c r="I169" s="526"/>
      <c r="J169" s="517">
        <f t="shared" si="48"/>
        <v>0</v>
      </c>
      <c r="K169" s="517"/>
      <c r="L169" s="517">
        <f t="shared" si="50"/>
        <v>0</v>
      </c>
      <c r="M169" s="517"/>
      <c r="N169" s="517">
        <f t="shared" si="51"/>
        <v>0</v>
      </c>
      <c r="O169" s="517"/>
      <c r="P169" s="517">
        <f t="shared" si="52"/>
        <v>0</v>
      </c>
      <c r="Q169" s="517"/>
      <c r="R169" s="517"/>
      <c r="S169" s="517"/>
      <c r="T169" s="517">
        <f t="shared" si="44"/>
        <v>0</v>
      </c>
      <c r="U169" s="526"/>
      <c r="V169" s="517">
        <f t="shared" si="45"/>
        <v>0</v>
      </c>
      <c r="W169" s="632" t="e">
        <f>U169+S169+O169+M169+#REF!+K169+I169+G169</f>
        <v>#REF!</v>
      </c>
      <c r="X169" s="517" t="e">
        <f t="shared" si="39"/>
        <v>#REF!</v>
      </c>
      <c r="Y169" s="632" t="e">
        <f t="shared" si="53"/>
        <v>#REF!</v>
      </c>
      <c r="Z169" s="517" t="e">
        <f t="shared" si="49"/>
        <v>#REF!</v>
      </c>
      <c r="AA169" s="675"/>
      <c r="AB169" s="674"/>
    </row>
    <row r="170" spans="1:29" s="475" customFormat="1" ht="67.5">
      <c r="A170" s="1635">
        <v>10.5</v>
      </c>
      <c r="B170" s="1170" t="s">
        <v>5304</v>
      </c>
      <c r="C170" s="1636"/>
      <c r="D170" s="1611"/>
      <c r="E170" s="1616"/>
      <c r="F170" s="1617">
        <f t="shared" si="46"/>
        <v>0</v>
      </c>
      <c r="G170" s="1616"/>
      <c r="H170" s="1618">
        <f t="shared" si="47"/>
        <v>0</v>
      </c>
      <c r="I170" s="1616"/>
      <c r="J170" s="1618">
        <f t="shared" si="48"/>
        <v>0</v>
      </c>
      <c r="K170" s="1618"/>
      <c r="L170" s="1618">
        <f t="shared" si="50"/>
        <v>0</v>
      </c>
      <c r="M170" s="1618"/>
      <c r="N170" s="1618">
        <f t="shared" si="51"/>
        <v>0</v>
      </c>
      <c r="O170" s="1618"/>
      <c r="P170" s="1618">
        <f t="shared" si="52"/>
        <v>0</v>
      </c>
      <c r="Q170" s="1618"/>
      <c r="R170" s="1618">
        <f t="shared" ref="R170:R176" si="54">Q170*C170</f>
        <v>0</v>
      </c>
      <c r="S170" s="1618"/>
      <c r="T170" s="1618">
        <f t="shared" si="44"/>
        <v>0</v>
      </c>
      <c r="U170" s="1616"/>
      <c r="V170" s="1618">
        <f t="shared" si="45"/>
        <v>0</v>
      </c>
      <c r="W170" s="1619" t="e">
        <f>U170+S170+O170+M170+#REF!+K170+I170+G170+Q170</f>
        <v>#REF!</v>
      </c>
      <c r="X170" s="1618" t="e">
        <f t="shared" si="39"/>
        <v>#REF!</v>
      </c>
      <c r="Y170" s="1619" t="e">
        <f t="shared" si="53"/>
        <v>#REF!</v>
      </c>
      <c r="Z170" s="1618" t="e">
        <f t="shared" si="49"/>
        <v>#REF!</v>
      </c>
      <c r="AA170" s="533"/>
      <c r="AB170" s="674"/>
      <c r="AC170" s="474"/>
    </row>
    <row r="171" spans="1:29" s="475" customFormat="1">
      <c r="A171" s="1635"/>
      <c r="B171" s="1172" t="s">
        <v>548</v>
      </c>
      <c r="C171" s="1636">
        <f>ROUND(Data!K397,2)</f>
        <v>738.51</v>
      </c>
      <c r="D171" s="1611" t="s">
        <v>1867</v>
      </c>
      <c r="E171" s="1616"/>
      <c r="F171" s="1617">
        <f t="shared" si="46"/>
        <v>0</v>
      </c>
      <c r="G171" s="1616"/>
      <c r="H171" s="1618">
        <f t="shared" si="47"/>
        <v>0</v>
      </c>
      <c r="I171" s="1616">
        <f>Sump!H27</f>
        <v>77.2</v>
      </c>
      <c r="J171" s="1618">
        <f t="shared" si="48"/>
        <v>57012.97</v>
      </c>
      <c r="K171" s="1618">
        <f>'Plinth '!I35</f>
        <v>48.9</v>
      </c>
      <c r="L171" s="1618">
        <f t="shared" si="50"/>
        <v>36113.14</v>
      </c>
      <c r="M171" s="1618"/>
      <c r="N171" s="1618">
        <f t="shared" si="51"/>
        <v>0</v>
      </c>
      <c r="O171" s="1618">
        <f>Sullage!H23</f>
        <v>104.8</v>
      </c>
      <c r="P171" s="1618">
        <f t="shared" si="52"/>
        <v>77395.850000000006</v>
      </c>
      <c r="Q171" s="1618"/>
      <c r="R171" s="1618">
        <f t="shared" si="54"/>
        <v>0</v>
      </c>
      <c r="S171" s="1618"/>
      <c r="T171" s="1618">
        <f t="shared" si="44"/>
        <v>0</v>
      </c>
      <c r="U171" s="1616"/>
      <c r="V171" s="1618">
        <f t="shared" si="45"/>
        <v>0</v>
      </c>
      <c r="W171" s="1619" t="e">
        <f>U171+S171+O171+M171+#REF!+K171+I171+G171+Q171</f>
        <v>#REF!</v>
      </c>
      <c r="X171" s="1618" t="e">
        <f t="shared" si="39"/>
        <v>#REF!</v>
      </c>
      <c r="Y171" s="1619" t="e">
        <f t="shared" si="53"/>
        <v>#REF!</v>
      </c>
      <c r="Z171" s="1618" t="e">
        <f t="shared" si="49"/>
        <v>#REF!</v>
      </c>
      <c r="AA171" s="674"/>
      <c r="AB171" s="674"/>
    </row>
    <row r="172" spans="1:29" s="475" customFormat="1">
      <c r="A172" s="1635"/>
      <c r="B172" s="1172" t="s">
        <v>549</v>
      </c>
      <c r="C172" s="1636">
        <v>745.99</v>
      </c>
      <c r="D172" s="1611" t="s">
        <v>1867</v>
      </c>
      <c r="E172" s="1616">
        <f>station!I437</f>
        <v>56.2</v>
      </c>
      <c r="F172" s="1617">
        <f t="shared" si="46"/>
        <v>41924.639999999999</v>
      </c>
      <c r="G172" s="1616"/>
      <c r="H172" s="1618">
        <f t="shared" si="47"/>
        <v>0</v>
      </c>
      <c r="I172" s="1616"/>
      <c r="J172" s="1618">
        <f t="shared" si="48"/>
        <v>0</v>
      </c>
      <c r="K172" s="1618"/>
      <c r="L172" s="1618">
        <f t="shared" si="50"/>
        <v>0</v>
      </c>
      <c r="M172" s="1618"/>
      <c r="N172" s="1618">
        <f t="shared" si="51"/>
        <v>0</v>
      </c>
      <c r="O172" s="1618"/>
      <c r="P172" s="1618">
        <f t="shared" si="52"/>
        <v>0</v>
      </c>
      <c r="Q172" s="1618"/>
      <c r="R172" s="1618">
        <f t="shared" si="54"/>
        <v>0</v>
      </c>
      <c r="S172" s="1618"/>
      <c r="T172" s="1618">
        <f t="shared" si="44"/>
        <v>0</v>
      </c>
      <c r="U172" s="1616"/>
      <c r="V172" s="1618">
        <f t="shared" si="45"/>
        <v>0</v>
      </c>
      <c r="W172" s="1619" t="e">
        <f>U172+S172+O172+M172+#REF!+K172+I172+G172+Q172</f>
        <v>#REF!</v>
      </c>
      <c r="X172" s="1618" t="e">
        <f t="shared" si="39"/>
        <v>#REF!</v>
      </c>
      <c r="Y172" s="1619" t="e">
        <f t="shared" si="53"/>
        <v>#REF!</v>
      </c>
      <c r="Z172" s="1618" t="e">
        <f t="shared" si="49"/>
        <v>#REF!</v>
      </c>
      <c r="AA172" s="674"/>
      <c r="AB172" s="674"/>
    </row>
    <row r="173" spans="1:29" s="475" customFormat="1">
      <c r="A173" s="1635"/>
      <c r="B173" s="1172" t="s">
        <v>551</v>
      </c>
      <c r="C173" s="1636">
        <v>761.08</v>
      </c>
      <c r="D173" s="1611" t="s">
        <v>1867</v>
      </c>
      <c r="E173" s="1616">
        <f>station!I447</f>
        <v>48.8</v>
      </c>
      <c r="F173" s="1617">
        <f t="shared" si="46"/>
        <v>37140.699999999997</v>
      </c>
      <c r="G173" s="1616"/>
      <c r="H173" s="1618">
        <f t="shared" si="47"/>
        <v>0</v>
      </c>
      <c r="I173" s="1616"/>
      <c r="J173" s="1618">
        <f t="shared" si="48"/>
        <v>0</v>
      </c>
      <c r="K173" s="1618"/>
      <c r="L173" s="1618">
        <f t="shared" si="50"/>
        <v>0</v>
      </c>
      <c r="M173" s="1618"/>
      <c r="N173" s="1618">
        <f t="shared" si="51"/>
        <v>0</v>
      </c>
      <c r="O173" s="1618"/>
      <c r="P173" s="1618">
        <f t="shared" si="52"/>
        <v>0</v>
      </c>
      <c r="Q173" s="1618"/>
      <c r="R173" s="1618">
        <f t="shared" si="54"/>
        <v>0</v>
      </c>
      <c r="S173" s="1618"/>
      <c r="T173" s="1618">
        <f t="shared" si="44"/>
        <v>0</v>
      </c>
      <c r="U173" s="1616"/>
      <c r="V173" s="1618">
        <f t="shared" si="45"/>
        <v>0</v>
      </c>
      <c r="W173" s="1619" t="e">
        <f>U173+S173+O173+M173+#REF!+K173+I173+G173+Q173</f>
        <v>#REF!</v>
      </c>
      <c r="X173" s="1618" t="e">
        <f t="shared" si="39"/>
        <v>#REF!</v>
      </c>
      <c r="Y173" s="1619" t="e">
        <f t="shared" si="53"/>
        <v>#REF!</v>
      </c>
      <c r="Z173" s="1618" t="e">
        <f t="shared" ref="Z173:Z189" si="55">Y173*C173</f>
        <v>#REF!</v>
      </c>
      <c r="AA173" s="674"/>
      <c r="AB173" s="674"/>
    </row>
    <row r="174" spans="1:29" s="475" customFormat="1">
      <c r="A174" s="1638"/>
      <c r="B174" s="1173" t="s">
        <v>1831</v>
      </c>
      <c r="C174" s="1639">
        <v>776.17</v>
      </c>
      <c r="D174" s="1640" t="s">
        <v>1867</v>
      </c>
      <c r="E174" s="1616"/>
      <c r="F174" s="1617">
        <f t="shared" si="46"/>
        <v>0</v>
      </c>
      <c r="G174" s="1616"/>
      <c r="H174" s="1618">
        <f t="shared" si="47"/>
        <v>0</v>
      </c>
      <c r="I174" s="1616"/>
      <c r="J174" s="1618">
        <f t="shared" si="48"/>
        <v>0</v>
      </c>
      <c r="K174" s="1618"/>
      <c r="L174" s="1618">
        <f t="shared" si="50"/>
        <v>0</v>
      </c>
      <c r="M174" s="1618"/>
      <c r="N174" s="1618">
        <f t="shared" si="51"/>
        <v>0</v>
      </c>
      <c r="O174" s="1618"/>
      <c r="P174" s="1618">
        <f t="shared" si="52"/>
        <v>0</v>
      </c>
      <c r="Q174" s="1618"/>
      <c r="R174" s="1618">
        <f t="shared" si="54"/>
        <v>0</v>
      </c>
      <c r="S174" s="1618"/>
      <c r="T174" s="1618">
        <f t="shared" si="44"/>
        <v>0</v>
      </c>
      <c r="U174" s="1616"/>
      <c r="V174" s="1618">
        <f t="shared" si="45"/>
        <v>0</v>
      </c>
      <c r="W174" s="1619" t="e">
        <f>U174+S174+O174+M174+#REF!+K174+I174+G174+Q174</f>
        <v>#REF!</v>
      </c>
      <c r="X174" s="1618" t="e">
        <f t="shared" si="39"/>
        <v>#REF!</v>
      </c>
      <c r="Y174" s="1619" t="e">
        <f t="shared" si="53"/>
        <v>#REF!</v>
      </c>
      <c r="Z174" s="1618" t="e">
        <f t="shared" si="55"/>
        <v>#REF!</v>
      </c>
      <c r="AA174" s="674"/>
      <c r="AB174" s="674"/>
    </row>
    <row r="175" spans="1:29" s="475" customFormat="1">
      <c r="A175" s="1635"/>
      <c r="B175" s="1172" t="s">
        <v>2240</v>
      </c>
      <c r="C175" s="1636">
        <v>791.26</v>
      </c>
      <c r="D175" s="1611" t="s">
        <v>1867</v>
      </c>
      <c r="E175" s="1616"/>
      <c r="F175" s="1617">
        <f t="shared" si="46"/>
        <v>0</v>
      </c>
      <c r="G175" s="1616"/>
      <c r="H175" s="1618">
        <f t="shared" si="47"/>
        <v>0</v>
      </c>
      <c r="I175" s="1616"/>
      <c r="J175" s="1618">
        <f t="shared" si="48"/>
        <v>0</v>
      </c>
      <c r="K175" s="1618"/>
      <c r="L175" s="1618">
        <f t="shared" si="50"/>
        <v>0</v>
      </c>
      <c r="M175" s="1618"/>
      <c r="N175" s="1618">
        <f t="shared" si="51"/>
        <v>0</v>
      </c>
      <c r="O175" s="1618"/>
      <c r="P175" s="1618">
        <f t="shared" si="52"/>
        <v>0</v>
      </c>
      <c r="Q175" s="1618"/>
      <c r="R175" s="1618">
        <f t="shared" si="54"/>
        <v>0</v>
      </c>
      <c r="S175" s="1618"/>
      <c r="T175" s="1618">
        <f t="shared" si="44"/>
        <v>0</v>
      </c>
      <c r="U175" s="1616"/>
      <c r="V175" s="1618">
        <f t="shared" si="45"/>
        <v>0</v>
      </c>
      <c r="W175" s="1619" t="e">
        <f>U175+S175+O175+M175+#REF!+K175+I175+G175+Q175</f>
        <v>#REF!</v>
      </c>
      <c r="X175" s="1618" t="e">
        <f t="shared" si="39"/>
        <v>#REF!</v>
      </c>
      <c r="Y175" s="1619" t="e">
        <f t="shared" si="53"/>
        <v>#REF!</v>
      </c>
      <c r="Z175" s="1618" t="e">
        <f t="shared" si="55"/>
        <v>#REF!</v>
      </c>
      <c r="AA175" s="674"/>
      <c r="AB175" s="674"/>
    </row>
    <row r="176" spans="1:29" s="301" customFormat="1">
      <c r="A176" s="1642"/>
      <c r="B176" s="1166" t="s">
        <v>1082</v>
      </c>
      <c r="C176" s="1637">
        <f>ROUND(Data!K403,2)</f>
        <v>809.76</v>
      </c>
      <c r="D176" s="1631" t="s">
        <v>1867</v>
      </c>
      <c r="E176" s="1616"/>
      <c r="F176" s="1617">
        <f t="shared" si="46"/>
        <v>0</v>
      </c>
      <c r="G176" s="1616"/>
      <c r="H176" s="1618">
        <f t="shared" si="47"/>
        <v>0</v>
      </c>
      <c r="I176" s="1616"/>
      <c r="J176" s="1618">
        <f t="shared" si="48"/>
        <v>0</v>
      </c>
      <c r="K176" s="1618"/>
      <c r="L176" s="1618">
        <f t="shared" si="50"/>
        <v>0</v>
      </c>
      <c r="M176" s="1618"/>
      <c r="N176" s="1618">
        <f t="shared" si="51"/>
        <v>0</v>
      </c>
      <c r="O176" s="1618"/>
      <c r="P176" s="1618">
        <f t="shared" si="52"/>
        <v>0</v>
      </c>
      <c r="Q176" s="1618"/>
      <c r="R176" s="1618">
        <f t="shared" si="54"/>
        <v>0</v>
      </c>
      <c r="S176" s="1618"/>
      <c r="T176" s="1618">
        <f t="shared" si="44"/>
        <v>0</v>
      </c>
      <c r="U176" s="1616"/>
      <c r="V176" s="1618">
        <f t="shared" si="45"/>
        <v>0</v>
      </c>
      <c r="W176" s="1619" t="e">
        <f>U176+S176+O176+M176+#REF!+K176+I176+G176+Q176</f>
        <v>#REF!</v>
      </c>
      <c r="X176" s="1618" t="e">
        <f t="shared" si="39"/>
        <v>#REF!</v>
      </c>
      <c r="Y176" s="1619" t="e">
        <f t="shared" si="53"/>
        <v>#REF!</v>
      </c>
      <c r="Z176" s="1618" t="e">
        <f t="shared" si="55"/>
        <v>#REF!</v>
      </c>
      <c r="AA176" s="675"/>
      <c r="AB176" s="674"/>
    </row>
    <row r="177" spans="1:28" s="301" customFormat="1" ht="67.5" hidden="1">
      <c r="A177" s="368">
        <v>10.6</v>
      </c>
      <c r="B177" s="1169" t="s">
        <v>5305</v>
      </c>
      <c r="C177" s="307"/>
      <c r="D177" s="486"/>
      <c r="E177" s="526"/>
      <c r="F177" s="1394">
        <f t="shared" si="46"/>
        <v>0</v>
      </c>
      <c r="G177" s="526"/>
      <c r="H177" s="517">
        <f t="shared" si="47"/>
        <v>0</v>
      </c>
      <c r="I177" s="526"/>
      <c r="J177" s="517">
        <f t="shared" si="48"/>
        <v>0</v>
      </c>
      <c r="K177" s="517"/>
      <c r="L177" s="517">
        <f t="shared" si="50"/>
        <v>0</v>
      </c>
      <c r="M177" s="517"/>
      <c r="N177" s="517">
        <f t="shared" si="51"/>
        <v>0</v>
      </c>
      <c r="O177" s="517"/>
      <c r="P177" s="517">
        <f t="shared" si="52"/>
        <v>0</v>
      </c>
      <c r="Q177" s="517"/>
      <c r="R177" s="517"/>
      <c r="S177" s="517"/>
      <c r="T177" s="517">
        <f t="shared" si="44"/>
        <v>0</v>
      </c>
      <c r="U177" s="526"/>
      <c r="V177" s="517">
        <f t="shared" si="45"/>
        <v>0</v>
      </c>
      <c r="W177" s="632" t="e">
        <f>U177+S177+O177+M177+#REF!+K177+I177+G177</f>
        <v>#REF!</v>
      </c>
      <c r="X177" s="517" t="e">
        <f t="shared" ref="X177:X240" si="56">W177*C177</f>
        <v>#REF!</v>
      </c>
      <c r="Y177" s="632" t="e">
        <f t="shared" si="53"/>
        <v>#REF!</v>
      </c>
      <c r="Z177" s="517" t="e">
        <f t="shared" si="55"/>
        <v>#REF!</v>
      </c>
      <c r="AA177" s="675"/>
      <c r="AB177" s="674"/>
    </row>
    <row r="178" spans="1:28" s="301" customFormat="1" hidden="1">
      <c r="A178" s="368"/>
      <c r="B178" s="1166" t="s">
        <v>548</v>
      </c>
      <c r="C178" s="307"/>
      <c r="D178" s="486" t="s">
        <v>1867</v>
      </c>
      <c r="E178" s="526"/>
      <c r="F178" s="1394">
        <f t="shared" si="46"/>
        <v>0</v>
      </c>
      <c r="G178" s="526"/>
      <c r="H178" s="517">
        <f t="shared" si="47"/>
        <v>0</v>
      </c>
      <c r="I178" s="526"/>
      <c r="J178" s="517">
        <f t="shared" si="48"/>
        <v>0</v>
      </c>
      <c r="K178" s="517"/>
      <c r="L178" s="517">
        <f t="shared" si="50"/>
        <v>0</v>
      </c>
      <c r="M178" s="517"/>
      <c r="N178" s="517">
        <f t="shared" si="51"/>
        <v>0</v>
      </c>
      <c r="O178" s="517"/>
      <c r="P178" s="517">
        <f t="shared" si="52"/>
        <v>0</v>
      </c>
      <c r="Q178" s="517"/>
      <c r="R178" s="517"/>
      <c r="S178" s="517"/>
      <c r="T178" s="517">
        <f t="shared" si="44"/>
        <v>0</v>
      </c>
      <c r="U178" s="526"/>
      <c r="V178" s="517">
        <f t="shared" si="45"/>
        <v>0</v>
      </c>
      <c r="W178" s="632" t="e">
        <f>U178+S178+O178+M178+#REF!+K178+I178+G178</f>
        <v>#REF!</v>
      </c>
      <c r="X178" s="517" t="e">
        <f t="shared" si="56"/>
        <v>#REF!</v>
      </c>
      <c r="Y178" s="632" t="e">
        <f t="shared" si="53"/>
        <v>#REF!</v>
      </c>
      <c r="Z178" s="517" t="e">
        <f t="shared" si="55"/>
        <v>#REF!</v>
      </c>
      <c r="AA178" s="675"/>
      <c r="AB178" s="674"/>
    </row>
    <row r="179" spans="1:28" s="301" customFormat="1" hidden="1">
      <c r="A179" s="368"/>
      <c r="B179" s="1166" t="s">
        <v>549</v>
      </c>
      <c r="C179" s="307"/>
      <c r="D179" s="486" t="s">
        <v>1867</v>
      </c>
      <c r="E179" s="526"/>
      <c r="F179" s="1394">
        <f t="shared" si="46"/>
        <v>0</v>
      </c>
      <c r="G179" s="526"/>
      <c r="H179" s="517">
        <f t="shared" si="47"/>
        <v>0</v>
      </c>
      <c r="I179" s="526"/>
      <c r="J179" s="517">
        <f t="shared" si="48"/>
        <v>0</v>
      </c>
      <c r="K179" s="517"/>
      <c r="L179" s="517">
        <f t="shared" si="50"/>
        <v>0</v>
      </c>
      <c r="M179" s="517"/>
      <c r="N179" s="517">
        <f t="shared" si="51"/>
        <v>0</v>
      </c>
      <c r="O179" s="517"/>
      <c r="P179" s="517">
        <f t="shared" si="52"/>
        <v>0</v>
      </c>
      <c r="Q179" s="517"/>
      <c r="R179" s="517"/>
      <c r="S179" s="517"/>
      <c r="T179" s="517">
        <f t="shared" si="44"/>
        <v>0</v>
      </c>
      <c r="U179" s="526"/>
      <c r="V179" s="517">
        <f t="shared" si="45"/>
        <v>0</v>
      </c>
      <c r="W179" s="632" t="e">
        <f>U179+S179+O179+M179+#REF!+K179+I179+G179</f>
        <v>#REF!</v>
      </c>
      <c r="X179" s="517" t="e">
        <f t="shared" si="56"/>
        <v>#REF!</v>
      </c>
      <c r="Y179" s="632" t="e">
        <f t="shared" si="53"/>
        <v>#REF!</v>
      </c>
      <c r="Z179" s="517" t="e">
        <f t="shared" si="55"/>
        <v>#REF!</v>
      </c>
      <c r="AA179" s="675"/>
      <c r="AB179" s="674"/>
    </row>
    <row r="180" spans="1:28" s="301" customFormat="1" hidden="1">
      <c r="A180" s="368"/>
      <c r="B180" s="1166" t="s">
        <v>551</v>
      </c>
      <c r="C180" s="307"/>
      <c r="D180" s="486" t="s">
        <v>1867</v>
      </c>
      <c r="E180" s="526"/>
      <c r="F180" s="1394">
        <f t="shared" si="46"/>
        <v>0</v>
      </c>
      <c r="G180" s="526"/>
      <c r="H180" s="517">
        <f t="shared" si="47"/>
        <v>0</v>
      </c>
      <c r="I180" s="526"/>
      <c r="J180" s="517">
        <f t="shared" si="48"/>
        <v>0</v>
      </c>
      <c r="K180" s="517"/>
      <c r="L180" s="517">
        <f t="shared" si="50"/>
        <v>0</v>
      </c>
      <c r="M180" s="517"/>
      <c r="N180" s="517">
        <f t="shared" si="51"/>
        <v>0</v>
      </c>
      <c r="O180" s="517"/>
      <c r="P180" s="517">
        <f t="shared" si="52"/>
        <v>0</v>
      </c>
      <c r="Q180" s="517"/>
      <c r="R180" s="517"/>
      <c r="S180" s="517"/>
      <c r="T180" s="517">
        <f t="shared" si="44"/>
        <v>0</v>
      </c>
      <c r="U180" s="526"/>
      <c r="V180" s="517">
        <f t="shared" si="45"/>
        <v>0</v>
      </c>
      <c r="W180" s="632" t="e">
        <f>U180+S180+O180+M180+#REF!+K180+I180+G180</f>
        <v>#REF!</v>
      </c>
      <c r="X180" s="517" t="e">
        <f t="shared" si="56"/>
        <v>#REF!</v>
      </c>
      <c r="Y180" s="632" t="e">
        <f t="shared" si="53"/>
        <v>#REF!</v>
      </c>
      <c r="Z180" s="517" t="e">
        <f t="shared" si="55"/>
        <v>#REF!</v>
      </c>
      <c r="AA180" s="675"/>
      <c r="AB180" s="674"/>
    </row>
    <row r="181" spans="1:28" s="301" customFormat="1" hidden="1">
      <c r="A181" s="368"/>
      <c r="B181" s="1166" t="s">
        <v>1831</v>
      </c>
      <c r="C181" s="307"/>
      <c r="D181" s="486" t="s">
        <v>1867</v>
      </c>
      <c r="E181" s="526"/>
      <c r="F181" s="1394">
        <f t="shared" si="46"/>
        <v>0</v>
      </c>
      <c r="G181" s="526"/>
      <c r="H181" s="517">
        <f t="shared" si="47"/>
        <v>0</v>
      </c>
      <c r="I181" s="526"/>
      <c r="J181" s="517">
        <f t="shared" si="48"/>
        <v>0</v>
      </c>
      <c r="K181" s="517"/>
      <c r="L181" s="517">
        <f t="shared" si="50"/>
        <v>0</v>
      </c>
      <c r="M181" s="517"/>
      <c r="N181" s="517">
        <f t="shared" si="51"/>
        <v>0</v>
      </c>
      <c r="O181" s="517"/>
      <c r="P181" s="517">
        <f t="shared" si="52"/>
        <v>0</v>
      </c>
      <c r="Q181" s="517"/>
      <c r="R181" s="517"/>
      <c r="S181" s="517"/>
      <c r="T181" s="517">
        <f t="shared" si="44"/>
        <v>0</v>
      </c>
      <c r="U181" s="526"/>
      <c r="V181" s="517">
        <f t="shared" si="45"/>
        <v>0</v>
      </c>
      <c r="W181" s="632" t="e">
        <f>U181+S181+O181+M181+#REF!+K181+I181+G181</f>
        <v>#REF!</v>
      </c>
      <c r="X181" s="517" t="e">
        <f t="shared" si="56"/>
        <v>#REF!</v>
      </c>
      <c r="Y181" s="632" t="e">
        <f t="shared" si="53"/>
        <v>#REF!</v>
      </c>
      <c r="Z181" s="517" t="e">
        <f t="shared" si="55"/>
        <v>#REF!</v>
      </c>
      <c r="AA181" s="675"/>
      <c r="AB181" s="674"/>
    </row>
    <row r="182" spans="1:28" s="301" customFormat="1" hidden="1">
      <c r="A182" s="368"/>
      <c r="B182" s="1166" t="s">
        <v>2240</v>
      </c>
      <c r="C182" s="307"/>
      <c r="D182" s="486" t="s">
        <v>1867</v>
      </c>
      <c r="E182" s="526"/>
      <c r="F182" s="1394">
        <f t="shared" si="46"/>
        <v>0</v>
      </c>
      <c r="G182" s="526"/>
      <c r="H182" s="517">
        <f t="shared" si="47"/>
        <v>0</v>
      </c>
      <c r="I182" s="526"/>
      <c r="J182" s="517">
        <f t="shared" si="48"/>
        <v>0</v>
      </c>
      <c r="K182" s="517"/>
      <c r="L182" s="517">
        <f t="shared" si="50"/>
        <v>0</v>
      </c>
      <c r="M182" s="517"/>
      <c r="N182" s="517">
        <f t="shared" si="51"/>
        <v>0</v>
      </c>
      <c r="O182" s="517"/>
      <c r="P182" s="517">
        <f t="shared" si="52"/>
        <v>0</v>
      </c>
      <c r="Q182" s="517"/>
      <c r="R182" s="517"/>
      <c r="S182" s="517"/>
      <c r="T182" s="517">
        <f t="shared" si="44"/>
        <v>0</v>
      </c>
      <c r="U182" s="526"/>
      <c r="V182" s="517">
        <f t="shared" si="45"/>
        <v>0</v>
      </c>
      <c r="W182" s="632" t="e">
        <f>U182+S182+O182+M182+#REF!+K182+I182+G182</f>
        <v>#REF!</v>
      </c>
      <c r="X182" s="517" t="e">
        <f t="shared" si="56"/>
        <v>#REF!</v>
      </c>
      <c r="Y182" s="632" t="e">
        <f t="shared" si="53"/>
        <v>#REF!</v>
      </c>
      <c r="Z182" s="517" t="e">
        <f t="shared" si="55"/>
        <v>#REF!</v>
      </c>
      <c r="AA182" s="675"/>
      <c r="AB182" s="674"/>
    </row>
    <row r="183" spans="1:28" s="301" customFormat="1" hidden="1">
      <c r="A183" s="442"/>
      <c r="B183" s="1166" t="s">
        <v>1082</v>
      </c>
      <c r="C183" s="307"/>
      <c r="D183" s="486" t="s">
        <v>1867</v>
      </c>
      <c r="E183" s="526"/>
      <c r="F183" s="1394">
        <f t="shared" si="46"/>
        <v>0</v>
      </c>
      <c r="G183" s="526"/>
      <c r="H183" s="517">
        <f t="shared" si="47"/>
        <v>0</v>
      </c>
      <c r="I183" s="526"/>
      <c r="J183" s="517">
        <f t="shared" si="48"/>
        <v>0</v>
      </c>
      <c r="K183" s="517"/>
      <c r="L183" s="517">
        <f t="shared" si="50"/>
        <v>0</v>
      </c>
      <c r="M183" s="517"/>
      <c r="N183" s="517">
        <f t="shared" si="51"/>
        <v>0</v>
      </c>
      <c r="O183" s="517"/>
      <c r="P183" s="517">
        <f t="shared" si="52"/>
        <v>0</v>
      </c>
      <c r="Q183" s="517"/>
      <c r="R183" s="517"/>
      <c r="S183" s="517"/>
      <c r="T183" s="517">
        <f t="shared" si="44"/>
        <v>0</v>
      </c>
      <c r="U183" s="526"/>
      <c r="V183" s="517">
        <f t="shared" si="45"/>
        <v>0</v>
      </c>
      <c r="W183" s="632" t="e">
        <f>U183+S183+O183+M183+#REF!+K183+I183+G183</f>
        <v>#REF!</v>
      </c>
      <c r="X183" s="517" t="e">
        <f t="shared" si="56"/>
        <v>#REF!</v>
      </c>
      <c r="Y183" s="632" t="e">
        <f t="shared" si="53"/>
        <v>#REF!</v>
      </c>
      <c r="Z183" s="517" t="e">
        <f t="shared" si="55"/>
        <v>#REF!</v>
      </c>
      <c r="AA183" s="675"/>
      <c r="AB183" s="674"/>
    </row>
    <row r="184" spans="1:28" s="301" customFormat="1" ht="45">
      <c r="A184" s="1608">
        <v>11.1</v>
      </c>
      <c r="B184" s="1169" t="s">
        <v>5306</v>
      </c>
      <c r="C184" s="1630"/>
      <c r="D184" s="1631"/>
      <c r="E184" s="1616"/>
      <c r="F184" s="1617">
        <f t="shared" si="46"/>
        <v>0</v>
      </c>
      <c r="G184" s="1616"/>
      <c r="H184" s="1618">
        <f t="shared" si="47"/>
        <v>0</v>
      </c>
      <c r="I184" s="1616"/>
      <c r="J184" s="1618">
        <f t="shared" si="48"/>
        <v>0</v>
      </c>
      <c r="K184" s="1618"/>
      <c r="L184" s="1618">
        <f t="shared" si="50"/>
        <v>0</v>
      </c>
      <c r="M184" s="1618"/>
      <c r="N184" s="1618">
        <f t="shared" si="51"/>
        <v>0</v>
      </c>
      <c r="O184" s="1618"/>
      <c r="P184" s="1618">
        <f t="shared" si="52"/>
        <v>0</v>
      </c>
      <c r="Q184" s="1618"/>
      <c r="R184" s="1618">
        <f>Q184*C184</f>
        <v>0</v>
      </c>
      <c r="S184" s="1618"/>
      <c r="T184" s="1618">
        <f t="shared" si="44"/>
        <v>0</v>
      </c>
      <c r="U184" s="1616"/>
      <c r="V184" s="1618">
        <f t="shared" si="45"/>
        <v>0</v>
      </c>
      <c r="W184" s="1619" t="e">
        <f>U184+S184+O184+M184+#REF!+K184+I184+G184+Q184</f>
        <v>#REF!</v>
      </c>
      <c r="X184" s="1618" t="e">
        <f t="shared" si="56"/>
        <v>#REF!</v>
      </c>
      <c r="Y184" s="1619" t="e">
        <f t="shared" si="53"/>
        <v>#REF!</v>
      </c>
      <c r="Z184" s="1618" t="e">
        <f t="shared" si="55"/>
        <v>#REF!</v>
      </c>
      <c r="AA184" s="675"/>
      <c r="AB184" s="674"/>
    </row>
    <row r="185" spans="1:28" s="301" customFormat="1">
      <c r="A185" s="1608"/>
      <c r="B185" s="1166" t="s">
        <v>205</v>
      </c>
      <c r="C185" s="1630">
        <v>506.03</v>
      </c>
      <c r="D185" s="1631" t="s">
        <v>1867</v>
      </c>
      <c r="E185" s="1616">
        <f>station!I456</f>
        <v>39.299999999999997</v>
      </c>
      <c r="F185" s="1617">
        <f t="shared" si="46"/>
        <v>19886.98</v>
      </c>
      <c r="G185" s="1616"/>
      <c r="H185" s="1618">
        <f t="shared" si="47"/>
        <v>0</v>
      </c>
      <c r="I185" s="1616"/>
      <c r="J185" s="1618">
        <f t="shared" si="48"/>
        <v>0</v>
      </c>
      <c r="K185" s="1618"/>
      <c r="L185" s="1618">
        <f t="shared" si="50"/>
        <v>0</v>
      </c>
      <c r="M185" s="1618"/>
      <c r="N185" s="1618">
        <f t="shared" si="51"/>
        <v>0</v>
      </c>
      <c r="O185" s="1618"/>
      <c r="P185" s="1618">
        <f t="shared" si="52"/>
        <v>0</v>
      </c>
      <c r="Q185" s="1618"/>
      <c r="R185" s="1618">
        <f>Q185*C185</f>
        <v>0</v>
      </c>
      <c r="S185" s="1618"/>
      <c r="T185" s="1618">
        <f t="shared" si="44"/>
        <v>0</v>
      </c>
      <c r="U185" s="1616"/>
      <c r="V185" s="1618">
        <f t="shared" si="45"/>
        <v>0</v>
      </c>
      <c r="W185" s="1619" t="e">
        <f>U185+S185+O185+M185+#REF!+K185+I185+G185+Q185</f>
        <v>#REF!</v>
      </c>
      <c r="X185" s="1618" t="e">
        <f t="shared" si="56"/>
        <v>#REF!</v>
      </c>
      <c r="Y185" s="1619" t="e">
        <f t="shared" si="53"/>
        <v>#REF!</v>
      </c>
      <c r="Z185" s="1618" t="e">
        <f t="shared" si="55"/>
        <v>#REF!</v>
      </c>
      <c r="AA185" s="675"/>
      <c r="AB185" s="674"/>
    </row>
    <row r="186" spans="1:28" s="301" customFormat="1">
      <c r="A186" s="1608"/>
      <c r="B186" s="1166" t="s">
        <v>206</v>
      </c>
      <c r="C186" s="1630">
        <v>515.63</v>
      </c>
      <c r="D186" s="1631" t="s">
        <v>1867</v>
      </c>
      <c r="E186" s="1616">
        <f>station!I461</f>
        <v>26</v>
      </c>
      <c r="F186" s="1617">
        <f t="shared" si="46"/>
        <v>13406.38</v>
      </c>
      <c r="G186" s="1616"/>
      <c r="H186" s="1618">
        <f t="shared" si="47"/>
        <v>0</v>
      </c>
      <c r="I186" s="1616"/>
      <c r="J186" s="1618">
        <f t="shared" si="48"/>
        <v>0</v>
      </c>
      <c r="K186" s="1618"/>
      <c r="L186" s="1618">
        <f t="shared" si="50"/>
        <v>0</v>
      </c>
      <c r="M186" s="1618"/>
      <c r="N186" s="1618">
        <f t="shared" si="51"/>
        <v>0</v>
      </c>
      <c r="O186" s="1618"/>
      <c r="P186" s="1618">
        <f t="shared" si="52"/>
        <v>0</v>
      </c>
      <c r="Q186" s="1618"/>
      <c r="R186" s="1618">
        <f>Q186*C186</f>
        <v>0</v>
      </c>
      <c r="S186" s="1618"/>
      <c r="T186" s="1618">
        <f t="shared" si="44"/>
        <v>0</v>
      </c>
      <c r="U186" s="1616"/>
      <c r="V186" s="1618">
        <f t="shared" si="45"/>
        <v>0</v>
      </c>
      <c r="W186" s="1619" t="e">
        <f>U186+S186+O186+M186+#REF!+K186+I186+G186+Q186</f>
        <v>#REF!</v>
      </c>
      <c r="X186" s="1618" t="e">
        <f t="shared" si="56"/>
        <v>#REF!</v>
      </c>
      <c r="Y186" s="1619" t="e">
        <f t="shared" si="53"/>
        <v>#REF!</v>
      </c>
      <c r="Z186" s="1618" t="e">
        <f t="shared" si="55"/>
        <v>#REF!</v>
      </c>
      <c r="AA186" s="675"/>
      <c r="AB186" s="674"/>
    </row>
    <row r="187" spans="1:28" s="301" customFormat="1" hidden="1">
      <c r="A187" s="368"/>
      <c r="B187" s="1166" t="s">
        <v>207</v>
      </c>
      <c r="C187" s="307">
        <f>ROUND(Data!X433,2)</f>
        <v>543.80999999999995</v>
      </c>
      <c r="D187" s="486" t="s">
        <v>1867</v>
      </c>
      <c r="E187" s="526"/>
      <c r="F187" s="1394">
        <f t="shared" si="46"/>
        <v>0</v>
      </c>
      <c r="G187" s="526"/>
      <c r="H187" s="517">
        <f t="shared" si="47"/>
        <v>0</v>
      </c>
      <c r="I187" s="526"/>
      <c r="J187" s="517">
        <f t="shared" si="48"/>
        <v>0</v>
      </c>
      <c r="K187" s="517"/>
      <c r="L187" s="517">
        <f t="shared" si="50"/>
        <v>0</v>
      </c>
      <c r="M187" s="517"/>
      <c r="N187" s="517">
        <f t="shared" si="51"/>
        <v>0</v>
      </c>
      <c r="O187" s="517"/>
      <c r="P187" s="517">
        <f t="shared" si="52"/>
        <v>0</v>
      </c>
      <c r="Q187" s="517"/>
      <c r="R187" s="517"/>
      <c r="S187" s="517"/>
      <c r="T187" s="517">
        <f t="shared" si="44"/>
        <v>0</v>
      </c>
      <c r="U187" s="526"/>
      <c r="V187" s="517">
        <f t="shared" si="45"/>
        <v>0</v>
      </c>
      <c r="W187" s="632" t="e">
        <f>U187+S187+O187+M187+#REF!+K187+I187+G187</f>
        <v>#REF!</v>
      </c>
      <c r="X187" s="517" t="e">
        <f t="shared" si="56"/>
        <v>#REF!</v>
      </c>
      <c r="Y187" s="632" t="e">
        <f t="shared" si="53"/>
        <v>#REF!</v>
      </c>
      <c r="Z187" s="517" t="e">
        <f t="shared" si="55"/>
        <v>#REF!</v>
      </c>
      <c r="AA187" s="675"/>
      <c r="AB187" s="674"/>
    </row>
    <row r="188" spans="1:28" s="301" customFormat="1" hidden="1">
      <c r="A188" s="368"/>
      <c r="B188" s="1166" t="s">
        <v>208</v>
      </c>
      <c r="C188" s="307">
        <f>ROUND(Data!X434,2)</f>
        <v>553.89</v>
      </c>
      <c r="D188" s="486" t="s">
        <v>1867</v>
      </c>
      <c r="E188" s="526"/>
      <c r="F188" s="1394">
        <f t="shared" si="46"/>
        <v>0</v>
      </c>
      <c r="G188" s="526"/>
      <c r="H188" s="517">
        <f t="shared" si="47"/>
        <v>0</v>
      </c>
      <c r="I188" s="526"/>
      <c r="J188" s="517">
        <f t="shared" si="48"/>
        <v>0</v>
      </c>
      <c r="K188" s="517"/>
      <c r="L188" s="517">
        <f t="shared" si="50"/>
        <v>0</v>
      </c>
      <c r="M188" s="517"/>
      <c r="N188" s="517">
        <f t="shared" si="51"/>
        <v>0</v>
      </c>
      <c r="O188" s="517"/>
      <c r="P188" s="517">
        <f t="shared" si="52"/>
        <v>0</v>
      </c>
      <c r="Q188" s="517"/>
      <c r="R188" s="517"/>
      <c r="S188" s="517"/>
      <c r="T188" s="517">
        <f t="shared" si="44"/>
        <v>0</v>
      </c>
      <c r="U188" s="526"/>
      <c r="V188" s="517">
        <f t="shared" si="45"/>
        <v>0</v>
      </c>
      <c r="W188" s="632" t="e">
        <f>U188+S188+O188+M188+#REF!+K188+I188+G188</f>
        <v>#REF!</v>
      </c>
      <c r="X188" s="517" t="e">
        <f t="shared" si="56"/>
        <v>#REF!</v>
      </c>
      <c r="Y188" s="632" t="e">
        <f t="shared" si="53"/>
        <v>#REF!</v>
      </c>
      <c r="Z188" s="517" t="e">
        <f t="shared" si="55"/>
        <v>#REF!</v>
      </c>
      <c r="AA188" s="675"/>
      <c r="AB188" s="674"/>
    </row>
    <row r="189" spans="1:28" s="301" customFormat="1" hidden="1">
      <c r="A189" s="652"/>
      <c r="B189" s="1174" t="s">
        <v>612</v>
      </c>
      <c r="C189" s="650">
        <f>ROUND(Data!X435,2)</f>
        <v>563.97</v>
      </c>
      <c r="D189" s="446" t="s">
        <v>1867</v>
      </c>
      <c r="E189" s="651"/>
      <c r="F189" s="1394">
        <f t="shared" si="46"/>
        <v>0</v>
      </c>
      <c r="G189" s="651"/>
      <c r="H189" s="517">
        <f t="shared" si="47"/>
        <v>0</v>
      </c>
      <c r="I189" s="651"/>
      <c r="J189" s="517">
        <f t="shared" si="48"/>
        <v>0</v>
      </c>
      <c r="K189" s="654"/>
      <c r="L189" s="517">
        <f t="shared" si="50"/>
        <v>0</v>
      </c>
      <c r="M189" s="654"/>
      <c r="N189" s="517">
        <f t="shared" si="51"/>
        <v>0</v>
      </c>
      <c r="O189" s="654"/>
      <c r="P189" s="517">
        <f t="shared" si="52"/>
        <v>0</v>
      </c>
      <c r="Q189" s="654"/>
      <c r="R189" s="654"/>
      <c r="S189" s="654"/>
      <c r="T189" s="517">
        <f t="shared" si="44"/>
        <v>0</v>
      </c>
      <c r="U189" s="651"/>
      <c r="V189" s="517">
        <f t="shared" si="45"/>
        <v>0</v>
      </c>
      <c r="W189" s="632" t="e">
        <f>U189+S189+O189+M189+#REF!+K189+I189+G189</f>
        <v>#REF!</v>
      </c>
      <c r="X189" s="517" t="e">
        <f t="shared" si="56"/>
        <v>#REF!</v>
      </c>
      <c r="Y189" s="632" t="e">
        <f t="shared" si="53"/>
        <v>#REF!</v>
      </c>
      <c r="Z189" s="517" t="e">
        <f t="shared" si="55"/>
        <v>#REF!</v>
      </c>
      <c r="AA189" s="675"/>
      <c r="AB189" s="674"/>
    </row>
    <row r="190" spans="1:28" s="301" customFormat="1" ht="67.5" hidden="1">
      <c r="A190" s="368">
        <v>11.2</v>
      </c>
      <c r="B190" s="1169" t="s">
        <v>5307</v>
      </c>
      <c r="C190" s="377"/>
      <c r="D190" s="514"/>
      <c r="E190" s="512"/>
      <c r="F190" s="1394">
        <f t="shared" si="46"/>
        <v>0</v>
      </c>
      <c r="G190" s="517"/>
      <c r="H190" s="517">
        <f t="shared" si="47"/>
        <v>0</v>
      </c>
      <c r="I190" s="517"/>
      <c r="J190" s="517">
        <f t="shared" si="48"/>
        <v>0</v>
      </c>
      <c r="K190" s="517"/>
      <c r="L190" s="517">
        <f t="shared" si="50"/>
        <v>0</v>
      </c>
      <c r="M190" s="517"/>
      <c r="N190" s="517">
        <f t="shared" ref="N190:N193" si="57">M190*C190</f>
        <v>0</v>
      </c>
      <c r="O190" s="517"/>
      <c r="P190" s="517">
        <f t="shared" ref="P190:P193" si="58">O190*C190</f>
        <v>0</v>
      </c>
      <c r="Q190" s="517"/>
      <c r="R190" s="517"/>
      <c r="S190" s="517"/>
      <c r="T190" s="517">
        <f t="shared" si="44"/>
        <v>0</v>
      </c>
      <c r="U190" s="517"/>
      <c r="V190" s="517">
        <f t="shared" si="45"/>
        <v>0</v>
      </c>
      <c r="W190" s="632" t="e">
        <f>U190+S190+O190+M190+#REF!+K190+I190+G190</f>
        <v>#REF!</v>
      </c>
      <c r="X190" s="517" t="e">
        <f t="shared" si="56"/>
        <v>#REF!</v>
      </c>
      <c r="Y190" s="632" t="e">
        <f t="shared" si="53"/>
        <v>#REF!</v>
      </c>
      <c r="Z190" s="517"/>
      <c r="AA190" s="675"/>
      <c r="AB190" s="673"/>
    </row>
    <row r="191" spans="1:28" s="301" customFormat="1" ht="41.25" hidden="1" customHeight="1">
      <c r="A191" s="368"/>
      <c r="B191" s="1166" t="s">
        <v>205</v>
      </c>
      <c r="C191" s="377">
        <f>ROUND(Data!AG445,2)</f>
        <v>534.29</v>
      </c>
      <c r="D191" s="514" t="s">
        <v>1867</v>
      </c>
      <c r="E191" s="526"/>
      <c r="F191" s="1394">
        <f t="shared" si="46"/>
        <v>0</v>
      </c>
      <c r="G191" s="517"/>
      <c r="H191" s="517">
        <f t="shared" si="47"/>
        <v>0</v>
      </c>
      <c r="I191" s="517"/>
      <c r="J191" s="517">
        <f t="shared" si="48"/>
        <v>0</v>
      </c>
      <c r="K191" s="517"/>
      <c r="L191" s="517">
        <f t="shared" si="50"/>
        <v>0</v>
      </c>
      <c r="M191" s="517"/>
      <c r="N191" s="517">
        <f t="shared" si="57"/>
        <v>0</v>
      </c>
      <c r="O191" s="517"/>
      <c r="P191" s="517">
        <f t="shared" si="58"/>
        <v>0</v>
      </c>
      <c r="Q191" s="517"/>
      <c r="R191" s="517"/>
      <c r="S191" s="517"/>
      <c r="T191" s="517">
        <f t="shared" si="44"/>
        <v>0</v>
      </c>
      <c r="U191" s="517"/>
      <c r="V191" s="517">
        <f t="shared" si="45"/>
        <v>0</v>
      </c>
      <c r="W191" s="632" t="e">
        <f>U191+S191+O191+M191+#REF!+K191+I191+G191</f>
        <v>#REF!</v>
      </c>
      <c r="X191" s="517" t="e">
        <f t="shared" si="56"/>
        <v>#REF!</v>
      </c>
      <c r="Y191" s="632" t="e">
        <f t="shared" si="53"/>
        <v>#REF!</v>
      </c>
      <c r="Z191" s="517" t="e">
        <f t="shared" ref="Z191:Z254" si="59">Y191*C191</f>
        <v>#REF!</v>
      </c>
      <c r="AA191" s="675"/>
      <c r="AB191" s="673"/>
    </row>
    <row r="192" spans="1:28" s="301" customFormat="1" ht="41.25" hidden="1" customHeight="1">
      <c r="A192" s="368"/>
      <c r="B192" s="1166" t="s">
        <v>206</v>
      </c>
      <c r="C192" s="377">
        <f>ROUND(Data!AG446,2)</f>
        <v>545.09</v>
      </c>
      <c r="D192" s="514" t="s">
        <v>1867</v>
      </c>
      <c r="E192" s="526"/>
      <c r="F192" s="1394">
        <f t="shared" si="46"/>
        <v>0</v>
      </c>
      <c r="G192" s="517"/>
      <c r="H192" s="517">
        <f t="shared" si="47"/>
        <v>0</v>
      </c>
      <c r="I192" s="517"/>
      <c r="J192" s="517">
        <f t="shared" si="48"/>
        <v>0</v>
      </c>
      <c r="K192" s="517"/>
      <c r="L192" s="517">
        <f t="shared" si="50"/>
        <v>0</v>
      </c>
      <c r="M192" s="517"/>
      <c r="N192" s="517">
        <f t="shared" si="57"/>
        <v>0</v>
      </c>
      <c r="O192" s="517"/>
      <c r="P192" s="517">
        <f t="shared" si="58"/>
        <v>0</v>
      </c>
      <c r="Q192" s="517"/>
      <c r="R192" s="517"/>
      <c r="S192" s="517"/>
      <c r="T192" s="517">
        <f t="shared" si="44"/>
        <v>0</v>
      </c>
      <c r="U192" s="517"/>
      <c r="V192" s="517">
        <f t="shared" si="45"/>
        <v>0</v>
      </c>
      <c r="W192" s="632" t="e">
        <f>U192+S192+O192+M192+#REF!+K192+I192+G192</f>
        <v>#REF!</v>
      </c>
      <c r="X192" s="517" t="e">
        <f t="shared" si="56"/>
        <v>#REF!</v>
      </c>
      <c r="Y192" s="632" t="e">
        <f t="shared" si="53"/>
        <v>#REF!</v>
      </c>
      <c r="Z192" s="517" t="e">
        <f t="shared" si="59"/>
        <v>#REF!</v>
      </c>
      <c r="AA192" s="675"/>
      <c r="AB192" s="673"/>
    </row>
    <row r="193" spans="1:29" s="301" customFormat="1" ht="41.25" hidden="1" customHeight="1">
      <c r="A193" s="368"/>
      <c r="B193" s="1166" t="s">
        <v>207</v>
      </c>
      <c r="C193" s="307">
        <f>ROUND(Data!AG447,2)</f>
        <v>555.89</v>
      </c>
      <c r="D193" s="486" t="s">
        <v>1867</v>
      </c>
      <c r="E193" s="526"/>
      <c r="F193" s="1394">
        <f t="shared" si="46"/>
        <v>0</v>
      </c>
      <c r="G193" s="526"/>
      <c r="H193" s="517">
        <f t="shared" si="47"/>
        <v>0</v>
      </c>
      <c r="I193" s="526"/>
      <c r="J193" s="517">
        <f t="shared" si="48"/>
        <v>0</v>
      </c>
      <c r="K193" s="517"/>
      <c r="L193" s="517">
        <f t="shared" si="50"/>
        <v>0</v>
      </c>
      <c r="M193" s="517"/>
      <c r="N193" s="517">
        <f t="shared" si="57"/>
        <v>0</v>
      </c>
      <c r="O193" s="517"/>
      <c r="P193" s="517">
        <f t="shared" si="58"/>
        <v>0</v>
      </c>
      <c r="Q193" s="517"/>
      <c r="R193" s="517"/>
      <c r="S193" s="517"/>
      <c r="T193" s="517">
        <f t="shared" si="44"/>
        <v>0</v>
      </c>
      <c r="U193" s="526"/>
      <c r="V193" s="517">
        <f t="shared" si="45"/>
        <v>0</v>
      </c>
      <c r="W193" s="632" t="e">
        <f>U193+S193+O193+M193+#REF!+K193+I193+G193</f>
        <v>#REF!</v>
      </c>
      <c r="X193" s="517" t="e">
        <f t="shared" si="56"/>
        <v>#REF!</v>
      </c>
      <c r="Y193" s="632" t="e">
        <f t="shared" si="53"/>
        <v>#REF!</v>
      </c>
      <c r="Z193" s="517" t="e">
        <f t="shared" si="59"/>
        <v>#REF!</v>
      </c>
      <c r="AA193" s="675"/>
      <c r="AB193" s="674"/>
    </row>
    <row r="194" spans="1:29" s="301" customFormat="1" ht="41.25" hidden="1" customHeight="1">
      <c r="A194" s="368"/>
      <c r="B194" s="320" t="s">
        <v>208</v>
      </c>
      <c r="C194" s="307">
        <f>ROUND(Data!AG448,2)</f>
        <v>566.69000000000005</v>
      </c>
      <c r="D194" s="486" t="s">
        <v>1867</v>
      </c>
      <c r="E194" s="526"/>
      <c r="F194" s="630">
        <f t="shared" si="46"/>
        <v>0</v>
      </c>
      <c r="G194" s="526"/>
      <c r="H194" s="517">
        <f t="shared" ref="H194:H202" si="60">G194*C194</f>
        <v>0</v>
      </c>
      <c r="I194" s="526"/>
      <c r="J194" s="517">
        <f t="shared" ref="J194:J202" si="61">I194*C194</f>
        <v>0</v>
      </c>
      <c r="K194" s="517"/>
      <c r="L194" s="517"/>
      <c r="M194" s="517"/>
      <c r="N194" s="517"/>
      <c r="O194" s="517"/>
      <c r="P194" s="517"/>
      <c r="Q194" s="517"/>
      <c r="R194" s="517"/>
      <c r="S194" s="517"/>
      <c r="T194" s="517">
        <f t="shared" si="44"/>
        <v>0</v>
      </c>
      <c r="U194" s="526"/>
      <c r="V194" s="517">
        <f t="shared" si="45"/>
        <v>0</v>
      </c>
      <c r="W194" s="632">
        <f t="shared" ref="W194:W219" si="62">I194+S194+U194</f>
        <v>0</v>
      </c>
      <c r="X194" s="517">
        <f t="shared" si="56"/>
        <v>0</v>
      </c>
      <c r="Y194" s="632">
        <f t="shared" ref="Y194:Y219" si="63">W194+E194+G194</f>
        <v>0</v>
      </c>
      <c r="Z194" s="517">
        <f t="shared" si="59"/>
        <v>0</v>
      </c>
      <c r="AA194" s="675"/>
      <c r="AB194" s="674"/>
    </row>
    <row r="195" spans="1:29" s="301" customFormat="1" ht="41.25" hidden="1" customHeight="1">
      <c r="A195" s="442"/>
      <c r="B195" s="320" t="s">
        <v>612</v>
      </c>
      <c r="C195" s="307">
        <f>ROUND(Data!AG449,2)</f>
        <v>577.49</v>
      </c>
      <c r="D195" s="486" t="s">
        <v>1867</v>
      </c>
      <c r="E195" s="526"/>
      <c r="F195" s="630">
        <f t="shared" si="46"/>
        <v>0</v>
      </c>
      <c r="G195" s="526"/>
      <c r="H195" s="517">
        <f t="shared" si="60"/>
        <v>0</v>
      </c>
      <c r="I195" s="526"/>
      <c r="J195" s="517">
        <f t="shared" si="61"/>
        <v>0</v>
      </c>
      <c r="K195" s="517"/>
      <c r="L195" s="517"/>
      <c r="M195" s="517"/>
      <c r="N195" s="517"/>
      <c r="O195" s="517"/>
      <c r="P195" s="517"/>
      <c r="Q195" s="517"/>
      <c r="R195" s="517"/>
      <c r="S195" s="517"/>
      <c r="T195" s="517">
        <f t="shared" si="44"/>
        <v>0</v>
      </c>
      <c r="U195" s="526"/>
      <c r="V195" s="517">
        <f t="shared" si="45"/>
        <v>0</v>
      </c>
      <c r="W195" s="632">
        <f t="shared" si="62"/>
        <v>0</v>
      </c>
      <c r="X195" s="517">
        <f t="shared" si="56"/>
        <v>0</v>
      </c>
      <c r="Y195" s="632">
        <f t="shared" si="63"/>
        <v>0</v>
      </c>
      <c r="Z195" s="517">
        <f t="shared" si="59"/>
        <v>0</v>
      </c>
      <c r="AA195" s="675"/>
      <c r="AB195" s="674"/>
    </row>
    <row r="196" spans="1:29" s="301" customFormat="1" ht="69.75" hidden="1" customHeight="1">
      <c r="A196" s="368">
        <v>11.3</v>
      </c>
      <c r="B196" s="369" t="s">
        <v>4056</v>
      </c>
      <c r="C196" s="307"/>
      <c r="D196" s="486"/>
      <c r="E196" s="526"/>
      <c r="F196" s="630">
        <f t="shared" si="46"/>
        <v>0</v>
      </c>
      <c r="G196" s="526"/>
      <c r="H196" s="517">
        <f t="shared" si="60"/>
        <v>0</v>
      </c>
      <c r="I196" s="526"/>
      <c r="J196" s="517">
        <f t="shared" si="61"/>
        <v>0</v>
      </c>
      <c r="K196" s="517"/>
      <c r="L196" s="517"/>
      <c r="M196" s="517"/>
      <c r="N196" s="517"/>
      <c r="O196" s="517"/>
      <c r="P196" s="517"/>
      <c r="Q196" s="517"/>
      <c r="R196" s="517"/>
      <c r="S196" s="517"/>
      <c r="T196" s="517">
        <f t="shared" si="44"/>
        <v>0</v>
      </c>
      <c r="U196" s="526"/>
      <c r="V196" s="517">
        <f t="shared" si="45"/>
        <v>0</v>
      </c>
      <c r="W196" s="632">
        <f t="shared" si="62"/>
        <v>0</v>
      </c>
      <c r="X196" s="517">
        <f t="shared" si="56"/>
        <v>0</v>
      </c>
      <c r="Y196" s="632">
        <f t="shared" si="63"/>
        <v>0</v>
      </c>
      <c r="Z196" s="517">
        <f t="shared" si="59"/>
        <v>0</v>
      </c>
      <c r="AA196" s="675"/>
      <c r="AB196" s="674"/>
    </row>
    <row r="197" spans="1:29" s="301" customFormat="1" ht="25.5" hidden="1" customHeight="1">
      <c r="A197" s="368"/>
      <c r="B197" s="320" t="s">
        <v>205</v>
      </c>
      <c r="C197" s="307"/>
      <c r="D197" s="486" t="s">
        <v>1867</v>
      </c>
      <c r="E197" s="526"/>
      <c r="F197" s="630">
        <f t="shared" si="46"/>
        <v>0</v>
      </c>
      <c r="G197" s="526"/>
      <c r="H197" s="517">
        <f t="shared" si="60"/>
        <v>0</v>
      </c>
      <c r="I197" s="526"/>
      <c r="J197" s="517">
        <f t="shared" si="61"/>
        <v>0</v>
      </c>
      <c r="K197" s="517"/>
      <c r="L197" s="517"/>
      <c r="M197" s="517"/>
      <c r="N197" s="517"/>
      <c r="O197" s="517"/>
      <c r="P197" s="517"/>
      <c r="Q197" s="517"/>
      <c r="R197" s="517"/>
      <c r="S197" s="517"/>
      <c r="T197" s="517">
        <f t="shared" si="44"/>
        <v>0</v>
      </c>
      <c r="U197" s="526"/>
      <c r="V197" s="517">
        <f t="shared" si="45"/>
        <v>0</v>
      </c>
      <c r="W197" s="632">
        <f t="shared" si="62"/>
        <v>0</v>
      </c>
      <c r="X197" s="517">
        <f t="shared" si="56"/>
        <v>0</v>
      </c>
      <c r="Y197" s="632">
        <f t="shared" si="63"/>
        <v>0</v>
      </c>
      <c r="Z197" s="517">
        <f t="shared" si="59"/>
        <v>0</v>
      </c>
      <c r="AA197" s="675"/>
      <c r="AB197" s="674"/>
    </row>
    <row r="198" spans="1:29" s="301" customFormat="1" ht="25.5" hidden="1" customHeight="1">
      <c r="A198" s="368"/>
      <c r="B198" s="320" t="s">
        <v>206</v>
      </c>
      <c r="C198" s="307"/>
      <c r="D198" s="486" t="s">
        <v>1867</v>
      </c>
      <c r="E198" s="526"/>
      <c r="F198" s="630">
        <f t="shared" si="46"/>
        <v>0</v>
      </c>
      <c r="G198" s="526"/>
      <c r="H198" s="517">
        <f t="shared" si="60"/>
        <v>0</v>
      </c>
      <c r="I198" s="526"/>
      <c r="J198" s="517">
        <f t="shared" si="61"/>
        <v>0</v>
      </c>
      <c r="K198" s="517"/>
      <c r="L198" s="517"/>
      <c r="M198" s="517"/>
      <c r="N198" s="517"/>
      <c r="O198" s="517"/>
      <c r="P198" s="517"/>
      <c r="Q198" s="517"/>
      <c r="R198" s="517"/>
      <c r="S198" s="517"/>
      <c r="T198" s="517">
        <f t="shared" si="44"/>
        <v>0</v>
      </c>
      <c r="U198" s="526"/>
      <c r="V198" s="517">
        <f t="shared" si="45"/>
        <v>0</v>
      </c>
      <c r="W198" s="632">
        <f t="shared" si="62"/>
        <v>0</v>
      </c>
      <c r="X198" s="517">
        <f t="shared" si="56"/>
        <v>0</v>
      </c>
      <c r="Y198" s="632">
        <f t="shared" si="63"/>
        <v>0</v>
      </c>
      <c r="Z198" s="517">
        <f t="shared" si="59"/>
        <v>0</v>
      </c>
      <c r="AA198" s="675"/>
      <c r="AB198" s="674"/>
    </row>
    <row r="199" spans="1:29" s="301" customFormat="1" ht="25.5" hidden="1" customHeight="1">
      <c r="A199" s="368"/>
      <c r="B199" s="320" t="s">
        <v>207</v>
      </c>
      <c r="C199" s="307"/>
      <c r="D199" s="486" t="s">
        <v>1867</v>
      </c>
      <c r="E199" s="526"/>
      <c r="F199" s="630">
        <f t="shared" si="46"/>
        <v>0</v>
      </c>
      <c r="G199" s="526"/>
      <c r="H199" s="517">
        <f t="shared" si="60"/>
        <v>0</v>
      </c>
      <c r="I199" s="526"/>
      <c r="J199" s="517">
        <f t="shared" si="61"/>
        <v>0</v>
      </c>
      <c r="K199" s="517"/>
      <c r="L199" s="517"/>
      <c r="M199" s="517"/>
      <c r="N199" s="517"/>
      <c r="O199" s="517"/>
      <c r="P199" s="517"/>
      <c r="Q199" s="517"/>
      <c r="R199" s="517"/>
      <c r="S199" s="517"/>
      <c r="T199" s="517">
        <f t="shared" ref="T199:T262" si="64">S199*C199</f>
        <v>0</v>
      </c>
      <c r="U199" s="526"/>
      <c r="V199" s="517">
        <f t="shared" ref="V199:V262" si="65">U199*C199</f>
        <v>0</v>
      </c>
      <c r="W199" s="632">
        <f t="shared" si="62"/>
        <v>0</v>
      </c>
      <c r="X199" s="517">
        <f t="shared" si="56"/>
        <v>0</v>
      </c>
      <c r="Y199" s="632">
        <f t="shared" si="63"/>
        <v>0</v>
      </c>
      <c r="Z199" s="517">
        <f t="shared" si="59"/>
        <v>0</v>
      </c>
      <c r="AA199" s="675"/>
      <c r="AB199" s="674"/>
    </row>
    <row r="200" spans="1:29" s="301" customFormat="1" ht="25.5" hidden="1" customHeight="1">
      <c r="A200" s="368"/>
      <c r="B200" s="320" t="s">
        <v>208</v>
      </c>
      <c r="C200" s="307"/>
      <c r="D200" s="486" t="s">
        <v>1867</v>
      </c>
      <c r="E200" s="526"/>
      <c r="F200" s="630">
        <f t="shared" si="46"/>
        <v>0</v>
      </c>
      <c r="G200" s="526"/>
      <c r="H200" s="517">
        <f t="shared" si="60"/>
        <v>0</v>
      </c>
      <c r="I200" s="526"/>
      <c r="J200" s="517">
        <f t="shared" si="61"/>
        <v>0</v>
      </c>
      <c r="K200" s="517"/>
      <c r="L200" s="517"/>
      <c r="M200" s="517"/>
      <c r="N200" s="517"/>
      <c r="O200" s="517"/>
      <c r="P200" s="517"/>
      <c r="Q200" s="517"/>
      <c r="R200" s="517"/>
      <c r="S200" s="517"/>
      <c r="T200" s="517">
        <f t="shared" si="64"/>
        <v>0</v>
      </c>
      <c r="U200" s="526"/>
      <c r="V200" s="517">
        <f t="shared" si="65"/>
        <v>0</v>
      </c>
      <c r="W200" s="632">
        <f t="shared" si="62"/>
        <v>0</v>
      </c>
      <c r="X200" s="517">
        <f t="shared" si="56"/>
        <v>0</v>
      </c>
      <c r="Y200" s="632">
        <f t="shared" si="63"/>
        <v>0</v>
      </c>
      <c r="Z200" s="517">
        <f t="shared" si="59"/>
        <v>0</v>
      </c>
      <c r="AA200" s="675"/>
      <c r="AB200" s="674"/>
    </row>
    <row r="201" spans="1:29" s="301" customFormat="1" ht="25.5" hidden="1" customHeight="1">
      <c r="A201" s="442"/>
      <c r="B201" s="320" t="s">
        <v>612</v>
      </c>
      <c r="C201" s="307"/>
      <c r="D201" s="486" t="s">
        <v>1867</v>
      </c>
      <c r="E201" s="526"/>
      <c r="F201" s="630">
        <f t="shared" si="46"/>
        <v>0</v>
      </c>
      <c r="G201" s="526"/>
      <c r="H201" s="517">
        <f t="shared" si="60"/>
        <v>0</v>
      </c>
      <c r="I201" s="526"/>
      <c r="J201" s="517">
        <f t="shared" si="61"/>
        <v>0</v>
      </c>
      <c r="K201" s="517"/>
      <c r="L201" s="517"/>
      <c r="M201" s="517"/>
      <c r="N201" s="517"/>
      <c r="O201" s="517"/>
      <c r="P201" s="517"/>
      <c r="Q201" s="517"/>
      <c r="R201" s="517"/>
      <c r="S201" s="517"/>
      <c r="T201" s="517">
        <f t="shared" si="64"/>
        <v>0</v>
      </c>
      <c r="U201" s="526"/>
      <c r="V201" s="517">
        <f t="shared" si="65"/>
        <v>0</v>
      </c>
      <c r="W201" s="632">
        <f t="shared" si="62"/>
        <v>0</v>
      </c>
      <c r="X201" s="517">
        <f t="shared" si="56"/>
        <v>0</v>
      </c>
      <c r="Y201" s="632">
        <f t="shared" si="63"/>
        <v>0</v>
      </c>
      <c r="Z201" s="517">
        <f t="shared" si="59"/>
        <v>0</v>
      </c>
      <c r="AA201" s="675"/>
      <c r="AB201" s="674"/>
    </row>
    <row r="202" spans="1:29" s="301" customFormat="1" ht="69.75" hidden="1" customHeight="1">
      <c r="A202" s="368">
        <v>11.4</v>
      </c>
      <c r="B202" s="369" t="s">
        <v>4057</v>
      </c>
      <c r="C202" s="307"/>
      <c r="D202" s="486"/>
      <c r="E202" s="526"/>
      <c r="F202" s="630">
        <f t="shared" si="46"/>
        <v>0</v>
      </c>
      <c r="G202" s="526"/>
      <c r="H202" s="517">
        <f t="shared" si="60"/>
        <v>0</v>
      </c>
      <c r="I202" s="526"/>
      <c r="J202" s="517">
        <f t="shared" si="61"/>
        <v>0</v>
      </c>
      <c r="K202" s="517"/>
      <c r="L202" s="517"/>
      <c r="M202" s="517"/>
      <c r="N202" s="517"/>
      <c r="O202" s="517"/>
      <c r="P202" s="517"/>
      <c r="Q202" s="517"/>
      <c r="R202" s="517"/>
      <c r="S202" s="517"/>
      <c r="T202" s="517">
        <f t="shared" si="64"/>
        <v>0</v>
      </c>
      <c r="U202" s="526"/>
      <c r="V202" s="517">
        <f t="shared" si="65"/>
        <v>0</v>
      </c>
      <c r="W202" s="632">
        <f t="shared" si="62"/>
        <v>0</v>
      </c>
      <c r="X202" s="517">
        <f t="shared" si="56"/>
        <v>0</v>
      </c>
      <c r="Y202" s="632">
        <f t="shared" si="63"/>
        <v>0</v>
      </c>
      <c r="Z202" s="517">
        <f t="shared" si="59"/>
        <v>0</v>
      </c>
      <c r="AA202" s="675"/>
      <c r="AB202" s="674"/>
    </row>
    <row r="203" spans="1:29" s="301" customFormat="1" ht="25.5" hidden="1" customHeight="1">
      <c r="A203" s="320"/>
      <c r="B203" s="320" t="s">
        <v>205</v>
      </c>
      <c r="C203" s="307"/>
      <c r="D203" s="486" t="s">
        <v>1867</v>
      </c>
      <c r="E203" s="526"/>
      <c r="F203" s="630">
        <f t="shared" ref="F203:F266" si="66">E203*C203</f>
        <v>0</v>
      </c>
      <c r="G203" s="526"/>
      <c r="H203" s="517">
        <f t="shared" ref="H203:H266" si="67">G203*C203</f>
        <v>0</v>
      </c>
      <c r="I203" s="526"/>
      <c r="J203" s="517">
        <f t="shared" ref="J203:J266" si="68">I203*C203</f>
        <v>0</v>
      </c>
      <c r="K203" s="517"/>
      <c r="L203" s="517"/>
      <c r="M203" s="517"/>
      <c r="N203" s="517"/>
      <c r="O203" s="517"/>
      <c r="P203" s="517"/>
      <c r="Q203" s="517"/>
      <c r="R203" s="517"/>
      <c r="S203" s="517"/>
      <c r="T203" s="517">
        <f t="shared" si="64"/>
        <v>0</v>
      </c>
      <c r="U203" s="526"/>
      <c r="V203" s="517">
        <f t="shared" si="65"/>
        <v>0</v>
      </c>
      <c r="W203" s="632">
        <f t="shared" si="62"/>
        <v>0</v>
      </c>
      <c r="X203" s="517">
        <f t="shared" si="56"/>
        <v>0</v>
      </c>
      <c r="Y203" s="632">
        <f t="shared" si="63"/>
        <v>0</v>
      </c>
      <c r="Z203" s="517">
        <f t="shared" si="59"/>
        <v>0</v>
      </c>
      <c r="AA203" s="675"/>
      <c r="AB203" s="674"/>
    </row>
    <row r="204" spans="1:29" s="301" customFormat="1" ht="25.5" hidden="1" customHeight="1">
      <c r="A204" s="320"/>
      <c r="B204" s="320" t="s">
        <v>206</v>
      </c>
      <c r="C204" s="307"/>
      <c r="D204" s="486" t="s">
        <v>1867</v>
      </c>
      <c r="E204" s="526"/>
      <c r="F204" s="630">
        <f t="shared" si="66"/>
        <v>0</v>
      </c>
      <c r="G204" s="526"/>
      <c r="H204" s="517">
        <f t="shared" si="67"/>
        <v>0</v>
      </c>
      <c r="I204" s="526"/>
      <c r="J204" s="517">
        <f t="shared" si="68"/>
        <v>0</v>
      </c>
      <c r="K204" s="517"/>
      <c r="L204" s="517"/>
      <c r="M204" s="517"/>
      <c r="N204" s="517"/>
      <c r="O204" s="517"/>
      <c r="P204" s="517"/>
      <c r="Q204" s="517"/>
      <c r="R204" s="517"/>
      <c r="S204" s="517"/>
      <c r="T204" s="517">
        <f t="shared" si="64"/>
        <v>0</v>
      </c>
      <c r="U204" s="526"/>
      <c r="V204" s="517">
        <f t="shared" si="65"/>
        <v>0</v>
      </c>
      <c r="W204" s="632">
        <f t="shared" si="62"/>
        <v>0</v>
      </c>
      <c r="X204" s="517">
        <f t="shared" si="56"/>
        <v>0</v>
      </c>
      <c r="Y204" s="632">
        <f t="shared" si="63"/>
        <v>0</v>
      </c>
      <c r="Z204" s="517">
        <f t="shared" si="59"/>
        <v>0</v>
      </c>
      <c r="AA204" s="675"/>
      <c r="AB204" s="674"/>
    </row>
    <row r="205" spans="1:29" s="301" customFormat="1" ht="25.5" hidden="1" customHeight="1">
      <c r="A205" s="320"/>
      <c r="B205" s="320" t="s">
        <v>207</v>
      </c>
      <c r="C205" s="307"/>
      <c r="D205" s="486" t="s">
        <v>1867</v>
      </c>
      <c r="E205" s="526"/>
      <c r="F205" s="630">
        <f t="shared" si="66"/>
        <v>0</v>
      </c>
      <c r="G205" s="526"/>
      <c r="H205" s="517">
        <f t="shared" si="67"/>
        <v>0</v>
      </c>
      <c r="I205" s="526"/>
      <c r="J205" s="517">
        <f t="shared" si="68"/>
        <v>0</v>
      </c>
      <c r="K205" s="517"/>
      <c r="L205" s="517"/>
      <c r="M205" s="517"/>
      <c r="N205" s="517"/>
      <c r="O205" s="517"/>
      <c r="P205" s="517"/>
      <c r="Q205" s="517"/>
      <c r="R205" s="517"/>
      <c r="S205" s="517"/>
      <c r="T205" s="517">
        <f t="shared" si="64"/>
        <v>0</v>
      </c>
      <c r="U205" s="526"/>
      <c r="V205" s="517">
        <f t="shared" si="65"/>
        <v>0</v>
      </c>
      <c r="W205" s="632">
        <f t="shared" si="62"/>
        <v>0</v>
      </c>
      <c r="X205" s="517">
        <f t="shared" si="56"/>
        <v>0</v>
      </c>
      <c r="Y205" s="632">
        <f t="shared" si="63"/>
        <v>0</v>
      </c>
      <c r="Z205" s="517">
        <f t="shared" si="59"/>
        <v>0</v>
      </c>
      <c r="AA205" s="675"/>
      <c r="AB205" s="674"/>
    </row>
    <row r="206" spans="1:29" s="301" customFormat="1" ht="25.5" hidden="1" customHeight="1">
      <c r="A206" s="320"/>
      <c r="B206" s="320" t="s">
        <v>208</v>
      </c>
      <c r="C206" s="307"/>
      <c r="D206" s="486" t="s">
        <v>1867</v>
      </c>
      <c r="E206" s="526"/>
      <c r="F206" s="630">
        <f t="shared" si="66"/>
        <v>0</v>
      </c>
      <c r="G206" s="526"/>
      <c r="H206" s="517">
        <f t="shared" si="67"/>
        <v>0</v>
      </c>
      <c r="I206" s="526"/>
      <c r="J206" s="517">
        <f t="shared" si="68"/>
        <v>0</v>
      </c>
      <c r="K206" s="517"/>
      <c r="L206" s="517"/>
      <c r="M206" s="517"/>
      <c r="N206" s="517"/>
      <c r="O206" s="517"/>
      <c r="P206" s="517"/>
      <c r="Q206" s="517"/>
      <c r="R206" s="517"/>
      <c r="S206" s="517"/>
      <c r="T206" s="517">
        <f t="shared" si="64"/>
        <v>0</v>
      </c>
      <c r="U206" s="526"/>
      <c r="V206" s="517">
        <f t="shared" si="65"/>
        <v>0</v>
      </c>
      <c r="W206" s="632">
        <f t="shared" si="62"/>
        <v>0</v>
      </c>
      <c r="X206" s="517">
        <f t="shared" si="56"/>
        <v>0</v>
      </c>
      <c r="Y206" s="632">
        <f t="shared" si="63"/>
        <v>0</v>
      </c>
      <c r="Z206" s="517">
        <f t="shared" si="59"/>
        <v>0</v>
      </c>
      <c r="AA206" s="675"/>
      <c r="AB206" s="674"/>
    </row>
    <row r="207" spans="1:29" s="301" customFormat="1" ht="25.5" hidden="1" customHeight="1">
      <c r="A207" s="370"/>
      <c r="B207" s="320" t="s">
        <v>612</v>
      </c>
      <c r="C207" s="307"/>
      <c r="D207" s="486" t="s">
        <v>1867</v>
      </c>
      <c r="E207" s="526"/>
      <c r="F207" s="630">
        <f t="shared" si="66"/>
        <v>0</v>
      </c>
      <c r="G207" s="526"/>
      <c r="H207" s="517">
        <f t="shared" si="67"/>
        <v>0</v>
      </c>
      <c r="I207" s="526"/>
      <c r="J207" s="517">
        <f t="shared" si="68"/>
        <v>0</v>
      </c>
      <c r="K207" s="517"/>
      <c r="L207" s="517"/>
      <c r="M207" s="517"/>
      <c r="N207" s="517"/>
      <c r="O207" s="517"/>
      <c r="P207" s="517"/>
      <c r="Q207" s="517"/>
      <c r="R207" s="517"/>
      <c r="S207" s="517"/>
      <c r="T207" s="517">
        <f t="shared" si="64"/>
        <v>0</v>
      </c>
      <c r="U207" s="526"/>
      <c r="V207" s="517">
        <f t="shared" si="65"/>
        <v>0</v>
      </c>
      <c r="W207" s="632">
        <f t="shared" si="62"/>
        <v>0</v>
      </c>
      <c r="X207" s="517">
        <f t="shared" si="56"/>
        <v>0</v>
      </c>
      <c r="Y207" s="632">
        <f t="shared" si="63"/>
        <v>0</v>
      </c>
      <c r="Z207" s="517">
        <f t="shared" si="59"/>
        <v>0</v>
      </c>
      <c r="AA207" s="675"/>
      <c r="AB207" s="674"/>
    </row>
    <row r="208" spans="1:29" s="475" customFormat="1" ht="87.75" hidden="1" customHeight="1">
      <c r="A208" s="515">
        <v>11.5</v>
      </c>
      <c r="B208" s="469" t="s">
        <v>4469</v>
      </c>
      <c r="C208" s="511"/>
      <c r="D208" s="510"/>
      <c r="E208" s="526"/>
      <c r="F208" s="630">
        <f t="shared" si="66"/>
        <v>0</v>
      </c>
      <c r="G208" s="526"/>
      <c r="H208" s="517">
        <f t="shared" si="67"/>
        <v>0</v>
      </c>
      <c r="I208" s="526"/>
      <c r="J208" s="517">
        <f t="shared" si="68"/>
        <v>0</v>
      </c>
      <c r="K208" s="517"/>
      <c r="L208" s="517"/>
      <c r="M208" s="517"/>
      <c r="N208" s="517"/>
      <c r="O208" s="517"/>
      <c r="P208" s="517"/>
      <c r="Q208" s="517"/>
      <c r="R208" s="517"/>
      <c r="S208" s="517"/>
      <c r="T208" s="517">
        <f t="shared" si="64"/>
        <v>0</v>
      </c>
      <c r="U208" s="526"/>
      <c r="V208" s="517">
        <f t="shared" si="65"/>
        <v>0</v>
      </c>
      <c r="W208" s="632">
        <f t="shared" si="62"/>
        <v>0</v>
      </c>
      <c r="X208" s="517">
        <f t="shared" si="56"/>
        <v>0</v>
      </c>
      <c r="Y208" s="632">
        <f t="shared" si="63"/>
        <v>0</v>
      </c>
      <c r="Z208" s="517">
        <f t="shared" si="59"/>
        <v>0</v>
      </c>
      <c r="AA208" s="533"/>
      <c r="AB208" s="674"/>
      <c r="AC208" s="474"/>
    </row>
    <row r="209" spans="1:29" s="475" customFormat="1" ht="48.75" hidden="1" customHeight="1">
      <c r="A209" s="541"/>
      <c r="B209" s="509" t="s">
        <v>205</v>
      </c>
      <c r="C209" s="521">
        <f>ROUND(Data!K431,2)</f>
        <v>506.27</v>
      </c>
      <c r="D209" s="518" t="s">
        <v>1867</v>
      </c>
      <c r="E209" s="526"/>
      <c r="F209" s="630">
        <f t="shared" si="66"/>
        <v>0</v>
      </c>
      <c r="G209" s="526"/>
      <c r="H209" s="517">
        <f t="shared" si="67"/>
        <v>0</v>
      </c>
      <c r="I209" s="526"/>
      <c r="J209" s="517">
        <f t="shared" si="68"/>
        <v>0</v>
      </c>
      <c r="K209" s="517"/>
      <c r="L209" s="517"/>
      <c r="M209" s="517"/>
      <c r="N209" s="517"/>
      <c r="O209" s="517"/>
      <c r="P209" s="517"/>
      <c r="Q209" s="517"/>
      <c r="R209" s="517"/>
      <c r="S209" s="517"/>
      <c r="T209" s="517">
        <f t="shared" si="64"/>
        <v>0</v>
      </c>
      <c r="U209" s="526"/>
      <c r="V209" s="517">
        <f t="shared" si="65"/>
        <v>0</v>
      </c>
      <c r="W209" s="632">
        <f t="shared" si="62"/>
        <v>0</v>
      </c>
      <c r="X209" s="517">
        <f t="shared" si="56"/>
        <v>0</v>
      </c>
      <c r="Y209" s="632">
        <f t="shared" si="63"/>
        <v>0</v>
      </c>
      <c r="Z209" s="517">
        <f t="shared" si="59"/>
        <v>0</v>
      </c>
      <c r="AA209" s="674"/>
      <c r="AB209" s="674"/>
    </row>
    <row r="210" spans="1:29" s="475" customFormat="1" ht="42" hidden="1" customHeight="1">
      <c r="A210" s="515"/>
      <c r="B210" s="465" t="s">
        <v>206</v>
      </c>
      <c r="C210" s="511">
        <f>ROUND(Data!K432,2)</f>
        <v>516.35</v>
      </c>
      <c r="D210" s="510" t="s">
        <v>1867</v>
      </c>
      <c r="E210" s="526"/>
      <c r="F210" s="630">
        <f t="shared" si="66"/>
        <v>0</v>
      </c>
      <c r="G210" s="526"/>
      <c r="H210" s="517">
        <f t="shared" si="67"/>
        <v>0</v>
      </c>
      <c r="I210" s="526"/>
      <c r="J210" s="517">
        <f t="shared" si="68"/>
        <v>0</v>
      </c>
      <c r="K210" s="517"/>
      <c r="L210" s="517"/>
      <c r="M210" s="517"/>
      <c r="N210" s="517"/>
      <c r="O210" s="517"/>
      <c r="P210" s="517"/>
      <c r="Q210" s="517"/>
      <c r="R210" s="517"/>
      <c r="S210" s="517"/>
      <c r="T210" s="517">
        <f t="shared" si="64"/>
        <v>0</v>
      </c>
      <c r="U210" s="526"/>
      <c r="V210" s="517">
        <f t="shared" si="65"/>
        <v>0</v>
      </c>
      <c r="W210" s="632">
        <f t="shared" si="62"/>
        <v>0</v>
      </c>
      <c r="X210" s="517">
        <f t="shared" si="56"/>
        <v>0</v>
      </c>
      <c r="Y210" s="632">
        <f t="shared" si="63"/>
        <v>0</v>
      </c>
      <c r="Z210" s="517">
        <f t="shared" si="59"/>
        <v>0</v>
      </c>
      <c r="AA210" s="674"/>
      <c r="AB210" s="674"/>
    </row>
    <row r="211" spans="1:29" s="475" customFormat="1" ht="42" hidden="1" customHeight="1">
      <c r="A211" s="541"/>
      <c r="B211" s="509" t="s">
        <v>207</v>
      </c>
      <c r="C211" s="521">
        <f>ROUND(Data!K433,2)</f>
        <v>526.42999999999995</v>
      </c>
      <c r="D211" s="518" t="s">
        <v>1867</v>
      </c>
      <c r="E211" s="526"/>
      <c r="F211" s="630">
        <f t="shared" si="66"/>
        <v>0</v>
      </c>
      <c r="G211" s="526"/>
      <c r="H211" s="517">
        <f t="shared" si="67"/>
        <v>0</v>
      </c>
      <c r="I211" s="526"/>
      <c r="J211" s="517">
        <f t="shared" si="68"/>
        <v>0</v>
      </c>
      <c r="K211" s="517"/>
      <c r="L211" s="517"/>
      <c r="M211" s="517"/>
      <c r="N211" s="517"/>
      <c r="O211" s="517"/>
      <c r="P211" s="517"/>
      <c r="Q211" s="517"/>
      <c r="R211" s="517"/>
      <c r="S211" s="517"/>
      <c r="T211" s="517">
        <f t="shared" si="64"/>
        <v>0</v>
      </c>
      <c r="U211" s="526"/>
      <c r="V211" s="517">
        <f t="shared" si="65"/>
        <v>0</v>
      </c>
      <c r="W211" s="632">
        <f t="shared" si="62"/>
        <v>0</v>
      </c>
      <c r="X211" s="517">
        <f t="shared" si="56"/>
        <v>0</v>
      </c>
      <c r="Y211" s="632">
        <f t="shared" si="63"/>
        <v>0</v>
      </c>
      <c r="Z211" s="517">
        <f t="shared" si="59"/>
        <v>0</v>
      </c>
      <c r="AA211" s="674"/>
      <c r="AB211" s="674"/>
    </row>
    <row r="212" spans="1:29" s="475" customFormat="1" ht="42" hidden="1" customHeight="1">
      <c r="A212" s="515"/>
      <c r="B212" s="465" t="s">
        <v>208</v>
      </c>
      <c r="C212" s="511">
        <f>ROUND(Data!K434,2)</f>
        <v>536.51</v>
      </c>
      <c r="D212" s="510" t="s">
        <v>1867</v>
      </c>
      <c r="E212" s="526"/>
      <c r="F212" s="630">
        <f t="shared" si="66"/>
        <v>0</v>
      </c>
      <c r="G212" s="526"/>
      <c r="H212" s="517">
        <f t="shared" si="67"/>
        <v>0</v>
      </c>
      <c r="I212" s="526"/>
      <c r="J212" s="517">
        <f t="shared" si="68"/>
        <v>0</v>
      </c>
      <c r="K212" s="517"/>
      <c r="L212" s="517"/>
      <c r="M212" s="517"/>
      <c r="N212" s="517"/>
      <c r="O212" s="517"/>
      <c r="P212" s="517"/>
      <c r="Q212" s="517"/>
      <c r="R212" s="517"/>
      <c r="S212" s="517"/>
      <c r="T212" s="517">
        <f t="shared" si="64"/>
        <v>0</v>
      </c>
      <c r="U212" s="526"/>
      <c r="V212" s="517">
        <f t="shared" si="65"/>
        <v>0</v>
      </c>
      <c r="W212" s="632">
        <f t="shared" si="62"/>
        <v>0</v>
      </c>
      <c r="X212" s="517">
        <f t="shared" si="56"/>
        <v>0</v>
      </c>
      <c r="Y212" s="632">
        <f t="shared" si="63"/>
        <v>0</v>
      </c>
      <c r="Z212" s="517">
        <f t="shared" si="59"/>
        <v>0</v>
      </c>
      <c r="AA212" s="674"/>
      <c r="AB212" s="674"/>
    </row>
    <row r="213" spans="1:29" s="301" customFormat="1" ht="25.5" hidden="1" customHeight="1">
      <c r="A213" s="445"/>
      <c r="B213" s="320" t="s">
        <v>612</v>
      </c>
      <c r="C213" s="307">
        <f>ROUND(Data!K435,2)</f>
        <v>546.59</v>
      </c>
      <c r="D213" s="486" t="s">
        <v>1867</v>
      </c>
      <c r="E213" s="526"/>
      <c r="F213" s="630">
        <f t="shared" si="66"/>
        <v>0</v>
      </c>
      <c r="G213" s="526"/>
      <c r="H213" s="517">
        <f t="shared" si="67"/>
        <v>0</v>
      </c>
      <c r="I213" s="526"/>
      <c r="J213" s="517">
        <f t="shared" si="68"/>
        <v>0</v>
      </c>
      <c r="K213" s="517"/>
      <c r="L213" s="517"/>
      <c r="M213" s="517"/>
      <c r="N213" s="517"/>
      <c r="O213" s="517"/>
      <c r="P213" s="517"/>
      <c r="Q213" s="517"/>
      <c r="R213" s="517"/>
      <c r="S213" s="517"/>
      <c r="T213" s="517">
        <f t="shared" si="64"/>
        <v>0</v>
      </c>
      <c r="U213" s="526"/>
      <c r="V213" s="517">
        <f t="shared" si="65"/>
        <v>0</v>
      </c>
      <c r="W213" s="632">
        <f t="shared" si="62"/>
        <v>0</v>
      </c>
      <c r="X213" s="517">
        <f t="shared" si="56"/>
        <v>0</v>
      </c>
      <c r="Y213" s="632">
        <f t="shared" si="63"/>
        <v>0</v>
      </c>
      <c r="Z213" s="517">
        <f t="shared" si="59"/>
        <v>0</v>
      </c>
      <c r="AA213" s="675"/>
      <c r="AB213" s="674"/>
    </row>
    <row r="214" spans="1:29" s="301" customFormat="1" ht="69.75" hidden="1" customHeight="1">
      <c r="A214" s="444">
        <v>11.6</v>
      </c>
      <c r="B214" s="369" t="s">
        <v>4058</v>
      </c>
      <c r="C214" s="307"/>
      <c r="D214" s="486"/>
      <c r="E214" s="526"/>
      <c r="F214" s="630">
        <f t="shared" si="66"/>
        <v>0</v>
      </c>
      <c r="G214" s="526"/>
      <c r="H214" s="517">
        <f t="shared" si="67"/>
        <v>0</v>
      </c>
      <c r="I214" s="526"/>
      <c r="J214" s="517">
        <f t="shared" si="68"/>
        <v>0</v>
      </c>
      <c r="K214" s="517"/>
      <c r="L214" s="517"/>
      <c r="M214" s="517"/>
      <c r="N214" s="517"/>
      <c r="O214" s="517"/>
      <c r="P214" s="517"/>
      <c r="Q214" s="517"/>
      <c r="R214" s="517"/>
      <c r="S214" s="517"/>
      <c r="T214" s="517">
        <f t="shared" si="64"/>
        <v>0</v>
      </c>
      <c r="U214" s="526"/>
      <c r="V214" s="517">
        <f t="shared" si="65"/>
        <v>0</v>
      </c>
      <c r="W214" s="632">
        <f t="shared" si="62"/>
        <v>0</v>
      </c>
      <c r="X214" s="517">
        <f t="shared" si="56"/>
        <v>0</v>
      </c>
      <c r="Y214" s="632">
        <f t="shared" si="63"/>
        <v>0</v>
      </c>
      <c r="Z214" s="517">
        <f t="shared" si="59"/>
        <v>0</v>
      </c>
      <c r="AA214" s="675"/>
      <c r="AB214" s="674"/>
    </row>
    <row r="215" spans="1:29" s="301" customFormat="1" ht="25.5" hidden="1" customHeight="1">
      <c r="A215" s="444"/>
      <c r="B215" s="320" t="s">
        <v>205</v>
      </c>
      <c r="C215" s="307"/>
      <c r="D215" s="486" t="s">
        <v>1867</v>
      </c>
      <c r="E215" s="526"/>
      <c r="F215" s="630">
        <f t="shared" si="66"/>
        <v>0</v>
      </c>
      <c r="G215" s="526"/>
      <c r="H215" s="517">
        <f t="shared" si="67"/>
        <v>0</v>
      </c>
      <c r="I215" s="526"/>
      <c r="J215" s="517">
        <f t="shared" si="68"/>
        <v>0</v>
      </c>
      <c r="K215" s="517"/>
      <c r="L215" s="517"/>
      <c r="M215" s="517"/>
      <c r="N215" s="517"/>
      <c r="O215" s="517"/>
      <c r="P215" s="517"/>
      <c r="Q215" s="517"/>
      <c r="R215" s="517"/>
      <c r="S215" s="517"/>
      <c r="T215" s="517">
        <f t="shared" si="64"/>
        <v>0</v>
      </c>
      <c r="U215" s="526"/>
      <c r="V215" s="517">
        <f t="shared" si="65"/>
        <v>0</v>
      </c>
      <c r="W215" s="632">
        <f t="shared" si="62"/>
        <v>0</v>
      </c>
      <c r="X215" s="517">
        <f t="shared" si="56"/>
        <v>0</v>
      </c>
      <c r="Y215" s="632">
        <f t="shared" si="63"/>
        <v>0</v>
      </c>
      <c r="Z215" s="517">
        <f t="shared" si="59"/>
        <v>0</v>
      </c>
      <c r="AA215" s="675"/>
      <c r="AB215" s="674"/>
    </row>
    <row r="216" spans="1:29" s="301" customFormat="1" ht="25.5" hidden="1" customHeight="1">
      <c r="A216" s="444"/>
      <c r="B216" s="320" t="s">
        <v>206</v>
      </c>
      <c r="C216" s="307"/>
      <c r="D216" s="486" t="s">
        <v>1867</v>
      </c>
      <c r="E216" s="526"/>
      <c r="F216" s="630">
        <f t="shared" si="66"/>
        <v>0</v>
      </c>
      <c r="G216" s="526"/>
      <c r="H216" s="517">
        <f t="shared" si="67"/>
        <v>0</v>
      </c>
      <c r="I216" s="526"/>
      <c r="J216" s="517">
        <f t="shared" si="68"/>
        <v>0</v>
      </c>
      <c r="K216" s="517"/>
      <c r="L216" s="517"/>
      <c r="M216" s="517"/>
      <c r="N216" s="517"/>
      <c r="O216" s="517"/>
      <c r="P216" s="517"/>
      <c r="Q216" s="517"/>
      <c r="R216" s="517"/>
      <c r="S216" s="517"/>
      <c r="T216" s="517">
        <f t="shared" si="64"/>
        <v>0</v>
      </c>
      <c r="U216" s="526"/>
      <c r="V216" s="517">
        <f t="shared" si="65"/>
        <v>0</v>
      </c>
      <c r="W216" s="632">
        <f t="shared" si="62"/>
        <v>0</v>
      </c>
      <c r="X216" s="517">
        <f t="shared" si="56"/>
        <v>0</v>
      </c>
      <c r="Y216" s="632">
        <f t="shared" si="63"/>
        <v>0</v>
      </c>
      <c r="Z216" s="517">
        <f t="shared" si="59"/>
        <v>0</v>
      </c>
      <c r="AA216" s="675"/>
      <c r="AB216" s="674"/>
    </row>
    <row r="217" spans="1:29" s="301" customFormat="1" ht="25.5" hidden="1" customHeight="1">
      <c r="A217" s="444"/>
      <c r="B217" s="320" t="s">
        <v>207</v>
      </c>
      <c r="C217" s="307"/>
      <c r="D217" s="486" t="s">
        <v>1867</v>
      </c>
      <c r="E217" s="526"/>
      <c r="F217" s="630">
        <f t="shared" si="66"/>
        <v>0</v>
      </c>
      <c r="G217" s="526"/>
      <c r="H217" s="517">
        <f t="shared" si="67"/>
        <v>0</v>
      </c>
      <c r="I217" s="526"/>
      <c r="J217" s="517">
        <f t="shared" si="68"/>
        <v>0</v>
      </c>
      <c r="K217" s="517"/>
      <c r="L217" s="517"/>
      <c r="M217" s="517"/>
      <c r="N217" s="517"/>
      <c r="O217" s="517"/>
      <c r="P217" s="517"/>
      <c r="Q217" s="517"/>
      <c r="R217" s="517"/>
      <c r="S217" s="517"/>
      <c r="T217" s="517">
        <f t="shared" si="64"/>
        <v>0</v>
      </c>
      <c r="U217" s="526"/>
      <c r="V217" s="517">
        <f t="shared" si="65"/>
        <v>0</v>
      </c>
      <c r="W217" s="632">
        <f t="shared" si="62"/>
        <v>0</v>
      </c>
      <c r="X217" s="517">
        <f t="shared" si="56"/>
        <v>0</v>
      </c>
      <c r="Y217" s="632">
        <f t="shared" si="63"/>
        <v>0</v>
      </c>
      <c r="Z217" s="517">
        <f t="shared" si="59"/>
        <v>0</v>
      </c>
      <c r="AA217" s="675"/>
      <c r="AB217" s="674"/>
    </row>
    <row r="218" spans="1:29" s="301" customFormat="1" ht="25.5" hidden="1" customHeight="1">
      <c r="A218" s="444"/>
      <c r="B218" s="320" t="s">
        <v>208</v>
      </c>
      <c r="C218" s="307"/>
      <c r="D218" s="486" t="s">
        <v>1867</v>
      </c>
      <c r="E218" s="526"/>
      <c r="F218" s="630">
        <f t="shared" si="66"/>
        <v>0</v>
      </c>
      <c r="G218" s="526"/>
      <c r="H218" s="517">
        <f t="shared" si="67"/>
        <v>0</v>
      </c>
      <c r="I218" s="526"/>
      <c r="J218" s="517">
        <f t="shared" si="68"/>
        <v>0</v>
      </c>
      <c r="K218" s="517"/>
      <c r="L218" s="517"/>
      <c r="M218" s="517"/>
      <c r="N218" s="517"/>
      <c r="O218" s="517"/>
      <c r="P218" s="517"/>
      <c r="Q218" s="517"/>
      <c r="R218" s="517"/>
      <c r="S218" s="517"/>
      <c r="T218" s="517">
        <f t="shared" si="64"/>
        <v>0</v>
      </c>
      <c r="U218" s="526"/>
      <c r="V218" s="517">
        <f t="shared" si="65"/>
        <v>0</v>
      </c>
      <c r="W218" s="632">
        <f t="shared" si="62"/>
        <v>0</v>
      </c>
      <c r="X218" s="517">
        <f t="shared" si="56"/>
        <v>0</v>
      </c>
      <c r="Y218" s="632">
        <f t="shared" si="63"/>
        <v>0</v>
      </c>
      <c r="Z218" s="517">
        <f t="shared" si="59"/>
        <v>0</v>
      </c>
      <c r="AA218" s="675"/>
      <c r="AB218" s="674"/>
    </row>
    <row r="219" spans="1:29" s="301" customFormat="1" ht="7.5" hidden="1" customHeight="1">
      <c r="A219" s="653"/>
      <c r="B219" s="520" t="s">
        <v>612</v>
      </c>
      <c r="C219" s="650"/>
      <c r="D219" s="446" t="s">
        <v>1867</v>
      </c>
      <c r="E219" s="651"/>
      <c r="F219" s="630">
        <f t="shared" si="66"/>
        <v>0</v>
      </c>
      <c r="G219" s="651"/>
      <c r="H219" s="517">
        <f t="shared" si="67"/>
        <v>0</v>
      </c>
      <c r="I219" s="651"/>
      <c r="J219" s="517">
        <f t="shared" si="68"/>
        <v>0</v>
      </c>
      <c r="K219" s="654"/>
      <c r="L219" s="654"/>
      <c r="M219" s="654"/>
      <c r="N219" s="654"/>
      <c r="O219" s="654"/>
      <c r="P219" s="654"/>
      <c r="Q219" s="654"/>
      <c r="R219" s="654"/>
      <c r="S219" s="654"/>
      <c r="T219" s="517">
        <f t="shared" si="64"/>
        <v>0</v>
      </c>
      <c r="U219" s="651"/>
      <c r="V219" s="517">
        <f t="shared" si="65"/>
        <v>0</v>
      </c>
      <c r="W219" s="632">
        <f t="shared" si="62"/>
        <v>0</v>
      </c>
      <c r="X219" s="517">
        <f t="shared" si="56"/>
        <v>0</v>
      </c>
      <c r="Y219" s="632">
        <f t="shared" si="63"/>
        <v>0</v>
      </c>
      <c r="Z219" s="517">
        <f t="shared" si="59"/>
        <v>0</v>
      </c>
      <c r="AA219" s="675"/>
      <c r="AB219" s="674"/>
    </row>
    <row r="220" spans="1:29" ht="57.75" customHeight="1">
      <c r="A220" s="1608">
        <v>12.1</v>
      </c>
      <c r="B220" s="1169" t="s">
        <v>4471</v>
      </c>
      <c r="C220" s="1612"/>
      <c r="D220" s="1643"/>
      <c r="E220" s="1623"/>
      <c r="F220" s="1617">
        <f t="shared" si="66"/>
        <v>0</v>
      </c>
      <c r="G220" s="1618"/>
      <c r="H220" s="1618">
        <f t="shared" si="67"/>
        <v>0</v>
      </c>
      <c r="I220" s="1618"/>
      <c r="J220" s="1618">
        <f t="shared" si="68"/>
        <v>0</v>
      </c>
      <c r="K220" s="1618"/>
      <c r="L220" s="1618">
        <f t="shared" ref="L220:L223" si="69">K220*C220</f>
        <v>0</v>
      </c>
      <c r="M220" s="1618"/>
      <c r="N220" s="1618">
        <f>M220*C220</f>
        <v>0</v>
      </c>
      <c r="O220" s="1618"/>
      <c r="P220" s="1618">
        <f>O220*C220</f>
        <v>0</v>
      </c>
      <c r="Q220" s="1618"/>
      <c r="R220" s="1618">
        <f>Q220*C220</f>
        <v>0</v>
      </c>
      <c r="S220" s="1618"/>
      <c r="T220" s="1618">
        <f t="shared" si="64"/>
        <v>0</v>
      </c>
      <c r="U220" s="1618"/>
      <c r="V220" s="1618">
        <f t="shared" si="65"/>
        <v>0</v>
      </c>
      <c r="W220" s="1619" t="e">
        <f>U220+S220+O220+M220+#REF!+K220+I220+G220+Q220</f>
        <v>#REF!</v>
      </c>
      <c r="X220" s="1618" t="e">
        <f t="shared" si="56"/>
        <v>#REF!</v>
      </c>
      <c r="Y220" s="1619" t="e">
        <f>W220+E220</f>
        <v>#REF!</v>
      </c>
      <c r="Z220" s="1618" t="e">
        <f t="shared" si="59"/>
        <v>#REF!</v>
      </c>
      <c r="AA220" s="530"/>
      <c r="AB220" s="673"/>
      <c r="AC220" s="307"/>
    </row>
    <row r="221" spans="1:29" s="309" customFormat="1" ht="34.5" customHeight="1">
      <c r="A221" s="1166"/>
      <c r="B221" s="1166" t="s">
        <v>205</v>
      </c>
      <c r="C221" s="1612">
        <v>367.78</v>
      </c>
      <c r="D221" s="1610" t="s">
        <v>1867</v>
      </c>
      <c r="E221" s="1616">
        <f>station!I466</f>
        <v>7.7</v>
      </c>
      <c r="F221" s="1617">
        <f t="shared" si="66"/>
        <v>2831.91</v>
      </c>
      <c r="G221" s="1618"/>
      <c r="H221" s="1618">
        <f t="shared" si="67"/>
        <v>0</v>
      </c>
      <c r="I221" s="1618"/>
      <c r="J221" s="1618">
        <f t="shared" si="68"/>
        <v>0</v>
      </c>
      <c r="K221" s="1618"/>
      <c r="L221" s="1618">
        <f t="shared" si="69"/>
        <v>0</v>
      </c>
      <c r="M221" s="1618"/>
      <c r="N221" s="1618">
        <f>M221*C221</f>
        <v>0</v>
      </c>
      <c r="O221" s="1618"/>
      <c r="P221" s="1618">
        <f>O221*C221</f>
        <v>0</v>
      </c>
      <c r="Q221" s="1618"/>
      <c r="R221" s="1618">
        <f>Q221*C221</f>
        <v>0</v>
      </c>
      <c r="S221" s="1618"/>
      <c r="T221" s="1618">
        <f t="shared" si="64"/>
        <v>0</v>
      </c>
      <c r="U221" s="1618"/>
      <c r="V221" s="1618">
        <f t="shared" si="65"/>
        <v>0</v>
      </c>
      <c r="W221" s="1619" t="e">
        <f>U221+S221+O221+M221+#REF!+K221+I221+G221+Q221</f>
        <v>#REF!</v>
      </c>
      <c r="X221" s="1618" t="e">
        <f t="shared" si="56"/>
        <v>#REF!</v>
      </c>
      <c r="Y221" s="1619" t="e">
        <f>W221+E221</f>
        <v>#REF!</v>
      </c>
      <c r="Z221" s="1618" t="e">
        <f t="shared" si="59"/>
        <v>#REF!</v>
      </c>
      <c r="AA221" s="673"/>
      <c r="AB221" s="673"/>
    </row>
    <row r="222" spans="1:29" s="309" customFormat="1" ht="43.5" customHeight="1">
      <c r="A222" s="1166"/>
      <c r="B222" s="1166" t="s">
        <v>206</v>
      </c>
      <c r="C222" s="1612">
        <v>374.64</v>
      </c>
      <c r="D222" s="1610" t="s">
        <v>1867</v>
      </c>
      <c r="E222" s="1616">
        <f>station!I469</f>
        <v>9</v>
      </c>
      <c r="F222" s="1617">
        <f t="shared" si="66"/>
        <v>3371.76</v>
      </c>
      <c r="G222" s="1618"/>
      <c r="H222" s="1618">
        <f t="shared" si="67"/>
        <v>0</v>
      </c>
      <c r="I222" s="1618"/>
      <c r="J222" s="1618">
        <f t="shared" si="68"/>
        <v>0</v>
      </c>
      <c r="K222" s="1618"/>
      <c r="L222" s="1618">
        <f t="shared" si="69"/>
        <v>0</v>
      </c>
      <c r="M222" s="1618"/>
      <c r="N222" s="1618">
        <f>M222*C222</f>
        <v>0</v>
      </c>
      <c r="O222" s="1618"/>
      <c r="P222" s="1618">
        <f>O222*C222</f>
        <v>0</v>
      </c>
      <c r="Q222" s="1618"/>
      <c r="R222" s="1618">
        <f>Q222*C222</f>
        <v>0</v>
      </c>
      <c r="S222" s="1618"/>
      <c r="T222" s="1618">
        <f t="shared" si="64"/>
        <v>0</v>
      </c>
      <c r="U222" s="1618"/>
      <c r="V222" s="1618">
        <f t="shared" si="65"/>
        <v>0</v>
      </c>
      <c r="W222" s="1619" t="e">
        <f>U222+S222+O222+M222+#REF!+K222+I222+G222+Q222</f>
        <v>#REF!</v>
      </c>
      <c r="X222" s="1618" t="e">
        <f t="shared" si="56"/>
        <v>#REF!</v>
      </c>
      <c r="Y222" s="1619" t="e">
        <f>W222+E222</f>
        <v>#REF!</v>
      </c>
      <c r="Z222" s="1618" t="e">
        <f t="shared" si="59"/>
        <v>#REF!</v>
      </c>
      <c r="AA222" s="673"/>
      <c r="AB222" s="673"/>
    </row>
    <row r="223" spans="1:29" s="480" customFormat="1" hidden="1">
      <c r="A223" s="465"/>
      <c r="B223" s="1172" t="s">
        <v>207</v>
      </c>
      <c r="C223" s="511">
        <f>ROUND(Data!K466,2)</f>
        <v>382.35</v>
      </c>
      <c r="D223" s="510" t="s">
        <v>1867</v>
      </c>
      <c r="E223" s="526"/>
      <c r="F223" s="1394">
        <f t="shared" si="66"/>
        <v>0</v>
      </c>
      <c r="G223" s="526"/>
      <c r="H223" s="517">
        <f t="shared" si="67"/>
        <v>0</v>
      </c>
      <c r="I223" s="526"/>
      <c r="J223" s="517">
        <f t="shared" si="68"/>
        <v>0</v>
      </c>
      <c r="K223" s="517"/>
      <c r="L223" s="517">
        <f t="shared" si="69"/>
        <v>0</v>
      </c>
      <c r="M223" s="517"/>
      <c r="N223" s="517">
        <f>M223*C223</f>
        <v>0</v>
      </c>
      <c r="O223" s="517"/>
      <c r="P223" s="517">
        <f>O223*C223</f>
        <v>0</v>
      </c>
      <c r="Q223" s="517"/>
      <c r="R223" s="517"/>
      <c r="S223" s="517"/>
      <c r="T223" s="517">
        <f t="shared" si="64"/>
        <v>0</v>
      </c>
      <c r="U223" s="526"/>
      <c r="V223" s="517">
        <f t="shared" si="65"/>
        <v>0</v>
      </c>
      <c r="W223" s="632" t="e">
        <f>U223+S223+O223+M223+#REF!+K223+I223+G223</f>
        <v>#REF!</v>
      </c>
      <c r="X223" s="517" t="e">
        <f t="shared" si="56"/>
        <v>#REF!</v>
      </c>
      <c r="Y223" s="632" t="e">
        <f>W223+E223</f>
        <v>#REF!</v>
      </c>
      <c r="Z223" s="517" t="e">
        <f t="shared" si="59"/>
        <v>#REF!</v>
      </c>
      <c r="AA223" s="674"/>
      <c r="AB223" s="674"/>
    </row>
    <row r="224" spans="1:29" s="480" customFormat="1" hidden="1">
      <c r="A224" s="465"/>
      <c r="B224" s="465" t="s">
        <v>208</v>
      </c>
      <c r="C224" s="511">
        <f>ROUND(Data!K467,2)</f>
        <v>389.55</v>
      </c>
      <c r="D224" s="510" t="s">
        <v>1867</v>
      </c>
      <c r="E224" s="526"/>
      <c r="F224" s="630">
        <f t="shared" si="66"/>
        <v>0</v>
      </c>
      <c r="G224" s="526"/>
      <c r="H224" s="517">
        <f t="shared" si="67"/>
        <v>0</v>
      </c>
      <c r="I224" s="526"/>
      <c r="J224" s="517">
        <f t="shared" si="68"/>
        <v>0</v>
      </c>
      <c r="K224" s="517"/>
      <c r="L224" s="517"/>
      <c r="M224" s="517"/>
      <c r="N224" s="517"/>
      <c r="O224" s="517"/>
      <c r="P224" s="517"/>
      <c r="Q224" s="517"/>
      <c r="R224" s="517"/>
      <c r="S224" s="517"/>
      <c r="T224" s="517">
        <f t="shared" si="64"/>
        <v>0</v>
      </c>
      <c r="U224" s="526"/>
      <c r="V224" s="517">
        <f t="shared" si="65"/>
        <v>0</v>
      </c>
      <c r="W224" s="632">
        <f t="shared" ref="W224:W232" si="70">I224+S224+U224</f>
        <v>0</v>
      </c>
      <c r="X224" s="517">
        <f t="shared" si="56"/>
        <v>0</v>
      </c>
      <c r="Y224" s="632">
        <f t="shared" ref="Y224:Y232" si="71">W224+E224+G224</f>
        <v>0</v>
      </c>
      <c r="Z224" s="517">
        <f t="shared" si="59"/>
        <v>0</v>
      </c>
      <c r="AA224" s="674"/>
      <c r="AB224" s="674"/>
    </row>
    <row r="225" spans="1:28" s="301" customFormat="1" hidden="1">
      <c r="A225" s="370"/>
      <c r="B225" s="320" t="s">
        <v>612</v>
      </c>
      <c r="C225" s="377">
        <f>ROUND(Data!K468,2)</f>
        <v>396.75</v>
      </c>
      <c r="D225" s="514" t="s">
        <v>1867</v>
      </c>
      <c r="E225" s="526"/>
      <c r="F225" s="630">
        <f t="shared" si="66"/>
        <v>0</v>
      </c>
      <c r="G225" s="526"/>
      <c r="H225" s="517">
        <f t="shared" si="67"/>
        <v>0</v>
      </c>
      <c r="I225" s="526"/>
      <c r="J225" s="517">
        <f t="shared" si="68"/>
        <v>0</v>
      </c>
      <c r="K225" s="517"/>
      <c r="L225" s="517"/>
      <c r="M225" s="517"/>
      <c r="N225" s="517"/>
      <c r="O225" s="517"/>
      <c r="P225" s="517"/>
      <c r="Q225" s="517"/>
      <c r="R225" s="517"/>
      <c r="S225" s="517"/>
      <c r="T225" s="517">
        <f t="shared" si="64"/>
        <v>0</v>
      </c>
      <c r="U225" s="526"/>
      <c r="V225" s="517">
        <f t="shared" si="65"/>
        <v>0</v>
      </c>
      <c r="W225" s="632">
        <f t="shared" si="70"/>
        <v>0</v>
      </c>
      <c r="X225" s="517">
        <f t="shared" si="56"/>
        <v>0</v>
      </c>
      <c r="Y225" s="632">
        <f t="shared" si="71"/>
        <v>0</v>
      </c>
      <c r="Z225" s="517">
        <f t="shared" si="59"/>
        <v>0</v>
      </c>
      <c r="AA225" s="675"/>
      <c r="AB225" s="674"/>
    </row>
    <row r="226" spans="1:28" s="301" customFormat="1" ht="69.75" hidden="1">
      <c r="A226" s="368">
        <v>12.2</v>
      </c>
      <c r="B226" s="320" t="s">
        <v>1828</v>
      </c>
      <c r="C226" s="307"/>
      <c r="D226" s="378"/>
      <c r="E226" s="526"/>
      <c r="F226" s="630">
        <f t="shared" si="66"/>
        <v>0</v>
      </c>
      <c r="G226" s="526"/>
      <c r="H226" s="517">
        <f t="shared" si="67"/>
        <v>0</v>
      </c>
      <c r="I226" s="526"/>
      <c r="J226" s="517">
        <f t="shared" si="68"/>
        <v>0</v>
      </c>
      <c r="K226" s="517"/>
      <c r="L226" s="517"/>
      <c r="M226" s="517"/>
      <c r="N226" s="517"/>
      <c r="O226" s="517"/>
      <c r="P226" s="517"/>
      <c r="Q226" s="517"/>
      <c r="R226" s="517"/>
      <c r="S226" s="517"/>
      <c r="T226" s="517">
        <f t="shared" si="64"/>
        <v>0</v>
      </c>
      <c r="U226" s="526"/>
      <c r="V226" s="517">
        <f t="shared" si="65"/>
        <v>0</v>
      </c>
      <c r="W226" s="632">
        <f t="shared" si="70"/>
        <v>0</v>
      </c>
      <c r="X226" s="517">
        <f t="shared" si="56"/>
        <v>0</v>
      </c>
      <c r="Y226" s="632">
        <f t="shared" si="71"/>
        <v>0</v>
      </c>
      <c r="Z226" s="517">
        <f t="shared" si="59"/>
        <v>0</v>
      </c>
      <c r="AA226" s="675"/>
      <c r="AB226" s="674"/>
    </row>
    <row r="227" spans="1:28" s="301" customFormat="1" hidden="1">
      <c r="A227" s="320"/>
      <c r="B227" s="320" t="s">
        <v>205</v>
      </c>
      <c r="C227" s="307"/>
      <c r="D227" s="486" t="s">
        <v>1867</v>
      </c>
      <c r="E227" s="526"/>
      <c r="F227" s="630">
        <f t="shared" si="66"/>
        <v>0</v>
      </c>
      <c r="G227" s="526"/>
      <c r="H227" s="517">
        <f t="shared" si="67"/>
        <v>0</v>
      </c>
      <c r="I227" s="526"/>
      <c r="J227" s="517">
        <f t="shared" si="68"/>
        <v>0</v>
      </c>
      <c r="K227" s="517"/>
      <c r="L227" s="517"/>
      <c r="M227" s="517"/>
      <c r="N227" s="517"/>
      <c r="O227" s="517"/>
      <c r="P227" s="517"/>
      <c r="Q227" s="517"/>
      <c r="R227" s="517"/>
      <c r="S227" s="517"/>
      <c r="T227" s="517">
        <f t="shared" si="64"/>
        <v>0</v>
      </c>
      <c r="U227" s="526"/>
      <c r="V227" s="517">
        <f t="shared" si="65"/>
        <v>0</v>
      </c>
      <c r="W227" s="632">
        <f t="shared" si="70"/>
        <v>0</v>
      </c>
      <c r="X227" s="517">
        <f t="shared" si="56"/>
        <v>0</v>
      </c>
      <c r="Y227" s="632">
        <f t="shared" si="71"/>
        <v>0</v>
      </c>
      <c r="Z227" s="517">
        <f t="shared" si="59"/>
        <v>0</v>
      </c>
      <c r="AA227" s="675"/>
      <c r="AB227" s="674"/>
    </row>
    <row r="228" spans="1:28" s="301" customFormat="1" hidden="1">
      <c r="A228" s="320"/>
      <c r="B228" s="320" t="s">
        <v>206</v>
      </c>
      <c r="C228" s="307"/>
      <c r="D228" s="486" t="s">
        <v>1867</v>
      </c>
      <c r="E228" s="526"/>
      <c r="F228" s="630">
        <f t="shared" si="66"/>
        <v>0</v>
      </c>
      <c r="G228" s="526"/>
      <c r="H228" s="517">
        <f t="shared" si="67"/>
        <v>0</v>
      </c>
      <c r="I228" s="526"/>
      <c r="J228" s="517">
        <f t="shared" si="68"/>
        <v>0</v>
      </c>
      <c r="K228" s="517"/>
      <c r="L228" s="517"/>
      <c r="M228" s="517"/>
      <c r="N228" s="517"/>
      <c r="O228" s="517"/>
      <c r="P228" s="517"/>
      <c r="Q228" s="517"/>
      <c r="R228" s="517"/>
      <c r="S228" s="517"/>
      <c r="T228" s="517">
        <f t="shared" si="64"/>
        <v>0</v>
      </c>
      <c r="U228" s="526"/>
      <c r="V228" s="517">
        <f t="shared" si="65"/>
        <v>0</v>
      </c>
      <c r="W228" s="632">
        <f t="shared" si="70"/>
        <v>0</v>
      </c>
      <c r="X228" s="517">
        <f t="shared" si="56"/>
        <v>0</v>
      </c>
      <c r="Y228" s="632">
        <f t="shared" si="71"/>
        <v>0</v>
      </c>
      <c r="Z228" s="517">
        <f t="shared" si="59"/>
        <v>0</v>
      </c>
      <c r="AA228" s="675"/>
      <c r="AB228" s="674"/>
    </row>
    <row r="229" spans="1:28" s="301" customFormat="1" hidden="1">
      <c r="A229" s="320"/>
      <c r="B229" s="320" t="s">
        <v>207</v>
      </c>
      <c r="C229" s="307"/>
      <c r="D229" s="486" t="s">
        <v>1867</v>
      </c>
      <c r="E229" s="526"/>
      <c r="F229" s="630">
        <f t="shared" si="66"/>
        <v>0</v>
      </c>
      <c r="G229" s="526"/>
      <c r="H229" s="517">
        <f t="shared" si="67"/>
        <v>0</v>
      </c>
      <c r="I229" s="526"/>
      <c r="J229" s="517">
        <f t="shared" si="68"/>
        <v>0</v>
      </c>
      <c r="K229" s="517"/>
      <c r="L229" s="517"/>
      <c r="M229" s="517"/>
      <c r="N229" s="517"/>
      <c r="O229" s="517"/>
      <c r="P229" s="517"/>
      <c r="Q229" s="517"/>
      <c r="R229" s="517"/>
      <c r="S229" s="517"/>
      <c r="T229" s="517">
        <f t="shared" si="64"/>
        <v>0</v>
      </c>
      <c r="U229" s="526"/>
      <c r="V229" s="517">
        <f t="shared" si="65"/>
        <v>0</v>
      </c>
      <c r="W229" s="632">
        <f t="shared" si="70"/>
        <v>0</v>
      </c>
      <c r="X229" s="517">
        <f t="shared" si="56"/>
        <v>0</v>
      </c>
      <c r="Y229" s="632">
        <f t="shared" si="71"/>
        <v>0</v>
      </c>
      <c r="Z229" s="517">
        <f t="shared" si="59"/>
        <v>0</v>
      </c>
      <c r="AA229" s="675"/>
      <c r="AB229" s="674"/>
    </row>
    <row r="230" spans="1:28" s="301" customFormat="1" hidden="1">
      <c r="A230" s="320"/>
      <c r="B230" s="320" t="s">
        <v>208</v>
      </c>
      <c r="C230" s="307"/>
      <c r="D230" s="486" t="s">
        <v>1867</v>
      </c>
      <c r="E230" s="526"/>
      <c r="F230" s="630">
        <f t="shared" si="66"/>
        <v>0</v>
      </c>
      <c r="G230" s="526"/>
      <c r="H230" s="517">
        <f t="shared" si="67"/>
        <v>0</v>
      </c>
      <c r="I230" s="526"/>
      <c r="J230" s="517">
        <f t="shared" si="68"/>
        <v>0</v>
      </c>
      <c r="K230" s="517"/>
      <c r="L230" s="517"/>
      <c r="M230" s="517"/>
      <c r="N230" s="517"/>
      <c r="O230" s="517"/>
      <c r="P230" s="517"/>
      <c r="Q230" s="517"/>
      <c r="R230" s="517"/>
      <c r="S230" s="517"/>
      <c r="T230" s="517">
        <f t="shared" si="64"/>
        <v>0</v>
      </c>
      <c r="U230" s="526"/>
      <c r="V230" s="517">
        <f t="shared" si="65"/>
        <v>0</v>
      </c>
      <c r="W230" s="632">
        <f t="shared" si="70"/>
        <v>0</v>
      </c>
      <c r="X230" s="517">
        <f t="shared" si="56"/>
        <v>0</v>
      </c>
      <c r="Y230" s="632">
        <f t="shared" si="71"/>
        <v>0</v>
      </c>
      <c r="Z230" s="517">
        <f t="shared" si="59"/>
        <v>0</v>
      </c>
      <c r="AA230" s="675"/>
      <c r="AB230" s="674"/>
    </row>
    <row r="231" spans="1:28" s="301" customFormat="1" hidden="1">
      <c r="A231" s="370"/>
      <c r="B231" s="320" t="s">
        <v>612</v>
      </c>
      <c r="C231" s="307"/>
      <c r="D231" s="486" t="s">
        <v>1867</v>
      </c>
      <c r="E231" s="526"/>
      <c r="F231" s="630">
        <f t="shared" si="66"/>
        <v>0</v>
      </c>
      <c r="G231" s="526"/>
      <c r="H231" s="517">
        <f t="shared" si="67"/>
        <v>0</v>
      </c>
      <c r="I231" s="526"/>
      <c r="J231" s="517">
        <f t="shared" si="68"/>
        <v>0</v>
      </c>
      <c r="K231" s="517"/>
      <c r="L231" s="517"/>
      <c r="M231" s="517"/>
      <c r="N231" s="517"/>
      <c r="O231" s="517"/>
      <c r="P231" s="517"/>
      <c r="Q231" s="517"/>
      <c r="R231" s="517"/>
      <c r="S231" s="517"/>
      <c r="T231" s="517">
        <f t="shared" si="64"/>
        <v>0</v>
      </c>
      <c r="U231" s="526"/>
      <c r="V231" s="517">
        <f t="shared" si="65"/>
        <v>0</v>
      </c>
      <c r="W231" s="632">
        <f t="shared" si="70"/>
        <v>0</v>
      </c>
      <c r="X231" s="517">
        <f t="shared" si="56"/>
        <v>0</v>
      </c>
      <c r="Y231" s="632">
        <f t="shared" si="71"/>
        <v>0</v>
      </c>
      <c r="Z231" s="517">
        <f t="shared" si="59"/>
        <v>0</v>
      </c>
      <c r="AA231" s="675"/>
      <c r="AB231" s="674"/>
    </row>
    <row r="232" spans="1:28" s="301" customFormat="1" hidden="1">
      <c r="A232" s="370"/>
      <c r="B232" s="320"/>
      <c r="C232" s="307"/>
      <c r="D232" s="486"/>
      <c r="E232" s="526"/>
      <c r="F232" s="630">
        <f t="shared" si="66"/>
        <v>0</v>
      </c>
      <c r="G232" s="526"/>
      <c r="H232" s="517">
        <f t="shared" si="67"/>
        <v>0</v>
      </c>
      <c r="I232" s="526"/>
      <c r="J232" s="517">
        <f t="shared" si="68"/>
        <v>0</v>
      </c>
      <c r="K232" s="517"/>
      <c r="L232" s="517"/>
      <c r="M232" s="517"/>
      <c r="N232" s="517"/>
      <c r="O232" s="517"/>
      <c r="P232" s="517"/>
      <c r="Q232" s="517"/>
      <c r="R232" s="517"/>
      <c r="S232" s="517"/>
      <c r="T232" s="517">
        <f t="shared" si="64"/>
        <v>0</v>
      </c>
      <c r="U232" s="526"/>
      <c r="V232" s="517">
        <f t="shared" si="65"/>
        <v>0</v>
      </c>
      <c r="W232" s="632">
        <f t="shared" si="70"/>
        <v>0</v>
      </c>
      <c r="X232" s="517">
        <f t="shared" si="56"/>
        <v>0</v>
      </c>
      <c r="Y232" s="632">
        <f t="shared" si="71"/>
        <v>0</v>
      </c>
      <c r="Z232" s="517">
        <f t="shared" si="59"/>
        <v>0</v>
      </c>
      <c r="AA232" s="675"/>
      <c r="AB232" s="674"/>
    </row>
    <row r="233" spans="1:28" s="631" customFormat="1">
      <c r="A233" s="1644">
        <v>13.1</v>
      </c>
      <c r="B233" s="1175" t="s">
        <v>1081</v>
      </c>
      <c r="C233" s="1645">
        <f>ROUND(Data!K479,2)</f>
        <v>33.6</v>
      </c>
      <c r="D233" s="1626" t="s">
        <v>1215</v>
      </c>
      <c r="E233" s="1616">
        <f>station!I508</f>
        <v>76.2</v>
      </c>
      <c r="F233" s="1617">
        <f t="shared" si="66"/>
        <v>2560.3200000000002</v>
      </c>
      <c r="G233" s="1618"/>
      <c r="H233" s="1618">
        <f>G233*C233</f>
        <v>0</v>
      </c>
      <c r="I233" s="1618"/>
      <c r="J233" s="1618">
        <f>I233*C233</f>
        <v>0</v>
      </c>
      <c r="K233" s="1618"/>
      <c r="L233" s="1618">
        <f>K233*C233</f>
        <v>0</v>
      </c>
      <c r="M233" s="1618"/>
      <c r="N233" s="1618">
        <f>M233*C233</f>
        <v>0</v>
      </c>
      <c r="O233" s="1618"/>
      <c r="P233" s="1618">
        <f>O233*C233</f>
        <v>0</v>
      </c>
      <c r="Q233" s="1618"/>
      <c r="R233" s="1618">
        <f>Q233*C233</f>
        <v>0</v>
      </c>
      <c r="S233" s="1618"/>
      <c r="T233" s="1618">
        <f t="shared" si="64"/>
        <v>0</v>
      </c>
      <c r="U233" s="1618"/>
      <c r="V233" s="1618">
        <f t="shared" si="65"/>
        <v>0</v>
      </c>
      <c r="W233" s="1619" t="e">
        <f>U233+S233+O233+M233+#REF!+K233+I233+G233+Q233</f>
        <v>#REF!</v>
      </c>
      <c r="X233" s="1618" t="e">
        <f t="shared" si="56"/>
        <v>#REF!</v>
      </c>
      <c r="Y233" s="1619" t="e">
        <f>W233+E233</f>
        <v>#REF!</v>
      </c>
      <c r="Z233" s="1618" t="e">
        <f t="shared" si="59"/>
        <v>#REF!</v>
      </c>
      <c r="AA233" s="673"/>
      <c r="AB233" s="673"/>
    </row>
    <row r="234" spans="1:28" s="301" customFormat="1" ht="33.75" hidden="1" customHeight="1">
      <c r="A234" s="542">
        <v>13.2</v>
      </c>
      <c r="B234" s="543" t="s">
        <v>1745</v>
      </c>
      <c r="C234" s="544"/>
      <c r="D234" s="545" t="s">
        <v>1215</v>
      </c>
      <c r="E234" s="526"/>
      <c r="F234" s="630">
        <f t="shared" si="66"/>
        <v>0</v>
      </c>
      <c r="G234" s="526"/>
      <c r="H234" s="517">
        <f t="shared" si="67"/>
        <v>0</v>
      </c>
      <c r="I234" s="526"/>
      <c r="J234" s="517">
        <f t="shared" si="68"/>
        <v>0</v>
      </c>
      <c r="K234" s="517"/>
      <c r="L234" s="517"/>
      <c r="M234" s="517"/>
      <c r="N234" s="517"/>
      <c r="O234" s="517"/>
      <c r="P234" s="517"/>
      <c r="Q234" s="517"/>
      <c r="R234" s="517"/>
      <c r="S234" s="517"/>
      <c r="T234" s="517">
        <f t="shared" si="64"/>
        <v>0</v>
      </c>
      <c r="U234" s="526"/>
      <c r="V234" s="517">
        <f t="shared" si="65"/>
        <v>0</v>
      </c>
      <c r="W234" s="632">
        <f t="shared" ref="W234:W265" si="72">I234+S234+U234</f>
        <v>0</v>
      </c>
      <c r="X234" s="517">
        <f t="shared" si="56"/>
        <v>0</v>
      </c>
      <c r="Y234" s="632">
        <f t="shared" ref="Y234:Y265" si="73">W234+E234+G234</f>
        <v>0</v>
      </c>
      <c r="Z234" s="517">
        <f t="shared" si="59"/>
        <v>0</v>
      </c>
      <c r="AA234" s="675"/>
      <c r="AB234" s="674"/>
    </row>
    <row r="235" spans="1:28" s="315" customFormat="1" ht="60.75" hidden="1" customHeight="1">
      <c r="A235" s="531" t="s">
        <v>1009</v>
      </c>
      <c r="B235" s="532" t="s">
        <v>90</v>
      </c>
      <c r="C235" s="528"/>
      <c r="D235" s="530"/>
      <c r="E235" s="526"/>
      <c r="F235" s="630">
        <f t="shared" si="66"/>
        <v>0</v>
      </c>
      <c r="G235" s="526"/>
      <c r="H235" s="517">
        <f t="shared" si="67"/>
        <v>0</v>
      </c>
      <c r="I235" s="526"/>
      <c r="J235" s="517">
        <f t="shared" si="68"/>
        <v>0</v>
      </c>
      <c r="K235" s="517"/>
      <c r="L235" s="517"/>
      <c r="M235" s="517"/>
      <c r="N235" s="517"/>
      <c r="O235" s="517"/>
      <c r="P235" s="517"/>
      <c r="Q235" s="517"/>
      <c r="R235" s="517"/>
      <c r="S235" s="517"/>
      <c r="T235" s="517">
        <f t="shared" si="64"/>
        <v>0</v>
      </c>
      <c r="U235" s="526"/>
      <c r="V235" s="517">
        <f t="shared" si="65"/>
        <v>0</v>
      </c>
      <c r="W235" s="632">
        <f t="shared" si="72"/>
        <v>0</v>
      </c>
      <c r="X235" s="517">
        <f t="shared" si="56"/>
        <v>0</v>
      </c>
      <c r="Y235" s="632">
        <f t="shared" si="73"/>
        <v>0</v>
      </c>
      <c r="Z235" s="517">
        <f t="shared" si="59"/>
        <v>0</v>
      </c>
      <c r="AA235" s="676"/>
      <c r="AB235" s="674"/>
    </row>
    <row r="236" spans="1:28" s="315" customFormat="1" ht="50.25" hidden="1" customHeight="1">
      <c r="A236" s="529"/>
      <c r="B236" s="529" t="s">
        <v>1270</v>
      </c>
      <c r="C236" s="528">
        <f>ROUND(Data!K532,2)</f>
        <v>1282.1099999999999</v>
      </c>
      <c r="D236" s="530" t="s">
        <v>1867</v>
      </c>
      <c r="E236" s="526"/>
      <c r="F236" s="630">
        <f t="shared" si="66"/>
        <v>0</v>
      </c>
      <c r="G236" s="526"/>
      <c r="H236" s="517">
        <f t="shared" si="67"/>
        <v>0</v>
      </c>
      <c r="I236" s="526"/>
      <c r="J236" s="517">
        <f t="shared" si="68"/>
        <v>0</v>
      </c>
      <c r="K236" s="517"/>
      <c r="L236" s="517"/>
      <c r="M236" s="517"/>
      <c r="N236" s="517"/>
      <c r="O236" s="517"/>
      <c r="P236" s="517"/>
      <c r="Q236" s="517"/>
      <c r="R236" s="517"/>
      <c r="S236" s="517"/>
      <c r="T236" s="517">
        <f t="shared" si="64"/>
        <v>0</v>
      </c>
      <c r="U236" s="526"/>
      <c r="V236" s="517">
        <f t="shared" si="65"/>
        <v>0</v>
      </c>
      <c r="W236" s="632">
        <f t="shared" si="72"/>
        <v>0</v>
      </c>
      <c r="X236" s="517">
        <f t="shared" si="56"/>
        <v>0</v>
      </c>
      <c r="Y236" s="632">
        <f t="shared" si="73"/>
        <v>0</v>
      </c>
      <c r="Z236" s="517">
        <f t="shared" si="59"/>
        <v>0</v>
      </c>
      <c r="AA236" s="676"/>
      <c r="AB236" s="674"/>
    </row>
    <row r="237" spans="1:28" s="315" customFormat="1" ht="50.25" hidden="1" customHeight="1">
      <c r="A237" s="320"/>
      <c r="B237" s="320" t="s">
        <v>1406</v>
      </c>
      <c r="C237" s="308">
        <f>ROUND(Data!K533,2)</f>
        <v>1286.42</v>
      </c>
      <c r="D237" s="486" t="s">
        <v>1867</v>
      </c>
      <c r="E237" s="526"/>
      <c r="F237" s="630">
        <f t="shared" si="66"/>
        <v>0</v>
      </c>
      <c r="G237" s="526"/>
      <c r="H237" s="517">
        <f t="shared" si="67"/>
        <v>0</v>
      </c>
      <c r="I237" s="526"/>
      <c r="J237" s="517">
        <f t="shared" si="68"/>
        <v>0</v>
      </c>
      <c r="K237" s="517"/>
      <c r="L237" s="517"/>
      <c r="M237" s="517"/>
      <c r="N237" s="517"/>
      <c r="O237" s="517"/>
      <c r="P237" s="517"/>
      <c r="Q237" s="517"/>
      <c r="R237" s="517"/>
      <c r="S237" s="517"/>
      <c r="T237" s="517">
        <f t="shared" si="64"/>
        <v>0</v>
      </c>
      <c r="U237" s="526"/>
      <c r="V237" s="517">
        <f t="shared" si="65"/>
        <v>0</v>
      </c>
      <c r="W237" s="632">
        <f t="shared" si="72"/>
        <v>0</v>
      </c>
      <c r="X237" s="517">
        <f t="shared" si="56"/>
        <v>0</v>
      </c>
      <c r="Y237" s="632">
        <f t="shared" si="73"/>
        <v>0</v>
      </c>
      <c r="Z237" s="517">
        <f t="shared" si="59"/>
        <v>0</v>
      </c>
      <c r="AA237" s="676"/>
      <c r="AB237" s="674"/>
    </row>
    <row r="238" spans="1:28" s="315" customFormat="1" ht="50.25" hidden="1" customHeight="1">
      <c r="A238" s="320"/>
      <c r="B238" s="320" t="s">
        <v>1455</v>
      </c>
      <c r="C238" s="308">
        <f>ROUND(Data!K534,2)</f>
        <v>1290.73</v>
      </c>
      <c r="D238" s="486" t="s">
        <v>1867</v>
      </c>
      <c r="E238" s="526"/>
      <c r="F238" s="630">
        <f t="shared" si="66"/>
        <v>0</v>
      </c>
      <c r="G238" s="526"/>
      <c r="H238" s="517">
        <f t="shared" si="67"/>
        <v>0</v>
      </c>
      <c r="I238" s="526"/>
      <c r="J238" s="517">
        <f t="shared" si="68"/>
        <v>0</v>
      </c>
      <c r="K238" s="517"/>
      <c r="L238" s="517"/>
      <c r="M238" s="517"/>
      <c r="N238" s="517"/>
      <c r="O238" s="517"/>
      <c r="P238" s="517"/>
      <c r="Q238" s="517"/>
      <c r="R238" s="517"/>
      <c r="S238" s="517"/>
      <c r="T238" s="517">
        <f t="shared" si="64"/>
        <v>0</v>
      </c>
      <c r="U238" s="526"/>
      <c r="V238" s="517">
        <f t="shared" si="65"/>
        <v>0</v>
      </c>
      <c r="W238" s="632">
        <f t="shared" si="72"/>
        <v>0</v>
      </c>
      <c r="X238" s="517">
        <f t="shared" si="56"/>
        <v>0</v>
      </c>
      <c r="Y238" s="632">
        <f t="shared" si="73"/>
        <v>0</v>
      </c>
      <c r="Z238" s="517">
        <f t="shared" si="59"/>
        <v>0</v>
      </c>
      <c r="AA238" s="676"/>
      <c r="AB238" s="674"/>
    </row>
    <row r="239" spans="1:28" s="315" customFormat="1" ht="50.25" hidden="1" customHeight="1">
      <c r="A239" s="320"/>
      <c r="B239" s="320" t="s">
        <v>1344</v>
      </c>
      <c r="C239" s="308">
        <f>ROUND(Data!K535,2)</f>
        <v>1295.04</v>
      </c>
      <c r="D239" s="486" t="s">
        <v>1867</v>
      </c>
      <c r="E239" s="526"/>
      <c r="F239" s="630">
        <f t="shared" si="66"/>
        <v>0</v>
      </c>
      <c r="G239" s="526"/>
      <c r="H239" s="517">
        <f t="shared" si="67"/>
        <v>0</v>
      </c>
      <c r="I239" s="526"/>
      <c r="J239" s="517">
        <f t="shared" si="68"/>
        <v>0</v>
      </c>
      <c r="K239" s="517"/>
      <c r="L239" s="517"/>
      <c r="M239" s="517"/>
      <c r="N239" s="517"/>
      <c r="O239" s="517"/>
      <c r="P239" s="517"/>
      <c r="Q239" s="517"/>
      <c r="R239" s="517"/>
      <c r="S239" s="517"/>
      <c r="T239" s="517">
        <f t="shared" si="64"/>
        <v>0</v>
      </c>
      <c r="U239" s="526"/>
      <c r="V239" s="517">
        <f t="shared" si="65"/>
        <v>0</v>
      </c>
      <c r="W239" s="632">
        <f t="shared" si="72"/>
        <v>0</v>
      </c>
      <c r="X239" s="517">
        <f t="shared" si="56"/>
        <v>0</v>
      </c>
      <c r="Y239" s="632">
        <f t="shared" si="73"/>
        <v>0</v>
      </c>
      <c r="Z239" s="517">
        <f t="shared" si="59"/>
        <v>0</v>
      </c>
      <c r="AA239" s="676"/>
      <c r="AB239" s="674"/>
    </row>
    <row r="240" spans="1:28" s="301" customFormat="1" ht="41.25" hidden="1" customHeight="1">
      <c r="A240" s="370"/>
      <c r="B240" s="320" t="s">
        <v>1096</v>
      </c>
      <c r="C240" s="307">
        <f>ROUND(Data!K536,2)</f>
        <v>1299.3499999999999</v>
      </c>
      <c r="D240" s="486" t="s">
        <v>1867</v>
      </c>
      <c r="E240" s="526"/>
      <c r="F240" s="630">
        <f t="shared" si="66"/>
        <v>0</v>
      </c>
      <c r="G240" s="526"/>
      <c r="H240" s="517">
        <f t="shared" si="67"/>
        <v>0</v>
      </c>
      <c r="I240" s="526"/>
      <c r="J240" s="517">
        <f t="shared" si="68"/>
        <v>0</v>
      </c>
      <c r="K240" s="517"/>
      <c r="L240" s="517"/>
      <c r="M240" s="517"/>
      <c r="N240" s="517"/>
      <c r="O240" s="517"/>
      <c r="P240" s="517"/>
      <c r="Q240" s="517"/>
      <c r="R240" s="517"/>
      <c r="S240" s="517"/>
      <c r="T240" s="517">
        <f t="shared" si="64"/>
        <v>0</v>
      </c>
      <c r="U240" s="526"/>
      <c r="V240" s="517">
        <f t="shared" si="65"/>
        <v>0</v>
      </c>
      <c r="W240" s="632">
        <f t="shared" si="72"/>
        <v>0</v>
      </c>
      <c r="X240" s="517">
        <f t="shared" si="56"/>
        <v>0</v>
      </c>
      <c r="Y240" s="632">
        <f t="shared" si="73"/>
        <v>0</v>
      </c>
      <c r="Z240" s="517">
        <f t="shared" si="59"/>
        <v>0</v>
      </c>
      <c r="AA240" s="675"/>
      <c r="AB240" s="674"/>
    </row>
    <row r="241" spans="1:28" s="301" customFormat="1" ht="41.25" hidden="1" customHeight="1">
      <c r="A241" s="370"/>
      <c r="B241" s="320" t="s">
        <v>3821</v>
      </c>
      <c r="C241" s="307">
        <f>ROUND(Data!K537,2)</f>
        <v>1303.6600000000001</v>
      </c>
      <c r="D241" s="486" t="s">
        <v>1867</v>
      </c>
      <c r="E241" s="526"/>
      <c r="F241" s="630">
        <f t="shared" si="66"/>
        <v>0</v>
      </c>
      <c r="G241" s="526"/>
      <c r="H241" s="517">
        <f t="shared" si="67"/>
        <v>0</v>
      </c>
      <c r="I241" s="526"/>
      <c r="J241" s="517">
        <f t="shared" si="68"/>
        <v>0</v>
      </c>
      <c r="K241" s="517"/>
      <c r="L241" s="517"/>
      <c r="M241" s="517"/>
      <c r="N241" s="517"/>
      <c r="O241" s="517"/>
      <c r="P241" s="517"/>
      <c r="Q241" s="517"/>
      <c r="R241" s="517"/>
      <c r="S241" s="517"/>
      <c r="T241" s="517">
        <f t="shared" si="64"/>
        <v>0</v>
      </c>
      <c r="U241" s="526"/>
      <c r="V241" s="517">
        <f t="shared" si="65"/>
        <v>0</v>
      </c>
      <c r="W241" s="632">
        <f t="shared" si="72"/>
        <v>0</v>
      </c>
      <c r="X241" s="517">
        <f t="shared" ref="X241:X292" si="74">W241*C241</f>
        <v>0</v>
      </c>
      <c r="Y241" s="632">
        <f t="shared" si="73"/>
        <v>0</v>
      </c>
      <c r="Z241" s="517">
        <f t="shared" si="59"/>
        <v>0</v>
      </c>
      <c r="AA241" s="675"/>
      <c r="AB241" s="674"/>
    </row>
    <row r="242" spans="1:28" s="301" customFormat="1" ht="41.25" hidden="1" customHeight="1">
      <c r="A242" s="370"/>
      <c r="B242" s="320" t="s">
        <v>3822</v>
      </c>
      <c r="C242" s="307">
        <f>ROUND(Data!K538,2)</f>
        <v>1307.97</v>
      </c>
      <c r="D242" s="486" t="s">
        <v>1867</v>
      </c>
      <c r="E242" s="526"/>
      <c r="F242" s="630">
        <f t="shared" si="66"/>
        <v>0</v>
      </c>
      <c r="G242" s="526"/>
      <c r="H242" s="517">
        <f t="shared" si="67"/>
        <v>0</v>
      </c>
      <c r="I242" s="526"/>
      <c r="J242" s="517">
        <f t="shared" si="68"/>
        <v>0</v>
      </c>
      <c r="K242" s="517"/>
      <c r="L242" s="517"/>
      <c r="M242" s="517"/>
      <c r="N242" s="517"/>
      <c r="O242" s="517"/>
      <c r="P242" s="517"/>
      <c r="Q242" s="517"/>
      <c r="R242" s="517"/>
      <c r="S242" s="517"/>
      <c r="T242" s="517">
        <f t="shared" si="64"/>
        <v>0</v>
      </c>
      <c r="U242" s="526"/>
      <c r="V242" s="517">
        <f t="shared" si="65"/>
        <v>0</v>
      </c>
      <c r="W242" s="632">
        <f t="shared" si="72"/>
        <v>0</v>
      </c>
      <c r="X242" s="517">
        <f t="shared" si="74"/>
        <v>0</v>
      </c>
      <c r="Y242" s="632">
        <f t="shared" si="73"/>
        <v>0</v>
      </c>
      <c r="Z242" s="517">
        <f t="shared" si="59"/>
        <v>0</v>
      </c>
      <c r="AA242" s="675"/>
      <c r="AB242" s="674"/>
    </row>
    <row r="243" spans="1:28" s="301" customFormat="1" ht="41.25" hidden="1" customHeight="1">
      <c r="A243" s="370"/>
      <c r="B243" s="320" t="s">
        <v>3823</v>
      </c>
      <c r="C243" s="307">
        <f>ROUND(Data!K539,2)</f>
        <v>1312.28</v>
      </c>
      <c r="D243" s="486" t="s">
        <v>1867</v>
      </c>
      <c r="E243" s="526"/>
      <c r="F243" s="630">
        <f t="shared" si="66"/>
        <v>0</v>
      </c>
      <c r="G243" s="526"/>
      <c r="H243" s="517">
        <f t="shared" si="67"/>
        <v>0</v>
      </c>
      <c r="I243" s="526"/>
      <c r="J243" s="517">
        <f t="shared" si="68"/>
        <v>0</v>
      </c>
      <c r="K243" s="517"/>
      <c r="L243" s="517"/>
      <c r="M243" s="517"/>
      <c r="N243" s="517"/>
      <c r="O243" s="517"/>
      <c r="P243" s="517"/>
      <c r="Q243" s="517"/>
      <c r="R243" s="517"/>
      <c r="S243" s="517"/>
      <c r="T243" s="517">
        <f t="shared" si="64"/>
        <v>0</v>
      </c>
      <c r="U243" s="526"/>
      <c r="V243" s="517">
        <f t="shared" si="65"/>
        <v>0</v>
      </c>
      <c r="W243" s="632">
        <f t="shared" si="72"/>
        <v>0</v>
      </c>
      <c r="X243" s="517">
        <f t="shared" si="74"/>
        <v>0</v>
      </c>
      <c r="Y243" s="632">
        <f t="shared" si="73"/>
        <v>0</v>
      </c>
      <c r="Z243" s="517">
        <f t="shared" si="59"/>
        <v>0</v>
      </c>
      <c r="AA243" s="675"/>
      <c r="AB243" s="674"/>
    </row>
    <row r="244" spans="1:28" s="301" customFormat="1" ht="41.25" hidden="1" customHeight="1">
      <c r="A244" s="370"/>
      <c r="B244" s="320" t="s">
        <v>3824</v>
      </c>
      <c r="C244" s="307">
        <f>ROUND(Data!K540,2)</f>
        <v>1316.59</v>
      </c>
      <c r="D244" s="486" t="s">
        <v>1867</v>
      </c>
      <c r="E244" s="526"/>
      <c r="F244" s="630">
        <f t="shared" si="66"/>
        <v>0</v>
      </c>
      <c r="G244" s="526"/>
      <c r="H244" s="517">
        <f t="shared" si="67"/>
        <v>0</v>
      </c>
      <c r="I244" s="526"/>
      <c r="J244" s="517">
        <f t="shared" si="68"/>
        <v>0</v>
      </c>
      <c r="K244" s="517"/>
      <c r="L244" s="517"/>
      <c r="M244" s="517"/>
      <c r="N244" s="517"/>
      <c r="O244" s="517"/>
      <c r="P244" s="517"/>
      <c r="Q244" s="517"/>
      <c r="R244" s="517"/>
      <c r="S244" s="517"/>
      <c r="T244" s="517">
        <f t="shared" si="64"/>
        <v>0</v>
      </c>
      <c r="U244" s="526"/>
      <c r="V244" s="517">
        <f t="shared" si="65"/>
        <v>0</v>
      </c>
      <c r="W244" s="632">
        <f t="shared" si="72"/>
        <v>0</v>
      </c>
      <c r="X244" s="517">
        <f t="shared" si="74"/>
        <v>0</v>
      </c>
      <c r="Y244" s="632">
        <f t="shared" si="73"/>
        <v>0</v>
      </c>
      <c r="Z244" s="517">
        <f t="shared" si="59"/>
        <v>0</v>
      </c>
      <c r="AA244" s="675"/>
      <c r="AB244" s="674"/>
    </row>
    <row r="245" spans="1:28" s="301" customFormat="1" ht="41.25" hidden="1" customHeight="1">
      <c r="A245" s="370"/>
      <c r="B245" s="320" t="s">
        <v>3825</v>
      </c>
      <c r="C245" s="307">
        <f>ROUND(Data!K541,2)</f>
        <v>1320.9</v>
      </c>
      <c r="D245" s="486" t="s">
        <v>1867</v>
      </c>
      <c r="E245" s="526"/>
      <c r="F245" s="630">
        <f t="shared" si="66"/>
        <v>0</v>
      </c>
      <c r="G245" s="526"/>
      <c r="H245" s="517">
        <f t="shared" si="67"/>
        <v>0</v>
      </c>
      <c r="I245" s="526"/>
      <c r="J245" s="517">
        <f t="shared" si="68"/>
        <v>0</v>
      </c>
      <c r="K245" s="517"/>
      <c r="L245" s="517"/>
      <c r="M245" s="517"/>
      <c r="N245" s="517"/>
      <c r="O245" s="517"/>
      <c r="P245" s="517"/>
      <c r="Q245" s="517"/>
      <c r="R245" s="517"/>
      <c r="S245" s="517"/>
      <c r="T245" s="517">
        <f t="shared" si="64"/>
        <v>0</v>
      </c>
      <c r="U245" s="526"/>
      <c r="V245" s="517">
        <f t="shared" si="65"/>
        <v>0</v>
      </c>
      <c r="W245" s="632">
        <f t="shared" si="72"/>
        <v>0</v>
      </c>
      <c r="X245" s="517">
        <f t="shared" si="74"/>
        <v>0</v>
      </c>
      <c r="Y245" s="632">
        <f t="shared" si="73"/>
        <v>0</v>
      </c>
      <c r="Z245" s="517">
        <f t="shared" si="59"/>
        <v>0</v>
      </c>
      <c r="AA245" s="675"/>
      <c r="AB245" s="674"/>
    </row>
    <row r="246" spans="1:28" s="301" customFormat="1" ht="41.25" hidden="1" customHeight="1">
      <c r="A246" s="370"/>
      <c r="B246" s="320" t="s">
        <v>3826</v>
      </c>
      <c r="C246" s="307">
        <f>ROUND(Data!K542,2)</f>
        <v>1325.21</v>
      </c>
      <c r="D246" s="486" t="s">
        <v>1867</v>
      </c>
      <c r="E246" s="526"/>
      <c r="F246" s="630">
        <f t="shared" si="66"/>
        <v>0</v>
      </c>
      <c r="G246" s="526"/>
      <c r="H246" s="517">
        <f t="shared" si="67"/>
        <v>0</v>
      </c>
      <c r="I246" s="526"/>
      <c r="J246" s="517">
        <f t="shared" si="68"/>
        <v>0</v>
      </c>
      <c r="K246" s="517"/>
      <c r="L246" s="517"/>
      <c r="M246" s="517"/>
      <c r="N246" s="517"/>
      <c r="O246" s="517"/>
      <c r="P246" s="517"/>
      <c r="Q246" s="517"/>
      <c r="R246" s="517"/>
      <c r="S246" s="517"/>
      <c r="T246" s="517">
        <f t="shared" si="64"/>
        <v>0</v>
      </c>
      <c r="U246" s="526"/>
      <c r="V246" s="517">
        <f t="shared" si="65"/>
        <v>0</v>
      </c>
      <c r="W246" s="632">
        <f t="shared" si="72"/>
        <v>0</v>
      </c>
      <c r="X246" s="517">
        <f t="shared" si="74"/>
        <v>0</v>
      </c>
      <c r="Y246" s="632">
        <f t="shared" si="73"/>
        <v>0</v>
      </c>
      <c r="Z246" s="517">
        <f t="shared" si="59"/>
        <v>0</v>
      </c>
      <c r="AA246" s="675"/>
      <c r="AB246" s="674"/>
    </row>
    <row r="247" spans="1:28" s="301" customFormat="1" ht="41.25" hidden="1" customHeight="1">
      <c r="A247" s="370"/>
      <c r="B247" s="320" t="s">
        <v>3827</v>
      </c>
      <c r="C247" s="307">
        <f>ROUND(Data!K543,2)</f>
        <v>1329.52</v>
      </c>
      <c r="D247" s="486" t="s">
        <v>1867</v>
      </c>
      <c r="E247" s="526"/>
      <c r="F247" s="630">
        <f t="shared" si="66"/>
        <v>0</v>
      </c>
      <c r="G247" s="526"/>
      <c r="H247" s="517">
        <f t="shared" si="67"/>
        <v>0</v>
      </c>
      <c r="I247" s="526"/>
      <c r="J247" s="517">
        <f t="shared" si="68"/>
        <v>0</v>
      </c>
      <c r="K247" s="517"/>
      <c r="L247" s="517"/>
      <c r="M247" s="517"/>
      <c r="N247" s="517"/>
      <c r="O247" s="517"/>
      <c r="P247" s="517"/>
      <c r="Q247" s="517"/>
      <c r="R247" s="517"/>
      <c r="S247" s="517"/>
      <c r="T247" s="517">
        <f t="shared" si="64"/>
        <v>0</v>
      </c>
      <c r="U247" s="526"/>
      <c r="V247" s="517">
        <f t="shared" si="65"/>
        <v>0</v>
      </c>
      <c r="W247" s="632">
        <f t="shared" si="72"/>
        <v>0</v>
      </c>
      <c r="X247" s="517">
        <f t="shared" si="74"/>
        <v>0</v>
      </c>
      <c r="Y247" s="632">
        <f t="shared" si="73"/>
        <v>0</v>
      </c>
      <c r="Z247" s="517">
        <f t="shared" si="59"/>
        <v>0</v>
      </c>
      <c r="AA247" s="675"/>
      <c r="AB247" s="674"/>
    </row>
    <row r="248" spans="1:28" s="315" customFormat="1" ht="60.75" hidden="1" customHeight="1">
      <c r="A248" s="373" t="s">
        <v>1146</v>
      </c>
      <c r="B248" s="369" t="s">
        <v>198</v>
      </c>
      <c r="C248" s="308"/>
      <c r="D248" s="486"/>
      <c r="E248" s="526"/>
      <c r="F248" s="630">
        <f t="shared" si="66"/>
        <v>0</v>
      </c>
      <c r="G248" s="526"/>
      <c r="H248" s="517">
        <f t="shared" si="67"/>
        <v>0</v>
      </c>
      <c r="I248" s="526"/>
      <c r="J248" s="517">
        <f t="shared" si="68"/>
        <v>0</v>
      </c>
      <c r="K248" s="517"/>
      <c r="L248" s="517"/>
      <c r="M248" s="517"/>
      <c r="N248" s="517"/>
      <c r="O248" s="517"/>
      <c r="P248" s="517"/>
      <c r="Q248" s="517"/>
      <c r="R248" s="517"/>
      <c r="S248" s="517"/>
      <c r="T248" s="517">
        <f t="shared" si="64"/>
        <v>0</v>
      </c>
      <c r="U248" s="526"/>
      <c r="V248" s="517">
        <f t="shared" si="65"/>
        <v>0</v>
      </c>
      <c r="W248" s="632">
        <f t="shared" si="72"/>
        <v>0</v>
      </c>
      <c r="X248" s="517">
        <f t="shared" si="74"/>
        <v>0</v>
      </c>
      <c r="Y248" s="632">
        <f t="shared" si="73"/>
        <v>0</v>
      </c>
      <c r="Z248" s="517">
        <f t="shared" si="59"/>
        <v>0</v>
      </c>
      <c r="AA248" s="676"/>
      <c r="AB248" s="674"/>
    </row>
    <row r="249" spans="1:28" s="315" customFormat="1" ht="48.75" hidden="1" customHeight="1">
      <c r="A249" s="320"/>
      <c r="B249" s="320" t="s">
        <v>625</v>
      </c>
      <c r="C249" s="308">
        <f>ROUND(Data!K554,2)</f>
        <v>1413.14</v>
      </c>
      <c r="D249" s="486" t="s">
        <v>1867</v>
      </c>
      <c r="E249" s="526"/>
      <c r="F249" s="630">
        <f t="shared" si="66"/>
        <v>0</v>
      </c>
      <c r="G249" s="526"/>
      <c r="H249" s="517">
        <f t="shared" si="67"/>
        <v>0</v>
      </c>
      <c r="I249" s="526"/>
      <c r="J249" s="517">
        <f t="shared" si="68"/>
        <v>0</v>
      </c>
      <c r="K249" s="517"/>
      <c r="L249" s="517"/>
      <c r="M249" s="517"/>
      <c r="N249" s="517"/>
      <c r="O249" s="517"/>
      <c r="P249" s="517"/>
      <c r="Q249" s="517"/>
      <c r="R249" s="517"/>
      <c r="S249" s="517"/>
      <c r="T249" s="517">
        <f t="shared" si="64"/>
        <v>0</v>
      </c>
      <c r="U249" s="526"/>
      <c r="V249" s="517">
        <f t="shared" si="65"/>
        <v>0</v>
      </c>
      <c r="W249" s="632">
        <f t="shared" si="72"/>
        <v>0</v>
      </c>
      <c r="X249" s="517">
        <f t="shared" si="74"/>
        <v>0</v>
      </c>
      <c r="Y249" s="632">
        <f t="shared" si="73"/>
        <v>0</v>
      </c>
      <c r="Z249" s="517">
        <f t="shared" si="59"/>
        <v>0</v>
      </c>
      <c r="AA249" s="676"/>
      <c r="AB249" s="674"/>
    </row>
    <row r="250" spans="1:28" s="315" customFormat="1" ht="50.25" hidden="1" customHeight="1">
      <c r="A250" s="320"/>
      <c r="B250" s="320" t="s">
        <v>626</v>
      </c>
      <c r="C250" s="308">
        <f>ROUND(Data!K556,2)</f>
        <v>1417.52</v>
      </c>
      <c r="D250" s="486" t="s">
        <v>1867</v>
      </c>
      <c r="E250" s="526"/>
      <c r="F250" s="630">
        <f t="shared" si="66"/>
        <v>0</v>
      </c>
      <c r="G250" s="526"/>
      <c r="H250" s="517">
        <f t="shared" si="67"/>
        <v>0</v>
      </c>
      <c r="I250" s="526"/>
      <c r="J250" s="517">
        <f t="shared" si="68"/>
        <v>0</v>
      </c>
      <c r="K250" s="517"/>
      <c r="L250" s="517"/>
      <c r="M250" s="517"/>
      <c r="N250" s="517"/>
      <c r="O250" s="517"/>
      <c r="P250" s="517"/>
      <c r="Q250" s="517"/>
      <c r="R250" s="517"/>
      <c r="S250" s="517"/>
      <c r="T250" s="517">
        <f t="shared" si="64"/>
        <v>0</v>
      </c>
      <c r="U250" s="526"/>
      <c r="V250" s="517">
        <f t="shared" si="65"/>
        <v>0</v>
      </c>
      <c r="W250" s="632">
        <f t="shared" si="72"/>
        <v>0</v>
      </c>
      <c r="X250" s="517">
        <f t="shared" si="74"/>
        <v>0</v>
      </c>
      <c r="Y250" s="632">
        <f t="shared" si="73"/>
        <v>0</v>
      </c>
      <c r="Z250" s="517">
        <f t="shared" si="59"/>
        <v>0</v>
      </c>
      <c r="AA250" s="676"/>
      <c r="AB250" s="674"/>
    </row>
    <row r="251" spans="1:28" s="315" customFormat="1" ht="50.25" hidden="1" customHeight="1">
      <c r="A251" s="320"/>
      <c r="B251" s="320" t="s">
        <v>1264</v>
      </c>
      <c r="C251" s="308">
        <f>ROUND(Data!K557,2)</f>
        <v>1426.15</v>
      </c>
      <c r="D251" s="486" t="s">
        <v>1867</v>
      </c>
      <c r="E251" s="526"/>
      <c r="F251" s="630">
        <f t="shared" si="66"/>
        <v>0</v>
      </c>
      <c r="G251" s="526"/>
      <c r="H251" s="517">
        <f t="shared" si="67"/>
        <v>0</v>
      </c>
      <c r="I251" s="526"/>
      <c r="J251" s="517">
        <f t="shared" si="68"/>
        <v>0</v>
      </c>
      <c r="K251" s="517"/>
      <c r="L251" s="517"/>
      <c r="M251" s="517"/>
      <c r="N251" s="517"/>
      <c r="O251" s="517"/>
      <c r="P251" s="517"/>
      <c r="Q251" s="517"/>
      <c r="R251" s="517"/>
      <c r="S251" s="517"/>
      <c r="T251" s="517">
        <f t="shared" si="64"/>
        <v>0</v>
      </c>
      <c r="U251" s="526"/>
      <c r="V251" s="517">
        <f t="shared" si="65"/>
        <v>0</v>
      </c>
      <c r="W251" s="632">
        <f t="shared" si="72"/>
        <v>0</v>
      </c>
      <c r="X251" s="517">
        <f t="shared" si="74"/>
        <v>0</v>
      </c>
      <c r="Y251" s="632">
        <f t="shared" si="73"/>
        <v>0</v>
      </c>
      <c r="Z251" s="517">
        <f t="shared" si="59"/>
        <v>0</v>
      </c>
      <c r="AA251" s="676"/>
      <c r="AB251" s="674"/>
    </row>
    <row r="252" spans="1:28" s="315" customFormat="1" ht="50.25" hidden="1" customHeight="1">
      <c r="A252" s="320"/>
      <c r="B252" s="320" t="s">
        <v>686</v>
      </c>
      <c r="C252" s="308">
        <f>ROUND(Data!K558,2)</f>
        <v>1434.78</v>
      </c>
      <c r="D252" s="486" t="s">
        <v>1867</v>
      </c>
      <c r="E252" s="526"/>
      <c r="F252" s="630">
        <f t="shared" si="66"/>
        <v>0</v>
      </c>
      <c r="G252" s="526"/>
      <c r="H252" s="517">
        <f t="shared" si="67"/>
        <v>0</v>
      </c>
      <c r="I252" s="526"/>
      <c r="J252" s="517">
        <f t="shared" si="68"/>
        <v>0</v>
      </c>
      <c r="K252" s="517"/>
      <c r="L252" s="517"/>
      <c r="M252" s="517"/>
      <c r="N252" s="517"/>
      <c r="O252" s="517"/>
      <c r="P252" s="517"/>
      <c r="Q252" s="517"/>
      <c r="R252" s="517"/>
      <c r="S252" s="517"/>
      <c r="T252" s="517">
        <f t="shared" si="64"/>
        <v>0</v>
      </c>
      <c r="U252" s="526"/>
      <c r="V252" s="517">
        <f t="shared" si="65"/>
        <v>0</v>
      </c>
      <c r="W252" s="632">
        <f t="shared" si="72"/>
        <v>0</v>
      </c>
      <c r="X252" s="517">
        <f t="shared" si="74"/>
        <v>0</v>
      </c>
      <c r="Y252" s="632">
        <f t="shared" si="73"/>
        <v>0</v>
      </c>
      <c r="Z252" s="517">
        <f t="shared" si="59"/>
        <v>0</v>
      </c>
      <c r="AA252" s="676"/>
      <c r="AB252" s="674"/>
    </row>
    <row r="253" spans="1:28" s="315" customFormat="1" ht="50.25" hidden="1" customHeight="1">
      <c r="A253" s="320"/>
      <c r="B253" s="320" t="s">
        <v>687</v>
      </c>
      <c r="C253" s="308">
        <f>ROUND(Data!K559,2)</f>
        <v>1443.41</v>
      </c>
      <c r="D253" s="486" t="s">
        <v>1867</v>
      </c>
      <c r="E253" s="526"/>
      <c r="F253" s="630">
        <f t="shared" si="66"/>
        <v>0</v>
      </c>
      <c r="G253" s="526"/>
      <c r="H253" s="517">
        <f t="shared" si="67"/>
        <v>0</v>
      </c>
      <c r="I253" s="526"/>
      <c r="J253" s="517">
        <f t="shared" si="68"/>
        <v>0</v>
      </c>
      <c r="K253" s="517"/>
      <c r="L253" s="517"/>
      <c r="M253" s="517"/>
      <c r="N253" s="517"/>
      <c r="O253" s="517"/>
      <c r="P253" s="517"/>
      <c r="Q253" s="517"/>
      <c r="R253" s="517"/>
      <c r="S253" s="517"/>
      <c r="T253" s="517">
        <f t="shared" si="64"/>
        <v>0</v>
      </c>
      <c r="U253" s="526"/>
      <c r="V253" s="517">
        <f t="shared" si="65"/>
        <v>0</v>
      </c>
      <c r="W253" s="632">
        <f t="shared" si="72"/>
        <v>0</v>
      </c>
      <c r="X253" s="517">
        <f t="shared" si="74"/>
        <v>0</v>
      </c>
      <c r="Y253" s="632">
        <f t="shared" si="73"/>
        <v>0</v>
      </c>
      <c r="Z253" s="517">
        <f t="shared" si="59"/>
        <v>0</v>
      </c>
      <c r="AA253" s="676"/>
      <c r="AB253" s="674"/>
    </row>
    <row r="254" spans="1:28" s="301" customFormat="1" ht="41.25" hidden="1" customHeight="1">
      <c r="A254" s="370"/>
      <c r="B254" s="320" t="s">
        <v>1291</v>
      </c>
      <c r="C254" s="308">
        <f>ROUND(Data!K560,2)</f>
        <v>1452.04</v>
      </c>
      <c r="D254" s="486" t="s">
        <v>1867</v>
      </c>
      <c r="E254" s="526"/>
      <c r="F254" s="630">
        <f t="shared" si="66"/>
        <v>0</v>
      </c>
      <c r="G254" s="526"/>
      <c r="H254" s="517">
        <f t="shared" si="67"/>
        <v>0</v>
      </c>
      <c r="I254" s="526"/>
      <c r="J254" s="517">
        <f t="shared" si="68"/>
        <v>0</v>
      </c>
      <c r="K254" s="517"/>
      <c r="L254" s="517"/>
      <c r="M254" s="517"/>
      <c r="N254" s="517"/>
      <c r="O254" s="517"/>
      <c r="P254" s="517"/>
      <c r="Q254" s="517"/>
      <c r="R254" s="517"/>
      <c r="S254" s="517"/>
      <c r="T254" s="517">
        <f t="shared" si="64"/>
        <v>0</v>
      </c>
      <c r="U254" s="526"/>
      <c r="V254" s="517">
        <f t="shared" si="65"/>
        <v>0</v>
      </c>
      <c r="W254" s="632">
        <f t="shared" si="72"/>
        <v>0</v>
      </c>
      <c r="X254" s="517">
        <f t="shared" si="74"/>
        <v>0</v>
      </c>
      <c r="Y254" s="632">
        <f t="shared" si="73"/>
        <v>0</v>
      </c>
      <c r="Z254" s="517">
        <f t="shared" si="59"/>
        <v>0</v>
      </c>
      <c r="AA254" s="675"/>
      <c r="AB254" s="674"/>
    </row>
    <row r="255" spans="1:28" s="301" customFormat="1" ht="25.5" hidden="1" customHeight="1">
      <c r="A255" s="368">
        <v>15.1</v>
      </c>
      <c r="B255" s="369" t="s">
        <v>1292</v>
      </c>
      <c r="C255" s="307"/>
      <c r="D255" s="486"/>
      <c r="E255" s="526"/>
      <c r="F255" s="630">
        <f t="shared" si="66"/>
        <v>0</v>
      </c>
      <c r="G255" s="526"/>
      <c r="H255" s="517">
        <f t="shared" si="67"/>
        <v>0</v>
      </c>
      <c r="I255" s="526"/>
      <c r="J255" s="517">
        <f t="shared" si="68"/>
        <v>0</v>
      </c>
      <c r="K255" s="517"/>
      <c r="L255" s="517"/>
      <c r="M255" s="517"/>
      <c r="N255" s="517"/>
      <c r="O255" s="517"/>
      <c r="P255" s="517"/>
      <c r="Q255" s="517"/>
      <c r="R255" s="517"/>
      <c r="S255" s="517"/>
      <c r="T255" s="517">
        <f t="shared" si="64"/>
        <v>0</v>
      </c>
      <c r="U255" s="526"/>
      <c r="V255" s="517">
        <f t="shared" si="65"/>
        <v>0</v>
      </c>
      <c r="W255" s="632">
        <f t="shared" si="72"/>
        <v>0</v>
      </c>
      <c r="X255" s="517">
        <f t="shared" si="74"/>
        <v>0</v>
      </c>
      <c r="Y255" s="632">
        <f t="shared" si="73"/>
        <v>0</v>
      </c>
      <c r="Z255" s="517">
        <f t="shared" ref="Z255:Z318" si="75">Y255*C255</f>
        <v>0</v>
      </c>
      <c r="AA255" s="675"/>
      <c r="AB255" s="674"/>
    </row>
    <row r="256" spans="1:28" s="301" customFormat="1" ht="25.5" hidden="1" customHeight="1">
      <c r="A256" s="368"/>
      <c r="B256" s="320" t="s">
        <v>1270</v>
      </c>
      <c r="C256" s="307">
        <f>ROUND(Data!K587,2)</f>
        <v>529.47</v>
      </c>
      <c r="D256" s="486" t="s">
        <v>1867</v>
      </c>
      <c r="E256" s="526"/>
      <c r="F256" s="630">
        <f t="shared" si="66"/>
        <v>0</v>
      </c>
      <c r="G256" s="526"/>
      <c r="H256" s="517">
        <f t="shared" si="67"/>
        <v>0</v>
      </c>
      <c r="I256" s="526"/>
      <c r="J256" s="517">
        <f t="shared" si="68"/>
        <v>0</v>
      </c>
      <c r="K256" s="517"/>
      <c r="L256" s="517"/>
      <c r="M256" s="517"/>
      <c r="N256" s="517"/>
      <c r="O256" s="517"/>
      <c r="P256" s="517"/>
      <c r="Q256" s="517"/>
      <c r="R256" s="517"/>
      <c r="S256" s="517"/>
      <c r="T256" s="517">
        <f t="shared" si="64"/>
        <v>0</v>
      </c>
      <c r="U256" s="526"/>
      <c r="V256" s="517">
        <f t="shared" si="65"/>
        <v>0</v>
      </c>
      <c r="W256" s="632">
        <f t="shared" si="72"/>
        <v>0</v>
      </c>
      <c r="X256" s="517">
        <f t="shared" si="74"/>
        <v>0</v>
      </c>
      <c r="Y256" s="632">
        <f t="shared" si="73"/>
        <v>0</v>
      </c>
      <c r="Z256" s="517">
        <f t="shared" si="75"/>
        <v>0</v>
      </c>
      <c r="AA256" s="675"/>
      <c r="AB256" s="674"/>
    </row>
    <row r="257" spans="1:28" s="301" customFormat="1" ht="25.5" hidden="1" customHeight="1">
      <c r="A257" s="368"/>
      <c r="B257" s="320" t="s">
        <v>1406</v>
      </c>
      <c r="C257" s="307">
        <f>ROUND(Data!K588,2)</f>
        <v>533.74</v>
      </c>
      <c r="D257" s="486" t="s">
        <v>1867</v>
      </c>
      <c r="E257" s="526"/>
      <c r="F257" s="630">
        <f t="shared" si="66"/>
        <v>0</v>
      </c>
      <c r="G257" s="526"/>
      <c r="H257" s="517">
        <f t="shared" si="67"/>
        <v>0</v>
      </c>
      <c r="I257" s="526"/>
      <c r="J257" s="517">
        <f t="shared" si="68"/>
        <v>0</v>
      </c>
      <c r="K257" s="517"/>
      <c r="L257" s="517"/>
      <c r="M257" s="517"/>
      <c r="N257" s="517"/>
      <c r="O257" s="517"/>
      <c r="P257" s="517"/>
      <c r="Q257" s="517"/>
      <c r="R257" s="517"/>
      <c r="S257" s="517"/>
      <c r="T257" s="517">
        <f t="shared" si="64"/>
        <v>0</v>
      </c>
      <c r="U257" s="526"/>
      <c r="V257" s="517">
        <f t="shared" si="65"/>
        <v>0</v>
      </c>
      <c r="W257" s="632">
        <f t="shared" si="72"/>
        <v>0</v>
      </c>
      <c r="X257" s="517">
        <f t="shared" si="74"/>
        <v>0</v>
      </c>
      <c r="Y257" s="632">
        <f t="shared" si="73"/>
        <v>0</v>
      </c>
      <c r="Z257" s="517">
        <f t="shared" si="75"/>
        <v>0</v>
      </c>
      <c r="AA257" s="675"/>
      <c r="AB257" s="674"/>
    </row>
    <row r="258" spans="1:28" s="301" customFormat="1" ht="25.5" hidden="1" customHeight="1">
      <c r="A258" s="368"/>
      <c r="B258" s="320" t="s">
        <v>1455</v>
      </c>
      <c r="C258" s="307">
        <f>ROUND(Data!K589,2)</f>
        <v>538.01</v>
      </c>
      <c r="D258" s="486" t="s">
        <v>1867</v>
      </c>
      <c r="E258" s="526"/>
      <c r="F258" s="630">
        <f t="shared" si="66"/>
        <v>0</v>
      </c>
      <c r="G258" s="526"/>
      <c r="H258" s="517">
        <f t="shared" si="67"/>
        <v>0</v>
      </c>
      <c r="I258" s="526"/>
      <c r="J258" s="517">
        <f t="shared" si="68"/>
        <v>0</v>
      </c>
      <c r="K258" s="517"/>
      <c r="L258" s="517"/>
      <c r="M258" s="517"/>
      <c r="N258" s="517"/>
      <c r="O258" s="517"/>
      <c r="P258" s="517"/>
      <c r="Q258" s="517"/>
      <c r="R258" s="517"/>
      <c r="S258" s="517"/>
      <c r="T258" s="517">
        <f t="shared" si="64"/>
        <v>0</v>
      </c>
      <c r="U258" s="526"/>
      <c r="V258" s="517">
        <f t="shared" si="65"/>
        <v>0</v>
      </c>
      <c r="W258" s="632">
        <f t="shared" si="72"/>
        <v>0</v>
      </c>
      <c r="X258" s="517">
        <f t="shared" si="74"/>
        <v>0</v>
      </c>
      <c r="Y258" s="632">
        <f t="shared" si="73"/>
        <v>0</v>
      </c>
      <c r="Z258" s="517">
        <f t="shared" si="75"/>
        <v>0</v>
      </c>
      <c r="AA258" s="675"/>
      <c r="AB258" s="674"/>
    </row>
    <row r="259" spans="1:28" s="301" customFormat="1" ht="25.5" hidden="1" customHeight="1">
      <c r="A259" s="368"/>
      <c r="B259" s="320" t="s">
        <v>1344</v>
      </c>
      <c r="C259" s="307">
        <f>ROUND(Data!K590,2)</f>
        <v>542.28</v>
      </c>
      <c r="D259" s="486" t="s">
        <v>1867</v>
      </c>
      <c r="E259" s="526"/>
      <c r="F259" s="630">
        <f t="shared" si="66"/>
        <v>0</v>
      </c>
      <c r="G259" s="526"/>
      <c r="H259" s="517">
        <f t="shared" si="67"/>
        <v>0</v>
      </c>
      <c r="I259" s="526"/>
      <c r="J259" s="517">
        <f t="shared" si="68"/>
        <v>0</v>
      </c>
      <c r="K259" s="517"/>
      <c r="L259" s="517"/>
      <c r="M259" s="517"/>
      <c r="N259" s="517"/>
      <c r="O259" s="517"/>
      <c r="P259" s="517"/>
      <c r="Q259" s="517"/>
      <c r="R259" s="517"/>
      <c r="S259" s="517"/>
      <c r="T259" s="517">
        <f t="shared" si="64"/>
        <v>0</v>
      </c>
      <c r="U259" s="526"/>
      <c r="V259" s="517">
        <f t="shared" si="65"/>
        <v>0</v>
      </c>
      <c r="W259" s="632">
        <f t="shared" si="72"/>
        <v>0</v>
      </c>
      <c r="X259" s="517">
        <f t="shared" si="74"/>
        <v>0</v>
      </c>
      <c r="Y259" s="632">
        <f t="shared" si="73"/>
        <v>0</v>
      </c>
      <c r="Z259" s="517">
        <f t="shared" si="75"/>
        <v>0</v>
      </c>
      <c r="AA259" s="675"/>
      <c r="AB259" s="674"/>
    </row>
    <row r="260" spans="1:28" s="301" customFormat="1" ht="25.5" hidden="1" customHeight="1">
      <c r="A260" s="442"/>
      <c r="B260" s="320" t="s">
        <v>1096</v>
      </c>
      <c r="C260" s="307">
        <f>ROUND(Data!K591,2)</f>
        <v>546.54999999999995</v>
      </c>
      <c r="D260" s="486" t="s">
        <v>1867</v>
      </c>
      <c r="E260" s="526"/>
      <c r="F260" s="630">
        <f t="shared" si="66"/>
        <v>0</v>
      </c>
      <c r="G260" s="526"/>
      <c r="H260" s="517">
        <f t="shared" si="67"/>
        <v>0</v>
      </c>
      <c r="I260" s="526"/>
      <c r="J260" s="517">
        <f t="shared" si="68"/>
        <v>0</v>
      </c>
      <c r="K260" s="517"/>
      <c r="L260" s="517"/>
      <c r="M260" s="517"/>
      <c r="N260" s="517"/>
      <c r="O260" s="517"/>
      <c r="P260" s="517"/>
      <c r="Q260" s="517"/>
      <c r="R260" s="517"/>
      <c r="S260" s="517"/>
      <c r="T260" s="517">
        <f t="shared" si="64"/>
        <v>0</v>
      </c>
      <c r="U260" s="526"/>
      <c r="V260" s="517">
        <f t="shared" si="65"/>
        <v>0</v>
      </c>
      <c r="W260" s="632">
        <f t="shared" si="72"/>
        <v>0</v>
      </c>
      <c r="X260" s="517">
        <f t="shared" si="74"/>
        <v>0</v>
      </c>
      <c r="Y260" s="632">
        <f t="shared" si="73"/>
        <v>0</v>
      </c>
      <c r="Z260" s="517">
        <f t="shared" si="75"/>
        <v>0</v>
      </c>
      <c r="AA260" s="675"/>
      <c r="AB260" s="674"/>
    </row>
    <row r="261" spans="1:28" s="301" customFormat="1" ht="25.5" hidden="1" customHeight="1">
      <c r="A261" s="368">
        <v>15.2</v>
      </c>
      <c r="B261" s="369" t="s">
        <v>2048</v>
      </c>
      <c r="C261" s="307"/>
      <c r="D261" s="486"/>
      <c r="E261" s="526"/>
      <c r="F261" s="630">
        <f t="shared" si="66"/>
        <v>0</v>
      </c>
      <c r="G261" s="526"/>
      <c r="H261" s="517">
        <f t="shared" si="67"/>
        <v>0</v>
      </c>
      <c r="I261" s="526"/>
      <c r="J261" s="517">
        <f t="shared" si="68"/>
        <v>0</v>
      </c>
      <c r="K261" s="517"/>
      <c r="L261" s="517"/>
      <c r="M261" s="517"/>
      <c r="N261" s="517"/>
      <c r="O261" s="517"/>
      <c r="P261" s="517"/>
      <c r="Q261" s="517"/>
      <c r="R261" s="517"/>
      <c r="S261" s="517"/>
      <c r="T261" s="517">
        <f t="shared" si="64"/>
        <v>0</v>
      </c>
      <c r="U261" s="526"/>
      <c r="V261" s="517">
        <f t="shared" si="65"/>
        <v>0</v>
      </c>
      <c r="W261" s="632">
        <f t="shared" si="72"/>
        <v>0</v>
      </c>
      <c r="X261" s="517">
        <f t="shared" si="74"/>
        <v>0</v>
      </c>
      <c r="Y261" s="632">
        <f t="shared" si="73"/>
        <v>0</v>
      </c>
      <c r="Z261" s="517">
        <f t="shared" si="75"/>
        <v>0</v>
      </c>
      <c r="AA261" s="675"/>
      <c r="AB261" s="674"/>
    </row>
    <row r="262" spans="1:28" s="301" customFormat="1" ht="25.5" hidden="1" customHeight="1">
      <c r="A262" s="320"/>
      <c r="B262" s="320" t="s">
        <v>1270</v>
      </c>
      <c r="C262" s="307">
        <f>ROUND(Data!K609,2)</f>
        <v>1847.59</v>
      </c>
      <c r="D262" s="486" t="s">
        <v>1867</v>
      </c>
      <c r="E262" s="526"/>
      <c r="F262" s="630">
        <f t="shared" si="66"/>
        <v>0</v>
      </c>
      <c r="G262" s="526"/>
      <c r="H262" s="517">
        <f t="shared" si="67"/>
        <v>0</v>
      </c>
      <c r="I262" s="526"/>
      <c r="J262" s="517">
        <f t="shared" si="68"/>
        <v>0</v>
      </c>
      <c r="K262" s="517"/>
      <c r="L262" s="517"/>
      <c r="M262" s="517"/>
      <c r="N262" s="517"/>
      <c r="O262" s="517"/>
      <c r="P262" s="517"/>
      <c r="Q262" s="517"/>
      <c r="R262" s="517"/>
      <c r="S262" s="517"/>
      <c r="T262" s="517">
        <f t="shared" si="64"/>
        <v>0</v>
      </c>
      <c r="U262" s="526"/>
      <c r="V262" s="517">
        <f t="shared" si="65"/>
        <v>0</v>
      </c>
      <c r="W262" s="632">
        <f t="shared" si="72"/>
        <v>0</v>
      </c>
      <c r="X262" s="517">
        <f t="shared" si="74"/>
        <v>0</v>
      </c>
      <c r="Y262" s="632">
        <f t="shared" si="73"/>
        <v>0</v>
      </c>
      <c r="Z262" s="517">
        <f t="shared" si="75"/>
        <v>0</v>
      </c>
      <c r="AA262" s="675"/>
      <c r="AB262" s="674"/>
    </row>
    <row r="263" spans="1:28" s="301" customFormat="1" ht="25.5" hidden="1" customHeight="1">
      <c r="A263" s="320"/>
      <c r="B263" s="320" t="s">
        <v>1406</v>
      </c>
      <c r="C263" s="307">
        <f>ROUND(Data!K610,2)</f>
        <v>1856.14</v>
      </c>
      <c r="D263" s="486" t="s">
        <v>1867</v>
      </c>
      <c r="E263" s="526"/>
      <c r="F263" s="630">
        <f t="shared" si="66"/>
        <v>0</v>
      </c>
      <c r="G263" s="526"/>
      <c r="H263" s="517">
        <f t="shared" si="67"/>
        <v>0</v>
      </c>
      <c r="I263" s="526"/>
      <c r="J263" s="517">
        <f t="shared" si="68"/>
        <v>0</v>
      </c>
      <c r="K263" s="517"/>
      <c r="L263" s="517"/>
      <c r="M263" s="517"/>
      <c r="N263" s="517"/>
      <c r="O263" s="517"/>
      <c r="P263" s="517"/>
      <c r="Q263" s="517"/>
      <c r="R263" s="517"/>
      <c r="S263" s="517"/>
      <c r="T263" s="517">
        <f t="shared" ref="T263:T326" si="76">S263*C263</f>
        <v>0</v>
      </c>
      <c r="U263" s="526"/>
      <c r="V263" s="517">
        <f t="shared" ref="V263:V326" si="77">U263*C263</f>
        <v>0</v>
      </c>
      <c r="W263" s="632">
        <f t="shared" si="72"/>
        <v>0</v>
      </c>
      <c r="X263" s="517">
        <f t="shared" si="74"/>
        <v>0</v>
      </c>
      <c r="Y263" s="632">
        <f t="shared" si="73"/>
        <v>0</v>
      </c>
      <c r="Z263" s="517">
        <f t="shared" si="75"/>
        <v>0</v>
      </c>
      <c r="AA263" s="675"/>
      <c r="AB263" s="674"/>
    </row>
    <row r="264" spans="1:28" s="301" customFormat="1" ht="25.5" hidden="1" customHeight="1">
      <c r="A264" s="320"/>
      <c r="B264" s="320" t="s">
        <v>1455</v>
      </c>
      <c r="C264" s="307">
        <f>ROUND(Data!K611,2)</f>
        <v>1864.69</v>
      </c>
      <c r="D264" s="486" t="s">
        <v>1867</v>
      </c>
      <c r="E264" s="526"/>
      <c r="F264" s="630">
        <f t="shared" si="66"/>
        <v>0</v>
      </c>
      <c r="G264" s="526"/>
      <c r="H264" s="517">
        <f t="shared" si="67"/>
        <v>0</v>
      </c>
      <c r="I264" s="526"/>
      <c r="J264" s="517">
        <f t="shared" si="68"/>
        <v>0</v>
      </c>
      <c r="K264" s="517"/>
      <c r="L264" s="517"/>
      <c r="M264" s="517"/>
      <c r="N264" s="517"/>
      <c r="O264" s="517"/>
      <c r="P264" s="517"/>
      <c r="Q264" s="517"/>
      <c r="R264" s="517"/>
      <c r="S264" s="517"/>
      <c r="T264" s="517">
        <f t="shared" si="76"/>
        <v>0</v>
      </c>
      <c r="U264" s="526"/>
      <c r="V264" s="517">
        <f t="shared" si="77"/>
        <v>0</v>
      </c>
      <c r="W264" s="632">
        <f t="shared" si="72"/>
        <v>0</v>
      </c>
      <c r="X264" s="517">
        <f t="shared" si="74"/>
        <v>0</v>
      </c>
      <c r="Y264" s="632">
        <f t="shared" si="73"/>
        <v>0</v>
      </c>
      <c r="Z264" s="517">
        <f t="shared" si="75"/>
        <v>0</v>
      </c>
      <c r="AA264" s="675"/>
      <c r="AB264" s="674"/>
    </row>
    <row r="265" spans="1:28" s="301" customFormat="1" ht="25.5" hidden="1" customHeight="1">
      <c r="A265" s="320"/>
      <c r="B265" s="320" t="s">
        <v>1344</v>
      </c>
      <c r="C265" s="307">
        <f>ROUND(Data!K612,2)</f>
        <v>1873.24</v>
      </c>
      <c r="D265" s="486" t="s">
        <v>1867</v>
      </c>
      <c r="E265" s="526"/>
      <c r="F265" s="630">
        <f t="shared" si="66"/>
        <v>0</v>
      </c>
      <c r="G265" s="526"/>
      <c r="H265" s="517">
        <f t="shared" si="67"/>
        <v>0</v>
      </c>
      <c r="I265" s="526"/>
      <c r="J265" s="517">
        <f t="shared" si="68"/>
        <v>0</v>
      </c>
      <c r="K265" s="517"/>
      <c r="L265" s="517"/>
      <c r="M265" s="517"/>
      <c r="N265" s="517"/>
      <c r="O265" s="517"/>
      <c r="P265" s="517"/>
      <c r="Q265" s="517"/>
      <c r="R265" s="517"/>
      <c r="S265" s="517"/>
      <c r="T265" s="517">
        <f t="shared" si="76"/>
        <v>0</v>
      </c>
      <c r="U265" s="526"/>
      <c r="V265" s="517">
        <f t="shared" si="77"/>
        <v>0</v>
      </c>
      <c r="W265" s="632">
        <f t="shared" si="72"/>
        <v>0</v>
      </c>
      <c r="X265" s="517">
        <f t="shared" si="74"/>
        <v>0</v>
      </c>
      <c r="Y265" s="632">
        <f t="shared" si="73"/>
        <v>0</v>
      </c>
      <c r="Z265" s="517">
        <f t="shared" si="75"/>
        <v>0</v>
      </c>
      <c r="AA265" s="675"/>
      <c r="AB265" s="674"/>
    </row>
    <row r="266" spans="1:28" s="301" customFormat="1" ht="25.5" hidden="1" customHeight="1">
      <c r="A266" s="370"/>
      <c r="B266" s="320" t="s">
        <v>1096</v>
      </c>
      <c r="C266" s="307">
        <f>ROUND(Data!K613,2)</f>
        <v>1881.79</v>
      </c>
      <c r="D266" s="486" t="s">
        <v>1867</v>
      </c>
      <c r="E266" s="526"/>
      <c r="F266" s="630">
        <f t="shared" si="66"/>
        <v>0</v>
      </c>
      <c r="G266" s="526"/>
      <c r="H266" s="517">
        <f t="shared" si="67"/>
        <v>0</v>
      </c>
      <c r="I266" s="526"/>
      <c r="J266" s="517">
        <f t="shared" si="68"/>
        <v>0</v>
      </c>
      <c r="K266" s="517"/>
      <c r="L266" s="517"/>
      <c r="M266" s="517"/>
      <c r="N266" s="517"/>
      <c r="O266" s="517"/>
      <c r="P266" s="517"/>
      <c r="Q266" s="517"/>
      <c r="R266" s="517"/>
      <c r="S266" s="517"/>
      <c r="T266" s="517">
        <f t="shared" si="76"/>
        <v>0</v>
      </c>
      <c r="U266" s="526"/>
      <c r="V266" s="517">
        <f t="shared" si="77"/>
        <v>0</v>
      </c>
      <c r="W266" s="632">
        <f t="shared" ref="W266:W292" si="78">I266+S266+U266</f>
        <v>0</v>
      </c>
      <c r="X266" s="517">
        <f t="shared" si="74"/>
        <v>0</v>
      </c>
      <c r="Y266" s="632">
        <f t="shared" ref="Y266:Y292" si="79">W266+E266+G266</f>
        <v>0</v>
      </c>
      <c r="Z266" s="517">
        <f t="shared" si="75"/>
        <v>0</v>
      </c>
      <c r="AA266" s="675"/>
      <c r="AB266" s="674"/>
    </row>
    <row r="267" spans="1:28" s="315" customFormat="1" ht="50.25" hidden="1" customHeight="1">
      <c r="A267" s="368">
        <v>16.100000000000001</v>
      </c>
      <c r="B267" s="320" t="s">
        <v>4059</v>
      </c>
      <c r="C267" s="308"/>
      <c r="D267" s="486"/>
      <c r="E267" s="526"/>
      <c r="F267" s="630">
        <f t="shared" ref="F267:F332" si="80">E267*C267</f>
        <v>0</v>
      </c>
      <c r="G267" s="526"/>
      <c r="H267" s="517">
        <f t="shared" ref="H267:H332" si="81">G267*C267</f>
        <v>0</v>
      </c>
      <c r="I267" s="526"/>
      <c r="J267" s="517">
        <f t="shared" ref="J267:J332" si="82">I267*C267</f>
        <v>0</v>
      </c>
      <c r="K267" s="517"/>
      <c r="L267" s="517"/>
      <c r="M267" s="517"/>
      <c r="N267" s="517"/>
      <c r="O267" s="517"/>
      <c r="P267" s="517"/>
      <c r="Q267" s="517"/>
      <c r="R267" s="517"/>
      <c r="S267" s="517"/>
      <c r="T267" s="517">
        <f t="shared" si="76"/>
        <v>0</v>
      </c>
      <c r="U267" s="526"/>
      <c r="V267" s="517">
        <f t="shared" si="77"/>
        <v>0</v>
      </c>
      <c r="W267" s="632">
        <f t="shared" si="78"/>
        <v>0</v>
      </c>
      <c r="X267" s="517">
        <f t="shared" si="74"/>
        <v>0</v>
      </c>
      <c r="Y267" s="632">
        <f t="shared" si="79"/>
        <v>0</v>
      </c>
      <c r="Z267" s="517">
        <f t="shared" si="75"/>
        <v>0</v>
      </c>
      <c r="AA267" s="676"/>
      <c r="AB267" s="674"/>
    </row>
    <row r="268" spans="1:28" s="315" customFormat="1" ht="50.25" hidden="1" customHeight="1">
      <c r="A268" s="368"/>
      <c r="B268" s="320" t="s">
        <v>205</v>
      </c>
      <c r="C268" s="308">
        <f>Data!K656</f>
        <v>2570.34</v>
      </c>
      <c r="D268" s="486" t="s">
        <v>1867</v>
      </c>
      <c r="E268" s="526"/>
      <c r="F268" s="630">
        <f t="shared" si="80"/>
        <v>0</v>
      </c>
      <c r="G268" s="526"/>
      <c r="H268" s="517">
        <f t="shared" si="81"/>
        <v>0</v>
      </c>
      <c r="I268" s="526"/>
      <c r="J268" s="517">
        <f t="shared" si="82"/>
        <v>0</v>
      </c>
      <c r="K268" s="517"/>
      <c r="L268" s="517"/>
      <c r="M268" s="517"/>
      <c r="N268" s="517"/>
      <c r="O268" s="517"/>
      <c r="P268" s="517"/>
      <c r="Q268" s="517"/>
      <c r="R268" s="517"/>
      <c r="S268" s="517"/>
      <c r="T268" s="517">
        <f t="shared" si="76"/>
        <v>0</v>
      </c>
      <c r="U268" s="526"/>
      <c r="V268" s="517">
        <f t="shared" si="77"/>
        <v>0</v>
      </c>
      <c r="W268" s="632">
        <f t="shared" si="78"/>
        <v>0</v>
      </c>
      <c r="X268" s="517">
        <f t="shared" si="74"/>
        <v>0</v>
      </c>
      <c r="Y268" s="632">
        <f t="shared" si="79"/>
        <v>0</v>
      </c>
      <c r="Z268" s="517">
        <f t="shared" si="75"/>
        <v>0</v>
      </c>
      <c r="AA268" s="676"/>
      <c r="AB268" s="674"/>
    </row>
    <row r="269" spans="1:28" s="315" customFormat="1" ht="50.25" hidden="1" customHeight="1">
      <c r="A269" s="368"/>
      <c r="B269" s="320" t="s">
        <v>1406</v>
      </c>
      <c r="C269" s="308">
        <f>ROUND(Data!K657,2)</f>
        <v>2578.38</v>
      </c>
      <c r="D269" s="486" t="s">
        <v>1867</v>
      </c>
      <c r="E269" s="526"/>
      <c r="F269" s="630">
        <f t="shared" si="80"/>
        <v>0</v>
      </c>
      <c r="G269" s="526"/>
      <c r="H269" s="517">
        <f t="shared" si="81"/>
        <v>0</v>
      </c>
      <c r="I269" s="526"/>
      <c r="J269" s="517">
        <f t="shared" si="82"/>
        <v>0</v>
      </c>
      <c r="K269" s="517"/>
      <c r="L269" s="517"/>
      <c r="M269" s="517"/>
      <c r="N269" s="517"/>
      <c r="O269" s="517"/>
      <c r="P269" s="517"/>
      <c r="Q269" s="517"/>
      <c r="R269" s="517"/>
      <c r="S269" s="517"/>
      <c r="T269" s="517">
        <f t="shared" si="76"/>
        <v>0</v>
      </c>
      <c r="U269" s="526"/>
      <c r="V269" s="517">
        <f t="shared" si="77"/>
        <v>0</v>
      </c>
      <c r="W269" s="632">
        <f t="shared" si="78"/>
        <v>0</v>
      </c>
      <c r="X269" s="517">
        <f t="shared" si="74"/>
        <v>0</v>
      </c>
      <c r="Y269" s="632">
        <f t="shared" si="79"/>
        <v>0</v>
      </c>
      <c r="Z269" s="517">
        <f t="shared" si="75"/>
        <v>0</v>
      </c>
      <c r="AA269" s="676"/>
      <c r="AB269" s="674"/>
    </row>
    <row r="270" spans="1:28" s="315" customFormat="1" ht="50.25" hidden="1" customHeight="1">
      <c r="A270" s="368"/>
      <c r="B270" s="320" t="s">
        <v>1455</v>
      </c>
      <c r="C270" s="308">
        <f>ROUND(Data!K658,2)</f>
        <v>2586.42</v>
      </c>
      <c r="D270" s="486" t="s">
        <v>1867</v>
      </c>
      <c r="E270" s="526"/>
      <c r="F270" s="630">
        <f t="shared" si="80"/>
        <v>0</v>
      </c>
      <c r="G270" s="526"/>
      <c r="H270" s="517">
        <f t="shared" si="81"/>
        <v>0</v>
      </c>
      <c r="I270" s="526"/>
      <c r="J270" s="517">
        <f t="shared" si="82"/>
        <v>0</v>
      </c>
      <c r="K270" s="517"/>
      <c r="L270" s="517"/>
      <c r="M270" s="517"/>
      <c r="N270" s="517"/>
      <c r="O270" s="517"/>
      <c r="P270" s="517"/>
      <c r="Q270" s="517"/>
      <c r="R270" s="517"/>
      <c r="S270" s="517"/>
      <c r="T270" s="517">
        <f t="shared" si="76"/>
        <v>0</v>
      </c>
      <c r="U270" s="526"/>
      <c r="V270" s="517">
        <f t="shared" si="77"/>
        <v>0</v>
      </c>
      <c r="W270" s="632">
        <f t="shared" si="78"/>
        <v>0</v>
      </c>
      <c r="X270" s="517">
        <f t="shared" si="74"/>
        <v>0</v>
      </c>
      <c r="Y270" s="632">
        <f t="shared" si="79"/>
        <v>0</v>
      </c>
      <c r="Z270" s="517">
        <f t="shared" si="75"/>
        <v>0</v>
      </c>
      <c r="AA270" s="676"/>
      <c r="AB270" s="674"/>
    </row>
    <row r="271" spans="1:28" s="315" customFormat="1" ht="50.25" hidden="1" customHeight="1">
      <c r="A271" s="368"/>
      <c r="B271" s="320" t="s">
        <v>1344</v>
      </c>
      <c r="C271" s="308">
        <f>ROUND(Data!K659,2)</f>
        <v>2594.46</v>
      </c>
      <c r="D271" s="486" t="s">
        <v>1867</v>
      </c>
      <c r="E271" s="526"/>
      <c r="F271" s="630">
        <f t="shared" si="80"/>
        <v>0</v>
      </c>
      <c r="G271" s="526"/>
      <c r="H271" s="517">
        <f t="shared" si="81"/>
        <v>0</v>
      </c>
      <c r="I271" s="526"/>
      <c r="J271" s="517">
        <f t="shared" si="82"/>
        <v>0</v>
      </c>
      <c r="K271" s="517"/>
      <c r="L271" s="517"/>
      <c r="M271" s="517"/>
      <c r="N271" s="517"/>
      <c r="O271" s="517"/>
      <c r="P271" s="517"/>
      <c r="Q271" s="517"/>
      <c r="R271" s="517"/>
      <c r="S271" s="517"/>
      <c r="T271" s="517">
        <f t="shared" si="76"/>
        <v>0</v>
      </c>
      <c r="U271" s="526"/>
      <c r="V271" s="517">
        <f t="shared" si="77"/>
        <v>0</v>
      </c>
      <c r="W271" s="632">
        <f t="shared" si="78"/>
        <v>0</v>
      </c>
      <c r="X271" s="517">
        <f t="shared" si="74"/>
        <v>0</v>
      </c>
      <c r="Y271" s="632">
        <f t="shared" si="79"/>
        <v>0</v>
      </c>
      <c r="Z271" s="517">
        <f t="shared" si="75"/>
        <v>0</v>
      </c>
      <c r="AA271" s="676"/>
      <c r="AB271" s="674"/>
    </row>
    <row r="272" spans="1:28" s="315" customFormat="1" ht="50.25" hidden="1" customHeight="1">
      <c r="A272" s="441"/>
      <c r="B272" s="320" t="s">
        <v>1096</v>
      </c>
      <c r="C272" s="308">
        <f>ROUND(Data!K660,2)</f>
        <v>2602.5</v>
      </c>
      <c r="D272" s="486" t="s">
        <v>1867</v>
      </c>
      <c r="E272" s="526"/>
      <c r="F272" s="630">
        <f t="shared" si="80"/>
        <v>0</v>
      </c>
      <c r="G272" s="526"/>
      <c r="H272" s="517">
        <f t="shared" si="81"/>
        <v>0</v>
      </c>
      <c r="I272" s="526"/>
      <c r="J272" s="517">
        <f t="shared" si="82"/>
        <v>0</v>
      </c>
      <c r="K272" s="517"/>
      <c r="L272" s="517"/>
      <c r="M272" s="517"/>
      <c r="N272" s="517"/>
      <c r="O272" s="517"/>
      <c r="P272" s="517"/>
      <c r="Q272" s="517"/>
      <c r="R272" s="517"/>
      <c r="S272" s="517"/>
      <c r="T272" s="517">
        <f t="shared" si="76"/>
        <v>0</v>
      </c>
      <c r="U272" s="526"/>
      <c r="V272" s="517">
        <f t="shared" si="77"/>
        <v>0</v>
      </c>
      <c r="W272" s="632">
        <f t="shared" si="78"/>
        <v>0</v>
      </c>
      <c r="X272" s="517">
        <f t="shared" si="74"/>
        <v>0</v>
      </c>
      <c r="Y272" s="632">
        <f t="shared" si="79"/>
        <v>0</v>
      </c>
      <c r="Z272" s="517">
        <f t="shared" si="75"/>
        <v>0</v>
      </c>
      <c r="AA272" s="676"/>
      <c r="AB272" s="674"/>
    </row>
    <row r="273" spans="1:28" s="301" customFormat="1" ht="46.5" hidden="1" customHeight="1">
      <c r="A273" s="368">
        <v>16.2</v>
      </c>
      <c r="B273" s="320" t="s">
        <v>1265</v>
      </c>
      <c r="C273" s="307"/>
      <c r="D273" s="486"/>
      <c r="E273" s="526"/>
      <c r="F273" s="630">
        <f t="shared" si="80"/>
        <v>0</v>
      </c>
      <c r="G273" s="526"/>
      <c r="H273" s="517">
        <f t="shared" si="81"/>
        <v>0</v>
      </c>
      <c r="I273" s="526"/>
      <c r="J273" s="517">
        <f t="shared" si="82"/>
        <v>0</v>
      </c>
      <c r="K273" s="517"/>
      <c r="L273" s="517"/>
      <c r="M273" s="517"/>
      <c r="N273" s="517"/>
      <c r="O273" s="517"/>
      <c r="P273" s="517"/>
      <c r="Q273" s="517"/>
      <c r="R273" s="517"/>
      <c r="S273" s="517"/>
      <c r="T273" s="517">
        <f t="shared" si="76"/>
        <v>0</v>
      </c>
      <c r="U273" s="526"/>
      <c r="V273" s="517">
        <f t="shared" si="77"/>
        <v>0</v>
      </c>
      <c r="W273" s="632">
        <f t="shared" si="78"/>
        <v>0</v>
      </c>
      <c r="X273" s="517">
        <f t="shared" si="74"/>
        <v>0</v>
      </c>
      <c r="Y273" s="632">
        <f t="shared" si="79"/>
        <v>0</v>
      </c>
      <c r="Z273" s="517">
        <f t="shared" si="75"/>
        <v>0</v>
      </c>
      <c r="AA273" s="675"/>
      <c r="AB273" s="674"/>
    </row>
    <row r="274" spans="1:28" s="301" customFormat="1" ht="25.5" hidden="1" customHeight="1">
      <c r="A274" s="320"/>
      <c r="B274" s="320" t="s">
        <v>205</v>
      </c>
      <c r="C274" s="307">
        <f>ROUND(Data!K683,2)</f>
        <v>483.57</v>
      </c>
      <c r="D274" s="486" t="s">
        <v>1867</v>
      </c>
      <c r="E274" s="526"/>
      <c r="F274" s="630">
        <f t="shared" si="80"/>
        <v>0</v>
      </c>
      <c r="G274" s="526"/>
      <c r="H274" s="517">
        <f t="shared" si="81"/>
        <v>0</v>
      </c>
      <c r="I274" s="526"/>
      <c r="J274" s="517">
        <f t="shared" si="82"/>
        <v>0</v>
      </c>
      <c r="K274" s="517"/>
      <c r="L274" s="517"/>
      <c r="M274" s="517"/>
      <c r="N274" s="517"/>
      <c r="O274" s="517"/>
      <c r="P274" s="517"/>
      <c r="Q274" s="517"/>
      <c r="R274" s="517"/>
      <c r="S274" s="517"/>
      <c r="T274" s="517">
        <f t="shared" si="76"/>
        <v>0</v>
      </c>
      <c r="U274" s="526"/>
      <c r="V274" s="517">
        <f t="shared" si="77"/>
        <v>0</v>
      </c>
      <c r="W274" s="632">
        <f t="shared" si="78"/>
        <v>0</v>
      </c>
      <c r="X274" s="517">
        <f t="shared" si="74"/>
        <v>0</v>
      </c>
      <c r="Y274" s="632">
        <f t="shared" si="79"/>
        <v>0</v>
      </c>
      <c r="Z274" s="517">
        <f t="shared" si="75"/>
        <v>0</v>
      </c>
      <c r="AA274" s="675"/>
      <c r="AB274" s="674"/>
    </row>
    <row r="275" spans="1:28" s="301" customFormat="1" ht="25.5" hidden="1" customHeight="1">
      <c r="A275" s="320"/>
      <c r="B275" s="320" t="s">
        <v>206</v>
      </c>
      <c r="C275" s="307">
        <f>ROUND(Data!K684,2)</f>
        <v>490.77</v>
      </c>
      <c r="D275" s="486" t="s">
        <v>1867</v>
      </c>
      <c r="E275" s="526"/>
      <c r="F275" s="630">
        <f t="shared" si="80"/>
        <v>0</v>
      </c>
      <c r="G275" s="526"/>
      <c r="H275" s="517">
        <f t="shared" si="81"/>
        <v>0</v>
      </c>
      <c r="I275" s="526"/>
      <c r="J275" s="517">
        <f t="shared" si="82"/>
        <v>0</v>
      </c>
      <c r="K275" s="517"/>
      <c r="L275" s="517"/>
      <c r="M275" s="517"/>
      <c r="N275" s="517"/>
      <c r="O275" s="517"/>
      <c r="P275" s="517"/>
      <c r="Q275" s="517"/>
      <c r="R275" s="517"/>
      <c r="S275" s="517"/>
      <c r="T275" s="517">
        <f t="shared" si="76"/>
        <v>0</v>
      </c>
      <c r="U275" s="526"/>
      <c r="V275" s="517">
        <f t="shared" si="77"/>
        <v>0</v>
      </c>
      <c r="W275" s="632">
        <f t="shared" si="78"/>
        <v>0</v>
      </c>
      <c r="X275" s="517">
        <f t="shared" si="74"/>
        <v>0</v>
      </c>
      <c r="Y275" s="632">
        <f t="shared" si="79"/>
        <v>0</v>
      </c>
      <c r="Z275" s="517">
        <f t="shared" si="75"/>
        <v>0</v>
      </c>
      <c r="AA275" s="675"/>
      <c r="AB275" s="674"/>
    </row>
    <row r="276" spans="1:28" s="301" customFormat="1" ht="25.5" hidden="1" customHeight="1">
      <c r="A276" s="320"/>
      <c r="B276" s="320" t="s">
        <v>207</v>
      </c>
      <c r="C276" s="307">
        <f>ROUND(Data!K685,2)</f>
        <v>497.97</v>
      </c>
      <c r="D276" s="486" t="s">
        <v>1867</v>
      </c>
      <c r="E276" s="526"/>
      <c r="F276" s="630">
        <f t="shared" si="80"/>
        <v>0</v>
      </c>
      <c r="G276" s="526"/>
      <c r="H276" s="517">
        <f t="shared" si="81"/>
        <v>0</v>
      </c>
      <c r="I276" s="526"/>
      <c r="J276" s="517">
        <f t="shared" si="82"/>
        <v>0</v>
      </c>
      <c r="K276" s="517"/>
      <c r="L276" s="517"/>
      <c r="M276" s="517"/>
      <c r="N276" s="517"/>
      <c r="O276" s="517"/>
      <c r="P276" s="517"/>
      <c r="Q276" s="517"/>
      <c r="R276" s="517"/>
      <c r="S276" s="517"/>
      <c r="T276" s="517">
        <f t="shared" si="76"/>
        <v>0</v>
      </c>
      <c r="U276" s="526"/>
      <c r="V276" s="517">
        <f t="shared" si="77"/>
        <v>0</v>
      </c>
      <c r="W276" s="632">
        <f t="shared" si="78"/>
        <v>0</v>
      </c>
      <c r="X276" s="517">
        <f t="shared" si="74"/>
        <v>0</v>
      </c>
      <c r="Y276" s="632">
        <f t="shared" si="79"/>
        <v>0</v>
      </c>
      <c r="Z276" s="517">
        <f t="shared" si="75"/>
        <v>0</v>
      </c>
      <c r="AA276" s="675"/>
      <c r="AB276" s="674"/>
    </row>
    <row r="277" spans="1:28" s="301" customFormat="1" ht="25.5" hidden="1" customHeight="1">
      <c r="A277" s="320"/>
      <c r="B277" s="320" t="s">
        <v>208</v>
      </c>
      <c r="C277" s="307">
        <f>ROUND(Data!K686,2)</f>
        <v>505.17</v>
      </c>
      <c r="D277" s="486" t="s">
        <v>1867</v>
      </c>
      <c r="E277" s="526"/>
      <c r="F277" s="630">
        <f t="shared" si="80"/>
        <v>0</v>
      </c>
      <c r="G277" s="526"/>
      <c r="H277" s="517">
        <f t="shared" si="81"/>
        <v>0</v>
      </c>
      <c r="I277" s="526"/>
      <c r="J277" s="517">
        <f t="shared" si="82"/>
        <v>0</v>
      </c>
      <c r="K277" s="517"/>
      <c r="L277" s="517"/>
      <c r="M277" s="517"/>
      <c r="N277" s="517"/>
      <c r="O277" s="517"/>
      <c r="P277" s="517"/>
      <c r="Q277" s="517"/>
      <c r="R277" s="517"/>
      <c r="S277" s="517"/>
      <c r="T277" s="517">
        <f t="shared" si="76"/>
        <v>0</v>
      </c>
      <c r="U277" s="526"/>
      <c r="V277" s="517">
        <f t="shared" si="77"/>
        <v>0</v>
      </c>
      <c r="W277" s="632">
        <f t="shared" si="78"/>
        <v>0</v>
      </c>
      <c r="X277" s="517">
        <f t="shared" si="74"/>
        <v>0</v>
      </c>
      <c r="Y277" s="632">
        <f t="shared" si="79"/>
        <v>0</v>
      </c>
      <c r="Z277" s="517">
        <f t="shared" si="75"/>
        <v>0</v>
      </c>
      <c r="AA277" s="675"/>
      <c r="AB277" s="674"/>
    </row>
    <row r="278" spans="1:28" s="301" customFormat="1" ht="25.5" hidden="1" customHeight="1">
      <c r="A278" s="370"/>
      <c r="B278" s="320" t="s">
        <v>612</v>
      </c>
      <c r="C278" s="307">
        <f>ROUND(Data!K687,2)</f>
        <v>512.37</v>
      </c>
      <c r="D278" s="486" t="s">
        <v>1867</v>
      </c>
      <c r="E278" s="526"/>
      <c r="F278" s="630">
        <f t="shared" si="80"/>
        <v>0</v>
      </c>
      <c r="G278" s="526"/>
      <c r="H278" s="517">
        <f t="shared" si="81"/>
        <v>0</v>
      </c>
      <c r="I278" s="526"/>
      <c r="J278" s="517">
        <f t="shared" si="82"/>
        <v>0</v>
      </c>
      <c r="K278" s="517"/>
      <c r="L278" s="517"/>
      <c r="M278" s="517"/>
      <c r="N278" s="517"/>
      <c r="O278" s="517"/>
      <c r="P278" s="517"/>
      <c r="Q278" s="517"/>
      <c r="R278" s="517"/>
      <c r="S278" s="517"/>
      <c r="T278" s="517">
        <f t="shared" si="76"/>
        <v>0</v>
      </c>
      <c r="U278" s="526"/>
      <c r="V278" s="517">
        <f t="shared" si="77"/>
        <v>0</v>
      </c>
      <c r="W278" s="632">
        <f t="shared" si="78"/>
        <v>0</v>
      </c>
      <c r="X278" s="517">
        <f t="shared" si="74"/>
        <v>0</v>
      </c>
      <c r="Y278" s="632">
        <f t="shared" si="79"/>
        <v>0</v>
      </c>
      <c r="Z278" s="517">
        <f t="shared" si="75"/>
        <v>0</v>
      </c>
      <c r="AA278" s="675"/>
      <c r="AB278" s="674"/>
    </row>
    <row r="279" spans="1:28" s="301" customFormat="1" ht="46.5" hidden="1" customHeight="1">
      <c r="A279" s="368">
        <v>16.3</v>
      </c>
      <c r="B279" s="320" t="s">
        <v>343</v>
      </c>
      <c r="C279" s="307"/>
      <c r="D279" s="486"/>
      <c r="E279" s="526"/>
      <c r="F279" s="630">
        <f t="shared" si="80"/>
        <v>0</v>
      </c>
      <c r="G279" s="526"/>
      <c r="H279" s="517">
        <f t="shared" si="81"/>
        <v>0</v>
      </c>
      <c r="I279" s="526"/>
      <c r="J279" s="517">
        <f t="shared" si="82"/>
        <v>0</v>
      </c>
      <c r="K279" s="517"/>
      <c r="L279" s="517"/>
      <c r="M279" s="517"/>
      <c r="N279" s="517"/>
      <c r="O279" s="517"/>
      <c r="P279" s="517"/>
      <c r="Q279" s="517"/>
      <c r="R279" s="517"/>
      <c r="S279" s="517"/>
      <c r="T279" s="517">
        <f t="shared" si="76"/>
        <v>0</v>
      </c>
      <c r="U279" s="526"/>
      <c r="V279" s="517">
        <f t="shared" si="77"/>
        <v>0</v>
      </c>
      <c r="W279" s="632">
        <f t="shared" si="78"/>
        <v>0</v>
      </c>
      <c r="X279" s="517">
        <f t="shared" si="74"/>
        <v>0</v>
      </c>
      <c r="Y279" s="632">
        <f t="shared" si="79"/>
        <v>0</v>
      </c>
      <c r="Z279" s="517">
        <f t="shared" si="75"/>
        <v>0</v>
      </c>
      <c r="AA279" s="675"/>
      <c r="AB279" s="674"/>
    </row>
    <row r="280" spans="1:28" s="301" customFormat="1" ht="25.5" hidden="1" customHeight="1">
      <c r="A280" s="368"/>
      <c r="B280" s="320" t="s">
        <v>205</v>
      </c>
      <c r="C280" s="307">
        <f>ROUND(Data!K703,2)</f>
        <v>657.85</v>
      </c>
      <c r="D280" s="486" t="s">
        <v>1867</v>
      </c>
      <c r="E280" s="526"/>
      <c r="F280" s="630">
        <f t="shared" si="80"/>
        <v>0</v>
      </c>
      <c r="G280" s="526"/>
      <c r="H280" s="517">
        <f t="shared" si="81"/>
        <v>0</v>
      </c>
      <c r="I280" s="526"/>
      <c r="J280" s="517">
        <f t="shared" si="82"/>
        <v>0</v>
      </c>
      <c r="K280" s="517"/>
      <c r="L280" s="517"/>
      <c r="M280" s="517"/>
      <c r="N280" s="517"/>
      <c r="O280" s="517"/>
      <c r="P280" s="517"/>
      <c r="Q280" s="517"/>
      <c r="R280" s="517"/>
      <c r="S280" s="517"/>
      <c r="T280" s="517">
        <f t="shared" si="76"/>
        <v>0</v>
      </c>
      <c r="U280" s="526"/>
      <c r="V280" s="517">
        <f t="shared" si="77"/>
        <v>0</v>
      </c>
      <c r="W280" s="632">
        <f t="shared" si="78"/>
        <v>0</v>
      </c>
      <c r="X280" s="517">
        <f t="shared" si="74"/>
        <v>0</v>
      </c>
      <c r="Y280" s="632">
        <f t="shared" si="79"/>
        <v>0</v>
      </c>
      <c r="Z280" s="517">
        <f t="shared" si="75"/>
        <v>0</v>
      </c>
      <c r="AA280" s="675"/>
      <c r="AB280" s="674"/>
    </row>
    <row r="281" spans="1:28" s="301" customFormat="1" ht="25.5" hidden="1" customHeight="1">
      <c r="A281" s="368"/>
      <c r="B281" s="320" t="s">
        <v>206</v>
      </c>
      <c r="C281" s="307">
        <f>ROUND(Data!K704,2)</f>
        <v>673.7</v>
      </c>
      <c r="D281" s="486" t="s">
        <v>1867</v>
      </c>
      <c r="E281" s="526"/>
      <c r="F281" s="630">
        <f t="shared" si="80"/>
        <v>0</v>
      </c>
      <c r="G281" s="526"/>
      <c r="H281" s="517">
        <f t="shared" si="81"/>
        <v>0</v>
      </c>
      <c r="I281" s="526"/>
      <c r="J281" s="517">
        <f t="shared" si="82"/>
        <v>0</v>
      </c>
      <c r="K281" s="517"/>
      <c r="L281" s="517"/>
      <c r="M281" s="517"/>
      <c r="N281" s="517"/>
      <c r="O281" s="517"/>
      <c r="P281" s="517"/>
      <c r="Q281" s="517"/>
      <c r="R281" s="517"/>
      <c r="S281" s="517"/>
      <c r="T281" s="517">
        <f t="shared" si="76"/>
        <v>0</v>
      </c>
      <c r="U281" s="526"/>
      <c r="V281" s="517">
        <f t="shared" si="77"/>
        <v>0</v>
      </c>
      <c r="W281" s="632">
        <f t="shared" si="78"/>
        <v>0</v>
      </c>
      <c r="X281" s="517">
        <f t="shared" si="74"/>
        <v>0</v>
      </c>
      <c r="Y281" s="632">
        <f t="shared" si="79"/>
        <v>0</v>
      </c>
      <c r="Z281" s="517">
        <f t="shared" si="75"/>
        <v>0</v>
      </c>
      <c r="AA281" s="675"/>
      <c r="AB281" s="674"/>
    </row>
    <row r="282" spans="1:28" s="301" customFormat="1" ht="25.5" hidden="1" customHeight="1">
      <c r="A282" s="368"/>
      <c r="B282" s="320" t="s">
        <v>207</v>
      </c>
      <c r="C282" s="307">
        <f>ROUND(Data!K705,2)</f>
        <v>689.55</v>
      </c>
      <c r="D282" s="486" t="s">
        <v>1867</v>
      </c>
      <c r="E282" s="526"/>
      <c r="F282" s="630">
        <f t="shared" si="80"/>
        <v>0</v>
      </c>
      <c r="G282" s="526"/>
      <c r="H282" s="517">
        <f t="shared" si="81"/>
        <v>0</v>
      </c>
      <c r="I282" s="526"/>
      <c r="J282" s="517">
        <f t="shared" si="82"/>
        <v>0</v>
      </c>
      <c r="K282" s="517"/>
      <c r="L282" s="517"/>
      <c r="M282" s="517"/>
      <c r="N282" s="517"/>
      <c r="O282" s="517"/>
      <c r="P282" s="517"/>
      <c r="Q282" s="517"/>
      <c r="R282" s="517"/>
      <c r="S282" s="517"/>
      <c r="T282" s="517">
        <f t="shared" si="76"/>
        <v>0</v>
      </c>
      <c r="U282" s="526"/>
      <c r="V282" s="517">
        <f t="shared" si="77"/>
        <v>0</v>
      </c>
      <c r="W282" s="632">
        <f t="shared" si="78"/>
        <v>0</v>
      </c>
      <c r="X282" s="517">
        <f t="shared" si="74"/>
        <v>0</v>
      </c>
      <c r="Y282" s="632">
        <f t="shared" si="79"/>
        <v>0</v>
      </c>
      <c r="Z282" s="517">
        <f t="shared" si="75"/>
        <v>0</v>
      </c>
      <c r="AA282" s="675"/>
      <c r="AB282" s="674"/>
    </row>
    <row r="283" spans="1:28" s="301" customFormat="1" ht="25.5" hidden="1" customHeight="1">
      <c r="A283" s="320"/>
      <c r="B283" s="320" t="s">
        <v>208</v>
      </c>
      <c r="C283" s="307">
        <f>ROUND(Data!K706,2)</f>
        <v>705.4</v>
      </c>
      <c r="D283" s="486" t="s">
        <v>1867</v>
      </c>
      <c r="E283" s="526"/>
      <c r="F283" s="630">
        <f t="shared" si="80"/>
        <v>0</v>
      </c>
      <c r="G283" s="526"/>
      <c r="H283" s="517">
        <f t="shared" si="81"/>
        <v>0</v>
      </c>
      <c r="I283" s="526"/>
      <c r="J283" s="517">
        <f t="shared" si="82"/>
        <v>0</v>
      </c>
      <c r="K283" s="517"/>
      <c r="L283" s="517"/>
      <c r="M283" s="517"/>
      <c r="N283" s="517"/>
      <c r="O283" s="517"/>
      <c r="P283" s="517"/>
      <c r="Q283" s="517"/>
      <c r="R283" s="517"/>
      <c r="S283" s="517"/>
      <c r="T283" s="517">
        <f t="shared" si="76"/>
        <v>0</v>
      </c>
      <c r="U283" s="526"/>
      <c r="V283" s="517">
        <f t="shared" si="77"/>
        <v>0</v>
      </c>
      <c r="W283" s="632">
        <f t="shared" si="78"/>
        <v>0</v>
      </c>
      <c r="X283" s="517">
        <f t="shared" si="74"/>
        <v>0</v>
      </c>
      <c r="Y283" s="632">
        <f t="shared" si="79"/>
        <v>0</v>
      </c>
      <c r="Z283" s="517">
        <f t="shared" si="75"/>
        <v>0</v>
      </c>
      <c r="AA283" s="675"/>
      <c r="AB283" s="674"/>
    </row>
    <row r="284" spans="1:28" s="301" customFormat="1" ht="25.5" hidden="1" customHeight="1">
      <c r="A284" s="370"/>
      <c r="B284" s="320" t="s">
        <v>612</v>
      </c>
      <c r="C284" s="307">
        <f>ROUND(Data!K707,2)</f>
        <v>721.25</v>
      </c>
      <c r="D284" s="486" t="s">
        <v>1867</v>
      </c>
      <c r="E284" s="526"/>
      <c r="F284" s="630">
        <f t="shared" si="80"/>
        <v>0</v>
      </c>
      <c r="G284" s="526"/>
      <c r="H284" s="517">
        <f t="shared" si="81"/>
        <v>0</v>
      </c>
      <c r="I284" s="526"/>
      <c r="J284" s="517">
        <f t="shared" si="82"/>
        <v>0</v>
      </c>
      <c r="K284" s="517"/>
      <c r="L284" s="517"/>
      <c r="M284" s="517"/>
      <c r="N284" s="517"/>
      <c r="O284" s="517"/>
      <c r="P284" s="517"/>
      <c r="Q284" s="517"/>
      <c r="R284" s="517"/>
      <c r="S284" s="517"/>
      <c r="T284" s="517">
        <f t="shared" si="76"/>
        <v>0</v>
      </c>
      <c r="U284" s="526"/>
      <c r="V284" s="517">
        <f t="shared" si="77"/>
        <v>0</v>
      </c>
      <c r="W284" s="632">
        <f t="shared" si="78"/>
        <v>0</v>
      </c>
      <c r="X284" s="517">
        <f t="shared" si="74"/>
        <v>0</v>
      </c>
      <c r="Y284" s="632">
        <f t="shared" si="79"/>
        <v>0</v>
      </c>
      <c r="Z284" s="517">
        <f t="shared" si="75"/>
        <v>0</v>
      </c>
      <c r="AA284" s="675"/>
      <c r="AB284" s="674"/>
    </row>
    <row r="285" spans="1:28" s="301" customFormat="1" ht="25.5" hidden="1" customHeight="1">
      <c r="A285" s="368">
        <v>17</v>
      </c>
      <c r="B285" s="320" t="s">
        <v>4060</v>
      </c>
      <c r="C285" s="307"/>
      <c r="D285" s="486" t="s">
        <v>1867</v>
      </c>
      <c r="E285" s="526"/>
      <c r="F285" s="630">
        <f t="shared" si="80"/>
        <v>0</v>
      </c>
      <c r="G285" s="526"/>
      <c r="H285" s="517">
        <f t="shared" si="81"/>
        <v>0</v>
      </c>
      <c r="I285" s="526"/>
      <c r="J285" s="517">
        <f t="shared" si="82"/>
        <v>0</v>
      </c>
      <c r="K285" s="517"/>
      <c r="L285" s="517"/>
      <c r="M285" s="517"/>
      <c r="N285" s="517"/>
      <c r="O285" s="517"/>
      <c r="P285" s="517"/>
      <c r="Q285" s="517"/>
      <c r="R285" s="517"/>
      <c r="S285" s="517"/>
      <c r="T285" s="517">
        <f t="shared" si="76"/>
        <v>0</v>
      </c>
      <c r="U285" s="526"/>
      <c r="V285" s="517">
        <f t="shared" si="77"/>
        <v>0</v>
      </c>
      <c r="W285" s="632">
        <f t="shared" si="78"/>
        <v>0</v>
      </c>
      <c r="X285" s="517">
        <f t="shared" si="74"/>
        <v>0</v>
      </c>
      <c r="Y285" s="632">
        <f t="shared" si="79"/>
        <v>0</v>
      </c>
      <c r="Z285" s="517">
        <f t="shared" si="75"/>
        <v>0</v>
      </c>
      <c r="AA285" s="675"/>
      <c r="AB285" s="674"/>
    </row>
    <row r="286" spans="1:28" s="301" customFormat="1" ht="25.5" hidden="1" customHeight="1">
      <c r="A286" s="368">
        <v>18</v>
      </c>
      <c r="B286" s="320" t="s">
        <v>4061</v>
      </c>
      <c r="C286" s="307"/>
      <c r="D286" s="486" t="s">
        <v>1867</v>
      </c>
      <c r="E286" s="526"/>
      <c r="F286" s="630">
        <f t="shared" si="80"/>
        <v>0</v>
      </c>
      <c r="G286" s="526"/>
      <c r="H286" s="517">
        <f t="shared" si="81"/>
        <v>0</v>
      </c>
      <c r="I286" s="526"/>
      <c r="J286" s="517">
        <f t="shared" si="82"/>
        <v>0</v>
      </c>
      <c r="K286" s="517"/>
      <c r="L286" s="517"/>
      <c r="M286" s="517"/>
      <c r="N286" s="517"/>
      <c r="O286" s="517"/>
      <c r="P286" s="517"/>
      <c r="Q286" s="517"/>
      <c r="R286" s="517"/>
      <c r="S286" s="517"/>
      <c r="T286" s="517">
        <f t="shared" si="76"/>
        <v>0</v>
      </c>
      <c r="U286" s="526"/>
      <c r="V286" s="517">
        <f t="shared" si="77"/>
        <v>0</v>
      </c>
      <c r="W286" s="632">
        <f t="shared" si="78"/>
        <v>0</v>
      </c>
      <c r="X286" s="517">
        <f t="shared" si="74"/>
        <v>0</v>
      </c>
      <c r="Y286" s="632">
        <f t="shared" si="79"/>
        <v>0</v>
      </c>
      <c r="Z286" s="517">
        <f t="shared" si="75"/>
        <v>0</v>
      </c>
      <c r="AA286" s="675"/>
      <c r="AB286" s="674"/>
    </row>
    <row r="287" spans="1:28" s="301" customFormat="1" ht="25.5" hidden="1" customHeight="1">
      <c r="A287" s="368">
        <v>19</v>
      </c>
      <c r="B287" s="320" t="s">
        <v>4062</v>
      </c>
      <c r="C287" s="307"/>
      <c r="D287" s="486" t="s">
        <v>1867</v>
      </c>
      <c r="E287" s="526"/>
      <c r="F287" s="630">
        <f t="shared" si="80"/>
        <v>0</v>
      </c>
      <c r="G287" s="526"/>
      <c r="H287" s="517">
        <f t="shared" si="81"/>
        <v>0</v>
      </c>
      <c r="I287" s="526"/>
      <c r="J287" s="517">
        <f t="shared" si="82"/>
        <v>0</v>
      </c>
      <c r="K287" s="517"/>
      <c r="L287" s="517"/>
      <c r="M287" s="517"/>
      <c r="N287" s="517"/>
      <c r="O287" s="517"/>
      <c r="P287" s="517"/>
      <c r="Q287" s="517"/>
      <c r="R287" s="517"/>
      <c r="S287" s="517"/>
      <c r="T287" s="517">
        <f t="shared" si="76"/>
        <v>0</v>
      </c>
      <c r="U287" s="526"/>
      <c r="V287" s="517">
        <f t="shared" si="77"/>
        <v>0</v>
      </c>
      <c r="W287" s="632">
        <f t="shared" si="78"/>
        <v>0</v>
      </c>
      <c r="X287" s="517">
        <f t="shared" si="74"/>
        <v>0</v>
      </c>
      <c r="Y287" s="632">
        <f t="shared" si="79"/>
        <v>0</v>
      </c>
      <c r="Z287" s="517">
        <f t="shared" si="75"/>
        <v>0</v>
      </c>
      <c r="AA287" s="675"/>
      <c r="AB287" s="674"/>
    </row>
    <row r="288" spans="1:28" s="301" customFormat="1" ht="25.5" hidden="1" customHeight="1">
      <c r="A288" s="368">
        <v>20</v>
      </c>
      <c r="B288" s="320" t="s">
        <v>1607</v>
      </c>
      <c r="C288" s="307"/>
      <c r="D288" s="486" t="s">
        <v>1867</v>
      </c>
      <c r="E288" s="526"/>
      <c r="F288" s="630">
        <f t="shared" si="80"/>
        <v>0</v>
      </c>
      <c r="G288" s="526"/>
      <c r="H288" s="517">
        <f t="shared" si="81"/>
        <v>0</v>
      </c>
      <c r="I288" s="526"/>
      <c r="J288" s="517">
        <f t="shared" si="82"/>
        <v>0</v>
      </c>
      <c r="K288" s="517"/>
      <c r="L288" s="517"/>
      <c r="M288" s="517"/>
      <c r="N288" s="517"/>
      <c r="O288" s="517"/>
      <c r="P288" s="517"/>
      <c r="Q288" s="517"/>
      <c r="R288" s="517"/>
      <c r="S288" s="517"/>
      <c r="T288" s="517">
        <f t="shared" si="76"/>
        <v>0</v>
      </c>
      <c r="U288" s="526"/>
      <c r="V288" s="517">
        <f t="shared" si="77"/>
        <v>0</v>
      </c>
      <c r="W288" s="632">
        <f t="shared" si="78"/>
        <v>0</v>
      </c>
      <c r="X288" s="517">
        <f t="shared" si="74"/>
        <v>0</v>
      </c>
      <c r="Y288" s="632">
        <f t="shared" si="79"/>
        <v>0</v>
      </c>
      <c r="Z288" s="517">
        <f t="shared" si="75"/>
        <v>0</v>
      </c>
      <c r="AA288" s="675"/>
      <c r="AB288" s="674"/>
    </row>
    <row r="289" spans="1:29" s="301" customFormat="1" ht="25.5" hidden="1" customHeight="1">
      <c r="A289" s="368">
        <v>21.1</v>
      </c>
      <c r="B289" s="369" t="s">
        <v>1851</v>
      </c>
      <c r="C289" s="307"/>
      <c r="D289" s="486"/>
      <c r="E289" s="526"/>
      <c r="F289" s="630">
        <f t="shared" si="80"/>
        <v>0</v>
      </c>
      <c r="G289" s="526"/>
      <c r="H289" s="517">
        <f t="shared" si="81"/>
        <v>0</v>
      </c>
      <c r="I289" s="526"/>
      <c r="J289" s="517">
        <f t="shared" si="82"/>
        <v>0</v>
      </c>
      <c r="K289" s="517"/>
      <c r="L289" s="517"/>
      <c r="M289" s="517"/>
      <c r="N289" s="517"/>
      <c r="O289" s="517"/>
      <c r="P289" s="517"/>
      <c r="Q289" s="517"/>
      <c r="R289" s="517"/>
      <c r="S289" s="517"/>
      <c r="T289" s="517">
        <f t="shared" si="76"/>
        <v>0</v>
      </c>
      <c r="U289" s="526"/>
      <c r="V289" s="517">
        <f t="shared" si="77"/>
        <v>0</v>
      </c>
      <c r="W289" s="632">
        <f t="shared" si="78"/>
        <v>0</v>
      </c>
      <c r="X289" s="517">
        <f t="shared" si="74"/>
        <v>0</v>
      </c>
      <c r="Y289" s="632">
        <f t="shared" si="79"/>
        <v>0</v>
      </c>
      <c r="Z289" s="517">
        <f t="shared" si="75"/>
        <v>0</v>
      </c>
      <c r="AA289" s="675"/>
      <c r="AB289" s="674"/>
    </row>
    <row r="290" spans="1:29" s="301" customFormat="1" ht="25.5" hidden="1" customHeight="1">
      <c r="A290" s="368"/>
      <c r="B290" s="320" t="s">
        <v>577</v>
      </c>
      <c r="C290" s="307">
        <f>ROUND(Data!K886,2)</f>
        <v>2447.34</v>
      </c>
      <c r="D290" s="486" t="s">
        <v>1418</v>
      </c>
      <c r="E290" s="526"/>
      <c r="F290" s="630">
        <f t="shared" si="80"/>
        <v>0</v>
      </c>
      <c r="G290" s="526"/>
      <c r="H290" s="517">
        <f t="shared" si="81"/>
        <v>0</v>
      </c>
      <c r="I290" s="526"/>
      <c r="J290" s="517">
        <f t="shared" si="82"/>
        <v>0</v>
      </c>
      <c r="K290" s="517"/>
      <c r="L290" s="517"/>
      <c r="M290" s="517"/>
      <c r="N290" s="517"/>
      <c r="O290" s="517"/>
      <c r="P290" s="517"/>
      <c r="Q290" s="517"/>
      <c r="R290" s="517"/>
      <c r="S290" s="517"/>
      <c r="T290" s="517">
        <f t="shared" si="76"/>
        <v>0</v>
      </c>
      <c r="U290" s="526"/>
      <c r="V290" s="517">
        <f t="shared" si="77"/>
        <v>0</v>
      </c>
      <c r="W290" s="632">
        <f t="shared" si="78"/>
        <v>0</v>
      </c>
      <c r="X290" s="517">
        <f t="shared" si="74"/>
        <v>0</v>
      </c>
      <c r="Y290" s="632">
        <f t="shared" si="79"/>
        <v>0</v>
      </c>
      <c r="Z290" s="517">
        <f t="shared" si="75"/>
        <v>0</v>
      </c>
      <c r="AA290" s="675"/>
      <c r="AB290" s="674"/>
    </row>
    <row r="291" spans="1:29" s="301" customFormat="1" ht="25.5" hidden="1" customHeight="1">
      <c r="A291" s="368"/>
      <c r="B291" s="320" t="s">
        <v>1928</v>
      </c>
      <c r="C291" s="307">
        <f>ROUND(Data!K902,2)</f>
        <v>2413.44</v>
      </c>
      <c r="D291" s="486" t="s">
        <v>1418</v>
      </c>
      <c r="E291" s="526"/>
      <c r="F291" s="630">
        <f t="shared" si="80"/>
        <v>0</v>
      </c>
      <c r="G291" s="526"/>
      <c r="H291" s="517">
        <f t="shared" si="81"/>
        <v>0</v>
      </c>
      <c r="I291" s="526"/>
      <c r="J291" s="517">
        <f t="shared" si="82"/>
        <v>0</v>
      </c>
      <c r="K291" s="517"/>
      <c r="L291" s="517"/>
      <c r="M291" s="517"/>
      <c r="N291" s="517"/>
      <c r="O291" s="517"/>
      <c r="P291" s="517"/>
      <c r="Q291" s="517"/>
      <c r="R291" s="517"/>
      <c r="S291" s="517"/>
      <c r="T291" s="517">
        <f t="shared" si="76"/>
        <v>0</v>
      </c>
      <c r="U291" s="526"/>
      <c r="V291" s="517">
        <f t="shared" si="77"/>
        <v>0</v>
      </c>
      <c r="W291" s="632">
        <f t="shared" si="78"/>
        <v>0</v>
      </c>
      <c r="X291" s="517">
        <f t="shared" si="74"/>
        <v>0</v>
      </c>
      <c r="Y291" s="632">
        <f t="shared" si="79"/>
        <v>0</v>
      </c>
      <c r="Z291" s="517">
        <f t="shared" si="75"/>
        <v>0</v>
      </c>
      <c r="AA291" s="675"/>
      <c r="AB291" s="674"/>
    </row>
    <row r="292" spans="1:29" s="301" customFormat="1" ht="25.5" hidden="1" customHeight="1">
      <c r="A292" s="652"/>
      <c r="B292" s="520" t="s">
        <v>1929</v>
      </c>
      <c r="C292" s="650">
        <f>ROUND(Data!K868,2)</f>
        <v>2467.38</v>
      </c>
      <c r="D292" s="446" t="s">
        <v>1418</v>
      </c>
      <c r="E292" s="651"/>
      <c r="F292" s="630">
        <f t="shared" si="80"/>
        <v>0</v>
      </c>
      <c r="G292" s="651"/>
      <c r="H292" s="517">
        <f t="shared" si="81"/>
        <v>0</v>
      </c>
      <c r="I292" s="651"/>
      <c r="J292" s="517">
        <f t="shared" si="82"/>
        <v>0</v>
      </c>
      <c r="K292" s="654"/>
      <c r="L292" s="654"/>
      <c r="M292" s="654"/>
      <c r="N292" s="654"/>
      <c r="O292" s="654"/>
      <c r="P292" s="654"/>
      <c r="Q292" s="654"/>
      <c r="R292" s="654"/>
      <c r="S292" s="654"/>
      <c r="T292" s="517">
        <f t="shared" si="76"/>
        <v>0</v>
      </c>
      <c r="U292" s="651"/>
      <c r="V292" s="517">
        <f t="shared" si="77"/>
        <v>0</v>
      </c>
      <c r="W292" s="632">
        <f t="shared" si="78"/>
        <v>0</v>
      </c>
      <c r="X292" s="517">
        <f t="shared" si="74"/>
        <v>0</v>
      </c>
      <c r="Y292" s="632">
        <f t="shared" si="79"/>
        <v>0</v>
      </c>
      <c r="Z292" s="517">
        <f t="shared" si="75"/>
        <v>0</v>
      </c>
      <c r="AA292" s="675"/>
      <c r="AB292" s="674"/>
    </row>
    <row r="293" spans="1:29" s="301" customFormat="1" ht="25.5" customHeight="1">
      <c r="A293" s="1646"/>
      <c r="B293" s="1174"/>
      <c r="C293" s="1647"/>
      <c r="D293" s="1648"/>
      <c r="E293" s="1649"/>
      <c r="F293" s="1617"/>
      <c r="G293" s="1649"/>
      <c r="H293" s="1618">
        <f t="shared" si="81"/>
        <v>0</v>
      </c>
      <c r="I293" s="1649"/>
      <c r="J293" s="1618">
        <f t="shared" si="82"/>
        <v>0</v>
      </c>
      <c r="K293" s="1650"/>
      <c r="L293" s="1618">
        <f t="shared" ref="L293:L297" si="83">K293*C293</f>
        <v>0</v>
      </c>
      <c r="M293" s="1650"/>
      <c r="N293" s="1618">
        <f>M293*C293</f>
        <v>0</v>
      </c>
      <c r="O293" s="1650"/>
      <c r="P293" s="1618">
        <f>O293*C293</f>
        <v>0</v>
      </c>
      <c r="Q293" s="1650"/>
      <c r="R293" s="1618">
        <f>Q293*C293</f>
        <v>0</v>
      </c>
      <c r="S293" s="1650"/>
      <c r="T293" s="1618">
        <f t="shared" si="76"/>
        <v>0</v>
      </c>
      <c r="U293" s="1649"/>
      <c r="V293" s="1618">
        <f t="shared" si="77"/>
        <v>0</v>
      </c>
      <c r="W293" s="1619" t="e">
        <f>U293+S293+O293+M293+#REF!+K293+I293+G293+Q293</f>
        <v>#REF!</v>
      </c>
      <c r="X293" s="1618"/>
      <c r="Y293" s="1619" t="e">
        <f>W293+E293</f>
        <v>#REF!</v>
      </c>
      <c r="Z293" s="1618" t="e">
        <f t="shared" si="75"/>
        <v>#REF!</v>
      </c>
      <c r="AA293" s="675"/>
      <c r="AB293" s="674"/>
    </row>
    <row r="294" spans="1:29" s="301" customFormat="1" ht="25.5" customHeight="1">
      <c r="A294" s="1646"/>
      <c r="B294" s="1174"/>
      <c r="C294" s="1647"/>
      <c r="D294" s="1648"/>
      <c r="E294" s="1649"/>
      <c r="F294" s="1617"/>
      <c r="G294" s="1649"/>
      <c r="H294" s="1618">
        <f t="shared" si="81"/>
        <v>0</v>
      </c>
      <c r="I294" s="1649"/>
      <c r="J294" s="1618">
        <f t="shared" si="82"/>
        <v>0</v>
      </c>
      <c r="K294" s="1650"/>
      <c r="L294" s="1618">
        <f t="shared" si="83"/>
        <v>0</v>
      </c>
      <c r="M294" s="1650"/>
      <c r="N294" s="1618">
        <f>M294*C294</f>
        <v>0</v>
      </c>
      <c r="O294" s="1650"/>
      <c r="P294" s="1618">
        <f>O294*C294</f>
        <v>0</v>
      </c>
      <c r="Q294" s="1650"/>
      <c r="R294" s="1618">
        <f>Q294*C294</f>
        <v>0</v>
      </c>
      <c r="S294" s="1650"/>
      <c r="T294" s="1618">
        <f t="shared" si="76"/>
        <v>0</v>
      </c>
      <c r="U294" s="1649"/>
      <c r="V294" s="1618">
        <f t="shared" si="77"/>
        <v>0</v>
      </c>
      <c r="W294" s="1619" t="e">
        <f>U294+S294+O294+M294+#REF!+K294+I294+G294+Q294</f>
        <v>#REF!</v>
      </c>
      <c r="X294" s="1618"/>
      <c r="Y294" s="1619" t="e">
        <f>W294+E294</f>
        <v>#REF!</v>
      </c>
      <c r="Z294" s="1618" t="e">
        <f t="shared" si="75"/>
        <v>#REF!</v>
      </c>
      <c r="AA294" s="675"/>
      <c r="AB294" s="674"/>
    </row>
    <row r="295" spans="1:29" ht="46.5" customHeight="1">
      <c r="A295" s="1608">
        <v>21.2</v>
      </c>
      <c r="B295" s="1169" t="s">
        <v>2083</v>
      </c>
      <c r="C295" s="1612"/>
      <c r="D295" s="1610"/>
      <c r="E295" s="1623"/>
      <c r="F295" s="1617">
        <f t="shared" si="80"/>
        <v>0</v>
      </c>
      <c r="G295" s="1618"/>
      <c r="H295" s="1618">
        <f t="shared" si="81"/>
        <v>0</v>
      </c>
      <c r="I295" s="1618"/>
      <c r="J295" s="1618">
        <f t="shared" si="82"/>
        <v>0</v>
      </c>
      <c r="K295" s="1618"/>
      <c r="L295" s="1618">
        <f t="shared" si="83"/>
        <v>0</v>
      </c>
      <c r="M295" s="1618"/>
      <c r="N295" s="1618">
        <f>M295*C295</f>
        <v>0</v>
      </c>
      <c r="O295" s="1618"/>
      <c r="P295" s="1618">
        <f>O295*C295</f>
        <v>0</v>
      </c>
      <c r="Q295" s="1618"/>
      <c r="R295" s="1618">
        <f>Q295*C295</f>
        <v>0</v>
      </c>
      <c r="S295" s="1618"/>
      <c r="T295" s="1618">
        <f t="shared" si="76"/>
        <v>0</v>
      </c>
      <c r="U295" s="1618"/>
      <c r="V295" s="1618">
        <f t="shared" si="77"/>
        <v>0</v>
      </c>
      <c r="W295" s="1619" t="e">
        <f>U295+S295+O295+M295+#REF!+K295+I295+G295+Q295</f>
        <v>#REF!</v>
      </c>
      <c r="X295" s="1618" t="e">
        <f t="shared" ref="X295:X326" si="84">W295*C295</f>
        <v>#REF!</v>
      </c>
      <c r="Y295" s="1619" t="e">
        <f>W295+E295</f>
        <v>#REF!</v>
      </c>
      <c r="Z295" s="1618" t="e">
        <f t="shared" si="75"/>
        <v>#REF!</v>
      </c>
      <c r="AA295" s="530"/>
      <c r="AB295" s="673"/>
      <c r="AC295" s="627"/>
    </row>
    <row r="296" spans="1:29" ht="46.5" customHeight="1">
      <c r="A296" s="1608"/>
      <c r="B296" s="1166" t="s">
        <v>1808</v>
      </c>
      <c r="C296" s="1612">
        <f>ROUND(Data!K920,2)</f>
        <v>123400</v>
      </c>
      <c r="D296" s="1610" t="s">
        <v>1215</v>
      </c>
      <c r="E296" s="1651">
        <f>station!I530</f>
        <v>0.6</v>
      </c>
      <c r="F296" s="1617">
        <f t="shared" si="80"/>
        <v>74040</v>
      </c>
      <c r="G296" s="1619"/>
      <c r="H296" s="1618">
        <f t="shared" si="81"/>
        <v>0</v>
      </c>
      <c r="I296" s="1619"/>
      <c r="J296" s="1618">
        <f t="shared" si="82"/>
        <v>0</v>
      </c>
      <c r="K296" s="1618"/>
      <c r="L296" s="1618">
        <f t="shared" si="83"/>
        <v>0</v>
      </c>
      <c r="M296" s="1618"/>
      <c r="N296" s="1618">
        <f>M296*C296</f>
        <v>0</v>
      </c>
      <c r="O296" s="1618"/>
      <c r="P296" s="1618">
        <f>O296*C296</f>
        <v>0</v>
      </c>
      <c r="Q296" s="1618"/>
      <c r="R296" s="1618">
        <f>Q296*C296</f>
        <v>0</v>
      </c>
      <c r="S296" s="1618"/>
      <c r="T296" s="1618">
        <f t="shared" si="76"/>
        <v>0</v>
      </c>
      <c r="U296" s="1618"/>
      <c r="V296" s="1618">
        <f t="shared" si="77"/>
        <v>0</v>
      </c>
      <c r="W296" s="1619" t="e">
        <f>U296+S296+O296+M296+#REF!+K296+I296+G296+Q296</f>
        <v>#REF!</v>
      </c>
      <c r="X296" s="1618" t="e">
        <f t="shared" si="84"/>
        <v>#REF!</v>
      </c>
      <c r="Y296" s="1619" t="e">
        <f>W296+E296</f>
        <v>#REF!</v>
      </c>
      <c r="Z296" s="1618" t="e">
        <f t="shared" si="75"/>
        <v>#REF!</v>
      </c>
      <c r="AA296" s="673"/>
      <c r="AB296" s="673"/>
    </row>
    <row r="297" spans="1:29">
      <c r="A297" s="1642"/>
      <c r="B297" s="1166" t="s">
        <v>1809</v>
      </c>
      <c r="C297" s="1612">
        <f>ROUND(Data!K927,2)</f>
        <v>111200</v>
      </c>
      <c r="D297" s="1610" t="s">
        <v>1215</v>
      </c>
      <c r="E297" s="1651">
        <f>station!I535</f>
        <v>0.5</v>
      </c>
      <c r="F297" s="1617">
        <f t="shared" si="80"/>
        <v>55600</v>
      </c>
      <c r="G297" s="1618"/>
      <c r="H297" s="1618">
        <f t="shared" si="81"/>
        <v>0</v>
      </c>
      <c r="I297" s="1619"/>
      <c r="J297" s="1618">
        <f t="shared" si="82"/>
        <v>0</v>
      </c>
      <c r="K297" s="1618"/>
      <c r="L297" s="1618">
        <f t="shared" si="83"/>
        <v>0</v>
      </c>
      <c r="M297" s="1618"/>
      <c r="N297" s="1618">
        <f>M297*C297</f>
        <v>0</v>
      </c>
      <c r="O297" s="1618"/>
      <c r="P297" s="1618">
        <f>O297*C297</f>
        <v>0</v>
      </c>
      <c r="Q297" s="1618"/>
      <c r="R297" s="1618">
        <f>Q297*C297</f>
        <v>0</v>
      </c>
      <c r="S297" s="1618"/>
      <c r="T297" s="1618">
        <f t="shared" si="76"/>
        <v>0</v>
      </c>
      <c r="U297" s="1618"/>
      <c r="V297" s="1618">
        <f t="shared" si="77"/>
        <v>0</v>
      </c>
      <c r="W297" s="1619" t="e">
        <f>U297+S297+O297+M297+#REF!+K297+I297+G297+Q297</f>
        <v>#REF!</v>
      </c>
      <c r="X297" s="1618" t="e">
        <f t="shared" si="84"/>
        <v>#REF!</v>
      </c>
      <c r="Y297" s="1619" t="e">
        <f>W297+E297</f>
        <v>#REF!</v>
      </c>
      <c r="Z297" s="1618" t="e">
        <f t="shared" si="75"/>
        <v>#REF!</v>
      </c>
      <c r="AA297" s="673"/>
      <c r="AB297" s="673"/>
    </row>
    <row r="298" spans="1:29" s="301" customFormat="1" ht="46.5" hidden="1">
      <c r="A298" s="536">
        <v>21.3</v>
      </c>
      <c r="B298" s="537" t="s">
        <v>1810</v>
      </c>
      <c r="C298" s="538">
        <f>ROUND(Data!K909,2)</f>
        <v>2034</v>
      </c>
      <c r="D298" s="443" t="s">
        <v>1867</v>
      </c>
      <c r="E298" s="526"/>
      <c r="F298" s="630">
        <f t="shared" si="80"/>
        <v>0</v>
      </c>
      <c r="G298" s="526"/>
      <c r="H298" s="517">
        <f t="shared" si="81"/>
        <v>0</v>
      </c>
      <c r="I298" s="526"/>
      <c r="J298" s="517">
        <f t="shared" si="82"/>
        <v>0</v>
      </c>
      <c r="K298" s="517"/>
      <c r="L298" s="517"/>
      <c r="M298" s="517"/>
      <c r="N298" s="517"/>
      <c r="O298" s="517"/>
      <c r="P298" s="517"/>
      <c r="Q298" s="517"/>
      <c r="R298" s="517"/>
      <c r="S298" s="517"/>
      <c r="T298" s="517">
        <f t="shared" si="76"/>
        <v>0</v>
      </c>
      <c r="U298" s="526"/>
      <c r="V298" s="517">
        <f t="shared" si="77"/>
        <v>0</v>
      </c>
      <c r="W298" s="632">
        <f t="shared" ref="W298:W311" si="85">I298+S298+U298</f>
        <v>0</v>
      </c>
      <c r="X298" s="517">
        <f t="shared" si="84"/>
        <v>0</v>
      </c>
      <c r="Y298" s="632">
        <f t="shared" ref="Y298:Y311" si="86">W298+E298+G298</f>
        <v>0</v>
      </c>
      <c r="Z298" s="517">
        <f t="shared" si="75"/>
        <v>0</v>
      </c>
      <c r="AA298" s="675"/>
      <c r="AB298" s="674"/>
    </row>
    <row r="299" spans="1:29" s="301" customFormat="1" hidden="1">
      <c r="A299" s="368">
        <v>22.1</v>
      </c>
      <c r="B299" s="320" t="s">
        <v>1386</v>
      </c>
      <c r="C299" s="307"/>
      <c r="D299" s="486"/>
      <c r="E299" s="526"/>
      <c r="F299" s="630">
        <f t="shared" si="80"/>
        <v>0</v>
      </c>
      <c r="G299" s="526"/>
      <c r="H299" s="517">
        <f t="shared" si="81"/>
        <v>0</v>
      </c>
      <c r="I299" s="526"/>
      <c r="J299" s="517">
        <f t="shared" si="82"/>
        <v>0</v>
      </c>
      <c r="K299" s="517"/>
      <c r="L299" s="517"/>
      <c r="M299" s="517"/>
      <c r="N299" s="517"/>
      <c r="O299" s="517"/>
      <c r="P299" s="517"/>
      <c r="Q299" s="517"/>
      <c r="R299" s="517"/>
      <c r="S299" s="517"/>
      <c r="T299" s="517">
        <f t="shared" si="76"/>
        <v>0</v>
      </c>
      <c r="U299" s="526"/>
      <c r="V299" s="517">
        <f t="shared" si="77"/>
        <v>0</v>
      </c>
      <c r="W299" s="632">
        <f t="shared" si="85"/>
        <v>0</v>
      </c>
      <c r="X299" s="517">
        <f t="shared" si="84"/>
        <v>0</v>
      </c>
      <c r="Y299" s="632">
        <f t="shared" si="86"/>
        <v>0</v>
      </c>
      <c r="Z299" s="517">
        <f t="shared" si="75"/>
        <v>0</v>
      </c>
      <c r="AA299" s="675"/>
      <c r="AB299" s="674"/>
    </row>
    <row r="300" spans="1:29" s="301" customFormat="1" hidden="1">
      <c r="A300" s="320"/>
      <c r="B300" s="320" t="s">
        <v>389</v>
      </c>
      <c r="C300" s="307">
        <f>ROUND(Data!K961,2)</f>
        <v>4790.3500000000004</v>
      </c>
      <c r="D300" s="486" t="s">
        <v>1867</v>
      </c>
      <c r="E300" s="526"/>
      <c r="F300" s="630">
        <f t="shared" si="80"/>
        <v>0</v>
      </c>
      <c r="G300" s="526"/>
      <c r="H300" s="517">
        <f t="shared" si="81"/>
        <v>0</v>
      </c>
      <c r="I300" s="526"/>
      <c r="J300" s="517">
        <f t="shared" si="82"/>
        <v>0</v>
      </c>
      <c r="K300" s="517"/>
      <c r="L300" s="517"/>
      <c r="M300" s="517"/>
      <c r="N300" s="517"/>
      <c r="O300" s="517"/>
      <c r="P300" s="517"/>
      <c r="Q300" s="517"/>
      <c r="R300" s="517"/>
      <c r="S300" s="517"/>
      <c r="T300" s="517">
        <f t="shared" si="76"/>
        <v>0</v>
      </c>
      <c r="U300" s="526"/>
      <c r="V300" s="517">
        <f t="shared" si="77"/>
        <v>0</v>
      </c>
      <c r="W300" s="632">
        <f t="shared" si="85"/>
        <v>0</v>
      </c>
      <c r="X300" s="517">
        <f t="shared" si="84"/>
        <v>0</v>
      </c>
      <c r="Y300" s="632">
        <f t="shared" si="86"/>
        <v>0</v>
      </c>
      <c r="Z300" s="517">
        <f t="shared" si="75"/>
        <v>0</v>
      </c>
      <c r="AA300" s="675"/>
      <c r="AB300" s="674"/>
    </row>
    <row r="301" spans="1:29" s="301" customFormat="1" hidden="1">
      <c r="A301" s="320"/>
      <c r="B301" s="320" t="s">
        <v>2081</v>
      </c>
      <c r="C301" s="307">
        <f>ROUND(Data!K997,2)</f>
        <v>4803.54</v>
      </c>
      <c r="D301" s="486" t="s">
        <v>1867</v>
      </c>
      <c r="E301" s="526"/>
      <c r="F301" s="630">
        <f t="shared" si="80"/>
        <v>0</v>
      </c>
      <c r="G301" s="526"/>
      <c r="H301" s="517">
        <f t="shared" si="81"/>
        <v>0</v>
      </c>
      <c r="I301" s="526"/>
      <c r="J301" s="517">
        <f t="shared" si="82"/>
        <v>0</v>
      </c>
      <c r="K301" s="517"/>
      <c r="L301" s="517"/>
      <c r="M301" s="517"/>
      <c r="N301" s="517"/>
      <c r="O301" s="517"/>
      <c r="P301" s="517"/>
      <c r="Q301" s="517"/>
      <c r="R301" s="517"/>
      <c r="S301" s="517"/>
      <c r="T301" s="517">
        <f t="shared" si="76"/>
        <v>0</v>
      </c>
      <c r="U301" s="526"/>
      <c r="V301" s="517">
        <f t="shared" si="77"/>
        <v>0</v>
      </c>
      <c r="W301" s="632">
        <f t="shared" si="85"/>
        <v>0</v>
      </c>
      <c r="X301" s="517">
        <f t="shared" si="84"/>
        <v>0</v>
      </c>
      <c r="Y301" s="632">
        <f t="shared" si="86"/>
        <v>0</v>
      </c>
      <c r="Z301" s="517">
        <f t="shared" si="75"/>
        <v>0</v>
      </c>
      <c r="AA301" s="675"/>
      <c r="AB301" s="674"/>
    </row>
    <row r="302" spans="1:29" s="301" customFormat="1" hidden="1">
      <c r="A302" s="370"/>
      <c r="B302" s="320" t="s">
        <v>2082</v>
      </c>
      <c r="C302" s="307">
        <f>ROUND(Data!K1027,2)</f>
        <v>4817.3500000000004</v>
      </c>
      <c r="D302" s="486" t="s">
        <v>1867</v>
      </c>
      <c r="E302" s="526"/>
      <c r="F302" s="630">
        <f t="shared" si="80"/>
        <v>0</v>
      </c>
      <c r="G302" s="526"/>
      <c r="H302" s="517">
        <f t="shared" si="81"/>
        <v>0</v>
      </c>
      <c r="I302" s="526"/>
      <c r="J302" s="517">
        <f t="shared" si="82"/>
        <v>0</v>
      </c>
      <c r="K302" s="517"/>
      <c r="L302" s="517"/>
      <c r="M302" s="517"/>
      <c r="N302" s="517"/>
      <c r="O302" s="517"/>
      <c r="P302" s="517"/>
      <c r="Q302" s="517"/>
      <c r="R302" s="517"/>
      <c r="S302" s="517"/>
      <c r="T302" s="517">
        <f t="shared" si="76"/>
        <v>0</v>
      </c>
      <c r="U302" s="526"/>
      <c r="V302" s="517">
        <f t="shared" si="77"/>
        <v>0</v>
      </c>
      <c r="W302" s="632">
        <f t="shared" si="85"/>
        <v>0</v>
      </c>
      <c r="X302" s="517">
        <f t="shared" si="84"/>
        <v>0</v>
      </c>
      <c r="Y302" s="632">
        <f t="shared" si="86"/>
        <v>0</v>
      </c>
      <c r="Z302" s="517">
        <f t="shared" si="75"/>
        <v>0</v>
      </c>
      <c r="AA302" s="675"/>
      <c r="AB302" s="674"/>
    </row>
    <row r="303" spans="1:29" s="301" customFormat="1" hidden="1">
      <c r="A303" s="370"/>
      <c r="B303" s="320" t="s">
        <v>1702</v>
      </c>
      <c r="C303" s="307">
        <f>Data!R2831</f>
        <v>5777.7</v>
      </c>
      <c r="D303" s="486" t="s">
        <v>1867</v>
      </c>
      <c r="E303" s="526"/>
      <c r="F303" s="630">
        <f t="shared" si="80"/>
        <v>0</v>
      </c>
      <c r="G303" s="526"/>
      <c r="H303" s="517">
        <f t="shared" si="81"/>
        <v>0</v>
      </c>
      <c r="I303" s="526"/>
      <c r="J303" s="517">
        <f t="shared" si="82"/>
        <v>0</v>
      </c>
      <c r="K303" s="517"/>
      <c r="L303" s="517"/>
      <c r="M303" s="517"/>
      <c r="N303" s="517"/>
      <c r="O303" s="517"/>
      <c r="P303" s="517"/>
      <c r="Q303" s="517"/>
      <c r="R303" s="517"/>
      <c r="S303" s="517"/>
      <c r="T303" s="517">
        <f t="shared" si="76"/>
        <v>0</v>
      </c>
      <c r="U303" s="526"/>
      <c r="V303" s="517">
        <f t="shared" si="77"/>
        <v>0</v>
      </c>
      <c r="W303" s="632">
        <f t="shared" si="85"/>
        <v>0</v>
      </c>
      <c r="X303" s="517">
        <f t="shared" si="84"/>
        <v>0</v>
      </c>
      <c r="Y303" s="632">
        <f t="shared" si="86"/>
        <v>0</v>
      </c>
      <c r="Z303" s="517">
        <f t="shared" si="75"/>
        <v>0</v>
      </c>
      <c r="AA303" s="675"/>
      <c r="AB303" s="674"/>
    </row>
    <row r="304" spans="1:29" s="301" customFormat="1" hidden="1">
      <c r="A304" s="368">
        <v>22.2</v>
      </c>
      <c r="B304" s="369" t="s">
        <v>480</v>
      </c>
      <c r="C304" s="307"/>
      <c r="D304" s="486"/>
      <c r="E304" s="526"/>
      <c r="F304" s="630">
        <f t="shared" si="80"/>
        <v>0</v>
      </c>
      <c r="G304" s="526"/>
      <c r="H304" s="517">
        <f t="shared" si="81"/>
        <v>0</v>
      </c>
      <c r="I304" s="526"/>
      <c r="J304" s="517">
        <f t="shared" si="82"/>
        <v>0</v>
      </c>
      <c r="K304" s="517"/>
      <c r="L304" s="517"/>
      <c r="M304" s="517"/>
      <c r="N304" s="517"/>
      <c r="O304" s="517"/>
      <c r="P304" s="517"/>
      <c r="Q304" s="517"/>
      <c r="R304" s="517"/>
      <c r="S304" s="517"/>
      <c r="T304" s="517">
        <f t="shared" si="76"/>
        <v>0</v>
      </c>
      <c r="U304" s="526"/>
      <c r="V304" s="517">
        <f t="shared" si="77"/>
        <v>0</v>
      </c>
      <c r="W304" s="632">
        <f t="shared" si="85"/>
        <v>0</v>
      </c>
      <c r="X304" s="517">
        <f t="shared" si="84"/>
        <v>0</v>
      </c>
      <c r="Y304" s="632">
        <f t="shared" si="86"/>
        <v>0</v>
      </c>
      <c r="Z304" s="517">
        <f t="shared" si="75"/>
        <v>0</v>
      </c>
      <c r="AA304" s="675"/>
      <c r="AB304" s="674"/>
    </row>
    <row r="305" spans="1:28" s="301" customFormat="1" hidden="1">
      <c r="A305" s="320"/>
      <c r="B305" s="320" t="s">
        <v>1387</v>
      </c>
      <c r="C305" s="307">
        <f>ROUND(Data!K1078,2)</f>
        <v>3364.08</v>
      </c>
      <c r="D305" s="486" t="s">
        <v>1867</v>
      </c>
      <c r="E305" s="526"/>
      <c r="F305" s="630">
        <f t="shared" si="80"/>
        <v>0</v>
      </c>
      <c r="G305" s="526"/>
      <c r="H305" s="517">
        <f t="shared" si="81"/>
        <v>0</v>
      </c>
      <c r="I305" s="526"/>
      <c r="J305" s="517">
        <f t="shared" si="82"/>
        <v>0</v>
      </c>
      <c r="K305" s="517"/>
      <c r="L305" s="517"/>
      <c r="M305" s="517"/>
      <c r="N305" s="517"/>
      <c r="O305" s="517"/>
      <c r="P305" s="517"/>
      <c r="Q305" s="517"/>
      <c r="R305" s="517"/>
      <c r="S305" s="517"/>
      <c r="T305" s="517">
        <f t="shared" si="76"/>
        <v>0</v>
      </c>
      <c r="U305" s="526"/>
      <c r="V305" s="517">
        <f t="shared" si="77"/>
        <v>0</v>
      </c>
      <c r="W305" s="632">
        <f t="shared" si="85"/>
        <v>0</v>
      </c>
      <c r="X305" s="517">
        <f t="shared" si="84"/>
        <v>0</v>
      </c>
      <c r="Y305" s="632">
        <f t="shared" si="86"/>
        <v>0</v>
      </c>
      <c r="Z305" s="517">
        <f t="shared" si="75"/>
        <v>0</v>
      </c>
      <c r="AA305" s="675"/>
      <c r="AB305" s="674"/>
    </row>
    <row r="306" spans="1:28" s="301" customFormat="1" hidden="1">
      <c r="A306" s="320"/>
      <c r="B306" s="320" t="s">
        <v>270</v>
      </c>
      <c r="C306" s="307"/>
      <c r="D306" s="486" t="s">
        <v>1867</v>
      </c>
      <c r="E306" s="526"/>
      <c r="F306" s="630">
        <f t="shared" si="80"/>
        <v>0</v>
      </c>
      <c r="G306" s="526"/>
      <c r="H306" s="517">
        <f t="shared" si="81"/>
        <v>0</v>
      </c>
      <c r="I306" s="526"/>
      <c r="J306" s="517">
        <f t="shared" si="82"/>
        <v>0</v>
      </c>
      <c r="K306" s="517"/>
      <c r="L306" s="517"/>
      <c r="M306" s="517"/>
      <c r="N306" s="517"/>
      <c r="O306" s="517"/>
      <c r="P306" s="517"/>
      <c r="Q306" s="517"/>
      <c r="R306" s="517"/>
      <c r="S306" s="517"/>
      <c r="T306" s="517">
        <f t="shared" si="76"/>
        <v>0</v>
      </c>
      <c r="U306" s="526"/>
      <c r="V306" s="517">
        <f t="shared" si="77"/>
        <v>0</v>
      </c>
      <c r="W306" s="632">
        <f t="shared" si="85"/>
        <v>0</v>
      </c>
      <c r="X306" s="517">
        <f t="shared" si="84"/>
        <v>0</v>
      </c>
      <c r="Y306" s="632">
        <f t="shared" si="86"/>
        <v>0</v>
      </c>
      <c r="Z306" s="517">
        <f t="shared" si="75"/>
        <v>0</v>
      </c>
      <c r="AA306" s="675"/>
      <c r="AB306" s="674"/>
    </row>
    <row r="307" spans="1:28" s="301" customFormat="1" hidden="1">
      <c r="A307" s="320"/>
      <c r="B307" s="320" t="s">
        <v>271</v>
      </c>
      <c r="C307" s="307">
        <f>ROUND(Data!K1094,2)</f>
        <v>3552.27</v>
      </c>
      <c r="D307" s="486" t="s">
        <v>1867</v>
      </c>
      <c r="E307" s="526"/>
      <c r="F307" s="630">
        <f t="shared" si="80"/>
        <v>0</v>
      </c>
      <c r="G307" s="526"/>
      <c r="H307" s="517">
        <f t="shared" si="81"/>
        <v>0</v>
      </c>
      <c r="I307" s="526"/>
      <c r="J307" s="517">
        <f t="shared" si="82"/>
        <v>0</v>
      </c>
      <c r="K307" s="517"/>
      <c r="L307" s="517"/>
      <c r="M307" s="517"/>
      <c r="N307" s="517"/>
      <c r="O307" s="517"/>
      <c r="P307" s="517"/>
      <c r="Q307" s="517"/>
      <c r="R307" s="517"/>
      <c r="S307" s="517"/>
      <c r="T307" s="517">
        <f t="shared" si="76"/>
        <v>0</v>
      </c>
      <c r="U307" s="526"/>
      <c r="V307" s="517">
        <f t="shared" si="77"/>
        <v>0</v>
      </c>
      <c r="W307" s="632">
        <f t="shared" si="85"/>
        <v>0</v>
      </c>
      <c r="X307" s="517">
        <f t="shared" si="84"/>
        <v>0</v>
      </c>
      <c r="Y307" s="632">
        <f t="shared" si="86"/>
        <v>0</v>
      </c>
      <c r="Z307" s="517">
        <f t="shared" si="75"/>
        <v>0</v>
      </c>
      <c r="AA307" s="675"/>
      <c r="AB307" s="674"/>
    </row>
    <row r="308" spans="1:28" s="301" customFormat="1" hidden="1">
      <c r="A308" s="370"/>
      <c r="B308" s="320" t="s">
        <v>272</v>
      </c>
      <c r="C308" s="307">
        <f>ROUND(Data!K1109,2)</f>
        <v>2642.35</v>
      </c>
      <c r="D308" s="486" t="s">
        <v>1867</v>
      </c>
      <c r="E308" s="526"/>
      <c r="F308" s="630">
        <f t="shared" si="80"/>
        <v>0</v>
      </c>
      <c r="G308" s="526"/>
      <c r="H308" s="517">
        <f t="shared" si="81"/>
        <v>0</v>
      </c>
      <c r="I308" s="526"/>
      <c r="J308" s="517">
        <f t="shared" si="82"/>
        <v>0</v>
      </c>
      <c r="K308" s="517"/>
      <c r="L308" s="517"/>
      <c r="M308" s="517"/>
      <c r="N308" s="517"/>
      <c r="O308" s="517"/>
      <c r="P308" s="517"/>
      <c r="Q308" s="517"/>
      <c r="R308" s="517"/>
      <c r="S308" s="517"/>
      <c r="T308" s="517">
        <f t="shared" si="76"/>
        <v>0</v>
      </c>
      <c r="U308" s="526"/>
      <c r="V308" s="517">
        <f t="shared" si="77"/>
        <v>0</v>
      </c>
      <c r="W308" s="632">
        <f t="shared" si="85"/>
        <v>0</v>
      </c>
      <c r="X308" s="517">
        <f t="shared" si="84"/>
        <v>0</v>
      </c>
      <c r="Y308" s="632">
        <f t="shared" si="86"/>
        <v>0</v>
      </c>
      <c r="Z308" s="517">
        <f t="shared" si="75"/>
        <v>0</v>
      </c>
      <c r="AA308" s="675"/>
      <c r="AB308" s="674"/>
    </row>
    <row r="309" spans="1:28" s="301" customFormat="1" hidden="1">
      <c r="A309" s="368">
        <v>22.3</v>
      </c>
      <c r="B309" s="320" t="s">
        <v>1999</v>
      </c>
      <c r="C309" s="307"/>
      <c r="D309" s="486" t="s">
        <v>1867</v>
      </c>
      <c r="E309" s="526"/>
      <c r="F309" s="630">
        <f t="shared" si="80"/>
        <v>0</v>
      </c>
      <c r="G309" s="526"/>
      <c r="H309" s="517">
        <f t="shared" si="81"/>
        <v>0</v>
      </c>
      <c r="I309" s="526"/>
      <c r="J309" s="517">
        <f t="shared" si="82"/>
        <v>0</v>
      </c>
      <c r="K309" s="517"/>
      <c r="L309" s="517"/>
      <c r="M309" s="517"/>
      <c r="N309" s="517"/>
      <c r="O309" s="517"/>
      <c r="P309" s="517"/>
      <c r="Q309" s="517"/>
      <c r="R309" s="517"/>
      <c r="S309" s="517"/>
      <c r="T309" s="517">
        <f t="shared" si="76"/>
        <v>0</v>
      </c>
      <c r="U309" s="526"/>
      <c r="V309" s="517">
        <f t="shared" si="77"/>
        <v>0</v>
      </c>
      <c r="W309" s="632">
        <f t="shared" si="85"/>
        <v>0</v>
      </c>
      <c r="X309" s="517">
        <f t="shared" si="84"/>
        <v>0</v>
      </c>
      <c r="Y309" s="632">
        <f t="shared" si="86"/>
        <v>0</v>
      </c>
      <c r="Z309" s="517">
        <f t="shared" si="75"/>
        <v>0</v>
      </c>
      <c r="AA309" s="675"/>
      <c r="AB309" s="674"/>
    </row>
    <row r="310" spans="1:28" s="301" customFormat="1" ht="46.5" hidden="1">
      <c r="A310" s="368">
        <v>23.1</v>
      </c>
      <c r="B310" s="320" t="s">
        <v>1</v>
      </c>
      <c r="C310" s="307"/>
      <c r="D310" s="486" t="s">
        <v>1867</v>
      </c>
      <c r="E310" s="526"/>
      <c r="F310" s="630">
        <f t="shared" si="80"/>
        <v>0</v>
      </c>
      <c r="G310" s="526"/>
      <c r="H310" s="517">
        <f t="shared" si="81"/>
        <v>0</v>
      </c>
      <c r="I310" s="526"/>
      <c r="J310" s="517">
        <f t="shared" si="82"/>
        <v>0</v>
      </c>
      <c r="K310" s="517"/>
      <c r="L310" s="517"/>
      <c r="M310" s="517"/>
      <c r="N310" s="517"/>
      <c r="O310" s="517"/>
      <c r="P310" s="517"/>
      <c r="Q310" s="517"/>
      <c r="R310" s="517"/>
      <c r="S310" s="517"/>
      <c r="T310" s="517">
        <f t="shared" si="76"/>
        <v>0</v>
      </c>
      <c r="U310" s="526"/>
      <c r="V310" s="517">
        <f t="shared" si="77"/>
        <v>0</v>
      </c>
      <c r="W310" s="632">
        <f t="shared" si="85"/>
        <v>0</v>
      </c>
      <c r="X310" s="517">
        <f t="shared" si="84"/>
        <v>0</v>
      </c>
      <c r="Y310" s="632">
        <f t="shared" si="86"/>
        <v>0</v>
      </c>
      <c r="Z310" s="517">
        <f t="shared" si="75"/>
        <v>0</v>
      </c>
      <c r="AA310" s="675"/>
      <c r="AB310" s="674"/>
    </row>
    <row r="311" spans="1:28" s="301" customFormat="1" hidden="1">
      <c r="A311" s="370"/>
      <c r="B311" s="320" t="s">
        <v>577</v>
      </c>
      <c r="C311" s="307">
        <f>ROUND(Data!K1063,2)</f>
        <v>3424.55</v>
      </c>
      <c r="D311" s="486" t="s">
        <v>1867</v>
      </c>
      <c r="E311" s="526"/>
      <c r="F311" s="630">
        <f t="shared" si="80"/>
        <v>0</v>
      </c>
      <c r="G311" s="526"/>
      <c r="H311" s="517">
        <f t="shared" si="81"/>
        <v>0</v>
      </c>
      <c r="I311" s="526"/>
      <c r="J311" s="517">
        <f t="shared" si="82"/>
        <v>0</v>
      </c>
      <c r="K311" s="517"/>
      <c r="L311" s="517"/>
      <c r="M311" s="517"/>
      <c r="N311" s="517"/>
      <c r="O311" s="517"/>
      <c r="P311" s="517"/>
      <c r="Q311" s="517"/>
      <c r="R311" s="517"/>
      <c r="S311" s="517"/>
      <c r="T311" s="517">
        <f t="shared" si="76"/>
        <v>0</v>
      </c>
      <c r="U311" s="526"/>
      <c r="V311" s="517">
        <f t="shared" si="77"/>
        <v>0</v>
      </c>
      <c r="W311" s="632">
        <f t="shared" si="85"/>
        <v>0</v>
      </c>
      <c r="X311" s="517">
        <f t="shared" si="84"/>
        <v>0</v>
      </c>
      <c r="Y311" s="632">
        <f t="shared" si="86"/>
        <v>0</v>
      </c>
      <c r="Z311" s="517">
        <f t="shared" si="75"/>
        <v>0</v>
      </c>
      <c r="AA311" s="675"/>
      <c r="AB311" s="674"/>
    </row>
    <row r="312" spans="1:28" s="301" customFormat="1">
      <c r="A312" s="1608">
        <v>23.2</v>
      </c>
      <c r="B312" s="1166" t="s">
        <v>1735</v>
      </c>
      <c r="C312" s="1630">
        <f>ROUND(Data!K1182,2)</f>
        <v>708.1</v>
      </c>
      <c r="D312" s="1631" t="s">
        <v>1867</v>
      </c>
      <c r="E312" s="1616"/>
      <c r="F312" s="1626">
        <f t="shared" si="80"/>
        <v>0</v>
      </c>
      <c r="G312" s="1616"/>
      <c r="H312" s="1618">
        <f t="shared" si="81"/>
        <v>0</v>
      </c>
      <c r="I312" s="1616"/>
      <c r="J312" s="1618">
        <f t="shared" si="82"/>
        <v>0</v>
      </c>
      <c r="K312" s="1618"/>
      <c r="L312" s="1618"/>
      <c r="M312" s="1618"/>
      <c r="N312" s="1618"/>
      <c r="O312" s="1618"/>
      <c r="P312" s="1618"/>
      <c r="Q312" s="1618"/>
      <c r="R312" s="1618">
        <f>Q312*C312</f>
        <v>0</v>
      </c>
      <c r="S312" s="1618"/>
      <c r="T312" s="1618">
        <f t="shared" si="76"/>
        <v>0</v>
      </c>
      <c r="U312" s="1616"/>
      <c r="V312" s="1618">
        <f t="shared" si="77"/>
        <v>0</v>
      </c>
      <c r="W312" s="1619" t="e">
        <f>U312+S312+O312+M312+#REF!+K312+I312+G312+Q312</f>
        <v>#REF!</v>
      </c>
      <c r="X312" s="1618" t="e">
        <f t="shared" si="84"/>
        <v>#REF!</v>
      </c>
      <c r="Y312" s="1619" t="e">
        <f>W312+E312</f>
        <v>#REF!</v>
      </c>
      <c r="Z312" s="1618" t="e">
        <f t="shared" si="75"/>
        <v>#REF!</v>
      </c>
      <c r="AA312" s="675"/>
      <c r="AB312" s="674"/>
    </row>
    <row r="313" spans="1:28" s="309" customFormat="1">
      <c r="A313" s="1608">
        <v>23.3</v>
      </c>
      <c r="B313" s="1166" t="s">
        <v>576</v>
      </c>
      <c r="C313" s="1612">
        <f>Data!K1167</f>
        <v>52</v>
      </c>
      <c r="D313" s="1610" t="s">
        <v>1418</v>
      </c>
      <c r="E313" s="1616">
        <f>station!I538</f>
        <v>13</v>
      </c>
      <c r="F313" s="1617">
        <f t="shared" si="80"/>
        <v>676</v>
      </c>
      <c r="G313" s="1618"/>
      <c r="H313" s="1618">
        <f>G313*C313</f>
        <v>0</v>
      </c>
      <c r="I313" s="1618"/>
      <c r="J313" s="1618">
        <f>I313*C313</f>
        <v>0</v>
      </c>
      <c r="K313" s="1618"/>
      <c r="L313" s="1618">
        <f>K313*C313</f>
        <v>0</v>
      </c>
      <c r="M313" s="1618"/>
      <c r="N313" s="1618">
        <f>M313*C313</f>
        <v>0</v>
      </c>
      <c r="O313" s="1618"/>
      <c r="P313" s="1618">
        <f>O313*C313</f>
        <v>0</v>
      </c>
      <c r="Q313" s="1618"/>
      <c r="R313" s="1618">
        <f>Q313*C313</f>
        <v>0</v>
      </c>
      <c r="S313" s="1618"/>
      <c r="T313" s="1618">
        <f t="shared" si="76"/>
        <v>0</v>
      </c>
      <c r="U313" s="1618"/>
      <c r="V313" s="1618">
        <f t="shared" si="77"/>
        <v>0</v>
      </c>
      <c r="W313" s="1619" t="e">
        <f>U313+S313+O313+M313+#REF!+K313+I313+G313+Q313</f>
        <v>#REF!</v>
      </c>
      <c r="X313" s="1618" t="e">
        <f t="shared" si="84"/>
        <v>#REF!</v>
      </c>
      <c r="Y313" s="1619" t="e">
        <f>W313+E313</f>
        <v>#REF!</v>
      </c>
      <c r="Z313" s="1618" t="e">
        <f t="shared" si="75"/>
        <v>#REF!</v>
      </c>
      <c r="AA313" s="673"/>
      <c r="AB313" s="673"/>
    </row>
    <row r="314" spans="1:28" s="301" customFormat="1" ht="46.5" hidden="1">
      <c r="A314" s="536">
        <v>23.4</v>
      </c>
      <c r="B314" s="537" t="s">
        <v>1725</v>
      </c>
      <c r="C314" s="538"/>
      <c r="D314" s="443"/>
      <c r="E314" s="526"/>
      <c r="F314" s="630">
        <f t="shared" si="80"/>
        <v>0</v>
      </c>
      <c r="G314" s="526"/>
      <c r="H314" s="517">
        <f t="shared" si="81"/>
        <v>0</v>
      </c>
      <c r="I314" s="526"/>
      <c r="J314" s="517">
        <f t="shared" si="82"/>
        <v>0</v>
      </c>
      <c r="K314" s="517"/>
      <c r="L314" s="517"/>
      <c r="M314" s="517"/>
      <c r="N314" s="517"/>
      <c r="O314" s="517"/>
      <c r="P314" s="517"/>
      <c r="Q314" s="517"/>
      <c r="R314" s="517"/>
      <c r="S314" s="517"/>
      <c r="T314" s="517">
        <f t="shared" si="76"/>
        <v>0</v>
      </c>
      <c r="U314" s="526"/>
      <c r="V314" s="517">
        <f t="shared" si="77"/>
        <v>0</v>
      </c>
      <c r="W314" s="632">
        <f t="shared" ref="W314:W326" si="87">I314+S314+U314</f>
        <v>0</v>
      </c>
      <c r="X314" s="517">
        <f t="shared" si="84"/>
        <v>0</v>
      </c>
      <c r="Y314" s="632">
        <f t="shared" ref="Y314:Y326" si="88">W314+E314+G314</f>
        <v>0</v>
      </c>
      <c r="Z314" s="517">
        <f t="shared" si="75"/>
        <v>0</v>
      </c>
      <c r="AA314" s="675"/>
      <c r="AB314" s="674"/>
    </row>
    <row r="315" spans="1:28" s="301" customFormat="1" hidden="1">
      <c r="A315" s="320"/>
      <c r="B315" s="320" t="s">
        <v>419</v>
      </c>
      <c r="C315" s="307">
        <f>Data!X1396</f>
        <v>14736.03</v>
      </c>
      <c r="D315" s="486" t="s">
        <v>1418</v>
      </c>
      <c r="E315" s="526"/>
      <c r="F315" s="630">
        <f t="shared" si="80"/>
        <v>0</v>
      </c>
      <c r="G315" s="526"/>
      <c r="H315" s="517">
        <f t="shared" si="81"/>
        <v>0</v>
      </c>
      <c r="I315" s="526"/>
      <c r="J315" s="517">
        <f t="shared" si="82"/>
        <v>0</v>
      </c>
      <c r="K315" s="517"/>
      <c r="L315" s="517"/>
      <c r="M315" s="517"/>
      <c r="N315" s="517"/>
      <c r="O315" s="517"/>
      <c r="P315" s="517"/>
      <c r="Q315" s="517"/>
      <c r="R315" s="517"/>
      <c r="S315" s="517"/>
      <c r="T315" s="517">
        <f t="shared" si="76"/>
        <v>0</v>
      </c>
      <c r="U315" s="526"/>
      <c r="V315" s="517">
        <f t="shared" si="77"/>
        <v>0</v>
      </c>
      <c r="W315" s="632">
        <f t="shared" si="87"/>
        <v>0</v>
      </c>
      <c r="X315" s="517">
        <f t="shared" si="84"/>
        <v>0</v>
      </c>
      <c r="Y315" s="632">
        <f t="shared" si="88"/>
        <v>0</v>
      </c>
      <c r="Z315" s="517">
        <f t="shared" si="75"/>
        <v>0</v>
      </c>
      <c r="AA315" s="675"/>
      <c r="AB315" s="674"/>
    </row>
    <row r="316" spans="1:28" s="301" customFormat="1" hidden="1">
      <c r="A316" s="320"/>
      <c r="B316" s="320" t="s">
        <v>420</v>
      </c>
      <c r="C316" s="307">
        <f>Data!R1401</f>
        <v>11107.42</v>
      </c>
      <c r="D316" s="486" t="s">
        <v>1418</v>
      </c>
      <c r="E316" s="526"/>
      <c r="F316" s="630">
        <f t="shared" si="80"/>
        <v>0</v>
      </c>
      <c r="G316" s="526"/>
      <c r="H316" s="517">
        <f t="shared" si="81"/>
        <v>0</v>
      </c>
      <c r="I316" s="526"/>
      <c r="J316" s="517">
        <f t="shared" si="82"/>
        <v>0</v>
      </c>
      <c r="K316" s="517"/>
      <c r="L316" s="517"/>
      <c r="M316" s="517"/>
      <c r="N316" s="517"/>
      <c r="O316" s="517"/>
      <c r="P316" s="517"/>
      <c r="Q316" s="517"/>
      <c r="R316" s="517"/>
      <c r="S316" s="517"/>
      <c r="T316" s="517">
        <f t="shared" si="76"/>
        <v>0</v>
      </c>
      <c r="U316" s="526"/>
      <c r="V316" s="517">
        <f t="shared" si="77"/>
        <v>0</v>
      </c>
      <c r="W316" s="632">
        <f t="shared" si="87"/>
        <v>0</v>
      </c>
      <c r="X316" s="517">
        <f t="shared" si="84"/>
        <v>0</v>
      </c>
      <c r="Y316" s="632">
        <f t="shared" si="88"/>
        <v>0</v>
      </c>
      <c r="Z316" s="517">
        <f t="shared" si="75"/>
        <v>0</v>
      </c>
      <c r="AA316" s="675"/>
      <c r="AB316" s="674"/>
    </row>
    <row r="317" spans="1:28" s="301" customFormat="1" hidden="1">
      <c r="A317" s="320"/>
      <c r="B317" s="320" t="s">
        <v>180</v>
      </c>
      <c r="C317" s="307">
        <f>Data!X1362</f>
        <v>9473.89</v>
      </c>
      <c r="D317" s="486" t="s">
        <v>1418</v>
      </c>
      <c r="E317" s="526"/>
      <c r="F317" s="630">
        <f t="shared" si="80"/>
        <v>0</v>
      </c>
      <c r="G317" s="526"/>
      <c r="H317" s="517">
        <f t="shared" si="81"/>
        <v>0</v>
      </c>
      <c r="I317" s="526"/>
      <c r="J317" s="517">
        <f t="shared" si="82"/>
        <v>0</v>
      </c>
      <c r="K317" s="517"/>
      <c r="L317" s="517"/>
      <c r="M317" s="517"/>
      <c r="N317" s="517"/>
      <c r="O317" s="517"/>
      <c r="P317" s="517"/>
      <c r="Q317" s="517"/>
      <c r="R317" s="517"/>
      <c r="S317" s="517"/>
      <c r="T317" s="517">
        <f t="shared" si="76"/>
        <v>0</v>
      </c>
      <c r="U317" s="526"/>
      <c r="V317" s="517">
        <f t="shared" si="77"/>
        <v>0</v>
      </c>
      <c r="W317" s="632">
        <f t="shared" si="87"/>
        <v>0</v>
      </c>
      <c r="X317" s="517">
        <f t="shared" si="84"/>
        <v>0</v>
      </c>
      <c r="Y317" s="632">
        <f t="shared" si="88"/>
        <v>0</v>
      </c>
      <c r="Z317" s="517">
        <f t="shared" si="75"/>
        <v>0</v>
      </c>
      <c r="AA317" s="675"/>
      <c r="AB317" s="674"/>
    </row>
    <row r="318" spans="1:28" s="301" customFormat="1" hidden="1">
      <c r="A318" s="320"/>
      <c r="B318" s="320" t="s">
        <v>363</v>
      </c>
      <c r="C318" s="307">
        <f>Data!R1418</f>
        <v>8840.69</v>
      </c>
      <c r="D318" s="486" t="s">
        <v>1418</v>
      </c>
      <c r="E318" s="526"/>
      <c r="F318" s="630">
        <f t="shared" si="80"/>
        <v>0</v>
      </c>
      <c r="G318" s="526"/>
      <c r="H318" s="517">
        <f t="shared" si="81"/>
        <v>0</v>
      </c>
      <c r="I318" s="526"/>
      <c r="J318" s="517">
        <f t="shared" si="82"/>
        <v>0</v>
      </c>
      <c r="K318" s="517"/>
      <c r="L318" s="517"/>
      <c r="M318" s="517"/>
      <c r="N318" s="517"/>
      <c r="O318" s="517"/>
      <c r="P318" s="517"/>
      <c r="Q318" s="517"/>
      <c r="R318" s="517"/>
      <c r="S318" s="517"/>
      <c r="T318" s="517">
        <f t="shared" si="76"/>
        <v>0</v>
      </c>
      <c r="U318" s="526"/>
      <c r="V318" s="517">
        <f t="shared" si="77"/>
        <v>0</v>
      </c>
      <c r="W318" s="632">
        <f t="shared" si="87"/>
        <v>0</v>
      </c>
      <c r="X318" s="517">
        <f t="shared" si="84"/>
        <v>0</v>
      </c>
      <c r="Y318" s="632">
        <f t="shared" si="88"/>
        <v>0</v>
      </c>
      <c r="Z318" s="517">
        <f t="shared" si="75"/>
        <v>0</v>
      </c>
      <c r="AA318" s="675"/>
      <c r="AB318" s="674"/>
    </row>
    <row r="319" spans="1:28" s="301" customFormat="1" hidden="1">
      <c r="A319" s="320"/>
      <c r="B319" s="320" t="s">
        <v>2076</v>
      </c>
      <c r="C319" s="307">
        <f>Data!X1460</f>
        <v>7331.91</v>
      </c>
      <c r="D319" s="486" t="s">
        <v>1418</v>
      </c>
      <c r="E319" s="526"/>
      <c r="F319" s="630">
        <f t="shared" si="80"/>
        <v>0</v>
      </c>
      <c r="G319" s="526"/>
      <c r="H319" s="517">
        <f t="shared" si="81"/>
        <v>0</v>
      </c>
      <c r="I319" s="526"/>
      <c r="J319" s="517">
        <f t="shared" si="82"/>
        <v>0</v>
      </c>
      <c r="K319" s="517"/>
      <c r="L319" s="517"/>
      <c r="M319" s="517"/>
      <c r="N319" s="517"/>
      <c r="O319" s="517"/>
      <c r="P319" s="517"/>
      <c r="Q319" s="517"/>
      <c r="R319" s="517"/>
      <c r="S319" s="517"/>
      <c r="T319" s="517">
        <f t="shared" si="76"/>
        <v>0</v>
      </c>
      <c r="U319" s="526"/>
      <c r="V319" s="517">
        <f t="shared" si="77"/>
        <v>0</v>
      </c>
      <c r="W319" s="632">
        <f t="shared" si="87"/>
        <v>0</v>
      </c>
      <c r="X319" s="517">
        <f t="shared" si="84"/>
        <v>0</v>
      </c>
      <c r="Y319" s="632">
        <f t="shared" si="88"/>
        <v>0</v>
      </c>
      <c r="Z319" s="517">
        <f t="shared" ref="Z319:Z382" si="89">Y319*C319</f>
        <v>0</v>
      </c>
      <c r="AA319" s="675"/>
      <c r="AB319" s="674"/>
    </row>
    <row r="320" spans="1:28" s="301" customFormat="1" hidden="1">
      <c r="A320" s="320"/>
      <c r="B320" s="320" t="s">
        <v>2077</v>
      </c>
      <c r="C320" s="307">
        <f>Data!AD1377</f>
        <v>8158.11</v>
      </c>
      <c r="D320" s="486" t="s">
        <v>1418</v>
      </c>
      <c r="E320" s="526"/>
      <c r="F320" s="630">
        <f t="shared" si="80"/>
        <v>0</v>
      </c>
      <c r="G320" s="526"/>
      <c r="H320" s="517">
        <f t="shared" si="81"/>
        <v>0</v>
      </c>
      <c r="I320" s="526"/>
      <c r="J320" s="517">
        <f t="shared" si="82"/>
        <v>0</v>
      </c>
      <c r="K320" s="517"/>
      <c r="L320" s="517"/>
      <c r="M320" s="517"/>
      <c r="N320" s="517"/>
      <c r="O320" s="517"/>
      <c r="P320" s="517"/>
      <c r="Q320" s="517"/>
      <c r="R320" s="517"/>
      <c r="S320" s="517"/>
      <c r="T320" s="517">
        <f t="shared" si="76"/>
        <v>0</v>
      </c>
      <c r="U320" s="526"/>
      <c r="V320" s="517">
        <f t="shared" si="77"/>
        <v>0</v>
      </c>
      <c r="W320" s="632">
        <f t="shared" si="87"/>
        <v>0</v>
      </c>
      <c r="X320" s="517">
        <f t="shared" si="84"/>
        <v>0</v>
      </c>
      <c r="Y320" s="632">
        <f t="shared" si="88"/>
        <v>0</v>
      </c>
      <c r="Z320" s="517">
        <f t="shared" si="89"/>
        <v>0</v>
      </c>
      <c r="AA320" s="675"/>
      <c r="AB320" s="674"/>
    </row>
    <row r="321" spans="1:28" s="301" customFormat="1" hidden="1">
      <c r="A321" s="320"/>
      <c r="B321" s="320" t="s">
        <v>1347</v>
      </c>
      <c r="C321" s="307">
        <f>Data!X1379</f>
        <v>7471.4</v>
      </c>
      <c r="D321" s="486" t="s">
        <v>1418</v>
      </c>
      <c r="E321" s="526"/>
      <c r="F321" s="630">
        <f t="shared" si="80"/>
        <v>0</v>
      </c>
      <c r="G321" s="526"/>
      <c r="H321" s="517">
        <f t="shared" si="81"/>
        <v>0</v>
      </c>
      <c r="I321" s="526"/>
      <c r="J321" s="517">
        <f t="shared" si="82"/>
        <v>0</v>
      </c>
      <c r="K321" s="517"/>
      <c r="L321" s="517"/>
      <c r="M321" s="517"/>
      <c r="N321" s="517"/>
      <c r="O321" s="517"/>
      <c r="P321" s="517"/>
      <c r="Q321" s="517"/>
      <c r="R321" s="517"/>
      <c r="S321" s="517"/>
      <c r="T321" s="517">
        <f t="shared" si="76"/>
        <v>0</v>
      </c>
      <c r="U321" s="526"/>
      <c r="V321" s="517">
        <f t="shared" si="77"/>
        <v>0</v>
      </c>
      <c r="W321" s="632">
        <f t="shared" si="87"/>
        <v>0</v>
      </c>
      <c r="X321" s="517">
        <f t="shared" si="84"/>
        <v>0</v>
      </c>
      <c r="Y321" s="632">
        <f t="shared" si="88"/>
        <v>0</v>
      </c>
      <c r="Z321" s="517">
        <f t="shared" si="89"/>
        <v>0</v>
      </c>
      <c r="AA321" s="675"/>
      <c r="AB321" s="674"/>
    </row>
    <row r="322" spans="1:28" s="301" customFormat="1" hidden="1">
      <c r="A322" s="320"/>
      <c r="B322" s="320" t="s">
        <v>1348</v>
      </c>
      <c r="C322" s="307">
        <f>Data!AD1360</f>
        <v>6373.77</v>
      </c>
      <c r="D322" s="486" t="s">
        <v>1418</v>
      </c>
      <c r="E322" s="526"/>
      <c r="F322" s="630">
        <f t="shared" si="80"/>
        <v>0</v>
      </c>
      <c r="G322" s="526"/>
      <c r="H322" s="517">
        <f t="shared" si="81"/>
        <v>0</v>
      </c>
      <c r="I322" s="526"/>
      <c r="J322" s="517">
        <f t="shared" si="82"/>
        <v>0</v>
      </c>
      <c r="K322" s="517"/>
      <c r="L322" s="517"/>
      <c r="M322" s="517"/>
      <c r="N322" s="517"/>
      <c r="O322" s="517"/>
      <c r="P322" s="517"/>
      <c r="Q322" s="517"/>
      <c r="R322" s="517"/>
      <c r="S322" s="517"/>
      <c r="T322" s="517">
        <f t="shared" si="76"/>
        <v>0</v>
      </c>
      <c r="U322" s="526"/>
      <c r="V322" s="517">
        <f t="shared" si="77"/>
        <v>0</v>
      </c>
      <c r="W322" s="632">
        <f t="shared" si="87"/>
        <v>0</v>
      </c>
      <c r="X322" s="517">
        <f t="shared" si="84"/>
        <v>0</v>
      </c>
      <c r="Y322" s="632">
        <f t="shared" si="88"/>
        <v>0</v>
      </c>
      <c r="Z322" s="517">
        <f t="shared" si="89"/>
        <v>0</v>
      </c>
      <c r="AA322" s="675"/>
      <c r="AB322" s="674"/>
    </row>
    <row r="323" spans="1:28" s="301" customFormat="1" hidden="1">
      <c r="A323" s="320"/>
      <c r="B323" s="320" t="s">
        <v>167</v>
      </c>
      <c r="C323" s="307">
        <f>Data!AD1394</f>
        <v>4066.04</v>
      </c>
      <c r="D323" s="486" t="s">
        <v>1418</v>
      </c>
      <c r="E323" s="526"/>
      <c r="F323" s="630">
        <f t="shared" si="80"/>
        <v>0</v>
      </c>
      <c r="G323" s="526"/>
      <c r="H323" s="517">
        <f t="shared" si="81"/>
        <v>0</v>
      </c>
      <c r="I323" s="526"/>
      <c r="J323" s="517">
        <f t="shared" si="82"/>
        <v>0</v>
      </c>
      <c r="K323" s="517"/>
      <c r="L323" s="517"/>
      <c r="M323" s="517"/>
      <c r="N323" s="517"/>
      <c r="O323" s="517"/>
      <c r="P323" s="517"/>
      <c r="Q323" s="517"/>
      <c r="R323" s="517"/>
      <c r="S323" s="517"/>
      <c r="T323" s="517">
        <f t="shared" si="76"/>
        <v>0</v>
      </c>
      <c r="U323" s="526"/>
      <c r="V323" s="517">
        <f t="shared" si="77"/>
        <v>0</v>
      </c>
      <c r="W323" s="632">
        <f t="shared" si="87"/>
        <v>0</v>
      </c>
      <c r="X323" s="517">
        <f t="shared" si="84"/>
        <v>0</v>
      </c>
      <c r="Y323" s="632">
        <f t="shared" si="88"/>
        <v>0</v>
      </c>
      <c r="Z323" s="517">
        <f t="shared" si="89"/>
        <v>0</v>
      </c>
      <c r="AA323" s="675"/>
      <c r="AB323" s="674"/>
    </row>
    <row r="324" spans="1:28" s="301" customFormat="1" hidden="1">
      <c r="A324" s="320"/>
      <c r="B324" s="320" t="s">
        <v>168</v>
      </c>
      <c r="C324" s="307">
        <f>Data!R1435</f>
        <v>3838.83</v>
      </c>
      <c r="D324" s="486" t="s">
        <v>1418</v>
      </c>
      <c r="E324" s="526"/>
      <c r="F324" s="630">
        <f t="shared" si="80"/>
        <v>0</v>
      </c>
      <c r="G324" s="526"/>
      <c r="H324" s="517">
        <f t="shared" si="81"/>
        <v>0</v>
      </c>
      <c r="I324" s="526"/>
      <c r="J324" s="517">
        <f t="shared" si="82"/>
        <v>0</v>
      </c>
      <c r="K324" s="517"/>
      <c r="L324" s="517"/>
      <c r="M324" s="517"/>
      <c r="N324" s="517"/>
      <c r="O324" s="517"/>
      <c r="P324" s="517"/>
      <c r="Q324" s="517"/>
      <c r="R324" s="517"/>
      <c r="S324" s="517"/>
      <c r="T324" s="517">
        <f t="shared" si="76"/>
        <v>0</v>
      </c>
      <c r="U324" s="526"/>
      <c r="V324" s="517">
        <f t="shared" si="77"/>
        <v>0</v>
      </c>
      <c r="W324" s="632">
        <f t="shared" si="87"/>
        <v>0</v>
      </c>
      <c r="X324" s="517">
        <f t="shared" si="84"/>
        <v>0</v>
      </c>
      <c r="Y324" s="632">
        <f t="shared" si="88"/>
        <v>0</v>
      </c>
      <c r="Z324" s="517">
        <f t="shared" si="89"/>
        <v>0</v>
      </c>
      <c r="AA324" s="675"/>
      <c r="AB324" s="674"/>
    </row>
    <row r="325" spans="1:28" s="301" customFormat="1" hidden="1">
      <c r="A325" s="320"/>
      <c r="B325" s="320" t="s">
        <v>2054</v>
      </c>
      <c r="C325" s="307">
        <f>Data!R1476</f>
        <v>4631</v>
      </c>
      <c r="D325" s="486" t="s">
        <v>1418</v>
      </c>
      <c r="E325" s="526"/>
      <c r="F325" s="630">
        <f t="shared" si="80"/>
        <v>0</v>
      </c>
      <c r="G325" s="526"/>
      <c r="H325" s="517">
        <f t="shared" si="81"/>
        <v>0</v>
      </c>
      <c r="I325" s="526"/>
      <c r="J325" s="517">
        <f t="shared" si="82"/>
        <v>0</v>
      </c>
      <c r="K325" s="517"/>
      <c r="L325" s="517"/>
      <c r="M325" s="517"/>
      <c r="N325" s="517"/>
      <c r="O325" s="517"/>
      <c r="P325" s="517"/>
      <c r="Q325" s="517"/>
      <c r="R325" s="517"/>
      <c r="S325" s="517"/>
      <c r="T325" s="517">
        <f t="shared" si="76"/>
        <v>0</v>
      </c>
      <c r="U325" s="526"/>
      <c r="V325" s="517">
        <f t="shared" si="77"/>
        <v>0</v>
      </c>
      <c r="W325" s="632">
        <f t="shared" si="87"/>
        <v>0</v>
      </c>
      <c r="X325" s="517">
        <f t="shared" si="84"/>
        <v>0</v>
      </c>
      <c r="Y325" s="632">
        <f t="shared" si="88"/>
        <v>0</v>
      </c>
      <c r="Z325" s="517">
        <f t="shared" si="89"/>
        <v>0</v>
      </c>
      <c r="AA325" s="675"/>
      <c r="AB325" s="674"/>
    </row>
    <row r="326" spans="1:28" s="301" customFormat="1" hidden="1">
      <c r="A326" s="370"/>
      <c r="B326" s="320" t="s">
        <v>1385</v>
      </c>
      <c r="C326" s="307">
        <f>Data!X1437</f>
        <v>5154.1099999999997</v>
      </c>
      <c r="D326" s="486" t="s">
        <v>1418</v>
      </c>
      <c r="E326" s="526"/>
      <c r="F326" s="630">
        <f t="shared" si="80"/>
        <v>0</v>
      </c>
      <c r="G326" s="526"/>
      <c r="H326" s="517">
        <f t="shared" si="81"/>
        <v>0</v>
      </c>
      <c r="I326" s="526"/>
      <c r="J326" s="517">
        <f t="shared" si="82"/>
        <v>0</v>
      </c>
      <c r="K326" s="517"/>
      <c r="L326" s="517"/>
      <c r="M326" s="517"/>
      <c r="N326" s="517"/>
      <c r="O326" s="517"/>
      <c r="P326" s="517"/>
      <c r="Q326" s="517"/>
      <c r="R326" s="517"/>
      <c r="S326" s="517"/>
      <c r="T326" s="517">
        <f t="shared" si="76"/>
        <v>0</v>
      </c>
      <c r="U326" s="526"/>
      <c r="V326" s="517">
        <f t="shared" si="77"/>
        <v>0</v>
      </c>
      <c r="W326" s="632">
        <f t="shared" si="87"/>
        <v>0</v>
      </c>
      <c r="X326" s="517">
        <f t="shared" si="84"/>
        <v>0</v>
      </c>
      <c r="Y326" s="632">
        <f t="shared" si="88"/>
        <v>0</v>
      </c>
      <c r="Z326" s="517">
        <f t="shared" si="89"/>
        <v>0</v>
      </c>
      <c r="AA326" s="675"/>
      <c r="AB326" s="674"/>
    </row>
    <row r="327" spans="1:28" s="475" customFormat="1" ht="45">
      <c r="A327" s="1635">
        <v>24</v>
      </c>
      <c r="B327" s="1172" t="s">
        <v>181</v>
      </c>
      <c r="C327" s="1636">
        <f>Data!K1188</f>
        <v>62.1</v>
      </c>
      <c r="D327" s="1611" t="s">
        <v>268</v>
      </c>
      <c r="E327" s="1616"/>
      <c r="F327" s="1626">
        <f t="shared" si="80"/>
        <v>0</v>
      </c>
      <c r="G327" s="1616"/>
      <c r="H327" s="1618">
        <f t="shared" si="81"/>
        <v>0</v>
      </c>
      <c r="I327" s="1616"/>
      <c r="J327" s="1618">
        <f t="shared" si="82"/>
        <v>0</v>
      </c>
      <c r="K327" s="1618"/>
      <c r="L327" s="1618"/>
      <c r="M327" s="1618"/>
      <c r="N327" s="1618"/>
      <c r="O327" s="1618"/>
      <c r="P327" s="1618"/>
      <c r="Q327" s="1618"/>
      <c r="R327" s="1618">
        <f>Q327*C327</f>
        <v>0</v>
      </c>
      <c r="S327" s="1618"/>
      <c r="T327" s="1618">
        <f t="shared" ref="T327:T390" si="90">S327*C327</f>
        <v>0</v>
      </c>
      <c r="U327" s="1616"/>
      <c r="V327" s="1618">
        <f t="shared" ref="V327:V390" si="91">U327*C327</f>
        <v>0</v>
      </c>
      <c r="W327" s="1619" t="e">
        <f>U327+S327+O327+M327+#REF!+K327+I327+G327+Q327</f>
        <v>#REF!</v>
      </c>
      <c r="X327" s="1618" t="e">
        <f t="shared" ref="X327:X358" si="92">W327*C327</f>
        <v>#REF!</v>
      </c>
      <c r="Y327" s="1619" t="e">
        <f>W327+E327</f>
        <v>#REF!</v>
      </c>
      <c r="Z327" s="1618" t="e">
        <f t="shared" si="89"/>
        <v>#REF!</v>
      </c>
      <c r="AA327" s="674"/>
      <c r="AB327" s="674"/>
    </row>
    <row r="328" spans="1:28">
      <c r="A328" s="1608">
        <v>25</v>
      </c>
      <c r="B328" s="1166" t="s">
        <v>182</v>
      </c>
      <c r="C328" s="1612">
        <f>ROUND(Data!K1191,2)</f>
        <v>9.6</v>
      </c>
      <c r="D328" s="1610" t="s">
        <v>1418</v>
      </c>
      <c r="E328" s="1616">
        <f>station!I541</f>
        <v>84</v>
      </c>
      <c r="F328" s="1617">
        <f t="shared" si="80"/>
        <v>806.4</v>
      </c>
      <c r="G328" s="1618"/>
      <c r="H328" s="1618">
        <f t="shared" si="81"/>
        <v>0</v>
      </c>
      <c r="I328" s="1618"/>
      <c r="J328" s="1618">
        <f t="shared" si="82"/>
        <v>0</v>
      </c>
      <c r="K328" s="1618"/>
      <c r="L328" s="1618">
        <f t="shared" ref="L328:L329" si="93">K328*C328</f>
        <v>0</v>
      </c>
      <c r="M328" s="1618"/>
      <c r="N328" s="1618">
        <f>M328*C328</f>
        <v>0</v>
      </c>
      <c r="O328" s="1618"/>
      <c r="P328" s="1618">
        <f>O328*C328</f>
        <v>0</v>
      </c>
      <c r="Q328" s="1618"/>
      <c r="R328" s="1618">
        <f>Q328*C328</f>
        <v>0</v>
      </c>
      <c r="S328" s="1618"/>
      <c r="T328" s="1618">
        <f t="shared" si="90"/>
        <v>0</v>
      </c>
      <c r="U328" s="1618"/>
      <c r="V328" s="1618">
        <f t="shared" si="91"/>
        <v>0</v>
      </c>
      <c r="W328" s="1619" t="e">
        <f>U328+S328+O328+M328+#REF!+K328+I328+G328+Q328</f>
        <v>#REF!</v>
      </c>
      <c r="X328" s="1618" t="e">
        <f t="shared" si="92"/>
        <v>#REF!</v>
      </c>
      <c r="Y328" s="1619" t="e">
        <f>W328+E328</f>
        <v>#REF!</v>
      </c>
      <c r="Z328" s="1618" t="e">
        <f t="shared" si="89"/>
        <v>#REF!</v>
      </c>
      <c r="AA328" s="673"/>
      <c r="AB328" s="673"/>
    </row>
    <row r="329" spans="1:28">
      <c r="A329" s="1608">
        <v>26</v>
      </c>
      <c r="B329" s="1166" t="s">
        <v>183</v>
      </c>
      <c r="C329" s="1612">
        <f>ROUND(Data!K201,2)</f>
        <v>4435.7299999999996</v>
      </c>
      <c r="D329" s="1610" t="s">
        <v>1215</v>
      </c>
      <c r="E329" s="1616">
        <f>station!I559</f>
        <v>61</v>
      </c>
      <c r="F329" s="1617">
        <f t="shared" si="80"/>
        <v>270579.53000000003</v>
      </c>
      <c r="G329" s="1618"/>
      <c r="H329" s="1618">
        <f t="shared" si="81"/>
        <v>0</v>
      </c>
      <c r="I329" s="1618"/>
      <c r="J329" s="1618">
        <f t="shared" si="82"/>
        <v>0</v>
      </c>
      <c r="K329" s="1618"/>
      <c r="L329" s="1618">
        <f t="shared" si="93"/>
        <v>0</v>
      </c>
      <c r="M329" s="1618"/>
      <c r="N329" s="1618">
        <f>M329*C329</f>
        <v>0</v>
      </c>
      <c r="O329" s="1618"/>
      <c r="P329" s="1618">
        <f>O329*C329</f>
        <v>0</v>
      </c>
      <c r="Q329" s="1618"/>
      <c r="R329" s="1618">
        <f>Q329*C329</f>
        <v>0</v>
      </c>
      <c r="S329" s="1618"/>
      <c r="T329" s="1618">
        <f t="shared" si="90"/>
        <v>0</v>
      </c>
      <c r="U329" s="1618"/>
      <c r="V329" s="1618">
        <f t="shared" si="91"/>
        <v>0</v>
      </c>
      <c r="W329" s="1619" t="e">
        <f>U329+S329+O329+M329+#REF!+K329+I329+G329+Q329</f>
        <v>#REF!</v>
      </c>
      <c r="X329" s="1618" t="e">
        <f t="shared" si="92"/>
        <v>#REF!</v>
      </c>
      <c r="Y329" s="1619" t="e">
        <f>W329+E329</f>
        <v>#REF!</v>
      </c>
      <c r="Z329" s="1618" t="e">
        <f t="shared" si="89"/>
        <v>#REF!</v>
      </c>
      <c r="AA329" s="673"/>
      <c r="AB329" s="673"/>
    </row>
    <row r="330" spans="1:28" s="301" customFormat="1" ht="46.5" hidden="1">
      <c r="A330" s="536">
        <v>27.1</v>
      </c>
      <c r="B330" s="537" t="s">
        <v>306</v>
      </c>
      <c r="C330" s="538">
        <f>ROUND(Data!Y365,2)</f>
        <v>6644.58</v>
      </c>
      <c r="D330" s="443" t="s">
        <v>1215</v>
      </c>
      <c r="E330" s="526"/>
      <c r="F330" s="630">
        <f t="shared" si="80"/>
        <v>0</v>
      </c>
      <c r="G330" s="526"/>
      <c r="H330" s="517">
        <f t="shared" si="81"/>
        <v>0</v>
      </c>
      <c r="I330" s="526"/>
      <c r="J330" s="517">
        <f t="shared" si="82"/>
        <v>0</v>
      </c>
      <c r="K330" s="517"/>
      <c r="L330" s="517"/>
      <c r="M330" s="517"/>
      <c r="N330" s="517"/>
      <c r="O330" s="517"/>
      <c r="P330" s="517"/>
      <c r="Q330" s="517"/>
      <c r="R330" s="517"/>
      <c r="S330" s="517"/>
      <c r="T330" s="517">
        <f t="shared" si="90"/>
        <v>0</v>
      </c>
      <c r="U330" s="526"/>
      <c r="V330" s="517">
        <f t="shared" si="91"/>
        <v>0</v>
      </c>
      <c r="W330" s="632">
        <f t="shared" ref="W330:W335" si="94">I330+S330+U330</f>
        <v>0</v>
      </c>
      <c r="X330" s="517">
        <f t="shared" si="92"/>
        <v>0</v>
      </c>
      <c r="Y330" s="632">
        <f t="shared" ref="Y330:Y335" si="95">W330+E330+G330</f>
        <v>0</v>
      </c>
      <c r="Z330" s="517">
        <f t="shared" si="89"/>
        <v>0</v>
      </c>
      <c r="AA330" s="675"/>
      <c r="AB330" s="674"/>
    </row>
    <row r="331" spans="1:28" s="301" customFormat="1" ht="46.5" hidden="1">
      <c r="A331" s="368">
        <v>27.2</v>
      </c>
      <c r="B331" s="320" t="s">
        <v>2834</v>
      </c>
      <c r="C331" s="307">
        <f>ROUND(Data!AG378,2)</f>
        <v>6446.19</v>
      </c>
      <c r="D331" s="486" t="s">
        <v>1215</v>
      </c>
      <c r="E331" s="526"/>
      <c r="F331" s="630">
        <f t="shared" si="80"/>
        <v>0</v>
      </c>
      <c r="G331" s="526"/>
      <c r="H331" s="517">
        <f t="shared" si="81"/>
        <v>0</v>
      </c>
      <c r="I331" s="526"/>
      <c r="J331" s="517">
        <f t="shared" si="82"/>
        <v>0</v>
      </c>
      <c r="K331" s="517"/>
      <c r="L331" s="517"/>
      <c r="M331" s="517"/>
      <c r="N331" s="517"/>
      <c r="O331" s="517"/>
      <c r="P331" s="517"/>
      <c r="Q331" s="517"/>
      <c r="R331" s="517"/>
      <c r="S331" s="517"/>
      <c r="T331" s="517">
        <f t="shared" si="90"/>
        <v>0</v>
      </c>
      <c r="U331" s="526"/>
      <c r="V331" s="517">
        <f t="shared" si="91"/>
        <v>0</v>
      </c>
      <c r="W331" s="632">
        <f t="shared" si="94"/>
        <v>0</v>
      </c>
      <c r="X331" s="517">
        <f t="shared" si="92"/>
        <v>0</v>
      </c>
      <c r="Y331" s="632">
        <f t="shared" si="95"/>
        <v>0</v>
      </c>
      <c r="Z331" s="517">
        <f t="shared" si="89"/>
        <v>0</v>
      </c>
      <c r="AA331" s="675"/>
      <c r="AB331" s="674"/>
    </row>
    <row r="332" spans="1:28" s="301" customFormat="1" ht="46.5" hidden="1">
      <c r="A332" s="368">
        <v>27.3</v>
      </c>
      <c r="B332" s="320" t="s">
        <v>929</v>
      </c>
      <c r="C332" s="307"/>
      <c r="D332" s="486" t="s">
        <v>1215</v>
      </c>
      <c r="E332" s="526"/>
      <c r="F332" s="630">
        <f t="shared" si="80"/>
        <v>0</v>
      </c>
      <c r="G332" s="526"/>
      <c r="H332" s="517">
        <f t="shared" si="81"/>
        <v>0</v>
      </c>
      <c r="I332" s="526"/>
      <c r="J332" s="517">
        <f t="shared" si="82"/>
        <v>0</v>
      </c>
      <c r="K332" s="517"/>
      <c r="L332" s="517"/>
      <c r="M332" s="517"/>
      <c r="N332" s="517"/>
      <c r="O332" s="517"/>
      <c r="P332" s="517"/>
      <c r="Q332" s="517"/>
      <c r="R332" s="517"/>
      <c r="S332" s="517"/>
      <c r="T332" s="517">
        <f t="shared" si="90"/>
        <v>0</v>
      </c>
      <c r="U332" s="526"/>
      <c r="V332" s="517">
        <f t="shared" si="91"/>
        <v>0</v>
      </c>
      <c r="W332" s="632">
        <f t="shared" si="94"/>
        <v>0</v>
      </c>
      <c r="X332" s="517">
        <f t="shared" si="92"/>
        <v>0</v>
      </c>
      <c r="Y332" s="632">
        <f t="shared" si="95"/>
        <v>0</v>
      </c>
      <c r="Z332" s="517">
        <f t="shared" si="89"/>
        <v>0</v>
      </c>
      <c r="AA332" s="675"/>
      <c r="AB332" s="674"/>
    </row>
    <row r="333" spans="1:28" s="301" customFormat="1" ht="46.5" hidden="1">
      <c r="A333" s="368">
        <v>27.4</v>
      </c>
      <c r="B333" s="320" t="s">
        <v>171</v>
      </c>
      <c r="C333" s="307"/>
      <c r="D333" s="486" t="s">
        <v>1215</v>
      </c>
      <c r="E333" s="526"/>
      <c r="F333" s="630">
        <f t="shared" ref="F333:F397" si="96">E333*C333</f>
        <v>0</v>
      </c>
      <c r="G333" s="526"/>
      <c r="H333" s="517">
        <f t="shared" ref="H333:H397" si="97">G333*C333</f>
        <v>0</v>
      </c>
      <c r="I333" s="526"/>
      <c r="J333" s="517">
        <f t="shared" ref="J333:J397" si="98">I333*C333</f>
        <v>0</v>
      </c>
      <c r="K333" s="517"/>
      <c r="L333" s="517"/>
      <c r="M333" s="517"/>
      <c r="N333" s="517"/>
      <c r="O333" s="517"/>
      <c r="P333" s="517"/>
      <c r="Q333" s="517"/>
      <c r="R333" s="517"/>
      <c r="S333" s="517"/>
      <c r="T333" s="517">
        <f t="shared" si="90"/>
        <v>0</v>
      </c>
      <c r="U333" s="526"/>
      <c r="V333" s="517">
        <f t="shared" si="91"/>
        <v>0</v>
      </c>
      <c r="W333" s="632">
        <f t="shared" si="94"/>
        <v>0</v>
      </c>
      <c r="X333" s="517">
        <f t="shared" si="92"/>
        <v>0</v>
      </c>
      <c r="Y333" s="632">
        <f t="shared" si="95"/>
        <v>0</v>
      </c>
      <c r="Z333" s="517">
        <f t="shared" si="89"/>
        <v>0</v>
      </c>
      <c r="AA333" s="675"/>
      <c r="AB333" s="674"/>
    </row>
    <row r="334" spans="1:28" s="301" customFormat="1" ht="46.5" hidden="1">
      <c r="A334" s="368">
        <v>27.5</v>
      </c>
      <c r="B334" s="320" t="s">
        <v>1527</v>
      </c>
      <c r="C334" s="307">
        <f>ROUND(Data!K369,2)</f>
        <v>6540.36</v>
      </c>
      <c r="D334" s="486" t="s">
        <v>1215</v>
      </c>
      <c r="E334" s="526"/>
      <c r="F334" s="630">
        <f t="shared" si="96"/>
        <v>0</v>
      </c>
      <c r="G334" s="526"/>
      <c r="H334" s="517">
        <f t="shared" si="97"/>
        <v>0</v>
      </c>
      <c r="I334" s="526"/>
      <c r="J334" s="517">
        <f t="shared" si="98"/>
        <v>0</v>
      </c>
      <c r="K334" s="517"/>
      <c r="L334" s="517"/>
      <c r="M334" s="517"/>
      <c r="N334" s="517"/>
      <c r="O334" s="517"/>
      <c r="P334" s="517"/>
      <c r="Q334" s="517"/>
      <c r="R334" s="517"/>
      <c r="S334" s="517"/>
      <c r="T334" s="517">
        <f t="shared" si="90"/>
        <v>0</v>
      </c>
      <c r="U334" s="526"/>
      <c r="V334" s="517">
        <f t="shared" si="91"/>
        <v>0</v>
      </c>
      <c r="W334" s="632">
        <f t="shared" si="94"/>
        <v>0</v>
      </c>
      <c r="X334" s="517">
        <f t="shared" si="92"/>
        <v>0</v>
      </c>
      <c r="Y334" s="632">
        <f t="shared" si="95"/>
        <v>0</v>
      </c>
      <c r="Z334" s="517">
        <f t="shared" si="89"/>
        <v>0</v>
      </c>
      <c r="AA334" s="675"/>
      <c r="AB334" s="674"/>
    </row>
    <row r="335" spans="1:28" s="301" customFormat="1" ht="46.5" hidden="1">
      <c r="A335" s="368">
        <v>27.6</v>
      </c>
      <c r="B335" s="320" t="s">
        <v>1726</v>
      </c>
      <c r="C335" s="307"/>
      <c r="D335" s="486" t="s">
        <v>1215</v>
      </c>
      <c r="E335" s="526"/>
      <c r="F335" s="630">
        <f t="shared" si="96"/>
        <v>0</v>
      </c>
      <c r="G335" s="526"/>
      <c r="H335" s="517">
        <f t="shared" si="97"/>
        <v>0</v>
      </c>
      <c r="I335" s="526"/>
      <c r="J335" s="517">
        <f t="shared" si="98"/>
        <v>0</v>
      </c>
      <c r="K335" s="517"/>
      <c r="L335" s="517"/>
      <c r="M335" s="517"/>
      <c r="N335" s="517"/>
      <c r="O335" s="517"/>
      <c r="P335" s="517"/>
      <c r="Q335" s="517"/>
      <c r="R335" s="517"/>
      <c r="S335" s="517"/>
      <c r="T335" s="517">
        <f t="shared" si="90"/>
        <v>0</v>
      </c>
      <c r="U335" s="526"/>
      <c r="V335" s="517">
        <f t="shared" si="91"/>
        <v>0</v>
      </c>
      <c r="W335" s="632">
        <f t="shared" si="94"/>
        <v>0</v>
      </c>
      <c r="X335" s="517">
        <f t="shared" si="92"/>
        <v>0</v>
      </c>
      <c r="Y335" s="632">
        <f t="shared" si="95"/>
        <v>0</v>
      </c>
      <c r="Z335" s="517">
        <f t="shared" si="89"/>
        <v>0</v>
      </c>
      <c r="AA335" s="675"/>
      <c r="AB335" s="674"/>
    </row>
    <row r="336" spans="1:28">
      <c r="A336" s="1608">
        <v>28</v>
      </c>
      <c r="B336" s="1169" t="s">
        <v>5308</v>
      </c>
      <c r="C336" s="1612">
        <v>448.19</v>
      </c>
      <c r="D336" s="1610" t="s">
        <v>1867</v>
      </c>
      <c r="E336" s="1616">
        <f>station!I570</f>
        <v>375.7</v>
      </c>
      <c r="F336" s="1617">
        <f t="shared" si="96"/>
        <v>168384.98</v>
      </c>
      <c r="G336" s="1618">
        <f>S.T!H82</f>
        <v>9.8000000000000007</v>
      </c>
      <c r="H336" s="1618">
        <f>G336*C336</f>
        <v>4392.26</v>
      </c>
      <c r="I336" s="1618"/>
      <c r="J336" s="1618">
        <f>I336*C336</f>
        <v>0</v>
      </c>
      <c r="K336" s="1618"/>
      <c r="L336" s="1618">
        <f>K336*C336</f>
        <v>0</v>
      </c>
      <c r="M336" s="1618"/>
      <c r="N336" s="1618">
        <f>M336*C336</f>
        <v>0</v>
      </c>
      <c r="O336" s="1618">
        <f>Sullage!H43</f>
        <v>30.3</v>
      </c>
      <c r="P336" s="1618">
        <f>O336*C336</f>
        <v>13580.16</v>
      </c>
      <c r="Q336" s="1618"/>
      <c r="R336" s="1618">
        <f>Q336*C336</f>
        <v>0</v>
      </c>
      <c r="S336" s="1618"/>
      <c r="T336" s="1618">
        <f t="shared" si="90"/>
        <v>0</v>
      </c>
      <c r="U336" s="1618"/>
      <c r="V336" s="1618">
        <f t="shared" si="91"/>
        <v>0</v>
      </c>
      <c r="W336" s="1619" t="e">
        <f>U336+S336+O336+M336+#REF!+K336+I336+G336+Q336</f>
        <v>#REF!</v>
      </c>
      <c r="X336" s="1618" t="e">
        <f t="shared" si="92"/>
        <v>#REF!</v>
      </c>
      <c r="Y336" s="1619" t="e">
        <f>W336+E336</f>
        <v>#REF!</v>
      </c>
      <c r="Z336" s="1618" t="e">
        <f t="shared" si="89"/>
        <v>#REF!</v>
      </c>
      <c r="AA336" s="673"/>
      <c r="AB336" s="673"/>
    </row>
    <row r="337" spans="1:36" s="301" customFormat="1" ht="25.5" hidden="1" customHeight="1">
      <c r="A337" s="536">
        <v>29.1</v>
      </c>
      <c r="B337" s="539" t="s">
        <v>4063</v>
      </c>
      <c r="C337" s="538"/>
      <c r="D337" s="443" t="s">
        <v>1867</v>
      </c>
      <c r="E337" s="526"/>
      <c r="F337" s="630">
        <f t="shared" si="96"/>
        <v>0</v>
      </c>
      <c r="G337" s="526"/>
      <c r="H337" s="517">
        <f t="shared" si="97"/>
        <v>0</v>
      </c>
      <c r="I337" s="526"/>
      <c r="J337" s="517">
        <f t="shared" si="98"/>
        <v>0</v>
      </c>
      <c r="K337" s="517"/>
      <c r="L337" s="517"/>
      <c r="M337" s="517"/>
      <c r="N337" s="517"/>
      <c r="O337" s="517"/>
      <c r="P337" s="517"/>
      <c r="Q337" s="517"/>
      <c r="R337" s="517"/>
      <c r="S337" s="517"/>
      <c r="T337" s="517">
        <f t="shared" si="90"/>
        <v>0</v>
      </c>
      <c r="U337" s="526"/>
      <c r="V337" s="517">
        <f t="shared" si="91"/>
        <v>0</v>
      </c>
      <c r="W337" s="632">
        <f>I337+S337+U337</f>
        <v>0</v>
      </c>
      <c r="X337" s="517">
        <f t="shared" si="92"/>
        <v>0</v>
      </c>
      <c r="Y337" s="632">
        <f>W337+E337+G337</f>
        <v>0</v>
      </c>
      <c r="Z337" s="517">
        <f t="shared" si="89"/>
        <v>0</v>
      </c>
      <c r="AA337" s="675"/>
      <c r="AB337" s="674"/>
    </row>
    <row r="338" spans="1:36" s="301" customFormat="1" ht="25.5" hidden="1" customHeight="1">
      <c r="A338" s="368">
        <v>29.2</v>
      </c>
      <c r="B338" s="369" t="s">
        <v>4064</v>
      </c>
      <c r="C338" s="307">
        <f>ROUND(Data!K1238,2)</f>
        <v>1098.9100000000001</v>
      </c>
      <c r="D338" s="486" t="s">
        <v>1867</v>
      </c>
      <c r="E338" s="526"/>
      <c r="F338" s="630">
        <f t="shared" si="96"/>
        <v>0</v>
      </c>
      <c r="G338" s="526"/>
      <c r="H338" s="517">
        <f t="shared" si="97"/>
        <v>0</v>
      </c>
      <c r="I338" s="526"/>
      <c r="J338" s="517">
        <f t="shared" si="98"/>
        <v>0</v>
      </c>
      <c r="K338" s="517"/>
      <c r="L338" s="517"/>
      <c r="M338" s="517"/>
      <c r="N338" s="517"/>
      <c r="O338" s="517"/>
      <c r="P338" s="517"/>
      <c r="Q338" s="517"/>
      <c r="R338" s="517"/>
      <c r="S338" s="517"/>
      <c r="T338" s="517">
        <f t="shared" si="90"/>
        <v>0</v>
      </c>
      <c r="U338" s="526"/>
      <c r="V338" s="517">
        <f t="shared" si="91"/>
        <v>0</v>
      </c>
      <c r="W338" s="632">
        <f>I338+S338+U338</f>
        <v>0</v>
      </c>
      <c r="X338" s="517">
        <f t="shared" si="92"/>
        <v>0</v>
      </c>
      <c r="Y338" s="632">
        <f>W338+E338+G338</f>
        <v>0</v>
      </c>
      <c r="Z338" s="517">
        <f t="shared" si="89"/>
        <v>0</v>
      </c>
      <c r="AA338" s="675"/>
      <c r="AB338" s="674"/>
    </row>
    <row r="339" spans="1:36" s="301" customFormat="1" ht="25.5" hidden="1" customHeight="1">
      <c r="A339" s="368">
        <v>29.3</v>
      </c>
      <c r="B339" s="320" t="s">
        <v>1727</v>
      </c>
      <c r="C339" s="307">
        <f>ROUND(Data!K1261,2)</f>
        <v>1092.05</v>
      </c>
      <c r="D339" s="486" t="s">
        <v>1867</v>
      </c>
      <c r="E339" s="526"/>
      <c r="F339" s="630">
        <f t="shared" si="96"/>
        <v>0</v>
      </c>
      <c r="G339" s="526"/>
      <c r="H339" s="517">
        <f t="shared" si="97"/>
        <v>0</v>
      </c>
      <c r="I339" s="526"/>
      <c r="J339" s="517">
        <f t="shared" si="98"/>
        <v>0</v>
      </c>
      <c r="K339" s="517"/>
      <c r="L339" s="517"/>
      <c r="M339" s="517"/>
      <c r="N339" s="517"/>
      <c r="O339" s="517"/>
      <c r="P339" s="517"/>
      <c r="Q339" s="517"/>
      <c r="R339" s="517"/>
      <c r="S339" s="517"/>
      <c r="T339" s="517">
        <f t="shared" si="90"/>
        <v>0</v>
      </c>
      <c r="U339" s="526"/>
      <c r="V339" s="517">
        <f t="shared" si="91"/>
        <v>0</v>
      </c>
      <c r="W339" s="632">
        <f>I339+S339+U339</f>
        <v>0</v>
      </c>
      <c r="X339" s="517">
        <f t="shared" si="92"/>
        <v>0</v>
      </c>
      <c r="Y339" s="632">
        <f>W339+E339+G339</f>
        <v>0</v>
      </c>
      <c r="Z339" s="517">
        <f t="shared" si="89"/>
        <v>0</v>
      </c>
      <c r="AA339" s="675"/>
      <c r="AB339" s="674"/>
    </row>
    <row r="340" spans="1:36" s="301" customFormat="1" ht="25.5" hidden="1" customHeight="1">
      <c r="A340" s="368">
        <v>29.4</v>
      </c>
      <c r="B340" s="320" t="s">
        <v>1728</v>
      </c>
      <c r="C340" s="307">
        <f>ROUND(Data!K1275,2)</f>
        <v>1236.28</v>
      </c>
      <c r="D340" s="486" t="s">
        <v>1867</v>
      </c>
      <c r="E340" s="526"/>
      <c r="F340" s="630">
        <f t="shared" si="96"/>
        <v>0</v>
      </c>
      <c r="G340" s="526"/>
      <c r="H340" s="517">
        <f t="shared" si="97"/>
        <v>0</v>
      </c>
      <c r="I340" s="526"/>
      <c r="J340" s="517">
        <f t="shared" si="98"/>
        <v>0</v>
      </c>
      <c r="K340" s="517"/>
      <c r="L340" s="517"/>
      <c r="M340" s="517"/>
      <c r="N340" s="517"/>
      <c r="O340" s="517"/>
      <c r="P340" s="517"/>
      <c r="Q340" s="517"/>
      <c r="R340" s="517"/>
      <c r="S340" s="517"/>
      <c r="T340" s="517">
        <f t="shared" si="90"/>
        <v>0</v>
      </c>
      <c r="U340" s="526"/>
      <c r="V340" s="517">
        <f t="shared" si="91"/>
        <v>0</v>
      </c>
      <c r="W340" s="632">
        <f>I340+S340+U340</f>
        <v>0</v>
      </c>
      <c r="X340" s="517">
        <f t="shared" si="92"/>
        <v>0</v>
      </c>
      <c r="Y340" s="632">
        <f>W340+E340+G340</f>
        <v>0</v>
      </c>
      <c r="Z340" s="517">
        <f t="shared" si="89"/>
        <v>0</v>
      </c>
      <c r="AA340" s="675"/>
      <c r="AB340" s="674"/>
    </row>
    <row r="341" spans="1:36" s="301" customFormat="1" ht="25.5" hidden="1" customHeight="1">
      <c r="A341" s="368">
        <v>29.5</v>
      </c>
      <c r="B341" s="320" t="s">
        <v>850</v>
      </c>
      <c r="C341" s="307">
        <f>C339</f>
        <v>1092.05</v>
      </c>
      <c r="D341" s="486" t="s">
        <v>1867</v>
      </c>
      <c r="E341" s="526"/>
      <c r="F341" s="630">
        <f t="shared" si="96"/>
        <v>0</v>
      </c>
      <c r="G341" s="526"/>
      <c r="H341" s="517">
        <f t="shared" si="97"/>
        <v>0</v>
      </c>
      <c r="I341" s="526"/>
      <c r="J341" s="517">
        <f t="shared" si="98"/>
        <v>0</v>
      </c>
      <c r="K341" s="517"/>
      <c r="L341" s="517"/>
      <c r="M341" s="517"/>
      <c r="N341" s="517"/>
      <c r="O341" s="517"/>
      <c r="P341" s="517"/>
      <c r="Q341" s="517"/>
      <c r="R341" s="517"/>
      <c r="S341" s="517"/>
      <c r="T341" s="517">
        <f t="shared" si="90"/>
        <v>0</v>
      </c>
      <c r="U341" s="526"/>
      <c r="V341" s="517">
        <f t="shared" si="91"/>
        <v>0</v>
      </c>
      <c r="W341" s="632">
        <f>I341+S341+U341</f>
        <v>0</v>
      </c>
      <c r="X341" s="517">
        <f t="shared" si="92"/>
        <v>0</v>
      </c>
      <c r="Y341" s="632">
        <f>W341+E341+G341</f>
        <v>0</v>
      </c>
      <c r="Z341" s="517">
        <f t="shared" si="89"/>
        <v>0</v>
      </c>
      <c r="AA341" s="675"/>
      <c r="AB341" s="674"/>
    </row>
    <row r="342" spans="1:36" ht="45.75" customHeight="1">
      <c r="A342" s="1608">
        <v>30</v>
      </c>
      <c r="B342" s="1166" t="s">
        <v>1729</v>
      </c>
      <c r="C342" s="1612">
        <f>ROUND(Data!K1309,2)</f>
        <v>396.64</v>
      </c>
      <c r="D342" s="1610" t="s">
        <v>1867</v>
      </c>
      <c r="E342" s="1616">
        <f>station!I574</f>
        <v>48.2</v>
      </c>
      <c r="F342" s="1617">
        <f t="shared" si="96"/>
        <v>19118.05</v>
      </c>
      <c r="G342" s="1618"/>
      <c r="H342" s="1618">
        <f t="shared" si="97"/>
        <v>0</v>
      </c>
      <c r="I342" s="1618"/>
      <c r="J342" s="1618">
        <f t="shared" si="98"/>
        <v>0</v>
      </c>
      <c r="K342" s="1618"/>
      <c r="L342" s="1618">
        <f t="shared" ref="L342:L343" si="99">K342*C342</f>
        <v>0</v>
      </c>
      <c r="M342" s="1618"/>
      <c r="N342" s="1618">
        <f>M342*C342</f>
        <v>0</v>
      </c>
      <c r="O342" s="1618"/>
      <c r="P342" s="1618">
        <f>O342*C342</f>
        <v>0</v>
      </c>
      <c r="Q342" s="1618">
        <f>CUlvert!G50</f>
        <v>10.8</v>
      </c>
      <c r="R342" s="1618">
        <f>Q342*C342</f>
        <v>4283.71</v>
      </c>
      <c r="S342" s="1618"/>
      <c r="T342" s="1618">
        <f t="shared" si="90"/>
        <v>0</v>
      </c>
      <c r="U342" s="1618"/>
      <c r="V342" s="1618">
        <f t="shared" si="91"/>
        <v>0</v>
      </c>
      <c r="W342" s="1619" t="e">
        <f>U342+S342+O342+M342+#REF!+K342+I342+G342+Q342</f>
        <v>#REF!</v>
      </c>
      <c r="X342" s="1618" t="e">
        <f t="shared" si="92"/>
        <v>#REF!</v>
      </c>
      <c r="Y342" s="1619" t="e">
        <f>W342+E342</f>
        <v>#REF!</v>
      </c>
      <c r="Z342" s="1618" t="e">
        <f t="shared" si="89"/>
        <v>#REF!</v>
      </c>
      <c r="AA342" s="673"/>
      <c r="AB342" s="673"/>
      <c r="AJ342" s="322">
        <f>146-34.2</f>
        <v>111.8</v>
      </c>
    </row>
    <row r="343" spans="1:36">
      <c r="A343" s="1608">
        <v>31</v>
      </c>
      <c r="B343" s="1166" t="s">
        <v>1730</v>
      </c>
      <c r="C343" s="1612">
        <f>ROUND(Data!K1327,2)</f>
        <v>3507.88</v>
      </c>
      <c r="D343" s="1610" t="s">
        <v>1215</v>
      </c>
      <c r="E343" s="1616">
        <f>station!I578</f>
        <v>3.25</v>
      </c>
      <c r="F343" s="1617">
        <f t="shared" si="96"/>
        <v>11400.61</v>
      </c>
      <c r="G343" s="1618"/>
      <c r="H343" s="1618">
        <f t="shared" si="97"/>
        <v>0</v>
      </c>
      <c r="I343" s="1618"/>
      <c r="J343" s="1618">
        <f t="shared" si="98"/>
        <v>0</v>
      </c>
      <c r="K343" s="1618"/>
      <c r="L343" s="1618">
        <f t="shared" si="99"/>
        <v>0</v>
      </c>
      <c r="M343" s="1618"/>
      <c r="N343" s="1618">
        <f>M343*C343</f>
        <v>0</v>
      </c>
      <c r="O343" s="1618"/>
      <c r="P343" s="1618">
        <f>O343*C343</f>
        <v>0</v>
      </c>
      <c r="Q343" s="1618"/>
      <c r="R343" s="1618">
        <f>Q343*C343</f>
        <v>0</v>
      </c>
      <c r="S343" s="1618"/>
      <c r="T343" s="1618">
        <f t="shared" si="90"/>
        <v>0</v>
      </c>
      <c r="U343" s="1618"/>
      <c r="V343" s="1618">
        <f t="shared" si="91"/>
        <v>0</v>
      </c>
      <c r="W343" s="1619" t="e">
        <f>U343+S343+O343+M343+#REF!+K343+I343+G343+Q343</f>
        <v>#REF!</v>
      </c>
      <c r="X343" s="1618" t="e">
        <f t="shared" si="92"/>
        <v>#REF!</v>
      </c>
      <c r="Y343" s="1619" t="e">
        <f>W343+E343</f>
        <v>#REF!</v>
      </c>
      <c r="Z343" s="1618" t="e">
        <f t="shared" si="89"/>
        <v>#REF!</v>
      </c>
      <c r="AA343" s="673"/>
      <c r="AB343" s="673"/>
    </row>
    <row r="344" spans="1:36" s="301" customFormat="1" ht="46.5" hidden="1">
      <c r="A344" s="536">
        <v>32</v>
      </c>
      <c r="B344" s="537" t="s">
        <v>566</v>
      </c>
      <c r="C344" s="538"/>
      <c r="D344" s="443" t="s">
        <v>1867</v>
      </c>
      <c r="E344" s="526"/>
      <c r="F344" s="630">
        <f t="shared" si="96"/>
        <v>0</v>
      </c>
      <c r="G344" s="526"/>
      <c r="H344" s="517">
        <f t="shared" si="97"/>
        <v>0</v>
      </c>
      <c r="I344" s="526"/>
      <c r="J344" s="517">
        <f t="shared" si="98"/>
        <v>0</v>
      </c>
      <c r="K344" s="517"/>
      <c r="L344" s="517"/>
      <c r="M344" s="517"/>
      <c r="N344" s="517"/>
      <c r="O344" s="517"/>
      <c r="P344" s="517"/>
      <c r="Q344" s="517"/>
      <c r="R344" s="517"/>
      <c r="S344" s="517"/>
      <c r="T344" s="517">
        <f t="shared" si="90"/>
        <v>0</v>
      </c>
      <c r="U344" s="526"/>
      <c r="V344" s="517">
        <f t="shared" si="91"/>
        <v>0</v>
      </c>
      <c r="W344" s="632">
        <f>I344+S344+U344</f>
        <v>0</v>
      </c>
      <c r="X344" s="517">
        <f t="shared" si="92"/>
        <v>0</v>
      </c>
      <c r="Y344" s="632">
        <f>W344+E344+G344</f>
        <v>0</v>
      </c>
      <c r="Z344" s="517">
        <f t="shared" si="89"/>
        <v>0</v>
      </c>
      <c r="AA344" s="675"/>
      <c r="AB344" s="674"/>
    </row>
    <row r="345" spans="1:36" s="301" customFormat="1" ht="46.5" hidden="1">
      <c r="A345" s="368">
        <v>32.1</v>
      </c>
      <c r="B345" s="320" t="s">
        <v>862</v>
      </c>
      <c r="C345" s="307">
        <f>ROUND(Data!K1362,2)</f>
        <v>1077.67</v>
      </c>
      <c r="D345" s="486" t="s">
        <v>1867</v>
      </c>
      <c r="E345" s="526"/>
      <c r="F345" s="630">
        <f t="shared" si="96"/>
        <v>0</v>
      </c>
      <c r="G345" s="526"/>
      <c r="H345" s="517">
        <f t="shared" si="97"/>
        <v>0</v>
      </c>
      <c r="I345" s="526"/>
      <c r="J345" s="517">
        <f t="shared" si="98"/>
        <v>0</v>
      </c>
      <c r="K345" s="517"/>
      <c r="L345" s="517"/>
      <c r="M345" s="517"/>
      <c r="N345" s="517"/>
      <c r="O345" s="517"/>
      <c r="P345" s="517"/>
      <c r="Q345" s="517"/>
      <c r="R345" s="517"/>
      <c r="S345" s="517"/>
      <c r="T345" s="517">
        <f t="shared" si="90"/>
        <v>0</v>
      </c>
      <c r="U345" s="526"/>
      <c r="V345" s="517">
        <f t="shared" si="91"/>
        <v>0</v>
      </c>
      <c r="W345" s="632">
        <f>I345+S345+U345</f>
        <v>0</v>
      </c>
      <c r="X345" s="517">
        <f t="shared" si="92"/>
        <v>0</v>
      </c>
      <c r="Y345" s="632">
        <f>W345+E345+G345</f>
        <v>0</v>
      </c>
      <c r="Z345" s="517">
        <f t="shared" si="89"/>
        <v>0</v>
      </c>
      <c r="AA345" s="675"/>
      <c r="AB345" s="674"/>
    </row>
    <row r="346" spans="1:36" s="301" customFormat="1" ht="46.5" hidden="1">
      <c r="A346" s="368">
        <v>32.200000000000003</v>
      </c>
      <c r="B346" s="320" t="s">
        <v>861</v>
      </c>
      <c r="C346" s="307"/>
      <c r="D346" s="486" t="s">
        <v>1867</v>
      </c>
      <c r="E346" s="526"/>
      <c r="F346" s="630">
        <f t="shared" si="96"/>
        <v>0</v>
      </c>
      <c r="G346" s="526"/>
      <c r="H346" s="517">
        <f t="shared" si="97"/>
        <v>0</v>
      </c>
      <c r="I346" s="526"/>
      <c r="J346" s="517">
        <f t="shared" si="98"/>
        <v>0</v>
      </c>
      <c r="K346" s="517"/>
      <c r="L346" s="517"/>
      <c r="M346" s="517"/>
      <c r="N346" s="517"/>
      <c r="O346" s="517"/>
      <c r="P346" s="517"/>
      <c r="Q346" s="517"/>
      <c r="R346" s="517"/>
      <c r="S346" s="517"/>
      <c r="T346" s="517">
        <f t="shared" si="90"/>
        <v>0</v>
      </c>
      <c r="U346" s="526"/>
      <c r="V346" s="517">
        <f t="shared" si="91"/>
        <v>0</v>
      </c>
      <c r="W346" s="632">
        <f>I346+S346+U346</f>
        <v>0</v>
      </c>
      <c r="X346" s="517">
        <f t="shared" si="92"/>
        <v>0</v>
      </c>
      <c r="Y346" s="632">
        <f>W346+E346+G346</f>
        <v>0</v>
      </c>
      <c r="Z346" s="517">
        <f t="shared" si="89"/>
        <v>0</v>
      </c>
      <c r="AA346" s="675"/>
      <c r="AB346" s="674"/>
    </row>
    <row r="347" spans="1:36">
      <c r="A347" s="1608">
        <v>33</v>
      </c>
      <c r="B347" s="1166" t="s">
        <v>1020</v>
      </c>
      <c r="C347" s="1612">
        <v>220.61</v>
      </c>
      <c r="D347" s="1610" t="s">
        <v>1867</v>
      </c>
      <c r="E347" s="1616">
        <f>station!I729</f>
        <v>3026</v>
      </c>
      <c r="F347" s="1617">
        <f t="shared" si="96"/>
        <v>667565.86</v>
      </c>
      <c r="G347" s="1618">
        <f>S.T!H92</f>
        <v>48.1</v>
      </c>
      <c r="H347" s="1618">
        <f t="shared" si="97"/>
        <v>10611.34</v>
      </c>
      <c r="I347" s="1618">
        <f>Sump!H30</f>
        <v>42</v>
      </c>
      <c r="J347" s="1618">
        <f t="shared" si="98"/>
        <v>9265.6200000000008</v>
      </c>
      <c r="K347" s="1618">
        <f>'Plinth '!I41</f>
        <v>49.1</v>
      </c>
      <c r="L347" s="1618">
        <f t="shared" ref="L347:L354" si="100">K347*C347</f>
        <v>10831.95</v>
      </c>
      <c r="M347" s="1618"/>
      <c r="N347" s="1618">
        <f t="shared" ref="N347:N354" si="101">M347*C347</f>
        <v>0</v>
      </c>
      <c r="O347" s="1618">
        <f>Sullage!H30</f>
        <v>145</v>
      </c>
      <c r="P347" s="1618">
        <f t="shared" ref="P347:P354" si="102">O347*C347</f>
        <v>31988.45</v>
      </c>
      <c r="Q347" s="1618">
        <f>CUlvert!G42</f>
        <v>5.4</v>
      </c>
      <c r="R347" s="1618">
        <f t="shared" ref="R347:R354" si="103">Q347*C347</f>
        <v>1191.29</v>
      </c>
      <c r="S347" s="1618"/>
      <c r="T347" s="1618">
        <f t="shared" si="90"/>
        <v>0</v>
      </c>
      <c r="U347" s="1618"/>
      <c r="V347" s="1618">
        <f t="shared" si="91"/>
        <v>0</v>
      </c>
      <c r="W347" s="1619" t="e">
        <f>U347+S347+O347+M347+#REF!+K347+I347+G347+Q347</f>
        <v>#REF!</v>
      </c>
      <c r="X347" s="1618" t="e">
        <f t="shared" si="92"/>
        <v>#REF!</v>
      </c>
      <c r="Y347" s="1619" t="e">
        <f t="shared" ref="Y347:Y354" si="104">W347+E347</f>
        <v>#REF!</v>
      </c>
      <c r="Z347" s="1618" t="e">
        <f t="shared" si="89"/>
        <v>#REF!</v>
      </c>
      <c r="AA347" s="673"/>
      <c r="AB347" s="673"/>
    </row>
    <row r="348" spans="1:36" ht="47.25" customHeight="1">
      <c r="A348" s="1608">
        <v>34</v>
      </c>
      <c r="B348" s="1166" t="s">
        <v>1021</v>
      </c>
      <c r="C348" s="1612">
        <v>226.61</v>
      </c>
      <c r="D348" s="1610" t="s">
        <v>1867</v>
      </c>
      <c r="E348" s="1616">
        <f>station!I736</f>
        <v>40.5</v>
      </c>
      <c r="F348" s="1617">
        <f t="shared" si="96"/>
        <v>9177.7099999999991</v>
      </c>
      <c r="G348" s="1618">
        <f>S.T!H102</f>
        <v>38.35</v>
      </c>
      <c r="H348" s="1618">
        <f t="shared" si="97"/>
        <v>8690.49</v>
      </c>
      <c r="I348" s="1618"/>
      <c r="J348" s="1618">
        <f t="shared" si="98"/>
        <v>0</v>
      </c>
      <c r="K348" s="1618"/>
      <c r="L348" s="1618">
        <f t="shared" si="100"/>
        <v>0</v>
      </c>
      <c r="M348" s="1618"/>
      <c r="N348" s="1618">
        <f t="shared" si="101"/>
        <v>0</v>
      </c>
      <c r="O348" s="1618">
        <f>Sullage!H37</f>
        <v>209.6</v>
      </c>
      <c r="P348" s="1618">
        <f t="shared" si="102"/>
        <v>47497.46</v>
      </c>
      <c r="Q348" s="1618"/>
      <c r="R348" s="1618">
        <f t="shared" si="103"/>
        <v>0</v>
      </c>
      <c r="S348" s="1618"/>
      <c r="T348" s="1618">
        <f t="shared" si="90"/>
        <v>0</v>
      </c>
      <c r="U348" s="1618"/>
      <c r="V348" s="1618">
        <f t="shared" si="91"/>
        <v>0</v>
      </c>
      <c r="W348" s="1619" t="e">
        <f>U348+S348+O348+M348+#REF!+K348+I348+G348+Q348</f>
        <v>#REF!</v>
      </c>
      <c r="X348" s="1618" t="e">
        <f t="shared" si="92"/>
        <v>#REF!</v>
      </c>
      <c r="Y348" s="1619" t="e">
        <f t="shared" si="104"/>
        <v>#REF!</v>
      </c>
      <c r="Z348" s="1618" t="e">
        <f t="shared" si="89"/>
        <v>#REF!</v>
      </c>
      <c r="AA348" s="673"/>
      <c r="AB348" s="673"/>
    </row>
    <row r="349" spans="1:36" ht="57.75" customHeight="1">
      <c r="A349" s="1608">
        <v>35</v>
      </c>
      <c r="B349" s="1166" t="s">
        <v>946</v>
      </c>
      <c r="C349" s="1612">
        <v>252.46</v>
      </c>
      <c r="D349" s="1610" t="s">
        <v>1867</v>
      </c>
      <c r="E349" s="1616">
        <f>station!I792</f>
        <v>910</v>
      </c>
      <c r="F349" s="1617">
        <f t="shared" si="96"/>
        <v>229738.6</v>
      </c>
      <c r="G349" s="1618"/>
      <c r="H349" s="1618">
        <f t="shared" si="97"/>
        <v>0</v>
      </c>
      <c r="I349" s="1618"/>
      <c r="J349" s="1618">
        <f t="shared" si="98"/>
        <v>0</v>
      </c>
      <c r="K349" s="1618"/>
      <c r="L349" s="1618">
        <f t="shared" si="100"/>
        <v>0</v>
      </c>
      <c r="M349" s="1618"/>
      <c r="N349" s="1618">
        <f t="shared" si="101"/>
        <v>0</v>
      </c>
      <c r="O349" s="1618"/>
      <c r="P349" s="1618">
        <f t="shared" si="102"/>
        <v>0</v>
      </c>
      <c r="Q349" s="1618"/>
      <c r="R349" s="1618">
        <f t="shared" si="103"/>
        <v>0</v>
      </c>
      <c r="S349" s="1618"/>
      <c r="T349" s="1618">
        <f t="shared" si="90"/>
        <v>0</v>
      </c>
      <c r="U349" s="1618"/>
      <c r="V349" s="1618">
        <f t="shared" si="91"/>
        <v>0</v>
      </c>
      <c r="W349" s="1619" t="e">
        <f>U349+S349+O349+M349+#REF!+K349+I349+G349+Q349</f>
        <v>#REF!</v>
      </c>
      <c r="X349" s="1618" t="e">
        <f t="shared" si="92"/>
        <v>#REF!</v>
      </c>
      <c r="Y349" s="1619" t="e">
        <f t="shared" si="104"/>
        <v>#REF!</v>
      </c>
      <c r="Z349" s="1618" t="e">
        <f t="shared" si="89"/>
        <v>#REF!</v>
      </c>
      <c r="AA349" s="673"/>
      <c r="AB349" s="673"/>
    </row>
    <row r="350" spans="1:36" ht="57.75" customHeight="1">
      <c r="A350" s="1608">
        <v>36</v>
      </c>
      <c r="B350" s="1169" t="s">
        <v>1750</v>
      </c>
      <c r="C350" s="1612"/>
      <c r="D350" s="1610"/>
      <c r="E350" s="1623"/>
      <c r="F350" s="1617">
        <f t="shared" si="96"/>
        <v>0</v>
      </c>
      <c r="G350" s="1618"/>
      <c r="H350" s="1618">
        <f t="shared" si="97"/>
        <v>0</v>
      </c>
      <c r="I350" s="1618"/>
      <c r="J350" s="1618">
        <f t="shared" si="98"/>
        <v>0</v>
      </c>
      <c r="K350" s="1618"/>
      <c r="L350" s="1618">
        <f t="shared" si="100"/>
        <v>0</v>
      </c>
      <c r="M350" s="1618"/>
      <c r="N350" s="1618">
        <f t="shared" si="101"/>
        <v>0</v>
      </c>
      <c r="O350" s="1618"/>
      <c r="P350" s="1618">
        <f t="shared" si="102"/>
        <v>0</v>
      </c>
      <c r="Q350" s="1618"/>
      <c r="R350" s="1618">
        <f t="shared" si="103"/>
        <v>0</v>
      </c>
      <c r="S350" s="1618"/>
      <c r="T350" s="1618">
        <f t="shared" si="90"/>
        <v>0</v>
      </c>
      <c r="U350" s="1618"/>
      <c r="V350" s="1618">
        <f t="shared" si="91"/>
        <v>0</v>
      </c>
      <c r="W350" s="1619" t="e">
        <f>U350+S350+O350+M350+#REF!+K350+I350+G350+Q350</f>
        <v>#REF!</v>
      </c>
      <c r="X350" s="1618" t="e">
        <f t="shared" si="92"/>
        <v>#REF!</v>
      </c>
      <c r="Y350" s="1619" t="e">
        <f t="shared" si="104"/>
        <v>#REF!</v>
      </c>
      <c r="Z350" s="1618" t="e">
        <f t="shared" si="89"/>
        <v>#REF!</v>
      </c>
      <c r="AA350" s="530"/>
      <c r="AB350" s="673"/>
      <c r="AC350" s="627"/>
    </row>
    <row r="351" spans="1:36" ht="43.5" customHeight="1">
      <c r="A351" s="1166" t="s">
        <v>987</v>
      </c>
      <c r="B351" s="1166" t="s">
        <v>1484</v>
      </c>
      <c r="C351" s="1612">
        <f>ROUND(Data!K1457,2)</f>
        <v>69.94</v>
      </c>
      <c r="D351" s="1610" t="s">
        <v>835</v>
      </c>
      <c r="E351" s="1616">
        <f>station!I799</f>
        <v>144</v>
      </c>
      <c r="F351" s="1617">
        <f t="shared" si="96"/>
        <v>10071.36</v>
      </c>
      <c r="G351" s="1618"/>
      <c r="H351" s="1618">
        <f t="shared" si="97"/>
        <v>0</v>
      </c>
      <c r="I351" s="1618"/>
      <c r="J351" s="1618">
        <f t="shared" si="98"/>
        <v>0</v>
      </c>
      <c r="K351" s="1618"/>
      <c r="L351" s="1618">
        <f t="shared" si="100"/>
        <v>0</v>
      </c>
      <c r="M351" s="1618"/>
      <c r="N351" s="1618">
        <f t="shared" si="101"/>
        <v>0</v>
      </c>
      <c r="O351" s="1618"/>
      <c r="P351" s="1618">
        <f t="shared" si="102"/>
        <v>0</v>
      </c>
      <c r="Q351" s="1618"/>
      <c r="R351" s="1618">
        <f t="shared" si="103"/>
        <v>0</v>
      </c>
      <c r="S351" s="1618"/>
      <c r="T351" s="1618">
        <f t="shared" si="90"/>
        <v>0</v>
      </c>
      <c r="U351" s="1618"/>
      <c r="V351" s="1618">
        <f t="shared" si="91"/>
        <v>0</v>
      </c>
      <c r="W351" s="1619" t="e">
        <f>U351+S351+O351+M351+#REF!+K351+I351+G351+Q351</f>
        <v>#REF!</v>
      </c>
      <c r="X351" s="1618" t="e">
        <f t="shared" si="92"/>
        <v>#REF!</v>
      </c>
      <c r="Y351" s="1619" t="e">
        <f t="shared" si="104"/>
        <v>#REF!</v>
      </c>
      <c r="Z351" s="1618" t="e">
        <f t="shared" si="89"/>
        <v>#REF!</v>
      </c>
      <c r="AA351" s="673"/>
      <c r="AB351" s="673"/>
    </row>
    <row r="352" spans="1:36" ht="43.5" customHeight="1">
      <c r="A352" s="1166"/>
      <c r="B352" s="1166" t="s">
        <v>1969</v>
      </c>
      <c r="C352" s="1612">
        <f>ROUND(Data!K1469,2)</f>
        <v>45.48</v>
      </c>
      <c r="D352" s="1610" t="s">
        <v>835</v>
      </c>
      <c r="E352" s="1616">
        <f>station!I804</f>
        <v>144</v>
      </c>
      <c r="F352" s="1617">
        <f t="shared" si="96"/>
        <v>6549.12</v>
      </c>
      <c r="G352" s="1618"/>
      <c r="H352" s="1618">
        <f t="shared" si="97"/>
        <v>0</v>
      </c>
      <c r="I352" s="1618"/>
      <c r="J352" s="1618">
        <f t="shared" si="98"/>
        <v>0</v>
      </c>
      <c r="K352" s="1618"/>
      <c r="L352" s="1618">
        <f t="shared" si="100"/>
        <v>0</v>
      </c>
      <c r="M352" s="1618"/>
      <c r="N352" s="1618">
        <f t="shared" si="101"/>
        <v>0</v>
      </c>
      <c r="O352" s="1618"/>
      <c r="P352" s="1618">
        <f t="shared" si="102"/>
        <v>0</v>
      </c>
      <c r="Q352" s="1618"/>
      <c r="R352" s="1618">
        <f t="shared" si="103"/>
        <v>0</v>
      </c>
      <c r="S352" s="1618"/>
      <c r="T352" s="1618">
        <f t="shared" si="90"/>
        <v>0</v>
      </c>
      <c r="U352" s="1618"/>
      <c r="V352" s="1618">
        <f t="shared" si="91"/>
        <v>0</v>
      </c>
      <c r="W352" s="1619" t="e">
        <f>U352+S352+O352+M352+#REF!+K352+I352+G352+Q352</f>
        <v>#REF!</v>
      </c>
      <c r="X352" s="1618" t="e">
        <f t="shared" si="92"/>
        <v>#REF!</v>
      </c>
      <c r="Y352" s="1619" t="e">
        <f t="shared" si="104"/>
        <v>#REF!</v>
      </c>
      <c r="Z352" s="1618" t="e">
        <f t="shared" si="89"/>
        <v>#REF!</v>
      </c>
      <c r="AA352" s="673"/>
      <c r="AB352" s="673"/>
    </row>
    <row r="353" spans="1:28" ht="43.5" customHeight="1">
      <c r="A353" s="1625"/>
      <c r="B353" s="1166" t="s">
        <v>1970</v>
      </c>
      <c r="C353" s="1612">
        <f>ROUND(Data!K1482,2)</f>
        <v>33.840000000000003</v>
      </c>
      <c r="D353" s="1610" t="s">
        <v>835</v>
      </c>
      <c r="E353" s="1616">
        <f>station!I809</f>
        <v>144</v>
      </c>
      <c r="F353" s="1617">
        <f t="shared" si="96"/>
        <v>4872.96</v>
      </c>
      <c r="G353" s="1618"/>
      <c r="H353" s="1618">
        <f t="shared" si="97"/>
        <v>0</v>
      </c>
      <c r="I353" s="1618"/>
      <c r="J353" s="1618">
        <f t="shared" si="98"/>
        <v>0</v>
      </c>
      <c r="K353" s="1618"/>
      <c r="L353" s="1618">
        <f t="shared" si="100"/>
        <v>0</v>
      </c>
      <c r="M353" s="1618"/>
      <c r="N353" s="1618">
        <f t="shared" si="101"/>
        <v>0</v>
      </c>
      <c r="O353" s="1618"/>
      <c r="P353" s="1618">
        <f t="shared" si="102"/>
        <v>0</v>
      </c>
      <c r="Q353" s="1618"/>
      <c r="R353" s="1618">
        <f t="shared" si="103"/>
        <v>0</v>
      </c>
      <c r="S353" s="1618"/>
      <c r="T353" s="1618">
        <f t="shared" si="90"/>
        <v>0</v>
      </c>
      <c r="U353" s="1618"/>
      <c r="V353" s="1618">
        <f t="shared" si="91"/>
        <v>0</v>
      </c>
      <c r="W353" s="1619" t="e">
        <f>U353+S353+O353+M353+#REF!+K353+I353+G353+Q353</f>
        <v>#REF!</v>
      </c>
      <c r="X353" s="1618" t="e">
        <f t="shared" si="92"/>
        <v>#REF!</v>
      </c>
      <c r="Y353" s="1619" t="e">
        <f t="shared" si="104"/>
        <v>#REF!</v>
      </c>
      <c r="Z353" s="1618" t="e">
        <f t="shared" si="89"/>
        <v>#REF!</v>
      </c>
      <c r="AA353" s="673"/>
      <c r="AB353" s="673"/>
    </row>
    <row r="354" spans="1:28">
      <c r="A354" s="1608">
        <v>37.1</v>
      </c>
      <c r="B354" s="1166" t="s">
        <v>5309</v>
      </c>
      <c r="C354" s="1612">
        <f>ROUND(Data!K1495,2)</f>
        <v>39.22</v>
      </c>
      <c r="D354" s="1610" t="s">
        <v>1867</v>
      </c>
      <c r="E354" s="1616">
        <f>station!I812</f>
        <v>910</v>
      </c>
      <c r="F354" s="1617">
        <f t="shared" si="96"/>
        <v>35690.199999999997</v>
      </c>
      <c r="G354" s="1618"/>
      <c r="H354" s="1618">
        <f t="shared" si="97"/>
        <v>0</v>
      </c>
      <c r="I354" s="1618"/>
      <c r="J354" s="1618">
        <f t="shared" si="98"/>
        <v>0</v>
      </c>
      <c r="K354" s="1618"/>
      <c r="L354" s="1618">
        <f t="shared" si="100"/>
        <v>0</v>
      </c>
      <c r="M354" s="1618"/>
      <c r="N354" s="1618">
        <f t="shared" si="101"/>
        <v>0</v>
      </c>
      <c r="O354" s="1618"/>
      <c r="P354" s="1618">
        <f t="shared" si="102"/>
        <v>0</v>
      </c>
      <c r="Q354" s="1618"/>
      <c r="R354" s="1618">
        <f t="shared" si="103"/>
        <v>0</v>
      </c>
      <c r="S354" s="1618"/>
      <c r="T354" s="1618">
        <f t="shared" si="90"/>
        <v>0</v>
      </c>
      <c r="U354" s="1618"/>
      <c r="V354" s="1618">
        <f t="shared" si="91"/>
        <v>0</v>
      </c>
      <c r="W354" s="1619" t="e">
        <f>U354+S354+O354+M354+#REF!+K354+I354+G354+Q354</f>
        <v>#REF!</v>
      </c>
      <c r="X354" s="1618" t="e">
        <f t="shared" si="92"/>
        <v>#REF!</v>
      </c>
      <c r="Y354" s="1619" t="e">
        <f t="shared" si="104"/>
        <v>#REF!</v>
      </c>
      <c r="Z354" s="1618" t="e">
        <f t="shared" si="89"/>
        <v>#REF!</v>
      </c>
      <c r="AA354" s="673"/>
      <c r="AB354" s="673"/>
    </row>
    <row r="355" spans="1:28" ht="46.5" hidden="1">
      <c r="A355" s="536"/>
      <c r="B355" s="537" t="s">
        <v>4889</v>
      </c>
      <c r="C355" s="628">
        <v>919.31</v>
      </c>
      <c r="D355" s="629" t="s">
        <v>1867</v>
      </c>
      <c r="E355" s="517"/>
      <c r="F355" s="630">
        <f t="shared" si="96"/>
        <v>0</v>
      </c>
      <c r="G355" s="517"/>
      <c r="H355" s="517">
        <f t="shared" si="97"/>
        <v>0</v>
      </c>
      <c r="I355" s="517"/>
      <c r="J355" s="517">
        <f t="shared" si="98"/>
        <v>0</v>
      </c>
      <c r="K355" s="517"/>
      <c r="L355" s="517"/>
      <c r="M355" s="517"/>
      <c r="N355" s="517"/>
      <c r="O355" s="517"/>
      <c r="P355" s="517"/>
      <c r="Q355" s="517"/>
      <c r="R355" s="517"/>
      <c r="S355" s="517"/>
      <c r="T355" s="517">
        <f t="shared" si="90"/>
        <v>0</v>
      </c>
      <c r="U355" s="517"/>
      <c r="V355" s="517">
        <f t="shared" si="91"/>
        <v>0</v>
      </c>
      <c r="W355" s="632">
        <f t="shared" ref="W355:W360" si="105">I355+S355+U355</f>
        <v>0</v>
      </c>
      <c r="X355" s="517">
        <f t="shared" si="92"/>
        <v>0</v>
      </c>
      <c r="Y355" s="632">
        <f t="shared" ref="Y355:Y360" si="106">W355+E355+G355</f>
        <v>0</v>
      </c>
      <c r="Z355" s="517">
        <f t="shared" si="89"/>
        <v>0</v>
      </c>
      <c r="AA355" s="673"/>
      <c r="AB355" s="673"/>
    </row>
    <row r="356" spans="1:28" ht="69.75" hidden="1">
      <c r="A356" s="536"/>
      <c r="B356" s="537" t="s">
        <v>4890</v>
      </c>
      <c r="C356" s="628">
        <v>636.53</v>
      </c>
      <c r="D356" s="629" t="s">
        <v>1452</v>
      </c>
      <c r="E356" s="517"/>
      <c r="F356" s="630">
        <f t="shared" si="96"/>
        <v>0</v>
      </c>
      <c r="G356" s="517"/>
      <c r="H356" s="517">
        <f t="shared" si="97"/>
        <v>0</v>
      </c>
      <c r="I356" s="517"/>
      <c r="J356" s="517">
        <f t="shared" si="98"/>
        <v>0</v>
      </c>
      <c r="K356" s="517"/>
      <c r="L356" s="517"/>
      <c r="M356" s="517"/>
      <c r="N356" s="517"/>
      <c r="O356" s="517"/>
      <c r="P356" s="517"/>
      <c r="Q356" s="517"/>
      <c r="R356" s="517"/>
      <c r="S356" s="517"/>
      <c r="T356" s="517">
        <f t="shared" si="90"/>
        <v>0</v>
      </c>
      <c r="U356" s="517"/>
      <c r="V356" s="517">
        <f t="shared" si="91"/>
        <v>0</v>
      </c>
      <c r="W356" s="632">
        <f t="shared" si="105"/>
        <v>0</v>
      </c>
      <c r="X356" s="517">
        <f t="shared" si="92"/>
        <v>0</v>
      </c>
      <c r="Y356" s="632">
        <f t="shared" si="106"/>
        <v>0</v>
      </c>
      <c r="Z356" s="517">
        <f t="shared" si="89"/>
        <v>0</v>
      </c>
      <c r="AA356" s="673"/>
      <c r="AB356" s="673"/>
    </row>
    <row r="357" spans="1:28" hidden="1">
      <c r="A357" s="536"/>
      <c r="B357" s="537" t="s">
        <v>4891</v>
      </c>
      <c r="C357" s="628">
        <v>47.78</v>
      </c>
      <c r="D357" s="629" t="s">
        <v>1867</v>
      </c>
      <c r="E357" s="517"/>
      <c r="F357" s="630">
        <f t="shared" si="96"/>
        <v>0</v>
      </c>
      <c r="G357" s="517"/>
      <c r="H357" s="517">
        <f t="shared" si="97"/>
        <v>0</v>
      </c>
      <c r="I357" s="517"/>
      <c r="J357" s="517">
        <f t="shared" si="98"/>
        <v>0</v>
      </c>
      <c r="K357" s="517"/>
      <c r="L357" s="517"/>
      <c r="M357" s="517"/>
      <c r="N357" s="517"/>
      <c r="O357" s="517"/>
      <c r="P357" s="517"/>
      <c r="Q357" s="517"/>
      <c r="R357" s="517"/>
      <c r="S357" s="517"/>
      <c r="T357" s="517">
        <f t="shared" si="90"/>
        <v>0</v>
      </c>
      <c r="U357" s="517"/>
      <c r="V357" s="517">
        <f t="shared" si="91"/>
        <v>0</v>
      </c>
      <c r="W357" s="632">
        <f t="shared" si="105"/>
        <v>0</v>
      </c>
      <c r="X357" s="517">
        <f t="shared" si="92"/>
        <v>0</v>
      </c>
      <c r="Y357" s="632">
        <f t="shared" si="106"/>
        <v>0</v>
      </c>
      <c r="Z357" s="517">
        <f t="shared" si="89"/>
        <v>0</v>
      </c>
      <c r="AA357" s="673"/>
      <c r="AB357" s="673"/>
    </row>
    <row r="358" spans="1:28" s="301" customFormat="1" hidden="1">
      <c r="A358" s="536">
        <v>37.200000000000003</v>
      </c>
      <c r="B358" s="537" t="s">
        <v>4065</v>
      </c>
      <c r="C358" s="538"/>
      <c r="D358" s="443" t="s">
        <v>1867</v>
      </c>
      <c r="E358" s="526"/>
      <c r="F358" s="630">
        <f t="shared" si="96"/>
        <v>0</v>
      </c>
      <c r="G358" s="526"/>
      <c r="H358" s="517">
        <f t="shared" si="97"/>
        <v>0</v>
      </c>
      <c r="I358" s="526"/>
      <c r="J358" s="517">
        <f t="shared" si="98"/>
        <v>0</v>
      </c>
      <c r="K358" s="517"/>
      <c r="L358" s="517"/>
      <c r="M358" s="517"/>
      <c r="N358" s="517"/>
      <c r="O358" s="517"/>
      <c r="P358" s="517"/>
      <c r="Q358" s="517"/>
      <c r="R358" s="517"/>
      <c r="S358" s="517"/>
      <c r="T358" s="517">
        <f t="shared" si="90"/>
        <v>0</v>
      </c>
      <c r="U358" s="526"/>
      <c r="V358" s="517">
        <f t="shared" si="91"/>
        <v>0</v>
      </c>
      <c r="W358" s="632">
        <f t="shared" si="105"/>
        <v>0</v>
      </c>
      <c r="X358" s="517">
        <f t="shared" si="92"/>
        <v>0</v>
      </c>
      <c r="Y358" s="632">
        <f t="shared" si="106"/>
        <v>0</v>
      </c>
      <c r="Z358" s="517">
        <f t="shared" si="89"/>
        <v>0</v>
      </c>
      <c r="AA358" s="675"/>
      <c r="AB358" s="674"/>
    </row>
    <row r="359" spans="1:28" s="301" customFormat="1" hidden="1">
      <c r="A359" s="368">
        <v>38.1</v>
      </c>
      <c r="B359" s="320" t="s">
        <v>1971</v>
      </c>
      <c r="C359" s="307">
        <f>ROUND(Data!K1510,2)</f>
        <v>172.93</v>
      </c>
      <c r="D359" s="486" t="s">
        <v>1867</v>
      </c>
      <c r="E359" s="526"/>
      <c r="F359" s="630">
        <f t="shared" si="96"/>
        <v>0</v>
      </c>
      <c r="G359" s="526"/>
      <c r="H359" s="517">
        <f t="shared" si="97"/>
        <v>0</v>
      </c>
      <c r="I359" s="526"/>
      <c r="J359" s="517">
        <f t="shared" si="98"/>
        <v>0</v>
      </c>
      <c r="K359" s="517"/>
      <c r="L359" s="517"/>
      <c r="M359" s="517"/>
      <c r="N359" s="517"/>
      <c r="O359" s="517"/>
      <c r="P359" s="517"/>
      <c r="Q359" s="517"/>
      <c r="R359" s="517"/>
      <c r="S359" s="517"/>
      <c r="T359" s="517">
        <f t="shared" si="90"/>
        <v>0</v>
      </c>
      <c r="U359" s="526"/>
      <c r="V359" s="517">
        <f t="shared" si="91"/>
        <v>0</v>
      </c>
      <c r="W359" s="632">
        <f t="shared" si="105"/>
        <v>0</v>
      </c>
      <c r="X359" s="517">
        <f t="shared" ref="X359:X361" si="107">W359*C359</f>
        <v>0</v>
      </c>
      <c r="Y359" s="632">
        <f t="shared" si="106"/>
        <v>0</v>
      </c>
      <c r="Z359" s="517">
        <f t="shared" si="89"/>
        <v>0</v>
      </c>
      <c r="AA359" s="675"/>
      <c r="AB359" s="674"/>
    </row>
    <row r="360" spans="1:28" s="301" customFormat="1" hidden="1">
      <c r="A360" s="368">
        <v>38.200000000000003</v>
      </c>
      <c r="B360" s="320" t="s">
        <v>33</v>
      </c>
      <c r="C360" s="307">
        <f>ROUND(Data!K1523,2)</f>
        <v>147.27000000000001</v>
      </c>
      <c r="D360" s="486" t="s">
        <v>1867</v>
      </c>
      <c r="E360" s="526"/>
      <c r="F360" s="630">
        <f t="shared" si="96"/>
        <v>0</v>
      </c>
      <c r="G360" s="526"/>
      <c r="H360" s="517">
        <f t="shared" si="97"/>
        <v>0</v>
      </c>
      <c r="I360" s="526"/>
      <c r="J360" s="517">
        <f t="shared" si="98"/>
        <v>0</v>
      </c>
      <c r="K360" s="517"/>
      <c r="L360" s="517"/>
      <c r="M360" s="517"/>
      <c r="N360" s="517"/>
      <c r="O360" s="517"/>
      <c r="P360" s="517"/>
      <c r="Q360" s="517"/>
      <c r="R360" s="517"/>
      <c r="S360" s="517"/>
      <c r="T360" s="517">
        <f t="shared" si="90"/>
        <v>0</v>
      </c>
      <c r="U360" s="526"/>
      <c r="V360" s="517">
        <f t="shared" si="91"/>
        <v>0</v>
      </c>
      <c r="W360" s="632">
        <f t="shared" si="105"/>
        <v>0</v>
      </c>
      <c r="X360" s="517">
        <f t="shared" si="107"/>
        <v>0</v>
      </c>
      <c r="Y360" s="632">
        <f t="shared" si="106"/>
        <v>0</v>
      </c>
      <c r="Z360" s="517">
        <f t="shared" si="89"/>
        <v>0</v>
      </c>
      <c r="AA360" s="675"/>
      <c r="AB360" s="674"/>
    </row>
    <row r="361" spans="1:28">
      <c r="A361" s="1608">
        <v>39</v>
      </c>
      <c r="B361" s="1166" t="s">
        <v>1972</v>
      </c>
      <c r="C361" s="1612">
        <f>Data!K1190</f>
        <v>62.6</v>
      </c>
      <c r="D361" s="1610" t="s">
        <v>268</v>
      </c>
      <c r="E361" s="1616">
        <f>station!I823</f>
        <v>952</v>
      </c>
      <c r="F361" s="1617">
        <f t="shared" si="96"/>
        <v>59595.199999999997</v>
      </c>
      <c r="G361" s="1618"/>
      <c r="H361" s="1618">
        <f t="shared" si="97"/>
        <v>0</v>
      </c>
      <c r="I361" s="1618"/>
      <c r="J361" s="1618">
        <f t="shared" si="98"/>
        <v>0</v>
      </c>
      <c r="K361" s="1618"/>
      <c r="L361" s="1618">
        <f t="shared" ref="L361:L364" si="108">K361*C361</f>
        <v>0</v>
      </c>
      <c r="M361" s="1618"/>
      <c r="N361" s="1618">
        <f>M361*C361</f>
        <v>0</v>
      </c>
      <c r="O361" s="1618"/>
      <c r="P361" s="1618">
        <f>O361*C361</f>
        <v>0</v>
      </c>
      <c r="Q361" s="1618"/>
      <c r="R361" s="1618">
        <f>Q361*C361</f>
        <v>0</v>
      </c>
      <c r="S361" s="1618"/>
      <c r="T361" s="1618">
        <f t="shared" si="90"/>
        <v>0</v>
      </c>
      <c r="U361" s="1618"/>
      <c r="V361" s="1618">
        <f t="shared" si="91"/>
        <v>0</v>
      </c>
      <c r="W361" s="1619" t="e">
        <f>U361+S361+O361+M361+#REF!+K361+I361+G361+Q361</f>
        <v>#REF!</v>
      </c>
      <c r="X361" s="1618" t="e">
        <f t="shared" si="107"/>
        <v>#REF!</v>
      </c>
      <c r="Y361" s="1619" t="e">
        <f>W361+E361</f>
        <v>#REF!</v>
      </c>
      <c r="Z361" s="1618" t="e">
        <f t="shared" si="89"/>
        <v>#REF!</v>
      </c>
      <c r="AA361" s="673"/>
      <c r="AB361" s="673"/>
    </row>
    <row r="362" spans="1:28" ht="43.5" customHeight="1">
      <c r="A362" s="1608">
        <v>24</v>
      </c>
      <c r="B362" s="1166" t="s">
        <v>6002</v>
      </c>
      <c r="C362" s="1612">
        <v>62.1</v>
      </c>
      <c r="D362" s="1610" t="s">
        <v>268</v>
      </c>
      <c r="E362" s="1616">
        <f>station!I845</f>
        <v>4060</v>
      </c>
      <c r="F362" s="1617">
        <f t="shared" si="96"/>
        <v>252126</v>
      </c>
      <c r="G362" s="1618"/>
      <c r="H362" s="1618">
        <f t="shared" si="97"/>
        <v>0</v>
      </c>
      <c r="I362" s="1618"/>
      <c r="J362" s="1618">
        <f t="shared" si="98"/>
        <v>0</v>
      </c>
      <c r="K362" s="1618"/>
      <c r="L362" s="1618">
        <f t="shared" si="108"/>
        <v>0</v>
      </c>
      <c r="M362" s="1618"/>
      <c r="N362" s="1618">
        <f>M362*C362</f>
        <v>0</v>
      </c>
      <c r="O362" s="1618"/>
      <c r="P362" s="1618">
        <f>O362*C362</f>
        <v>0</v>
      </c>
      <c r="Q362" s="1618"/>
      <c r="R362" s="1618">
        <f>Q362*C362</f>
        <v>0</v>
      </c>
      <c r="S362" s="1618"/>
      <c r="T362" s="1618">
        <f t="shared" si="90"/>
        <v>0</v>
      </c>
      <c r="U362" s="1618"/>
      <c r="V362" s="1618">
        <f t="shared" si="91"/>
        <v>0</v>
      </c>
      <c r="W362" s="1619" t="e">
        <f>U362+S362+O362+M362+#REF!+K362+I362+G362+Q362</f>
        <v>#REF!</v>
      </c>
      <c r="X362" s="1618"/>
      <c r="Y362" s="1619" t="e">
        <f>W362+E362</f>
        <v>#REF!</v>
      </c>
      <c r="Z362" s="1618" t="e">
        <f t="shared" si="89"/>
        <v>#REF!</v>
      </c>
      <c r="AA362" s="673"/>
      <c r="AB362" s="673"/>
    </row>
    <row r="363" spans="1:28" ht="43.5" customHeight="1">
      <c r="A363" s="1608">
        <v>40</v>
      </c>
      <c r="B363" s="1166" t="s">
        <v>2065</v>
      </c>
      <c r="C363" s="1612">
        <f>ROUND(Data!K1537,2)</f>
        <v>212.24</v>
      </c>
      <c r="D363" s="1610" t="s">
        <v>1867</v>
      </c>
      <c r="E363" s="1616">
        <f>station!I851</f>
        <v>62.15</v>
      </c>
      <c r="F363" s="1617">
        <f t="shared" si="96"/>
        <v>13190.72</v>
      </c>
      <c r="G363" s="1618"/>
      <c r="H363" s="1618">
        <f t="shared" si="97"/>
        <v>0</v>
      </c>
      <c r="I363" s="1618"/>
      <c r="J363" s="1618">
        <f t="shared" si="98"/>
        <v>0</v>
      </c>
      <c r="K363" s="1618"/>
      <c r="L363" s="1618">
        <f t="shared" si="108"/>
        <v>0</v>
      </c>
      <c r="M363" s="1618"/>
      <c r="N363" s="1618">
        <f>M363*C363</f>
        <v>0</v>
      </c>
      <c r="O363" s="1618"/>
      <c r="P363" s="1618">
        <f>O363*C363</f>
        <v>0</v>
      </c>
      <c r="Q363" s="1618"/>
      <c r="R363" s="1618">
        <f>Q363*C363</f>
        <v>0</v>
      </c>
      <c r="S363" s="1618"/>
      <c r="T363" s="1618">
        <f t="shared" si="90"/>
        <v>0</v>
      </c>
      <c r="U363" s="1618"/>
      <c r="V363" s="1618">
        <f t="shared" si="91"/>
        <v>0</v>
      </c>
      <c r="W363" s="1619" t="e">
        <f>U363+S363+O363+M363+#REF!+K363+I363+G363+Q363</f>
        <v>#REF!</v>
      </c>
      <c r="X363" s="1618" t="e">
        <f t="shared" ref="X363:X394" si="109">W363*C363</f>
        <v>#REF!</v>
      </c>
      <c r="Y363" s="1619" t="e">
        <f>W363+E363</f>
        <v>#REF!</v>
      </c>
      <c r="Z363" s="1618" t="e">
        <f t="shared" si="89"/>
        <v>#REF!</v>
      </c>
      <c r="AA363" s="673"/>
      <c r="AB363" s="673"/>
    </row>
    <row r="364" spans="1:28">
      <c r="A364" s="1608">
        <v>41</v>
      </c>
      <c r="B364" s="1166" t="s">
        <v>1973</v>
      </c>
      <c r="C364" s="1612">
        <f>ROUND(Data!K1550,2)</f>
        <v>125.87</v>
      </c>
      <c r="D364" s="1610" t="s">
        <v>1867</v>
      </c>
      <c r="E364" s="1616">
        <f>station!I875</f>
        <v>147.6</v>
      </c>
      <c r="F364" s="1617">
        <f t="shared" si="96"/>
        <v>18578.41</v>
      </c>
      <c r="G364" s="1618"/>
      <c r="H364" s="1618">
        <f t="shared" si="97"/>
        <v>0</v>
      </c>
      <c r="I364" s="1618"/>
      <c r="J364" s="1618">
        <f t="shared" si="98"/>
        <v>0</v>
      </c>
      <c r="K364" s="1618"/>
      <c r="L364" s="1618">
        <f t="shared" si="108"/>
        <v>0</v>
      </c>
      <c r="M364" s="1618">
        <f>'paver block (2)'!H41</f>
        <v>74.2</v>
      </c>
      <c r="N364" s="1618">
        <f>M364*C364</f>
        <v>9339.5499999999993</v>
      </c>
      <c r="O364" s="1618"/>
      <c r="P364" s="1618">
        <f>O364*C364</f>
        <v>0</v>
      </c>
      <c r="Q364" s="1618"/>
      <c r="R364" s="1618">
        <f>Q364*C364</f>
        <v>0</v>
      </c>
      <c r="S364" s="1618"/>
      <c r="T364" s="1618">
        <f t="shared" si="90"/>
        <v>0</v>
      </c>
      <c r="U364" s="1618"/>
      <c r="V364" s="1618">
        <f t="shared" si="91"/>
        <v>0</v>
      </c>
      <c r="W364" s="1619" t="e">
        <f>U364+S364+O364+M364+#REF!+K364+I364+G364+Q364</f>
        <v>#REF!</v>
      </c>
      <c r="X364" s="1618" t="e">
        <f t="shared" si="109"/>
        <v>#REF!</v>
      </c>
      <c r="Y364" s="1619" t="e">
        <f>W364+E364</f>
        <v>#REF!</v>
      </c>
      <c r="Z364" s="1618" t="e">
        <f t="shared" si="89"/>
        <v>#REF!</v>
      </c>
      <c r="AA364" s="673"/>
      <c r="AB364" s="673"/>
    </row>
    <row r="365" spans="1:28" s="301" customFormat="1" ht="46.5" hidden="1">
      <c r="A365" s="536">
        <v>42</v>
      </c>
      <c r="B365" s="537" t="s">
        <v>4066</v>
      </c>
      <c r="C365" s="538"/>
      <c r="D365" s="443"/>
      <c r="E365" s="526"/>
      <c r="F365" s="630">
        <f t="shared" si="96"/>
        <v>0</v>
      </c>
      <c r="G365" s="526"/>
      <c r="H365" s="517">
        <f t="shared" si="97"/>
        <v>0</v>
      </c>
      <c r="I365" s="526"/>
      <c r="J365" s="517">
        <f t="shared" si="98"/>
        <v>0</v>
      </c>
      <c r="K365" s="517"/>
      <c r="L365" s="517"/>
      <c r="M365" s="517"/>
      <c r="N365" s="517"/>
      <c r="O365" s="517"/>
      <c r="P365" s="517"/>
      <c r="Q365" s="517"/>
      <c r="R365" s="517"/>
      <c r="S365" s="517"/>
      <c r="T365" s="517">
        <f t="shared" si="90"/>
        <v>0</v>
      </c>
      <c r="U365" s="526"/>
      <c r="V365" s="517">
        <f t="shared" si="91"/>
        <v>0</v>
      </c>
      <c r="W365" s="632">
        <f t="shared" ref="W365:W373" si="110">I365+S365+U365</f>
        <v>0</v>
      </c>
      <c r="X365" s="517">
        <f t="shared" si="109"/>
        <v>0</v>
      </c>
      <c r="Y365" s="632">
        <f t="shared" ref="Y365:Y373" si="111">W365+E365+G365</f>
        <v>0</v>
      </c>
      <c r="Z365" s="517">
        <f t="shared" si="89"/>
        <v>0</v>
      </c>
      <c r="AA365" s="675"/>
      <c r="AB365" s="674"/>
    </row>
    <row r="366" spans="1:28" s="301" customFormat="1" hidden="1">
      <c r="A366" s="320"/>
      <c r="B366" s="320" t="s">
        <v>2085</v>
      </c>
      <c r="C366" s="307">
        <f>ROUND(Data!K1579,2)</f>
        <v>79335.5</v>
      </c>
      <c r="D366" s="486" t="s">
        <v>530</v>
      </c>
      <c r="E366" s="526"/>
      <c r="F366" s="630">
        <f t="shared" si="96"/>
        <v>0</v>
      </c>
      <c r="G366" s="526"/>
      <c r="H366" s="517">
        <f t="shared" si="97"/>
        <v>0</v>
      </c>
      <c r="I366" s="526"/>
      <c r="J366" s="517">
        <f t="shared" si="98"/>
        <v>0</v>
      </c>
      <c r="K366" s="517"/>
      <c r="L366" s="517"/>
      <c r="M366" s="517"/>
      <c r="N366" s="517"/>
      <c r="O366" s="517"/>
      <c r="P366" s="517"/>
      <c r="Q366" s="517"/>
      <c r="R366" s="517"/>
      <c r="S366" s="517"/>
      <c r="T366" s="517">
        <f t="shared" si="90"/>
        <v>0</v>
      </c>
      <c r="U366" s="526"/>
      <c r="V366" s="517">
        <f t="shared" si="91"/>
        <v>0</v>
      </c>
      <c r="W366" s="632">
        <f t="shared" si="110"/>
        <v>0</v>
      </c>
      <c r="X366" s="517">
        <f t="shared" si="109"/>
        <v>0</v>
      </c>
      <c r="Y366" s="632">
        <f t="shared" si="111"/>
        <v>0</v>
      </c>
      <c r="Z366" s="517">
        <f t="shared" si="89"/>
        <v>0</v>
      </c>
      <c r="AA366" s="675"/>
      <c r="AB366" s="674"/>
    </row>
    <row r="367" spans="1:28" s="301" customFormat="1" hidden="1">
      <c r="A367" s="370"/>
      <c r="B367" s="320" t="s">
        <v>2086</v>
      </c>
      <c r="C367" s="307">
        <f>ROUND(Data!K1592,2)</f>
        <v>79335.5</v>
      </c>
      <c r="D367" s="486" t="s">
        <v>530</v>
      </c>
      <c r="E367" s="526"/>
      <c r="F367" s="630">
        <f t="shared" si="96"/>
        <v>0</v>
      </c>
      <c r="G367" s="526"/>
      <c r="H367" s="517">
        <f t="shared" si="97"/>
        <v>0</v>
      </c>
      <c r="I367" s="526"/>
      <c r="J367" s="517">
        <f t="shared" si="98"/>
        <v>0</v>
      </c>
      <c r="K367" s="517"/>
      <c r="L367" s="517"/>
      <c r="M367" s="517"/>
      <c r="N367" s="517"/>
      <c r="O367" s="517"/>
      <c r="P367" s="517"/>
      <c r="Q367" s="517"/>
      <c r="R367" s="517"/>
      <c r="S367" s="517"/>
      <c r="T367" s="517">
        <f t="shared" si="90"/>
        <v>0</v>
      </c>
      <c r="U367" s="526"/>
      <c r="V367" s="517">
        <f t="shared" si="91"/>
        <v>0</v>
      </c>
      <c r="W367" s="632">
        <f t="shared" si="110"/>
        <v>0</v>
      </c>
      <c r="X367" s="517">
        <f t="shared" si="109"/>
        <v>0</v>
      </c>
      <c r="Y367" s="632">
        <f t="shared" si="111"/>
        <v>0</v>
      </c>
      <c r="Z367" s="517">
        <f t="shared" si="89"/>
        <v>0</v>
      </c>
      <c r="AA367" s="675"/>
      <c r="AB367" s="674"/>
    </row>
    <row r="368" spans="1:28" s="301" customFormat="1" ht="46.5" hidden="1">
      <c r="A368" s="368">
        <v>43</v>
      </c>
      <c r="B368" s="320" t="s">
        <v>4067</v>
      </c>
      <c r="C368" s="307"/>
      <c r="D368" s="486"/>
      <c r="E368" s="526"/>
      <c r="F368" s="630">
        <f t="shared" si="96"/>
        <v>0</v>
      </c>
      <c r="G368" s="526"/>
      <c r="H368" s="517">
        <f t="shared" si="97"/>
        <v>0</v>
      </c>
      <c r="I368" s="526"/>
      <c r="J368" s="517">
        <f t="shared" si="98"/>
        <v>0</v>
      </c>
      <c r="K368" s="517"/>
      <c r="L368" s="517"/>
      <c r="M368" s="517"/>
      <c r="N368" s="517"/>
      <c r="O368" s="517"/>
      <c r="P368" s="517"/>
      <c r="Q368" s="517"/>
      <c r="R368" s="517"/>
      <c r="S368" s="517"/>
      <c r="T368" s="517">
        <f t="shared" si="90"/>
        <v>0</v>
      </c>
      <c r="U368" s="526"/>
      <c r="V368" s="517">
        <f t="shared" si="91"/>
        <v>0</v>
      </c>
      <c r="W368" s="632">
        <f t="shared" si="110"/>
        <v>0</v>
      </c>
      <c r="X368" s="517">
        <f t="shared" si="109"/>
        <v>0</v>
      </c>
      <c r="Y368" s="632">
        <f t="shared" si="111"/>
        <v>0</v>
      </c>
      <c r="Z368" s="517">
        <f t="shared" si="89"/>
        <v>0</v>
      </c>
      <c r="AA368" s="675"/>
      <c r="AB368" s="674"/>
    </row>
    <row r="369" spans="1:29" s="301" customFormat="1" hidden="1">
      <c r="A369" s="320"/>
      <c r="B369" s="320" t="s">
        <v>2085</v>
      </c>
      <c r="C369" s="307">
        <f>ROUND(Data!K1605,2)</f>
        <v>77593</v>
      </c>
      <c r="D369" s="486" t="s">
        <v>530</v>
      </c>
      <c r="E369" s="526"/>
      <c r="F369" s="630">
        <f t="shared" si="96"/>
        <v>0</v>
      </c>
      <c r="G369" s="526"/>
      <c r="H369" s="517">
        <f t="shared" si="97"/>
        <v>0</v>
      </c>
      <c r="I369" s="526"/>
      <c r="J369" s="517">
        <f t="shared" si="98"/>
        <v>0</v>
      </c>
      <c r="K369" s="517"/>
      <c r="L369" s="517"/>
      <c r="M369" s="517"/>
      <c r="N369" s="517"/>
      <c r="O369" s="517"/>
      <c r="P369" s="517"/>
      <c r="Q369" s="517"/>
      <c r="R369" s="517"/>
      <c r="S369" s="517"/>
      <c r="T369" s="517">
        <f t="shared" si="90"/>
        <v>0</v>
      </c>
      <c r="U369" s="526"/>
      <c r="V369" s="517">
        <f t="shared" si="91"/>
        <v>0</v>
      </c>
      <c r="W369" s="632">
        <f t="shared" si="110"/>
        <v>0</v>
      </c>
      <c r="X369" s="517">
        <f t="shared" si="109"/>
        <v>0</v>
      </c>
      <c r="Y369" s="632">
        <f t="shared" si="111"/>
        <v>0</v>
      </c>
      <c r="Z369" s="517">
        <f t="shared" si="89"/>
        <v>0</v>
      </c>
      <c r="AA369" s="675"/>
      <c r="AB369" s="674"/>
    </row>
    <row r="370" spans="1:29" s="301" customFormat="1" hidden="1">
      <c r="A370" s="370"/>
      <c r="B370" s="320" t="s">
        <v>2086</v>
      </c>
      <c r="C370" s="307">
        <f>ROUND(Data!K1617,2)</f>
        <v>77593</v>
      </c>
      <c r="D370" s="486" t="s">
        <v>530</v>
      </c>
      <c r="E370" s="526"/>
      <c r="F370" s="630">
        <f t="shared" si="96"/>
        <v>0</v>
      </c>
      <c r="G370" s="526"/>
      <c r="H370" s="517">
        <f t="shared" si="97"/>
        <v>0</v>
      </c>
      <c r="I370" s="526"/>
      <c r="J370" s="517">
        <f t="shared" si="98"/>
        <v>0</v>
      </c>
      <c r="K370" s="517"/>
      <c r="L370" s="517"/>
      <c r="M370" s="517"/>
      <c r="N370" s="517"/>
      <c r="O370" s="517"/>
      <c r="P370" s="517"/>
      <c r="Q370" s="517"/>
      <c r="R370" s="517"/>
      <c r="S370" s="517"/>
      <c r="T370" s="517">
        <f t="shared" si="90"/>
        <v>0</v>
      </c>
      <c r="U370" s="526"/>
      <c r="V370" s="517">
        <f t="shared" si="91"/>
        <v>0</v>
      </c>
      <c r="W370" s="632">
        <f t="shared" si="110"/>
        <v>0</v>
      </c>
      <c r="X370" s="517">
        <f t="shared" si="109"/>
        <v>0</v>
      </c>
      <c r="Y370" s="632">
        <f t="shared" si="111"/>
        <v>0</v>
      </c>
      <c r="Z370" s="517">
        <f t="shared" si="89"/>
        <v>0</v>
      </c>
      <c r="AA370" s="675"/>
      <c r="AB370" s="674"/>
    </row>
    <row r="371" spans="1:29" s="301" customFormat="1" hidden="1">
      <c r="A371" s="368">
        <v>44.1</v>
      </c>
      <c r="B371" s="320" t="s">
        <v>4068</v>
      </c>
      <c r="C371" s="307">
        <f>ROUND(Data!K1635,2)</f>
        <v>321.74</v>
      </c>
      <c r="D371" s="486" t="s">
        <v>835</v>
      </c>
      <c r="E371" s="526"/>
      <c r="F371" s="630">
        <f t="shared" si="96"/>
        <v>0</v>
      </c>
      <c r="G371" s="526"/>
      <c r="H371" s="517">
        <f t="shared" si="97"/>
        <v>0</v>
      </c>
      <c r="I371" s="526"/>
      <c r="J371" s="517">
        <f t="shared" si="98"/>
        <v>0</v>
      </c>
      <c r="K371" s="517"/>
      <c r="L371" s="517"/>
      <c r="M371" s="517"/>
      <c r="N371" s="517"/>
      <c r="O371" s="517"/>
      <c r="P371" s="517"/>
      <c r="Q371" s="517"/>
      <c r="R371" s="517"/>
      <c r="S371" s="517"/>
      <c r="T371" s="517">
        <f t="shared" si="90"/>
        <v>0</v>
      </c>
      <c r="U371" s="526"/>
      <c r="V371" s="517">
        <f t="shared" si="91"/>
        <v>0</v>
      </c>
      <c r="W371" s="632">
        <f t="shared" si="110"/>
        <v>0</v>
      </c>
      <c r="X371" s="517">
        <f t="shared" si="109"/>
        <v>0</v>
      </c>
      <c r="Y371" s="632">
        <f t="shared" si="111"/>
        <v>0</v>
      </c>
      <c r="Z371" s="517">
        <f t="shared" si="89"/>
        <v>0</v>
      </c>
      <c r="AA371" s="675"/>
      <c r="AB371" s="674"/>
    </row>
    <row r="372" spans="1:29" s="301" customFormat="1" ht="46.5" hidden="1">
      <c r="A372" s="368">
        <v>44.2</v>
      </c>
      <c r="B372" s="320" t="s">
        <v>863</v>
      </c>
      <c r="C372" s="307"/>
      <c r="D372" s="486" t="s">
        <v>1418</v>
      </c>
      <c r="E372" s="526"/>
      <c r="F372" s="630">
        <f t="shared" si="96"/>
        <v>0</v>
      </c>
      <c r="G372" s="526"/>
      <c r="H372" s="517">
        <f t="shared" si="97"/>
        <v>0</v>
      </c>
      <c r="I372" s="526"/>
      <c r="J372" s="517">
        <f t="shared" si="98"/>
        <v>0</v>
      </c>
      <c r="K372" s="517"/>
      <c r="L372" s="517"/>
      <c r="M372" s="517"/>
      <c r="N372" s="517"/>
      <c r="O372" s="517"/>
      <c r="P372" s="517"/>
      <c r="Q372" s="517"/>
      <c r="R372" s="517"/>
      <c r="S372" s="517"/>
      <c r="T372" s="517">
        <f t="shared" si="90"/>
        <v>0</v>
      </c>
      <c r="U372" s="526"/>
      <c r="V372" s="517">
        <f t="shared" si="91"/>
        <v>0</v>
      </c>
      <c r="W372" s="632">
        <f t="shared" si="110"/>
        <v>0</v>
      </c>
      <c r="X372" s="517">
        <f t="shared" si="109"/>
        <v>0</v>
      </c>
      <c r="Y372" s="632">
        <f t="shared" si="111"/>
        <v>0</v>
      </c>
      <c r="Z372" s="517">
        <f t="shared" si="89"/>
        <v>0</v>
      </c>
      <c r="AA372" s="675"/>
      <c r="AB372" s="674"/>
    </row>
    <row r="373" spans="1:29" s="475" customFormat="1" ht="26.25" hidden="1">
      <c r="A373" s="476">
        <v>45</v>
      </c>
      <c r="B373" s="477" t="s">
        <v>4354</v>
      </c>
      <c r="C373" s="466">
        <f>ROUND(Data!K1650,2)</f>
        <v>283</v>
      </c>
      <c r="D373" s="467" t="s">
        <v>1867</v>
      </c>
      <c r="E373" s="526"/>
      <c r="F373" s="630">
        <f t="shared" si="96"/>
        <v>0</v>
      </c>
      <c r="G373" s="526"/>
      <c r="H373" s="517">
        <f t="shared" si="97"/>
        <v>0</v>
      </c>
      <c r="I373" s="526"/>
      <c r="J373" s="517">
        <f t="shared" si="98"/>
        <v>0</v>
      </c>
      <c r="K373" s="517"/>
      <c r="L373" s="517"/>
      <c r="M373" s="517"/>
      <c r="N373" s="517"/>
      <c r="O373" s="517"/>
      <c r="P373" s="517"/>
      <c r="Q373" s="517"/>
      <c r="R373" s="517"/>
      <c r="S373" s="517"/>
      <c r="T373" s="517">
        <f t="shared" si="90"/>
        <v>0</v>
      </c>
      <c r="U373" s="526"/>
      <c r="V373" s="517">
        <f t="shared" si="91"/>
        <v>0</v>
      </c>
      <c r="W373" s="632">
        <f t="shared" si="110"/>
        <v>0</v>
      </c>
      <c r="X373" s="517">
        <f t="shared" si="109"/>
        <v>0</v>
      </c>
      <c r="Y373" s="632">
        <f t="shared" si="111"/>
        <v>0</v>
      </c>
      <c r="Z373" s="517">
        <f t="shared" si="89"/>
        <v>0</v>
      </c>
      <c r="AA373" s="674"/>
      <c r="AB373" s="674"/>
    </row>
    <row r="374" spans="1:29">
      <c r="A374" s="1608">
        <v>46</v>
      </c>
      <c r="B374" s="1166" t="s">
        <v>772</v>
      </c>
      <c r="C374" s="1612">
        <f>ROUND(Data!K1667,2)</f>
        <v>58</v>
      </c>
      <c r="D374" s="1610" t="s">
        <v>835</v>
      </c>
      <c r="E374" s="1616">
        <f>station!I878</f>
        <v>8</v>
      </c>
      <c r="F374" s="1617">
        <f t="shared" si="96"/>
        <v>464</v>
      </c>
      <c r="G374" s="1618"/>
      <c r="H374" s="1618">
        <f t="shared" si="97"/>
        <v>0</v>
      </c>
      <c r="I374" s="1618"/>
      <c r="J374" s="1618">
        <f t="shared" si="98"/>
        <v>0</v>
      </c>
      <c r="K374" s="1618"/>
      <c r="L374" s="1618">
        <f t="shared" ref="L374:L377" si="112">K374*C374</f>
        <v>0</v>
      </c>
      <c r="M374" s="1618"/>
      <c r="N374" s="1618">
        <f>M374*C374</f>
        <v>0</v>
      </c>
      <c r="O374" s="1618"/>
      <c r="P374" s="1618">
        <f>O374*C374</f>
        <v>0</v>
      </c>
      <c r="Q374" s="1618"/>
      <c r="R374" s="1618">
        <f>Q374*C374</f>
        <v>0</v>
      </c>
      <c r="S374" s="1618"/>
      <c r="T374" s="1618">
        <f t="shared" si="90"/>
        <v>0</v>
      </c>
      <c r="U374" s="1618"/>
      <c r="V374" s="1618">
        <f t="shared" si="91"/>
        <v>0</v>
      </c>
      <c r="W374" s="1619" t="e">
        <f>U374+S374+O374+M374+#REF!+K374+I374+G374+Q374</f>
        <v>#REF!</v>
      </c>
      <c r="X374" s="1618" t="e">
        <f t="shared" si="109"/>
        <v>#REF!</v>
      </c>
      <c r="Y374" s="1619" t="e">
        <f>W374+E374</f>
        <v>#REF!</v>
      </c>
      <c r="Z374" s="1618" t="e">
        <f t="shared" si="89"/>
        <v>#REF!</v>
      </c>
      <c r="AA374" s="673"/>
      <c r="AB374" s="673"/>
    </row>
    <row r="375" spans="1:29" ht="45.75" customHeight="1">
      <c r="A375" s="1608">
        <v>47</v>
      </c>
      <c r="B375" s="1166" t="s">
        <v>928</v>
      </c>
      <c r="C375" s="1612">
        <f>ROUND(Data!K1679,2)</f>
        <v>95</v>
      </c>
      <c r="D375" s="1610" t="s">
        <v>1418</v>
      </c>
      <c r="E375" s="1616">
        <f>station!I879</f>
        <v>8</v>
      </c>
      <c r="F375" s="1617">
        <f t="shared" si="96"/>
        <v>760</v>
      </c>
      <c r="G375" s="1618"/>
      <c r="H375" s="1618">
        <f t="shared" si="97"/>
        <v>0</v>
      </c>
      <c r="I375" s="1618"/>
      <c r="J375" s="1618">
        <f t="shared" si="98"/>
        <v>0</v>
      </c>
      <c r="K375" s="1618"/>
      <c r="L375" s="1618">
        <f t="shared" si="112"/>
        <v>0</v>
      </c>
      <c r="M375" s="1618"/>
      <c r="N375" s="1618">
        <f>M375*C375</f>
        <v>0</v>
      </c>
      <c r="O375" s="1618"/>
      <c r="P375" s="1618">
        <f>O375*C375</f>
        <v>0</v>
      </c>
      <c r="Q375" s="1618"/>
      <c r="R375" s="1618">
        <f>Q375*C375</f>
        <v>0</v>
      </c>
      <c r="S375" s="1618"/>
      <c r="T375" s="1618">
        <f t="shared" si="90"/>
        <v>0</v>
      </c>
      <c r="U375" s="1618"/>
      <c r="V375" s="1618">
        <f t="shared" si="91"/>
        <v>0</v>
      </c>
      <c r="W375" s="1619" t="e">
        <f>U375+S375+O375+M375+#REF!+K375+I375+G375+Q375</f>
        <v>#REF!</v>
      </c>
      <c r="X375" s="1618" t="e">
        <f t="shared" si="109"/>
        <v>#REF!</v>
      </c>
      <c r="Y375" s="1619" t="e">
        <f>W375+E375</f>
        <v>#REF!</v>
      </c>
      <c r="Z375" s="1618" t="e">
        <f t="shared" si="89"/>
        <v>#REF!</v>
      </c>
      <c r="AA375" s="673"/>
      <c r="AB375" s="673"/>
    </row>
    <row r="376" spans="1:29" ht="45.75" customHeight="1">
      <c r="A376" s="1608">
        <v>48</v>
      </c>
      <c r="B376" s="1166" t="s">
        <v>1864</v>
      </c>
      <c r="C376" s="1612">
        <f>ROUND(Data!K1687,2)</f>
        <v>55</v>
      </c>
      <c r="D376" s="1610" t="s">
        <v>1418</v>
      </c>
      <c r="E376" s="1616">
        <f>station!I880</f>
        <v>10</v>
      </c>
      <c r="F376" s="1617">
        <f t="shared" si="96"/>
        <v>550</v>
      </c>
      <c r="G376" s="1618"/>
      <c r="H376" s="1618">
        <f t="shared" si="97"/>
        <v>0</v>
      </c>
      <c r="I376" s="1618"/>
      <c r="J376" s="1618">
        <f t="shared" si="98"/>
        <v>0</v>
      </c>
      <c r="K376" s="1618"/>
      <c r="L376" s="1618">
        <f t="shared" si="112"/>
        <v>0</v>
      </c>
      <c r="M376" s="1618"/>
      <c r="N376" s="1618">
        <f>M376*C376</f>
        <v>0</v>
      </c>
      <c r="O376" s="1618"/>
      <c r="P376" s="1618">
        <f>O376*C376</f>
        <v>0</v>
      </c>
      <c r="Q376" s="1618"/>
      <c r="R376" s="1618">
        <f>Q376*C376</f>
        <v>0</v>
      </c>
      <c r="S376" s="1618"/>
      <c r="T376" s="1618">
        <f t="shared" si="90"/>
        <v>0</v>
      </c>
      <c r="U376" s="1618"/>
      <c r="V376" s="1618">
        <f t="shared" si="91"/>
        <v>0</v>
      </c>
      <c r="W376" s="1619" t="e">
        <f>U376+S376+O376+M376+#REF!+K376+I376+G376+Q376</f>
        <v>#REF!</v>
      </c>
      <c r="X376" s="1618" t="e">
        <f t="shared" si="109"/>
        <v>#REF!</v>
      </c>
      <c r="Y376" s="1619" t="e">
        <f>W376+E376</f>
        <v>#REF!</v>
      </c>
      <c r="Z376" s="1618" t="e">
        <f t="shared" si="89"/>
        <v>#REF!</v>
      </c>
      <c r="AA376" s="673"/>
      <c r="AB376" s="673"/>
    </row>
    <row r="377" spans="1:29">
      <c r="A377" s="1608">
        <v>49</v>
      </c>
      <c r="B377" s="1166" t="s">
        <v>1865</v>
      </c>
      <c r="C377" s="1612">
        <f>ROUND(Data!K1694,2)</f>
        <v>1.5</v>
      </c>
      <c r="D377" s="1610" t="s">
        <v>1418</v>
      </c>
      <c r="E377" s="1616">
        <f>station!I882</f>
        <v>100</v>
      </c>
      <c r="F377" s="1617">
        <f t="shared" si="96"/>
        <v>150</v>
      </c>
      <c r="G377" s="1618"/>
      <c r="H377" s="1618">
        <f t="shared" si="97"/>
        <v>0</v>
      </c>
      <c r="I377" s="1618"/>
      <c r="J377" s="1618">
        <f t="shared" si="98"/>
        <v>0</v>
      </c>
      <c r="K377" s="1618"/>
      <c r="L377" s="1618">
        <f t="shared" si="112"/>
        <v>0</v>
      </c>
      <c r="M377" s="1618"/>
      <c r="N377" s="1618">
        <f>M377*C377</f>
        <v>0</v>
      </c>
      <c r="O377" s="1618"/>
      <c r="P377" s="1618">
        <f>O377*C377</f>
        <v>0</v>
      </c>
      <c r="Q377" s="1618"/>
      <c r="R377" s="1618">
        <f>Q377*C377</f>
        <v>0</v>
      </c>
      <c r="S377" s="1618"/>
      <c r="T377" s="1618">
        <f t="shared" si="90"/>
        <v>0</v>
      </c>
      <c r="U377" s="1618"/>
      <c r="V377" s="1618">
        <f t="shared" si="91"/>
        <v>0</v>
      </c>
      <c r="W377" s="1619" t="e">
        <f>U377+S377+O377+M377+#REF!+K377+I377+G377+Q377</f>
        <v>#REF!</v>
      </c>
      <c r="X377" s="1618" t="e">
        <f t="shared" si="109"/>
        <v>#REF!</v>
      </c>
      <c r="Y377" s="1619" t="e">
        <f>W377+E377</f>
        <v>#REF!</v>
      </c>
      <c r="Z377" s="1618" t="e">
        <f t="shared" si="89"/>
        <v>#REF!</v>
      </c>
      <c r="AA377" s="673"/>
      <c r="AB377" s="673"/>
    </row>
    <row r="378" spans="1:29" s="301" customFormat="1" hidden="1">
      <c r="A378" s="536">
        <v>50.1</v>
      </c>
      <c r="B378" s="537" t="s">
        <v>1866</v>
      </c>
      <c r="C378" s="538"/>
      <c r="D378" s="443" t="s">
        <v>1867</v>
      </c>
      <c r="E378" s="526"/>
      <c r="F378" s="630">
        <f t="shared" si="96"/>
        <v>0</v>
      </c>
      <c r="G378" s="526"/>
      <c r="H378" s="517">
        <f t="shared" si="97"/>
        <v>0</v>
      </c>
      <c r="I378" s="526"/>
      <c r="J378" s="517">
        <f t="shared" si="98"/>
        <v>0</v>
      </c>
      <c r="K378" s="517"/>
      <c r="L378" s="517"/>
      <c r="M378" s="517"/>
      <c r="N378" s="517"/>
      <c r="O378" s="517"/>
      <c r="P378" s="517"/>
      <c r="Q378" s="517"/>
      <c r="R378" s="517"/>
      <c r="S378" s="517"/>
      <c r="T378" s="517">
        <f t="shared" si="90"/>
        <v>0</v>
      </c>
      <c r="U378" s="526"/>
      <c r="V378" s="517">
        <f t="shared" si="91"/>
        <v>0</v>
      </c>
      <c r="W378" s="632">
        <f>I378+S378+U378</f>
        <v>0</v>
      </c>
      <c r="X378" s="517">
        <f t="shared" si="109"/>
        <v>0</v>
      </c>
      <c r="Y378" s="632">
        <f>W378+E378+G378</f>
        <v>0</v>
      </c>
      <c r="Z378" s="517">
        <f t="shared" si="89"/>
        <v>0</v>
      </c>
      <c r="AA378" s="675"/>
      <c r="AB378" s="674"/>
    </row>
    <row r="379" spans="1:29" ht="45">
      <c r="A379" s="1624">
        <v>50.2</v>
      </c>
      <c r="B379" s="1166" t="s">
        <v>290</v>
      </c>
      <c r="C379" s="1637">
        <f>ROUND(Data!K1743,2)</f>
        <v>244.49</v>
      </c>
      <c r="D379" s="1631" t="s">
        <v>835</v>
      </c>
      <c r="E379" s="1616"/>
      <c r="F379" s="1617">
        <f t="shared" si="96"/>
        <v>0</v>
      </c>
      <c r="G379" s="1618"/>
      <c r="H379" s="1618">
        <f t="shared" si="97"/>
        <v>0</v>
      </c>
      <c r="I379" s="1618"/>
      <c r="J379" s="1618">
        <f t="shared" si="98"/>
        <v>0</v>
      </c>
      <c r="K379" s="1618"/>
      <c r="L379" s="1618">
        <f t="shared" ref="L379:L388" si="113">K379*C379</f>
        <v>0</v>
      </c>
      <c r="M379" s="1618">
        <f>'paver block (2)'!H35</f>
        <v>164.8</v>
      </c>
      <c r="N379" s="1618">
        <f t="shared" ref="N379:N388" si="114">M379*C379</f>
        <v>40291.949999999997</v>
      </c>
      <c r="O379" s="1618"/>
      <c r="P379" s="1618">
        <f t="shared" ref="P379:P388" si="115">O379*C379</f>
        <v>0</v>
      </c>
      <c r="Q379" s="1618"/>
      <c r="R379" s="1618">
        <f t="shared" ref="R379:R388" si="116">Q379*C379</f>
        <v>0</v>
      </c>
      <c r="S379" s="1618"/>
      <c r="T379" s="1618">
        <f t="shared" si="90"/>
        <v>0</v>
      </c>
      <c r="U379" s="1618"/>
      <c r="V379" s="1618">
        <f t="shared" si="91"/>
        <v>0</v>
      </c>
      <c r="W379" s="1619" t="e">
        <f>U379+S379+O379+M379+#REF!+K379+I379+G379+Q379</f>
        <v>#REF!</v>
      </c>
      <c r="X379" s="1618" t="e">
        <f t="shared" si="109"/>
        <v>#REF!</v>
      </c>
      <c r="Y379" s="1619" t="e">
        <f t="shared" ref="Y379:Y388" si="117">W379+E379</f>
        <v>#REF!</v>
      </c>
      <c r="Z379" s="1618" t="e">
        <f t="shared" si="89"/>
        <v>#REF!</v>
      </c>
      <c r="AA379" s="673"/>
      <c r="AB379" s="673"/>
    </row>
    <row r="380" spans="1:29" ht="49.5" customHeight="1">
      <c r="A380" s="1608">
        <v>50.3</v>
      </c>
      <c r="B380" s="1166" t="s">
        <v>2218</v>
      </c>
      <c r="C380" s="1612">
        <f>ROUND(Data!K1759,2)</f>
        <v>353.2</v>
      </c>
      <c r="D380" s="1610" t="s">
        <v>1418</v>
      </c>
      <c r="E380" s="1616">
        <f>station!I883</f>
        <v>15</v>
      </c>
      <c r="F380" s="1617">
        <f t="shared" si="96"/>
        <v>5298</v>
      </c>
      <c r="G380" s="1618"/>
      <c r="H380" s="1618">
        <f t="shared" si="97"/>
        <v>0</v>
      </c>
      <c r="I380" s="1618"/>
      <c r="J380" s="1618">
        <f t="shared" si="98"/>
        <v>0</v>
      </c>
      <c r="K380" s="1618"/>
      <c r="L380" s="1618">
        <f t="shared" si="113"/>
        <v>0</v>
      </c>
      <c r="M380" s="1618"/>
      <c r="N380" s="1618">
        <f t="shared" si="114"/>
        <v>0</v>
      </c>
      <c r="O380" s="1618"/>
      <c r="P380" s="1618">
        <f t="shared" si="115"/>
        <v>0</v>
      </c>
      <c r="Q380" s="1618"/>
      <c r="R380" s="1618">
        <f t="shared" si="116"/>
        <v>0</v>
      </c>
      <c r="S380" s="1618"/>
      <c r="T380" s="1618">
        <f t="shared" si="90"/>
        <v>0</v>
      </c>
      <c r="U380" s="1618"/>
      <c r="V380" s="1618">
        <f t="shared" si="91"/>
        <v>0</v>
      </c>
      <c r="W380" s="1619" t="e">
        <f>U380+S380+O380+M380+#REF!+K380+I380+G380+Q380</f>
        <v>#REF!</v>
      </c>
      <c r="X380" s="1618" t="e">
        <f t="shared" si="109"/>
        <v>#REF!</v>
      </c>
      <c r="Y380" s="1619" t="e">
        <f t="shared" si="117"/>
        <v>#REF!</v>
      </c>
      <c r="Z380" s="1618" t="e">
        <f t="shared" si="89"/>
        <v>#REF!</v>
      </c>
      <c r="AA380" s="673"/>
      <c r="AB380" s="673"/>
    </row>
    <row r="381" spans="1:29" ht="43.5" customHeight="1">
      <c r="A381" s="1608">
        <v>50.4</v>
      </c>
      <c r="B381" s="1166" t="s">
        <v>2219</v>
      </c>
      <c r="C381" s="1612">
        <v>812.3</v>
      </c>
      <c r="D381" s="1610" t="s">
        <v>1418</v>
      </c>
      <c r="E381" s="1616">
        <f>station!I884</f>
        <v>15</v>
      </c>
      <c r="F381" s="1617">
        <f t="shared" si="96"/>
        <v>12184.5</v>
      </c>
      <c r="G381" s="1618"/>
      <c r="H381" s="1618">
        <f t="shared" si="97"/>
        <v>0</v>
      </c>
      <c r="I381" s="1618"/>
      <c r="J381" s="1618">
        <f t="shared" si="98"/>
        <v>0</v>
      </c>
      <c r="K381" s="1618"/>
      <c r="L381" s="1618">
        <f t="shared" si="113"/>
        <v>0</v>
      </c>
      <c r="M381" s="1618"/>
      <c r="N381" s="1618">
        <f t="shared" si="114"/>
        <v>0</v>
      </c>
      <c r="O381" s="1618"/>
      <c r="P381" s="1618">
        <f t="shared" si="115"/>
        <v>0</v>
      </c>
      <c r="Q381" s="1618"/>
      <c r="R381" s="1618">
        <f t="shared" si="116"/>
        <v>0</v>
      </c>
      <c r="S381" s="1618"/>
      <c r="T381" s="1618">
        <f t="shared" si="90"/>
        <v>0</v>
      </c>
      <c r="U381" s="1618"/>
      <c r="V381" s="1618">
        <f t="shared" si="91"/>
        <v>0</v>
      </c>
      <c r="W381" s="1619" t="e">
        <f>U381+S381+O381+M381+#REF!+K381+I381+G381+Q381</f>
        <v>#REF!</v>
      </c>
      <c r="X381" s="1618" t="e">
        <f t="shared" si="109"/>
        <v>#REF!</v>
      </c>
      <c r="Y381" s="1619" t="e">
        <f t="shared" si="117"/>
        <v>#REF!</v>
      </c>
      <c r="Z381" s="1618" t="e">
        <f t="shared" si="89"/>
        <v>#REF!</v>
      </c>
      <c r="AA381" s="673"/>
      <c r="AB381" s="673"/>
    </row>
    <row r="382" spans="1:29" ht="45">
      <c r="A382" s="1608">
        <v>50.5</v>
      </c>
      <c r="B382" s="1166" t="s">
        <v>391</v>
      </c>
      <c r="C382" s="1612">
        <f>ROUND(Data!K1787,2)</f>
        <v>17220.29</v>
      </c>
      <c r="D382" s="1610" t="s">
        <v>1418</v>
      </c>
      <c r="E382" s="1616">
        <f>station!I885</f>
        <v>1</v>
      </c>
      <c r="F382" s="1617">
        <f t="shared" si="96"/>
        <v>17220.29</v>
      </c>
      <c r="G382" s="1618"/>
      <c r="H382" s="1618">
        <f t="shared" si="97"/>
        <v>0</v>
      </c>
      <c r="I382" s="1618"/>
      <c r="J382" s="1618">
        <f t="shared" si="98"/>
        <v>0</v>
      </c>
      <c r="K382" s="1618"/>
      <c r="L382" s="1618">
        <f t="shared" si="113"/>
        <v>0</v>
      </c>
      <c r="M382" s="1618"/>
      <c r="N382" s="1618">
        <f t="shared" si="114"/>
        <v>0</v>
      </c>
      <c r="O382" s="1618"/>
      <c r="P382" s="1618">
        <f t="shared" si="115"/>
        <v>0</v>
      </c>
      <c r="Q382" s="1618"/>
      <c r="R382" s="1618">
        <f t="shared" si="116"/>
        <v>0</v>
      </c>
      <c r="S382" s="1618"/>
      <c r="T382" s="1618">
        <f t="shared" si="90"/>
        <v>0</v>
      </c>
      <c r="U382" s="1618"/>
      <c r="V382" s="1618">
        <f t="shared" si="91"/>
        <v>0</v>
      </c>
      <c r="W382" s="1619" t="e">
        <f>U382+S382+O382+M382+#REF!+K382+I382+G382+Q382</f>
        <v>#REF!</v>
      </c>
      <c r="X382" s="1618" t="e">
        <f t="shared" si="109"/>
        <v>#REF!</v>
      </c>
      <c r="Y382" s="1619" t="e">
        <f t="shared" si="117"/>
        <v>#REF!</v>
      </c>
      <c r="Z382" s="1618" t="e">
        <f t="shared" si="89"/>
        <v>#REF!</v>
      </c>
      <c r="AA382" s="673"/>
      <c r="AB382" s="673"/>
    </row>
    <row r="383" spans="1:29" s="301" customFormat="1">
      <c r="A383" s="1652">
        <v>51</v>
      </c>
      <c r="B383" s="1176" t="s">
        <v>243</v>
      </c>
      <c r="C383" s="1653">
        <f>ROUND(Data!K1793,2)</f>
        <v>6720</v>
      </c>
      <c r="D383" s="1654" t="s">
        <v>1418</v>
      </c>
      <c r="E383" s="1649"/>
      <c r="F383" s="1617">
        <f t="shared" si="96"/>
        <v>0</v>
      </c>
      <c r="G383" s="1649"/>
      <c r="H383" s="1618">
        <f t="shared" si="97"/>
        <v>0</v>
      </c>
      <c r="I383" s="1649"/>
      <c r="J383" s="1618">
        <f t="shared" si="98"/>
        <v>0</v>
      </c>
      <c r="K383" s="1650"/>
      <c r="L383" s="1618">
        <f t="shared" si="113"/>
        <v>0</v>
      </c>
      <c r="M383" s="1650"/>
      <c r="N383" s="1618">
        <f t="shared" si="114"/>
        <v>0</v>
      </c>
      <c r="O383" s="1650"/>
      <c r="P383" s="1618">
        <f t="shared" si="115"/>
        <v>0</v>
      </c>
      <c r="Q383" s="1650"/>
      <c r="R383" s="1618">
        <f t="shared" si="116"/>
        <v>0</v>
      </c>
      <c r="S383" s="1650"/>
      <c r="T383" s="1618">
        <f t="shared" si="90"/>
        <v>0</v>
      </c>
      <c r="U383" s="1649"/>
      <c r="V383" s="1618">
        <f t="shared" si="91"/>
        <v>0</v>
      </c>
      <c r="W383" s="1619" t="e">
        <f>U383+S383+O383+M383+#REF!+K383+I383+G383+Q383</f>
        <v>#REF!</v>
      </c>
      <c r="X383" s="1618" t="e">
        <f t="shared" si="109"/>
        <v>#REF!</v>
      </c>
      <c r="Y383" s="1619" t="e">
        <f t="shared" si="117"/>
        <v>#REF!</v>
      </c>
      <c r="Z383" s="1618" t="e">
        <f t="shared" ref="Z383:Z446" si="118">Y383*C383</f>
        <v>#REF!</v>
      </c>
      <c r="AA383" s="675"/>
      <c r="AB383" s="674"/>
    </row>
    <row r="384" spans="1:29" s="480" customFormat="1">
      <c r="A384" s="1635">
        <v>52</v>
      </c>
      <c r="B384" s="1170" t="s">
        <v>244</v>
      </c>
      <c r="C384" s="1636"/>
      <c r="D384" s="1611"/>
      <c r="E384" s="1616"/>
      <c r="F384" s="1617">
        <f t="shared" si="96"/>
        <v>0</v>
      </c>
      <c r="G384" s="1616"/>
      <c r="H384" s="1618">
        <f t="shared" si="97"/>
        <v>0</v>
      </c>
      <c r="I384" s="1616"/>
      <c r="J384" s="1618">
        <f t="shared" si="98"/>
        <v>0</v>
      </c>
      <c r="K384" s="1618"/>
      <c r="L384" s="1618">
        <f t="shared" si="113"/>
        <v>0</v>
      </c>
      <c r="M384" s="1618"/>
      <c r="N384" s="1618">
        <f t="shared" si="114"/>
        <v>0</v>
      </c>
      <c r="O384" s="1618"/>
      <c r="P384" s="1618">
        <f t="shared" si="115"/>
        <v>0</v>
      </c>
      <c r="Q384" s="1618"/>
      <c r="R384" s="1618">
        <f t="shared" si="116"/>
        <v>0</v>
      </c>
      <c r="S384" s="1618"/>
      <c r="T384" s="1618">
        <f t="shared" si="90"/>
        <v>0</v>
      </c>
      <c r="U384" s="1616"/>
      <c r="V384" s="1618">
        <f t="shared" si="91"/>
        <v>0</v>
      </c>
      <c r="W384" s="1619" t="e">
        <f>U384+S384+O384+M384+#REF!+K384+I384+G384+Q384</f>
        <v>#REF!</v>
      </c>
      <c r="X384" s="1618" t="e">
        <f t="shared" si="109"/>
        <v>#REF!</v>
      </c>
      <c r="Y384" s="1619" t="e">
        <f t="shared" si="117"/>
        <v>#REF!</v>
      </c>
      <c r="Z384" s="1618" t="e">
        <f t="shared" si="118"/>
        <v>#REF!</v>
      </c>
      <c r="AA384" s="533"/>
      <c r="AB384" s="674"/>
      <c r="AC384" s="474"/>
    </row>
    <row r="385" spans="1:28" s="480" customFormat="1">
      <c r="A385" s="1172"/>
      <c r="B385" s="1172" t="s">
        <v>48</v>
      </c>
      <c r="C385" s="1636">
        <v>227.05</v>
      </c>
      <c r="D385" s="1611" t="s">
        <v>835</v>
      </c>
      <c r="E385" s="1616">
        <f>station!I889</f>
        <v>50</v>
      </c>
      <c r="F385" s="1617">
        <f t="shared" si="96"/>
        <v>11352.5</v>
      </c>
      <c r="G385" s="1616"/>
      <c r="H385" s="1618">
        <f t="shared" si="97"/>
        <v>0</v>
      </c>
      <c r="I385" s="1616"/>
      <c r="J385" s="1618">
        <f t="shared" si="98"/>
        <v>0</v>
      </c>
      <c r="K385" s="1618"/>
      <c r="L385" s="1618">
        <f t="shared" si="113"/>
        <v>0</v>
      </c>
      <c r="M385" s="1618"/>
      <c r="N385" s="1618">
        <f t="shared" si="114"/>
        <v>0</v>
      </c>
      <c r="O385" s="1618"/>
      <c r="P385" s="1618">
        <f t="shared" si="115"/>
        <v>0</v>
      </c>
      <c r="Q385" s="1618"/>
      <c r="R385" s="1618">
        <f t="shared" si="116"/>
        <v>0</v>
      </c>
      <c r="S385" s="1618"/>
      <c r="T385" s="1618">
        <f t="shared" si="90"/>
        <v>0</v>
      </c>
      <c r="U385" s="1616"/>
      <c r="V385" s="1618">
        <f t="shared" si="91"/>
        <v>0</v>
      </c>
      <c r="W385" s="1619" t="e">
        <f>U385+S385+O385+M385+#REF!+K385+I385+G385+Q385</f>
        <v>#REF!</v>
      </c>
      <c r="X385" s="1618" t="e">
        <f t="shared" si="109"/>
        <v>#REF!</v>
      </c>
      <c r="Y385" s="1619" t="e">
        <f t="shared" si="117"/>
        <v>#REF!</v>
      </c>
      <c r="Z385" s="1618" t="e">
        <f t="shared" si="118"/>
        <v>#REF!</v>
      </c>
      <c r="AA385" s="674"/>
      <c r="AB385" s="674"/>
    </row>
    <row r="386" spans="1:28" s="480" customFormat="1">
      <c r="A386" s="1172"/>
      <c r="B386" s="1172" t="s">
        <v>49</v>
      </c>
      <c r="C386" s="1636">
        <v>209.81</v>
      </c>
      <c r="D386" s="1611" t="s">
        <v>835</v>
      </c>
      <c r="E386" s="1616">
        <f>station!I892</f>
        <v>60</v>
      </c>
      <c r="F386" s="1617">
        <f t="shared" si="96"/>
        <v>12588.6</v>
      </c>
      <c r="G386" s="1616"/>
      <c r="H386" s="1618">
        <f t="shared" si="97"/>
        <v>0</v>
      </c>
      <c r="I386" s="1616"/>
      <c r="J386" s="1618">
        <f t="shared" si="98"/>
        <v>0</v>
      </c>
      <c r="K386" s="1618"/>
      <c r="L386" s="1618">
        <f t="shared" si="113"/>
        <v>0</v>
      </c>
      <c r="M386" s="1618"/>
      <c r="N386" s="1618">
        <f t="shared" si="114"/>
        <v>0</v>
      </c>
      <c r="O386" s="1618"/>
      <c r="P386" s="1618">
        <f t="shared" si="115"/>
        <v>0</v>
      </c>
      <c r="Q386" s="1618"/>
      <c r="R386" s="1618">
        <f t="shared" si="116"/>
        <v>0</v>
      </c>
      <c r="S386" s="1618"/>
      <c r="T386" s="1618">
        <f t="shared" si="90"/>
        <v>0</v>
      </c>
      <c r="U386" s="1616"/>
      <c r="V386" s="1618">
        <f t="shared" si="91"/>
        <v>0</v>
      </c>
      <c r="W386" s="1619" t="e">
        <f>U386+S386+O386+M386+#REF!+K386+I386+G386+Q386</f>
        <v>#REF!</v>
      </c>
      <c r="X386" s="1618" t="e">
        <f t="shared" si="109"/>
        <v>#REF!</v>
      </c>
      <c r="Y386" s="1619" t="e">
        <f t="shared" si="117"/>
        <v>#REF!</v>
      </c>
      <c r="Z386" s="1618" t="e">
        <f t="shared" si="118"/>
        <v>#REF!</v>
      </c>
      <c r="AA386" s="674"/>
      <c r="AB386" s="674"/>
    </row>
    <row r="387" spans="1:28" s="301" customFormat="1">
      <c r="A387" s="1655"/>
      <c r="B387" s="1166" t="s">
        <v>50</v>
      </c>
      <c r="C387" s="1625">
        <v>205.03</v>
      </c>
      <c r="D387" s="1610" t="s">
        <v>835</v>
      </c>
      <c r="E387" s="1616">
        <f>station!I895</f>
        <v>60</v>
      </c>
      <c r="F387" s="1617">
        <f t="shared" si="96"/>
        <v>12301.8</v>
      </c>
      <c r="G387" s="1616"/>
      <c r="H387" s="1618">
        <f t="shared" si="97"/>
        <v>0</v>
      </c>
      <c r="I387" s="1616"/>
      <c r="J387" s="1618">
        <f t="shared" si="98"/>
        <v>0</v>
      </c>
      <c r="K387" s="1618"/>
      <c r="L387" s="1618">
        <f t="shared" si="113"/>
        <v>0</v>
      </c>
      <c r="M387" s="1618"/>
      <c r="N387" s="1618">
        <f t="shared" si="114"/>
        <v>0</v>
      </c>
      <c r="O387" s="1618"/>
      <c r="P387" s="1618">
        <f t="shared" si="115"/>
        <v>0</v>
      </c>
      <c r="Q387" s="1618"/>
      <c r="R387" s="1618">
        <f t="shared" si="116"/>
        <v>0</v>
      </c>
      <c r="S387" s="1618"/>
      <c r="T387" s="1618">
        <f t="shared" si="90"/>
        <v>0</v>
      </c>
      <c r="U387" s="1616"/>
      <c r="V387" s="1618">
        <f t="shared" si="91"/>
        <v>0</v>
      </c>
      <c r="W387" s="1619" t="e">
        <f>U387+S387+O387+M387+#REF!+K387+I387+G387+Q387</f>
        <v>#REF!</v>
      </c>
      <c r="X387" s="1618" t="e">
        <f t="shared" si="109"/>
        <v>#REF!</v>
      </c>
      <c r="Y387" s="1619" t="e">
        <f t="shared" si="117"/>
        <v>#REF!</v>
      </c>
      <c r="Z387" s="1618" t="e">
        <f t="shared" si="118"/>
        <v>#REF!</v>
      </c>
      <c r="AA387" s="675"/>
      <c r="AB387" s="674"/>
    </row>
    <row r="388" spans="1:28" ht="45">
      <c r="A388" s="1608">
        <v>52.1</v>
      </c>
      <c r="B388" s="1166" t="s">
        <v>1543</v>
      </c>
      <c r="C388" s="1612">
        <v>287.95</v>
      </c>
      <c r="D388" s="1610" t="s">
        <v>835</v>
      </c>
      <c r="E388" s="1616">
        <f>station!I897</f>
        <v>6</v>
      </c>
      <c r="F388" s="1617">
        <f t="shared" si="96"/>
        <v>1727.7</v>
      </c>
      <c r="G388" s="1618"/>
      <c r="H388" s="1618">
        <f t="shared" si="97"/>
        <v>0</v>
      </c>
      <c r="I388" s="1618"/>
      <c r="J388" s="1618">
        <f t="shared" si="98"/>
        <v>0</v>
      </c>
      <c r="K388" s="1618"/>
      <c r="L388" s="1618">
        <f t="shared" si="113"/>
        <v>0</v>
      </c>
      <c r="M388" s="1618"/>
      <c r="N388" s="1618">
        <f t="shared" si="114"/>
        <v>0</v>
      </c>
      <c r="O388" s="1618"/>
      <c r="P388" s="1618">
        <f t="shared" si="115"/>
        <v>0</v>
      </c>
      <c r="Q388" s="1618"/>
      <c r="R388" s="1618">
        <f t="shared" si="116"/>
        <v>0</v>
      </c>
      <c r="S388" s="1618"/>
      <c r="T388" s="1618">
        <f t="shared" si="90"/>
        <v>0</v>
      </c>
      <c r="U388" s="1618"/>
      <c r="V388" s="1618">
        <f t="shared" si="91"/>
        <v>0</v>
      </c>
      <c r="W388" s="1619" t="e">
        <f>U388+S388+O388+M388+#REF!+K388+I388+G388+Q388</f>
        <v>#REF!</v>
      </c>
      <c r="X388" s="1618" t="e">
        <f t="shared" si="109"/>
        <v>#REF!</v>
      </c>
      <c r="Y388" s="1619" t="e">
        <f t="shared" si="117"/>
        <v>#REF!</v>
      </c>
      <c r="Z388" s="1618" t="e">
        <f t="shared" si="118"/>
        <v>#REF!</v>
      </c>
      <c r="AA388" s="673"/>
      <c r="AB388" s="673"/>
    </row>
    <row r="389" spans="1:28" s="301" customFormat="1" hidden="1">
      <c r="A389" s="536">
        <v>53.1</v>
      </c>
      <c r="B389" s="537" t="s">
        <v>51</v>
      </c>
      <c r="C389" s="538">
        <f>ROUND(Data!K1945,2)</f>
        <v>3074.82</v>
      </c>
      <c r="D389" s="443" t="s">
        <v>1418</v>
      </c>
      <c r="E389" s="526"/>
      <c r="F389" s="630">
        <f t="shared" si="96"/>
        <v>0</v>
      </c>
      <c r="G389" s="526"/>
      <c r="H389" s="517">
        <f t="shared" si="97"/>
        <v>0</v>
      </c>
      <c r="I389" s="526"/>
      <c r="J389" s="517">
        <f t="shared" si="98"/>
        <v>0</v>
      </c>
      <c r="K389" s="517"/>
      <c r="L389" s="517"/>
      <c r="M389" s="517"/>
      <c r="N389" s="517"/>
      <c r="O389" s="517"/>
      <c r="P389" s="517"/>
      <c r="Q389" s="517"/>
      <c r="R389" s="517"/>
      <c r="S389" s="517"/>
      <c r="T389" s="517">
        <f t="shared" si="90"/>
        <v>0</v>
      </c>
      <c r="U389" s="526"/>
      <c r="V389" s="517">
        <f t="shared" si="91"/>
        <v>0</v>
      </c>
      <c r="W389" s="632">
        <f>I389+S389+U389</f>
        <v>0</v>
      </c>
      <c r="X389" s="517">
        <f t="shared" si="109"/>
        <v>0</v>
      </c>
      <c r="Y389" s="632">
        <f>W389+E389+G389</f>
        <v>0</v>
      </c>
      <c r="Z389" s="517">
        <f t="shared" si="118"/>
        <v>0</v>
      </c>
      <c r="AA389" s="675"/>
      <c r="AB389" s="674"/>
    </row>
    <row r="390" spans="1:28" s="301" customFormat="1" ht="46.5" hidden="1">
      <c r="A390" s="368">
        <v>53.2</v>
      </c>
      <c r="B390" s="320" t="s">
        <v>1201</v>
      </c>
      <c r="C390" s="307"/>
      <c r="D390" s="486" t="s">
        <v>1418</v>
      </c>
      <c r="E390" s="526"/>
      <c r="F390" s="630">
        <f t="shared" si="96"/>
        <v>0</v>
      </c>
      <c r="G390" s="526"/>
      <c r="H390" s="517">
        <f t="shared" si="97"/>
        <v>0</v>
      </c>
      <c r="I390" s="526"/>
      <c r="J390" s="517">
        <f t="shared" si="98"/>
        <v>0</v>
      </c>
      <c r="K390" s="517"/>
      <c r="L390" s="517"/>
      <c r="M390" s="517"/>
      <c r="N390" s="517"/>
      <c r="O390" s="517"/>
      <c r="P390" s="517"/>
      <c r="Q390" s="517"/>
      <c r="R390" s="517"/>
      <c r="S390" s="517"/>
      <c r="T390" s="517">
        <f t="shared" si="90"/>
        <v>0</v>
      </c>
      <c r="U390" s="526"/>
      <c r="V390" s="517">
        <f t="shared" si="91"/>
        <v>0</v>
      </c>
      <c r="W390" s="632">
        <f>I390+S390+U390</f>
        <v>0</v>
      </c>
      <c r="X390" s="517">
        <f t="shared" si="109"/>
        <v>0</v>
      </c>
      <c r="Y390" s="632">
        <f>W390+E390+G390</f>
        <v>0</v>
      </c>
      <c r="Z390" s="517">
        <f t="shared" si="118"/>
        <v>0</v>
      </c>
      <c r="AA390" s="675"/>
      <c r="AB390" s="674"/>
    </row>
    <row r="391" spans="1:28">
      <c r="A391" s="1608">
        <v>53.3</v>
      </c>
      <c r="B391" s="1166" t="s">
        <v>52</v>
      </c>
      <c r="C391" s="1612">
        <f>ROUND(Data!K1949,2)</f>
        <v>30</v>
      </c>
      <c r="D391" s="1610" t="s">
        <v>1418</v>
      </c>
      <c r="E391" s="1616"/>
      <c r="F391" s="1617">
        <f t="shared" si="96"/>
        <v>0</v>
      </c>
      <c r="G391" s="1618"/>
      <c r="H391" s="1618">
        <f>G391*C391</f>
        <v>0</v>
      </c>
      <c r="I391" s="1618">
        <f>Sump!H50</f>
        <v>5</v>
      </c>
      <c r="J391" s="1618">
        <f>I391*C391</f>
        <v>150</v>
      </c>
      <c r="K391" s="1618"/>
      <c r="L391" s="1618">
        <f>K391*C391</f>
        <v>0</v>
      </c>
      <c r="M391" s="1618"/>
      <c r="N391" s="1618">
        <f>M391*C391</f>
        <v>0</v>
      </c>
      <c r="O391" s="1618"/>
      <c r="P391" s="1618">
        <f>O391*C391</f>
        <v>0</v>
      </c>
      <c r="Q391" s="1618"/>
      <c r="R391" s="1618">
        <f>Q391*C391</f>
        <v>0</v>
      </c>
      <c r="S391" s="1618"/>
      <c r="T391" s="1618">
        <f t="shared" ref="T391:T454" si="119">S391*C391</f>
        <v>0</v>
      </c>
      <c r="U391" s="1618"/>
      <c r="V391" s="1618">
        <f t="shared" ref="V391:V454" si="120">U391*C391</f>
        <v>0</v>
      </c>
      <c r="W391" s="1619" t="e">
        <f>U391+S391+O391+M391+#REF!+K391+I391+G391+Q391</f>
        <v>#REF!</v>
      </c>
      <c r="X391" s="1618" t="e">
        <f t="shared" si="109"/>
        <v>#REF!</v>
      </c>
      <c r="Y391" s="1619" t="e">
        <f>W391+E391</f>
        <v>#REF!</v>
      </c>
      <c r="Z391" s="1618" t="e">
        <f t="shared" si="118"/>
        <v>#REF!</v>
      </c>
      <c r="AA391" s="673"/>
      <c r="AB391" s="673"/>
    </row>
    <row r="392" spans="1:28" s="301" customFormat="1" hidden="1">
      <c r="A392" s="547">
        <v>54</v>
      </c>
      <c r="B392" s="537" t="s">
        <v>989</v>
      </c>
      <c r="C392" s="538">
        <f>ROUND(Data!K1951,2)</f>
        <v>204</v>
      </c>
      <c r="D392" s="443" t="s">
        <v>1418</v>
      </c>
      <c r="E392" s="526"/>
      <c r="F392" s="630">
        <f t="shared" si="96"/>
        <v>0</v>
      </c>
      <c r="G392" s="526"/>
      <c r="H392" s="517">
        <f t="shared" si="97"/>
        <v>0</v>
      </c>
      <c r="I392" s="526"/>
      <c r="J392" s="517">
        <f t="shared" si="98"/>
        <v>0</v>
      </c>
      <c r="K392" s="517"/>
      <c r="L392" s="517"/>
      <c r="M392" s="517"/>
      <c r="N392" s="517"/>
      <c r="O392" s="517"/>
      <c r="P392" s="517"/>
      <c r="Q392" s="517"/>
      <c r="R392" s="517"/>
      <c r="S392" s="517"/>
      <c r="T392" s="517">
        <f t="shared" si="119"/>
        <v>0</v>
      </c>
      <c r="U392" s="526"/>
      <c r="V392" s="517">
        <f t="shared" si="120"/>
        <v>0</v>
      </c>
      <c r="W392" s="632">
        <f t="shared" ref="W392:W408" si="121">I392+S392+U392</f>
        <v>0</v>
      </c>
      <c r="X392" s="517">
        <f t="shared" si="109"/>
        <v>0</v>
      </c>
      <c r="Y392" s="632">
        <f t="shared" ref="Y392:Y408" si="122">W392+E392+G392</f>
        <v>0</v>
      </c>
      <c r="Z392" s="517">
        <f t="shared" si="118"/>
        <v>0</v>
      </c>
      <c r="AA392" s="675"/>
      <c r="AB392" s="674"/>
    </row>
    <row r="393" spans="1:28" s="301" customFormat="1" hidden="1">
      <c r="A393" s="368">
        <v>54.1</v>
      </c>
      <c r="B393" s="320" t="s">
        <v>1202</v>
      </c>
      <c r="C393" s="308">
        <f>ROUND(Data!K1954,2)</f>
        <v>300</v>
      </c>
      <c r="D393" s="486" t="s">
        <v>1418</v>
      </c>
      <c r="E393" s="526"/>
      <c r="F393" s="630">
        <f t="shared" si="96"/>
        <v>0</v>
      </c>
      <c r="G393" s="526"/>
      <c r="H393" s="517">
        <f t="shared" si="97"/>
        <v>0</v>
      </c>
      <c r="I393" s="526"/>
      <c r="J393" s="517">
        <f t="shared" si="98"/>
        <v>0</v>
      </c>
      <c r="K393" s="517"/>
      <c r="L393" s="517"/>
      <c r="M393" s="517"/>
      <c r="N393" s="517"/>
      <c r="O393" s="517"/>
      <c r="P393" s="517"/>
      <c r="Q393" s="517"/>
      <c r="R393" s="517"/>
      <c r="S393" s="517"/>
      <c r="T393" s="517">
        <f t="shared" si="119"/>
        <v>0</v>
      </c>
      <c r="U393" s="526"/>
      <c r="V393" s="517">
        <f t="shared" si="120"/>
        <v>0</v>
      </c>
      <c r="W393" s="632">
        <f t="shared" si="121"/>
        <v>0</v>
      </c>
      <c r="X393" s="517">
        <f t="shared" si="109"/>
        <v>0</v>
      </c>
      <c r="Y393" s="632">
        <f t="shared" si="122"/>
        <v>0</v>
      </c>
      <c r="Z393" s="517">
        <f t="shared" si="118"/>
        <v>0</v>
      </c>
      <c r="AA393" s="675"/>
      <c r="AB393" s="674"/>
    </row>
    <row r="394" spans="1:28" s="301" customFormat="1" hidden="1">
      <c r="A394" s="368">
        <v>54.2</v>
      </c>
      <c r="B394" s="320" t="s">
        <v>1203</v>
      </c>
      <c r="C394" s="308">
        <f>ROUND(Data!K1957,2)</f>
        <v>250</v>
      </c>
      <c r="D394" s="486" t="s">
        <v>1418</v>
      </c>
      <c r="E394" s="526"/>
      <c r="F394" s="630">
        <f t="shared" si="96"/>
        <v>0</v>
      </c>
      <c r="G394" s="526"/>
      <c r="H394" s="517">
        <f t="shared" si="97"/>
        <v>0</v>
      </c>
      <c r="I394" s="526"/>
      <c r="J394" s="517">
        <f t="shared" si="98"/>
        <v>0</v>
      </c>
      <c r="K394" s="517"/>
      <c r="L394" s="517"/>
      <c r="M394" s="517"/>
      <c r="N394" s="517"/>
      <c r="O394" s="517"/>
      <c r="P394" s="517"/>
      <c r="Q394" s="517"/>
      <c r="R394" s="517"/>
      <c r="S394" s="517"/>
      <c r="T394" s="517">
        <f t="shared" si="119"/>
        <v>0</v>
      </c>
      <c r="U394" s="526"/>
      <c r="V394" s="517">
        <f t="shared" si="120"/>
        <v>0</v>
      </c>
      <c r="W394" s="632">
        <f t="shared" si="121"/>
        <v>0</v>
      </c>
      <c r="X394" s="517">
        <f t="shared" si="109"/>
        <v>0</v>
      </c>
      <c r="Y394" s="632">
        <f t="shared" si="122"/>
        <v>0</v>
      </c>
      <c r="Z394" s="517">
        <f t="shared" si="118"/>
        <v>0</v>
      </c>
      <c r="AA394" s="675"/>
      <c r="AB394" s="674"/>
    </row>
    <row r="395" spans="1:28" s="301" customFormat="1" hidden="1">
      <c r="A395" s="368">
        <v>55.1</v>
      </c>
      <c r="B395" s="320" t="s">
        <v>1236</v>
      </c>
      <c r="C395" s="307">
        <f>Data!K2400</f>
        <v>822.61</v>
      </c>
      <c r="D395" s="486" t="s">
        <v>1418</v>
      </c>
      <c r="E395" s="526"/>
      <c r="F395" s="630">
        <f t="shared" si="96"/>
        <v>0</v>
      </c>
      <c r="G395" s="526"/>
      <c r="H395" s="517">
        <f t="shared" si="97"/>
        <v>0</v>
      </c>
      <c r="I395" s="526"/>
      <c r="J395" s="517">
        <f t="shared" si="98"/>
        <v>0</v>
      </c>
      <c r="K395" s="517"/>
      <c r="L395" s="517"/>
      <c r="M395" s="517"/>
      <c r="N395" s="517"/>
      <c r="O395" s="517"/>
      <c r="P395" s="517"/>
      <c r="Q395" s="517"/>
      <c r="R395" s="517"/>
      <c r="S395" s="517"/>
      <c r="T395" s="517">
        <f t="shared" si="119"/>
        <v>0</v>
      </c>
      <c r="U395" s="526"/>
      <c r="V395" s="517">
        <f t="shared" si="120"/>
        <v>0</v>
      </c>
      <c r="W395" s="632">
        <f t="shared" si="121"/>
        <v>0</v>
      </c>
      <c r="X395" s="517">
        <f t="shared" ref="X395:X426" si="123">W395*C395</f>
        <v>0</v>
      </c>
      <c r="Y395" s="632">
        <f t="shared" si="122"/>
        <v>0</v>
      </c>
      <c r="Z395" s="517">
        <f t="shared" si="118"/>
        <v>0</v>
      </c>
      <c r="AA395" s="675"/>
      <c r="AB395" s="674"/>
    </row>
    <row r="396" spans="1:28" s="301" customFormat="1" hidden="1">
      <c r="A396" s="368">
        <v>55.2</v>
      </c>
      <c r="B396" s="320" t="s">
        <v>1237</v>
      </c>
      <c r="C396" s="307">
        <f>Data!K2412</f>
        <v>2016.25</v>
      </c>
      <c r="D396" s="486" t="s">
        <v>1418</v>
      </c>
      <c r="E396" s="517"/>
      <c r="F396" s="630">
        <f t="shared" si="96"/>
        <v>0</v>
      </c>
      <c r="G396" s="517"/>
      <c r="H396" s="517">
        <f t="shared" si="97"/>
        <v>0</v>
      </c>
      <c r="I396" s="517"/>
      <c r="J396" s="517">
        <f t="shared" si="98"/>
        <v>0</v>
      </c>
      <c r="K396" s="517"/>
      <c r="L396" s="517"/>
      <c r="M396" s="517"/>
      <c r="N396" s="517"/>
      <c r="O396" s="517"/>
      <c r="P396" s="517"/>
      <c r="Q396" s="517"/>
      <c r="R396" s="517"/>
      <c r="S396" s="517"/>
      <c r="T396" s="517">
        <f t="shared" si="119"/>
        <v>0</v>
      </c>
      <c r="U396" s="517"/>
      <c r="V396" s="517">
        <f t="shared" si="120"/>
        <v>0</v>
      </c>
      <c r="W396" s="632">
        <f t="shared" si="121"/>
        <v>0</v>
      </c>
      <c r="X396" s="517">
        <f t="shared" si="123"/>
        <v>0</v>
      </c>
      <c r="Y396" s="632">
        <f t="shared" si="122"/>
        <v>0</v>
      </c>
      <c r="Z396" s="517">
        <f t="shared" si="118"/>
        <v>0</v>
      </c>
      <c r="AA396" s="675"/>
      <c r="AB396" s="673"/>
    </row>
    <row r="397" spans="1:28" s="301" customFormat="1" hidden="1">
      <c r="A397" s="368">
        <v>56.1</v>
      </c>
      <c r="B397" s="320" t="s">
        <v>1238</v>
      </c>
      <c r="C397" s="307">
        <f>ROUND(Data!K1974,2)</f>
        <v>3060.82</v>
      </c>
      <c r="D397" s="486" t="s">
        <v>1418</v>
      </c>
      <c r="E397" s="526"/>
      <c r="F397" s="630">
        <f t="shared" si="96"/>
        <v>0</v>
      </c>
      <c r="G397" s="526"/>
      <c r="H397" s="517">
        <f t="shared" si="97"/>
        <v>0</v>
      </c>
      <c r="I397" s="526"/>
      <c r="J397" s="517">
        <f t="shared" si="98"/>
        <v>0</v>
      </c>
      <c r="K397" s="517"/>
      <c r="L397" s="517"/>
      <c r="M397" s="517"/>
      <c r="N397" s="517"/>
      <c r="O397" s="517"/>
      <c r="P397" s="517"/>
      <c r="Q397" s="517"/>
      <c r="R397" s="517"/>
      <c r="S397" s="517"/>
      <c r="T397" s="517">
        <f t="shared" si="119"/>
        <v>0</v>
      </c>
      <c r="U397" s="526"/>
      <c r="V397" s="517">
        <f t="shared" si="120"/>
        <v>0</v>
      </c>
      <c r="W397" s="632">
        <f t="shared" si="121"/>
        <v>0</v>
      </c>
      <c r="X397" s="517">
        <f t="shared" si="123"/>
        <v>0</v>
      </c>
      <c r="Y397" s="632">
        <f t="shared" si="122"/>
        <v>0</v>
      </c>
      <c r="Z397" s="517">
        <f t="shared" si="118"/>
        <v>0</v>
      </c>
      <c r="AA397" s="675"/>
      <c r="AB397" s="674"/>
    </row>
    <row r="398" spans="1:28" s="301" customFormat="1" hidden="1">
      <c r="A398" s="368">
        <v>56.2</v>
      </c>
      <c r="B398" s="320" t="s">
        <v>2314</v>
      </c>
      <c r="C398" s="307">
        <f>ROUND(Data!K1995,2)</f>
        <v>4798.84</v>
      </c>
      <c r="D398" s="486" t="s">
        <v>1418</v>
      </c>
      <c r="E398" s="526"/>
      <c r="F398" s="630">
        <f t="shared" ref="F398:F461" si="124">E398*C398</f>
        <v>0</v>
      </c>
      <c r="G398" s="526"/>
      <c r="H398" s="517">
        <f t="shared" ref="H398:H461" si="125">G398*C398</f>
        <v>0</v>
      </c>
      <c r="I398" s="526"/>
      <c r="J398" s="517">
        <f t="shared" ref="J398:J461" si="126">I398*C398</f>
        <v>0</v>
      </c>
      <c r="K398" s="517"/>
      <c r="L398" s="517"/>
      <c r="M398" s="517"/>
      <c r="N398" s="517"/>
      <c r="O398" s="517"/>
      <c r="P398" s="517"/>
      <c r="Q398" s="517"/>
      <c r="R398" s="517"/>
      <c r="S398" s="517"/>
      <c r="T398" s="517">
        <f t="shared" si="119"/>
        <v>0</v>
      </c>
      <c r="U398" s="526"/>
      <c r="V398" s="517">
        <f t="shared" si="120"/>
        <v>0</v>
      </c>
      <c r="W398" s="632">
        <f t="shared" si="121"/>
        <v>0</v>
      </c>
      <c r="X398" s="517">
        <f t="shared" si="123"/>
        <v>0</v>
      </c>
      <c r="Y398" s="632">
        <f t="shared" si="122"/>
        <v>0</v>
      </c>
      <c r="Z398" s="517">
        <f t="shared" si="118"/>
        <v>0</v>
      </c>
      <c r="AA398" s="675"/>
      <c r="AB398" s="674"/>
    </row>
    <row r="399" spans="1:28" s="301" customFormat="1" hidden="1">
      <c r="A399" s="374">
        <v>57</v>
      </c>
      <c r="B399" s="320" t="s">
        <v>392</v>
      </c>
      <c r="C399" s="308">
        <f>ROUND(Data!K2012,2)</f>
        <v>6531.2</v>
      </c>
      <c r="D399" s="486" t="s">
        <v>1418</v>
      </c>
      <c r="E399" s="526"/>
      <c r="F399" s="630">
        <f t="shared" si="124"/>
        <v>0</v>
      </c>
      <c r="G399" s="526"/>
      <c r="H399" s="517">
        <f t="shared" si="125"/>
        <v>0</v>
      </c>
      <c r="I399" s="526"/>
      <c r="J399" s="517">
        <f t="shared" si="126"/>
        <v>0</v>
      </c>
      <c r="K399" s="517"/>
      <c r="L399" s="517"/>
      <c r="M399" s="517"/>
      <c r="N399" s="517"/>
      <c r="O399" s="517"/>
      <c r="P399" s="517"/>
      <c r="Q399" s="517"/>
      <c r="R399" s="517"/>
      <c r="S399" s="517"/>
      <c r="T399" s="517">
        <f t="shared" si="119"/>
        <v>0</v>
      </c>
      <c r="U399" s="526"/>
      <c r="V399" s="517">
        <f t="shared" si="120"/>
        <v>0</v>
      </c>
      <c r="W399" s="632">
        <f t="shared" si="121"/>
        <v>0</v>
      </c>
      <c r="X399" s="517">
        <f t="shared" si="123"/>
        <v>0</v>
      </c>
      <c r="Y399" s="632">
        <f t="shared" si="122"/>
        <v>0</v>
      </c>
      <c r="Z399" s="517">
        <f t="shared" si="118"/>
        <v>0</v>
      </c>
      <c r="AA399" s="675"/>
      <c r="AB399" s="674"/>
    </row>
    <row r="400" spans="1:28" s="301" customFormat="1" hidden="1">
      <c r="A400" s="368">
        <v>57.1</v>
      </c>
      <c r="B400" s="320" t="s">
        <v>393</v>
      </c>
      <c r="C400" s="307">
        <f>ROUND(Data!K2031,2)</f>
        <v>6921.2</v>
      </c>
      <c r="D400" s="486" t="s">
        <v>1418</v>
      </c>
      <c r="E400" s="526"/>
      <c r="F400" s="630">
        <f t="shared" si="124"/>
        <v>0</v>
      </c>
      <c r="G400" s="526"/>
      <c r="H400" s="517">
        <f t="shared" si="125"/>
        <v>0</v>
      </c>
      <c r="I400" s="526"/>
      <c r="J400" s="517">
        <f t="shared" si="126"/>
        <v>0</v>
      </c>
      <c r="K400" s="517"/>
      <c r="L400" s="517"/>
      <c r="M400" s="517"/>
      <c r="N400" s="517"/>
      <c r="O400" s="517"/>
      <c r="P400" s="517"/>
      <c r="Q400" s="517"/>
      <c r="R400" s="517"/>
      <c r="S400" s="517"/>
      <c r="T400" s="517">
        <f t="shared" si="119"/>
        <v>0</v>
      </c>
      <c r="U400" s="526"/>
      <c r="V400" s="517">
        <f t="shared" si="120"/>
        <v>0</v>
      </c>
      <c r="W400" s="632">
        <f t="shared" si="121"/>
        <v>0</v>
      </c>
      <c r="X400" s="517">
        <f t="shared" si="123"/>
        <v>0</v>
      </c>
      <c r="Y400" s="632">
        <f t="shared" si="122"/>
        <v>0</v>
      </c>
      <c r="Z400" s="517">
        <f t="shared" si="118"/>
        <v>0</v>
      </c>
      <c r="AA400" s="675"/>
      <c r="AB400" s="674"/>
    </row>
    <row r="401" spans="1:28" s="301" customFormat="1" hidden="1">
      <c r="A401" s="368">
        <v>58.1</v>
      </c>
      <c r="B401" s="320" t="s">
        <v>394</v>
      </c>
      <c r="C401" s="307"/>
      <c r="D401" s="486"/>
      <c r="E401" s="526"/>
      <c r="F401" s="630">
        <f t="shared" si="124"/>
        <v>0</v>
      </c>
      <c r="G401" s="526"/>
      <c r="H401" s="517">
        <f t="shared" si="125"/>
        <v>0</v>
      </c>
      <c r="I401" s="526"/>
      <c r="J401" s="517">
        <f t="shared" si="126"/>
        <v>0</v>
      </c>
      <c r="K401" s="517"/>
      <c r="L401" s="517"/>
      <c r="M401" s="517"/>
      <c r="N401" s="517"/>
      <c r="O401" s="517"/>
      <c r="P401" s="517"/>
      <c r="Q401" s="517"/>
      <c r="R401" s="517"/>
      <c r="S401" s="517"/>
      <c r="T401" s="517">
        <f t="shared" si="119"/>
        <v>0</v>
      </c>
      <c r="U401" s="526"/>
      <c r="V401" s="517">
        <f t="shared" si="120"/>
        <v>0</v>
      </c>
      <c r="W401" s="632">
        <f t="shared" si="121"/>
        <v>0</v>
      </c>
      <c r="X401" s="517">
        <f t="shared" si="123"/>
        <v>0</v>
      </c>
      <c r="Y401" s="632">
        <f t="shared" si="122"/>
        <v>0</v>
      </c>
      <c r="Z401" s="517">
        <f t="shared" si="118"/>
        <v>0</v>
      </c>
      <c r="AA401" s="675"/>
      <c r="AB401" s="674"/>
    </row>
    <row r="402" spans="1:28" s="301" customFormat="1" hidden="1">
      <c r="A402" s="320"/>
      <c r="B402" s="320" t="s">
        <v>37</v>
      </c>
      <c r="C402" s="307">
        <f>ROUND(Data!K2060,2)</f>
        <v>657.29</v>
      </c>
      <c r="D402" s="486" t="s">
        <v>835</v>
      </c>
      <c r="E402" s="526"/>
      <c r="F402" s="630">
        <f t="shared" si="124"/>
        <v>0</v>
      </c>
      <c r="G402" s="526"/>
      <c r="H402" s="517">
        <f t="shared" si="125"/>
        <v>0</v>
      </c>
      <c r="I402" s="526"/>
      <c r="J402" s="517">
        <f t="shared" si="126"/>
        <v>0</v>
      </c>
      <c r="K402" s="517"/>
      <c r="L402" s="517"/>
      <c r="M402" s="517"/>
      <c r="N402" s="517"/>
      <c r="O402" s="517"/>
      <c r="P402" s="517"/>
      <c r="Q402" s="517"/>
      <c r="R402" s="517"/>
      <c r="S402" s="517"/>
      <c r="T402" s="517">
        <f t="shared" si="119"/>
        <v>0</v>
      </c>
      <c r="U402" s="526"/>
      <c r="V402" s="517">
        <f t="shared" si="120"/>
        <v>0</v>
      </c>
      <c r="W402" s="632">
        <f t="shared" si="121"/>
        <v>0</v>
      </c>
      <c r="X402" s="517">
        <f t="shared" si="123"/>
        <v>0</v>
      </c>
      <c r="Y402" s="632">
        <f t="shared" si="122"/>
        <v>0</v>
      </c>
      <c r="Z402" s="517">
        <f t="shared" si="118"/>
        <v>0</v>
      </c>
      <c r="AA402" s="675"/>
      <c r="AB402" s="674"/>
    </row>
    <row r="403" spans="1:28" s="301" customFormat="1" hidden="1">
      <c r="A403" s="370"/>
      <c r="B403" s="320" t="s">
        <v>38</v>
      </c>
      <c r="C403" s="307">
        <f>ROUND(Data!K2084,2)</f>
        <v>541.41999999999996</v>
      </c>
      <c r="D403" s="486" t="s">
        <v>835</v>
      </c>
      <c r="E403" s="526"/>
      <c r="F403" s="630">
        <f t="shared" si="124"/>
        <v>0</v>
      </c>
      <c r="G403" s="526"/>
      <c r="H403" s="517">
        <f t="shared" si="125"/>
        <v>0</v>
      </c>
      <c r="I403" s="526"/>
      <c r="J403" s="517">
        <f t="shared" si="126"/>
        <v>0</v>
      </c>
      <c r="K403" s="517"/>
      <c r="L403" s="517"/>
      <c r="M403" s="517"/>
      <c r="N403" s="517"/>
      <c r="O403" s="517"/>
      <c r="P403" s="517"/>
      <c r="Q403" s="517"/>
      <c r="R403" s="517"/>
      <c r="S403" s="517"/>
      <c r="T403" s="517">
        <f t="shared" si="119"/>
        <v>0</v>
      </c>
      <c r="U403" s="526"/>
      <c r="V403" s="517">
        <f t="shared" si="120"/>
        <v>0</v>
      </c>
      <c r="W403" s="632">
        <f t="shared" si="121"/>
        <v>0</v>
      </c>
      <c r="X403" s="517">
        <f t="shared" si="123"/>
        <v>0</v>
      </c>
      <c r="Y403" s="632">
        <f t="shared" si="122"/>
        <v>0</v>
      </c>
      <c r="Z403" s="517">
        <f t="shared" si="118"/>
        <v>0</v>
      </c>
      <c r="AA403" s="675"/>
      <c r="AB403" s="674"/>
    </row>
    <row r="404" spans="1:28" s="301" customFormat="1" hidden="1">
      <c r="A404" s="368">
        <v>58.2</v>
      </c>
      <c r="B404" s="320" t="s">
        <v>39</v>
      </c>
      <c r="C404" s="307">
        <f>ROUND(Data!K2095,2)</f>
        <v>450.1</v>
      </c>
      <c r="D404" s="486" t="s">
        <v>1418</v>
      </c>
      <c r="E404" s="526"/>
      <c r="F404" s="630">
        <f t="shared" si="124"/>
        <v>0</v>
      </c>
      <c r="G404" s="526"/>
      <c r="H404" s="517">
        <f t="shared" si="125"/>
        <v>0</v>
      </c>
      <c r="I404" s="526"/>
      <c r="J404" s="517">
        <f t="shared" si="126"/>
        <v>0</v>
      </c>
      <c r="K404" s="517"/>
      <c r="L404" s="517"/>
      <c r="M404" s="517"/>
      <c r="N404" s="517"/>
      <c r="O404" s="517"/>
      <c r="P404" s="517"/>
      <c r="Q404" s="517"/>
      <c r="R404" s="517"/>
      <c r="S404" s="517"/>
      <c r="T404" s="517">
        <f t="shared" si="119"/>
        <v>0</v>
      </c>
      <c r="U404" s="526"/>
      <c r="V404" s="517">
        <f t="shared" si="120"/>
        <v>0</v>
      </c>
      <c r="W404" s="632">
        <f t="shared" si="121"/>
        <v>0</v>
      </c>
      <c r="X404" s="517">
        <f t="shared" si="123"/>
        <v>0</v>
      </c>
      <c r="Y404" s="632">
        <f t="shared" si="122"/>
        <v>0</v>
      </c>
      <c r="Z404" s="517">
        <f t="shared" si="118"/>
        <v>0</v>
      </c>
      <c r="AA404" s="675"/>
      <c r="AB404" s="674"/>
    </row>
    <row r="405" spans="1:28" s="301" customFormat="1" ht="46.5" hidden="1">
      <c r="A405" s="368">
        <v>59.1</v>
      </c>
      <c r="B405" s="320" t="s">
        <v>287</v>
      </c>
      <c r="C405" s="307"/>
      <c r="D405" s="486" t="s">
        <v>1418</v>
      </c>
      <c r="E405" s="526"/>
      <c r="F405" s="630">
        <f t="shared" si="124"/>
        <v>0</v>
      </c>
      <c r="G405" s="526"/>
      <c r="H405" s="517">
        <f t="shared" si="125"/>
        <v>0</v>
      </c>
      <c r="I405" s="526"/>
      <c r="J405" s="517">
        <f t="shared" si="126"/>
        <v>0</v>
      </c>
      <c r="K405" s="517"/>
      <c r="L405" s="517"/>
      <c r="M405" s="517"/>
      <c r="N405" s="517"/>
      <c r="O405" s="517"/>
      <c r="P405" s="517"/>
      <c r="Q405" s="517"/>
      <c r="R405" s="517"/>
      <c r="S405" s="517"/>
      <c r="T405" s="517">
        <f t="shared" si="119"/>
        <v>0</v>
      </c>
      <c r="U405" s="526"/>
      <c r="V405" s="517">
        <f t="shared" si="120"/>
        <v>0</v>
      </c>
      <c r="W405" s="632">
        <f t="shared" si="121"/>
        <v>0</v>
      </c>
      <c r="X405" s="517">
        <f t="shared" si="123"/>
        <v>0</v>
      </c>
      <c r="Y405" s="632">
        <f t="shared" si="122"/>
        <v>0</v>
      </c>
      <c r="Z405" s="517">
        <f t="shared" si="118"/>
        <v>0</v>
      </c>
      <c r="AA405" s="675"/>
      <c r="AB405" s="674"/>
    </row>
    <row r="406" spans="1:28" s="301" customFormat="1" ht="46.5" hidden="1">
      <c r="A406" s="368">
        <v>59.2</v>
      </c>
      <c r="B406" s="320" t="s">
        <v>35</v>
      </c>
      <c r="C406" s="377">
        <f>ROUND(Data!K2108,2)</f>
        <v>1747.74</v>
      </c>
      <c r="D406" s="514" t="s">
        <v>1418</v>
      </c>
      <c r="E406" s="517"/>
      <c r="F406" s="630">
        <f t="shared" si="124"/>
        <v>0</v>
      </c>
      <c r="G406" s="517"/>
      <c r="H406" s="517">
        <f t="shared" si="125"/>
        <v>0</v>
      </c>
      <c r="I406" s="517"/>
      <c r="J406" s="517">
        <f t="shared" si="126"/>
        <v>0</v>
      </c>
      <c r="K406" s="517"/>
      <c r="L406" s="517"/>
      <c r="M406" s="517"/>
      <c r="N406" s="517"/>
      <c r="O406" s="517"/>
      <c r="P406" s="517"/>
      <c r="Q406" s="517"/>
      <c r="R406" s="517"/>
      <c r="S406" s="517"/>
      <c r="T406" s="517">
        <f t="shared" si="119"/>
        <v>0</v>
      </c>
      <c r="U406" s="517"/>
      <c r="V406" s="517">
        <f t="shared" si="120"/>
        <v>0</v>
      </c>
      <c r="W406" s="632">
        <f t="shared" si="121"/>
        <v>0</v>
      </c>
      <c r="X406" s="517">
        <f t="shared" si="123"/>
        <v>0</v>
      </c>
      <c r="Y406" s="632">
        <f t="shared" si="122"/>
        <v>0</v>
      </c>
      <c r="Z406" s="517">
        <f t="shared" si="118"/>
        <v>0</v>
      </c>
      <c r="AA406" s="675"/>
      <c r="AB406" s="673"/>
    </row>
    <row r="407" spans="1:28" s="301" customFormat="1" ht="46.5" hidden="1">
      <c r="A407" s="368">
        <v>59.3</v>
      </c>
      <c r="B407" s="320" t="s">
        <v>233</v>
      </c>
      <c r="C407" s="307"/>
      <c r="D407" s="486" t="s">
        <v>1418</v>
      </c>
      <c r="E407" s="526"/>
      <c r="F407" s="630">
        <f t="shared" si="124"/>
        <v>0</v>
      </c>
      <c r="G407" s="526"/>
      <c r="H407" s="517">
        <f t="shared" si="125"/>
        <v>0</v>
      </c>
      <c r="I407" s="526"/>
      <c r="J407" s="517">
        <f t="shared" si="126"/>
        <v>0</v>
      </c>
      <c r="K407" s="517"/>
      <c r="L407" s="517"/>
      <c r="M407" s="517"/>
      <c r="N407" s="517"/>
      <c r="O407" s="517"/>
      <c r="P407" s="517"/>
      <c r="Q407" s="517"/>
      <c r="R407" s="517"/>
      <c r="S407" s="517"/>
      <c r="T407" s="517">
        <f t="shared" si="119"/>
        <v>0</v>
      </c>
      <c r="U407" s="526"/>
      <c r="V407" s="517">
        <f t="shared" si="120"/>
        <v>0</v>
      </c>
      <c r="W407" s="632">
        <f t="shared" si="121"/>
        <v>0</v>
      </c>
      <c r="X407" s="517">
        <f t="shared" si="123"/>
        <v>0</v>
      </c>
      <c r="Y407" s="632">
        <f t="shared" si="122"/>
        <v>0</v>
      </c>
      <c r="Z407" s="517">
        <f t="shared" si="118"/>
        <v>0</v>
      </c>
      <c r="AA407" s="675"/>
      <c r="AB407" s="674"/>
    </row>
    <row r="408" spans="1:28" s="301" customFormat="1" ht="46.5" hidden="1">
      <c r="A408" s="368">
        <v>59.4</v>
      </c>
      <c r="B408" s="320" t="s">
        <v>1325</v>
      </c>
      <c r="C408" s="307"/>
      <c r="D408" s="486" t="s">
        <v>1418</v>
      </c>
      <c r="E408" s="526"/>
      <c r="F408" s="630">
        <f t="shared" si="124"/>
        <v>0</v>
      </c>
      <c r="G408" s="526"/>
      <c r="H408" s="517">
        <f t="shared" si="125"/>
        <v>0</v>
      </c>
      <c r="I408" s="526"/>
      <c r="J408" s="517">
        <f t="shared" si="126"/>
        <v>0</v>
      </c>
      <c r="K408" s="517"/>
      <c r="L408" s="517"/>
      <c r="M408" s="517"/>
      <c r="N408" s="517"/>
      <c r="O408" s="517"/>
      <c r="P408" s="517"/>
      <c r="Q408" s="517"/>
      <c r="R408" s="517"/>
      <c r="S408" s="517"/>
      <c r="T408" s="517">
        <f t="shared" si="119"/>
        <v>0</v>
      </c>
      <c r="U408" s="526"/>
      <c r="V408" s="517">
        <f t="shared" si="120"/>
        <v>0</v>
      </c>
      <c r="W408" s="632">
        <f t="shared" si="121"/>
        <v>0</v>
      </c>
      <c r="X408" s="517">
        <f t="shared" si="123"/>
        <v>0</v>
      </c>
      <c r="Y408" s="632">
        <f t="shared" si="122"/>
        <v>0</v>
      </c>
      <c r="Z408" s="517">
        <f t="shared" si="118"/>
        <v>0</v>
      </c>
      <c r="AA408" s="675"/>
      <c r="AB408" s="674"/>
    </row>
    <row r="409" spans="1:28" s="475" customFormat="1" ht="45">
      <c r="A409" s="1635">
        <v>59.5</v>
      </c>
      <c r="B409" s="1172" t="s">
        <v>1326</v>
      </c>
      <c r="C409" s="1636">
        <f>Data!K2108</f>
        <v>1747.74</v>
      </c>
      <c r="D409" s="1611" t="s">
        <v>1418</v>
      </c>
      <c r="E409" s="1616"/>
      <c r="F409" s="1617">
        <f t="shared" si="124"/>
        <v>0</v>
      </c>
      <c r="G409" s="1616"/>
      <c r="H409" s="1618">
        <f>G409*C409</f>
        <v>0</v>
      </c>
      <c r="I409" s="1616"/>
      <c r="J409" s="1618">
        <f>I409*C409</f>
        <v>0</v>
      </c>
      <c r="K409" s="1618"/>
      <c r="L409" s="1618">
        <f>K409*C409</f>
        <v>0</v>
      </c>
      <c r="M409" s="1618"/>
      <c r="N409" s="1618">
        <f>M409*C409</f>
        <v>0</v>
      </c>
      <c r="O409" s="1618"/>
      <c r="P409" s="1618">
        <f>O409*C409</f>
        <v>0</v>
      </c>
      <c r="Q409" s="1618"/>
      <c r="R409" s="1618">
        <f>Q409*C409</f>
        <v>0</v>
      </c>
      <c r="S409" s="1618"/>
      <c r="T409" s="1618">
        <f t="shared" si="119"/>
        <v>0</v>
      </c>
      <c r="U409" s="1616"/>
      <c r="V409" s="1618">
        <f t="shared" si="120"/>
        <v>0</v>
      </c>
      <c r="W409" s="1619" t="e">
        <f>U409+S409+O409+M409+#REF!+K409+I409+G409+Q409</f>
        <v>#REF!</v>
      </c>
      <c r="X409" s="1618" t="e">
        <f t="shared" si="123"/>
        <v>#REF!</v>
      </c>
      <c r="Y409" s="1619" t="e">
        <f>W409+E409</f>
        <v>#REF!</v>
      </c>
      <c r="Z409" s="1618" t="e">
        <f t="shared" si="118"/>
        <v>#REF!</v>
      </c>
      <c r="AA409" s="674"/>
      <c r="AB409" s="674"/>
    </row>
    <row r="410" spans="1:28" s="301" customFormat="1" ht="46.5" hidden="1">
      <c r="A410" s="536">
        <v>59.6</v>
      </c>
      <c r="B410" s="537" t="s">
        <v>1227</v>
      </c>
      <c r="C410" s="538"/>
      <c r="D410" s="443" t="s">
        <v>1418</v>
      </c>
      <c r="E410" s="526"/>
      <c r="F410" s="630">
        <f t="shared" si="124"/>
        <v>0</v>
      </c>
      <c r="G410" s="526"/>
      <c r="H410" s="517">
        <f t="shared" si="125"/>
        <v>0</v>
      </c>
      <c r="I410" s="526"/>
      <c r="J410" s="517">
        <f t="shared" si="126"/>
        <v>0</v>
      </c>
      <c r="K410" s="517"/>
      <c r="L410" s="517"/>
      <c r="M410" s="517"/>
      <c r="N410" s="517"/>
      <c r="O410" s="517"/>
      <c r="P410" s="517"/>
      <c r="Q410" s="517"/>
      <c r="R410" s="517"/>
      <c r="S410" s="517"/>
      <c r="T410" s="517">
        <f t="shared" si="119"/>
        <v>0</v>
      </c>
      <c r="U410" s="526"/>
      <c r="V410" s="517">
        <f t="shared" si="120"/>
        <v>0</v>
      </c>
      <c r="W410" s="632">
        <f>I410+S410+U410</f>
        <v>0</v>
      </c>
      <c r="X410" s="517">
        <f t="shared" si="123"/>
        <v>0</v>
      </c>
      <c r="Y410" s="632">
        <f>W410+E410+G410</f>
        <v>0</v>
      </c>
      <c r="Z410" s="517">
        <f t="shared" si="118"/>
        <v>0</v>
      </c>
      <c r="AA410" s="675"/>
      <c r="AB410" s="674"/>
    </row>
    <row r="411" spans="1:28">
      <c r="A411" s="1608">
        <v>60</v>
      </c>
      <c r="B411" s="1166" t="s">
        <v>1547</v>
      </c>
      <c r="C411" s="1612">
        <f>ROUND(Data!K2116,2)</f>
        <v>152.6</v>
      </c>
      <c r="D411" s="1610" t="s">
        <v>1418</v>
      </c>
      <c r="E411" s="1616">
        <f>station!I900</f>
        <v>22</v>
      </c>
      <c r="F411" s="1617">
        <f t="shared" si="124"/>
        <v>3357.2</v>
      </c>
      <c r="G411" s="1618"/>
      <c r="H411" s="1618">
        <f>G411*C411</f>
        <v>0</v>
      </c>
      <c r="I411" s="1618"/>
      <c r="J411" s="1618">
        <f>I411*C411</f>
        <v>0</v>
      </c>
      <c r="K411" s="1618"/>
      <c r="L411" s="1618">
        <f>K411*C411</f>
        <v>0</v>
      </c>
      <c r="M411" s="1618"/>
      <c r="N411" s="1618">
        <f>M411*C411</f>
        <v>0</v>
      </c>
      <c r="O411" s="1618"/>
      <c r="P411" s="1618">
        <f>O411*C411</f>
        <v>0</v>
      </c>
      <c r="Q411" s="1618"/>
      <c r="R411" s="1618">
        <f>Q411*C411</f>
        <v>0</v>
      </c>
      <c r="S411" s="1618"/>
      <c r="T411" s="1618">
        <f t="shared" si="119"/>
        <v>0</v>
      </c>
      <c r="U411" s="1618"/>
      <c r="V411" s="1618">
        <f t="shared" si="120"/>
        <v>0</v>
      </c>
      <c r="W411" s="1619" t="e">
        <f>U411+S411+O411+M411+#REF!+K411+I411+G411+Q411</f>
        <v>#REF!</v>
      </c>
      <c r="X411" s="1618" t="e">
        <f t="shared" si="123"/>
        <v>#REF!</v>
      </c>
      <c r="Y411" s="1619" t="e">
        <f>W411+E411</f>
        <v>#REF!</v>
      </c>
      <c r="Z411" s="1618" t="e">
        <f t="shared" si="118"/>
        <v>#REF!</v>
      </c>
      <c r="AA411" s="673"/>
      <c r="AB411" s="673"/>
    </row>
    <row r="412" spans="1:28" s="301" customFormat="1" hidden="1">
      <c r="A412" s="536">
        <v>61.1</v>
      </c>
      <c r="B412" s="537" t="s">
        <v>1328</v>
      </c>
      <c r="C412" s="452"/>
      <c r="D412" s="443"/>
      <c r="E412" s="526"/>
      <c r="F412" s="630">
        <f t="shared" si="124"/>
        <v>0</v>
      </c>
      <c r="G412" s="526"/>
      <c r="H412" s="517">
        <f t="shared" si="125"/>
        <v>0</v>
      </c>
      <c r="I412" s="526"/>
      <c r="J412" s="517">
        <f t="shared" si="126"/>
        <v>0</v>
      </c>
      <c r="K412" s="517"/>
      <c r="L412" s="517"/>
      <c r="M412" s="517"/>
      <c r="N412" s="517"/>
      <c r="O412" s="517"/>
      <c r="P412" s="517"/>
      <c r="Q412" s="517"/>
      <c r="R412" s="517"/>
      <c r="S412" s="517"/>
      <c r="T412" s="517">
        <f t="shared" si="119"/>
        <v>0</v>
      </c>
      <c r="U412" s="526"/>
      <c r="V412" s="517">
        <f t="shared" si="120"/>
        <v>0</v>
      </c>
      <c r="W412" s="632">
        <f t="shared" ref="W412:W424" si="127">I412+S412+U412</f>
        <v>0</v>
      </c>
      <c r="X412" s="517">
        <f t="shared" si="123"/>
        <v>0</v>
      </c>
      <c r="Y412" s="632">
        <f t="shared" ref="Y412:Y424" si="128">W412+E412+G412</f>
        <v>0</v>
      </c>
      <c r="Z412" s="517">
        <f t="shared" si="118"/>
        <v>0</v>
      </c>
      <c r="AA412" s="675"/>
      <c r="AB412" s="674"/>
    </row>
    <row r="413" spans="1:28" s="301" customFormat="1" hidden="1">
      <c r="A413" s="320"/>
      <c r="B413" s="320" t="s">
        <v>1069</v>
      </c>
      <c r="C413" s="308">
        <f>ROUND(Data!K2135,2)</f>
        <v>507.95</v>
      </c>
      <c r="D413" s="486" t="s">
        <v>835</v>
      </c>
      <c r="E413" s="526"/>
      <c r="F413" s="630">
        <f t="shared" si="124"/>
        <v>0</v>
      </c>
      <c r="G413" s="526"/>
      <c r="H413" s="517">
        <f t="shared" si="125"/>
        <v>0</v>
      </c>
      <c r="I413" s="526"/>
      <c r="J413" s="517">
        <f t="shared" si="126"/>
        <v>0</v>
      </c>
      <c r="K413" s="517"/>
      <c r="L413" s="517"/>
      <c r="M413" s="517"/>
      <c r="N413" s="517"/>
      <c r="O413" s="517"/>
      <c r="P413" s="517"/>
      <c r="Q413" s="517"/>
      <c r="R413" s="517"/>
      <c r="S413" s="517"/>
      <c r="T413" s="517">
        <f t="shared" si="119"/>
        <v>0</v>
      </c>
      <c r="U413" s="526"/>
      <c r="V413" s="517">
        <f t="shared" si="120"/>
        <v>0</v>
      </c>
      <c r="W413" s="632">
        <f t="shared" si="127"/>
        <v>0</v>
      </c>
      <c r="X413" s="517">
        <f t="shared" si="123"/>
        <v>0</v>
      </c>
      <c r="Y413" s="632">
        <f t="shared" si="128"/>
        <v>0</v>
      </c>
      <c r="Z413" s="517">
        <f t="shared" si="118"/>
        <v>0</v>
      </c>
      <c r="AA413" s="675"/>
      <c r="AB413" s="674"/>
    </row>
    <row r="414" spans="1:28" s="301" customFormat="1" hidden="1">
      <c r="A414" s="519"/>
      <c r="B414" s="520" t="s">
        <v>1070</v>
      </c>
      <c r="C414" s="448">
        <f>ROUND(Data!K2155,2)</f>
        <v>674.79</v>
      </c>
      <c r="D414" s="446" t="s">
        <v>835</v>
      </c>
      <c r="E414" s="651"/>
      <c r="F414" s="630">
        <f t="shared" si="124"/>
        <v>0</v>
      </c>
      <c r="G414" s="651"/>
      <c r="H414" s="517">
        <f t="shared" si="125"/>
        <v>0</v>
      </c>
      <c r="I414" s="651"/>
      <c r="J414" s="517">
        <f t="shared" si="126"/>
        <v>0</v>
      </c>
      <c r="K414" s="654"/>
      <c r="L414" s="654"/>
      <c r="M414" s="654"/>
      <c r="N414" s="654"/>
      <c r="O414" s="654"/>
      <c r="P414" s="654"/>
      <c r="Q414" s="654"/>
      <c r="R414" s="654"/>
      <c r="S414" s="654"/>
      <c r="T414" s="517">
        <f t="shared" si="119"/>
        <v>0</v>
      </c>
      <c r="U414" s="651"/>
      <c r="V414" s="517">
        <f t="shared" si="120"/>
        <v>0</v>
      </c>
      <c r="W414" s="632">
        <f t="shared" si="127"/>
        <v>0</v>
      </c>
      <c r="X414" s="517">
        <f t="shared" si="123"/>
        <v>0</v>
      </c>
      <c r="Y414" s="632">
        <f t="shared" si="128"/>
        <v>0</v>
      </c>
      <c r="Z414" s="517">
        <f t="shared" si="118"/>
        <v>0</v>
      </c>
      <c r="AA414" s="675"/>
      <c r="AB414" s="674"/>
    </row>
    <row r="415" spans="1:28" s="301" customFormat="1" hidden="1">
      <c r="A415" s="368">
        <v>61.2</v>
      </c>
      <c r="B415" s="369" t="s">
        <v>1071</v>
      </c>
      <c r="C415" s="513"/>
      <c r="D415" s="514"/>
      <c r="E415" s="526"/>
      <c r="F415" s="630">
        <f t="shared" si="124"/>
        <v>0</v>
      </c>
      <c r="G415" s="526"/>
      <c r="H415" s="517">
        <f t="shared" si="125"/>
        <v>0</v>
      </c>
      <c r="I415" s="526"/>
      <c r="J415" s="517">
        <f t="shared" si="126"/>
        <v>0</v>
      </c>
      <c r="K415" s="517"/>
      <c r="L415" s="517"/>
      <c r="M415" s="517"/>
      <c r="N415" s="517"/>
      <c r="O415" s="517"/>
      <c r="P415" s="517"/>
      <c r="Q415" s="517"/>
      <c r="R415" s="517"/>
      <c r="S415" s="517"/>
      <c r="T415" s="517">
        <f t="shared" si="119"/>
        <v>0</v>
      </c>
      <c r="U415" s="526"/>
      <c r="V415" s="517">
        <f t="shared" si="120"/>
        <v>0</v>
      </c>
      <c r="W415" s="632">
        <f t="shared" si="127"/>
        <v>0</v>
      </c>
      <c r="X415" s="517">
        <f t="shared" si="123"/>
        <v>0</v>
      </c>
      <c r="Y415" s="632">
        <f t="shared" si="128"/>
        <v>0</v>
      </c>
      <c r="Z415" s="517">
        <f t="shared" si="118"/>
        <v>0</v>
      </c>
      <c r="AA415" s="675"/>
      <c r="AB415" s="674"/>
    </row>
    <row r="416" spans="1:28" s="301" customFormat="1" hidden="1">
      <c r="A416" s="320"/>
      <c r="B416" s="320" t="s">
        <v>1072</v>
      </c>
      <c r="C416" s="513">
        <f>ROUND(Data!K2166,2)</f>
        <v>223.29</v>
      </c>
      <c r="D416" s="514" t="s">
        <v>835</v>
      </c>
      <c r="E416" s="526"/>
      <c r="F416" s="630">
        <f t="shared" si="124"/>
        <v>0</v>
      </c>
      <c r="G416" s="526"/>
      <c r="H416" s="517">
        <f t="shared" si="125"/>
        <v>0</v>
      </c>
      <c r="I416" s="526"/>
      <c r="J416" s="517">
        <f t="shared" si="126"/>
        <v>0</v>
      </c>
      <c r="K416" s="517"/>
      <c r="L416" s="517"/>
      <c r="M416" s="517"/>
      <c r="N416" s="517"/>
      <c r="O416" s="517"/>
      <c r="P416" s="517"/>
      <c r="Q416" s="517"/>
      <c r="R416" s="517"/>
      <c r="S416" s="517"/>
      <c r="T416" s="517">
        <f t="shared" si="119"/>
        <v>0</v>
      </c>
      <c r="U416" s="526"/>
      <c r="V416" s="517">
        <f t="shared" si="120"/>
        <v>0</v>
      </c>
      <c r="W416" s="632">
        <f t="shared" si="127"/>
        <v>0</v>
      </c>
      <c r="X416" s="517">
        <f t="shared" si="123"/>
        <v>0</v>
      </c>
      <c r="Y416" s="632">
        <f t="shared" si="128"/>
        <v>0</v>
      </c>
      <c r="Z416" s="517">
        <f t="shared" si="118"/>
        <v>0</v>
      </c>
      <c r="AA416" s="675"/>
      <c r="AB416" s="674"/>
    </row>
    <row r="417" spans="1:29" s="301" customFormat="1" hidden="1">
      <c r="A417" s="370"/>
      <c r="B417" s="320" t="s">
        <v>1073</v>
      </c>
      <c r="C417" s="307">
        <f>ROUND(Data!K2181,2)</f>
        <v>330.55</v>
      </c>
      <c r="D417" s="486" t="s">
        <v>835</v>
      </c>
      <c r="E417" s="526"/>
      <c r="F417" s="630">
        <f t="shared" si="124"/>
        <v>0</v>
      </c>
      <c r="G417" s="526"/>
      <c r="H417" s="517">
        <f t="shared" si="125"/>
        <v>0</v>
      </c>
      <c r="I417" s="526"/>
      <c r="J417" s="517">
        <f t="shared" si="126"/>
        <v>0</v>
      </c>
      <c r="K417" s="517"/>
      <c r="L417" s="517"/>
      <c r="M417" s="517"/>
      <c r="N417" s="517"/>
      <c r="O417" s="517"/>
      <c r="P417" s="517"/>
      <c r="Q417" s="517"/>
      <c r="R417" s="517"/>
      <c r="S417" s="517"/>
      <c r="T417" s="517">
        <f t="shared" si="119"/>
        <v>0</v>
      </c>
      <c r="U417" s="526"/>
      <c r="V417" s="517">
        <f t="shared" si="120"/>
        <v>0</v>
      </c>
      <c r="W417" s="632">
        <f t="shared" si="127"/>
        <v>0</v>
      </c>
      <c r="X417" s="517">
        <f t="shared" si="123"/>
        <v>0</v>
      </c>
      <c r="Y417" s="632">
        <f t="shared" si="128"/>
        <v>0</v>
      </c>
      <c r="Z417" s="517">
        <f t="shared" si="118"/>
        <v>0</v>
      </c>
      <c r="AA417" s="675"/>
      <c r="AB417" s="674"/>
    </row>
    <row r="418" spans="1:29" s="301" customFormat="1" hidden="1">
      <c r="A418" s="368">
        <v>62.1</v>
      </c>
      <c r="B418" s="320" t="s">
        <v>1074</v>
      </c>
      <c r="C418" s="308"/>
      <c r="D418" s="486"/>
      <c r="E418" s="526"/>
      <c r="F418" s="630">
        <f t="shared" si="124"/>
        <v>0</v>
      </c>
      <c r="G418" s="526"/>
      <c r="H418" s="517">
        <f t="shared" si="125"/>
        <v>0</v>
      </c>
      <c r="I418" s="526"/>
      <c r="J418" s="517">
        <f t="shared" si="126"/>
        <v>0</v>
      </c>
      <c r="K418" s="517"/>
      <c r="L418" s="517"/>
      <c r="M418" s="517"/>
      <c r="N418" s="517"/>
      <c r="O418" s="517"/>
      <c r="P418" s="517"/>
      <c r="Q418" s="517"/>
      <c r="R418" s="517"/>
      <c r="S418" s="517"/>
      <c r="T418" s="517">
        <f t="shared" si="119"/>
        <v>0</v>
      </c>
      <c r="U418" s="526"/>
      <c r="V418" s="517">
        <f t="shared" si="120"/>
        <v>0</v>
      </c>
      <c r="W418" s="632">
        <f t="shared" si="127"/>
        <v>0</v>
      </c>
      <c r="X418" s="517">
        <f t="shared" si="123"/>
        <v>0</v>
      </c>
      <c r="Y418" s="632">
        <f t="shared" si="128"/>
        <v>0</v>
      </c>
      <c r="Z418" s="517">
        <f t="shared" si="118"/>
        <v>0</v>
      </c>
      <c r="AA418" s="675"/>
      <c r="AB418" s="674"/>
    </row>
    <row r="419" spans="1:29" s="301" customFormat="1" hidden="1">
      <c r="A419" s="320"/>
      <c r="B419" s="320" t="s">
        <v>1072</v>
      </c>
      <c r="C419" s="308">
        <f>ROUND(Data!K2190,2)</f>
        <v>103.1</v>
      </c>
      <c r="D419" s="486" t="s">
        <v>1418</v>
      </c>
      <c r="E419" s="526"/>
      <c r="F419" s="630">
        <f t="shared" si="124"/>
        <v>0</v>
      </c>
      <c r="G419" s="526"/>
      <c r="H419" s="517">
        <f t="shared" si="125"/>
        <v>0</v>
      </c>
      <c r="I419" s="526"/>
      <c r="J419" s="517">
        <f t="shared" si="126"/>
        <v>0</v>
      </c>
      <c r="K419" s="517"/>
      <c r="L419" s="517"/>
      <c r="M419" s="517"/>
      <c r="N419" s="517"/>
      <c r="O419" s="517"/>
      <c r="P419" s="517"/>
      <c r="Q419" s="517"/>
      <c r="R419" s="517"/>
      <c r="S419" s="517"/>
      <c r="T419" s="517">
        <f t="shared" si="119"/>
        <v>0</v>
      </c>
      <c r="U419" s="526"/>
      <c r="V419" s="517">
        <f t="shared" si="120"/>
        <v>0</v>
      </c>
      <c r="W419" s="632">
        <f t="shared" si="127"/>
        <v>0</v>
      </c>
      <c r="X419" s="517">
        <f t="shared" si="123"/>
        <v>0</v>
      </c>
      <c r="Y419" s="632">
        <f t="shared" si="128"/>
        <v>0</v>
      </c>
      <c r="Z419" s="517">
        <f t="shared" si="118"/>
        <v>0</v>
      </c>
      <c r="AA419" s="675"/>
      <c r="AB419" s="674"/>
    </row>
    <row r="420" spans="1:29" s="301" customFormat="1" hidden="1">
      <c r="A420" s="370"/>
      <c r="B420" s="320" t="s">
        <v>1073</v>
      </c>
      <c r="C420" s="307">
        <f>ROUND(Data!K2197,2)</f>
        <v>140.5</v>
      </c>
      <c r="D420" s="486" t="s">
        <v>1418</v>
      </c>
      <c r="E420" s="526"/>
      <c r="F420" s="630">
        <f t="shared" si="124"/>
        <v>0</v>
      </c>
      <c r="G420" s="526"/>
      <c r="H420" s="517">
        <f t="shared" si="125"/>
        <v>0</v>
      </c>
      <c r="I420" s="526"/>
      <c r="J420" s="517">
        <f t="shared" si="126"/>
        <v>0</v>
      </c>
      <c r="K420" s="517"/>
      <c r="L420" s="517"/>
      <c r="M420" s="517"/>
      <c r="N420" s="517"/>
      <c r="O420" s="517"/>
      <c r="P420" s="517"/>
      <c r="Q420" s="517"/>
      <c r="R420" s="517"/>
      <c r="S420" s="517"/>
      <c r="T420" s="517">
        <f t="shared" si="119"/>
        <v>0</v>
      </c>
      <c r="U420" s="526"/>
      <c r="V420" s="517">
        <f t="shared" si="120"/>
        <v>0</v>
      </c>
      <c r="W420" s="632">
        <f t="shared" si="127"/>
        <v>0</v>
      </c>
      <c r="X420" s="517">
        <f t="shared" si="123"/>
        <v>0</v>
      </c>
      <c r="Y420" s="632">
        <f t="shared" si="128"/>
        <v>0</v>
      </c>
      <c r="Z420" s="517">
        <f t="shared" si="118"/>
        <v>0</v>
      </c>
      <c r="AA420" s="675"/>
      <c r="AB420" s="674"/>
    </row>
    <row r="421" spans="1:29" s="301" customFormat="1" hidden="1">
      <c r="A421" s="368">
        <v>62.2</v>
      </c>
      <c r="B421" s="369" t="s">
        <v>1075</v>
      </c>
      <c r="C421" s="513"/>
      <c r="D421" s="514"/>
      <c r="E421" s="526"/>
      <c r="F421" s="630">
        <f t="shared" si="124"/>
        <v>0</v>
      </c>
      <c r="G421" s="526"/>
      <c r="H421" s="517">
        <f t="shared" si="125"/>
        <v>0</v>
      </c>
      <c r="I421" s="526"/>
      <c r="J421" s="517">
        <f t="shared" si="126"/>
        <v>0</v>
      </c>
      <c r="K421" s="517"/>
      <c r="L421" s="517"/>
      <c r="M421" s="517"/>
      <c r="N421" s="517"/>
      <c r="O421" s="517"/>
      <c r="P421" s="517"/>
      <c r="Q421" s="517"/>
      <c r="R421" s="517"/>
      <c r="S421" s="517"/>
      <c r="T421" s="517">
        <f t="shared" si="119"/>
        <v>0</v>
      </c>
      <c r="U421" s="526"/>
      <c r="V421" s="517">
        <f t="shared" si="120"/>
        <v>0</v>
      </c>
      <c r="W421" s="632">
        <f t="shared" si="127"/>
        <v>0</v>
      </c>
      <c r="X421" s="517">
        <f t="shared" si="123"/>
        <v>0</v>
      </c>
      <c r="Y421" s="632">
        <f t="shared" si="128"/>
        <v>0</v>
      </c>
      <c r="Z421" s="517">
        <f t="shared" si="118"/>
        <v>0</v>
      </c>
      <c r="AA421" s="675"/>
      <c r="AB421" s="674"/>
    </row>
    <row r="422" spans="1:29" s="301" customFormat="1" hidden="1">
      <c r="A422" s="320"/>
      <c r="B422" s="320" t="s">
        <v>1072</v>
      </c>
      <c r="C422" s="513">
        <f>ROUND(Data!K2203,2)</f>
        <v>129.80000000000001</v>
      </c>
      <c r="D422" s="514" t="s">
        <v>1418</v>
      </c>
      <c r="E422" s="526"/>
      <c r="F422" s="630">
        <f t="shared" si="124"/>
        <v>0</v>
      </c>
      <c r="G422" s="526"/>
      <c r="H422" s="517">
        <f t="shared" si="125"/>
        <v>0</v>
      </c>
      <c r="I422" s="526"/>
      <c r="J422" s="517">
        <f t="shared" si="126"/>
        <v>0</v>
      </c>
      <c r="K422" s="517"/>
      <c r="L422" s="517"/>
      <c r="M422" s="517"/>
      <c r="N422" s="517"/>
      <c r="O422" s="517"/>
      <c r="P422" s="517"/>
      <c r="Q422" s="517"/>
      <c r="R422" s="517"/>
      <c r="S422" s="517"/>
      <c r="T422" s="517">
        <f t="shared" si="119"/>
        <v>0</v>
      </c>
      <c r="U422" s="526"/>
      <c r="V422" s="517">
        <f t="shared" si="120"/>
        <v>0</v>
      </c>
      <c r="W422" s="632">
        <f t="shared" si="127"/>
        <v>0</v>
      </c>
      <c r="X422" s="517">
        <f t="shared" si="123"/>
        <v>0</v>
      </c>
      <c r="Y422" s="632">
        <f t="shared" si="128"/>
        <v>0</v>
      </c>
      <c r="Z422" s="517">
        <f t="shared" si="118"/>
        <v>0</v>
      </c>
      <c r="AA422" s="675"/>
      <c r="AB422" s="674"/>
    </row>
    <row r="423" spans="1:29" s="301" customFormat="1" hidden="1">
      <c r="A423" s="370"/>
      <c r="B423" s="320" t="s">
        <v>1073</v>
      </c>
      <c r="C423" s="308">
        <f>ROUND(Data!K2213,2)</f>
        <v>167.5</v>
      </c>
      <c r="D423" s="486" t="s">
        <v>1418</v>
      </c>
      <c r="E423" s="526"/>
      <c r="F423" s="630">
        <f t="shared" si="124"/>
        <v>0</v>
      </c>
      <c r="G423" s="526"/>
      <c r="H423" s="517">
        <f t="shared" si="125"/>
        <v>0</v>
      </c>
      <c r="I423" s="526"/>
      <c r="J423" s="517">
        <f t="shared" si="126"/>
        <v>0</v>
      </c>
      <c r="K423" s="517"/>
      <c r="L423" s="517"/>
      <c r="M423" s="517"/>
      <c r="N423" s="517"/>
      <c r="O423" s="517"/>
      <c r="P423" s="517"/>
      <c r="Q423" s="517"/>
      <c r="R423" s="517"/>
      <c r="S423" s="517"/>
      <c r="T423" s="517">
        <f t="shared" si="119"/>
        <v>0</v>
      </c>
      <c r="U423" s="526"/>
      <c r="V423" s="517">
        <f t="shared" si="120"/>
        <v>0</v>
      </c>
      <c r="W423" s="632">
        <f t="shared" si="127"/>
        <v>0</v>
      </c>
      <c r="X423" s="517">
        <f t="shared" si="123"/>
        <v>0</v>
      </c>
      <c r="Y423" s="632">
        <f t="shared" si="128"/>
        <v>0</v>
      </c>
      <c r="Z423" s="517">
        <f t="shared" si="118"/>
        <v>0</v>
      </c>
      <c r="AA423" s="675"/>
      <c r="AB423" s="674"/>
    </row>
    <row r="424" spans="1:29" s="301" customFormat="1" hidden="1">
      <c r="A424" s="649">
        <v>63</v>
      </c>
      <c r="B424" s="520" t="s">
        <v>2164</v>
      </c>
      <c r="C424" s="650">
        <f>ROUND(Data!K2222,2)</f>
        <v>31.87</v>
      </c>
      <c r="D424" s="446" t="s">
        <v>1418</v>
      </c>
      <c r="E424" s="651"/>
      <c r="F424" s="630">
        <f t="shared" si="124"/>
        <v>0</v>
      </c>
      <c r="G424" s="651"/>
      <c r="H424" s="517">
        <f t="shared" si="125"/>
        <v>0</v>
      </c>
      <c r="I424" s="651"/>
      <c r="J424" s="517">
        <f t="shared" si="126"/>
        <v>0</v>
      </c>
      <c r="K424" s="654"/>
      <c r="L424" s="654"/>
      <c r="M424" s="654"/>
      <c r="N424" s="654"/>
      <c r="O424" s="654"/>
      <c r="P424" s="654"/>
      <c r="Q424" s="654"/>
      <c r="R424" s="654"/>
      <c r="S424" s="654"/>
      <c r="T424" s="517">
        <f t="shared" si="119"/>
        <v>0</v>
      </c>
      <c r="U424" s="651"/>
      <c r="V424" s="517">
        <f t="shared" si="120"/>
        <v>0</v>
      </c>
      <c r="W424" s="632">
        <f t="shared" si="127"/>
        <v>0</v>
      </c>
      <c r="X424" s="517">
        <f t="shared" si="123"/>
        <v>0</v>
      </c>
      <c r="Y424" s="632">
        <f t="shared" si="128"/>
        <v>0</v>
      </c>
      <c r="Z424" s="517">
        <f t="shared" si="118"/>
        <v>0</v>
      </c>
      <c r="AA424" s="675"/>
      <c r="AB424" s="674"/>
    </row>
    <row r="425" spans="1:29">
      <c r="A425" s="1608"/>
      <c r="B425" s="1169" t="s">
        <v>2165</v>
      </c>
      <c r="C425" s="1612"/>
      <c r="D425" s="1610"/>
      <c r="E425" s="1616"/>
      <c r="F425" s="1617">
        <f t="shared" si="124"/>
        <v>0</v>
      </c>
      <c r="G425" s="1618"/>
      <c r="H425" s="1618">
        <f t="shared" si="125"/>
        <v>0</v>
      </c>
      <c r="I425" s="1618"/>
      <c r="J425" s="1618">
        <f t="shared" si="126"/>
        <v>0</v>
      </c>
      <c r="K425" s="1618"/>
      <c r="L425" s="1618">
        <f t="shared" ref="L425:L439" si="129">K425*C425</f>
        <v>0</v>
      </c>
      <c r="M425" s="1618"/>
      <c r="N425" s="1618">
        <f t="shared" ref="N425:N439" si="130">M425*C425</f>
        <v>0</v>
      </c>
      <c r="O425" s="1618"/>
      <c r="P425" s="1618">
        <f t="shared" ref="P425:P439" si="131">O425*C425</f>
        <v>0</v>
      </c>
      <c r="Q425" s="1618"/>
      <c r="R425" s="1618">
        <f>Q425*C425</f>
        <v>0</v>
      </c>
      <c r="S425" s="1618"/>
      <c r="T425" s="1618">
        <f t="shared" si="119"/>
        <v>0</v>
      </c>
      <c r="U425" s="1618"/>
      <c r="V425" s="1618">
        <f t="shared" si="120"/>
        <v>0</v>
      </c>
      <c r="W425" s="1619" t="e">
        <f>U425+S425+O425+M425+#REF!+K425+I425+G425+Q425</f>
        <v>#REF!</v>
      </c>
      <c r="X425" s="1618" t="e">
        <f t="shared" si="123"/>
        <v>#REF!</v>
      </c>
      <c r="Y425" s="1619" t="e">
        <f t="shared" ref="Y425:Y442" si="132">W425+E425</f>
        <v>#REF!</v>
      </c>
      <c r="Z425" s="1618" t="e">
        <f t="shared" si="118"/>
        <v>#REF!</v>
      </c>
      <c r="AA425" s="530"/>
      <c r="AB425" s="673"/>
      <c r="AC425" s="627"/>
    </row>
    <row r="426" spans="1:29" s="301" customFormat="1" ht="28.5" hidden="1" customHeight="1">
      <c r="A426" s="536">
        <v>64</v>
      </c>
      <c r="B426" s="1177" t="s">
        <v>2166</v>
      </c>
      <c r="C426" s="538">
        <f>Data!K2258</f>
        <v>1499.19</v>
      </c>
      <c r="D426" s="443" t="s">
        <v>1418</v>
      </c>
      <c r="E426" s="668"/>
      <c r="F426" s="1394">
        <f t="shared" si="124"/>
        <v>0</v>
      </c>
      <c r="G426" s="668"/>
      <c r="H426" s="517">
        <f t="shared" si="125"/>
        <v>0</v>
      </c>
      <c r="I426" s="668"/>
      <c r="J426" s="517">
        <f t="shared" si="126"/>
        <v>0</v>
      </c>
      <c r="K426" s="682"/>
      <c r="L426" s="517">
        <f t="shared" si="129"/>
        <v>0</v>
      </c>
      <c r="M426" s="682"/>
      <c r="N426" s="517">
        <f t="shared" si="130"/>
        <v>0</v>
      </c>
      <c r="O426" s="682"/>
      <c r="P426" s="517">
        <f t="shared" si="131"/>
        <v>0</v>
      </c>
      <c r="Q426" s="682"/>
      <c r="R426" s="682"/>
      <c r="S426" s="682"/>
      <c r="T426" s="517">
        <f t="shared" si="119"/>
        <v>0</v>
      </c>
      <c r="U426" s="668"/>
      <c r="V426" s="517">
        <f t="shared" si="120"/>
        <v>0</v>
      </c>
      <c r="W426" s="632" t="e">
        <f>U426+S426+O426+M426+#REF!+K426+I426+G426</f>
        <v>#REF!</v>
      </c>
      <c r="X426" s="517" t="e">
        <f t="shared" si="123"/>
        <v>#REF!</v>
      </c>
      <c r="Y426" s="632" t="e">
        <f t="shared" si="132"/>
        <v>#REF!</v>
      </c>
      <c r="Z426" s="517" t="e">
        <f t="shared" si="118"/>
        <v>#REF!</v>
      </c>
      <c r="AA426" s="675"/>
      <c r="AB426" s="674"/>
    </row>
    <row r="427" spans="1:29" s="301" customFormat="1" ht="28.5" hidden="1" customHeight="1">
      <c r="A427" s="320"/>
      <c r="B427" s="1166" t="s">
        <v>1288</v>
      </c>
      <c r="C427" s="1393">
        <v>1503.34</v>
      </c>
      <c r="D427" s="486" t="s">
        <v>1418</v>
      </c>
      <c r="E427" s="526"/>
      <c r="F427" s="1394">
        <f t="shared" si="124"/>
        <v>0</v>
      </c>
      <c r="G427" s="526"/>
      <c r="H427" s="517">
        <f t="shared" si="125"/>
        <v>0</v>
      </c>
      <c r="I427" s="526"/>
      <c r="J427" s="517">
        <f t="shared" si="126"/>
        <v>0</v>
      </c>
      <c r="K427" s="517"/>
      <c r="L427" s="517">
        <f t="shared" si="129"/>
        <v>0</v>
      </c>
      <c r="M427" s="517"/>
      <c r="N427" s="517">
        <f t="shared" si="130"/>
        <v>0</v>
      </c>
      <c r="O427" s="517"/>
      <c r="P427" s="517">
        <f t="shared" si="131"/>
        <v>0</v>
      </c>
      <c r="Q427" s="517"/>
      <c r="R427" s="517"/>
      <c r="S427" s="517"/>
      <c r="T427" s="517">
        <f t="shared" si="119"/>
        <v>0</v>
      </c>
      <c r="U427" s="526"/>
      <c r="V427" s="517">
        <f t="shared" si="120"/>
        <v>0</v>
      </c>
      <c r="W427" s="632" t="e">
        <f>U427+S427+O427+M427+#REF!+K427+I427+G427</f>
        <v>#REF!</v>
      </c>
      <c r="X427" s="517" t="e">
        <f t="shared" ref="X427:X458" si="133">W427*C427</f>
        <v>#REF!</v>
      </c>
      <c r="Y427" s="632" t="e">
        <f t="shared" si="132"/>
        <v>#REF!</v>
      </c>
      <c r="Z427" s="517" t="e">
        <f t="shared" si="118"/>
        <v>#REF!</v>
      </c>
      <c r="AA427" s="675"/>
      <c r="AB427" s="674"/>
    </row>
    <row r="428" spans="1:29" s="301" customFormat="1" ht="28.5" hidden="1" customHeight="1">
      <c r="A428" s="370"/>
      <c r="B428" s="1166" t="s">
        <v>300</v>
      </c>
      <c r="C428" s="307">
        <f>Data!K2260</f>
        <v>1538.57</v>
      </c>
      <c r="D428" s="486" t="s">
        <v>1418</v>
      </c>
      <c r="E428" s="526"/>
      <c r="F428" s="1394">
        <f t="shared" si="124"/>
        <v>0</v>
      </c>
      <c r="G428" s="526"/>
      <c r="H428" s="517">
        <f t="shared" si="125"/>
        <v>0</v>
      </c>
      <c r="I428" s="526"/>
      <c r="J428" s="517">
        <f t="shared" si="126"/>
        <v>0</v>
      </c>
      <c r="K428" s="517"/>
      <c r="L428" s="517">
        <f t="shared" si="129"/>
        <v>0</v>
      </c>
      <c r="M428" s="517"/>
      <c r="N428" s="517">
        <f t="shared" si="130"/>
        <v>0</v>
      </c>
      <c r="O428" s="517"/>
      <c r="P428" s="517">
        <f t="shared" si="131"/>
        <v>0</v>
      </c>
      <c r="Q428" s="517"/>
      <c r="R428" s="517"/>
      <c r="S428" s="517"/>
      <c r="T428" s="517">
        <f t="shared" si="119"/>
        <v>0</v>
      </c>
      <c r="U428" s="526"/>
      <c r="V428" s="517">
        <f t="shared" si="120"/>
        <v>0</v>
      </c>
      <c r="W428" s="632" t="e">
        <f>U428+S428+O428+M428+#REF!+K428+I428+G428</f>
        <v>#REF!</v>
      </c>
      <c r="X428" s="517" t="e">
        <f t="shared" si="133"/>
        <v>#REF!</v>
      </c>
      <c r="Y428" s="632" t="e">
        <f t="shared" si="132"/>
        <v>#REF!</v>
      </c>
      <c r="Z428" s="517" t="e">
        <f t="shared" si="118"/>
        <v>#REF!</v>
      </c>
      <c r="AA428" s="675"/>
      <c r="AB428" s="674"/>
    </row>
    <row r="429" spans="1:29" s="301" customFormat="1" ht="28.5" hidden="1" customHeight="1">
      <c r="A429" s="368">
        <v>65</v>
      </c>
      <c r="B429" s="1166" t="s">
        <v>301</v>
      </c>
      <c r="C429" s="307">
        <f>Data!K2261</f>
        <v>1565.4</v>
      </c>
      <c r="D429" s="486" t="s">
        <v>1418</v>
      </c>
      <c r="E429" s="526"/>
      <c r="F429" s="1394">
        <f t="shared" si="124"/>
        <v>0</v>
      </c>
      <c r="G429" s="526"/>
      <c r="H429" s="517">
        <f t="shared" si="125"/>
        <v>0</v>
      </c>
      <c r="I429" s="526"/>
      <c r="J429" s="517">
        <f t="shared" si="126"/>
        <v>0</v>
      </c>
      <c r="K429" s="517"/>
      <c r="L429" s="517">
        <f t="shared" si="129"/>
        <v>0</v>
      </c>
      <c r="M429" s="517"/>
      <c r="N429" s="517">
        <f t="shared" si="130"/>
        <v>0</v>
      </c>
      <c r="O429" s="517"/>
      <c r="P429" s="517">
        <f t="shared" si="131"/>
        <v>0</v>
      </c>
      <c r="Q429" s="517"/>
      <c r="R429" s="517"/>
      <c r="S429" s="517"/>
      <c r="T429" s="517">
        <f t="shared" si="119"/>
        <v>0</v>
      </c>
      <c r="U429" s="526"/>
      <c r="V429" s="517">
        <f t="shared" si="120"/>
        <v>0</v>
      </c>
      <c r="W429" s="632" t="e">
        <f>U429+S429+O429+M429+#REF!+K429+I429+G429</f>
        <v>#REF!</v>
      </c>
      <c r="X429" s="517" t="e">
        <f t="shared" si="133"/>
        <v>#REF!</v>
      </c>
      <c r="Y429" s="632" t="e">
        <f t="shared" si="132"/>
        <v>#REF!</v>
      </c>
      <c r="Z429" s="517" t="e">
        <f t="shared" si="118"/>
        <v>#REF!</v>
      </c>
      <c r="AA429" s="675"/>
      <c r="AB429" s="674"/>
    </row>
    <row r="430" spans="1:29" s="301" customFormat="1" ht="28.5" hidden="1" customHeight="1">
      <c r="A430" s="368">
        <v>66</v>
      </c>
      <c r="B430" s="1166" t="s">
        <v>302</v>
      </c>
      <c r="C430" s="307">
        <f>Data!K2262</f>
        <v>2802.09</v>
      </c>
      <c r="D430" s="486" t="s">
        <v>1418</v>
      </c>
      <c r="E430" s="526"/>
      <c r="F430" s="1394">
        <f t="shared" si="124"/>
        <v>0</v>
      </c>
      <c r="G430" s="526"/>
      <c r="H430" s="517">
        <f t="shared" si="125"/>
        <v>0</v>
      </c>
      <c r="I430" s="526"/>
      <c r="J430" s="517">
        <f t="shared" si="126"/>
        <v>0</v>
      </c>
      <c r="K430" s="517"/>
      <c r="L430" s="517">
        <f t="shared" si="129"/>
        <v>0</v>
      </c>
      <c r="M430" s="517"/>
      <c r="N430" s="517">
        <f t="shared" si="130"/>
        <v>0</v>
      </c>
      <c r="O430" s="517"/>
      <c r="P430" s="517">
        <f t="shared" si="131"/>
        <v>0</v>
      </c>
      <c r="Q430" s="517"/>
      <c r="R430" s="517"/>
      <c r="S430" s="517"/>
      <c r="T430" s="517">
        <f t="shared" si="119"/>
        <v>0</v>
      </c>
      <c r="U430" s="526"/>
      <c r="V430" s="517">
        <f t="shared" si="120"/>
        <v>0</v>
      </c>
      <c r="W430" s="632" t="e">
        <f>U430+S430+O430+M430+#REF!+K430+I430+G430</f>
        <v>#REF!</v>
      </c>
      <c r="X430" s="517" t="e">
        <f t="shared" si="133"/>
        <v>#REF!</v>
      </c>
      <c r="Y430" s="632" t="e">
        <f t="shared" si="132"/>
        <v>#REF!</v>
      </c>
      <c r="Z430" s="517" t="e">
        <f t="shared" si="118"/>
        <v>#REF!</v>
      </c>
      <c r="AA430" s="675"/>
      <c r="AB430" s="674"/>
    </row>
    <row r="431" spans="1:29" s="301" customFormat="1" ht="28.5" hidden="1" customHeight="1">
      <c r="A431" s="368">
        <v>67</v>
      </c>
      <c r="B431" s="1166" t="s">
        <v>1811</v>
      </c>
      <c r="C431" s="307">
        <f>Data!K2263</f>
        <v>764.91</v>
      </c>
      <c r="D431" s="486" t="s">
        <v>1418</v>
      </c>
      <c r="E431" s="526"/>
      <c r="F431" s="1394">
        <f t="shared" si="124"/>
        <v>0</v>
      </c>
      <c r="G431" s="526"/>
      <c r="H431" s="517">
        <f t="shared" si="125"/>
        <v>0</v>
      </c>
      <c r="I431" s="526"/>
      <c r="J431" s="517">
        <f t="shared" si="126"/>
        <v>0</v>
      </c>
      <c r="K431" s="517"/>
      <c r="L431" s="517">
        <f t="shared" si="129"/>
        <v>0</v>
      </c>
      <c r="M431" s="517"/>
      <c r="N431" s="517">
        <f t="shared" si="130"/>
        <v>0</v>
      </c>
      <c r="O431" s="517"/>
      <c r="P431" s="517">
        <f t="shared" si="131"/>
        <v>0</v>
      </c>
      <c r="Q431" s="517"/>
      <c r="R431" s="517"/>
      <c r="S431" s="517"/>
      <c r="T431" s="517">
        <f t="shared" si="119"/>
        <v>0</v>
      </c>
      <c r="U431" s="526"/>
      <c r="V431" s="517">
        <f t="shared" si="120"/>
        <v>0</v>
      </c>
      <c r="W431" s="632" t="e">
        <f>U431+S431+O431+M431+#REF!+K431+I431+G431</f>
        <v>#REF!</v>
      </c>
      <c r="X431" s="517" t="e">
        <f t="shared" si="133"/>
        <v>#REF!</v>
      </c>
      <c r="Y431" s="632" t="e">
        <f t="shared" si="132"/>
        <v>#REF!</v>
      </c>
      <c r="Z431" s="517" t="e">
        <f t="shared" si="118"/>
        <v>#REF!</v>
      </c>
      <c r="AA431" s="675"/>
      <c r="AB431" s="674"/>
    </row>
    <row r="432" spans="1:29" s="301" customFormat="1" ht="28.5" hidden="1" customHeight="1">
      <c r="A432" s="368">
        <v>68</v>
      </c>
      <c r="B432" s="1166" t="s">
        <v>1812</v>
      </c>
      <c r="C432" s="307">
        <f>Data!K2264</f>
        <v>1041.2</v>
      </c>
      <c r="D432" s="486" t="s">
        <v>1418</v>
      </c>
      <c r="E432" s="526"/>
      <c r="F432" s="1394">
        <f t="shared" si="124"/>
        <v>0</v>
      </c>
      <c r="G432" s="526"/>
      <c r="H432" s="517">
        <f t="shared" si="125"/>
        <v>0</v>
      </c>
      <c r="I432" s="526"/>
      <c r="J432" s="517">
        <f t="shared" si="126"/>
        <v>0</v>
      </c>
      <c r="K432" s="517"/>
      <c r="L432" s="517">
        <f t="shared" si="129"/>
        <v>0</v>
      </c>
      <c r="M432" s="517"/>
      <c r="N432" s="517">
        <f t="shared" si="130"/>
        <v>0</v>
      </c>
      <c r="O432" s="517"/>
      <c r="P432" s="517">
        <f t="shared" si="131"/>
        <v>0</v>
      </c>
      <c r="Q432" s="517"/>
      <c r="R432" s="517"/>
      <c r="S432" s="517"/>
      <c r="T432" s="517">
        <f t="shared" si="119"/>
        <v>0</v>
      </c>
      <c r="U432" s="526"/>
      <c r="V432" s="517">
        <f t="shared" si="120"/>
        <v>0</v>
      </c>
      <c r="W432" s="632" t="e">
        <f>U432+S432+O432+M432+#REF!+K432+I432+G432</f>
        <v>#REF!</v>
      </c>
      <c r="X432" s="517" t="e">
        <f t="shared" si="133"/>
        <v>#REF!</v>
      </c>
      <c r="Y432" s="632" t="e">
        <f t="shared" si="132"/>
        <v>#REF!</v>
      </c>
      <c r="Z432" s="517" t="e">
        <f t="shared" si="118"/>
        <v>#REF!</v>
      </c>
      <c r="AA432" s="675"/>
      <c r="AB432" s="674"/>
    </row>
    <row r="433" spans="1:28" s="475" customFormat="1">
      <c r="A433" s="1635">
        <v>69</v>
      </c>
      <c r="B433" s="1172" t="s">
        <v>1813</v>
      </c>
      <c r="C433" s="1636">
        <f>Data!K2265</f>
        <v>138.69999999999999</v>
      </c>
      <c r="D433" s="1611" t="s">
        <v>1418</v>
      </c>
      <c r="E433" s="1616">
        <f>station!I979</f>
        <v>20</v>
      </c>
      <c r="F433" s="1617">
        <f t="shared" si="124"/>
        <v>2774</v>
      </c>
      <c r="G433" s="1616"/>
      <c r="H433" s="1618">
        <f t="shared" si="125"/>
        <v>0</v>
      </c>
      <c r="I433" s="1616"/>
      <c r="J433" s="1618">
        <f t="shared" si="126"/>
        <v>0</v>
      </c>
      <c r="K433" s="1618"/>
      <c r="L433" s="1618">
        <f t="shared" si="129"/>
        <v>0</v>
      </c>
      <c r="M433" s="1618"/>
      <c r="N433" s="1618">
        <f t="shared" si="130"/>
        <v>0</v>
      </c>
      <c r="O433" s="1618"/>
      <c r="P433" s="1618">
        <f t="shared" si="131"/>
        <v>0</v>
      </c>
      <c r="Q433" s="1618"/>
      <c r="R433" s="1618">
        <f t="shared" ref="R433:R442" si="134">Q433*C433</f>
        <v>0</v>
      </c>
      <c r="S433" s="1618"/>
      <c r="T433" s="1618">
        <f t="shared" si="119"/>
        <v>0</v>
      </c>
      <c r="U433" s="1616"/>
      <c r="V433" s="1618">
        <f t="shared" si="120"/>
        <v>0</v>
      </c>
      <c r="W433" s="1619" t="e">
        <f>U433+S433+O433+M433+#REF!+K433+I433+G433+Q433</f>
        <v>#REF!</v>
      </c>
      <c r="X433" s="1618" t="e">
        <f t="shared" si="133"/>
        <v>#REF!</v>
      </c>
      <c r="Y433" s="1619" t="e">
        <f t="shared" si="132"/>
        <v>#REF!</v>
      </c>
      <c r="Z433" s="1618" t="e">
        <f t="shared" si="118"/>
        <v>#REF!</v>
      </c>
      <c r="AA433" s="674"/>
      <c r="AB433" s="674"/>
    </row>
    <row r="434" spans="1:28" s="301" customFormat="1">
      <c r="A434" s="1627">
        <v>70.099999999999994</v>
      </c>
      <c r="B434" s="1177" t="s">
        <v>1814</v>
      </c>
      <c r="C434" s="1628">
        <v>462</v>
      </c>
      <c r="D434" s="1629" t="s">
        <v>1418</v>
      </c>
      <c r="E434" s="1616">
        <f>station!I981</f>
        <v>6</v>
      </c>
      <c r="F434" s="1617">
        <f t="shared" si="124"/>
        <v>2772</v>
      </c>
      <c r="G434" s="1616"/>
      <c r="H434" s="1618">
        <f t="shared" si="125"/>
        <v>0</v>
      </c>
      <c r="I434" s="1616"/>
      <c r="J434" s="1618">
        <f t="shared" si="126"/>
        <v>0</v>
      </c>
      <c r="K434" s="1618"/>
      <c r="L434" s="1618">
        <f t="shared" si="129"/>
        <v>0</v>
      </c>
      <c r="M434" s="1618"/>
      <c r="N434" s="1618">
        <f t="shared" si="130"/>
        <v>0</v>
      </c>
      <c r="O434" s="1618"/>
      <c r="P434" s="1618">
        <f t="shared" si="131"/>
        <v>0</v>
      </c>
      <c r="Q434" s="1618"/>
      <c r="R434" s="1618">
        <f t="shared" si="134"/>
        <v>0</v>
      </c>
      <c r="S434" s="1618"/>
      <c r="T434" s="1618">
        <f t="shared" si="119"/>
        <v>0</v>
      </c>
      <c r="U434" s="1616"/>
      <c r="V434" s="1618">
        <f t="shared" si="120"/>
        <v>0</v>
      </c>
      <c r="W434" s="1619" t="e">
        <f>U434+S434+O434+M434+#REF!+K434+I434+G434+Q434</f>
        <v>#REF!</v>
      </c>
      <c r="X434" s="1618" t="e">
        <f t="shared" si="133"/>
        <v>#REF!</v>
      </c>
      <c r="Y434" s="1619" t="e">
        <f t="shared" si="132"/>
        <v>#REF!</v>
      </c>
      <c r="Z434" s="1618" t="e">
        <f t="shared" si="118"/>
        <v>#REF!</v>
      </c>
      <c r="AA434" s="675"/>
      <c r="AB434" s="674"/>
    </row>
    <row r="435" spans="1:28" s="301" customFormat="1">
      <c r="A435" s="1608">
        <v>70.2</v>
      </c>
      <c r="B435" s="1166" t="s">
        <v>1815</v>
      </c>
      <c r="C435" s="1630"/>
      <c r="D435" s="1631" t="s">
        <v>1418</v>
      </c>
      <c r="E435" s="1616"/>
      <c r="F435" s="1617">
        <f t="shared" si="124"/>
        <v>0</v>
      </c>
      <c r="G435" s="1616"/>
      <c r="H435" s="1618">
        <f t="shared" si="125"/>
        <v>0</v>
      </c>
      <c r="I435" s="1616"/>
      <c r="J435" s="1618">
        <f t="shared" si="126"/>
        <v>0</v>
      </c>
      <c r="K435" s="1618"/>
      <c r="L435" s="1618">
        <f t="shared" si="129"/>
        <v>0</v>
      </c>
      <c r="M435" s="1618"/>
      <c r="N435" s="1618">
        <f t="shared" si="130"/>
        <v>0</v>
      </c>
      <c r="O435" s="1618"/>
      <c r="P435" s="1618">
        <f t="shared" si="131"/>
        <v>0</v>
      </c>
      <c r="Q435" s="1618"/>
      <c r="R435" s="1618">
        <f t="shared" si="134"/>
        <v>0</v>
      </c>
      <c r="S435" s="1618"/>
      <c r="T435" s="1618">
        <f t="shared" si="119"/>
        <v>0</v>
      </c>
      <c r="U435" s="1616"/>
      <c r="V435" s="1618">
        <f t="shared" si="120"/>
        <v>0</v>
      </c>
      <c r="W435" s="1619" t="e">
        <f>U435+S435+O435+M435+#REF!+K435+I435+G435+Q435</f>
        <v>#REF!</v>
      </c>
      <c r="X435" s="1618" t="e">
        <f t="shared" si="133"/>
        <v>#REF!</v>
      </c>
      <c r="Y435" s="1619" t="e">
        <f t="shared" si="132"/>
        <v>#REF!</v>
      </c>
      <c r="Z435" s="1618" t="e">
        <f t="shared" si="118"/>
        <v>#REF!</v>
      </c>
      <c r="AA435" s="675"/>
      <c r="AB435" s="674"/>
    </row>
    <row r="436" spans="1:28" s="301" customFormat="1">
      <c r="A436" s="1608">
        <v>70.3</v>
      </c>
      <c r="B436" s="1166" t="s">
        <v>1816</v>
      </c>
      <c r="C436" s="1630">
        <f>Data!K2268</f>
        <v>9.4</v>
      </c>
      <c r="D436" s="1631" t="s">
        <v>1418</v>
      </c>
      <c r="E436" s="1616"/>
      <c r="F436" s="1617">
        <f t="shared" si="124"/>
        <v>0</v>
      </c>
      <c r="G436" s="1616"/>
      <c r="H436" s="1618">
        <f t="shared" si="125"/>
        <v>0</v>
      </c>
      <c r="I436" s="1616"/>
      <c r="J436" s="1618">
        <f t="shared" si="126"/>
        <v>0</v>
      </c>
      <c r="K436" s="1618"/>
      <c r="L436" s="1618">
        <f t="shared" si="129"/>
        <v>0</v>
      </c>
      <c r="M436" s="1618"/>
      <c r="N436" s="1618">
        <f t="shared" si="130"/>
        <v>0</v>
      </c>
      <c r="O436" s="1618"/>
      <c r="P436" s="1618">
        <f t="shared" si="131"/>
        <v>0</v>
      </c>
      <c r="Q436" s="1618"/>
      <c r="R436" s="1618">
        <f t="shared" si="134"/>
        <v>0</v>
      </c>
      <c r="S436" s="1618"/>
      <c r="T436" s="1618">
        <f t="shared" si="119"/>
        <v>0</v>
      </c>
      <c r="U436" s="1616"/>
      <c r="V436" s="1618">
        <f t="shared" si="120"/>
        <v>0</v>
      </c>
      <c r="W436" s="1619" t="e">
        <f>U436+S436+O436+M436+#REF!+K436+I436+G436+Q436</f>
        <v>#REF!</v>
      </c>
      <c r="X436" s="1618" t="e">
        <f t="shared" si="133"/>
        <v>#REF!</v>
      </c>
      <c r="Y436" s="1619" t="e">
        <f t="shared" si="132"/>
        <v>#REF!</v>
      </c>
      <c r="Z436" s="1618" t="e">
        <f t="shared" si="118"/>
        <v>#REF!</v>
      </c>
      <c r="AA436" s="675"/>
      <c r="AB436" s="674"/>
    </row>
    <row r="437" spans="1:28" s="301" customFormat="1">
      <c r="A437" s="1608">
        <v>70.400000000000006</v>
      </c>
      <c r="B437" s="1166" t="s">
        <v>1407</v>
      </c>
      <c r="C437" s="1630">
        <f>Data!K2269</f>
        <v>10</v>
      </c>
      <c r="D437" s="1631" t="s">
        <v>1418</v>
      </c>
      <c r="E437" s="1616"/>
      <c r="F437" s="1617">
        <f t="shared" si="124"/>
        <v>0</v>
      </c>
      <c r="G437" s="1616"/>
      <c r="H437" s="1618">
        <f t="shared" si="125"/>
        <v>0</v>
      </c>
      <c r="I437" s="1616"/>
      <c r="J437" s="1618">
        <f t="shared" si="126"/>
        <v>0</v>
      </c>
      <c r="K437" s="1618"/>
      <c r="L437" s="1618">
        <f t="shared" si="129"/>
        <v>0</v>
      </c>
      <c r="M437" s="1618"/>
      <c r="N437" s="1618">
        <f t="shared" si="130"/>
        <v>0</v>
      </c>
      <c r="O437" s="1618"/>
      <c r="P437" s="1618">
        <f t="shared" si="131"/>
        <v>0</v>
      </c>
      <c r="Q437" s="1618"/>
      <c r="R437" s="1618">
        <f t="shared" si="134"/>
        <v>0</v>
      </c>
      <c r="S437" s="1618"/>
      <c r="T437" s="1618">
        <f t="shared" si="119"/>
        <v>0</v>
      </c>
      <c r="U437" s="1616"/>
      <c r="V437" s="1618">
        <f t="shared" si="120"/>
        <v>0</v>
      </c>
      <c r="W437" s="1619" t="e">
        <f>U437+S437+O437+M437+#REF!+K437+I437+G437+Q437</f>
        <v>#REF!</v>
      </c>
      <c r="X437" s="1618" t="e">
        <f t="shared" si="133"/>
        <v>#REF!</v>
      </c>
      <c r="Y437" s="1619" t="e">
        <f t="shared" si="132"/>
        <v>#REF!</v>
      </c>
      <c r="Z437" s="1618" t="e">
        <f t="shared" si="118"/>
        <v>#REF!</v>
      </c>
      <c r="AA437" s="675"/>
      <c r="AB437" s="674"/>
    </row>
    <row r="438" spans="1:28" s="301" customFormat="1">
      <c r="A438" s="1608">
        <v>71</v>
      </c>
      <c r="B438" s="1166" t="s">
        <v>1408</v>
      </c>
      <c r="C438" s="1637">
        <v>562</v>
      </c>
      <c r="D438" s="1631" t="s">
        <v>1418</v>
      </c>
      <c r="E438" s="1616">
        <f>station!I1002</f>
        <v>2</v>
      </c>
      <c r="F438" s="1617">
        <f t="shared" si="124"/>
        <v>1124</v>
      </c>
      <c r="G438" s="1616"/>
      <c r="H438" s="1618">
        <f t="shared" si="125"/>
        <v>0</v>
      </c>
      <c r="I438" s="1616"/>
      <c r="J438" s="1618">
        <f t="shared" si="126"/>
        <v>0</v>
      </c>
      <c r="K438" s="1618"/>
      <c r="L438" s="1618">
        <f t="shared" si="129"/>
        <v>0</v>
      </c>
      <c r="M438" s="1618"/>
      <c r="N438" s="1618">
        <f t="shared" si="130"/>
        <v>0</v>
      </c>
      <c r="O438" s="1618"/>
      <c r="P438" s="1618">
        <f t="shared" si="131"/>
        <v>0</v>
      </c>
      <c r="Q438" s="1618"/>
      <c r="R438" s="1618">
        <f t="shared" si="134"/>
        <v>0</v>
      </c>
      <c r="S438" s="1618"/>
      <c r="T438" s="1618">
        <f t="shared" si="119"/>
        <v>0</v>
      </c>
      <c r="U438" s="1616"/>
      <c r="V438" s="1618">
        <f t="shared" si="120"/>
        <v>0</v>
      </c>
      <c r="W438" s="1619" t="e">
        <f>U438+S438+O438+M438+#REF!+K438+I438+G438+Q438</f>
        <v>#REF!</v>
      </c>
      <c r="X438" s="1618" t="e">
        <f t="shared" si="133"/>
        <v>#REF!</v>
      </c>
      <c r="Y438" s="1619" t="e">
        <f t="shared" si="132"/>
        <v>#REF!</v>
      </c>
      <c r="Z438" s="1618" t="e">
        <f t="shared" si="118"/>
        <v>#REF!</v>
      </c>
      <c r="AA438" s="675"/>
      <c r="AB438" s="674"/>
    </row>
    <row r="439" spans="1:28">
      <c r="A439" s="1608">
        <v>72</v>
      </c>
      <c r="B439" s="1166" t="s">
        <v>911</v>
      </c>
      <c r="C439" s="1612">
        <f>Data!K2271</f>
        <v>33.9</v>
      </c>
      <c r="D439" s="1610" t="s">
        <v>1418</v>
      </c>
      <c r="E439" s="1616">
        <f>station!I1013</f>
        <v>16</v>
      </c>
      <c r="F439" s="1617">
        <f t="shared" si="124"/>
        <v>542.4</v>
      </c>
      <c r="G439" s="1618"/>
      <c r="H439" s="1618">
        <f t="shared" si="125"/>
        <v>0</v>
      </c>
      <c r="I439" s="1618"/>
      <c r="J439" s="1618">
        <f t="shared" si="126"/>
        <v>0</v>
      </c>
      <c r="K439" s="1618"/>
      <c r="L439" s="1618">
        <f t="shared" si="129"/>
        <v>0</v>
      </c>
      <c r="M439" s="1618"/>
      <c r="N439" s="1618">
        <f t="shared" si="130"/>
        <v>0</v>
      </c>
      <c r="O439" s="1618"/>
      <c r="P439" s="1618">
        <f t="shared" si="131"/>
        <v>0</v>
      </c>
      <c r="Q439" s="1618"/>
      <c r="R439" s="1618">
        <f t="shared" si="134"/>
        <v>0</v>
      </c>
      <c r="S439" s="1618"/>
      <c r="T439" s="1618">
        <f t="shared" si="119"/>
        <v>0</v>
      </c>
      <c r="U439" s="1618"/>
      <c r="V439" s="1618">
        <f t="shared" si="120"/>
        <v>0</v>
      </c>
      <c r="W439" s="1619" t="e">
        <f>U439+S439+O439+M439+#REF!+K439+I439+G439+Q439</f>
        <v>#REF!</v>
      </c>
      <c r="X439" s="1618" t="e">
        <f t="shared" si="133"/>
        <v>#REF!</v>
      </c>
      <c r="Y439" s="1619" t="e">
        <f t="shared" si="132"/>
        <v>#REF!</v>
      </c>
      <c r="Z439" s="1618" t="e">
        <f t="shared" si="118"/>
        <v>#REF!</v>
      </c>
      <c r="AA439" s="673"/>
      <c r="AB439" s="673"/>
    </row>
    <row r="440" spans="1:28">
      <c r="A440" s="1177">
        <v>73.099999999999994</v>
      </c>
      <c r="B440" s="1177" t="s">
        <v>912</v>
      </c>
      <c r="C440" s="1656">
        <f>Data!K2272</f>
        <v>4116.8500000000004</v>
      </c>
      <c r="D440" s="1657" t="s">
        <v>1418</v>
      </c>
      <c r="E440" s="1618"/>
      <c r="F440" s="1626">
        <f t="shared" si="124"/>
        <v>0</v>
      </c>
      <c r="G440" s="1618"/>
      <c r="H440" s="1618">
        <f t="shared" si="125"/>
        <v>0</v>
      </c>
      <c r="I440" s="1618"/>
      <c r="J440" s="1618">
        <f t="shared" si="126"/>
        <v>0</v>
      </c>
      <c r="K440" s="1618"/>
      <c r="L440" s="1618"/>
      <c r="M440" s="1618"/>
      <c r="N440" s="1618"/>
      <c r="O440" s="1618"/>
      <c r="P440" s="1618"/>
      <c r="Q440" s="1618"/>
      <c r="R440" s="1618">
        <f t="shared" si="134"/>
        <v>0</v>
      </c>
      <c r="S440" s="1618"/>
      <c r="T440" s="1618">
        <f t="shared" si="119"/>
        <v>0</v>
      </c>
      <c r="U440" s="1618"/>
      <c r="V440" s="1618">
        <f t="shared" si="120"/>
        <v>0</v>
      </c>
      <c r="W440" s="1619" t="e">
        <f>U440+S440+O440+M440+#REF!+K440+I440+G440+Q440</f>
        <v>#REF!</v>
      </c>
      <c r="X440" s="1618" t="e">
        <f t="shared" si="133"/>
        <v>#REF!</v>
      </c>
      <c r="Y440" s="1619" t="e">
        <f t="shared" si="132"/>
        <v>#REF!</v>
      </c>
      <c r="Z440" s="1618" t="e">
        <f t="shared" si="118"/>
        <v>#REF!</v>
      </c>
      <c r="AA440" s="673"/>
      <c r="AB440" s="673"/>
    </row>
    <row r="441" spans="1:28" s="301" customFormat="1">
      <c r="A441" s="1608">
        <v>73.2</v>
      </c>
      <c r="B441" s="1166" t="s">
        <v>913</v>
      </c>
      <c r="C441" s="1625">
        <f>Data!K2273</f>
        <v>3342.85</v>
      </c>
      <c r="D441" s="1610" t="s">
        <v>1418</v>
      </c>
      <c r="E441" s="1616">
        <f>station!I1014</f>
        <v>2</v>
      </c>
      <c r="F441" s="1617">
        <f t="shared" si="124"/>
        <v>6685.7</v>
      </c>
      <c r="G441" s="1618"/>
      <c r="H441" s="1618">
        <f t="shared" si="125"/>
        <v>0</v>
      </c>
      <c r="I441" s="1618"/>
      <c r="J441" s="1618">
        <f t="shared" si="126"/>
        <v>0</v>
      </c>
      <c r="K441" s="1618"/>
      <c r="L441" s="1618">
        <f t="shared" ref="L441:L442" si="135">K441*C441</f>
        <v>0</v>
      </c>
      <c r="M441" s="1618"/>
      <c r="N441" s="1618">
        <f>M441*C441</f>
        <v>0</v>
      </c>
      <c r="O441" s="1618"/>
      <c r="P441" s="1618">
        <f>O441*C441</f>
        <v>0</v>
      </c>
      <c r="Q441" s="1618"/>
      <c r="R441" s="1618">
        <f t="shared" si="134"/>
        <v>0</v>
      </c>
      <c r="S441" s="1618"/>
      <c r="T441" s="1618">
        <f t="shared" si="119"/>
        <v>0</v>
      </c>
      <c r="U441" s="1618"/>
      <c r="V441" s="1618">
        <f t="shared" si="120"/>
        <v>0</v>
      </c>
      <c r="W441" s="1619" t="e">
        <f>U441+S441+O441+M441+#REF!+K441+I441+G441+Q441</f>
        <v>#REF!</v>
      </c>
      <c r="X441" s="1618" t="e">
        <f t="shared" si="133"/>
        <v>#REF!</v>
      </c>
      <c r="Y441" s="1619" t="e">
        <f t="shared" si="132"/>
        <v>#REF!</v>
      </c>
      <c r="Z441" s="1618" t="e">
        <f t="shared" si="118"/>
        <v>#REF!</v>
      </c>
      <c r="AA441" s="675"/>
      <c r="AB441" s="673"/>
    </row>
    <row r="442" spans="1:28">
      <c r="A442" s="1608">
        <v>74</v>
      </c>
      <c r="B442" s="1166" t="s">
        <v>914</v>
      </c>
      <c r="C442" s="1612">
        <v>520.79999999999995</v>
      </c>
      <c r="D442" s="1610" t="s">
        <v>1418</v>
      </c>
      <c r="E442" s="1616">
        <f>station!I1025</f>
        <v>16</v>
      </c>
      <c r="F442" s="1617">
        <f t="shared" si="124"/>
        <v>8332.7999999999993</v>
      </c>
      <c r="G442" s="1618"/>
      <c r="H442" s="1618">
        <f t="shared" si="125"/>
        <v>0</v>
      </c>
      <c r="I442" s="1618"/>
      <c r="J442" s="1618">
        <f t="shared" si="126"/>
        <v>0</v>
      </c>
      <c r="K442" s="1618"/>
      <c r="L442" s="1618">
        <f t="shared" si="135"/>
        <v>0</v>
      </c>
      <c r="M442" s="1618"/>
      <c r="N442" s="1618">
        <f>M442*C442</f>
        <v>0</v>
      </c>
      <c r="O442" s="1618"/>
      <c r="P442" s="1618">
        <f>O442*C442</f>
        <v>0</v>
      </c>
      <c r="Q442" s="1618"/>
      <c r="R442" s="1618">
        <f t="shared" si="134"/>
        <v>0</v>
      </c>
      <c r="S442" s="1618"/>
      <c r="T442" s="1618">
        <f t="shared" si="119"/>
        <v>0</v>
      </c>
      <c r="U442" s="1618"/>
      <c r="V442" s="1618">
        <f t="shared" si="120"/>
        <v>0</v>
      </c>
      <c r="W442" s="1619" t="e">
        <f>U442+S442+O442+M442+#REF!+K442+I442+G442+Q442</f>
        <v>#REF!</v>
      </c>
      <c r="X442" s="1618" t="e">
        <f t="shared" si="133"/>
        <v>#REF!</v>
      </c>
      <c r="Y442" s="1619" t="e">
        <f t="shared" si="132"/>
        <v>#REF!</v>
      </c>
      <c r="Z442" s="1618" t="e">
        <f t="shared" si="118"/>
        <v>#REF!</v>
      </c>
      <c r="AA442" s="673"/>
      <c r="AB442" s="673"/>
    </row>
    <row r="443" spans="1:28" s="301" customFormat="1" hidden="1">
      <c r="A443" s="536">
        <v>75</v>
      </c>
      <c r="B443" s="539" t="s">
        <v>915</v>
      </c>
      <c r="C443" s="538"/>
      <c r="D443" s="443"/>
      <c r="E443" s="526"/>
      <c r="F443" s="630">
        <f t="shared" si="124"/>
        <v>0</v>
      </c>
      <c r="G443" s="526"/>
      <c r="H443" s="517">
        <f t="shared" si="125"/>
        <v>0</v>
      </c>
      <c r="I443" s="526"/>
      <c r="J443" s="517">
        <f t="shared" si="126"/>
        <v>0</v>
      </c>
      <c r="K443" s="517"/>
      <c r="L443" s="517"/>
      <c r="M443" s="517"/>
      <c r="N443" s="517"/>
      <c r="O443" s="517"/>
      <c r="P443" s="517"/>
      <c r="Q443" s="517"/>
      <c r="R443" s="517"/>
      <c r="S443" s="517"/>
      <c r="T443" s="517">
        <f t="shared" si="119"/>
        <v>0</v>
      </c>
      <c r="U443" s="526"/>
      <c r="V443" s="517">
        <f t="shared" si="120"/>
        <v>0</v>
      </c>
      <c r="W443" s="632">
        <f>I443+S443+U443</f>
        <v>0</v>
      </c>
      <c r="X443" s="517">
        <f t="shared" si="133"/>
        <v>0</v>
      </c>
      <c r="Y443" s="632">
        <f>W443+E443+G443</f>
        <v>0</v>
      </c>
      <c r="Z443" s="517">
        <f t="shared" si="118"/>
        <v>0</v>
      </c>
      <c r="AA443" s="675"/>
      <c r="AB443" s="674"/>
    </row>
    <row r="444" spans="1:28" s="301" customFormat="1" hidden="1">
      <c r="A444" s="320"/>
      <c r="B444" s="320" t="s">
        <v>916</v>
      </c>
      <c r="C444" s="307"/>
      <c r="D444" s="486" t="s">
        <v>1418</v>
      </c>
      <c r="E444" s="526"/>
      <c r="F444" s="630">
        <f t="shared" si="124"/>
        <v>0</v>
      </c>
      <c r="G444" s="526"/>
      <c r="H444" s="517">
        <f t="shared" si="125"/>
        <v>0</v>
      </c>
      <c r="I444" s="526"/>
      <c r="J444" s="517">
        <f t="shared" si="126"/>
        <v>0</v>
      </c>
      <c r="K444" s="517"/>
      <c r="L444" s="517"/>
      <c r="M444" s="517"/>
      <c r="N444" s="517"/>
      <c r="O444" s="517"/>
      <c r="P444" s="517"/>
      <c r="Q444" s="517"/>
      <c r="R444" s="517"/>
      <c r="S444" s="517"/>
      <c r="T444" s="517">
        <f t="shared" si="119"/>
        <v>0</v>
      </c>
      <c r="U444" s="526"/>
      <c r="V444" s="517">
        <f t="shared" si="120"/>
        <v>0</v>
      </c>
      <c r="W444" s="632">
        <f>I444+S444+U444</f>
        <v>0</v>
      </c>
      <c r="X444" s="517">
        <f t="shared" si="133"/>
        <v>0</v>
      </c>
      <c r="Y444" s="632">
        <f>W444+E444+G444</f>
        <v>0</v>
      </c>
      <c r="Z444" s="517">
        <f t="shared" si="118"/>
        <v>0</v>
      </c>
      <c r="AA444" s="675"/>
      <c r="AB444" s="674"/>
    </row>
    <row r="445" spans="1:28" s="301" customFormat="1" hidden="1">
      <c r="A445" s="370"/>
      <c r="B445" s="320" t="s">
        <v>917</v>
      </c>
      <c r="C445" s="307"/>
      <c r="D445" s="486" t="s">
        <v>1418</v>
      </c>
      <c r="E445" s="526"/>
      <c r="F445" s="630">
        <f t="shared" si="124"/>
        <v>0</v>
      </c>
      <c r="G445" s="526"/>
      <c r="H445" s="517">
        <f t="shared" si="125"/>
        <v>0</v>
      </c>
      <c r="I445" s="526"/>
      <c r="J445" s="517">
        <f t="shared" si="126"/>
        <v>0</v>
      </c>
      <c r="K445" s="517"/>
      <c r="L445" s="517"/>
      <c r="M445" s="517"/>
      <c r="N445" s="517"/>
      <c r="O445" s="517"/>
      <c r="P445" s="517"/>
      <c r="Q445" s="517"/>
      <c r="R445" s="517"/>
      <c r="S445" s="517"/>
      <c r="T445" s="517">
        <f t="shared" si="119"/>
        <v>0</v>
      </c>
      <c r="U445" s="526"/>
      <c r="V445" s="517">
        <f t="shared" si="120"/>
        <v>0</v>
      </c>
      <c r="W445" s="632">
        <f>I445+S445+U445</f>
        <v>0</v>
      </c>
      <c r="X445" s="517">
        <f t="shared" si="133"/>
        <v>0</v>
      </c>
      <c r="Y445" s="632">
        <f>W445+E445+G445</f>
        <v>0</v>
      </c>
      <c r="Z445" s="517">
        <f t="shared" si="118"/>
        <v>0</v>
      </c>
      <c r="AA445" s="675"/>
      <c r="AB445" s="674"/>
    </row>
    <row r="446" spans="1:28">
      <c r="A446" s="1608">
        <v>76</v>
      </c>
      <c r="B446" s="1166" t="s">
        <v>918</v>
      </c>
      <c r="C446" s="1612">
        <f>Elec.Data!K3294</f>
        <v>23.79</v>
      </c>
      <c r="D446" s="1610" t="s">
        <v>835</v>
      </c>
      <c r="E446" s="1616">
        <f>station!I1027</f>
        <v>23</v>
      </c>
      <c r="F446" s="1617">
        <f t="shared" si="124"/>
        <v>547.16999999999996</v>
      </c>
      <c r="G446" s="1618"/>
      <c r="H446" s="1618">
        <f>G446*C446</f>
        <v>0</v>
      </c>
      <c r="I446" s="1618"/>
      <c r="J446" s="1618">
        <f>I446*C446</f>
        <v>0</v>
      </c>
      <c r="K446" s="1618"/>
      <c r="L446" s="1618">
        <f>K446*C446</f>
        <v>0</v>
      </c>
      <c r="M446" s="1618"/>
      <c r="N446" s="1618">
        <f>M446*C446</f>
        <v>0</v>
      </c>
      <c r="O446" s="1618"/>
      <c r="P446" s="1618">
        <f>O446*C446</f>
        <v>0</v>
      </c>
      <c r="Q446" s="1618"/>
      <c r="R446" s="1618">
        <f>Q446*C446</f>
        <v>0</v>
      </c>
      <c r="S446" s="1618"/>
      <c r="T446" s="1618">
        <f t="shared" si="119"/>
        <v>0</v>
      </c>
      <c r="U446" s="1618"/>
      <c r="V446" s="1618">
        <f t="shared" si="120"/>
        <v>0</v>
      </c>
      <c r="W446" s="1619" t="e">
        <f>U446+S446+O446+M446+#REF!+K446+I446+G446+Q446</f>
        <v>#REF!</v>
      </c>
      <c r="X446" s="1618" t="e">
        <f t="shared" si="133"/>
        <v>#REF!</v>
      </c>
      <c r="Y446" s="1619" t="e">
        <f>W446+E446</f>
        <v>#REF!</v>
      </c>
      <c r="Z446" s="1618" t="e">
        <f t="shared" si="118"/>
        <v>#REF!</v>
      </c>
      <c r="AA446" s="673"/>
      <c r="AB446" s="673"/>
    </row>
    <row r="447" spans="1:28" s="301" customFormat="1" hidden="1">
      <c r="A447" s="536">
        <v>77</v>
      </c>
      <c r="B447" s="537" t="s">
        <v>919</v>
      </c>
      <c r="C447" s="538">
        <f>ROUND(Data!K2279,2)</f>
        <v>192.58</v>
      </c>
      <c r="D447" s="443" t="s">
        <v>835</v>
      </c>
      <c r="E447" s="526"/>
      <c r="F447" s="630">
        <f t="shared" si="124"/>
        <v>0</v>
      </c>
      <c r="G447" s="526"/>
      <c r="H447" s="517">
        <f t="shared" si="125"/>
        <v>0</v>
      </c>
      <c r="I447" s="526"/>
      <c r="J447" s="517">
        <f t="shared" si="126"/>
        <v>0</v>
      </c>
      <c r="K447" s="517"/>
      <c r="L447" s="517"/>
      <c r="M447" s="517"/>
      <c r="N447" s="517"/>
      <c r="O447" s="517"/>
      <c r="P447" s="517"/>
      <c r="Q447" s="517"/>
      <c r="R447" s="517"/>
      <c r="S447" s="517"/>
      <c r="T447" s="517">
        <f t="shared" si="119"/>
        <v>0</v>
      </c>
      <c r="U447" s="526"/>
      <c r="V447" s="517">
        <f t="shared" si="120"/>
        <v>0</v>
      </c>
      <c r="W447" s="632">
        <f>I447+S447+U447</f>
        <v>0</v>
      </c>
      <c r="X447" s="517">
        <f t="shared" si="133"/>
        <v>0</v>
      </c>
      <c r="Y447" s="632">
        <f>W447+E447+G447</f>
        <v>0</v>
      </c>
      <c r="Z447" s="517">
        <f t="shared" ref="Z447:Z489" si="136">Y447*C447</f>
        <v>0</v>
      </c>
      <c r="AA447" s="675"/>
      <c r="AB447" s="674"/>
    </row>
    <row r="448" spans="1:28" s="301" customFormat="1" ht="46.5" hidden="1">
      <c r="A448" s="368">
        <v>77.099999999999994</v>
      </c>
      <c r="B448" s="320" t="s">
        <v>1948</v>
      </c>
      <c r="C448" s="307">
        <f>ROUND(Data!K2280,2)</f>
        <v>246.68</v>
      </c>
      <c r="D448" s="486" t="s">
        <v>835</v>
      </c>
      <c r="E448" s="526"/>
      <c r="F448" s="630">
        <f t="shared" si="124"/>
        <v>0</v>
      </c>
      <c r="G448" s="526"/>
      <c r="H448" s="517">
        <f t="shared" si="125"/>
        <v>0</v>
      </c>
      <c r="I448" s="526"/>
      <c r="J448" s="517">
        <f t="shared" si="126"/>
        <v>0</v>
      </c>
      <c r="K448" s="517"/>
      <c r="L448" s="517"/>
      <c r="M448" s="517"/>
      <c r="N448" s="517"/>
      <c r="O448" s="517"/>
      <c r="P448" s="517"/>
      <c r="Q448" s="517"/>
      <c r="R448" s="517"/>
      <c r="S448" s="517"/>
      <c r="T448" s="517">
        <f t="shared" si="119"/>
        <v>0</v>
      </c>
      <c r="U448" s="526"/>
      <c r="V448" s="517">
        <f t="shared" si="120"/>
        <v>0</v>
      </c>
      <c r="W448" s="632">
        <f>I448+S448+U448</f>
        <v>0</v>
      </c>
      <c r="X448" s="517">
        <f t="shared" si="133"/>
        <v>0</v>
      </c>
      <c r="Y448" s="632">
        <f>W448+E448+G448</f>
        <v>0</v>
      </c>
      <c r="Z448" s="517">
        <f t="shared" si="136"/>
        <v>0</v>
      </c>
      <c r="AA448" s="675"/>
      <c r="AB448" s="674"/>
    </row>
    <row r="449" spans="1:28" s="301" customFormat="1" hidden="1">
      <c r="A449" s="368">
        <v>77.2</v>
      </c>
      <c r="B449" s="320" t="s">
        <v>291</v>
      </c>
      <c r="C449" s="307">
        <f>Data!K2281</f>
        <v>500</v>
      </c>
      <c r="D449" s="486" t="s">
        <v>1418</v>
      </c>
      <c r="E449" s="526"/>
      <c r="F449" s="630">
        <f t="shared" si="124"/>
        <v>0</v>
      </c>
      <c r="G449" s="526"/>
      <c r="H449" s="517">
        <f t="shared" si="125"/>
        <v>0</v>
      </c>
      <c r="I449" s="526"/>
      <c r="J449" s="517">
        <f t="shared" si="126"/>
        <v>0</v>
      </c>
      <c r="K449" s="517"/>
      <c r="L449" s="517"/>
      <c r="M449" s="517"/>
      <c r="N449" s="517"/>
      <c r="O449" s="517"/>
      <c r="P449" s="517"/>
      <c r="Q449" s="517"/>
      <c r="R449" s="517"/>
      <c r="S449" s="517"/>
      <c r="T449" s="517">
        <f t="shared" si="119"/>
        <v>0</v>
      </c>
      <c r="U449" s="526"/>
      <c r="V449" s="517">
        <f t="shared" si="120"/>
        <v>0</v>
      </c>
      <c r="W449" s="632">
        <f>I449+S449+U449</f>
        <v>0</v>
      </c>
      <c r="X449" s="517">
        <f t="shared" si="133"/>
        <v>0</v>
      </c>
      <c r="Y449" s="632">
        <f>W449+E449+G449</f>
        <v>0</v>
      </c>
      <c r="Z449" s="517">
        <f t="shared" si="136"/>
        <v>0</v>
      </c>
      <c r="AA449" s="675"/>
      <c r="AB449" s="674"/>
    </row>
    <row r="450" spans="1:28">
      <c r="A450" s="1608">
        <v>77.3</v>
      </c>
      <c r="B450" s="1166" t="s">
        <v>1364</v>
      </c>
      <c r="C450" s="1612">
        <f>Data!K2282</f>
        <v>76.67</v>
      </c>
      <c r="D450" s="1610" t="s">
        <v>1418</v>
      </c>
      <c r="E450" s="1616">
        <f>station!I1031</f>
        <v>5</v>
      </c>
      <c r="F450" s="1617">
        <f t="shared" si="124"/>
        <v>383.35</v>
      </c>
      <c r="G450" s="1618"/>
      <c r="H450" s="1618">
        <f t="shared" si="125"/>
        <v>0</v>
      </c>
      <c r="I450" s="1618"/>
      <c r="J450" s="1618">
        <f t="shared" si="126"/>
        <v>0</v>
      </c>
      <c r="K450" s="1618"/>
      <c r="L450" s="1618">
        <f t="shared" ref="L450:L452" si="137">K450*C450</f>
        <v>0</v>
      </c>
      <c r="M450" s="1618"/>
      <c r="N450" s="1618">
        <f>M450*C450</f>
        <v>0</v>
      </c>
      <c r="O450" s="1618"/>
      <c r="P450" s="1618">
        <f>O450*C450</f>
        <v>0</v>
      </c>
      <c r="Q450" s="1618"/>
      <c r="R450" s="1618">
        <f>Q450*C450</f>
        <v>0</v>
      </c>
      <c r="S450" s="1618"/>
      <c r="T450" s="1618">
        <f t="shared" si="119"/>
        <v>0</v>
      </c>
      <c r="U450" s="1618"/>
      <c r="V450" s="1618">
        <f t="shared" si="120"/>
        <v>0</v>
      </c>
      <c r="W450" s="1619" t="e">
        <f>U450+S450+O450+M450+#REF!+K450+I450+G450+Q450</f>
        <v>#REF!</v>
      </c>
      <c r="X450" s="1618" t="e">
        <f t="shared" si="133"/>
        <v>#REF!</v>
      </c>
      <c r="Y450" s="1619" t="e">
        <f>W450+E450</f>
        <v>#REF!</v>
      </c>
      <c r="Z450" s="1618" t="e">
        <f t="shared" si="136"/>
        <v>#REF!</v>
      </c>
      <c r="AA450" s="673"/>
      <c r="AB450" s="673"/>
    </row>
    <row r="451" spans="1:28" ht="49.9" customHeight="1">
      <c r="A451" s="1608">
        <v>77.400000000000006</v>
      </c>
      <c r="B451" s="1166" t="s">
        <v>1068</v>
      </c>
      <c r="C451" s="1612">
        <v>79.650000000000006</v>
      </c>
      <c r="D451" s="1610" t="s">
        <v>835</v>
      </c>
      <c r="E451" s="1616">
        <f>station!I1035</f>
        <v>30</v>
      </c>
      <c r="F451" s="1617">
        <f t="shared" si="124"/>
        <v>2389.5</v>
      </c>
      <c r="G451" s="1618"/>
      <c r="H451" s="1618">
        <f t="shared" si="125"/>
        <v>0</v>
      </c>
      <c r="I451" s="1618"/>
      <c r="J451" s="1618">
        <f t="shared" si="126"/>
        <v>0</v>
      </c>
      <c r="K451" s="1618"/>
      <c r="L451" s="1618">
        <f t="shared" si="137"/>
        <v>0</v>
      </c>
      <c r="M451" s="1618"/>
      <c r="N451" s="1618">
        <f>M451*C451</f>
        <v>0</v>
      </c>
      <c r="O451" s="1618"/>
      <c r="P451" s="1618">
        <f>O451*C451</f>
        <v>0</v>
      </c>
      <c r="Q451" s="1618"/>
      <c r="R451" s="1618">
        <f>Q451*C451</f>
        <v>0</v>
      </c>
      <c r="S451" s="1618"/>
      <c r="T451" s="1618">
        <f t="shared" si="119"/>
        <v>0</v>
      </c>
      <c r="U451" s="1618"/>
      <c r="V451" s="1618">
        <f t="shared" si="120"/>
        <v>0</v>
      </c>
      <c r="W451" s="1619" t="e">
        <f>U451+S451+O451+M451+#REF!+K451+I451+G451+Q451</f>
        <v>#REF!</v>
      </c>
      <c r="X451" s="1618" t="e">
        <f t="shared" si="133"/>
        <v>#REF!</v>
      </c>
      <c r="Y451" s="1619" t="e">
        <f>W451+E451</f>
        <v>#REF!</v>
      </c>
      <c r="Z451" s="1618" t="e">
        <f t="shared" si="136"/>
        <v>#REF!</v>
      </c>
      <c r="AA451" s="673"/>
      <c r="AB451" s="673"/>
    </row>
    <row r="452" spans="1:28">
      <c r="A452" s="1608">
        <v>78</v>
      </c>
      <c r="B452" s="1166" t="s">
        <v>2191</v>
      </c>
      <c r="C452" s="1612">
        <v>2745.95</v>
      </c>
      <c r="D452" s="1610" t="s">
        <v>1418</v>
      </c>
      <c r="E452" s="1616">
        <f>station!I1037</f>
        <v>2</v>
      </c>
      <c r="F452" s="1617">
        <f t="shared" si="124"/>
        <v>5491.9</v>
      </c>
      <c r="G452" s="1618"/>
      <c r="H452" s="1618">
        <f t="shared" si="125"/>
        <v>0</v>
      </c>
      <c r="I452" s="1618"/>
      <c r="J452" s="1618">
        <f t="shared" si="126"/>
        <v>0</v>
      </c>
      <c r="K452" s="1618"/>
      <c r="L452" s="1618">
        <f t="shared" si="137"/>
        <v>0</v>
      </c>
      <c r="M452" s="1618"/>
      <c r="N452" s="1618">
        <f>M452*C452</f>
        <v>0</v>
      </c>
      <c r="O452" s="1618"/>
      <c r="P452" s="1618">
        <f>O452*C452</f>
        <v>0</v>
      </c>
      <c r="Q452" s="1618"/>
      <c r="R452" s="1618">
        <f>Q452*C452</f>
        <v>0</v>
      </c>
      <c r="S452" s="1618"/>
      <c r="T452" s="1618">
        <f t="shared" si="119"/>
        <v>0</v>
      </c>
      <c r="U452" s="1618"/>
      <c r="V452" s="1618">
        <f t="shared" si="120"/>
        <v>0</v>
      </c>
      <c r="W452" s="1619" t="e">
        <f>U452+S452+O452+M452+#REF!+K452+I452+G452+Q452</f>
        <v>#REF!</v>
      </c>
      <c r="X452" s="1618" t="e">
        <f t="shared" si="133"/>
        <v>#REF!</v>
      </c>
      <c r="Y452" s="1619" t="e">
        <f>W452+E452</f>
        <v>#REF!</v>
      </c>
      <c r="Z452" s="1618" t="e">
        <f t="shared" si="136"/>
        <v>#REF!</v>
      </c>
      <c r="AA452" s="673"/>
      <c r="AB452" s="673"/>
    </row>
    <row r="453" spans="1:28" s="301" customFormat="1" hidden="1">
      <c r="A453" s="536">
        <v>78.099999999999994</v>
      </c>
      <c r="B453" s="537" t="s">
        <v>2192</v>
      </c>
      <c r="C453" s="538"/>
      <c r="D453" s="443" t="s">
        <v>1418</v>
      </c>
      <c r="E453" s="526"/>
      <c r="F453" s="630">
        <f t="shared" si="124"/>
        <v>0</v>
      </c>
      <c r="G453" s="526"/>
      <c r="H453" s="517">
        <f t="shared" si="125"/>
        <v>0</v>
      </c>
      <c r="I453" s="526"/>
      <c r="J453" s="517">
        <f t="shared" si="126"/>
        <v>0</v>
      </c>
      <c r="K453" s="517"/>
      <c r="L453" s="517"/>
      <c r="M453" s="517"/>
      <c r="N453" s="517"/>
      <c r="O453" s="517"/>
      <c r="P453" s="517"/>
      <c r="Q453" s="517"/>
      <c r="R453" s="517"/>
      <c r="S453" s="517"/>
      <c r="T453" s="517">
        <f t="shared" si="119"/>
        <v>0</v>
      </c>
      <c r="U453" s="526"/>
      <c r="V453" s="517">
        <f t="shared" si="120"/>
        <v>0</v>
      </c>
      <c r="W453" s="632">
        <f>I453+S453+U453</f>
        <v>0</v>
      </c>
      <c r="X453" s="517">
        <f t="shared" si="133"/>
        <v>0</v>
      </c>
      <c r="Y453" s="632">
        <f>W453+E453+G453</f>
        <v>0</v>
      </c>
      <c r="Z453" s="517">
        <f t="shared" si="136"/>
        <v>0</v>
      </c>
      <c r="AA453" s="675"/>
      <c r="AB453" s="674"/>
    </row>
    <row r="454" spans="1:28" s="301" customFormat="1" hidden="1">
      <c r="A454" s="368">
        <v>79.099999999999994</v>
      </c>
      <c r="B454" s="320" t="s">
        <v>2246</v>
      </c>
      <c r="C454" s="307">
        <f>Elec.Data!K3400</f>
        <v>508.26</v>
      </c>
      <c r="D454" s="486" t="s">
        <v>1418</v>
      </c>
      <c r="E454" s="526"/>
      <c r="F454" s="630">
        <f t="shared" si="124"/>
        <v>0</v>
      </c>
      <c r="G454" s="526"/>
      <c r="H454" s="517">
        <f t="shared" si="125"/>
        <v>0</v>
      </c>
      <c r="I454" s="526"/>
      <c r="J454" s="517">
        <f t="shared" si="126"/>
        <v>0</v>
      </c>
      <c r="K454" s="517"/>
      <c r="L454" s="517"/>
      <c r="M454" s="517"/>
      <c r="N454" s="517"/>
      <c r="O454" s="517"/>
      <c r="P454" s="517"/>
      <c r="Q454" s="517"/>
      <c r="R454" s="517"/>
      <c r="S454" s="517"/>
      <c r="T454" s="517">
        <f t="shared" si="119"/>
        <v>0</v>
      </c>
      <c r="U454" s="526"/>
      <c r="V454" s="517">
        <f t="shared" si="120"/>
        <v>0</v>
      </c>
      <c r="W454" s="632">
        <f>I454+S454+U454</f>
        <v>0</v>
      </c>
      <c r="X454" s="517">
        <f t="shared" si="133"/>
        <v>0</v>
      </c>
      <c r="Y454" s="632">
        <f>W454+E454+G454</f>
        <v>0</v>
      </c>
      <c r="Z454" s="517">
        <f t="shared" si="136"/>
        <v>0</v>
      </c>
      <c r="AA454" s="675"/>
      <c r="AB454" s="674"/>
    </row>
    <row r="455" spans="1:28" s="301" customFormat="1" hidden="1">
      <c r="A455" s="368">
        <v>79.2</v>
      </c>
      <c r="B455" s="320" t="s">
        <v>1207</v>
      </c>
      <c r="C455" s="307">
        <f>Elec.Data!K3419</f>
        <v>778</v>
      </c>
      <c r="D455" s="486" t="s">
        <v>1418</v>
      </c>
      <c r="E455" s="526"/>
      <c r="F455" s="630">
        <f t="shared" si="124"/>
        <v>0</v>
      </c>
      <c r="G455" s="526"/>
      <c r="H455" s="517">
        <f t="shared" si="125"/>
        <v>0</v>
      </c>
      <c r="I455" s="526"/>
      <c r="J455" s="517">
        <f t="shared" si="126"/>
        <v>0</v>
      </c>
      <c r="K455" s="517"/>
      <c r="L455" s="517"/>
      <c r="M455" s="517"/>
      <c r="N455" s="517"/>
      <c r="O455" s="517"/>
      <c r="P455" s="517"/>
      <c r="Q455" s="517"/>
      <c r="R455" s="517"/>
      <c r="S455" s="517"/>
      <c r="T455" s="517">
        <f t="shared" ref="T455:T518" si="138">S455*C455</f>
        <v>0</v>
      </c>
      <c r="U455" s="526"/>
      <c r="V455" s="517">
        <f t="shared" ref="V455:V518" si="139">U455*C455</f>
        <v>0</v>
      </c>
      <c r="W455" s="632">
        <f>I455+S455+U455</f>
        <v>0</v>
      </c>
      <c r="X455" s="517">
        <f t="shared" si="133"/>
        <v>0</v>
      </c>
      <c r="Y455" s="632">
        <f>W455+E455+G455</f>
        <v>0</v>
      </c>
      <c r="Z455" s="517">
        <f t="shared" si="136"/>
        <v>0</v>
      </c>
      <c r="AA455" s="675"/>
      <c r="AB455" s="674"/>
    </row>
    <row r="456" spans="1:28" s="301" customFormat="1" hidden="1">
      <c r="A456" s="368">
        <v>80</v>
      </c>
      <c r="B456" s="320" t="s">
        <v>640</v>
      </c>
      <c r="C456" s="308">
        <f>Data!K2284</f>
        <v>770.34</v>
      </c>
      <c r="D456" s="486" t="s">
        <v>1418</v>
      </c>
      <c r="E456" s="526"/>
      <c r="F456" s="630">
        <f t="shared" si="124"/>
        <v>0</v>
      </c>
      <c r="G456" s="526"/>
      <c r="H456" s="517">
        <f t="shared" si="125"/>
        <v>0</v>
      </c>
      <c r="I456" s="526"/>
      <c r="J456" s="517">
        <f t="shared" si="126"/>
        <v>0</v>
      </c>
      <c r="K456" s="517"/>
      <c r="L456" s="517"/>
      <c r="M456" s="517"/>
      <c r="N456" s="517"/>
      <c r="O456" s="517"/>
      <c r="P456" s="517"/>
      <c r="Q456" s="517"/>
      <c r="R456" s="517"/>
      <c r="S456" s="517"/>
      <c r="T456" s="517">
        <f t="shared" si="138"/>
        <v>0</v>
      </c>
      <c r="U456" s="526"/>
      <c r="V456" s="517">
        <f t="shared" si="139"/>
        <v>0</v>
      </c>
      <c r="W456" s="632">
        <f>I456+S456+U456</f>
        <v>0</v>
      </c>
      <c r="X456" s="517">
        <f t="shared" si="133"/>
        <v>0</v>
      </c>
      <c r="Y456" s="632">
        <f>W456+E456+G456</f>
        <v>0</v>
      </c>
      <c r="Z456" s="517">
        <f t="shared" si="136"/>
        <v>0</v>
      </c>
      <c r="AA456" s="675"/>
      <c r="AB456" s="674"/>
    </row>
    <row r="457" spans="1:28" s="475" customFormat="1">
      <c r="A457" s="1635">
        <v>81</v>
      </c>
      <c r="B457" s="1172" t="s">
        <v>292</v>
      </c>
      <c r="C457" s="1636">
        <f>ROUND(Data!K2285,2)</f>
        <v>2363.98</v>
      </c>
      <c r="D457" s="1611" t="s">
        <v>2308</v>
      </c>
      <c r="E457" s="1616">
        <f>station!I1038</f>
        <v>0.75</v>
      </c>
      <c r="F457" s="1617">
        <f t="shared" si="124"/>
        <v>1772.99</v>
      </c>
      <c r="G457" s="1616"/>
      <c r="H457" s="1618">
        <f>G457*C457</f>
        <v>0</v>
      </c>
      <c r="I457" s="1616"/>
      <c r="J457" s="1618">
        <f>I457*C457</f>
        <v>0</v>
      </c>
      <c r="K457" s="1618"/>
      <c r="L457" s="1618">
        <f>K457*C457</f>
        <v>0</v>
      </c>
      <c r="M457" s="1618"/>
      <c r="N457" s="1618">
        <f>M457*C457</f>
        <v>0</v>
      </c>
      <c r="O457" s="1618"/>
      <c r="P457" s="1618">
        <f>O457*C457</f>
        <v>0</v>
      </c>
      <c r="Q457" s="1618"/>
      <c r="R457" s="1618">
        <f>Q457*C457</f>
        <v>0</v>
      </c>
      <c r="S457" s="1618"/>
      <c r="T457" s="1618">
        <f t="shared" si="138"/>
        <v>0</v>
      </c>
      <c r="U457" s="1616"/>
      <c r="V457" s="1618">
        <f t="shared" si="139"/>
        <v>0</v>
      </c>
      <c r="W457" s="1619" t="e">
        <f>U457+S457+O457+M457+#REF!+K457+I457+G457+Q457</f>
        <v>#REF!</v>
      </c>
      <c r="X457" s="1618" t="e">
        <f t="shared" si="133"/>
        <v>#REF!</v>
      </c>
      <c r="Y457" s="1619" t="e">
        <f>W457+E457</f>
        <v>#REF!</v>
      </c>
      <c r="Z457" s="1618" t="e">
        <f t="shared" si="136"/>
        <v>#REF!</v>
      </c>
      <c r="AA457" s="674"/>
      <c r="AB457" s="674"/>
    </row>
    <row r="458" spans="1:28" s="301" customFormat="1" hidden="1">
      <c r="A458" s="548">
        <v>82</v>
      </c>
      <c r="B458" s="537" t="s">
        <v>1104</v>
      </c>
      <c r="C458" s="452">
        <f>ROUND(Data!K2286,2)</f>
        <v>2774.3</v>
      </c>
      <c r="D458" s="443" t="s">
        <v>1418</v>
      </c>
      <c r="E458" s="526"/>
      <c r="F458" s="630">
        <f t="shared" si="124"/>
        <v>0</v>
      </c>
      <c r="G458" s="526"/>
      <c r="H458" s="517">
        <f t="shared" si="125"/>
        <v>0</v>
      </c>
      <c r="I458" s="526"/>
      <c r="J458" s="517">
        <f t="shared" si="126"/>
        <v>0</v>
      </c>
      <c r="K458" s="517"/>
      <c r="L458" s="517"/>
      <c r="M458" s="517"/>
      <c r="N458" s="517"/>
      <c r="O458" s="517"/>
      <c r="P458" s="517"/>
      <c r="Q458" s="517"/>
      <c r="R458" s="517"/>
      <c r="S458" s="517"/>
      <c r="T458" s="517">
        <f t="shared" si="138"/>
        <v>0</v>
      </c>
      <c r="U458" s="526"/>
      <c r="V458" s="517">
        <f t="shared" si="139"/>
        <v>0</v>
      </c>
      <c r="W458" s="632">
        <f>I458+S458+U458</f>
        <v>0</v>
      </c>
      <c r="X458" s="517">
        <f t="shared" si="133"/>
        <v>0</v>
      </c>
      <c r="Y458" s="632">
        <f>W458+E458+G458</f>
        <v>0</v>
      </c>
      <c r="Z458" s="517">
        <f t="shared" si="136"/>
        <v>0</v>
      </c>
      <c r="AA458" s="675"/>
      <c r="AB458" s="674"/>
    </row>
    <row r="459" spans="1:28" s="301" customFormat="1" hidden="1">
      <c r="A459" s="368">
        <v>83</v>
      </c>
      <c r="B459" s="320" t="s">
        <v>1208</v>
      </c>
      <c r="C459" s="307">
        <f>Elec.Data!K3556</f>
        <v>169.77</v>
      </c>
      <c r="D459" s="486" t="s">
        <v>835</v>
      </c>
      <c r="E459" s="526"/>
      <c r="F459" s="630">
        <f t="shared" si="124"/>
        <v>0</v>
      </c>
      <c r="G459" s="526"/>
      <c r="H459" s="517">
        <f t="shared" si="125"/>
        <v>0</v>
      </c>
      <c r="I459" s="526"/>
      <c r="J459" s="517">
        <f t="shared" si="126"/>
        <v>0</v>
      </c>
      <c r="K459" s="517"/>
      <c r="L459" s="517"/>
      <c r="M459" s="517"/>
      <c r="N459" s="517"/>
      <c r="O459" s="517"/>
      <c r="P459" s="517"/>
      <c r="Q459" s="517"/>
      <c r="R459" s="517"/>
      <c r="S459" s="517"/>
      <c r="T459" s="517">
        <f t="shared" si="138"/>
        <v>0</v>
      </c>
      <c r="U459" s="526"/>
      <c r="V459" s="517">
        <f t="shared" si="139"/>
        <v>0</v>
      </c>
      <c r="W459" s="632">
        <f>I459+S459+U459</f>
        <v>0</v>
      </c>
      <c r="X459" s="517">
        <f t="shared" ref="X459:X490" si="140">W459*C459</f>
        <v>0</v>
      </c>
      <c r="Y459" s="632">
        <f>W459+E459+G459</f>
        <v>0</v>
      </c>
      <c r="Z459" s="517">
        <f t="shared" si="136"/>
        <v>0</v>
      </c>
      <c r="AA459" s="675"/>
      <c r="AB459" s="674"/>
    </row>
    <row r="460" spans="1:28" s="301" customFormat="1" hidden="1">
      <c r="A460" s="368">
        <v>84</v>
      </c>
      <c r="B460" s="320" t="s">
        <v>1209</v>
      </c>
      <c r="C460" s="307"/>
      <c r="D460" s="486" t="s">
        <v>835</v>
      </c>
      <c r="E460" s="526"/>
      <c r="F460" s="630">
        <f t="shared" si="124"/>
        <v>0</v>
      </c>
      <c r="G460" s="526"/>
      <c r="H460" s="517">
        <f t="shared" si="125"/>
        <v>0</v>
      </c>
      <c r="I460" s="526"/>
      <c r="J460" s="517">
        <f t="shared" si="126"/>
        <v>0</v>
      </c>
      <c r="K460" s="517"/>
      <c r="L460" s="517"/>
      <c r="M460" s="517"/>
      <c r="N460" s="517"/>
      <c r="O460" s="517"/>
      <c r="P460" s="517"/>
      <c r="Q460" s="517"/>
      <c r="R460" s="517"/>
      <c r="S460" s="517"/>
      <c r="T460" s="517">
        <f t="shared" si="138"/>
        <v>0</v>
      </c>
      <c r="U460" s="526"/>
      <c r="V460" s="517">
        <f t="shared" si="139"/>
        <v>0</v>
      </c>
      <c r="W460" s="632">
        <f>I460+S460+U460</f>
        <v>0</v>
      </c>
      <c r="X460" s="517">
        <f t="shared" si="140"/>
        <v>0</v>
      </c>
      <c r="Y460" s="632">
        <f>W460+E460+G460</f>
        <v>0</v>
      </c>
      <c r="Z460" s="517">
        <f t="shared" si="136"/>
        <v>0</v>
      </c>
      <c r="AA460" s="675"/>
      <c r="AB460" s="674"/>
    </row>
    <row r="461" spans="1:28" s="301" customFormat="1" hidden="1">
      <c r="A461" s="368">
        <v>85</v>
      </c>
      <c r="B461" s="320" t="s">
        <v>1210</v>
      </c>
      <c r="C461" s="307">
        <f>Elec.Data!K3515</f>
        <v>130</v>
      </c>
      <c r="D461" s="486" t="s">
        <v>835</v>
      </c>
      <c r="E461" s="526"/>
      <c r="F461" s="630">
        <f t="shared" si="124"/>
        <v>0</v>
      </c>
      <c r="G461" s="526"/>
      <c r="H461" s="517">
        <f t="shared" si="125"/>
        <v>0</v>
      </c>
      <c r="I461" s="526"/>
      <c r="J461" s="517">
        <f t="shared" si="126"/>
        <v>0</v>
      </c>
      <c r="K461" s="517"/>
      <c r="L461" s="517"/>
      <c r="M461" s="517"/>
      <c r="N461" s="517"/>
      <c r="O461" s="517"/>
      <c r="P461" s="517"/>
      <c r="Q461" s="517"/>
      <c r="R461" s="517"/>
      <c r="S461" s="517"/>
      <c r="T461" s="517">
        <f t="shared" si="138"/>
        <v>0</v>
      </c>
      <c r="U461" s="526"/>
      <c r="V461" s="517">
        <f t="shared" si="139"/>
        <v>0</v>
      </c>
      <c r="W461" s="632">
        <f>I461+S461+U461</f>
        <v>0</v>
      </c>
      <c r="X461" s="517">
        <f t="shared" si="140"/>
        <v>0</v>
      </c>
      <c r="Y461" s="632">
        <f>W461+E461+G461</f>
        <v>0</v>
      </c>
      <c r="Z461" s="517">
        <f t="shared" si="136"/>
        <v>0</v>
      </c>
      <c r="AA461" s="675"/>
      <c r="AB461" s="674"/>
    </row>
    <row r="462" spans="1:28">
      <c r="A462" s="1658">
        <v>86</v>
      </c>
      <c r="B462" s="1166" t="s">
        <v>242</v>
      </c>
      <c r="C462" s="1612">
        <v>34</v>
      </c>
      <c r="D462" s="1610" t="s">
        <v>1867</v>
      </c>
      <c r="E462" s="1616">
        <f>station!I1041</f>
        <v>239.3</v>
      </c>
      <c r="F462" s="1617">
        <f t="shared" ref="F462:F509" si="141">E462*C462</f>
        <v>8136.2</v>
      </c>
      <c r="G462" s="1618"/>
      <c r="H462" s="1618">
        <f>G462*C462</f>
        <v>0</v>
      </c>
      <c r="I462" s="1618"/>
      <c r="J462" s="1618">
        <f>I462*C462</f>
        <v>0</v>
      </c>
      <c r="K462" s="1618"/>
      <c r="L462" s="1618">
        <f>K462*C462</f>
        <v>0</v>
      </c>
      <c r="M462" s="1618"/>
      <c r="N462" s="1618">
        <f>M462*C462</f>
        <v>0</v>
      </c>
      <c r="O462" s="1618"/>
      <c r="P462" s="1618">
        <f>O462*C462</f>
        <v>0</v>
      </c>
      <c r="Q462" s="1618"/>
      <c r="R462" s="1618">
        <f>Q462*C462</f>
        <v>0</v>
      </c>
      <c r="S462" s="1618"/>
      <c r="T462" s="1618">
        <f t="shared" si="138"/>
        <v>0</v>
      </c>
      <c r="U462" s="1618"/>
      <c r="V462" s="1618">
        <f t="shared" si="139"/>
        <v>0</v>
      </c>
      <c r="W462" s="1619" t="e">
        <f>U462+S462+O462+M462+#REF!+K462+I462+G462+Q462</f>
        <v>#REF!</v>
      </c>
      <c r="X462" s="1618" t="e">
        <f t="shared" si="140"/>
        <v>#REF!</v>
      </c>
      <c r="Y462" s="1619" t="e">
        <f>W462+E462</f>
        <v>#REF!</v>
      </c>
      <c r="Z462" s="1618" t="e">
        <f t="shared" si="136"/>
        <v>#REF!</v>
      </c>
      <c r="AA462" s="673"/>
      <c r="AB462" s="673"/>
    </row>
    <row r="463" spans="1:28" s="301" customFormat="1" hidden="1">
      <c r="A463" s="548">
        <v>87</v>
      </c>
      <c r="B463" s="537" t="s">
        <v>1909</v>
      </c>
      <c r="C463" s="452">
        <f>ROUND(Data!K2287,2)</f>
        <v>2850.6</v>
      </c>
      <c r="D463" s="443" t="s">
        <v>1418</v>
      </c>
      <c r="E463" s="526"/>
      <c r="F463" s="630">
        <f t="shared" si="141"/>
        <v>0</v>
      </c>
      <c r="G463" s="526"/>
      <c r="H463" s="517">
        <f t="shared" ref="H463:H509" si="142">G463*C463</f>
        <v>0</v>
      </c>
      <c r="I463" s="526"/>
      <c r="J463" s="517">
        <f t="shared" ref="J463:J509" si="143">I463*C463</f>
        <v>0</v>
      </c>
      <c r="K463" s="517"/>
      <c r="L463" s="517"/>
      <c r="M463" s="517"/>
      <c r="N463" s="517"/>
      <c r="O463" s="517"/>
      <c r="P463" s="517"/>
      <c r="Q463" s="517"/>
      <c r="R463" s="517"/>
      <c r="S463" s="517"/>
      <c r="T463" s="517">
        <f t="shared" si="138"/>
        <v>0</v>
      </c>
      <c r="U463" s="526"/>
      <c r="V463" s="517">
        <f t="shared" si="139"/>
        <v>0</v>
      </c>
      <c r="W463" s="632">
        <f>I463+S463+U463</f>
        <v>0</v>
      </c>
      <c r="X463" s="517">
        <f t="shared" si="140"/>
        <v>0</v>
      </c>
      <c r="Y463" s="632">
        <f>W463+E463+G463</f>
        <v>0</v>
      </c>
      <c r="Z463" s="517">
        <f t="shared" si="136"/>
        <v>0</v>
      </c>
      <c r="AA463" s="675"/>
      <c r="AB463" s="674"/>
    </row>
    <row r="464" spans="1:28" s="301" customFormat="1">
      <c r="A464" s="1608">
        <v>112</v>
      </c>
      <c r="B464" s="1166" t="s">
        <v>3850</v>
      </c>
      <c r="C464" s="1630">
        <v>2147.63</v>
      </c>
      <c r="D464" s="1631" t="s">
        <v>1418</v>
      </c>
      <c r="E464" s="1616">
        <f>station!I1048</f>
        <v>7</v>
      </c>
      <c r="F464" s="1617">
        <f t="shared" si="141"/>
        <v>15033.41</v>
      </c>
      <c r="G464" s="1618"/>
      <c r="H464" s="1618">
        <f t="shared" si="142"/>
        <v>0</v>
      </c>
      <c r="I464" s="1618"/>
      <c r="J464" s="1618">
        <f t="shared" si="143"/>
        <v>0</v>
      </c>
      <c r="K464" s="1618"/>
      <c r="L464" s="1618">
        <f t="shared" ref="L464:L466" si="144">K464*C464</f>
        <v>0</v>
      </c>
      <c r="M464" s="1618"/>
      <c r="N464" s="1618">
        <f>M464*C464</f>
        <v>0</v>
      </c>
      <c r="O464" s="1618"/>
      <c r="P464" s="1618">
        <f>O464*C464</f>
        <v>0</v>
      </c>
      <c r="Q464" s="1618"/>
      <c r="R464" s="1618">
        <f t="shared" ref="R464:R479" si="145">Q464*C464</f>
        <v>0</v>
      </c>
      <c r="S464" s="1618"/>
      <c r="T464" s="1618">
        <f t="shared" si="138"/>
        <v>0</v>
      </c>
      <c r="U464" s="1618"/>
      <c r="V464" s="1618">
        <f t="shared" si="139"/>
        <v>0</v>
      </c>
      <c r="W464" s="1619" t="e">
        <f>U464+S464+O464+M464+#REF!+K464+I464+G464+Q464</f>
        <v>#REF!</v>
      </c>
      <c r="X464" s="1618" t="e">
        <f t="shared" si="140"/>
        <v>#REF!</v>
      </c>
      <c r="Y464" s="1619" t="e">
        <f t="shared" ref="Y464:Y479" si="146">W464+E464</f>
        <v>#REF!</v>
      </c>
      <c r="Z464" s="1618" t="e">
        <f t="shared" si="136"/>
        <v>#REF!</v>
      </c>
      <c r="AA464" s="675"/>
      <c r="AB464" s="673"/>
    </row>
    <row r="465" spans="1:32" s="301" customFormat="1" ht="69.75" customHeight="1">
      <c r="A465" s="1659">
        <v>238</v>
      </c>
      <c r="B465" s="1174" t="s">
        <v>5310</v>
      </c>
      <c r="C465" s="1647">
        <f>ROUND(Data!K1564,2)</f>
        <v>4403.5</v>
      </c>
      <c r="D465" s="1648" t="s">
        <v>530</v>
      </c>
      <c r="E465" s="1660"/>
      <c r="F465" s="1617">
        <f t="shared" si="141"/>
        <v>0</v>
      </c>
      <c r="G465" s="1661"/>
      <c r="H465" s="1618">
        <f t="shared" si="142"/>
        <v>0</v>
      </c>
      <c r="I465" s="1661"/>
      <c r="J465" s="1618">
        <f t="shared" si="143"/>
        <v>0</v>
      </c>
      <c r="K465" s="1650"/>
      <c r="L465" s="1618">
        <f t="shared" si="144"/>
        <v>0</v>
      </c>
      <c r="M465" s="1650"/>
      <c r="N465" s="1618">
        <f>M465*C465</f>
        <v>0</v>
      </c>
      <c r="O465" s="1650"/>
      <c r="P465" s="1618">
        <f>O465*C465</f>
        <v>0</v>
      </c>
      <c r="Q465" s="1650"/>
      <c r="R465" s="1618">
        <f t="shared" si="145"/>
        <v>0</v>
      </c>
      <c r="S465" s="1650"/>
      <c r="T465" s="1618">
        <f t="shared" si="138"/>
        <v>0</v>
      </c>
      <c r="U465" s="1650"/>
      <c r="V465" s="1618">
        <f t="shared" si="139"/>
        <v>0</v>
      </c>
      <c r="W465" s="1619" t="e">
        <f>U465+S465+O465+M465+#REF!+K465+I465+G465+Q465</f>
        <v>#REF!</v>
      </c>
      <c r="X465" s="1618" t="e">
        <f t="shared" si="140"/>
        <v>#REF!</v>
      </c>
      <c r="Y465" s="1619" t="e">
        <f t="shared" si="146"/>
        <v>#REF!</v>
      </c>
      <c r="Z465" s="1618" t="e">
        <f t="shared" si="136"/>
        <v>#REF!</v>
      </c>
      <c r="AA465" s="675"/>
      <c r="AB465" s="673"/>
    </row>
    <row r="466" spans="1:32">
      <c r="A466" s="1658"/>
      <c r="B466" s="1178" t="s">
        <v>2945</v>
      </c>
      <c r="C466" s="1612"/>
      <c r="D466" s="1610"/>
      <c r="E466" s="1623"/>
      <c r="F466" s="1617">
        <f t="shared" si="141"/>
        <v>0</v>
      </c>
      <c r="G466" s="1618"/>
      <c r="H466" s="1618">
        <f t="shared" si="142"/>
        <v>0</v>
      </c>
      <c r="I466" s="1618"/>
      <c r="J466" s="1618">
        <f t="shared" si="143"/>
        <v>0</v>
      </c>
      <c r="K466" s="1618"/>
      <c r="L466" s="1618">
        <f t="shared" si="144"/>
        <v>0</v>
      </c>
      <c r="M466" s="1618"/>
      <c r="N466" s="1618">
        <f>M466*C466</f>
        <v>0</v>
      </c>
      <c r="O466" s="1618"/>
      <c r="P466" s="1618">
        <f>O466*C466</f>
        <v>0</v>
      </c>
      <c r="Q466" s="1618"/>
      <c r="R466" s="1618">
        <f t="shared" si="145"/>
        <v>0</v>
      </c>
      <c r="S466" s="1618"/>
      <c r="T466" s="1618">
        <f t="shared" si="138"/>
        <v>0</v>
      </c>
      <c r="U466" s="1618"/>
      <c r="V466" s="1618">
        <f t="shared" si="139"/>
        <v>0</v>
      </c>
      <c r="W466" s="1619" t="e">
        <f>U466+S466+O466+M466+#REF!+K466+I466+G466+Q466</f>
        <v>#REF!</v>
      </c>
      <c r="X466" s="1618" t="e">
        <f t="shared" si="140"/>
        <v>#REF!</v>
      </c>
      <c r="Y466" s="1619" t="e">
        <f t="shared" si="146"/>
        <v>#REF!</v>
      </c>
      <c r="Z466" s="1618" t="e">
        <f t="shared" si="136"/>
        <v>#REF!</v>
      </c>
      <c r="AA466" s="530"/>
      <c r="AB466" s="673"/>
      <c r="AC466" s="627"/>
    </row>
    <row r="467" spans="1:32" s="480" customFormat="1" ht="45">
      <c r="A467" s="1662" t="s">
        <v>1009</v>
      </c>
      <c r="B467" s="1170" t="s">
        <v>4073</v>
      </c>
      <c r="C467" s="1636"/>
      <c r="D467" s="1611"/>
      <c r="E467" s="1616"/>
      <c r="F467" s="1626">
        <f t="shared" si="141"/>
        <v>0</v>
      </c>
      <c r="G467" s="1616"/>
      <c r="H467" s="1618">
        <f t="shared" si="142"/>
        <v>0</v>
      </c>
      <c r="I467" s="1616"/>
      <c r="J467" s="1618">
        <f t="shared" si="143"/>
        <v>0</v>
      </c>
      <c r="K467" s="1618"/>
      <c r="L467" s="1618"/>
      <c r="M467" s="1618"/>
      <c r="N467" s="1618"/>
      <c r="O467" s="1618"/>
      <c r="P467" s="1618"/>
      <c r="Q467" s="1618"/>
      <c r="R467" s="1618">
        <f t="shared" si="145"/>
        <v>0</v>
      </c>
      <c r="S467" s="1618"/>
      <c r="T467" s="1618">
        <f t="shared" si="138"/>
        <v>0</v>
      </c>
      <c r="U467" s="1616"/>
      <c r="V467" s="1618">
        <f t="shared" si="139"/>
        <v>0</v>
      </c>
      <c r="W467" s="1619" t="e">
        <f>U467+S467+O467+M467+#REF!+K467+I467+G467+Q467</f>
        <v>#REF!</v>
      </c>
      <c r="X467" s="1618" t="e">
        <f t="shared" si="140"/>
        <v>#REF!</v>
      </c>
      <c r="Y467" s="1619" t="e">
        <f t="shared" si="146"/>
        <v>#REF!</v>
      </c>
      <c r="Z467" s="1618" t="e">
        <f t="shared" si="136"/>
        <v>#REF!</v>
      </c>
      <c r="AA467" s="533"/>
      <c r="AB467" s="674"/>
      <c r="AC467" s="474"/>
      <c r="AD467" s="481"/>
      <c r="AE467" s="481"/>
      <c r="AF467" s="481"/>
    </row>
    <row r="468" spans="1:32" s="480" customFormat="1">
      <c r="A468" s="1172"/>
      <c r="B468" s="1172" t="s">
        <v>1270</v>
      </c>
      <c r="C468" s="1636">
        <v>1284.08</v>
      </c>
      <c r="D468" s="1611" t="s">
        <v>1867</v>
      </c>
      <c r="E468" s="1616">
        <f>station!I1059</f>
        <v>82.9</v>
      </c>
      <c r="F468" s="1617">
        <f t="shared" si="141"/>
        <v>106450.23</v>
      </c>
      <c r="G468" s="1616"/>
      <c r="H468" s="1618">
        <f t="shared" si="142"/>
        <v>0</v>
      </c>
      <c r="I468" s="1616"/>
      <c r="J468" s="1618">
        <f t="shared" si="143"/>
        <v>0</v>
      </c>
      <c r="K468" s="1618"/>
      <c r="L468" s="1618"/>
      <c r="M468" s="1618"/>
      <c r="N468" s="1618"/>
      <c r="O468" s="1618"/>
      <c r="P468" s="1618"/>
      <c r="Q468" s="1618"/>
      <c r="R468" s="1618">
        <f t="shared" si="145"/>
        <v>0</v>
      </c>
      <c r="S468" s="1618"/>
      <c r="T468" s="1618">
        <f t="shared" si="138"/>
        <v>0</v>
      </c>
      <c r="U468" s="1616"/>
      <c r="V468" s="1618">
        <f t="shared" si="139"/>
        <v>0</v>
      </c>
      <c r="W468" s="1619" t="e">
        <f>U468+S468+O468+M468+#REF!+K468+I468+G468+Q468</f>
        <v>#REF!</v>
      </c>
      <c r="X468" s="1618" t="e">
        <f t="shared" si="140"/>
        <v>#REF!</v>
      </c>
      <c r="Y468" s="1619" t="e">
        <f t="shared" si="146"/>
        <v>#REF!</v>
      </c>
      <c r="Z468" s="1618" t="e">
        <f t="shared" si="136"/>
        <v>#REF!</v>
      </c>
      <c r="AA468" s="674"/>
      <c r="AB468" s="674"/>
      <c r="AC468" s="481"/>
      <c r="AD468" s="481"/>
      <c r="AE468" s="481"/>
      <c r="AF468" s="481"/>
    </row>
    <row r="469" spans="1:32" s="480" customFormat="1">
      <c r="A469" s="1172"/>
      <c r="B469" s="1172" t="s">
        <v>1406</v>
      </c>
      <c r="C469" s="1636">
        <v>1288.19</v>
      </c>
      <c r="D469" s="1611" t="s">
        <v>1867</v>
      </c>
      <c r="E469" s="1616">
        <f>station!I1065</f>
        <v>36.200000000000003</v>
      </c>
      <c r="F469" s="1626">
        <f t="shared" si="141"/>
        <v>46632.480000000003</v>
      </c>
      <c r="G469" s="1616"/>
      <c r="H469" s="1618">
        <f t="shared" si="142"/>
        <v>0</v>
      </c>
      <c r="I469" s="1616"/>
      <c r="J469" s="1618">
        <f t="shared" si="143"/>
        <v>0</v>
      </c>
      <c r="K469" s="1618"/>
      <c r="L469" s="1618"/>
      <c r="M469" s="1618"/>
      <c r="N469" s="1618"/>
      <c r="O469" s="1618"/>
      <c r="P469" s="1618"/>
      <c r="Q469" s="1618"/>
      <c r="R469" s="1618">
        <f t="shared" si="145"/>
        <v>0</v>
      </c>
      <c r="S469" s="1618"/>
      <c r="T469" s="1618">
        <f t="shared" si="138"/>
        <v>0</v>
      </c>
      <c r="U469" s="1616"/>
      <c r="V469" s="1618">
        <f t="shared" si="139"/>
        <v>0</v>
      </c>
      <c r="W469" s="1619" t="e">
        <f>U469+S469+O469+M469+#REF!+K469+I469+G469+Q469</f>
        <v>#REF!</v>
      </c>
      <c r="X469" s="1618" t="e">
        <f t="shared" si="140"/>
        <v>#REF!</v>
      </c>
      <c r="Y469" s="1619" t="e">
        <f t="shared" si="146"/>
        <v>#REF!</v>
      </c>
      <c r="Z469" s="1618" t="e">
        <f t="shared" si="136"/>
        <v>#REF!</v>
      </c>
      <c r="AA469" s="674"/>
      <c r="AB469" s="674"/>
      <c r="AC469" s="481"/>
      <c r="AD469" s="481"/>
      <c r="AE469" s="481"/>
      <c r="AF469" s="481"/>
    </row>
    <row r="470" spans="1:32" s="480" customFormat="1">
      <c r="A470" s="1173"/>
      <c r="B470" s="1173" t="s">
        <v>1455</v>
      </c>
      <c r="C470" s="1639">
        <f>Data!X536</f>
        <v>1292.8</v>
      </c>
      <c r="D470" s="1640" t="s">
        <v>1867</v>
      </c>
      <c r="E470" s="1616"/>
      <c r="F470" s="1626">
        <f t="shared" si="141"/>
        <v>0</v>
      </c>
      <c r="G470" s="1616"/>
      <c r="H470" s="1618">
        <f t="shared" si="142"/>
        <v>0</v>
      </c>
      <c r="I470" s="1616"/>
      <c r="J470" s="1618">
        <f t="shared" si="143"/>
        <v>0</v>
      </c>
      <c r="K470" s="1618"/>
      <c r="L470" s="1618"/>
      <c r="M470" s="1618"/>
      <c r="N470" s="1618"/>
      <c r="O470" s="1618"/>
      <c r="P470" s="1618"/>
      <c r="Q470" s="1618"/>
      <c r="R470" s="1618">
        <f t="shared" si="145"/>
        <v>0</v>
      </c>
      <c r="S470" s="1618"/>
      <c r="T470" s="1618">
        <f t="shared" si="138"/>
        <v>0</v>
      </c>
      <c r="U470" s="1616"/>
      <c r="V470" s="1618">
        <f t="shared" si="139"/>
        <v>0</v>
      </c>
      <c r="W470" s="1619" t="e">
        <f>U470+S470+O470+M470+#REF!+K470+I470+G470+Q470</f>
        <v>#REF!</v>
      </c>
      <c r="X470" s="1618" t="e">
        <f t="shared" si="140"/>
        <v>#REF!</v>
      </c>
      <c r="Y470" s="1619" t="e">
        <f t="shared" si="146"/>
        <v>#REF!</v>
      </c>
      <c r="Z470" s="1618" t="e">
        <f t="shared" si="136"/>
        <v>#REF!</v>
      </c>
      <c r="AA470" s="674"/>
      <c r="AB470" s="674"/>
      <c r="AC470" s="481"/>
      <c r="AD470" s="481"/>
      <c r="AE470" s="481"/>
      <c r="AF470" s="481"/>
    </row>
    <row r="471" spans="1:32" s="480" customFormat="1">
      <c r="A471" s="1173"/>
      <c r="B471" s="1173" t="s">
        <v>1344</v>
      </c>
      <c r="C471" s="1636">
        <f>Data!X537</f>
        <v>1297.1099999999999</v>
      </c>
      <c r="D471" s="1640" t="s">
        <v>1867</v>
      </c>
      <c r="E471" s="1616"/>
      <c r="F471" s="1626">
        <f t="shared" si="141"/>
        <v>0</v>
      </c>
      <c r="G471" s="1616"/>
      <c r="H471" s="1618">
        <f t="shared" si="142"/>
        <v>0</v>
      </c>
      <c r="I471" s="1616"/>
      <c r="J471" s="1618">
        <f t="shared" si="143"/>
        <v>0</v>
      </c>
      <c r="K471" s="1618"/>
      <c r="L471" s="1618"/>
      <c r="M471" s="1618"/>
      <c r="N471" s="1618"/>
      <c r="O471" s="1618"/>
      <c r="P471" s="1618"/>
      <c r="Q471" s="1618"/>
      <c r="R471" s="1618">
        <f t="shared" si="145"/>
        <v>0</v>
      </c>
      <c r="S471" s="1618"/>
      <c r="T471" s="1618">
        <f t="shared" si="138"/>
        <v>0</v>
      </c>
      <c r="U471" s="1616"/>
      <c r="V471" s="1618">
        <f t="shared" si="139"/>
        <v>0</v>
      </c>
      <c r="W471" s="1619" t="e">
        <f>U471+S471+O471+M471+#REF!+K471+I471+G471+Q471</f>
        <v>#REF!</v>
      </c>
      <c r="X471" s="1618" t="e">
        <f t="shared" si="140"/>
        <v>#REF!</v>
      </c>
      <c r="Y471" s="1619" t="e">
        <f t="shared" si="146"/>
        <v>#REF!</v>
      </c>
      <c r="Z471" s="1618" t="e">
        <f t="shared" si="136"/>
        <v>#REF!</v>
      </c>
      <c r="AA471" s="674"/>
      <c r="AB471" s="674"/>
      <c r="AC471" s="481"/>
      <c r="AD471" s="481"/>
      <c r="AE471" s="481"/>
      <c r="AF471" s="481"/>
    </row>
    <row r="472" spans="1:32" s="301" customFormat="1">
      <c r="A472" s="1663"/>
      <c r="B472" s="1174" t="s">
        <v>1096</v>
      </c>
      <c r="C472" s="1612">
        <f>Data!X538</f>
        <v>1301.42</v>
      </c>
      <c r="D472" s="1664" t="s">
        <v>1867</v>
      </c>
      <c r="E472" s="1616"/>
      <c r="F472" s="1626">
        <f t="shared" si="141"/>
        <v>0</v>
      </c>
      <c r="G472" s="1616"/>
      <c r="H472" s="1618">
        <f t="shared" si="142"/>
        <v>0</v>
      </c>
      <c r="I472" s="1616"/>
      <c r="J472" s="1618">
        <f t="shared" si="143"/>
        <v>0</v>
      </c>
      <c r="K472" s="1618"/>
      <c r="L472" s="1618"/>
      <c r="M472" s="1618"/>
      <c r="N472" s="1618"/>
      <c r="O472" s="1618"/>
      <c r="P472" s="1618"/>
      <c r="Q472" s="1618"/>
      <c r="R472" s="1618">
        <f t="shared" si="145"/>
        <v>0</v>
      </c>
      <c r="S472" s="1618"/>
      <c r="T472" s="1618">
        <f t="shared" si="138"/>
        <v>0</v>
      </c>
      <c r="U472" s="1616"/>
      <c r="V472" s="1618">
        <f t="shared" si="139"/>
        <v>0</v>
      </c>
      <c r="W472" s="1619" t="e">
        <f>U472+S472+O472+M472+#REF!+K472+I472+G472+Q472</f>
        <v>#REF!</v>
      </c>
      <c r="X472" s="1618" t="e">
        <f t="shared" si="140"/>
        <v>#REF!</v>
      </c>
      <c r="Y472" s="1619" t="e">
        <f t="shared" si="146"/>
        <v>#REF!</v>
      </c>
      <c r="Z472" s="1618" t="e">
        <f t="shared" si="136"/>
        <v>#REF!</v>
      </c>
      <c r="AA472" s="675"/>
      <c r="AB472" s="674"/>
      <c r="AC472" s="300"/>
      <c r="AD472" s="300"/>
      <c r="AE472" s="300"/>
      <c r="AF472" s="300"/>
    </row>
    <row r="473" spans="1:32" s="480" customFormat="1" ht="48">
      <c r="A473" s="1662" t="s">
        <v>1146</v>
      </c>
      <c r="B473" s="1187" t="s">
        <v>4074</v>
      </c>
      <c r="C473" s="1636"/>
      <c r="D473" s="1611"/>
      <c r="E473" s="1616"/>
      <c r="F473" s="1626">
        <f t="shared" si="141"/>
        <v>0</v>
      </c>
      <c r="G473" s="1616"/>
      <c r="H473" s="1618">
        <f t="shared" si="142"/>
        <v>0</v>
      </c>
      <c r="I473" s="1616"/>
      <c r="J473" s="1618">
        <f t="shared" si="143"/>
        <v>0</v>
      </c>
      <c r="K473" s="1618"/>
      <c r="L473" s="1618"/>
      <c r="M473" s="1618"/>
      <c r="N473" s="1618"/>
      <c r="O473" s="1618"/>
      <c r="P473" s="1618"/>
      <c r="Q473" s="1618"/>
      <c r="R473" s="1618">
        <f t="shared" si="145"/>
        <v>0</v>
      </c>
      <c r="S473" s="1618"/>
      <c r="T473" s="1618">
        <f t="shared" si="138"/>
        <v>0</v>
      </c>
      <c r="U473" s="1616"/>
      <c r="V473" s="1618">
        <f t="shared" si="139"/>
        <v>0</v>
      </c>
      <c r="W473" s="1619" t="e">
        <f>U473+S473+O473+M473+#REF!+K473+I473+G473+Q473</f>
        <v>#REF!</v>
      </c>
      <c r="X473" s="1618" t="e">
        <f t="shared" si="140"/>
        <v>#REF!</v>
      </c>
      <c r="Y473" s="1619" t="e">
        <f t="shared" si="146"/>
        <v>#REF!</v>
      </c>
      <c r="Z473" s="1618" t="e">
        <f t="shared" si="136"/>
        <v>#REF!</v>
      </c>
      <c r="AA473" s="674"/>
      <c r="AB473" s="674"/>
      <c r="AC473" s="481"/>
      <c r="AD473" s="481"/>
      <c r="AE473" s="481"/>
      <c r="AF473" s="481"/>
    </row>
    <row r="474" spans="1:32" s="480" customFormat="1">
      <c r="A474" s="1172"/>
      <c r="B474" s="1172" t="s">
        <v>625</v>
      </c>
      <c r="C474" s="1636">
        <f>Data!X556</f>
        <v>1417.27</v>
      </c>
      <c r="D474" s="1611" t="s">
        <v>1867</v>
      </c>
      <c r="E474" s="1616">
        <f>station!I1069</f>
        <v>10.199999999999999</v>
      </c>
      <c r="F474" s="1626">
        <f t="shared" si="141"/>
        <v>14456.15</v>
      </c>
      <c r="G474" s="1616">
        <f>S.T!H76</f>
        <v>1.2</v>
      </c>
      <c r="H474" s="1618">
        <f t="shared" si="142"/>
        <v>1700.72</v>
      </c>
      <c r="I474" s="1616"/>
      <c r="J474" s="1618">
        <f t="shared" si="143"/>
        <v>0</v>
      </c>
      <c r="K474" s="1618"/>
      <c r="L474" s="1618"/>
      <c r="M474" s="1618"/>
      <c r="N474" s="1618"/>
      <c r="O474" s="1618"/>
      <c r="P474" s="1618"/>
      <c r="Q474" s="1618"/>
      <c r="R474" s="1618">
        <f t="shared" si="145"/>
        <v>0</v>
      </c>
      <c r="S474" s="1618"/>
      <c r="T474" s="1618">
        <f t="shared" si="138"/>
        <v>0</v>
      </c>
      <c r="U474" s="1616"/>
      <c r="V474" s="1618">
        <f t="shared" si="139"/>
        <v>0</v>
      </c>
      <c r="W474" s="1619" t="e">
        <f>U474+S474+O474+M474+#REF!+K474+I474+G474+Q474</f>
        <v>#REF!</v>
      </c>
      <c r="X474" s="1618" t="e">
        <f t="shared" si="140"/>
        <v>#REF!</v>
      </c>
      <c r="Y474" s="1619" t="e">
        <f t="shared" si="146"/>
        <v>#REF!</v>
      </c>
      <c r="Z474" s="1618" t="e">
        <f t="shared" si="136"/>
        <v>#REF!</v>
      </c>
      <c r="AA474" s="674"/>
      <c r="AB474" s="674"/>
      <c r="AC474" s="481"/>
      <c r="AD474" s="481"/>
      <c r="AE474" s="481"/>
      <c r="AF474" s="481"/>
    </row>
    <row r="475" spans="1:32" s="480" customFormat="1">
      <c r="A475" s="1172"/>
      <c r="B475" s="1172" t="s">
        <v>626</v>
      </c>
      <c r="C475" s="1636">
        <v>1421.44</v>
      </c>
      <c r="D475" s="1611" t="s">
        <v>1867</v>
      </c>
      <c r="E475" s="1616">
        <f>station!I1078</f>
        <v>82.9</v>
      </c>
      <c r="F475" s="1626">
        <f t="shared" si="141"/>
        <v>117837.38</v>
      </c>
      <c r="G475" s="1616"/>
      <c r="H475" s="1618">
        <f t="shared" si="142"/>
        <v>0</v>
      </c>
      <c r="I475" s="1616"/>
      <c r="J475" s="1618">
        <f t="shared" si="143"/>
        <v>0</v>
      </c>
      <c r="K475" s="1618"/>
      <c r="L475" s="1618"/>
      <c r="M475" s="1618"/>
      <c r="N475" s="1618"/>
      <c r="O475" s="1618"/>
      <c r="P475" s="1618"/>
      <c r="Q475" s="1618"/>
      <c r="R475" s="1618">
        <f t="shared" si="145"/>
        <v>0</v>
      </c>
      <c r="S475" s="1618"/>
      <c r="T475" s="1618">
        <f t="shared" si="138"/>
        <v>0</v>
      </c>
      <c r="U475" s="1616"/>
      <c r="V475" s="1618">
        <f t="shared" si="139"/>
        <v>0</v>
      </c>
      <c r="W475" s="1619" t="e">
        <f>U475+S475+O475+M475+#REF!+K475+I475+G475+Q475</f>
        <v>#REF!</v>
      </c>
      <c r="X475" s="1618" t="e">
        <f t="shared" si="140"/>
        <v>#REF!</v>
      </c>
      <c r="Y475" s="1619" t="e">
        <f t="shared" si="146"/>
        <v>#REF!</v>
      </c>
      <c r="Z475" s="1618" t="e">
        <f t="shared" si="136"/>
        <v>#REF!</v>
      </c>
      <c r="AA475" s="674"/>
      <c r="AB475" s="674"/>
      <c r="AC475" s="481"/>
      <c r="AD475" s="481"/>
      <c r="AE475" s="481"/>
      <c r="AF475" s="481"/>
    </row>
    <row r="476" spans="1:32" s="480" customFormat="1">
      <c r="A476" s="1172"/>
      <c r="B476" s="1172" t="s">
        <v>1264</v>
      </c>
      <c r="C476" s="1636">
        <v>1429.66</v>
      </c>
      <c r="D476" s="1611" t="s">
        <v>1867</v>
      </c>
      <c r="E476" s="1616">
        <f>station!I1084</f>
        <v>36.200000000000003</v>
      </c>
      <c r="F476" s="1626">
        <f t="shared" si="141"/>
        <v>51753.69</v>
      </c>
      <c r="G476" s="1616"/>
      <c r="H476" s="1618">
        <f t="shared" si="142"/>
        <v>0</v>
      </c>
      <c r="I476" s="1616"/>
      <c r="J476" s="1618">
        <f t="shared" si="143"/>
        <v>0</v>
      </c>
      <c r="K476" s="1618"/>
      <c r="L476" s="1618"/>
      <c r="M476" s="1618"/>
      <c r="N476" s="1618"/>
      <c r="O476" s="1618"/>
      <c r="P476" s="1618"/>
      <c r="Q476" s="1618"/>
      <c r="R476" s="1618">
        <f t="shared" si="145"/>
        <v>0</v>
      </c>
      <c r="S476" s="1618"/>
      <c r="T476" s="1618">
        <f t="shared" si="138"/>
        <v>0</v>
      </c>
      <c r="U476" s="1616"/>
      <c r="V476" s="1618">
        <f t="shared" si="139"/>
        <v>0</v>
      </c>
      <c r="W476" s="1619" t="e">
        <f>U476+S476+O476+M476+#REF!+K476+I476+G476+Q476</f>
        <v>#REF!</v>
      </c>
      <c r="X476" s="1618" t="e">
        <f t="shared" si="140"/>
        <v>#REF!</v>
      </c>
      <c r="Y476" s="1619" t="e">
        <f t="shared" si="146"/>
        <v>#REF!</v>
      </c>
      <c r="Z476" s="1618" t="e">
        <f t="shared" si="136"/>
        <v>#REF!</v>
      </c>
      <c r="AA476" s="674"/>
      <c r="AB476" s="674"/>
      <c r="AC476" s="481"/>
      <c r="AD476" s="481"/>
      <c r="AE476" s="481"/>
      <c r="AF476" s="481"/>
    </row>
    <row r="477" spans="1:32" s="480" customFormat="1">
      <c r="A477" s="1172"/>
      <c r="B477" s="1172" t="s">
        <v>686</v>
      </c>
      <c r="C477" s="1636">
        <f>Data!X560</f>
        <v>1438.91</v>
      </c>
      <c r="D477" s="1611" t="s">
        <v>1867</v>
      </c>
      <c r="E477" s="1616"/>
      <c r="F477" s="1626">
        <f t="shared" si="141"/>
        <v>0</v>
      </c>
      <c r="G477" s="1616"/>
      <c r="H477" s="1618">
        <f t="shared" si="142"/>
        <v>0</v>
      </c>
      <c r="I477" s="1616"/>
      <c r="J477" s="1618">
        <f t="shared" si="143"/>
        <v>0</v>
      </c>
      <c r="K477" s="1618"/>
      <c r="L477" s="1618"/>
      <c r="M477" s="1618"/>
      <c r="N477" s="1618"/>
      <c r="O477" s="1618"/>
      <c r="P477" s="1618"/>
      <c r="Q477" s="1618"/>
      <c r="R477" s="1618">
        <f t="shared" si="145"/>
        <v>0</v>
      </c>
      <c r="S477" s="1618"/>
      <c r="T477" s="1618">
        <f t="shared" si="138"/>
        <v>0</v>
      </c>
      <c r="U477" s="1616"/>
      <c r="V477" s="1618">
        <f t="shared" si="139"/>
        <v>0</v>
      </c>
      <c r="W477" s="1619" t="e">
        <f>U477+S477+O477+M477+#REF!+K477+I477+G477+Q477</f>
        <v>#REF!</v>
      </c>
      <c r="X477" s="1618" t="e">
        <f t="shared" si="140"/>
        <v>#REF!</v>
      </c>
      <c r="Y477" s="1619" t="e">
        <f t="shared" si="146"/>
        <v>#REF!</v>
      </c>
      <c r="Z477" s="1618" t="e">
        <f t="shared" si="136"/>
        <v>#REF!</v>
      </c>
      <c r="AA477" s="674"/>
      <c r="AB477" s="674"/>
      <c r="AC477" s="481"/>
      <c r="AD477" s="481"/>
      <c r="AE477" s="481"/>
      <c r="AF477" s="481"/>
    </row>
    <row r="478" spans="1:32" s="480" customFormat="1">
      <c r="A478" s="1172"/>
      <c r="B478" s="1172" t="s">
        <v>687</v>
      </c>
      <c r="C478" s="1636">
        <f>Data!X561</f>
        <v>1447.54</v>
      </c>
      <c r="D478" s="1611" t="s">
        <v>1867</v>
      </c>
      <c r="E478" s="1616"/>
      <c r="F478" s="1626">
        <f t="shared" si="141"/>
        <v>0</v>
      </c>
      <c r="G478" s="1616"/>
      <c r="H478" s="1618">
        <f t="shared" si="142"/>
        <v>0</v>
      </c>
      <c r="I478" s="1616"/>
      <c r="J478" s="1618">
        <f t="shared" si="143"/>
        <v>0</v>
      </c>
      <c r="K478" s="1618"/>
      <c r="L478" s="1618"/>
      <c r="M478" s="1618"/>
      <c r="N478" s="1618"/>
      <c r="O478" s="1618"/>
      <c r="P478" s="1618"/>
      <c r="Q478" s="1618"/>
      <c r="R478" s="1618">
        <f t="shared" si="145"/>
        <v>0</v>
      </c>
      <c r="S478" s="1618"/>
      <c r="T478" s="1618">
        <f t="shared" si="138"/>
        <v>0</v>
      </c>
      <c r="U478" s="1616"/>
      <c r="V478" s="1618">
        <f t="shared" si="139"/>
        <v>0</v>
      </c>
      <c r="W478" s="1619" t="e">
        <f>U478+S478+O478+M478+#REF!+K478+I478+G478+Q478</f>
        <v>#REF!</v>
      </c>
      <c r="X478" s="1618" t="e">
        <f t="shared" si="140"/>
        <v>#REF!</v>
      </c>
      <c r="Y478" s="1619" t="e">
        <f t="shared" si="146"/>
        <v>#REF!</v>
      </c>
      <c r="Z478" s="1618" t="e">
        <f t="shared" si="136"/>
        <v>#REF!</v>
      </c>
      <c r="AA478" s="674"/>
      <c r="AB478" s="674"/>
      <c r="AC478" s="481"/>
      <c r="AD478" s="481"/>
      <c r="AE478" s="481"/>
      <c r="AF478" s="481"/>
    </row>
    <row r="479" spans="1:32" s="301" customFormat="1">
      <c r="A479" s="1665"/>
      <c r="B479" s="1183" t="s">
        <v>1291</v>
      </c>
      <c r="C479" s="1637">
        <f>Data!X562</f>
        <v>1456.17</v>
      </c>
      <c r="D479" s="1631" t="s">
        <v>1867</v>
      </c>
      <c r="E479" s="1616"/>
      <c r="F479" s="1626">
        <f t="shared" si="141"/>
        <v>0</v>
      </c>
      <c r="G479" s="1616"/>
      <c r="H479" s="1618">
        <f t="shared" si="142"/>
        <v>0</v>
      </c>
      <c r="I479" s="1616"/>
      <c r="J479" s="1618">
        <f t="shared" si="143"/>
        <v>0</v>
      </c>
      <c r="K479" s="1618"/>
      <c r="L479" s="1618"/>
      <c r="M479" s="1618"/>
      <c r="N479" s="1618"/>
      <c r="O479" s="1618"/>
      <c r="P479" s="1618"/>
      <c r="Q479" s="1618"/>
      <c r="R479" s="1618">
        <f t="shared" si="145"/>
        <v>0</v>
      </c>
      <c r="S479" s="1618"/>
      <c r="T479" s="1618">
        <f t="shared" si="138"/>
        <v>0</v>
      </c>
      <c r="U479" s="1616"/>
      <c r="V479" s="1618">
        <f t="shared" si="139"/>
        <v>0</v>
      </c>
      <c r="W479" s="1619" t="e">
        <f>U479+S479+O479+M479+#REF!+K479+I479+G479+Q479</f>
        <v>#REF!</v>
      </c>
      <c r="X479" s="1618" t="e">
        <f t="shared" si="140"/>
        <v>#REF!</v>
      </c>
      <c r="Y479" s="1619" t="e">
        <f t="shared" si="146"/>
        <v>#REF!</v>
      </c>
      <c r="Z479" s="1618" t="e">
        <f t="shared" si="136"/>
        <v>#REF!</v>
      </c>
      <c r="AA479" s="675"/>
      <c r="AB479" s="674"/>
      <c r="AC479" s="300"/>
      <c r="AD479" s="300"/>
      <c r="AE479" s="300"/>
      <c r="AF479" s="300"/>
    </row>
    <row r="480" spans="1:32" s="301" customFormat="1" ht="43.5" hidden="1">
      <c r="A480" s="379" t="s">
        <v>1009</v>
      </c>
      <c r="B480" s="316" t="s">
        <v>4229</v>
      </c>
      <c r="C480" s="308"/>
      <c r="D480" s="486"/>
      <c r="E480" s="526"/>
      <c r="F480" s="630">
        <f t="shared" si="141"/>
        <v>0</v>
      </c>
      <c r="G480" s="526"/>
      <c r="H480" s="517">
        <f t="shared" si="142"/>
        <v>0</v>
      </c>
      <c r="I480" s="526"/>
      <c r="J480" s="517">
        <f t="shared" si="143"/>
        <v>0</v>
      </c>
      <c r="K480" s="517"/>
      <c r="L480" s="517"/>
      <c r="M480" s="517"/>
      <c r="N480" s="517"/>
      <c r="O480" s="517"/>
      <c r="P480" s="517"/>
      <c r="Q480" s="517"/>
      <c r="R480" s="517"/>
      <c r="S480" s="517"/>
      <c r="T480" s="517">
        <f t="shared" si="138"/>
        <v>0</v>
      </c>
      <c r="U480" s="526"/>
      <c r="V480" s="517">
        <f t="shared" si="139"/>
        <v>0</v>
      </c>
      <c r="W480" s="632">
        <f t="shared" ref="W480:W489" si="147">I480+S480+U480</f>
        <v>0</v>
      </c>
      <c r="X480" s="517">
        <f t="shared" si="140"/>
        <v>0</v>
      </c>
      <c r="Y480" s="632">
        <f t="shared" ref="Y480:Y489" si="148">W480+E480+G480</f>
        <v>0</v>
      </c>
      <c r="Z480" s="517">
        <f t="shared" si="136"/>
        <v>0</v>
      </c>
      <c r="AA480" s="675"/>
      <c r="AB480" s="674"/>
      <c r="AC480" s="300"/>
      <c r="AD480" s="300"/>
      <c r="AE480" s="300"/>
      <c r="AF480" s="300"/>
    </row>
    <row r="481" spans="1:32" s="301" customFormat="1" hidden="1">
      <c r="A481" s="299"/>
      <c r="B481" s="299" t="s">
        <v>1270</v>
      </c>
      <c r="C481" s="308">
        <f>Data!AD534</f>
        <v>1295.03</v>
      </c>
      <c r="D481" s="486" t="s">
        <v>1867</v>
      </c>
      <c r="E481" s="526"/>
      <c r="F481" s="630">
        <f t="shared" si="141"/>
        <v>0</v>
      </c>
      <c r="G481" s="526"/>
      <c r="H481" s="517">
        <f t="shared" si="142"/>
        <v>0</v>
      </c>
      <c r="I481" s="526"/>
      <c r="J481" s="517">
        <f t="shared" si="143"/>
        <v>0</v>
      </c>
      <c r="K481" s="517"/>
      <c r="L481" s="517"/>
      <c r="M481" s="517"/>
      <c r="N481" s="517"/>
      <c r="O481" s="517"/>
      <c r="P481" s="517"/>
      <c r="Q481" s="517"/>
      <c r="R481" s="517"/>
      <c r="S481" s="517"/>
      <c r="T481" s="517">
        <f t="shared" si="138"/>
        <v>0</v>
      </c>
      <c r="U481" s="526"/>
      <c r="V481" s="517">
        <f t="shared" si="139"/>
        <v>0</v>
      </c>
      <c r="W481" s="632">
        <f t="shared" si="147"/>
        <v>0</v>
      </c>
      <c r="X481" s="517">
        <f t="shared" si="140"/>
        <v>0</v>
      </c>
      <c r="Y481" s="632">
        <f t="shared" si="148"/>
        <v>0</v>
      </c>
      <c r="Z481" s="517">
        <f t="shared" si="136"/>
        <v>0</v>
      </c>
      <c r="AA481" s="675"/>
      <c r="AB481" s="674"/>
      <c r="AC481" s="300"/>
      <c r="AD481" s="300"/>
      <c r="AE481" s="300"/>
      <c r="AF481" s="300"/>
    </row>
    <row r="482" spans="1:32" s="301" customFormat="1" hidden="1">
      <c r="A482" s="299"/>
      <c r="B482" s="299" t="s">
        <v>1406</v>
      </c>
      <c r="C482" s="308">
        <f>Data!AD535</f>
        <v>1299.3399999999999</v>
      </c>
      <c r="D482" s="486" t="s">
        <v>1867</v>
      </c>
      <c r="E482" s="526"/>
      <c r="F482" s="630">
        <f t="shared" si="141"/>
        <v>0</v>
      </c>
      <c r="G482" s="526"/>
      <c r="H482" s="517">
        <f t="shared" si="142"/>
        <v>0</v>
      </c>
      <c r="I482" s="526"/>
      <c r="J482" s="517">
        <f t="shared" si="143"/>
        <v>0</v>
      </c>
      <c r="K482" s="517"/>
      <c r="L482" s="517"/>
      <c r="M482" s="517"/>
      <c r="N482" s="517"/>
      <c r="O482" s="517"/>
      <c r="P482" s="517"/>
      <c r="Q482" s="517"/>
      <c r="R482" s="517"/>
      <c r="S482" s="517"/>
      <c r="T482" s="517">
        <f t="shared" si="138"/>
        <v>0</v>
      </c>
      <c r="U482" s="526"/>
      <c r="V482" s="517">
        <f t="shared" si="139"/>
        <v>0</v>
      </c>
      <c r="W482" s="632">
        <f t="shared" si="147"/>
        <v>0</v>
      </c>
      <c r="X482" s="517">
        <f t="shared" si="140"/>
        <v>0</v>
      </c>
      <c r="Y482" s="632">
        <f t="shared" si="148"/>
        <v>0</v>
      </c>
      <c r="Z482" s="517">
        <f t="shared" si="136"/>
        <v>0</v>
      </c>
      <c r="AA482" s="675"/>
      <c r="AB482" s="674"/>
      <c r="AC482" s="300"/>
      <c r="AD482" s="300"/>
      <c r="AE482" s="300"/>
      <c r="AF482" s="300"/>
    </row>
    <row r="483" spans="1:32" s="301" customFormat="1" hidden="1">
      <c r="A483" s="299"/>
      <c r="B483" s="299" t="s">
        <v>1455</v>
      </c>
      <c r="C483" s="308">
        <f>Data!AD536</f>
        <v>1303.6500000000001</v>
      </c>
      <c r="D483" s="486" t="s">
        <v>1867</v>
      </c>
      <c r="E483" s="526"/>
      <c r="F483" s="630">
        <f t="shared" si="141"/>
        <v>0</v>
      </c>
      <c r="G483" s="526"/>
      <c r="H483" s="517">
        <f t="shared" si="142"/>
        <v>0</v>
      </c>
      <c r="I483" s="526"/>
      <c r="J483" s="517">
        <f t="shared" si="143"/>
        <v>0</v>
      </c>
      <c r="K483" s="517"/>
      <c r="L483" s="517"/>
      <c r="M483" s="517"/>
      <c r="N483" s="517"/>
      <c r="O483" s="517"/>
      <c r="P483" s="517"/>
      <c r="Q483" s="517"/>
      <c r="R483" s="517"/>
      <c r="S483" s="517"/>
      <c r="T483" s="517">
        <f t="shared" si="138"/>
        <v>0</v>
      </c>
      <c r="U483" s="526"/>
      <c r="V483" s="517">
        <f t="shared" si="139"/>
        <v>0</v>
      </c>
      <c r="W483" s="632">
        <f t="shared" si="147"/>
        <v>0</v>
      </c>
      <c r="X483" s="517">
        <f t="shared" si="140"/>
        <v>0</v>
      </c>
      <c r="Y483" s="632">
        <f t="shared" si="148"/>
        <v>0</v>
      </c>
      <c r="Z483" s="517">
        <f t="shared" si="136"/>
        <v>0</v>
      </c>
      <c r="AA483" s="675"/>
      <c r="AB483" s="674"/>
      <c r="AC483" s="300"/>
      <c r="AD483" s="300"/>
      <c r="AE483" s="300"/>
      <c r="AF483" s="300"/>
    </row>
    <row r="484" spans="1:32" s="301" customFormat="1" hidden="1">
      <c r="A484" s="447"/>
      <c r="B484" s="447" t="s">
        <v>1344</v>
      </c>
      <c r="C484" s="308">
        <f>Data!AD537</f>
        <v>1307.96</v>
      </c>
      <c r="D484" s="443" t="s">
        <v>1867</v>
      </c>
      <c r="E484" s="526"/>
      <c r="F484" s="630">
        <f t="shared" si="141"/>
        <v>0</v>
      </c>
      <c r="G484" s="526"/>
      <c r="H484" s="517">
        <f t="shared" si="142"/>
        <v>0</v>
      </c>
      <c r="I484" s="526"/>
      <c r="J484" s="517">
        <f t="shared" si="143"/>
        <v>0</v>
      </c>
      <c r="K484" s="517"/>
      <c r="L484" s="517"/>
      <c r="M484" s="517"/>
      <c r="N484" s="517"/>
      <c r="O484" s="517"/>
      <c r="P484" s="517"/>
      <c r="Q484" s="517"/>
      <c r="R484" s="517"/>
      <c r="S484" s="517"/>
      <c r="T484" s="517">
        <f t="shared" si="138"/>
        <v>0</v>
      </c>
      <c r="U484" s="526"/>
      <c r="V484" s="517">
        <f t="shared" si="139"/>
        <v>0</v>
      </c>
      <c r="W484" s="632">
        <f t="shared" si="147"/>
        <v>0</v>
      </c>
      <c r="X484" s="517">
        <f t="shared" si="140"/>
        <v>0</v>
      </c>
      <c r="Y484" s="632">
        <f t="shared" si="148"/>
        <v>0</v>
      </c>
      <c r="Z484" s="517">
        <f t="shared" si="136"/>
        <v>0</v>
      </c>
      <c r="AA484" s="675"/>
      <c r="AB484" s="674"/>
      <c r="AC484" s="300"/>
      <c r="AD484" s="300"/>
      <c r="AE484" s="300"/>
      <c r="AF484" s="300"/>
    </row>
    <row r="485" spans="1:32" s="301" customFormat="1" hidden="1">
      <c r="A485" s="299"/>
      <c r="B485" s="299" t="s">
        <v>626</v>
      </c>
      <c r="C485" s="308">
        <f>Data!AD558</f>
        <v>1443.34</v>
      </c>
      <c r="D485" s="486" t="s">
        <v>1867</v>
      </c>
      <c r="E485" s="526"/>
      <c r="F485" s="630">
        <f t="shared" si="141"/>
        <v>0</v>
      </c>
      <c r="G485" s="526"/>
      <c r="H485" s="517">
        <f t="shared" si="142"/>
        <v>0</v>
      </c>
      <c r="I485" s="526"/>
      <c r="J485" s="517">
        <f t="shared" si="143"/>
        <v>0</v>
      </c>
      <c r="K485" s="517"/>
      <c r="L485" s="517"/>
      <c r="M485" s="517"/>
      <c r="N485" s="517"/>
      <c r="O485" s="517"/>
      <c r="P485" s="517"/>
      <c r="Q485" s="517"/>
      <c r="R485" s="517"/>
      <c r="S485" s="517"/>
      <c r="T485" s="517">
        <f t="shared" si="138"/>
        <v>0</v>
      </c>
      <c r="U485" s="526"/>
      <c r="V485" s="517">
        <f t="shared" si="139"/>
        <v>0</v>
      </c>
      <c r="W485" s="632">
        <f t="shared" si="147"/>
        <v>0</v>
      </c>
      <c r="X485" s="517">
        <f t="shared" si="140"/>
        <v>0</v>
      </c>
      <c r="Y485" s="632">
        <f t="shared" si="148"/>
        <v>0</v>
      </c>
      <c r="Z485" s="517">
        <f t="shared" si="136"/>
        <v>0</v>
      </c>
      <c r="AA485" s="675"/>
      <c r="AB485" s="674"/>
      <c r="AC485" s="300"/>
      <c r="AD485" s="300"/>
      <c r="AE485" s="300"/>
      <c r="AF485" s="300"/>
    </row>
    <row r="486" spans="1:32" s="301" customFormat="1" hidden="1">
      <c r="A486" s="299"/>
      <c r="B486" s="299" t="s">
        <v>1264</v>
      </c>
      <c r="C486" s="308">
        <f>Data!AD559</f>
        <v>1451.97</v>
      </c>
      <c r="D486" s="486" t="s">
        <v>1867</v>
      </c>
      <c r="E486" s="526"/>
      <c r="F486" s="630">
        <f t="shared" si="141"/>
        <v>0</v>
      </c>
      <c r="G486" s="526"/>
      <c r="H486" s="517">
        <f t="shared" si="142"/>
        <v>0</v>
      </c>
      <c r="I486" s="526"/>
      <c r="J486" s="517">
        <f t="shared" si="143"/>
        <v>0</v>
      </c>
      <c r="K486" s="517"/>
      <c r="L486" s="517"/>
      <c r="M486" s="517"/>
      <c r="N486" s="517"/>
      <c r="O486" s="517"/>
      <c r="P486" s="517"/>
      <c r="Q486" s="517"/>
      <c r="R486" s="517"/>
      <c r="S486" s="517"/>
      <c r="T486" s="517">
        <f t="shared" si="138"/>
        <v>0</v>
      </c>
      <c r="U486" s="526"/>
      <c r="V486" s="517">
        <f t="shared" si="139"/>
        <v>0</v>
      </c>
      <c r="W486" s="632">
        <f t="shared" si="147"/>
        <v>0</v>
      </c>
      <c r="X486" s="517">
        <f t="shared" si="140"/>
        <v>0</v>
      </c>
      <c r="Y486" s="632">
        <f t="shared" si="148"/>
        <v>0</v>
      </c>
      <c r="Z486" s="517">
        <f t="shared" si="136"/>
        <v>0</v>
      </c>
      <c r="AA486" s="675"/>
      <c r="AB486" s="674"/>
      <c r="AC486" s="300"/>
      <c r="AD486" s="300"/>
      <c r="AE486" s="300"/>
      <c r="AF486" s="300"/>
    </row>
    <row r="487" spans="1:32" s="301" customFormat="1" hidden="1">
      <c r="A487" s="447"/>
      <c r="B487" s="447" t="s">
        <v>686</v>
      </c>
      <c r="C487" s="308">
        <f>Data!AD560</f>
        <v>1460.6</v>
      </c>
      <c r="D487" s="443" t="s">
        <v>1867</v>
      </c>
      <c r="E487" s="526"/>
      <c r="F487" s="630">
        <f t="shared" si="141"/>
        <v>0</v>
      </c>
      <c r="G487" s="526"/>
      <c r="H487" s="517">
        <f t="shared" si="142"/>
        <v>0</v>
      </c>
      <c r="I487" s="526"/>
      <c r="J487" s="517">
        <f t="shared" si="143"/>
        <v>0</v>
      </c>
      <c r="K487" s="517"/>
      <c r="L487" s="517"/>
      <c r="M487" s="517"/>
      <c r="N487" s="517"/>
      <c r="O487" s="517"/>
      <c r="P487" s="517"/>
      <c r="Q487" s="517"/>
      <c r="R487" s="517"/>
      <c r="S487" s="517"/>
      <c r="T487" s="517">
        <f t="shared" si="138"/>
        <v>0</v>
      </c>
      <c r="U487" s="526"/>
      <c r="V487" s="517">
        <f t="shared" si="139"/>
        <v>0</v>
      </c>
      <c r="W487" s="632">
        <f t="shared" si="147"/>
        <v>0</v>
      </c>
      <c r="X487" s="517">
        <f t="shared" si="140"/>
        <v>0</v>
      </c>
      <c r="Y487" s="632">
        <f t="shared" si="148"/>
        <v>0</v>
      </c>
      <c r="Z487" s="517">
        <f t="shared" si="136"/>
        <v>0</v>
      </c>
      <c r="AA487" s="675"/>
      <c r="AB487" s="674"/>
      <c r="AC487" s="300"/>
      <c r="AD487" s="300"/>
      <c r="AE487" s="300"/>
      <c r="AF487" s="300"/>
    </row>
    <row r="488" spans="1:32" s="301" customFormat="1" hidden="1">
      <c r="A488" s="299"/>
      <c r="B488" s="299" t="s">
        <v>687</v>
      </c>
      <c r="C488" s="308">
        <f>Data!AD561</f>
        <v>1469.23</v>
      </c>
      <c r="D488" s="486" t="s">
        <v>1867</v>
      </c>
      <c r="E488" s="526"/>
      <c r="F488" s="630">
        <f t="shared" si="141"/>
        <v>0</v>
      </c>
      <c r="G488" s="526"/>
      <c r="H488" s="517">
        <f t="shared" si="142"/>
        <v>0</v>
      </c>
      <c r="I488" s="526"/>
      <c r="J488" s="517">
        <f t="shared" si="143"/>
        <v>0</v>
      </c>
      <c r="K488" s="517"/>
      <c r="L488" s="517"/>
      <c r="M488" s="517"/>
      <c r="N488" s="517"/>
      <c r="O488" s="517"/>
      <c r="P488" s="517"/>
      <c r="Q488" s="517"/>
      <c r="R488" s="517"/>
      <c r="S488" s="517"/>
      <c r="T488" s="517">
        <f t="shared" si="138"/>
        <v>0</v>
      </c>
      <c r="U488" s="526"/>
      <c r="V488" s="517">
        <f t="shared" si="139"/>
        <v>0</v>
      </c>
      <c r="W488" s="632">
        <f t="shared" si="147"/>
        <v>0</v>
      </c>
      <c r="X488" s="517">
        <f t="shared" si="140"/>
        <v>0</v>
      </c>
      <c r="Y488" s="632">
        <f t="shared" si="148"/>
        <v>0</v>
      </c>
      <c r="Z488" s="517">
        <f t="shared" si="136"/>
        <v>0</v>
      </c>
      <c r="AA488" s="675"/>
      <c r="AB488" s="674"/>
      <c r="AC488" s="300"/>
      <c r="AD488" s="300"/>
      <c r="AE488" s="300"/>
      <c r="AF488" s="300"/>
    </row>
    <row r="489" spans="1:32" s="301" customFormat="1" hidden="1">
      <c r="A489" s="315"/>
      <c r="B489" s="299" t="s">
        <v>1291</v>
      </c>
      <c r="C489" s="308">
        <f>Data!AD562</f>
        <v>1477.86</v>
      </c>
      <c r="D489" s="486" t="s">
        <v>1867</v>
      </c>
      <c r="E489" s="526"/>
      <c r="F489" s="630">
        <f t="shared" si="141"/>
        <v>0</v>
      </c>
      <c r="G489" s="526"/>
      <c r="H489" s="517">
        <f t="shared" si="142"/>
        <v>0</v>
      </c>
      <c r="I489" s="526"/>
      <c r="J489" s="517">
        <f t="shared" si="143"/>
        <v>0</v>
      </c>
      <c r="K489" s="517"/>
      <c r="L489" s="517"/>
      <c r="M489" s="517"/>
      <c r="N489" s="517"/>
      <c r="O489" s="517"/>
      <c r="P489" s="517"/>
      <c r="Q489" s="517"/>
      <c r="R489" s="517"/>
      <c r="S489" s="517"/>
      <c r="T489" s="517">
        <f t="shared" si="138"/>
        <v>0</v>
      </c>
      <c r="U489" s="526"/>
      <c r="V489" s="517">
        <f t="shared" si="139"/>
        <v>0</v>
      </c>
      <c r="W489" s="632">
        <f t="shared" si="147"/>
        <v>0</v>
      </c>
      <c r="X489" s="517">
        <f t="shared" si="140"/>
        <v>0</v>
      </c>
      <c r="Y489" s="632">
        <f t="shared" si="148"/>
        <v>0</v>
      </c>
      <c r="Z489" s="517">
        <f t="shared" si="136"/>
        <v>0</v>
      </c>
      <c r="AA489" s="675"/>
      <c r="AB489" s="674"/>
      <c r="AC489" s="300"/>
      <c r="AD489" s="300"/>
      <c r="AE489" s="300"/>
      <c r="AF489" s="300"/>
    </row>
    <row r="490" spans="1:32" s="301" customFormat="1" ht="40.5" hidden="1">
      <c r="A490" s="315"/>
      <c r="B490" s="1180" t="s">
        <v>5311</v>
      </c>
      <c r="C490" s="448"/>
      <c r="D490" s="443"/>
      <c r="E490" s="526"/>
      <c r="F490" s="1394">
        <f t="shared" si="141"/>
        <v>0</v>
      </c>
      <c r="G490" s="526"/>
      <c r="H490" s="517">
        <f t="shared" si="142"/>
        <v>0</v>
      </c>
      <c r="I490" s="526"/>
      <c r="J490" s="517">
        <f t="shared" si="143"/>
        <v>0</v>
      </c>
      <c r="K490" s="517"/>
      <c r="L490" s="517">
        <f t="shared" ref="L490:L509" si="149">K490*C490</f>
        <v>0</v>
      </c>
      <c r="M490" s="517"/>
      <c r="N490" s="517">
        <f t="shared" ref="N490:N512" si="150">M490*C490</f>
        <v>0</v>
      </c>
      <c r="O490" s="517"/>
      <c r="P490" s="517">
        <f t="shared" ref="P490:P512" si="151">O490*C490</f>
        <v>0</v>
      </c>
      <c r="Q490" s="517"/>
      <c r="R490" s="517"/>
      <c r="S490" s="517"/>
      <c r="T490" s="517">
        <f t="shared" si="138"/>
        <v>0</v>
      </c>
      <c r="U490" s="526"/>
      <c r="V490" s="517">
        <f t="shared" si="139"/>
        <v>0</v>
      </c>
      <c r="W490" s="632" t="e">
        <f>U490+S490+O490+M490+#REF!+K490+I490+G490</f>
        <v>#REF!</v>
      </c>
      <c r="X490" s="517" t="e">
        <f t="shared" si="140"/>
        <v>#REF!</v>
      </c>
      <c r="Y490" s="632" t="e">
        <f t="shared" ref="Y490:Y514" si="152">W490+E490</f>
        <v>#REF!</v>
      </c>
      <c r="Z490" s="517"/>
      <c r="AA490" s="675"/>
      <c r="AB490" s="674"/>
      <c r="AC490" s="300"/>
      <c r="AD490" s="300"/>
      <c r="AE490" s="300"/>
      <c r="AF490" s="300"/>
    </row>
    <row r="491" spans="1:32" s="301" customFormat="1" ht="43.5" hidden="1" customHeight="1">
      <c r="A491" s="315"/>
      <c r="B491" s="1181" t="s">
        <v>4336</v>
      </c>
      <c r="C491" s="398">
        <f>Data!AD483</f>
        <v>2589.27</v>
      </c>
      <c r="D491" s="399" t="s">
        <v>1867</v>
      </c>
      <c r="E491" s="526"/>
      <c r="F491" s="1394">
        <f t="shared" si="141"/>
        <v>0</v>
      </c>
      <c r="G491" s="526"/>
      <c r="H491" s="517">
        <f t="shared" si="142"/>
        <v>0</v>
      </c>
      <c r="I491" s="526"/>
      <c r="J491" s="517">
        <f t="shared" si="143"/>
        <v>0</v>
      </c>
      <c r="K491" s="517"/>
      <c r="L491" s="517">
        <f t="shared" si="149"/>
        <v>0</v>
      </c>
      <c r="M491" s="517"/>
      <c r="N491" s="517">
        <f t="shared" si="150"/>
        <v>0</v>
      </c>
      <c r="O491" s="517"/>
      <c r="P491" s="517">
        <f t="shared" si="151"/>
        <v>0</v>
      </c>
      <c r="Q491" s="517"/>
      <c r="R491" s="517"/>
      <c r="S491" s="517"/>
      <c r="T491" s="517">
        <f t="shared" si="138"/>
        <v>0</v>
      </c>
      <c r="U491" s="526"/>
      <c r="V491" s="517">
        <f t="shared" si="139"/>
        <v>0</v>
      </c>
      <c r="W491" s="632" t="e">
        <f>U491+S491+O491+M491+#REF!+K491+I491+G491</f>
        <v>#REF!</v>
      </c>
      <c r="X491" s="517" t="e">
        <f t="shared" ref="X491:X522" si="153">W491*C491</f>
        <v>#REF!</v>
      </c>
      <c r="Y491" s="632" t="e">
        <f t="shared" si="152"/>
        <v>#REF!</v>
      </c>
      <c r="Z491" s="517" t="e">
        <f t="shared" ref="Z491:Z522" si="154">Y491*C491</f>
        <v>#REF!</v>
      </c>
      <c r="AA491" s="675"/>
      <c r="AB491" s="674"/>
      <c r="AC491" s="300"/>
      <c r="AD491" s="300"/>
      <c r="AE491" s="300"/>
      <c r="AF491" s="300"/>
    </row>
    <row r="492" spans="1:32" s="301" customFormat="1" ht="43.5" hidden="1" customHeight="1">
      <c r="A492" s="315"/>
      <c r="B492" s="1182" t="s">
        <v>1406</v>
      </c>
      <c r="C492" s="398">
        <f>Data!AD484</f>
        <v>2597.31</v>
      </c>
      <c r="D492" s="449" t="s">
        <v>1867</v>
      </c>
      <c r="E492" s="526"/>
      <c r="F492" s="1394">
        <f t="shared" si="141"/>
        <v>0</v>
      </c>
      <c r="G492" s="526"/>
      <c r="H492" s="517">
        <f t="shared" si="142"/>
        <v>0</v>
      </c>
      <c r="I492" s="526"/>
      <c r="J492" s="517">
        <f t="shared" si="143"/>
        <v>0</v>
      </c>
      <c r="K492" s="517"/>
      <c r="L492" s="517">
        <f t="shared" si="149"/>
        <v>0</v>
      </c>
      <c r="M492" s="517"/>
      <c r="N492" s="517">
        <f t="shared" si="150"/>
        <v>0</v>
      </c>
      <c r="O492" s="517"/>
      <c r="P492" s="517">
        <f t="shared" si="151"/>
        <v>0</v>
      </c>
      <c r="Q492" s="517"/>
      <c r="R492" s="517"/>
      <c r="S492" s="517"/>
      <c r="T492" s="517">
        <f t="shared" si="138"/>
        <v>0</v>
      </c>
      <c r="U492" s="526"/>
      <c r="V492" s="517">
        <f t="shared" si="139"/>
        <v>0</v>
      </c>
      <c r="W492" s="632" t="e">
        <f>U492+S492+O492+M492+#REF!+K492+I492+G492</f>
        <v>#REF!</v>
      </c>
      <c r="X492" s="517" t="e">
        <f t="shared" si="153"/>
        <v>#REF!</v>
      </c>
      <c r="Y492" s="632" t="e">
        <f t="shared" si="152"/>
        <v>#REF!</v>
      </c>
      <c r="Z492" s="517" t="e">
        <f t="shared" si="154"/>
        <v>#REF!</v>
      </c>
      <c r="AA492" s="675"/>
      <c r="AB492" s="674"/>
      <c r="AC492" s="300"/>
      <c r="AD492" s="300"/>
      <c r="AE492" s="300"/>
      <c r="AF492" s="300"/>
    </row>
    <row r="493" spans="1:32" s="301" customFormat="1" ht="43.5" hidden="1" customHeight="1">
      <c r="A493" s="315"/>
      <c r="B493" s="1183" t="s">
        <v>1455</v>
      </c>
      <c r="C493" s="398">
        <f>Data!AD485</f>
        <v>2605.35</v>
      </c>
      <c r="D493" s="486" t="s">
        <v>1867</v>
      </c>
      <c r="E493" s="526"/>
      <c r="F493" s="1394">
        <f t="shared" si="141"/>
        <v>0</v>
      </c>
      <c r="G493" s="526"/>
      <c r="H493" s="517">
        <f t="shared" si="142"/>
        <v>0</v>
      </c>
      <c r="I493" s="526"/>
      <c r="J493" s="517">
        <f t="shared" si="143"/>
        <v>0</v>
      </c>
      <c r="K493" s="517"/>
      <c r="L493" s="517">
        <f t="shared" si="149"/>
        <v>0</v>
      </c>
      <c r="M493" s="517"/>
      <c r="N493" s="517">
        <f t="shared" si="150"/>
        <v>0</v>
      </c>
      <c r="O493" s="517"/>
      <c r="P493" s="517">
        <f t="shared" si="151"/>
        <v>0</v>
      </c>
      <c r="Q493" s="517"/>
      <c r="R493" s="517"/>
      <c r="S493" s="517"/>
      <c r="T493" s="517">
        <f t="shared" si="138"/>
        <v>0</v>
      </c>
      <c r="U493" s="526"/>
      <c r="V493" s="517">
        <f t="shared" si="139"/>
        <v>0</v>
      </c>
      <c r="W493" s="632" t="e">
        <f>U493+S493+O493+M493+#REF!+K493+I493+G493</f>
        <v>#REF!</v>
      </c>
      <c r="X493" s="517" t="e">
        <f t="shared" si="153"/>
        <v>#REF!</v>
      </c>
      <c r="Y493" s="632" t="e">
        <f t="shared" si="152"/>
        <v>#REF!</v>
      </c>
      <c r="Z493" s="517" t="e">
        <f t="shared" si="154"/>
        <v>#REF!</v>
      </c>
      <c r="AA493" s="675"/>
      <c r="AB493" s="674"/>
      <c r="AC493" s="300"/>
      <c r="AD493" s="300"/>
      <c r="AE493" s="300"/>
      <c r="AF493" s="300"/>
    </row>
    <row r="494" spans="1:32" s="301" customFormat="1" hidden="1">
      <c r="A494" s="315"/>
      <c r="B494" s="1184" t="s">
        <v>1344</v>
      </c>
      <c r="C494" s="398">
        <f>Data!AD486</f>
        <v>2613.39</v>
      </c>
      <c r="D494" s="443" t="s">
        <v>1867</v>
      </c>
      <c r="E494" s="526"/>
      <c r="F494" s="1394">
        <f t="shared" si="141"/>
        <v>0</v>
      </c>
      <c r="G494" s="526"/>
      <c r="H494" s="517">
        <f t="shared" si="142"/>
        <v>0</v>
      </c>
      <c r="I494" s="526"/>
      <c r="J494" s="517">
        <f t="shared" si="143"/>
        <v>0</v>
      </c>
      <c r="K494" s="517"/>
      <c r="L494" s="517">
        <f t="shared" si="149"/>
        <v>0</v>
      </c>
      <c r="M494" s="517"/>
      <c r="N494" s="517">
        <f t="shared" si="150"/>
        <v>0</v>
      </c>
      <c r="O494" s="517"/>
      <c r="P494" s="517">
        <f t="shared" si="151"/>
        <v>0</v>
      </c>
      <c r="Q494" s="517"/>
      <c r="R494" s="517"/>
      <c r="S494" s="517"/>
      <c r="T494" s="517">
        <f t="shared" si="138"/>
        <v>0</v>
      </c>
      <c r="U494" s="526"/>
      <c r="V494" s="517">
        <f t="shared" si="139"/>
        <v>0</v>
      </c>
      <c r="W494" s="632" t="e">
        <f>U494+S494+O494+M494+#REF!+K494+I494+G494</f>
        <v>#REF!</v>
      </c>
      <c r="X494" s="517" t="e">
        <f t="shared" si="153"/>
        <v>#REF!</v>
      </c>
      <c r="Y494" s="632" t="e">
        <f t="shared" si="152"/>
        <v>#REF!</v>
      </c>
      <c r="Z494" s="517" t="e">
        <f t="shared" si="154"/>
        <v>#REF!</v>
      </c>
      <c r="AA494" s="675"/>
      <c r="AB494" s="674"/>
      <c r="AC494" s="300"/>
      <c r="AD494" s="300"/>
      <c r="AE494" s="300"/>
      <c r="AF494" s="300"/>
    </row>
    <row r="495" spans="1:32" s="301" customFormat="1" hidden="1">
      <c r="A495" s="315"/>
      <c r="B495" s="1185" t="s">
        <v>1096</v>
      </c>
      <c r="C495" s="398">
        <f>Data!AD487</f>
        <v>2621.4299999999998</v>
      </c>
      <c r="D495" s="446" t="s">
        <v>1867</v>
      </c>
      <c r="E495" s="526"/>
      <c r="F495" s="1394">
        <f t="shared" si="141"/>
        <v>0</v>
      </c>
      <c r="G495" s="526"/>
      <c r="H495" s="517">
        <f t="shared" si="142"/>
        <v>0</v>
      </c>
      <c r="I495" s="526"/>
      <c r="J495" s="517">
        <f t="shared" si="143"/>
        <v>0</v>
      </c>
      <c r="K495" s="517"/>
      <c r="L495" s="517">
        <f t="shared" si="149"/>
        <v>0</v>
      </c>
      <c r="M495" s="517"/>
      <c r="N495" s="517">
        <f t="shared" si="150"/>
        <v>0</v>
      </c>
      <c r="O495" s="517"/>
      <c r="P495" s="517">
        <f t="shared" si="151"/>
        <v>0</v>
      </c>
      <c r="Q495" s="517"/>
      <c r="R495" s="517"/>
      <c r="S495" s="517"/>
      <c r="T495" s="517">
        <f t="shared" si="138"/>
        <v>0</v>
      </c>
      <c r="U495" s="526"/>
      <c r="V495" s="517">
        <f t="shared" si="139"/>
        <v>0</v>
      </c>
      <c r="W495" s="632" t="e">
        <f>U495+S495+O495+M495+#REF!+K495+I495+G495</f>
        <v>#REF!</v>
      </c>
      <c r="X495" s="517" t="e">
        <f t="shared" si="153"/>
        <v>#REF!</v>
      </c>
      <c r="Y495" s="632" t="e">
        <f t="shared" si="152"/>
        <v>#REF!</v>
      </c>
      <c r="Z495" s="517" t="e">
        <f t="shared" si="154"/>
        <v>#REF!</v>
      </c>
      <c r="AA495" s="675"/>
      <c r="AB495" s="674"/>
      <c r="AC495" s="300"/>
      <c r="AD495" s="300"/>
      <c r="AE495" s="300"/>
      <c r="AF495" s="300"/>
    </row>
    <row r="496" spans="1:32" s="480" customFormat="1" ht="67.5">
      <c r="A496" s="1666"/>
      <c r="B496" s="1172" t="s">
        <v>5312</v>
      </c>
      <c r="C496" s="1636"/>
      <c r="D496" s="1611"/>
      <c r="E496" s="1616"/>
      <c r="F496" s="1617">
        <f t="shared" si="141"/>
        <v>0</v>
      </c>
      <c r="G496" s="1616"/>
      <c r="H496" s="1618">
        <f t="shared" si="142"/>
        <v>0</v>
      </c>
      <c r="I496" s="1616"/>
      <c r="J496" s="1618">
        <f t="shared" si="143"/>
        <v>0</v>
      </c>
      <c r="K496" s="1618"/>
      <c r="L496" s="1618">
        <f t="shared" si="149"/>
        <v>0</v>
      </c>
      <c r="M496" s="1618"/>
      <c r="N496" s="1618">
        <f t="shared" si="150"/>
        <v>0</v>
      </c>
      <c r="O496" s="1618"/>
      <c r="P496" s="1618">
        <f t="shared" si="151"/>
        <v>0</v>
      </c>
      <c r="Q496" s="1618"/>
      <c r="R496" s="1618">
        <f t="shared" ref="R496:R514" si="155">Q496*C496</f>
        <v>0</v>
      </c>
      <c r="S496" s="1618"/>
      <c r="T496" s="1618">
        <f t="shared" si="138"/>
        <v>0</v>
      </c>
      <c r="U496" s="1616"/>
      <c r="V496" s="1618">
        <f t="shared" si="139"/>
        <v>0</v>
      </c>
      <c r="W496" s="1619" t="e">
        <f>U496+S496+O496+M496+#REF!+K496+I496+G496+Q496</f>
        <v>#REF!</v>
      </c>
      <c r="X496" s="1618" t="e">
        <f t="shared" si="153"/>
        <v>#REF!</v>
      </c>
      <c r="Y496" s="1619" t="e">
        <f t="shared" si="152"/>
        <v>#REF!</v>
      </c>
      <c r="Z496" s="1618" t="e">
        <f t="shared" si="154"/>
        <v>#REF!</v>
      </c>
      <c r="AA496" s="533"/>
      <c r="AB496" s="674"/>
      <c r="AC496" s="474"/>
      <c r="AD496" s="481"/>
      <c r="AE496" s="481"/>
      <c r="AF496" s="481"/>
    </row>
    <row r="497" spans="1:32" s="480" customFormat="1">
      <c r="A497" s="1635"/>
      <c r="B497" s="1172" t="s">
        <v>205</v>
      </c>
      <c r="C497" s="1636">
        <v>2568.84</v>
      </c>
      <c r="D497" s="1611" t="s">
        <v>1867</v>
      </c>
      <c r="E497" s="1616">
        <f>station!I517</f>
        <v>9.4</v>
      </c>
      <c r="F497" s="1617">
        <f t="shared" si="141"/>
        <v>24147.1</v>
      </c>
      <c r="G497" s="1616"/>
      <c r="H497" s="1618">
        <f t="shared" si="142"/>
        <v>0</v>
      </c>
      <c r="I497" s="1616"/>
      <c r="J497" s="1618">
        <f t="shared" si="143"/>
        <v>0</v>
      </c>
      <c r="K497" s="1618"/>
      <c r="L497" s="1618">
        <f t="shared" si="149"/>
        <v>0</v>
      </c>
      <c r="M497" s="1618"/>
      <c r="N497" s="1618">
        <f t="shared" si="150"/>
        <v>0</v>
      </c>
      <c r="O497" s="1618"/>
      <c r="P497" s="1618">
        <f t="shared" si="151"/>
        <v>0</v>
      </c>
      <c r="Q497" s="1618"/>
      <c r="R497" s="1618">
        <f t="shared" si="155"/>
        <v>0</v>
      </c>
      <c r="S497" s="1618"/>
      <c r="T497" s="1618">
        <f t="shared" si="138"/>
        <v>0</v>
      </c>
      <c r="U497" s="1616"/>
      <c r="V497" s="1618">
        <f t="shared" si="139"/>
        <v>0</v>
      </c>
      <c r="W497" s="1619" t="e">
        <f>U497+S497+O497+M497+#REF!+K497+I497+G497+Q497</f>
        <v>#REF!</v>
      </c>
      <c r="X497" s="1618" t="e">
        <f t="shared" si="153"/>
        <v>#REF!</v>
      </c>
      <c r="Y497" s="1619" t="e">
        <f t="shared" si="152"/>
        <v>#REF!</v>
      </c>
      <c r="Z497" s="1618" t="e">
        <f t="shared" si="154"/>
        <v>#REF!</v>
      </c>
      <c r="AA497" s="674"/>
      <c r="AB497" s="674"/>
      <c r="AC497" s="481"/>
      <c r="AD497" s="481"/>
      <c r="AE497" s="481"/>
      <c r="AF497" s="481"/>
    </row>
    <row r="498" spans="1:32" s="480" customFormat="1">
      <c r="A498" s="1635"/>
      <c r="B498" s="1172" t="s">
        <v>1406</v>
      </c>
      <c r="C498" s="1636">
        <v>2576.5</v>
      </c>
      <c r="D498" s="1611" t="s">
        <v>1867</v>
      </c>
      <c r="E498" s="1616">
        <f>station!I523</f>
        <v>9</v>
      </c>
      <c r="F498" s="1617">
        <f t="shared" si="141"/>
        <v>23188.5</v>
      </c>
      <c r="G498" s="1616"/>
      <c r="H498" s="1618">
        <f t="shared" si="142"/>
        <v>0</v>
      </c>
      <c r="I498" s="1616"/>
      <c r="J498" s="1618">
        <f t="shared" si="143"/>
        <v>0</v>
      </c>
      <c r="K498" s="1618"/>
      <c r="L498" s="1618">
        <f t="shared" si="149"/>
        <v>0</v>
      </c>
      <c r="M498" s="1618"/>
      <c r="N498" s="1618">
        <f t="shared" si="150"/>
        <v>0</v>
      </c>
      <c r="O498" s="1618"/>
      <c r="P498" s="1618">
        <f t="shared" si="151"/>
        <v>0</v>
      </c>
      <c r="Q498" s="1618"/>
      <c r="R498" s="1618">
        <f t="shared" si="155"/>
        <v>0</v>
      </c>
      <c r="S498" s="1618"/>
      <c r="T498" s="1618">
        <f t="shared" si="138"/>
        <v>0</v>
      </c>
      <c r="U498" s="1616"/>
      <c r="V498" s="1618">
        <f t="shared" si="139"/>
        <v>0</v>
      </c>
      <c r="W498" s="1619" t="e">
        <f>U498+S498+O498+M498+#REF!+K498+I498+G498+Q498</f>
        <v>#REF!</v>
      </c>
      <c r="X498" s="1618" t="e">
        <f t="shared" si="153"/>
        <v>#REF!</v>
      </c>
      <c r="Y498" s="1619" t="e">
        <f t="shared" si="152"/>
        <v>#REF!</v>
      </c>
      <c r="Z498" s="1618" t="e">
        <f t="shared" si="154"/>
        <v>#REF!</v>
      </c>
      <c r="AA498" s="674"/>
      <c r="AB498" s="674"/>
      <c r="AC498" s="481"/>
      <c r="AD498" s="481"/>
      <c r="AE498" s="481"/>
      <c r="AF498" s="481"/>
    </row>
    <row r="499" spans="1:32" s="480" customFormat="1">
      <c r="A499" s="1635"/>
      <c r="B499" s="1172" t="s">
        <v>1455</v>
      </c>
      <c r="C499" s="1636">
        <f>Data!X485</f>
        <v>2585.11</v>
      </c>
      <c r="D499" s="1611" t="s">
        <v>1867</v>
      </c>
      <c r="E499" s="1616"/>
      <c r="F499" s="1617">
        <f t="shared" si="141"/>
        <v>0</v>
      </c>
      <c r="G499" s="1616"/>
      <c r="H499" s="1618">
        <f t="shared" si="142"/>
        <v>0</v>
      </c>
      <c r="I499" s="1616"/>
      <c r="J499" s="1618">
        <f t="shared" si="143"/>
        <v>0</v>
      </c>
      <c r="K499" s="1618"/>
      <c r="L499" s="1618">
        <f t="shared" si="149"/>
        <v>0</v>
      </c>
      <c r="M499" s="1618"/>
      <c r="N499" s="1618">
        <f t="shared" si="150"/>
        <v>0</v>
      </c>
      <c r="O499" s="1618"/>
      <c r="P499" s="1618">
        <f t="shared" si="151"/>
        <v>0</v>
      </c>
      <c r="Q499" s="1618"/>
      <c r="R499" s="1618">
        <f t="shared" si="155"/>
        <v>0</v>
      </c>
      <c r="S499" s="1618"/>
      <c r="T499" s="1618">
        <f t="shared" si="138"/>
        <v>0</v>
      </c>
      <c r="U499" s="1616"/>
      <c r="V499" s="1618">
        <f t="shared" si="139"/>
        <v>0</v>
      </c>
      <c r="W499" s="1619" t="e">
        <f>U499+S499+O499+M499+#REF!+K499+I499+G499+Q499</f>
        <v>#REF!</v>
      </c>
      <c r="X499" s="1618" t="e">
        <f t="shared" si="153"/>
        <v>#REF!</v>
      </c>
      <c r="Y499" s="1619" t="e">
        <f t="shared" si="152"/>
        <v>#REF!</v>
      </c>
      <c r="Z499" s="1618" t="e">
        <f t="shared" si="154"/>
        <v>#REF!</v>
      </c>
      <c r="AA499" s="674"/>
      <c r="AB499" s="674"/>
      <c r="AC499" s="481"/>
      <c r="AD499" s="481"/>
      <c r="AE499" s="481"/>
      <c r="AF499" s="481"/>
    </row>
    <row r="500" spans="1:32" s="480" customFormat="1">
      <c r="A500" s="1635"/>
      <c r="B500" s="1172" t="s">
        <v>1344</v>
      </c>
      <c r="C500" s="1636">
        <f>Data!X486</f>
        <v>2593.15</v>
      </c>
      <c r="D500" s="1611" t="s">
        <v>1867</v>
      </c>
      <c r="E500" s="1616"/>
      <c r="F500" s="1617">
        <f t="shared" si="141"/>
        <v>0</v>
      </c>
      <c r="G500" s="1616"/>
      <c r="H500" s="1618">
        <f t="shared" si="142"/>
        <v>0</v>
      </c>
      <c r="I500" s="1616"/>
      <c r="J500" s="1618">
        <f t="shared" si="143"/>
        <v>0</v>
      </c>
      <c r="K500" s="1618"/>
      <c r="L500" s="1618">
        <f t="shared" si="149"/>
        <v>0</v>
      </c>
      <c r="M500" s="1618"/>
      <c r="N500" s="1618">
        <f t="shared" si="150"/>
        <v>0</v>
      </c>
      <c r="O500" s="1618"/>
      <c r="P500" s="1618">
        <f t="shared" si="151"/>
        <v>0</v>
      </c>
      <c r="Q500" s="1618"/>
      <c r="R500" s="1618">
        <f t="shared" si="155"/>
        <v>0</v>
      </c>
      <c r="S500" s="1618"/>
      <c r="T500" s="1618">
        <f t="shared" si="138"/>
        <v>0</v>
      </c>
      <c r="U500" s="1616"/>
      <c r="V500" s="1618">
        <f t="shared" si="139"/>
        <v>0</v>
      </c>
      <c r="W500" s="1619" t="e">
        <f>U500+S500+O500+M500+#REF!+K500+I500+G500+Q500</f>
        <v>#REF!</v>
      </c>
      <c r="X500" s="1618" t="e">
        <f t="shared" si="153"/>
        <v>#REF!</v>
      </c>
      <c r="Y500" s="1619" t="e">
        <f t="shared" si="152"/>
        <v>#REF!</v>
      </c>
      <c r="Z500" s="1618" t="e">
        <f t="shared" si="154"/>
        <v>#REF!</v>
      </c>
      <c r="AA500" s="674"/>
      <c r="AB500" s="674"/>
      <c r="AC500" s="481"/>
      <c r="AD500" s="481"/>
      <c r="AE500" s="481"/>
      <c r="AF500" s="481"/>
    </row>
    <row r="501" spans="1:32" s="480" customFormat="1">
      <c r="A501" s="1667"/>
      <c r="B501" s="1172" t="s">
        <v>1096</v>
      </c>
      <c r="C501" s="1636">
        <f>Data!X487</f>
        <v>2601.19</v>
      </c>
      <c r="D501" s="1611" t="s">
        <v>1867</v>
      </c>
      <c r="E501" s="1616"/>
      <c r="F501" s="1617">
        <f t="shared" si="141"/>
        <v>0</v>
      </c>
      <c r="G501" s="1616"/>
      <c r="H501" s="1618">
        <f t="shared" si="142"/>
        <v>0</v>
      </c>
      <c r="I501" s="1616"/>
      <c r="J501" s="1618">
        <f t="shared" si="143"/>
        <v>0</v>
      </c>
      <c r="K501" s="1618"/>
      <c r="L501" s="1618">
        <f t="shared" si="149"/>
        <v>0</v>
      </c>
      <c r="M501" s="1618"/>
      <c r="N501" s="1618">
        <f t="shared" si="150"/>
        <v>0</v>
      </c>
      <c r="O501" s="1618"/>
      <c r="P501" s="1618">
        <f t="shared" si="151"/>
        <v>0</v>
      </c>
      <c r="Q501" s="1618"/>
      <c r="R501" s="1618">
        <f t="shared" si="155"/>
        <v>0</v>
      </c>
      <c r="S501" s="1618"/>
      <c r="T501" s="1618">
        <f t="shared" si="138"/>
        <v>0</v>
      </c>
      <c r="U501" s="1616"/>
      <c r="V501" s="1618">
        <f t="shared" si="139"/>
        <v>0</v>
      </c>
      <c r="W501" s="1619" t="e">
        <f>U501+S501+O501+M501+#REF!+K501+I501+G501+Q501</f>
        <v>#REF!</v>
      </c>
      <c r="X501" s="1618" t="e">
        <f t="shared" si="153"/>
        <v>#REF!</v>
      </c>
      <c r="Y501" s="1619" t="e">
        <f t="shared" si="152"/>
        <v>#REF!</v>
      </c>
      <c r="Z501" s="1618" t="e">
        <f t="shared" si="154"/>
        <v>#REF!</v>
      </c>
      <c r="AA501" s="674"/>
      <c r="AB501" s="674"/>
      <c r="AC501" s="481"/>
      <c r="AD501" s="481"/>
      <c r="AE501" s="481"/>
      <c r="AF501" s="481"/>
    </row>
    <row r="502" spans="1:32" s="451" customFormat="1">
      <c r="A502" s="1668"/>
      <c r="B502" s="1186" t="s">
        <v>3821</v>
      </c>
      <c r="C502" s="1669">
        <f>Data!X488</f>
        <v>0</v>
      </c>
      <c r="D502" s="1648" t="s">
        <v>1867</v>
      </c>
      <c r="E502" s="1649"/>
      <c r="F502" s="1617">
        <f t="shared" si="141"/>
        <v>0</v>
      </c>
      <c r="G502" s="1649"/>
      <c r="H502" s="1618">
        <f t="shared" si="142"/>
        <v>0</v>
      </c>
      <c r="I502" s="1649"/>
      <c r="J502" s="1618">
        <f t="shared" si="143"/>
        <v>0</v>
      </c>
      <c r="K502" s="1650"/>
      <c r="L502" s="1618">
        <f t="shared" si="149"/>
        <v>0</v>
      </c>
      <c r="M502" s="1650"/>
      <c r="N502" s="1618">
        <f t="shared" si="150"/>
        <v>0</v>
      </c>
      <c r="O502" s="1650"/>
      <c r="P502" s="1618">
        <f t="shared" si="151"/>
        <v>0</v>
      </c>
      <c r="Q502" s="1650"/>
      <c r="R502" s="1618">
        <f t="shared" si="155"/>
        <v>0</v>
      </c>
      <c r="S502" s="1650"/>
      <c r="T502" s="1618">
        <f t="shared" si="138"/>
        <v>0</v>
      </c>
      <c r="U502" s="1649"/>
      <c r="V502" s="1618">
        <f t="shared" si="139"/>
        <v>0</v>
      </c>
      <c r="W502" s="1619" t="e">
        <f>U502+S502+O502+M502+#REF!+K502+I502+G502+Q502</f>
        <v>#REF!</v>
      </c>
      <c r="X502" s="1618" t="e">
        <f t="shared" si="153"/>
        <v>#REF!</v>
      </c>
      <c r="Y502" s="1619" t="e">
        <f t="shared" si="152"/>
        <v>#REF!</v>
      </c>
      <c r="Z502" s="1618" t="e">
        <f t="shared" si="154"/>
        <v>#REF!</v>
      </c>
      <c r="AA502" s="677"/>
      <c r="AB502" s="674"/>
      <c r="AC502" s="450"/>
      <c r="AD502" s="450"/>
      <c r="AE502" s="450"/>
      <c r="AF502" s="450"/>
    </row>
    <row r="503" spans="1:32" s="475" customFormat="1">
      <c r="A503" s="1670">
        <v>4.0999999999999996</v>
      </c>
      <c r="B503" s="1187" t="s">
        <v>4076</v>
      </c>
      <c r="C503" s="1636"/>
      <c r="D503" s="1611"/>
      <c r="E503" s="1616"/>
      <c r="F503" s="1617">
        <f t="shared" si="141"/>
        <v>0</v>
      </c>
      <c r="G503" s="1616"/>
      <c r="H503" s="1618">
        <f t="shared" si="142"/>
        <v>0</v>
      </c>
      <c r="I503" s="1616"/>
      <c r="J503" s="1618">
        <f t="shared" si="143"/>
        <v>0</v>
      </c>
      <c r="K503" s="1618"/>
      <c r="L503" s="1618">
        <f t="shared" si="149"/>
        <v>0</v>
      </c>
      <c r="M503" s="1618"/>
      <c r="N503" s="1618">
        <f t="shared" si="150"/>
        <v>0</v>
      </c>
      <c r="O503" s="1618"/>
      <c r="P503" s="1618">
        <f t="shared" si="151"/>
        <v>0</v>
      </c>
      <c r="Q503" s="1618"/>
      <c r="R503" s="1618">
        <f t="shared" si="155"/>
        <v>0</v>
      </c>
      <c r="S503" s="1618"/>
      <c r="T503" s="1618">
        <f t="shared" si="138"/>
        <v>0</v>
      </c>
      <c r="U503" s="1616"/>
      <c r="V503" s="1618">
        <f t="shared" si="139"/>
        <v>0</v>
      </c>
      <c r="W503" s="1619" t="e">
        <f>U503+S503+O503+M503+#REF!+K503+I503+G503+Q503</f>
        <v>#REF!</v>
      </c>
      <c r="X503" s="1618" t="e">
        <f t="shared" si="153"/>
        <v>#REF!</v>
      </c>
      <c r="Y503" s="1619" t="e">
        <f t="shared" si="152"/>
        <v>#REF!</v>
      </c>
      <c r="Z503" s="1618" t="e">
        <f t="shared" si="154"/>
        <v>#REF!</v>
      </c>
      <c r="AA503" s="533"/>
      <c r="AB503" s="674"/>
      <c r="AC503" s="474"/>
    </row>
    <row r="504" spans="1:32" s="475" customFormat="1">
      <c r="A504" s="1670"/>
      <c r="B504" s="1172" t="s">
        <v>548</v>
      </c>
      <c r="C504" s="1636">
        <f>Data!X715</f>
        <v>7263.8</v>
      </c>
      <c r="D504" s="1611" t="s">
        <v>2176</v>
      </c>
      <c r="E504" s="1616">
        <f>station!I149</f>
        <v>87.4</v>
      </c>
      <c r="F504" s="1617">
        <f t="shared" si="141"/>
        <v>634856.12</v>
      </c>
      <c r="G504" s="1616">
        <f>S.T!H60</f>
        <v>1.5</v>
      </c>
      <c r="H504" s="1618">
        <f t="shared" si="142"/>
        <v>10895.7</v>
      </c>
      <c r="I504" s="1616">
        <f>Sump!H21</f>
        <v>16.600000000000001</v>
      </c>
      <c r="J504" s="1618">
        <f t="shared" si="143"/>
        <v>120579.08</v>
      </c>
      <c r="K504" s="1618"/>
      <c r="L504" s="1618">
        <f t="shared" si="149"/>
        <v>0</v>
      </c>
      <c r="M504" s="1618"/>
      <c r="N504" s="1618">
        <f t="shared" si="150"/>
        <v>0</v>
      </c>
      <c r="O504" s="1618"/>
      <c r="P504" s="1618">
        <f t="shared" si="151"/>
        <v>0</v>
      </c>
      <c r="Q504" s="1618">
        <f>CUlvert!G13</f>
        <v>2.7</v>
      </c>
      <c r="R504" s="1618">
        <f t="shared" si="155"/>
        <v>19612.259999999998</v>
      </c>
      <c r="S504" s="1618"/>
      <c r="T504" s="1618">
        <f t="shared" si="138"/>
        <v>0</v>
      </c>
      <c r="U504" s="1616"/>
      <c r="V504" s="1618">
        <f t="shared" si="139"/>
        <v>0</v>
      </c>
      <c r="W504" s="1619" t="e">
        <f>U504+S504+O504+M504+#REF!+K504+I504+G504+Q504</f>
        <v>#REF!</v>
      </c>
      <c r="X504" s="1618" t="e">
        <f t="shared" si="153"/>
        <v>#REF!</v>
      </c>
      <c r="Y504" s="1619" t="e">
        <f t="shared" si="152"/>
        <v>#REF!</v>
      </c>
      <c r="Z504" s="1618" t="e">
        <f t="shared" si="154"/>
        <v>#REF!</v>
      </c>
      <c r="AA504" s="674"/>
      <c r="AB504" s="674"/>
    </row>
    <row r="505" spans="1:32" s="475" customFormat="1">
      <c r="A505" s="1670">
        <v>8.1</v>
      </c>
      <c r="B505" s="1172" t="s">
        <v>2155</v>
      </c>
      <c r="C505" s="1636">
        <v>7367.1</v>
      </c>
      <c r="D505" s="1611" t="s">
        <v>2176</v>
      </c>
      <c r="E505" s="1616">
        <f>station!I229</f>
        <v>67.2</v>
      </c>
      <c r="F505" s="1617">
        <f t="shared" si="141"/>
        <v>495069.12</v>
      </c>
      <c r="G505" s="1616"/>
      <c r="H505" s="1618">
        <f t="shared" si="142"/>
        <v>0</v>
      </c>
      <c r="I505" s="1616"/>
      <c r="J505" s="1618">
        <f t="shared" si="143"/>
        <v>0</v>
      </c>
      <c r="K505" s="1618"/>
      <c r="L505" s="1618">
        <f t="shared" si="149"/>
        <v>0</v>
      </c>
      <c r="M505" s="1618"/>
      <c r="N505" s="1618">
        <f t="shared" si="150"/>
        <v>0</v>
      </c>
      <c r="O505" s="1618"/>
      <c r="P505" s="1618">
        <f t="shared" si="151"/>
        <v>0</v>
      </c>
      <c r="Q505" s="1618"/>
      <c r="R505" s="1618">
        <f t="shared" si="155"/>
        <v>0</v>
      </c>
      <c r="S505" s="1618"/>
      <c r="T505" s="1618">
        <f t="shared" si="138"/>
        <v>0</v>
      </c>
      <c r="U505" s="1616"/>
      <c r="V505" s="1618">
        <f t="shared" si="139"/>
        <v>0</v>
      </c>
      <c r="W505" s="1619" t="e">
        <f>U505+S505+O505+M505+#REF!+K505+I505+G505+Q505</f>
        <v>#REF!</v>
      </c>
      <c r="X505" s="1618" t="e">
        <f t="shared" si="153"/>
        <v>#REF!</v>
      </c>
      <c r="Y505" s="1619" t="e">
        <f t="shared" si="152"/>
        <v>#REF!</v>
      </c>
      <c r="Z505" s="1618" t="e">
        <f t="shared" si="154"/>
        <v>#REF!</v>
      </c>
      <c r="AA505" s="674"/>
      <c r="AB505" s="674"/>
    </row>
    <row r="506" spans="1:32" s="475" customFormat="1">
      <c r="A506" s="1670"/>
      <c r="B506" s="1172" t="s">
        <v>551</v>
      </c>
      <c r="C506" s="1636">
        <v>7570.6</v>
      </c>
      <c r="D506" s="1611" t="s">
        <v>2176</v>
      </c>
      <c r="E506" s="1616">
        <f>station!I296</f>
        <v>113.6</v>
      </c>
      <c r="F506" s="1617">
        <f t="shared" si="141"/>
        <v>860020.16</v>
      </c>
      <c r="G506" s="1616"/>
      <c r="H506" s="1618">
        <f t="shared" si="142"/>
        <v>0</v>
      </c>
      <c r="I506" s="1616"/>
      <c r="J506" s="1618">
        <f t="shared" si="143"/>
        <v>0</v>
      </c>
      <c r="K506" s="1618"/>
      <c r="L506" s="1618">
        <f t="shared" si="149"/>
        <v>0</v>
      </c>
      <c r="M506" s="1618"/>
      <c r="N506" s="1618">
        <f t="shared" si="150"/>
        <v>0</v>
      </c>
      <c r="O506" s="1618"/>
      <c r="P506" s="1618">
        <f t="shared" si="151"/>
        <v>0</v>
      </c>
      <c r="Q506" s="1618"/>
      <c r="R506" s="1618">
        <f t="shared" si="155"/>
        <v>0</v>
      </c>
      <c r="S506" s="1618"/>
      <c r="T506" s="1618">
        <f t="shared" si="138"/>
        <v>0</v>
      </c>
      <c r="U506" s="1616"/>
      <c r="V506" s="1618">
        <f t="shared" si="139"/>
        <v>0</v>
      </c>
      <c r="W506" s="1619" t="e">
        <f>U506+S506+O506+M506+#REF!+K506+I506+G506+Q506</f>
        <v>#REF!</v>
      </c>
      <c r="X506" s="1618" t="e">
        <f t="shared" si="153"/>
        <v>#REF!</v>
      </c>
      <c r="Y506" s="1619" t="e">
        <f t="shared" si="152"/>
        <v>#REF!</v>
      </c>
      <c r="Z506" s="1618" t="e">
        <f t="shared" si="154"/>
        <v>#REF!</v>
      </c>
      <c r="AA506" s="674"/>
      <c r="AB506" s="674"/>
    </row>
    <row r="507" spans="1:32" s="475" customFormat="1">
      <c r="A507" s="1670"/>
      <c r="B507" s="1172" t="s">
        <v>1831</v>
      </c>
      <c r="C507" s="1636">
        <v>7774.1</v>
      </c>
      <c r="D507" s="1611" t="s">
        <v>2176</v>
      </c>
      <c r="E507" s="1616">
        <f>station!I306</f>
        <v>8</v>
      </c>
      <c r="F507" s="1617">
        <f t="shared" si="141"/>
        <v>62192.800000000003</v>
      </c>
      <c r="G507" s="1616"/>
      <c r="H507" s="1618">
        <f t="shared" si="142"/>
        <v>0</v>
      </c>
      <c r="I507" s="1616"/>
      <c r="J507" s="1618">
        <f t="shared" si="143"/>
        <v>0</v>
      </c>
      <c r="K507" s="1618"/>
      <c r="L507" s="1618">
        <f t="shared" si="149"/>
        <v>0</v>
      </c>
      <c r="M507" s="1618"/>
      <c r="N507" s="1618">
        <f t="shared" si="150"/>
        <v>0</v>
      </c>
      <c r="O507" s="1618"/>
      <c r="P507" s="1618">
        <f t="shared" si="151"/>
        <v>0</v>
      </c>
      <c r="Q507" s="1618"/>
      <c r="R507" s="1618">
        <f t="shared" si="155"/>
        <v>0</v>
      </c>
      <c r="S507" s="1618"/>
      <c r="T507" s="1618">
        <f t="shared" si="138"/>
        <v>0</v>
      </c>
      <c r="U507" s="1616"/>
      <c r="V507" s="1618">
        <f t="shared" si="139"/>
        <v>0</v>
      </c>
      <c r="W507" s="1619" t="e">
        <f>U507+S507+O507+M507+#REF!+K507+I507+G507+Q507</f>
        <v>#REF!</v>
      </c>
      <c r="X507" s="1618" t="e">
        <f t="shared" si="153"/>
        <v>#REF!</v>
      </c>
      <c r="Y507" s="1619" t="e">
        <f t="shared" si="152"/>
        <v>#REF!</v>
      </c>
      <c r="Z507" s="1618" t="e">
        <f t="shared" si="154"/>
        <v>#REF!</v>
      </c>
      <c r="AA507" s="674"/>
      <c r="AB507" s="674"/>
    </row>
    <row r="508" spans="1:32" s="475" customFormat="1">
      <c r="A508" s="1670"/>
      <c r="B508" s="1172" t="s">
        <v>687</v>
      </c>
      <c r="C508" s="1636">
        <f>Data!X720</f>
        <v>8013.31</v>
      </c>
      <c r="D508" s="1611" t="s">
        <v>2176</v>
      </c>
      <c r="E508" s="1616"/>
      <c r="F508" s="1617">
        <f t="shared" si="141"/>
        <v>0</v>
      </c>
      <c r="G508" s="1616"/>
      <c r="H508" s="1618">
        <f t="shared" si="142"/>
        <v>0</v>
      </c>
      <c r="I508" s="1616"/>
      <c r="J508" s="1618">
        <f t="shared" si="143"/>
        <v>0</v>
      </c>
      <c r="K508" s="1618"/>
      <c r="L508" s="1618">
        <f t="shared" si="149"/>
        <v>0</v>
      </c>
      <c r="M508" s="1618"/>
      <c r="N508" s="1618">
        <f t="shared" si="150"/>
        <v>0</v>
      </c>
      <c r="O508" s="1618"/>
      <c r="P508" s="1618">
        <f t="shared" si="151"/>
        <v>0</v>
      </c>
      <c r="Q508" s="1618"/>
      <c r="R508" s="1618">
        <f t="shared" si="155"/>
        <v>0</v>
      </c>
      <c r="S508" s="1618"/>
      <c r="T508" s="1618">
        <f t="shared" si="138"/>
        <v>0</v>
      </c>
      <c r="U508" s="1616"/>
      <c r="V508" s="1618">
        <f t="shared" si="139"/>
        <v>0</v>
      </c>
      <c r="W508" s="1619" t="e">
        <f>U508+S508+O508+M508+#REF!+K508+I508+G508+Q508</f>
        <v>#REF!</v>
      </c>
      <c r="X508" s="1618" t="e">
        <f t="shared" si="153"/>
        <v>#REF!</v>
      </c>
      <c r="Y508" s="1619" t="e">
        <f t="shared" si="152"/>
        <v>#REF!</v>
      </c>
      <c r="Z508" s="1618" t="e">
        <f t="shared" si="154"/>
        <v>#REF!</v>
      </c>
      <c r="AA508" s="674"/>
      <c r="AB508" s="674"/>
    </row>
    <row r="509" spans="1:32" s="475" customFormat="1">
      <c r="A509" s="1671"/>
      <c r="B509" s="1173" t="s">
        <v>4093</v>
      </c>
      <c r="C509" s="1639">
        <f>Data!X721</f>
        <v>8226.99</v>
      </c>
      <c r="D509" s="1611" t="s">
        <v>2176</v>
      </c>
      <c r="E509" s="1616"/>
      <c r="F509" s="1617">
        <f t="shared" si="141"/>
        <v>0</v>
      </c>
      <c r="G509" s="1616"/>
      <c r="H509" s="1618">
        <f t="shared" si="142"/>
        <v>0</v>
      </c>
      <c r="I509" s="1616"/>
      <c r="J509" s="1618">
        <f t="shared" si="143"/>
        <v>0</v>
      </c>
      <c r="K509" s="1618"/>
      <c r="L509" s="1618">
        <f t="shared" si="149"/>
        <v>0</v>
      </c>
      <c r="M509" s="1618"/>
      <c r="N509" s="1618">
        <f t="shared" si="150"/>
        <v>0</v>
      </c>
      <c r="O509" s="1618"/>
      <c r="P509" s="1618">
        <f t="shared" si="151"/>
        <v>0</v>
      </c>
      <c r="Q509" s="1618"/>
      <c r="R509" s="1618">
        <f t="shared" si="155"/>
        <v>0</v>
      </c>
      <c r="S509" s="1618"/>
      <c r="T509" s="1618">
        <f t="shared" si="138"/>
        <v>0</v>
      </c>
      <c r="U509" s="1616"/>
      <c r="V509" s="1618">
        <f t="shared" si="139"/>
        <v>0</v>
      </c>
      <c r="W509" s="1619" t="e">
        <f>U509+S509+O509+M509+#REF!+K509+I509+G509+Q509</f>
        <v>#REF!</v>
      </c>
      <c r="X509" s="1618" t="e">
        <f t="shared" si="153"/>
        <v>#REF!</v>
      </c>
      <c r="Y509" s="1619" t="e">
        <f t="shared" si="152"/>
        <v>#REF!</v>
      </c>
      <c r="Z509" s="1618" t="e">
        <f t="shared" si="154"/>
        <v>#REF!</v>
      </c>
      <c r="AA509" s="674"/>
      <c r="AB509" s="674"/>
    </row>
    <row r="510" spans="1:32" s="301" customFormat="1">
      <c r="A510" s="1658"/>
      <c r="B510" s="1166" t="s">
        <v>3847</v>
      </c>
      <c r="C510" s="1630">
        <f>Data!K3512</f>
        <v>3202.91</v>
      </c>
      <c r="D510" s="1631" t="s">
        <v>2176</v>
      </c>
      <c r="E510" s="1616"/>
      <c r="F510" s="1617">
        <f t="shared" ref="F510:F514" si="156">E510*C510</f>
        <v>0</v>
      </c>
      <c r="G510" s="1616"/>
      <c r="H510" s="1618">
        <f t="shared" ref="H510:H512" si="157">G510*C510</f>
        <v>0</v>
      </c>
      <c r="I510" s="1616"/>
      <c r="J510" s="1618">
        <f t="shared" ref="J510:J512" si="158">I510*C510</f>
        <v>0</v>
      </c>
      <c r="K510" s="1618"/>
      <c r="L510" s="1618">
        <f t="shared" ref="L510:L512" si="159">K510*C510</f>
        <v>0</v>
      </c>
      <c r="M510" s="1618"/>
      <c r="N510" s="1618">
        <f t="shared" si="150"/>
        <v>0</v>
      </c>
      <c r="O510" s="1618"/>
      <c r="P510" s="1618">
        <f t="shared" si="151"/>
        <v>0</v>
      </c>
      <c r="Q510" s="1618"/>
      <c r="R510" s="1618">
        <f t="shared" si="155"/>
        <v>0</v>
      </c>
      <c r="S510" s="1618"/>
      <c r="T510" s="1618">
        <f t="shared" si="138"/>
        <v>0</v>
      </c>
      <c r="U510" s="1616"/>
      <c r="V510" s="1618">
        <f t="shared" si="139"/>
        <v>0</v>
      </c>
      <c r="W510" s="1619" t="e">
        <f>U510+S510+O510+M510+#REF!+K510+I510+G510+Q510</f>
        <v>#REF!</v>
      </c>
      <c r="X510" s="1618" t="e">
        <f t="shared" si="153"/>
        <v>#REF!</v>
      </c>
      <c r="Y510" s="1619" t="e">
        <f t="shared" si="152"/>
        <v>#REF!</v>
      </c>
      <c r="Z510" s="1618" t="e">
        <f t="shared" si="154"/>
        <v>#REF!</v>
      </c>
      <c r="AA510" s="675"/>
      <c r="AB510" s="674"/>
    </row>
    <row r="511" spans="1:32" s="301" customFormat="1" ht="51.75" customHeight="1">
      <c r="A511" s="1658"/>
      <c r="B511" s="1188" t="s">
        <v>4516</v>
      </c>
      <c r="C511" s="1630">
        <f>Data!R151</f>
        <v>326.2</v>
      </c>
      <c r="D511" s="1631" t="s">
        <v>1215</v>
      </c>
      <c r="E511" s="1616"/>
      <c r="F511" s="1617">
        <f t="shared" si="156"/>
        <v>0</v>
      </c>
      <c r="G511" s="1618"/>
      <c r="H511" s="1618">
        <f t="shared" si="157"/>
        <v>0</v>
      </c>
      <c r="I511" s="1618"/>
      <c r="J511" s="1618">
        <f t="shared" si="158"/>
        <v>0</v>
      </c>
      <c r="K511" s="1618"/>
      <c r="L511" s="1618">
        <f t="shared" si="159"/>
        <v>0</v>
      </c>
      <c r="M511" s="1618"/>
      <c r="N511" s="1618">
        <f t="shared" si="150"/>
        <v>0</v>
      </c>
      <c r="O511" s="1618"/>
      <c r="P511" s="1618">
        <f t="shared" si="151"/>
        <v>0</v>
      </c>
      <c r="Q511" s="1618"/>
      <c r="R511" s="1618">
        <f t="shared" si="155"/>
        <v>0</v>
      </c>
      <c r="S511" s="1618"/>
      <c r="T511" s="1618">
        <f t="shared" si="138"/>
        <v>0</v>
      </c>
      <c r="U511" s="1618"/>
      <c r="V511" s="1618">
        <f t="shared" si="139"/>
        <v>0</v>
      </c>
      <c r="W511" s="1619" t="e">
        <f>U511+S511+O511+M511+#REF!+K511+I511+G511+Q511</f>
        <v>#REF!</v>
      </c>
      <c r="X511" s="1618" t="e">
        <f t="shared" si="153"/>
        <v>#REF!</v>
      </c>
      <c r="Y511" s="1619" t="e">
        <f t="shared" si="152"/>
        <v>#REF!</v>
      </c>
      <c r="Z511" s="1618" t="e">
        <f t="shared" si="154"/>
        <v>#REF!</v>
      </c>
      <c r="AA511" s="675"/>
      <c r="AB511" s="673"/>
    </row>
    <row r="512" spans="1:32">
      <c r="A512" s="1625"/>
      <c r="B512" s="1166" t="s">
        <v>3742</v>
      </c>
      <c r="C512" s="1612">
        <v>245.09</v>
      </c>
      <c r="D512" s="1610" t="s">
        <v>2308</v>
      </c>
      <c r="E512" s="1616"/>
      <c r="F512" s="1617">
        <f t="shared" si="156"/>
        <v>0</v>
      </c>
      <c r="G512" s="1618"/>
      <c r="H512" s="1618">
        <f t="shared" si="157"/>
        <v>0</v>
      </c>
      <c r="I512" s="1618">
        <f>Sump!H35</f>
        <v>35.1</v>
      </c>
      <c r="J512" s="1618">
        <f t="shared" si="158"/>
        <v>8602.66</v>
      </c>
      <c r="K512" s="1618"/>
      <c r="L512" s="1618">
        <f t="shared" si="159"/>
        <v>0</v>
      </c>
      <c r="M512" s="1618"/>
      <c r="N512" s="1618">
        <f t="shared" si="150"/>
        <v>0</v>
      </c>
      <c r="O512" s="1618"/>
      <c r="P512" s="1618">
        <f t="shared" si="151"/>
        <v>0</v>
      </c>
      <c r="Q512" s="1618"/>
      <c r="R512" s="1618">
        <f t="shared" si="155"/>
        <v>0</v>
      </c>
      <c r="S512" s="1618"/>
      <c r="T512" s="1618">
        <f t="shared" si="138"/>
        <v>0</v>
      </c>
      <c r="U512" s="1618"/>
      <c r="V512" s="1618">
        <f t="shared" si="139"/>
        <v>0</v>
      </c>
      <c r="W512" s="1619" t="e">
        <f>U512+S512+O512+M512+#REF!+K512+I512+G512+Q512</f>
        <v>#REF!</v>
      </c>
      <c r="X512" s="1618" t="e">
        <f t="shared" si="153"/>
        <v>#REF!</v>
      </c>
      <c r="Y512" s="1619" t="e">
        <f t="shared" si="152"/>
        <v>#REF!</v>
      </c>
      <c r="Z512" s="1618" t="e">
        <f t="shared" si="154"/>
        <v>#REF!</v>
      </c>
      <c r="AA512" s="673"/>
      <c r="AB512" s="673"/>
    </row>
    <row r="513" spans="1:29" s="633" customFormat="1">
      <c r="A513" s="1607"/>
      <c r="B513" s="1166" t="s">
        <v>3740</v>
      </c>
      <c r="C513" s="1166">
        <f>Data!R141</f>
        <v>408.8</v>
      </c>
      <c r="D513" s="1166" t="s">
        <v>2176</v>
      </c>
      <c r="E513" s="1618"/>
      <c r="F513" s="1626">
        <f t="shared" si="156"/>
        <v>0</v>
      </c>
      <c r="G513" s="1618"/>
      <c r="H513" s="1618">
        <f t="shared" ref="H513" si="160">G513*C513</f>
        <v>0</v>
      </c>
      <c r="I513" s="1618"/>
      <c r="J513" s="1618">
        <f t="shared" ref="J513" si="161">I513*C513</f>
        <v>0</v>
      </c>
      <c r="K513" s="1618"/>
      <c r="L513" s="1618"/>
      <c r="M513" s="1618"/>
      <c r="N513" s="1618"/>
      <c r="O513" s="1618"/>
      <c r="P513" s="1618"/>
      <c r="Q513" s="1618"/>
      <c r="R513" s="1618">
        <f t="shared" si="155"/>
        <v>0</v>
      </c>
      <c r="S513" s="1618"/>
      <c r="T513" s="1618">
        <f t="shared" si="138"/>
        <v>0</v>
      </c>
      <c r="U513" s="1618"/>
      <c r="V513" s="1618">
        <f t="shared" si="139"/>
        <v>0</v>
      </c>
      <c r="W513" s="1619" t="e">
        <f>U513+S513+O513+M513+#REF!+K513+I513+G513+Q513</f>
        <v>#REF!</v>
      </c>
      <c r="X513" s="1618" t="e">
        <f t="shared" si="153"/>
        <v>#REF!</v>
      </c>
      <c r="Y513" s="1619" t="e">
        <f t="shared" si="152"/>
        <v>#REF!</v>
      </c>
      <c r="Z513" s="1618" t="e">
        <f t="shared" si="154"/>
        <v>#REF!</v>
      </c>
      <c r="AA513" s="673"/>
      <c r="AB513" s="673"/>
    </row>
    <row r="514" spans="1:29" s="301" customFormat="1">
      <c r="A514" s="1672">
        <v>3.3</v>
      </c>
      <c r="B514" s="1189" t="s">
        <v>6443</v>
      </c>
      <c r="C514" s="1189">
        <f>Data!R201</f>
        <v>5313.38</v>
      </c>
      <c r="D514" s="1673" t="s">
        <v>2176</v>
      </c>
      <c r="E514" s="1616"/>
      <c r="F514" s="1617">
        <f t="shared" si="156"/>
        <v>0</v>
      </c>
      <c r="G514" s="1616"/>
      <c r="H514" s="1618">
        <f>G514*C514</f>
        <v>0</v>
      </c>
      <c r="I514" s="1616"/>
      <c r="J514" s="1618">
        <f>I514*C514</f>
        <v>0</v>
      </c>
      <c r="K514" s="1618"/>
      <c r="L514" s="1618">
        <f>K514*C514</f>
        <v>0</v>
      </c>
      <c r="M514" s="1618"/>
      <c r="N514" s="1618">
        <f>M514*C514</f>
        <v>0</v>
      </c>
      <c r="O514" s="1618"/>
      <c r="P514" s="1618">
        <f>O514*C514</f>
        <v>0</v>
      </c>
      <c r="Q514" s="1618">
        <f>CUlvert!G19</f>
        <v>9.4</v>
      </c>
      <c r="R514" s="1618">
        <f t="shared" si="155"/>
        <v>49945.77</v>
      </c>
      <c r="S514" s="1618"/>
      <c r="T514" s="1618">
        <f t="shared" si="138"/>
        <v>0</v>
      </c>
      <c r="U514" s="1616"/>
      <c r="V514" s="1618">
        <f t="shared" si="139"/>
        <v>0</v>
      </c>
      <c r="W514" s="1619" t="e">
        <f>U514+S514+O514+M514+#REF!+K514+I514+G514+Q514</f>
        <v>#REF!</v>
      </c>
      <c r="X514" s="1618" t="e">
        <f t="shared" si="153"/>
        <v>#REF!</v>
      </c>
      <c r="Y514" s="1619" t="e">
        <f t="shared" si="152"/>
        <v>#REF!</v>
      </c>
      <c r="Z514" s="1618" t="e">
        <f t="shared" si="154"/>
        <v>#REF!</v>
      </c>
      <c r="AA514" s="675"/>
      <c r="AB514" s="674"/>
    </row>
    <row r="515" spans="1:29" s="301" customFormat="1" ht="54" hidden="1" customHeight="1">
      <c r="A515" s="655"/>
      <c r="B515" s="656" t="s">
        <v>3574</v>
      </c>
      <c r="C515" s="657">
        <f>Data!X201</f>
        <v>4950.68</v>
      </c>
      <c r="D515" s="658" t="s">
        <v>2176</v>
      </c>
      <c r="E515" s="651"/>
      <c r="F515" s="630">
        <f t="shared" ref="F515:F581" si="162">E515*C515</f>
        <v>0</v>
      </c>
      <c r="G515" s="651"/>
      <c r="H515" s="517">
        <f t="shared" ref="H515:H578" si="163">G515*C515</f>
        <v>0</v>
      </c>
      <c r="I515" s="651"/>
      <c r="J515" s="517">
        <f t="shared" ref="J515:J578" si="164">I515*C515</f>
        <v>0</v>
      </c>
      <c r="K515" s="654"/>
      <c r="L515" s="654"/>
      <c r="M515" s="654"/>
      <c r="N515" s="654"/>
      <c r="O515" s="654"/>
      <c r="P515" s="654"/>
      <c r="Q515" s="654"/>
      <c r="R515" s="654"/>
      <c r="S515" s="654"/>
      <c r="T515" s="517">
        <f t="shared" si="138"/>
        <v>0</v>
      </c>
      <c r="U515" s="651"/>
      <c r="V515" s="517">
        <f t="shared" si="139"/>
        <v>0</v>
      </c>
      <c r="W515" s="632">
        <f>I515+S515+U515</f>
        <v>0</v>
      </c>
      <c r="X515" s="517">
        <f t="shared" si="153"/>
        <v>0</v>
      </c>
      <c r="Y515" s="632">
        <f>W515+E515+G515</f>
        <v>0</v>
      </c>
      <c r="Z515" s="517">
        <f t="shared" si="154"/>
        <v>0</v>
      </c>
      <c r="AA515" s="675"/>
      <c r="AB515" s="674"/>
    </row>
    <row r="516" spans="1:29" ht="54.75" customHeight="1">
      <c r="A516" s="1608">
        <v>18.100000000000001</v>
      </c>
      <c r="B516" s="1169" t="s">
        <v>199</v>
      </c>
      <c r="C516" s="1612"/>
      <c r="D516" s="1610"/>
      <c r="E516" s="1623"/>
      <c r="F516" s="1617">
        <f t="shared" si="162"/>
        <v>0</v>
      </c>
      <c r="G516" s="1618"/>
      <c r="H516" s="1618">
        <f t="shared" si="163"/>
        <v>0</v>
      </c>
      <c r="I516" s="1618"/>
      <c r="J516" s="1618">
        <f t="shared" si="164"/>
        <v>0</v>
      </c>
      <c r="K516" s="1618"/>
      <c r="L516" s="1618">
        <f t="shared" ref="L516:L520" si="165">K516*C516</f>
        <v>0</v>
      </c>
      <c r="M516" s="1618"/>
      <c r="N516" s="1618">
        <f>M516*C516</f>
        <v>0</v>
      </c>
      <c r="O516" s="1618"/>
      <c r="P516" s="1618">
        <f>O516*C516</f>
        <v>0</v>
      </c>
      <c r="Q516" s="1618"/>
      <c r="R516" s="1618">
        <f>Q516*C516</f>
        <v>0</v>
      </c>
      <c r="S516" s="1618"/>
      <c r="T516" s="1618">
        <f t="shared" si="138"/>
        <v>0</v>
      </c>
      <c r="U516" s="1618"/>
      <c r="V516" s="1618">
        <f t="shared" si="139"/>
        <v>0</v>
      </c>
      <c r="W516" s="1619" t="e">
        <f>U516+S516+O516+M516+#REF!+K516+I516+G516+Q516</f>
        <v>#REF!</v>
      </c>
      <c r="X516" s="1618" t="e">
        <f t="shared" si="153"/>
        <v>#REF!</v>
      </c>
      <c r="Y516" s="1619" t="e">
        <f>W516+E516</f>
        <v>#REF!</v>
      </c>
      <c r="Z516" s="1618" t="e">
        <f t="shared" si="154"/>
        <v>#REF!</v>
      </c>
      <c r="AA516" s="530"/>
      <c r="AB516" s="673"/>
      <c r="AC516" s="627"/>
    </row>
    <row r="517" spans="1:29" ht="63" customHeight="1">
      <c r="A517" s="1608"/>
      <c r="B517" s="1166" t="s">
        <v>1852</v>
      </c>
      <c r="C517" s="1612">
        <f>ROUND(Data!I2351,2)</f>
        <v>739.38</v>
      </c>
      <c r="D517" s="1610" t="s">
        <v>2308</v>
      </c>
      <c r="E517" s="1616">
        <f>station!I1125</f>
        <v>345.8</v>
      </c>
      <c r="F517" s="1617">
        <f t="shared" si="162"/>
        <v>255677.6</v>
      </c>
      <c r="G517" s="1618">
        <f>S.T!H69</f>
        <v>11.7</v>
      </c>
      <c r="H517" s="1618">
        <f t="shared" si="163"/>
        <v>8650.75</v>
      </c>
      <c r="I517" s="1618"/>
      <c r="J517" s="1618">
        <f t="shared" si="164"/>
        <v>0</v>
      </c>
      <c r="K517" s="1618"/>
      <c r="L517" s="1618">
        <f t="shared" si="165"/>
        <v>0</v>
      </c>
      <c r="M517" s="1618"/>
      <c r="N517" s="1618">
        <f>M517*C517</f>
        <v>0</v>
      </c>
      <c r="O517" s="1618"/>
      <c r="P517" s="1618">
        <f>O517*C517</f>
        <v>0</v>
      </c>
      <c r="Q517" s="1618">
        <f>CUlvert!G27</f>
        <v>4.4000000000000004</v>
      </c>
      <c r="R517" s="1618">
        <f>Q517*C517</f>
        <v>3253.27</v>
      </c>
      <c r="S517" s="1618"/>
      <c r="T517" s="1618">
        <f t="shared" si="138"/>
        <v>0</v>
      </c>
      <c r="U517" s="1618"/>
      <c r="V517" s="1618">
        <f t="shared" si="139"/>
        <v>0</v>
      </c>
      <c r="W517" s="1619" t="e">
        <f>U517+S517+O517+M517+#REF!+K517+I517+G517+Q517</f>
        <v>#REF!</v>
      </c>
      <c r="X517" s="1618" t="e">
        <f t="shared" si="153"/>
        <v>#REF!</v>
      </c>
      <c r="Y517" s="1619" t="e">
        <f>W517+E517</f>
        <v>#REF!</v>
      </c>
      <c r="Z517" s="1618" t="e">
        <f t="shared" si="154"/>
        <v>#REF!</v>
      </c>
      <c r="AA517" s="673"/>
      <c r="AB517" s="673"/>
    </row>
    <row r="518" spans="1:29" ht="93.75" customHeight="1">
      <c r="A518" s="1608"/>
      <c r="B518" s="1166" t="s">
        <v>1093</v>
      </c>
      <c r="C518" s="1612">
        <f>ROUND(Data!I2353,2)</f>
        <v>831.23</v>
      </c>
      <c r="D518" s="1610" t="s">
        <v>2308</v>
      </c>
      <c r="E518" s="1616">
        <f>station!I1224</f>
        <v>1300.5999999999999</v>
      </c>
      <c r="F518" s="1617">
        <f t="shared" si="162"/>
        <v>1081097.74</v>
      </c>
      <c r="G518" s="1618"/>
      <c r="H518" s="1618">
        <f t="shared" si="163"/>
        <v>0</v>
      </c>
      <c r="I518" s="1618"/>
      <c r="J518" s="1618">
        <f t="shared" si="164"/>
        <v>0</v>
      </c>
      <c r="K518" s="1618"/>
      <c r="L518" s="1618">
        <f t="shared" si="165"/>
        <v>0</v>
      </c>
      <c r="M518" s="1618"/>
      <c r="N518" s="1618">
        <f>M518*C518</f>
        <v>0</v>
      </c>
      <c r="O518" s="1618"/>
      <c r="P518" s="1618">
        <f>O518*C518</f>
        <v>0</v>
      </c>
      <c r="Q518" s="1618">
        <f>CUlvert!G30</f>
        <v>6.5</v>
      </c>
      <c r="R518" s="1618">
        <f>Q518*C518</f>
        <v>5403</v>
      </c>
      <c r="S518" s="1618"/>
      <c r="T518" s="1618">
        <f t="shared" si="138"/>
        <v>0</v>
      </c>
      <c r="U518" s="1618"/>
      <c r="V518" s="1618">
        <f t="shared" si="139"/>
        <v>0</v>
      </c>
      <c r="W518" s="1619" t="e">
        <f>U518+S518+O518+M518+#REF!+K518+I518+G518+Q518</f>
        <v>#REF!</v>
      </c>
      <c r="X518" s="1618" t="e">
        <f t="shared" si="153"/>
        <v>#REF!</v>
      </c>
      <c r="Y518" s="1619" t="e">
        <f>W518+E518</f>
        <v>#REF!</v>
      </c>
      <c r="Z518" s="1618" t="e">
        <f t="shared" si="154"/>
        <v>#REF!</v>
      </c>
      <c r="AA518" s="673"/>
      <c r="AB518" s="673"/>
    </row>
    <row r="519" spans="1:29" ht="63" customHeight="1">
      <c r="A519" s="1166"/>
      <c r="B519" s="1166" t="s">
        <v>1680</v>
      </c>
      <c r="C519" s="1612">
        <f>ROUND(Data!I2355,2)</f>
        <v>997.48</v>
      </c>
      <c r="D519" s="1610" t="s">
        <v>2308</v>
      </c>
      <c r="E519" s="1616">
        <f>station!I1280</f>
        <v>434</v>
      </c>
      <c r="F519" s="1617">
        <f t="shared" si="162"/>
        <v>432906.32</v>
      </c>
      <c r="G519" s="1618"/>
      <c r="H519" s="1618">
        <f t="shared" si="163"/>
        <v>0</v>
      </c>
      <c r="I519" s="1618">
        <f>Sump!H45</f>
        <v>2.2999999999999998</v>
      </c>
      <c r="J519" s="1618">
        <f t="shared" si="164"/>
        <v>2294.1999999999998</v>
      </c>
      <c r="K519" s="1618"/>
      <c r="L519" s="1618">
        <f t="shared" si="165"/>
        <v>0</v>
      </c>
      <c r="M519" s="1618"/>
      <c r="N519" s="1618">
        <f>M519*C519</f>
        <v>0</v>
      </c>
      <c r="O519" s="1618"/>
      <c r="P519" s="1618">
        <f>O519*C519</f>
        <v>0</v>
      </c>
      <c r="Q519" s="1618"/>
      <c r="R519" s="1618">
        <f>Q519*C519</f>
        <v>0</v>
      </c>
      <c r="S519" s="1618"/>
      <c r="T519" s="1618">
        <f t="shared" ref="T519:T582" si="166">S519*C519</f>
        <v>0</v>
      </c>
      <c r="U519" s="1618"/>
      <c r="V519" s="1618">
        <f t="shared" ref="V519:V582" si="167">U519*C519</f>
        <v>0</v>
      </c>
      <c r="W519" s="1619" t="e">
        <f>U519+S519+O519+M519+#REF!+K519+I519+G519+Q519</f>
        <v>#REF!</v>
      </c>
      <c r="X519" s="1618" t="e">
        <f t="shared" si="153"/>
        <v>#REF!</v>
      </c>
      <c r="Y519" s="1619" t="e">
        <f>W519+E519</f>
        <v>#REF!</v>
      </c>
      <c r="Z519" s="1618" t="e">
        <f t="shared" si="154"/>
        <v>#REF!</v>
      </c>
      <c r="AA519" s="673"/>
      <c r="AB519" s="673"/>
    </row>
    <row r="520" spans="1:29" ht="48" customHeight="1">
      <c r="A520" s="1625"/>
      <c r="B520" s="1166" t="s">
        <v>4071</v>
      </c>
      <c r="C520" s="1625">
        <f>Data!I2357</f>
        <v>914.35</v>
      </c>
      <c r="D520" s="1610" t="s">
        <v>2308</v>
      </c>
      <c r="E520" s="1616"/>
      <c r="F520" s="1617">
        <f t="shared" si="162"/>
        <v>0</v>
      </c>
      <c r="G520" s="1618"/>
      <c r="H520" s="1618">
        <f t="shared" si="163"/>
        <v>0</v>
      </c>
      <c r="I520" s="1618"/>
      <c r="J520" s="1618">
        <f t="shared" si="164"/>
        <v>0</v>
      </c>
      <c r="K520" s="1618"/>
      <c r="L520" s="1618">
        <f t="shared" si="165"/>
        <v>0</v>
      </c>
      <c r="M520" s="1618"/>
      <c r="N520" s="1618">
        <f>M520*C520</f>
        <v>0</v>
      </c>
      <c r="O520" s="1618"/>
      <c r="P520" s="1618">
        <f>O520*C520</f>
        <v>0</v>
      </c>
      <c r="Q520" s="1618">
        <f>CUlvert!G37</f>
        <v>45.9</v>
      </c>
      <c r="R520" s="1618">
        <f>Q520*C520</f>
        <v>41968.67</v>
      </c>
      <c r="S520" s="1618"/>
      <c r="T520" s="1618">
        <f t="shared" si="166"/>
        <v>0</v>
      </c>
      <c r="U520" s="1618"/>
      <c r="V520" s="1618">
        <f t="shared" si="167"/>
        <v>0</v>
      </c>
      <c r="W520" s="1619" t="e">
        <f>U520+S520+O520+M520+#REF!+K520+I520+G520+Q520</f>
        <v>#REF!</v>
      </c>
      <c r="X520" s="1618" t="e">
        <f t="shared" si="153"/>
        <v>#REF!</v>
      </c>
      <c r="Y520" s="1619" t="e">
        <f>W520+E520</f>
        <v>#REF!</v>
      </c>
      <c r="Z520" s="1618" t="e">
        <f t="shared" si="154"/>
        <v>#REF!</v>
      </c>
      <c r="AA520" s="673"/>
      <c r="AB520" s="673"/>
    </row>
    <row r="521" spans="1:29" s="301" customFormat="1" ht="64.5" hidden="1" customHeight="1">
      <c r="A521" s="546"/>
      <c r="B521" s="537" t="s">
        <v>3851</v>
      </c>
      <c r="C521" s="452">
        <f>C519*2</f>
        <v>1994.96</v>
      </c>
      <c r="D521" s="443" t="s">
        <v>2308</v>
      </c>
      <c r="E521" s="526"/>
      <c r="F521" s="630">
        <f t="shared" si="162"/>
        <v>0</v>
      </c>
      <c r="G521" s="526"/>
      <c r="H521" s="517">
        <f t="shared" si="163"/>
        <v>0</v>
      </c>
      <c r="I521" s="526"/>
      <c r="J521" s="517">
        <f t="shared" si="164"/>
        <v>0</v>
      </c>
      <c r="K521" s="517"/>
      <c r="L521" s="517"/>
      <c r="M521" s="517"/>
      <c r="N521" s="517"/>
      <c r="O521" s="517"/>
      <c r="P521" s="517"/>
      <c r="Q521" s="517"/>
      <c r="R521" s="517"/>
      <c r="S521" s="517"/>
      <c r="T521" s="517">
        <f t="shared" si="166"/>
        <v>0</v>
      </c>
      <c r="U521" s="526"/>
      <c r="V521" s="517">
        <f t="shared" si="167"/>
        <v>0</v>
      </c>
      <c r="W521" s="632">
        <f>I521+S521+U521</f>
        <v>0</v>
      </c>
      <c r="X521" s="517">
        <f t="shared" si="153"/>
        <v>0</v>
      </c>
      <c r="Y521" s="632">
        <f>W521+E521+G521</f>
        <v>0</v>
      </c>
      <c r="Z521" s="517">
        <f t="shared" si="154"/>
        <v>0</v>
      </c>
      <c r="AA521" s="675"/>
      <c r="AB521" s="674"/>
    </row>
    <row r="522" spans="1:29" ht="48" customHeight="1">
      <c r="A522" s="1655"/>
      <c r="B522" s="1166" t="s">
        <v>3854</v>
      </c>
      <c r="C522" s="1612">
        <f>C518*1.5</f>
        <v>1246.8499999999999</v>
      </c>
      <c r="D522" s="1610" t="s">
        <v>2308</v>
      </c>
      <c r="E522" s="1616"/>
      <c r="F522" s="1617">
        <f t="shared" si="162"/>
        <v>0</v>
      </c>
      <c r="G522" s="1618"/>
      <c r="H522" s="1618">
        <f t="shared" si="163"/>
        <v>0</v>
      </c>
      <c r="I522" s="1618">
        <f>Sump!H42</f>
        <v>19.3</v>
      </c>
      <c r="J522" s="1618">
        <f t="shared" si="164"/>
        <v>24064.21</v>
      </c>
      <c r="K522" s="1618"/>
      <c r="L522" s="1618">
        <f t="shared" ref="L522:L525" si="168">K522*C522</f>
        <v>0</v>
      </c>
      <c r="M522" s="1618"/>
      <c r="N522" s="1618">
        <f>M522*C522</f>
        <v>0</v>
      </c>
      <c r="O522" s="1618"/>
      <c r="P522" s="1618">
        <f>O522*C522</f>
        <v>0</v>
      </c>
      <c r="Q522" s="1618"/>
      <c r="R522" s="1618">
        <f>Q522*C522</f>
        <v>0</v>
      </c>
      <c r="S522" s="1618"/>
      <c r="T522" s="1618">
        <f t="shared" si="166"/>
        <v>0</v>
      </c>
      <c r="U522" s="1618"/>
      <c r="V522" s="1618">
        <f t="shared" si="167"/>
        <v>0</v>
      </c>
      <c r="W522" s="1619" t="e">
        <f>U522+S522+O522+M522+#REF!+K522+I522+G522+Q522</f>
        <v>#REF!</v>
      </c>
      <c r="X522" s="1618" t="e">
        <f t="shared" si="153"/>
        <v>#REF!</v>
      </c>
      <c r="Y522" s="1619" t="e">
        <f>W522+E522</f>
        <v>#REF!</v>
      </c>
      <c r="Z522" s="1618" t="e">
        <f t="shared" si="154"/>
        <v>#REF!</v>
      </c>
      <c r="AA522" s="673"/>
      <c r="AB522" s="673"/>
    </row>
    <row r="523" spans="1:29" s="301" customFormat="1" ht="57" customHeight="1">
      <c r="A523" s="1674"/>
      <c r="B523" s="1176" t="s">
        <v>3643</v>
      </c>
      <c r="C523" s="1653">
        <f>C518*2</f>
        <v>1662.46</v>
      </c>
      <c r="D523" s="1654" t="s">
        <v>2308</v>
      </c>
      <c r="E523" s="1649">
        <f>station!I1285</f>
        <v>434.6</v>
      </c>
      <c r="F523" s="1617">
        <f t="shared" si="162"/>
        <v>722505.12</v>
      </c>
      <c r="G523" s="1649"/>
      <c r="H523" s="1618">
        <f t="shared" si="163"/>
        <v>0</v>
      </c>
      <c r="I523" s="1649"/>
      <c r="J523" s="1618">
        <f t="shared" si="164"/>
        <v>0</v>
      </c>
      <c r="K523" s="1650"/>
      <c r="L523" s="1618">
        <f t="shared" si="168"/>
        <v>0</v>
      </c>
      <c r="M523" s="1650"/>
      <c r="N523" s="1618">
        <f>M523*C523</f>
        <v>0</v>
      </c>
      <c r="O523" s="1650"/>
      <c r="P523" s="1618">
        <f>O523*C523</f>
        <v>0</v>
      </c>
      <c r="Q523" s="1650"/>
      <c r="R523" s="1618">
        <f>Q523*C523</f>
        <v>0</v>
      </c>
      <c r="S523" s="1650"/>
      <c r="T523" s="1618">
        <f t="shared" si="166"/>
        <v>0</v>
      </c>
      <c r="U523" s="1649"/>
      <c r="V523" s="1618">
        <f t="shared" si="167"/>
        <v>0</v>
      </c>
      <c r="W523" s="1619" t="e">
        <f>U523+S523+O523+M523+#REF!+K523+I523+G523+Q523</f>
        <v>#REF!</v>
      </c>
      <c r="X523" s="1618" t="e">
        <f t="shared" ref="X523:X551" si="169">W523*C523</f>
        <v>#REF!</v>
      </c>
      <c r="Y523" s="1619" t="e">
        <f>W523+E523</f>
        <v>#REF!</v>
      </c>
      <c r="Z523" s="1618" t="e">
        <f t="shared" ref="Z523:Z554" si="170">Y523*C523</f>
        <v>#REF!</v>
      </c>
      <c r="AA523" s="675"/>
      <c r="AB523" s="674"/>
    </row>
    <row r="524" spans="1:29" ht="82.5" customHeight="1">
      <c r="A524" s="1608">
        <v>21.6</v>
      </c>
      <c r="B524" s="1179" t="s">
        <v>4365</v>
      </c>
      <c r="C524" s="1612"/>
      <c r="D524" s="1610"/>
      <c r="E524" s="1623"/>
      <c r="F524" s="1617">
        <f t="shared" si="162"/>
        <v>0</v>
      </c>
      <c r="G524" s="1618"/>
      <c r="H524" s="1618">
        <f t="shared" si="163"/>
        <v>0</v>
      </c>
      <c r="I524" s="1618"/>
      <c r="J524" s="1618">
        <f t="shared" si="164"/>
        <v>0</v>
      </c>
      <c r="K524" s="1618"/>
      <c r="L524" s="1618">
        <f t="shared" si="168"/>
        <v>0</v>
      </c>
      <c r="M524" s="1618"/>
      <c r="N524" s="1618">
        <f>M524*C524</f>
        <v>0</v>
      </c>
      <c r="O524" s="1618"/>
      <c r="P524" s="1618">
        <f>O524*C524</f>
        <v>0</v>
      </c>
      <c r="Q524" s="1618"/>
      <c r="R524" s="1618">
        <f>Q524*C524</f>
        <v>0</v>
      </c>
      <c r="S524" s="1618"/>
      <c r="T524" s="1618">
        <f t="shared" si="166"/>
        <v>0</v>
      </c>
      <c r="U524" s="1618"/>
      <c r="V524" s="1618">
        <f t="shared" si="167"/>
        <v>0</v>
      </c>
      <c r="W524" s="1619" t="e">
        <f>U524+S524+O524+M524+#REF!+K524+I524+G524+Q524</f>
        <v>#REF!</v>
      </c>
      <c r="X524" s="1618" t="e">
        <f t="shared" si="169"/>
        <v>#REF!</v>
      </c>
      <c r="Y524" s="1619" t="e">
        <f>W524+E524</f>
        <v>#REF!</v>
      </c>
      <c r="Z524" s="1618" t="e">
        <f t="shared" si="170"/>
        <v>#REF!</v>
      </c>
      <c r="AA524" s="530"/>
      <c r="AB524" s="673"/>
      <c r="AC524" s="627"/>
    </row>
    <row r="525" spans="1:29" ht="42.75" customHeight="1">
      <c r="A525" s="1675"/>
      <c r="B525" s="1166" t="s">
        <v>577</v>
      </c>
      <c r="C525" s="1612">
        <f>ROUND(Data!K886,2)</f>
        <v>2447.34</v>
      </c>
      <c r="D525" s="1612" t="s">
        <v>1418</v>
      </c>
      <c r="E525" s="1616"/>
      <c r="F525" s="1617">
        <f t="shared" si="162"/>
        <v>0</v>
      </c>
      <c r="G525" s="1618"/>
      <c r="H525" s="1618">
        <f t="shared" si="163"/>
        <v>0</v>
      </c>
      <c r="I525" s="1618"/>
      <c r="J525" s="1618">
        <f t="shared" si="164"/>
        <v>0</v>
      </c>
      <c r="K525" s="1618"/>
      <c r="L525" s="1618">
        <f t="shared" si="168"/>
        <v>0</v>
      </c>
      <c r="M525" s="1618"/>
      <c r="N525" s="1618">
        <f>M525*C525</f>
        <v>0</v>
      </c>
      <c r="O525" s="1618"/>
      <c r="P525" s="1618">
        <f>O525*C525</f>
        <v>0</v>
      </c>
      <c r="Q525" s="1618"/>
      <c r="R525" s="1618">
        <f>Q525*C525</f>
        <v>0</v>
      </c>
      <c r="S525" s="1618"/>
      <c r="T525" s="1618">
        <f t="shared" si="166"/>
        <v>0</v>
      </c>
      <c r="U525" s="1618"/>
      <c r="V525" s="1618">
        <f t="shared" si="167"/>
        <v>0</v>
      </c>
      <c r="W525" s="1619" t="e">
        <f>U525+S525+O525+M525+#REF!+K525+I525+G525+Q525</f>
        <v>#REF!</v>
      </c>
      <c r="X525" s="1618" t="e">
        <f t="shared" si="169"/>
        <v>#REF!</v>
      </c>
      <c r="Y525" s="1619" t="e">
        <f>W525+E525</f>
        <v>#REF!</v>
      </c>
      <c r="Z525" s="1618" t="e">
        <f t="shared" si="170"/>
        <v>#REF!</v>
      </c>
      <c r="AA525" s="673"/>
      <c r="AB525" s="673"/>
    </row>
    <row r="526" spans="1:29" s="301" customFormat="1" ht="42.75" hidden="1" customHeight="1">
      <c r="A526" s="374"/>
      <c r="B526" s="320" t="s">
        <v>3836</v>
      </c>
      <c r="C526" s="308">
        <f>Data!R861</f>
        <v>2942.93</v>
      </c>
      <c r="D526" s="308" t="s">
        <v>1418</v>
      </c>
      <c r="E526" s="526"/>
      <c r="F526" s="630">
        <f t="shared" si="162"/>
        <v>0</v>
      </c>
      <c r="G526" s="526"/>
      <c r="H526" s="517">
        <f t="shared" si="163"/>
        <v>0</v>
      </c>
      <c r="I526" s="526"/>
      <c r="J526" s="517">
        <f t="shared" si="164"/>
        <v>0</v>
      </c>
      <c r="K526" s="517"/>
      <c r="L526" s="517"/>
      <c r="M526" s="517"/>
      <c r="N526" s="517"/>
      <c r="O526" s="517"/>
      <c r="P526" s="517"/>
      <c r="Q526" s="517"/>
      <c r="R526" s="517"/>
      <c r="S526" s="517"/>
      <c r="T526" s="517">
        <f t="shared" si="166"/>
        <v>0</v>
      </c>
      <c r="U526" s="526"/>
      <c r="V526" s="517">
        <f t="shared" si="167"/>
        <v>0</v>
      </c>
      <c r="W526" s="632">
        <f>I526+S526+U526</f>
        <v>0</v>
      </c>
      <c r="X526" s="517">
        <f t="shared" si="169"/>
        <v>0</v>
      </c>
      <c r="Y526" s="632">
        <f>W526+E526+G526</f>
        <v>0</v>
      </c>
      <c r="Z526" s="517">
        <f t="shared" si="170"/>
        <v>0</v>
      </c>
      <c r="AA526" s="675"/>
      <c r="AB526" s="674"/>
    </row>
    <row r="527" spans="1:29" s="301" customFormat="1" ht="42.75" customHeight="1">
      <c r="A527" s="1675"/>
      <c r="B527" s="1166" t="s">
        <v>1929</v>
      </c>
      <c r="C527" s="1612">
        <f>ROUND(Data!K868,2)</f>
        <v>2467.38</v>
      </c>
      <c r="D527" s="1612" t="s">
        <v>1418</v>
      </c>
      <c r="E527" s="1616"/>
      <c r="F527" s="1617">
        <f t="shared" si="162"/>
        <v>0</v>
      </c>
      <c r="G527" s="1616"/>
      <c r="H527" s="1618">
        <f>G527*C527</f>
        <v>0</v>
      </c>
      <c r="I527" s="1616"/>
      <c r="J527" s="1618">
        <f>I527*C527</f>
        <v>0</v>
      </c>
      <c r="K527" s="1618"/>
      <c r="L527" s="1618">
        <f>K527*C527</f>
        <v>0</v>
      </c>
      <c r="M527" s="1618"/>
      <c r="N527" s="1618">
        <f>M527*C527</f>
        <v>0</v>
      </c>
      <c r="O527" s="1618"/>
      <c r="P527" s="1618">
        <f>O527*C527</f>
        <v>0</v>
      </c>
      <c r="Q527" s="1618"/>
      <c r="R527" s="1618">
        <f>Q527*C527</f>
        <v>0</v>
      </c>
      <c r="S527" s="1618"/>
      <c r="T527" s="1618">
        <f t="shared" si="166"/>
        <v>0</v>
      </c>
      <c r="U527" s="1616"/>
      <c r="V527" s="1618">
        <f t="shared" si="167"/>
        <v>0</v>
      </c>
      <c r="W527" s="1619" t="e">
        <f>U527+S527+O527+M527+#REF!+K527+I527+G527+Q527</f>
        <v>#REF!</v>
      </c>
      <c r="X527" s="1618" t="e">
        <f t="shared" si="169"/>
        <v>#REF!</v>
      </c>
      <c r="Y527" s="1619" t="e">
        <f>W527+E527</f>
        <v>#REF!</v>
      </c>
      <c r="Z527" s="1618" t="e">
        <f t="shared" si="170"/>
        <v>#REF!</v>
      </c>
      <c r="AA527" s="675"/>
      <c r="AB527" s="674"/>
    </row>
    <row r="528" spans="1:29" s="301" customFormat="1" ht="42.75" hidden="1" customHeight="1">
      <c r="A528" s="374"/>
      <c r="B528" s="320" t="s">
        <v>3743</v>
      </c>
      <c r="C528" s="308">
        <f>Data!K902</f>
        <v>2413.44</v>
      </c>
      <c r="D528" s="308" t="s">
        <v>1418</v>
      </c>
      <c r="E528" s="526"/>
      <c r="F528" s="630">
        <f t="shared" si="162"/>
        <v>0</v>
      </c>
      <c r="G528" s="526"/>
      <c r="H528" s="517">
        <f t="shared" si="163"/>
        <v>0</v>
      </c>
      <c r="I528" s="526"/>
      <c r="J528" s="517">
        <f t="shared" si="164"/>
        <v>0</v>
      </c>
      <c r="K528" s="517"/>
      <c r="L528" s="517"/>
      <c r="M528" s="517"/>
      <c r="N528" s="517"/>
      <c r="O528" s="517"/>
      <c r="P528" s="517"/>
      <c r="Q528" s="517"/>
      <c r="R528" s="517"/>
      <c r="S528" s="517"/>
      <c r="T528" s="517">
        <f t="shared" si="166"/>
        <v>0</v>
      </c>
      <c r="U528" s="526"/>
      <c r="V528" s="517">
        <f t="shared" si="167"/>
        <v>0</v>
      </c>
      <c r="W528" s="632">
        <f t="shared" ref="W528:W535" si="171">I528+S528+U528</f>
        <v>0</v>
      </c>
      <c r="X528" s="517">
        <f t="shared" si="169"/>
        <v>0</v>
      </c>
      <c r="Y528" s="632">
        <f t="shared" ref="Y528:Y535" si="172">W528+E528+G528</f>
        <v>0</v>
      </c>
      <c r="Z528" s="517">
        <f t="shared" si="170"/>
        <v>0</v>
      </c>
      <c r="AA528" s="675"/>
      <c r="AB528" s="674"/>
    </row>
    <row r="529" spans="1:28" s="301" customFormat="1" ht="61.5" hidden="1" customHeight="1">
      <c r="A529" s="370"/>
      <c r="B529" s="369" t="s">
        <v>3877</v>
      </c>
      <c r="C529" s="307"/>
      <c r="D529" s="486"/>
      <c r="E529" s="526"/>
      <c r="F529" s="630">
        <f t="shared" si="162"/>
        <v>0</v>
      </c>
      <c r="G529" s="526"/>
      <c r="H529" s="517">
        <f t="shared" si="163"/>
        <v>0</v>
      </c>
      <c r="I529" s="526"/>
      <c r="J529" s="517">
        <f t="shared" si="164"/>
        <v>0</v>
      </c>
      <c r="K529" s="517"/>
      <c r="L529" s="517"/>
      <c r="M529" s="517"/>
      <c r="N529" s="517"/>
      <c r="O529" s="517"/>
      <c r="P529" s="517"/>
      <c r="Q529" s="517"/>
      <c r="R529" s="517"/>
      <c r="S529" s="517"/>
      <c r="T529" s="517">
        <f t="shared" si="166"/>
        <v>0</v>
      </c>
      <c r="U529" s="526"/>
      <c r="V529" s="517">
        <f t="shared" si="167"/>
        <v>0</v>
      </c>
      <c r="W529" s="632">
        <f t="shared" si="171"/>
        <v>0</v>
      </c>
      <c r="X529" s="517">
        <f t="shared" si="169"/>
        <v>0</v>
      </c>
      <c r="Y529" s="632">
        <f t="shared" si="172"/>
        <v>0</v>
      </c>
      <c r="Z529" s="517">
        <f t="shared" si="170"/>
        <v>0</v>
      </c>
      <c r="AA529" s="675"/>
      <c r="AB529" s="674"/>
    </row>
    <row r="530" spans="1:28" s="301" customFormat="1" ht="25.5" hidden="1" customHeight="1">
      <c r="A530" s="370"/>
      <c r="B530" s="320" t="s">
        <v>1387</v>
      </c>
      <c r="C530" s="307">
        <f>Data!K1078</f>
        <v>3364.08</v>
      </c>
      <c r="D530" s="486" t="s">
        <v>1867</v>
      </c>
      <c r="E530" s="526"/>
      <c r="F530" s="630">
        <f t="shared" si="162"/>
        <v>0</v>
      </c>
      <c r="G530" s="526"/>
      <c r="H530" s="517">
        <f t="shared" si="163"/>
        <v>0</v>
      </c>
      <c r="I530" s="526"/>
      <c r="J530" s="517">
        <f t="shared" si="164"/>
        <v>0</v>
      </c>
      <c r="K530" s="517"/>
      <c r="L530" s="517"/>
      <c r="M530" s="517"/>
      <c r="N530" s="517"/>
      <c r="O530" s="517"/>
      <c r="P530" s="517"/>
      <c r="Q530" s="517"/>
      <c r="R530" s="517"/>
      <c r="S530" s="517"/>
      <c r="T530" s="517">
        <f t="shared" si="166"/>
        <v>0</v>
      </c>
      <c r="U530" s="526"/>
      <c r="V530" s="517">
        <f t="shared" si="167"/>
        <v>0</v>
      </c>
      <c r="W530" s="632">
        <f t="shared" si="171"/>
        <v>0</v>
      </c>
      <c r="X530" s="517">
        <f t="shared" si="169"/>
        <v>0</v>
      </c>
      <c r="Y530" s="632">
        <f t="shared" si="172"/>
        <v>0</v>
      </c>
      <c r="Z530" s="517">
        <f t="shared" si="170"/>
        <v>0</v>
      </c>
      <c r="AA530" s="675"/>
      <c r="AB530" s="674"/>
    </row>
    <row r="531" spans="1:28" s="301" customFormat="1" ht="25.5" hidden="1" customHeight="1">
      <c r="A531" s="370"/>
      <c r="B531" s="320" t="s">
        <v>270</v>
      </c>
      <c r="C531" s="307"/>
      <c r="D531" s="486" t="s">
        <v>1867</v>
      </c>
      <c r="E531" s="526"/>
      <c r="F531" s="630">
        <f t="shared" si="162"/>
        <v>0</v>
      </c>
      <c r="G531" s="526"/>
      <c r="H531" s="517">
        <f t="shared" si="163"/>
        <v>0</v>
      </c>
      <c r="I531" s="526"/>
      <c r="J531" s="517">
        <f t="shared" si="164"/>
        <v>0</v>
      </c>
      <c r="K531" s="517"/>
      <c r="L531" s="517"/>
      <c r="M531" s="517"/>
      <c r="N531" s="517"/>
      <c r="O531" s="517"/>
      <c r="P531" s="517"/>
      <c r="Q531" s="517"/>
      <c r="R531" s="517"/>
      <c r="S531" s="517"/>
      <c r="T531" s="517">
        <f t="shared" si="166"/>
        <v>0</v>
      </c>
      <c r="U531" s="526"/>
      <c r="V531" s="517">
        <f t="shared" si="167"/>
        <v>0</v>
      </c>
      <c r="W531" s="632">
        <f t="shared" si="171"/>
        <v>0</v>
      </c>
      <c r="X531" s="517">
        <f t="shared" si="169"/>
        <v>0</v>
      </c>
      <c r="Y531" s="632">
        <f t="shared" si="172"/>
        <v>0</v>
      </c>
      <c r="Z531" s="517">
        <f t="shared" si="170"/>
        <v>0</v>
      </c>
      <c r="AA531" s="675"/>
      <c r="AB531" s="674"/>
    </row>
    <row r="532" spans="1:28" s="301" customFormat="1" ht="31.5" hidden="1" customHeight="1">
      <c r="A532" s="370"/>
      <c r="B532" s="320" t="s">
        <v>271</v>
      </c>
      <c r="C532" s="307">
        <f>Data!K1094</f>
        <v>3552.27</v>
      </c>
      <c r="D532" s="486" t="s">
        <v>1867</v>
      </c>
      <c r="E532" s="526"/>
      <c r="F532" s="630">
        <f t="shared" si="162"/>
        <v>0</v>
      </c>
      <c r="G532" s="526"/>
      <c r="H532" s="517">
        <f t="shared" si="163"/>
        <v>0</v>
      </c>
      <c r="I532" s="526"/>
      <c r="J532" s="517">
        <f t="shared" si="164"/>
        <v>0</v>
      </c>
      <c r="K532" s="517"/>
      <c r="L532" s="517"/>
      <c r="M532" s="517"/>
      <c r="N532" s="517"/>
      <c r="O532" s="517"/>
      <c r="P532" s="517"/>
      <c r="Q532" s="517"/>
      <c r="R532" s="517"/>
      <c r="S532" s="517"/>
      <c r="T532" s="517">
        <f t="shared" si="166"/>
        <v>0</v>
      </c>
      <c r="U532" s="526"/>
      <c r="V532" s="517">
        <f t="shared" si="167"/>
        <v>0</v>
      </c>
      <c r="W532" s="632">
        <f t="shared" si="171"/>
        <v>0</v>
      </c>
      <c r="X532" s="517">
        <f t="shared" si="169"/>
        <v>0</v>
      </c>
      <c r="Y532" s="632">
        <f t="shared" si="172"/>
        <v>0</v>
      </c>
      <c r="Z532" s="517">
        <f t="shared" si="170"/>
        <v>0</v>
      </c>
      <c r="AA532" s="675"/>
      <c r="AB532" s="674"/>
    </row>
    <row r="533" spans="1:28" s="301" customFormat="1" ht="42" hidden="1" customHeight="1">
      <c r="A533" s="370"/>
      <c r="B533" s="320" t="s">
        <v>272</v>
      </c>
      <c r="C533" s="307">
        <f>Data!K1109</f>
        <v>2642.35</v>
      </c>
      <c r="D533" s="486" t="s">
        <v>1867</v>
      </c>
      <c r="E533" s="526"/>
      <c r="F533" s="630">
        <f t="shared" si="162"/>
        <v>0</v>
      </c>
      <c r="G533" s="526"/>
      <c r="H533" s="517">
        <f t="shared" si="163"/>
        <v>0</v>
      </c>
      <c r="I533" s="526"/>
      <c r="J533" s="517">
        <f t="shared" si="164"/>
        <v>0</v>
      </c>
      <c r="K533" s="517"/>
      <c r="L533" s="517"/>
      <c r="M533" s="517"/>
      <c r="N533" s="517"/>
      <c r="O533" s="517"/>
      <c r="P533" s="517"/>
      <c r="Q533" s="517"/>
      <c r="R533" s="517"/>
      <c r="S533" s="517"/>
      <c r="T533" s="517">
        <f t="shared" si="166"/>
        <v>0</v>
      </c>
      <c r="U533" s="526"/>
      <c r="V533" s="517">
        <f t="shared" si="167"/>
        <v>0</v>
      </c>
      <c r="W533" s="632">
        <f t="shared" si="171"/>
        <v>0</v>
      </c>
      <c r="X533" s="517">
        <f t="shared" si="169"/>
        <v>0</v>
      </c>
      <c r="Y533" s="632">
        <f t="shared" si="172"/>
        <v>0</v>
      </c>
      <c r="Z533" s="517">
        <f t="shared" si="170"/>
        <v>0</v>
      </c>
      <c r="AA533" s="675"/>
      <c r="AB533" s="674"/>
    </row>
    <row r="534" spans="1:28" s="301" customFormat="1" ht="38.25" hidden="1" customHeight="1">
      <c r="A534" s="370"/>
      <c r="B534" s="320" t="s">
        <v>3858</v>
      </c>
      <c r="C534" s="307">
        <v>2203.2800000000002</v>
      </c>
      <c r="D534" s="486" t="s">
        <v>1867</v>
      </c>
      <c r="E534" s="526"/>
      <c r="F534" s="630">
        <f t="shared" si="162"/>
        <v>0</v>
      </c>
      <c r="G534" s="526"/>
      <c r="H534" s="517">
        <f t="shared" si="163"/>
        <v>0</v>
      </c>
      <c r="I534" s="526"/>
      <c r="J534" s="517">
        <f t="shared" si="164"/>
        <v>0</v>
      </c>
      <c r="K534" s="517"/>
      <c r="L534" s="517"/>
      <c r="M534" s="517"/>
      <c r="N534" s="517"/>
      <c r="O534" s="517"/>
      <c r="P534" s="517"/>
      <c r="Q534" s="517"/>
      <c r="R534" s="517"/>
      <c r="S534" s="517"/>
      <c r="T534" s="517">
        <f t="shared" si="166"/>
        <v>0</v>
      </c>
      <c r="U534" s="526"/>
      <c r="V534" s="517">
        <f t="shared" si="167"/>
        <v>0</v>
      </c>
      <c r="W534" s="632">
        <f t="shared" si="171"/>
        <v>0</v>
      </c>
      <c r="X534" s="517">
        <f t="shared" si="169"/>
        <v>0</v>
      </c>
      <c r="Y534" s="632">
        <f t="shared" si="172"/>
        <v>0</v>
      </c>
      <c r="Z534" s="517">
        <f t="shared" si="170"/>
        <v>0</v>
      </c>
      <c r="AA534" s="675"/>
      <c r="AB534" s="674"/>
    </row>
    <row r="535" spans="1:28" s="301" customFormat="1" ht="62.25" hidden="1" customHeight="1">
      <c r="A535" s="375" t="s">
        <v>1717</v>
      </c>
      <c r="B535" s="320" t="s">
        <v>1318</v>
      </c>
      <c r="C535" s="307">
        <f>ROUND(Data!K2874,2)</f>
        <v>2124.06</v>
      </c>
      <c r="D535" s="486" t="s">
        <v>2308</v>
      </c>
      <c r="E535" s="526"/>
      <c r="F535" s="630">
        <f t="shared" si="162"/>
        <v>0</v>
      </c>
      <c r="G535" s="526"/>
      <c r="H535" s="517">
        <f t="shared" si="163"/>
        <v>0</v>
      </c>
      <c r="I535" s="526"/>
      <c r="J535" s="517">
        <f t="shared" si="164"/>
        <v>0</v>
      </c>
      <c r="K535" s="517"/>
      <c r="L535" s="517"/>
      <c r="M535" s="517"/>
      <c r="N535" s="517"/>
      <c r="O535" s="517"/>
      <c r="P535" s="517"/>
      <c r="Q535" s="517"/>
      <c r="R535" s="517"/>
      <c r="S535" s="517"/>
      <c r="T535" s="517">
        <f t="shared" si="166"/>
        <v>0</v>
      </c>
      <c r="U535" s="526"/>
      <c r="V535" s="517">
        <f t="shared" si="167"/>
        <v>0</v>
      </c>
      <c r="W535" s="632">
        <f t="shared" si="171"/>
        <v>0</v>
      </c>
      <c r="X535" s="517">
        <f t="shared" si="169"/>
        <v>0</v>
      </c>
      <c r="Y535" s="632">
        <f t="shared" si="172"/>
        <v>0</v>
      </c>
      <c r="Z535" s="517">
        <f t="shared" si="170"/>
        <v>0</v>
      </c>
      <c r="AA535" s="675"/>
      <c r="AB535" s="674"/>
    </row>
    <row r="536" spans="1:28" s="1602" customFormat="1" ht="87" customHeight="1">
      <c r="A536" s="1763"/>
      <c r="B536" s="1764" t="s">
        <v>4900</v>
      </c>
      <c r="C536" s="1765">
        <f>Data!R2084</f>
        <v>6981.88</v>
      </c>
      <c r="D536" s="1766" t="s">
        <v>2308</v>
      </c>
      <c r="E536" s="1632">
        <f>station!I1292</f>
        <v>15.15</v>
      </c>
      <c r="F536" s="1633">
        <f t="shared" si="162"/>
        <v>105775.48</v>
      </c>
      <c r="G536" s="1632"/>
      <c r="H536" s="1632">
        <f t="shared" si="163"/>
        <v>0</v>
      </c>
      <c r="I536" s="1632"/>
      <c r="J536" s="1632">
        <f t="shared" si="164"/>
        <v>0</v>
      </c>
      <c r="K536" s="1632"/>
      <c r="L536" s="1632">
        <f t="shared" ref="L536:L537" si="173">K536*C536</f>
        <v>0</v>
      </c>
      <c r="M536" s="1632"/>
      <c r="N536" s="1632">
        <f>M536*C536</f>
        <v>0</v>
      </c>
      <c r="O536" s="1632"/>
      <c r="P536" s="1632">
        <f>O536*C536</f>
        <v>0</v>
      </c>
      <c r="Q536" s="1632"/>
      <c r="R536" s="1618">
        <f>Q536*C536</f>
        <v>0</v>
      </c>
      <c r="S536" s="1632"/>
      <c r="T536" s="1632">
        <f t="shared" si="166"/>
        <v>0</v>
      </c>
      <c r="U536" s="1632"/>
      <c r="V536" s="1632">
        <f t="shared" si="167"/>
        <v>0</v>
      </c>
      <c r="W536" s="1619" t="e">
        <f>U536+S536+O536+M536+#REF!+K536+I536+G536+Q536</f>
        <v>#REF!</v>
      </c>
      <c r="X536" s="1632" t="e">
        <f t="shared" si="169"/>
        <v>#REF!</v>
      </c>
      <c r="Y536" s="1619" t="e">
        <f>W536+E536</f>
        <v>#REF!</v>
      </c>
      <c r="Z536" s="1632" t="e">
        <f t="shared" si="170"/>
        <v>#REF!</v>
      </c>
      <c r="AA536" s="1600"/>
      <c r="AB536" s="1601"/>
    </row>
    <row r="537" spans="1:28" ht="94.5" customHeight="1">
      <c r="A537" s="1676"/>
      <c r="B537" s="1168" t="s">
        <v>1542</v>
      </c>
      <c r="C537" s="1612">
        <f>ROUND(Data!K3111,2)</f>
        <v>4024.1</v>
      </c>
      <c r="D537" s="1610" t="s">
        <v>2308</v>
      </c>
      <c r="E537" s="1616"/>
      <c r="F537" s="1617">
        <f t="shared" si="162"/>
        <v>0</v>
      </c>
      <c r="G537" s="1618"/>
      <c r="H537" s="1618">
        <f t="shared" si="163"/>
        <v>0</v>
      </c>
      <c r="I537" s="1618"/>
      <c r="J537" s="1618">
        <f t="shared" si="164"/>
        <v>0</v>
      </c>
      <c r="K537" s="1618"/>
      <c r="L537" s="1618">
        <f t="shared" si="173"/>
        <v>0</v>
      </c>
      <c r="M537" s="1618"/>
      <c r="N537" s="1618">
        <f>M537*C537</f>
        <v>0</v>
      </c>
      <c r="O537" s="1618"/>
      <c r="P537" s="1618">
        <f>O537*C537</f>
        <v>0</v>
      </c>
      <c r="Q537" s="1618"/>
      <c r="R537" s="1618">
        <f>Q537*C537</f>
        <v>0</v>
      </c>
      <c r="S537" s="1618"/>
      <c r="T537" s="1618">
        <f t="shared" si="166"/>
        <v>0</v>
      </c>
      <c r="U537" s="1618"/>
      <c r="V537" s="1618">
        <f t="shared" si="167"/>
        <v>0</v>
      </c>
      <c r="W537" s="1619" t="e">
        <f>U537+S537+O537+M537+#REF!+K537+I537+G537+Q537</f>
        <v>#REF!</v>
      </c>
      <c r="X537" s="1618" t="e">
        <f t="shared" si="169"/>
        <v>#REF!</v>
      </c>
      <c r="Y537" s="1619" t="e">
        <f>W537+E537</f>
        <v>#REF!</v>
      </c>
      <c r="Z537" s="1618" t="e">
        <f t="shared" si="170"/>
        <v>#REF!</v>
      </c>
      <c r="AA537" s="673"/>
      <c r="AB537" s="673"/>
    </row>
    <row r="538" spans="1:28" s="643" customFormat="1" ht="72" hidden="1" customHeight="1">
      <c r="A538" s="638">
        <v>22.8</v>
      </c>
      <c r="B538" s="639" t="s">
        <v>2012</v>
      </c>
      <c r="C538" s="640"/>
      <c r="D538" s="641"/>
      <c r="E538" s="642"/>
      <c r="F538" s="630">
        <f t="shared" si="162"/>
        <v>0</v>
      </c>
      <c r="G538" s="642"/>
      <c r="H538" s="517">
        <f t="shared" si="163"/>
        <v>0</v>
      </c>
      <c r="I538" s="642"/>
      <c r="J538" s="517">
        <f t="shared" si="164"/>
        <v>0</v>
      </c>
      <c r="K538" s="517"/>
      <c r="L538" s="517"/>
      <c r="M538" s="517"/>
      <c r="N538" s="517"/>
      <c r="O538" s="517"/>
      <c r="P538" s="517"/>
      <c r="Q538" s="517"/>
      <c r="R538" s="517"/>
      <c r="S538" s="517"/>
      <c r="T538" s="517">
        <f t="shared" si="166"/>
        <v>0</v>
      </c>
      <c r="U538" s="642"/>
      <c r="V538" s="517">
        <f t="shared" si="167"/>
        <v>0</v>
      </c>
      <c r="W538" s="632">
        <f>I538+S538+U538</f>
        <v>0</v>
      </c>
      <c r="X538" s="517">
        <f t="shared" si="169"/>
        <v>0</v>
      </c>
      <c r="Y538" s="632">
        <f>W538+E538+G538</f>
        <v>0</v>
      </c>
      <c r="Z538" s="517">
        <f t="shared" si="170"/>
        <v>0</v>
      </c>
      <c r="AA538" s="678"/>
      <c r="AB538" s="679"/>
    </row>
    <row r="539" spans="1:28" s="643" customFormat="1" ht="35.1" hidden="1" customHeight="1">
      <c r="A539" s="644"/>
      <c r="B539" s="639" t="s">
        <v>2013</v>
      </c>
      <c r="C539" s="640">
        <f>ROUND(Data!K2842,2)</f>
        <v>2736.83</v>
      </c>
      <c r="D539" s="641" t="s">
        <v>2308</v>
      </c>
      <c r="E539" s="642"/>
      <c r="F539" s="630">
        <f t="shared" si="162"/>
        <v>0</v>
      </c>
      <c r="G539" s="642"/>
      <c r="H539" s="517">
        <f t="shared" si="163"/>
        <v>0</v>
      </c>
      <c r="I539" s="642"/>
      <c r="J539" s="517">
        <f t="shared" si="164"/>
        <v>0</v>
      </c>
      <c r="K539" s="517"/>
      <c r="L539" s="517"/>
      <c r="M539" s="517"/>
      <c r="N539" s="517"/>
      <c r="O539" s="517"/>
      <c r="P539" s="517"/>
      <c r="Q539" s="517"/>
      <c r="R539" s="517"/>
      <c r="S539" s="517"/>
      <c r="T539" s="517">
        <f t="shared" si="166"/>
        <v>0</v>
      </c>
      <c r="U539" s="642"/>
      <c r="V539" s="517">
        <f t="shared" si="167"/>
        <v>0</v>
      </c>
      <c r="W539" s="632">
        <f>I539+S539+U539</f>
        <v>0</v>
      </c>
      <c r="X539" s="517">
        <f t="shared" si="169"/>
        <v>0</v>
      </c>
      <c r="Y539" s="632">
        <f>W539+E539+G539</f>
        <v>0</v>
      </c>
      <c r="Z539" s="517">
        <f t="shared" si="170"/>
        <v>0</v>
      </c>
      <c r="AA539" s="678"/>
      <c r="AB539" s="679"/>
    </row>
    <row r="540" spans="1:28" s="643" customFormat="1" ht="35.1" hidden="1" customHeight="1">
      <c r="A540" s="644"/>
      <c r="B540" s="639" t="s">
        <v>702</v>
      </c>
      <c r="C540" s="640">
        <f>ROUND(Data!K2978,2)</f>
        <v>2779.39</v>
      </c>
      <c r="D540" s="641" t="s">
        <v>2308</v>
      </c>
      <c r="E540" s="642"/>
      <c r="F540" s="630">
        <f t="shared" si="162"/>
        <v>0</v>
      </c>
      <c r="G540" s="642"/>
      <c r="H540" s="517">
        <f t="shared" si="163"/>
        <v>0</v>
      </c>
      <c r="I540" s="642"/>
      <c r="J540" s="517">
        <f t="shared" si="164"/>
        <v>0</v>
      </c>
      <c r="K540" s="517"/>
      <c r="L540" s="517"/>
      <c r="M540" s="517"/>
      <c r="N540" s="517"/>
      <c r="O540" s="517"/>
      <c r="P540" s="517"/>
      <c r="Q540" s="517"/>
      <c r="R540" s="517"/>
      <c r="S540" s="517"/>
      <c r="T540" s="517">
        <f t="shared" si="166"/>
        <v>0</v>
      </c>
      <c r="U540" s="642"/>
      <c r="V540" s="517">
        <f t="shared" si="167"/>
        <v>0</v>
      </c>
      <c r="W540" s="632">
        <f>I540+S540+U540</f>
        <v>0</v>
      </c>
      <c r="X540" s="517">
        <f t="shared" si="169"/>
        <v>0</v>
      </c>
      <c r="Y540" s="632">
        <f>W540+E540+G540</f>
        <v>0</v>
      </c>
      <c r="Z540" s="517">
        <f t="shared" si="170"/>
        <v>0</v>
      </c>
      <c r="AA540" s="678"/>
      <c r="AB540" s="679"/>
    </row>
    <row r="541" spans="1:28" s="643" customFormat="1" ht="28.5" hidden="1" customHeight="1">
      <c r="A541" s="659"/>
      <c r="B541" s="660" t="s">
        <v>232</v>
      </c>
      <c r="C541" s="661"/>
      <c r="D541" s="662" t="s">
        <v>2308</v>
      </c>
      <c r="E541" s="663"/>
      <c r="F541" s="630">
        <f t="shared" si="162"/>
        <v>0</v>
      </c>
      <c r="G541" s="663"/>
      <c r="H541" s="517">
        <f t="shared" si="163"/>
        <v>0</v>
      </c>
      <c r="I541" s="663"/>
      <c r="J541" s="517">
        <f t="shared" si="164"/>
        <v>0</v>
      </c>
      <c r="K541" s="654"/>
      <c r="L541" s="654"/>
      <c r="M541" s="654"/>
      <c r="N541" s="654"/>
      <c r="O541" s="654"/>
      <c r="P541" s="654"/>
      <c r="Q541" s="654"/>
      <c r="R541" s="654"/>
      <c r="S541" s="654"/>
      <c r="T541" s="517">
        <f t="shared" si="166"/>
        <v>0</v>
      </c>
      <c r="U541" s="663"/>
      <c r="V541" s="517">
        <f t="shared" si="167"/>
        <v>0</v>
      </c>
      <c r="W541" s="632">
        <f>I541+S541+U541</f>
        <v>0</v>
      </c>
      <c r="X541" s="517">
        <f t="shared" si="169"/>
        <v>0</v>
      </c>
      <c r="Y541" s="632">
        <f>W541+E541+G541</f>
        <v>0</v>
      </c>
      <c r="Z541" s="517">
        <f t="shared" si="170"/>
        <v>0</v>
      </c>
      <c r="AA541" s="678"/>
      <c r="AB541" s="679"/>
    </row>
    <row r="542" spans="1:28" ht="58.5" customHeight="1">
      <c r="A542" s="1625"/>
      <c r="B542" s="1169" t="s">
        <v>4905</v>
      </c>
      <c r="C542" s="1612"/>
      <c r="D542" s="1610"/>
      <c r="E542" s="1623"/>
      <c r="F542" s="1617">
        <f t="shared" si="162"/>
        <v>0</v>
      </c>
      <c r="G542" s="1618"/>
      <c r="H542" s="1618">
        <f t="shared" si="163"/>
        <v>0</v>
      </c>
      <c r="I542" s="1618"/>
      <c r="J542" s="1618">
        <f t="shared" si="164"/>
        <v>0</v>
      </c>
      <c r="K542" s="1618"/>
      <c r="L542" s="1618">
        <f t="shared" ref="L542:L562" si="174">K542*C542</f>
        <v>0</v>
      </c>
      <c r="M542" s="1618"/>
      <c r="N542" s="1618">
        <f t="shared" ref="N542:N562" si="175">M542*C542</f>
        <v>0</v>
      </c>
      <c r="O542" s="1618"/>
      <c r="P542" s="1618">
        <f t="shared" ref="P542:P562" si="176">O542*C542</f>
        <v>0</v>
      </c>
      <c r="Q542" s="1618"/>
      <c r="R542" s="1618">
        <f t="shared" ref="R542:R562" si="177">Q542*C542</f>
        <v>0</v>
      </c>
      <c r="S542" s="1618"/>
      <c r="T542" s="1618">
        <f t="shared" si="166"/>
        <v>0</v>
      </c>
      <c r="U542" s="1618"/>
      <c r="V542" s="1618">
        <f t="shared" si="167"/>
        <v>0</v>
      </c>
      <c r="W542" s="1619" t="e">
        <f>U542+S542+O542+M542+#REF!+K542+I542+G542+Q542</f>
        <v>#REF!</v>
      </c>
      <c r="X542" s="1618" t="e">
        <f t="shared" si="169"/>
        <v>#REF!</v>
      </c>
      <c r="Y542" s="1619" t="e">
        <f t="shared" ref="Y542:Y562" si="178">W542+E542</f>
        <v>#REF!</v>
      </c>
      <c r="Z542" s="1618" t="e">
        <f t="shared" si="170"/>
        <v>#REF!</v>
      </c>
      <c r="AA542" s="673"/>
      <c r="AB542" s="673"/>
    </row>
    <row r="543" spans="1:28" s="475" customFormat="1">
      <c r="A543" s="1677"/>
      <c r="B543" s="1172" t="s">
        <v>4506</v>
      </c>
      <c r="C543" s="1623">
        <v>5724.71</v>
      </c>
      <c r="D543" s="1611" t="s">
        <v>2308</v>
      </c>
      <c r="E543" s="1616"/>
      <c r="F543" s="1617">
        <f t="shared" si="162"/>
        <v>0</v>
      </c>
      <c r="G543" s="1616"/>
      <c r="H543" s="1618">
        <f t="shared" si="163"/>
        <v>0</v>
      </c>
      <c r="I543" s="1616"/>
      <c r="J543" s="1618">
        <f t="shared" si="164"/>
        <v>0</v>
      </c>
      <c r="K543" s="1618"/>
      <c r="L543" s="1618">
        <f t="shared" si="174"/>
        <v>0</v>
      </c>
      <c r="M543" s="1618"/>
      <c r="N543" s="1618">
        <f t="shared" si="175"/>
        <v>0</v>
      </c>
      <c r="O543" s="1618"/>
      <c r="P543" s="1618">
        <f t="shared" si="176"/>
        <v>0</v>
      </c>
      <c r="Q543" s="1618"/>
      <c r="R543" s="1618">
        <f t="shared" si="177"/>
        <v>0</v>
      </c>
      <c r="S543" s="1618"/>
      <c r="T543" s="1618">
        <f t="shared" si="166"/>
        <v>0</v>
      </c>
      <c r="U543" s="1616"/>
      <c r="V543" s="1618">
        <f t="shared" si="167"/>
        <v>0</v>
      </c>
      <c r="W543" s="1619" t="e">
        <f>U543+S543+O543+M543+#REF!+K543+I543+G543+Q543</f>
        <v>#REF!</v>
      </c>
      <c r="X543" s="1618" t="e">
        <f t="shared" si="169"/>
        <v>#REF!</v>
      </c>
      <c r="Y543" s="1619" t="e">
        <f t="shared" si="178"/>
        <v>#REF!</v>
      </c>
      <c r="Z543" s="1618" t="e">
        <f t="shared" si="170"/>
        <v>#REF!</v>
      </c>
      <c r="AA543" s="674"/>
      <c r="AB543" s="674"/>
    </row>
    <row r="544" spans="1:28" s="301" customFormat="1">
      <c r="A544" s="1678"/>
      <c r="B544" s="1177" t="s">
        <v>3644</v>
      </c>
      <c r="C544" s="1628"/>
      <c r="D544" s="1629"/>
      <c r="E544" s="1616"/>
      <c r="F544" s="1617">
        <f t="shared" si="162"/>
        <v>0</v>
      </c>
      <c r="G544" s="1616"/>
      <c r="H544" s="1618">
        <f t="shared" si="163"/>
        <v>0</v>
      </c>
      <c r="I544" s="1616"/>
      <c r="J544" s="1618">
        <f t="shared" si="164"/>
        <v>0</v>
      </c>
      <c r="K544" s="1618"/>
      <c r="L544" s="1618">
        <f t="shared" si="174"/>
        <v>0</v>
      </c>
      <c r="M544" s="1618"/>
      <c r="N544" s="1618">
        <f t="shared" si="175"/>
        <v>0</v>
      </c>
      <c r="O544" s="1618"/>
      <c r="P544" s="1618">
        <f t="shared" si="176"/>
        <v>0</v>
      </c>
      <c r="Q544" s="1618"/>
      <c r="R544" s="1618">
        <f t="shared" si="177"/>
        <v>0</v>
      </c>
      <c r="S544" s="1618"/>
      <c r="T544" s="1618">
        <f t="shared" si="166"/>
        <v>0</v>
      </c>
      <c r="U544" s="1616"/>
      <c r="V544" s="1618">
        <f t="shared" si="167"/>
        <v>0</v>
      </c>
      <c r="W544" s="1619" t="e">
        <f>U544+S544+O544+M544+#REF!+K544+I544+G544+Q544</f>
        <v>#REF!</v>
      </c>
      <c r="X544" s="1618" t="e">
        <f t="shared" si="169"/>
        <v>#REF!</v>
      </c>
      <c r="Y544" s="1619" t="e">
        <f t="shared" si="178"/>
        <v>#REF!</v>
      </c>
      <c r="Z544" s="1618" t="e">
        <f t="shared" si="170"/>
        <v>#REF!</v>
      </c>
      <c r="AA544" s="675"/>
      <c r="AB544" s="674"/>
    </row>
    <row r="545" spans="1:28" s="301" customFormat="1" ht="45">
      <c r="A545" s="1655"/>
      <c r="B545" s="1166" t="s">
        <v>4507</v>
      </c>
      <c r="C545" s="1630">
        <f>Data!R2864</f>
        <v>5476.01</v>
      </c>
      <c r="D545" s="1631" t="s">
        <v>2308</v>
      </c>
      <c r="E545" s="1616"/>
      <c r="F545" s="1617">
        <f t="shared" si="162"/>
        <v>0</v>
      </c>
      <c r="G545" s="1616"/>
      <c r="H545" s="1618">
        <f t="shared" si="163"/>
        <v>0</v>
      </c>
      <c r="I545" s="1616"/>
      <c r="J545" s="1618">
        <f t="shared" si="164"/>
        <v>0</v>
      </c>
      <c r="K545" s="1618"/>
      <c r="L545" s="1618">
        <f t="shared" si="174"/>
        <v>0</v>
      </c>
      <c r="M545" s="1618"/>
      <c r="N545" s="1618">
        <f t="shared" si="175"/>
        <v>0</v>
      </c>
      <c r="O545" s="1618"/>
      <c r="P545" s="1618">
        <f t="shared" si="176"/>
        <v>0</v>
      </c>
      <c r="Q545" s="1618"/>
      <c r="R545" s="1618">
        <f t="shared" si="177"/>
        <v>0</v>
      </c>
      <c r="S545" s="1618"/>
      <c r="T545" s="1618">
        <f t="shared" si="166"/>
        <v>0</v>
      </c>
      <c r="U545" s="1616"/>
      <c r="V545" s="1618">
        <f t="shared" si="167"/>
        <v>0</v>
      </c>
      <c r="W545" s="1619" t="e">
        <f>U545+S545+O545+M545+#REF!+K545+I545+G545+Q545</f>
        <v>#REF!</v>
      </c>
      <c r="X545" s="1618" t="e">
        <f t="shared" si="169"/>
        <v>#REF!</v>
      </c>
      <c r="Y545" s="1619" t="e">
        <f t="shared" si="178"/>
        <v>#REF!</v>
      </c>
      <c r="Z545" s="1618" t="e">
        <f t="shared" si="170"/>
        <v>#REF!</v>
      </c>
      <c r="AA545" s="675"/>
      <c r="AB545" s="674"/>
    </row>
    <row r="546" spans="1:28" s="301" customFormat="1">
      <c r="A546" s="1655"/>
      <c r="B546" s="1166" t="s">
        <v>4844</v>
      </c>
      <c r="C546" s="1630">
        <v>5284.73</v>
      </c>
      <c r="D546" s="1631" t="s">
        <v>2308</v>
      </c>
      <c r="E546" s="1616">
        <f>station!I1295</f>
        <v>5.8</v>
      </c>
      <c r="F546" s="1617">
        <f t="shared" si="162"/>
        <v>30651.43</v>
      </c>
      <c r="G546" s="1616"/>
      <c r="H546" s="1618">
        <f t="shared" si="163"/>
        <v>0</v>
      </c>
      <c r="I546" s="1616"/>
      <c r="J546" s="1618">
        <f t="shared" si="164"/>
        <v>0</v>
      </c>
      <c r="K546" s="1618"/>
      <c r="L546" s="1618">
        <f t="shared" si="174"/>
        <v>0</v>
      </c>
      <c r="M546" s="1618"/>
      <c r="N546" s="1618">
        <f t="shared" si="175"/>
        <v>0</v>
      </c>
      <c r="O546" s="1618"/>
      <c r="P546" s="1618">
        <f t="shared" si="176"/>
        <v>0</v>
      </c>
      <c r="Q546" s="1618"/>
      <c r="R546" s="1618">
        <f t="shared" si="177"/>
        <v>0</v>
      </c>
      <c r="S546" s="1618"/>
      <c r="T546" s="1618">
        <f t="shared" si="166"/>
        <v>0</v>
      </c>
      <c r="U546" s="1616"/>
      <c r="V546" s="1618">
        <f t="shared" si="167"/>
        <v>0</v>
      </c>
      <c r="W546" s="1619" t="e">
        <f>U546+S546+O546+M546+#REF!+K546+I546+G546+Q546</f>
        <v>#REF!</v>
      </c>
      <c r="X546" s="1618" t="e">
        <f t="shared" si="169"/>
        <v>#REF!</v>
      </c>
      <c r="Y546" s="1619" t="e">
        <f t="shared" si="178"/>
        <v>#REF!</v>
      </c>
      <c r="Z546" s="1618" t="e">
        <f t="shared" si="170"/>
        <v>#REF!</v>
      </c>
      <c r="AA546" s="675"/>
      <c r="AB546" s="674"/>
    </row>
    <row r="547" spans="1:28" s="301" customFormat="1">
      <c r="A547" s="1655"/>
      <c r="B547" s="1166" t="s">
        <v>4850</v>
      </c>
      <c r="C547" s="1618">
        <f>Data!K961</f>
        <v>4790.3500000000004</v>
      </c>
      <c r="D547" s="1631" t="s">
        <v>2308</v>
      </c>
      <c r="E547" s="1616"/>
      <c r="F547" s="1617">
        <f t="shared" si="162"/>
        <v>0</v>
      </c>
      <c r="G547" s="1618"/>
      <c r="H547" s="1618">
        <f t="shared" si="163"/>
        <v>0</v>
      </c>
      <c r="I547" s="1618"/>
      <c r="J547" s="1618">
        <f t="shared" si="164"/>
        <v>0</v>
      </c>
      <c r="K547" s="1618"/>
      <c r="L547" s="1618">
        <f t="shared" si="174"/>
        <v>0</v>
      </c>
      <c r="M547" s="1618"/>
      <c r="N547" s="1618">
        <f t="shared" si="175"/>
        <v>0</v>
      </c>
      <c r="O547" s="1618"/>
      <c r="P547" s="1618">
        <f t="shared" si="176"/>
        <v>0</v>
      </c>
      <c r="Q547" s="1618"/>
      <c r="R547" s="1618">
        <f t="shared" si="177"/>
        <v>0</v>
      </c>
      <c r="S547" s="1618"/>
      <c r="T547" s="1618">
        <f t="shared" si="166"/>
        <v>0</v>
      </c>
      <c r="U547" s="1618"/>
      <c r="V547" s="1618">
        <f t="shared" si="167"/>
        <v>0</v>
      </c>
      <c r="W547" s="1619" t="e">
        <f>U547+S547+O547+M547+#REF!+K547+I547+G547+Q547</f>
        <v>#REF!</v>
      </c>
      <c r="X547" s="1618" t="e">
        <f t="shared" si="169"/>
        <v>#REF!</v>
      </c>
      <c r="Y547" s="1619" t="e">
        <f t="shared" si="178"/>
        <v>#REF!</v>
      </c>
      <c r="Z547" s="1618" t="e">
        <f t="shared" si="170"/>
        <v>#REF!</v>
      </c>
      <c r="AA547" s="675"/>
      <c r="AB547" s="673"/>
    </row>
    <row r="548" spans="1:28" s="301" customFormat="1">
      <c r="A548" s="1655"/>
      <c r="B548" s="1169" t="s">
        <v>4508</v>
      </c>
      <c r="C548" s="1630"/>
      <c r="D548" s="1631"/>
      <c r="E548" s="1616"/>
      <c r="F548" s="1617">
        <f t="shared" si="162"/>
        <v>0</v>
      </c>
      <c r="G548" s="1618"/>
      <c r="H548" s="1618">
        <f t="shared" si="163"/>
        <v>0</v>
      </c>
      <c r="I548" s="1618"/>
      <c r="J548" s="1618">
        <f t="shared" si="164"/>
        <v>0</v>
      </c>
      <c r="K548" s="1618"/>
      <c r="L548" s="1618">
        <f t="shared" si="174"/>
        <v>0</v>
      </c>
      <c r="M548" s="1618"/>
      <c r="N548" s="1618">
        <f t="shared" si="175"/>
        <v>0</v>
      </c>
      <c r="O548" s="1618"/>
      <c r="P548" s="1618">
        <f t="shared" si="176"/>
        <v>0</v>
      </c>
      <c r="Q548" s="1618"/>
      <c r="R548" s="1618">
        <f t="shared" si="177"/>
        <v>0</v>
      </c>
      <c r="S548" s="1618"/>
      <c r="T548" s="1618">
        <f t="shared" si="166"/>
        <v>0</v>
      </c>
      <c r="U548" s="1618"/>
      <c r="V548" s="1618">
        <f t="shared" si="167"/>
        <v>0</v>
      </c>
      <c r="W548" s="1619" t="e">
        <f>U548+S548+O548+M548+#REF!+K548+I548+G548+Q548</f>
        <v>#REF!</v>
      </c>
      <c r="X548" s="1618" t="e">
        <f t="shared" si="169"/>
        <v>#REF!</v>
      </c>
      <c r="Y548" s="1619" t="e">
        <f t="shared" si="178"/>
        <v>#REF!</v>
      </c>
      <c r="Z548" s="1618" t="e">
        <f t="shared" si="170"/>
        <v>#REF!</v>
      </c>
      <c r="AA548" s="675"/>
      <c r="AB548" s="673"/>
    </row>
    <row r="549" spans="1:28" s="301" customFormat="1" ht="45">
      <c r="A549" s="1655"/>
      <c r="B549" s="1166" t="s">
        <v>5313</v>
      </c>
      <c r="C549" s="1630">
        <f>Data!K3431</f>
        <v>5051.6899999999996</v>
      </c>
      <c r="D549" s="1631" t="s">
        <v>2308</v>
      </c>
      <c r="E549" s="1616"/>
      <c r="F549" s="1617">
        <f t="shared" si="162"/>
        <v>0</v>
      </c>
      <c r="G549" s="1616"/>
      <c r="H549" s="1618">
        <f t="shared" si="163"/>
        <v>0</v>
      </c>
      <c r="I549" s="1616"/>
      <c r="J549" s="1618">
        <f t="shared" si="164"/>
        <v>0</v>
      </c>
      <c r="K549" s="1618"/>
      <c r="L549" s="1618">
        <f t="shared" si="174"/>
        <v>0</v>
      </c>
      <c r="M549" s="1618"/>
      <c r="N549" s="1618">
        <f t="shared" si="175"/>
        <v>0</v>
      </c>
      <c r="O549" s="1618"/>
      <c r="P549" s="1618">
        <f t="shared" si="176"/>
        <v>0</v>
      </c>
      <c r="Q549" s="1618"/>
      <c r="R549" s="1618">
        <f t="shared" si="177"/>
        <v>0</v>
      </c>
      <c r="S549" s="1618"/>
      <c r="T549" s="1618">
        <f t="shared" si="166"/>
        <v>0</v>
      </c>
      <c r="U549" s="1616"/>
      <c r="V549" s="1618">
        <f t="shared" si="167"/>
        <v>0</v>
      </c>
      <c r="W549" s="1619" t="e">
        <f>U549+S549+O549+M549+#REF!+K549+I549+G549+Q549</f>
        <v>#REF!</v>
      </c>
      <c r="X549" s="1618" t="e">
        <f t="shared" si="169"/>
        <v>#REF!</v>
      </c>
      <c r="Y549" s="1619" t="e">
        <f t="shared" si="178"/>
        <v>#REF!</v>
      </c>
      <c r="Z549" s="1618" t="e">
        <f t="shared" si="170"/>
        <v>#REF!</v>
      </c>
      <c r="AA549" s="675"/>
      <c r="AB549" s="674"/>
    </row>
    <row r="550" spans="1:28" s="301" customFormat="1" ht="43.5">
      <c r="A550" s="1655"/>
      <c r="B550" s="1190" t="s">
        <v>5314</v>
      </c>
      <c r="C550" s="1630">
        <f>Data!AG2626</f>
        <v>5298.17</v>
      </c>
      <c r="D550" s="1631" t="s">
        <v>2308</v>
      </c>
      <c r="E550" s="1616"/>
      <c r="F550" s="1617">
        <f t="shared" si="162"/>
        <v>0</v>
      </c>
      <c r="G550" s="1616"/>
      <c r="H550" s="1618">
        <f t="shared" si="163"/>
        <v>0</v>
      </c>
      <c r="I550" s="1616"/>
      <c r="J550" s="1618">
        <f t="shared" si="164"/>
        <v>0</v>
      </c>
      <c r="K550" s="1618"/>
      <c r="L550" s="1618">
        <f t="shared" si="174"/>
        <v>0</v>
      </c>
      <c r="M550" s="1618"/>
      <c r="N550" s="1618">
        <f t="shared" si="175"/>
        <v>0</v>
      </c>
      <c r="O550" s="1618"/>
      <c r="P550" s="1618">
        <f t="shared" si="176"/>
        <v>0</v>
      </c>
      <c r="Q550" s="1618"/>
      <c r="R550" s="1618">
        <f t="shared" si="177"/>
        <v>0</v>
      </c>
      <c r="S550" s="1618"/>
      <c r="T550" s="1618">
        <f t="shared" si="166"/>
        <v>0</v>
      </c>
      <c r="U550" s="1616"/>
      <c r="V550" s="1618">
        <f t="shared" si="167"/>
        <v>0</v>
      </c>
      <c r="W550" s="1619" t="e">
        <f>U550+S550+O550+M550+#REF!+K550+I550+G550+Q550</f>
        <v>#REF!</v>
      </c>
      <c r="X550" s="1618" t="e">
        <f t="shared" si="169"/>
        <v>#REF!</v>
      </c>
      <c r="Y550" s="1619" t="e">
        <f t="shared" si="178"/>
        <v>#REF!</v>
      </c>
      <c r="Z550" s="1618" t="e">
        <f t="shared" si="170"/>
        <v>#REF!</v>
      </c>
      <c r="AA550" s="675"/>
      <c r="AB550" s="674"/>
    </row>
    <row r="551" spans="1:28" s="301" customFormat="1" ht="45">
      <c r="A551" s="1655"/>
      <c r="B551" s="1166" t="s">
        <v>5315</v>
      </c>
      <c r="C551" s="1630">
        <f>Data!AG2660</f>
        <v>5533.07</v>
      </c>
      <c r="D551" s="1679" t="s">
        <v>2308</v>
      </c>
      <c r="E551" s="1616">
        <f>station!I1298</f>
        <v>8.6999999999999993</v>
      </c>
      <c r="F551" s="1617">
        <f t="shared" si="162"/>
        <v>48137.71</v>
      </c>
      <c r="G551" s="1616"/>
      <c r="H551" s="1618">
        <f t="shared" si="163"/>
        <v>0</v>
      </c>
      <c r="I551" s="1616"/>
      <c r="J551" s="1618">
        <f t="shared" si="164"/>
        <v>0</v>
      </c>
      <c r="K551" s="1618"/>
      <c r="L551" s="1618">
        <f t="shared" si="174"/>
        <v>0</v>
      </c>
      <c r="M551" s="1618"/>
      <c r="N551" s="1618">
        <f t="shared" si="175"/>
        <v>0</v>
      </c>
      <c r="O551" s="1618"/>
      <c r="P551" s="1618">
        <f t="shared" si="176"/>
        <v>0</v>
      </c>
      <c r="Q551" s="1618"/>
      <c r="R551" s="1618">
        <f t="shared" si="177"/>
        <v>0</v>
      </c>
      <c r="S551" s="1618"/>
      <c r="T551" s="1618">
        <f t="shared" si="166"/>
        <v>0</v>
      </c>
      <c r="U551" s="1616"/>
      <c r="V551" s="1618">
        <f t="shared" si="167"/>
        <v>0</v>
      </c>
      <c r="W551" s="1619" t="e">
        <f>U551+S551+O551+M551+#REF!+K551+I551+G551+Q551</f>
        <v>#REF!</v>
      </c>
      <c r="X551" s="1618" t="e">
        <f t="shared" si="169"/>
        <v>#REF!</v>
      </c>
      <c r="Y551" s="1619" t="e">
        <f t="shared" si="178"/>
        <v>#REF!</v>
      </c>
      <c r="Z551" s="1618" t="e">
        <f t="shared" si="170"/>
        <v>#REF!</v>
      </c>
      <c r="AA551" s="675"/>
      <c r="AB551" s="674"/>
    </row>
    <row r="552" spans="1:28" s="301" customFormat="1" ht="42" customHeight="1">
      <c r="A552" s="1655"/>
      <c r="B552" s="1166" t="s">
        <v>3693</v>
      </c>
      <c r="C552" s="1630">
        <v>3127.38</v>
      </c>
      <c r="D552" s="1679" t="s">
        <v>2308</v>
      </c>
      <c r="E552" s="1616">
        <f>station!I1307</f>
        <v>23.1</v>
      </c>
      <c r="F552" s="1617">
        <f t="shared" si="162"/>
        <v>72242.48</v>
      </c>
      <c r="G552" s="1616"/>
      <c r="H552" s="1618">
        <f t="shared" si="163"/>
        <v>0</v>
      </c>
      <c r="I552" s="1616"/>
      <c r="J552" s="1618">
        <f t="shared" si="164"/>
        <v>0</v>
      </c>
      <c r="K552" s="1618"/>
      <c r="L552" s="1618">
        <f t="shared" si="174"/>
        <v>0</v>
      </c>
      <c r="M552" s="1618"/>
      <c r="N552" s="1618">
        <f t="shared" si="175"/>
        <v>0</v>
      </c>
      <c r="O552" s="1618"/>
      <c r="P552" s="1618">
        <f t="shared" si="176"/>
        <v>0</v>
      </c>
      <c r="Q552" s="1618"/>
      <c r="R552" s="1618">
        <f t="shared" si="177"/>
        <v>0</v>
      </c>
      <c r="S552" s="1618"/>
      <c r="T552" s="1618">
        <f t="shared" si="166"/>
        <v>0</v>
      </c>
      <c r="U552" s="1616"/>
      <c r="V552" s="1618">
        <f t="shared" si="167"/>
        <v>0</v>
      </c>
      <c r="W552" s="1619" t="e">
        <f>U552+S552+O552+M552+#REF!+K552+I552+G552+Q552</f>
        <v>#REF!</v>
      </c>
      <c r="X552" s="1618"/>
      <c r="Y552" s="1619" t="e">
        <f t="shared" si="178"/>
        <v>#REF!</v>
      </c>
      <c r="Z552" s="1618" t="e">
        <f t="shared" si="170"/>
        <v>#REF!</v>
      </c>
      <c r="AA552" s="675"/>
      <c r="AB552" s="674"/>
    </row>
    <row r="553" spans="1:28" s="301" customFormat="1" ht="39" customHeight="1">
      <c r="A553" s="1655"/>
      <c r="B553" s="1166" t="s">
        <v>3811</v>
      </c>
      <c r="C553" s="1630">
        <v>2959.11</v>
      </c>
      <c r="D553" s="1679" t="s">
        <v>236</v>
      </c>
      <c r="E553" s="1616">
        <f>station!I1311</f>
        <v>15.2</v>
      </c>
      <c r="F553" s="1617">
        <f t="shared" si="162"/>
        <v>44978.47</v>
      </c>
      <c r="G553" s="1616"/>
      <c r="H553" s="1618">
        <f t="shared" si="163"/>
        <v>0</v>
      </c>
      <c r="I553" s="1616"/>
      <c r="J553" s="1618">
        <f t="shared" si="164"/>
        <v>0</v>
      </c>
      <c r="K553" s="1618"/>
      <c r="L553" s="1618">
        <f t="shared" si="174"/>
        <v>0</v>
      </c>
      <c r="M553" s="1618"/>
      <c r="N553" s="1618">
        <f t="shared" si="175"/>
        <v>0</v>
      </c>
      <c r="O553" s="1618"/>
      <c r="P553" s="1618">
        <f t="shared" si="176"/>
        <v>0</v>
      </c>
      <c r="Q553" s="1618"/>
      <c r="R553" s="1618">
        <f t="shared" si="177"/>
        <v>0</v>
      </c>
      <c r="S553" s="1618"/>
      <c r="T553" s="1618">
        <f t="shared" si="166"/>
        <v>0</v>
      </c>
      <c r="U553" s="1616"/>
      <c r="V553" s="1618">
        <f t="shared" si="167"/>
        <v>0</v>
      </c>
      <c r="W553" s="1619" t="e">
        <f>U553+S553+O553+M553+#REF!+K553+I553+G553+Q553</f>
        <v>#REF!</v>
      </c>
      <c r="X553" s="1618"/>
      <c r="Y553" s="1619" t="e">
        <f t="shared" si="178"/>
        <v>#REF!</v>
      </c>
      <c r="Z553" s="1618" t="e">
        <f t="shared" si="170"/>
        <v>#REF!</v>
      </c>
      <c r="AA553" s="675"/>
      <c r="AB553" s="674"/>
    </row>
    <row r="554" spans="1:28" s="301" customFormat="1" ht="39" customHeight="1">
      <c r="A554" s="1655"/>
      <c r="B554" s="1166" t="s">
        <v>1718</v>
      </c>
      <c r="C554" s="1630">
        <v>708.1</v>
      </c>
      <c r="D554" s="1679" t="s">
        <v>2308</v>
      </c>
      <c r="E554" s="1616">
        <f>station!I1326</f>
        <v>85.85</v>
      </c>
      <c r="F554" s="1617">
        <f t="shared" si="162"/>
        <v>60790.39</v>
      </c>
      <c r="G554" s="1616"/>
      <c r="H554" s="1618">
        <f t="shared" si="163"/>
        <v>0</v>
      </c>
      <c r="I554" s="1616"/>
      <c r="J554" s="1618">
        <f t="shared" si="164"/>
        <v>0</v>
      </c>
      <c r="K554" s="1618"/>
      <c r="L554" s="1618">
        <f t="shared" si="174"/>
        <v>0</v>
      </c>
      <c r="M554" s="1618"/>
      <c r="N554" s="1618">
        <f t="shared" si="175"/>
        <v>0</v>
      </c>
      <c r="O554" s="1618"/>
      <c r="P554" s="1618">
        <f t="shared" si="176"/>
        <v>0</v>
      </c>
      <c r="Q554" s="1618"/>
      <c r="R554" s="1618">
        <f t="shared" si="177"/>
        <v>0</v>
      </c>
      <c r="S554" s="1618"/>
      <c r="T554" s="1618">
        <f t="shared" si="166"/>
        <v>0</v>
      </c>
      <c r="U554" s="1616"/>
      <c r="V554" s="1618">
        <f t="shared" si="167"/>
        <v>0</v>
      </c>
      <c r="W554" s="1619" t="e">
        <f>U554+S554+O554+M554+#REF!+K554+I554+G554+Q554</f>
        <v>#REF!</v>
      </c>
      <c r="X554" s="1618"/>
      <c r="Y554" s="1619" t="e">
        <f t="shared" si="178"/>
        <v>#REF!</v>
      </c>
      <c r="Z554" s="1618" t="e">
        <f t="shared" si="170"/>
        <v>#REF!</v>
      </c>
      <c r="AA554" s="675"/>
      <c r="AB554" s="674"/>
    </row>
    <row r="555" spans="1:28" s="301" customFormat="1" ht="45">
      <c r="A555" s="1655"/>
      <c r="B555" s="1166" t="s">
        <v>5316</v>
      </c>
      <c r="C555" s="1630">
        <f>Data!R3200</f>
        <v>6182.41</v>
      </c>
      <c r="D555" s="1631" t="s">
        <v>2308</v>
      </c>
      <c r="E555" s="1616"/>
      <c r="F555" s="1617">
        <f t="shared" si="162"/>
        <v>0</v>
      </c>
      <c r="G555" s="1616"/>
      <c r="H555" s="1618">
        <f t="shared" si="163"/>
        <v>0</v>
      </c>
      <c r="I555" s="1616"/>
      <c r="J555" s="1618">
        <f t="shared" si="164"/>
        <v>0</v>
      </c>
      <c r="K555" s="1618"/>
      <c r="L555" s="1618">
        <f t="shared" si="174"/>
        <v>0</v>
      </c>
      <c r="M555" s="1618"/>
      <c r="N555" s="1618">
        <f t="shared" si="175"/>
        <v>0</v>
      </c>
      <c r="O555" s="1618"/>
      <c r="P555" s="1618">
        <f t="shared" si="176"/>
        <v>0</v>
      </c>
      <c r="Q555" s="1618"/>
      <c r="R555" s="1618">
        <f t="shared" si="177"/>
        <v>0</v>
      </c>
      <c r="S555" s="1618"/>
      <c r="T555" s="1618">
        <f t="shared" si="166"/>
        <v>0</v>
      </c>
      <c r="U555" s="1616"/>
      <c r="V555" s="1618">
        <f t="shared" si="167"/>
        <v>0</v>
      </c>
      <c r="W555" s="1619" t="e">
        <f>U555+S555+O555+M555+#REF!+K555+I555+G555+Q555</f>
        <v>#REF!</v>
      </c>
      <c r="X555" s="1618" t="e">
        <f t="shared" ref="X555:X596" si="179">W555*C555</f>
        <v>#REF!</v>
      </c>
      <c r="Y555" s="1619" t="e">
        <f t="shared" si="178"/>
        <v>#REF!</v>
      </c>
      <c r="Z555" s="1618" t="e">
        <f t="shared" ref="Z555:Z584" si="180">Y555*C555</f>
        <v>#REF!</v>
      </c>
      <c r="AA555" s="675"/>
      <c r="AB555" s="674"/>
    </row>
    <row r="556" spans="1:28" s="301" customFormat="1">
      <c r="A556" s="1655"/>
      <c r="B556" s="1166" t="s">
        <v>5317</v>
      </c>
      <c r="C556" s="1630">
        <f>Data!K2644</f>
        <v>5846.33</v>
      </c>
      <c r="D556" s="1631" t="s">
        <v>2308</v>
      </c>
      <c r="E556" s="1616"/>
      <c r="F556" s="1617">
        <f t="shared" si="162"/>
        <v>0</v>
      </c>
      <c r="G556" s="1618"/>
      <c r="H556" s="1618">
        <f t="shared" si="163"/>
        <v>0</v>
      </c>
      <c r="I556" s="1618"/>
      <c r="J556" s="1618">
        <f t="shared" si="164"/>
        <v>0</v>
      </c>
      <c r="K556" s="1618"/>
      <c r="L556" s="1618">
        <f t="shared" si="174"/>
        <v>0</v>
      </c>
      <c r="M556" s="1618"/>
      <c r="N556" s="1618">
        <f t="shared" si="175"/>
        <v>0</v>
      </c>
      <c r="O556" s="1618"/>
      <c r="P556" s="1618">
        <f t="shared" si="176"/>
        <v>0</v>
      </c>
      <c r="Q556" s="1618"/>
      <c r="R556" s="1618">
        <f t="shared" si="177"/>
        <v>0</v>
      </c>
      <c r="S556" s="1618"/>
      <c r="T556" s="1618">
        <f t="shared" si="166"/>
        <v>0</v>
      </c>
      <c r="U556" s="1618"/>
      <c r="V556" s="1618">
        <f t="shared" si="167"/>
        <v>0</v>
      </c>
      <c r="W556" s="1619" t="e">
        <f>U556+S556+O556+M556+#REF!+K556+I556+G556+Q556</f>
        <v>#REF!</v>
      </c>
      <c r="X556" s="1618" t="e">
        <f t="shared" si="179"/>
        <v>#REF!</v>
      </c>
      <c r="Y556" s="1619" t="e">
        <f t="shared" si="178"/>
        <v>#REF!</v>
      </c>
      <c r="Z556" s="1618" t="e">
        <f t="shared" si="180"/>
        <v>#REF!</v>
      </c>
      <c r="AA556" s="675"/>
      <c r="AB556" s="673"/>
    </row>
    <row r="557" spans="1:28" s="301" customFormat="1" ht="43.5">
      <c r="A557" s="1655"/>
      <c r="B557" s="1190" t="s">
        <v>5318</v>
      </c>
      <c r="C557" s="1630">
        <f>Data!R2651</f>
        <v>6199.77</v>
      </c>
      <c r="D557" s="1631" t="s">
        <v>2308</v>
      </c>
      <c r="E557" s="1616"/>
      <c r="F557" s="1617">
        <f t="shared" si="162"/>
        <v>0</v>
      </c>
      <c r="G557" s="1616"/>
      <c r="H557" s="1618">
        <f t="shared" si="163"/>
        <v>0</v>
      </c>
      <c r="I557" s="1616"/>
      <c r="J557" s="1618">
        <f t="shared" si="164"/>
        <v>0</v>
      </c>
      <c r="K557" s="1618"/>
      <c r="L557" s="1618">
        <f t="shared" si="174"/>
        <v>0</v>
      </c>
      <c r="M557" s="1618"/>
      <c r="N557" s="1618">
        <f t="shared" si="175"/>
        <v>0</v>
      </c>
      <c r="O557" s="1618"/>
      <c r="P557" s="1618">
        <f t="shared" si="176"/>
        <v>0</v>
      </c>
      <c r="Q557" s="1618"/>
      <c r="R557" s="1618">
        <f t="shared" si="177"/>
        <v>0</v>
      </c>
      <c r="S557" s="1618"/>
      <c r="T557" s="1618">
        <f t="shared" si="166"/>
        <v>0</v>
      </c>
      <c r="U557" s="1616"/>
      <c r="V557" s="1618">
        <f t="shared" si="167"/>
        <v>0</v>
      </c>
      <c r="W557" s="1619" t="e">
        <f>U557+S557+O557+M557+#REF!+K557+I557+G557+Q557</f>
        <v>#REF!</v>
      </c>
      <c r="X557" s="1618" t="e">
        <f t="shared" si="179"/>
        <v>#REF!</v>
      </c>
      <c r="Y557" s="1619" t="e">
        <f t="shared" si="178"/>
        <v>#REF!</v>
      </c>
      <c r="Z557" s="1618" t="e">
        <f t="shared" si="180"/>
        <v>#REF!</v>
      </c>
      <c r="AA557" s="675"/>
      <c r="AB557" s="674"/>
    </row>
    <row r="558" spans="1:28" s="301" customFormat="1" ht="60.75">
      <c r="A558" s="1655"/>
      <c r="B558" s="1191" t="s">
        <v>5319</v>
      </c>
      <c r="C558" s="1680">
        <f>'Sliding and french window'!G219</f>
        <v>27750</v>
      </c>
      <c r="D558" s="1681" t="s">
        <v>1418</v>
      </c>
      <c r="E558" s="1616"/>
      <c r="F558" s="1617">
        <f t="shared" si="162"/>
        <v>0</v>
      </c>
      <c r="G558" s="1616"/>
      <c r="H558" s="1618">
        <f t="shared" si="163"/>
        <v>0</v>
      </c>
      <c r="I558" s="1616"/>
      <c r="J558" s="1618">
        <f t="shared" si="164"/>
        <v>0</v>
      </c>
      <c r="K558" s="1618"/>
      <c r="L558" s="1618">
        <f t="shared" si="174"/>
        <v>0</v>
      </c>
      <c r="M558" s="1618"/>
      <c r="N558" s="1618">
        <f t="shared" si="175"/>
        <v>0</v>
      </c>
      <c r="O558" s="1618"/>
      <c r="P558" s="1618">
        <f t="shared" si="176"/>
        <v>0</v>
      </c>
      <c r="Q558" s="1618"/>
      <c r="R558" s="1618">
        <f t="shared" si="177"/>
        <v>0</v>
      </c>
      <c r="S558" s="1618"/>
      <c r="T558" s="1618">
        <f t="shared" si="166"/>
        <v>0</v>
      </c>
      <c r="U558" s="1616"/>
      <c r="V558" s="1618">
        <f t="shared" si="167"/>
        <v>0</v>
      </c>
      <c r="W558" s="1619" t="e">
        <f>U558+S558+O558+M558+#REF!+K558+I558+G558+Q558</f>
        <v>#REF!</v>
      </c>
      <c r="X558" s="1618" t="e">
        <f t="shared" si="179"/>
        <v>#REF!</v>
      </c>
      <c r="Y558" s="1619" t="e">
        <f t="shared" si="178"/>
        <v>#REF!</v>
      </c>
      <c r="Z558" s="1618" t="e">
        <f t="shared" si="180"/>
        <v>#REF!</v>
      </c>
      <c r="AA558" s="675"/>
      <c r="AB558" s="674"/>
    </row>
    <row r="559" spans="1:28" s="301" customFormat="1" ht="45">
      <c r="A559" s="1655"/>
      <c r="B559" s="1170" t="s">
        <v>4509</v>
      </c>
      <c r="C559" s="1682"/>
      <c r="D559" s="1682"/>
      <c r="E559" s="1616"/>
      <c r="F559" s="1617">
        <f t="shared" si="162"/>
        <v>0</v>
      </c>
      <c r="G559" s="1616"/>
      <c r="H559" s="1618">
        <f t="shared" si="163"/>
        <v>0</v>
      </c>
      <c r="I559" s="1616"/>
      <c r="J559" s="1618">
        <f t="shared" si="164"/>
        <v>0</v>
      </c>
      <c r="K559" s="1618"/>
      <c r="L559" s="1618">
        <f t="shared" si="174"/>
        <v>0</v>
      </c>
      <c r="M559" s="1618"/>
      <c r="N559" s="1618">
        <f t="shared" si="175"/>
        <v>0</v>
      </c>
      <c r="O559" s="1618"/>
      <c r="P559" s="1618">
        <f t="shared" si="176"/>
        <v>0</v>
      </c>
      <c r="Q559" s="1618"/>
      <c r="R559" s="1618">
        <f t="shared" si="177"/>
        <v>0</v>
      </c>
      <c r="S559" s="1618"/>
      <c r="T559" s="1618">
        <f t="shared" si="166"/>
        <v>0</v>
      </c>
      <c r="U559" s="1616"/>
      <c r="V559" s="1618">
        <f t="shared" si="167"/>
        <v>0</v>
      </c>
      <c r="W559" s="1619" t="e">
        <f>U559+S559+O559+M559+#REF!+K559+I559+G559+Q559</f>
        <v>#REF!</v>
      </c>
      <c r="X559" s="1618" t="e">
        <f t="shared" si="179"/>
        <v>#REF!</v>
      </c>
      <c r="Y559" s="1619" t="e">
        <f t="shared" si="178"/>
        <v>#REF!</v>
      </c>
      <c r="Z559" s="1618" t="e">
        <f t="shared" si="180"/>
        <v>#REF!</v>
      </c>
      <c r="AA559" s="675"/>
      <c r="AB559" s="674"/>
    </row>
    <row r="560" spans="1:28" s="301" customFormat="1" ht="45">
      <c r="A560" s="1655"/>
      <c r="B560" s="1166" t="s">
        <v>4513</v>
      </c>
      <c r="C560" s="1630">
        <f>Data!R3163</f>
        <v>3117.04</v>
      </c>
      <c r="D560" s="1631" t="s">
        <v>2308</v>
      </c>
      <c r="E560" s="1616"/>
      <c r="F560" s="1617">
        <f t="shared" si="162"/>
        <v>0</v>
      </c>
      <c r="G560" s="1616"/>
      <c r="H560" s="1618">
        <f t="shared" si="163"/>
        <v>0</v>
      </c>
      <c r="I560" s="1616"/>
      <c r="J560" s="1618">
        <f t="shared" si="164"/>
        <v>0</v>
      </c>
      <c r="K560" s="1618"/>
      <c r="L560" s="1618">
        <f t="shared" si="174"/>
        <v>0</v>
      </c>
      <c r="M560" s="1618"/>
      <c r="N560" s="1618">
        <f t="shared" si="175"/>
        <v>0</v>
      </c>
      <c r="O560" s="1618"/>
      <c r="P560" s="1618">
        <f t="shared" si="176"/>
        <v>0</v>
      </c>
      <c r="Q560" s="1618"/>
      <c r="R560" s="1618">
        <f t="shared" si="177"/>
        <v>0</v>
      </c>
      <c r="S560" s="1618"/>
      <c r="T560" s="1618">
        <f t="shared" si="166"/>
        <v>0</v>
      </c>
      <c r="U560" s="1616"/>
      <c r="V560" s="1618">
        <f t="shared" si="167"/>
        <v>0</v>
      </c>
      <c r="W560" s="1619" t="e">
        <f>U560+S560+O560+M560+#REF!+K560+I560+G560+Q560</f>
        <v>#REF!</v>
      </c>
      <c r="X560" s="1618" t="e">
        <f t="shared" si="179"/>
        <v>#REF!</v>
      </c>
      <c r="Y560" s="1619" t="e">
        <f t="shared" si="178"/>
        <v>#REF!</v>
      </c>
      <c r="Z560" s="1618" t="e">
        <f t="shared" si="180"/>
        <v>#REF!</v>
      </c>
      <c r="AA560" s="675"/>
      <c r="AB560" s="674"/>
    </row>
    <row r="561" spans="1:29" s="301" customFormat="1" ht="45">
      <c r="A561" s="1655"/>
      <c r="B561" s="1166" t="s">
        <v>3909</v>
      </c>
      <c r="C561" s="1625">
        <f>Data!R1074</f>
        <v>3309.65</v>
      </c>
      <c r="D561" s="1610" t="s">
        <v>2308</v>
      </c>
      <c r="E561" s="1616"/>
      <c r="F561" s="1617">
        <f t="shared" si="162"/>
        <v>0</v>
      </c>
      <c r="G561" s="1616"/>
      <c r="H561" s="1618">
        <f t="shared" si="163"/>
        <v>0</v>
      </c>
      <c r="I561" s="1616"/>
      <c r="J561" s="1618">
        <f t="shared" si="164"/>
        <v>0</v>
      </c>
      <c r="K561" s="1618"/>
      <c r="L561" s="1618">
        <f t="shared" si="174"/>
        <v>0</v>
      </c>
      <c r="M561" s="1618"/>
      <c r="N561" s="1618">
        <f t="shared" si="175"/>
        <v>0</v>
      </c>
      <c r="O561" s="1618"/>
      <c r="P561" s="1618">
        <f t="shared" si="176"/>
        <v>0</v>
      </c>
      <c r="Q561" s="1618"/>
      <c r="R561" s="1618">
        <f t="shared" si="177"/>
        <v>0</v>
      </c>
      <c r="S561" s="1618"/>
      <c r="T561" s="1618">
        <f t="shared" si="166"/>
        <v>0</v>
      </c>
      <c r="U561" s="1616"/>
      <c r="V561" s="1618">
        <f t="shared" si="167"/>
        <v>0</v>
      </c>
      <c r="W561" s="1619" t="e">
        <f>U561+S561+O561+M561+#REF!+K561+I561+G561+Q561</f>
        <v>#REF!</v>
      </c>
      <c r="X561" s="1618" t="e">
        <f t="shared" si="179"/>
        <v>#REF!</v>
      </c>
      <c r="Y561" s="1619" t="e">
        <f t="shared" si="178"/>
        <v>#REF!</v>
      </c>
      <c r="Z561" s="1618" t="e">
        <f t="shared" si="180"/>
        <v>#REF!</v>
      </c>
      <c r="AA561" s="675"/>
      <c r="AB561" s="674"/>
    </row>
    <row r="562" spans="1:29" ht="45">
      <c r="A562" s="1625"/>
      <c r="B562" s="1166" t="s">
        <v>4510</v>
      </c>
      <c r="C562" s="1645">
        <f>Data!K1063</f>
        <v>3424.55</v>
      </c>
      <c r="D562" s="1610" t="s">
        <v>2308</v>
      </c>
      <c r="E562" s="1616"/>
      <c r="F562" s="1617">
        <f t="shared" si="162"/>
        <v>0</v>
      </c>
      <c r="G562" s="1618"/>
      <c r="H562" s="1618">
        <f t="shared" si="163"/>
        <v>0</v>
      </c>
      <c r="I562" s="1618"/>
      <c r="J562" s="1618">
        <f t="shared" si="164"/>
        <v>0</v>
      </c>
      <c r="K562" s="1618"/>
      <c r="L562" s="1618">
        <f t="shared" si="174"/>
        <v>0</v>
      </c>
      <c r="M562" s="1618"/>
      <c r="N562" s="1618">
        <f t="shared" si="175"/>
        <v>0</v>
      </c>
      <c r="O562" s="1618"/>
      <c r="P562" s="1618">
        <f t="shared" si="176"/>
        <v>0</v>
      </c>
      <c r="Q562" s="1618"/>
      <c r="R562" s="1618">
        <f t="shared" si="177"/>
        <v>0</v>
      </c>
      <c r="S562" s="1618"/>
      <c r="T562" s="1618">
        <f t="shared" si="166"/>
        <v>0</v>
      </c>
      <c r="U562" s="1618"/>
      <c r="V562" s="1618">
        <f t="shared" si="167"/>
        <v>0</v>
      </c>
      <c r="W562" s="1619" t="e">
        <f>U562+S562+O562+M562+#REF!+K562+I562+G562+Q562</f>
        <v>#REF!</v>
      </c>
      <c r="X562" s="1618" t="e">
        <f t="shared" si="179"/>
        <v>#REF!</v>
      </c>
      <c r="Y562" s="1619" t="e">
        <f t="shared" si="178"/>
        <v>#REF!</v>
      </c>
      <c r="Z562" s="1618" t="e">
        <f t="shared" si="180"/>
        <v>#REF!</v>
      </c>
      <c r="AA562" s="673"/>
      <c r="AB562" s="673"/>
    </row>
    <row r="563" spans="1:29" s="301" customFormat="1" ht="82.5" hidden="1" customHeight="1">
      <c r="A563" s="370"/>
      <c r="B563" s="320" t="s">
        <v>4511</v>
      </c>
      <c r="C563" s="511">
        <f>Data!R997</f>
        <v>3850.37</v>
      </c>
      <c r="D563" s="511" t="s">
        <v>2308</v>
      </c>
      <c r="E563" s="526"/>
      <c r="F563" s="630">
        <f t="shared" si="162"/>
        <v>0</v>
      </c>
      <c r="G563" s="526"/>
      <c r="H563" s="517">
        <f t="shared" si="163"/>
        <v>0</v>
      </c>
      <c r="I563" s="526"/>
      <c r="J563" s="517">
        <f t="shared" si="164"/>
        <v>0</v>
      </c>
      <c r="K563" s="517"/>
      <c r="L563" s="517"/>
      <c r="M563" s="517"/>
      <c r="N563" s="517"/>
      <c r="O563" s="517"/>
      <c r="P563" s="517"/>
      <c r="Q563" s="517"/>
      <c r="R563" s="517"/>
      <c r="S563" s="517"/>
      <c r="T563" s="517">
        <f t="shared" si="166"/>
        <v>0</v>
      </c>
      <c r="U563" s="526"/>
      <c r="V563" s="517">
        <f t="shared" si="167"/>
        <v>0</v>
      </c>
      <c r="W563" s="632">
        <f>I563+S563+U563</f>
        <v>0</v>
      </c>
      <c r="X563" s="517">
        <f t="shared" si="179"/>
        <v>0</v>
      </c>
      <c r="Y563" s="632">
        <f>W563+E563+G563</f>
        <v>0</v>
      </c>
      <c r="Z563" s="517">
        <f t="shared" si="180"/>
        <v>0</v>
      </c>
      <c r="AA563" s="675"/>
      <c r="AB563" s="674"/>
    </row>
    <row r="564" spans="1:29" s="301" customFormat="1" ht="74.25" hidden="1" customHeight="1">
      <c r="A564" s="370"/>
      <c r="B564" s="320" t="s">
        <v>4512</v>
      </c>
      <c r="C564" s="307"/>
      <c r="D564" s="486" t="s">
        <v>2308</v>
      </c>
      <c r="E564" s="526"/>
      <c r="F564" s="630">
        <f t="shared" si="162"/>
        <v>0</v>
      </c>
      <c r="G564" s="526"/>
      <c r="H564" s="517">
        <f t="shared" si="163"/>
        <v>0</v>
      </c>
      <c r="I564" s="526"/>
      <c r="J564" s="517">
        <f t="shared" si="164"/>
        <v>0</v>
      </c>
      <c r="K564" s="517"/>
      <c r="L564" s="517"/>
      <c r="M564" s="517"/>
      <c r="N564" s="517"/>
      <c r="O564" s="517"/>
      <c r="P564" s="517"/>
      <c r="Q564" s="517"/>
      <c r="R564" s="517"/>
      <c r="S564" s="517"/>
      <c r="T564" s="517">
        <f t="shared" si="166"/>
        <v>0</v>
      </c>
      <c r="U564" s="526"/>
      <c r="V564" s="517">
        <f t="shared" si="167"/>
        <v>0</v>
      </c>
      <c r="W564" s="632">
        <f>I564+S564+U564</f>
        <v>0</v>
      </c>
      <c r="X564" s="517">
        <f t="shared" si="179"/>
        <v>0</v>
      </c>
      <c r="Y564" s="632">
        <f>W564+E564+G564</f>
        <v>0</v>
      </c>
      <c r="Z564" s="517">
        <f t="shared" si="180"/>
        <v>0</v>
      </c>
      <c r="AA564" s="675"/>
      <c r="AB564" s="674"/>
    </row>
    <row r="565" spans="1:29" ht="58.5" customHeight="1">
      <c r="A565" s="1658" t="s">
        <v>3578</v>
      </c>
      <c r="B565" s="1166" t="s">
        <v>4473</v>
      </c>
      <c r="C565" s="1612">
        <f>Data!C701</f>
        <v>3167</v>
      </c>
      <c r="D565" s="1610" t="s">
        <v>2308</v>
      </c>
      <c r="E565" s="1616">
        <f>station!I1300</f>
        <v>20.5</v>
      </c>
      <c r="F565" s="1617">
        <f t="shared" si="162"/>
        <v>64923.5</v>
      </c>
      <c r="G565" s="1618"/>
      <c r="H565" s="1618">
        <f>G565*C565</f>
        <v>0</v>
      </c>
      <c r="I565" s="1618"/>
      <c r="J565" s="1618">
        <f>I565*C565</f>
        <v>0</v>
      </c>
      <c r="K565" s="1618"/>
      <c r="L565" s="1618">
        <f>K565*C565</f>
        <v>0</v>
      </c>
      <c r="M565" s="1618"/>
      <c r="N565" s="1618">
        <f>M565*C565</f>
        <v>0</v>
      </c>
      <c r="O565" s="1618"/>
      <c r="P565" s="1618">
        <f>O565*C565</f>
        <v>0</v>
      </c>
      <c r="Q565" s="1618"/>
      <c r="R565" s="1618">
        <f>Q565*C565</f>
        <v>0</v>
      </c>
      <c r="S565" s="1618"/>
      <c r="T565" s="1618">
        <f t="shared" si="166"/>
        <v>0</v>
      </c>
      <c r="U565" s="1618"/>
      <c r="V565" s="1618">
        <f t="shared" si="167"/>
        <v>0</v>
      </c>
      <c r="W565" s="1619" t="e">
        <f>U565+S565+O565+M565+#REF!+K565+I565+G565+Q565</f>
        <v>#REF!</v>
      </c>
      <c r="X565" s="1618" t="e">
        <f t="shared" si="179"/>
        <v>#REF!</v>
      </c>
      <c r="Y565" s="1619" t="e">
        <f>W565+E565</f>
        <v>#REF!</v>
      </c>
      <c r="Z565" s="1618" t="e">
        <f t="shared" si="180"/>
        <v>#REF!</v>
      </c>
      <c r="AA565" s="673"/>
      <c r="AB565" s="673"/>
    </row>
    <row r="566" spans="1:29" s="475" customFormat="1" ht="66.75" hidden="1" customHeight="1">
      <c r="A566" s="523" t="s">
        <v>703</v>
      </c>
      <c r="B566" s="465" t="s">
        <v>1718</v>
      </c>
      <c r="C566" s="511">
        <f>ROUND(Data!K1182,2)</f>
        <v>708.1</v>
      </c>
      <c r="D566" s="510" t="s">
        <v>2308</v>
      </c>
      <c r="E566" s="526"/>
      <c r="F566" s="630">
        <f t="shared" si="162"/>
        <v>0</v>
      </c>
      <c r="G566" s="526"/>
      <c r="H566" s="517">
        <f t="shared" si="163"/>
        <v>0</v>
      </c>
      <c r="I566" s="526"/>
      <c r="J566" s="517">
        <f t="shared" si="164"/>
        <v>0</v>
      </c>
      <c r="K566" s="517"/>
      <c r="L566" s="517"/>
      <c r="M566" s="517"/>
      <c r="N566" s="517"/>
      <c r="O566" s="517"/>
      <c r="P566" s="517"/>
      <c r="Q566" s="517"/>
      <c r="R566" s="517"/>
      <c r="S566" s="517"/>
      <c r="T566" s="517">
        <f t="shared" si="166"/>
        <v>0</v>
      </c>
      <c r="U566" s="526"/>
      <c r="V566" s="517">
        <f t="shared" si="167"/>
        <v>0</v>
      </c>
      <c r="W566" s="632">
        <f t="shared" ref="W566:W572" si="181">I566+S566+U566</f>
        <v>0</v>
      </c>
      <c r="X566" s="517">
        <f t="shared" si="179"/>
        <v>0</v>
      </c>
      <c r="Y566" s="632">
        <f t="shared" ref="Y566:Y572" si="182">W566+E566+G566</f>
        <v>0</v>
      </c>
      <c r="Z566" s="517">
        <f t="shared" si="180"/>
        <v>0</v>
      </c>
      <c r="AA566" s="674"/>
      <c r="AB566" s="674"/>
    </row>
    <row r="567" spans="1:29" s="301" customFormat="1" ht="45.75" hidden="1" customHeight="1">
      <c r="A567" s="373"/>
      <c r="B567" s="369" t="s">
        <v>229</v>
      </c>
      <c r="C567" s="308"/>
      <c r="D567" s="486"/>
      <c r="E567" s="526"/>
      <c r="F567" s="630">
        <f t="shared" si="162"/>
        <v>0</v>
      </c>
      <c r="G567" s="526"/>
      <c r="H567" s="517">
        <f t="shared" si="163"/>
        <v>0</v>
      </c>
      <c r="I567" s="526"/>
      <c r="J567" s="517">
        <f t="shared" si="164"/>
        <v>0</v>
      </c>
      <c r="K567" s="517"/>
      <c r="L567" s="517"/>
      <c r="M567" s="517"/>
      <c r="N567" s="517"/>
      <c r="O567" s="517"/>
      <c r="P567" s="517"/>
      <c r="Q567" s="517"/>
      <c r="R567" s="517"/>
      <c r="S567" s="517"/>
      <c r="T567" s="517">
        <f t="shared" si="166"/>
        <v>0</v>
      </c>
      <c r="U567" s="526"/>
      <c r="V567" s="517">
        <f t="shared" si="167"/>
        <v>0</v>
      </c>
      <c r="W567" s="632">
        <f t="shared" si="181"/>
        <v>0</v>
      </c>
      <c r="X567" s="517">
        <f t="shared" si="179"/>
        <v>0</v>
      </c>
      <c r="Y567" s="632">
        <f t="shared" si="182"/>
        <v>0</v>
      </c>
      <c r="Z567" s="517">
        <f t="shared" si="180"/>
        <v>0</v>
      </c>
      <c r="AA567" s="675"/>
      <c r="AB567" s="674"/>
    </row>
    <row r="568" spans="1:29" s="301" customFormat="1" ht="39" hidden="1" customHeight="1">
      <c r="A568" s="320"/>
      <c r="B568" s="320" t="s">
        <v>1270</v>
      </c>
      <c r="C568" s="308">
        <f>ROUND(Data!K625,2)</f>
        <v>571.16999999999996</v>
      </c>
      <c r="D568" s="486" t="s">
        <v>1867</v>
      </c>
      <c r="E568" s="526"/>
      <c r="F568" s="630">
        <f t="shared" si="162"/>
        <v>0</v>
      </c>
      <c r="G568" s="526"/>
      <c r="H568" s="517">
        <f t="shared" si="163"/>
        <v>0</v>
      </c>
      <c r="I568" s="526"/>
      <c r="J568" s="517">
        <f t="shared" si="164"/>
        <v>0</v>
      </c>
      <c r="K568" s="517"/>
      <c r="L568" s="517"/>
      <c r="M568" s="517"/>
      <c r="N568" s="517"/>
      <c r="O568" s="517"/>
      <c r="P568" s="517"/>
      <c r="Q568" s="517"/>
      <c r="R568" s="517"/>
      <c r="S568" s="517"/>
      <c r="T568" s="517">
        <f t="shared" si="166"/>
        <v>0</v>
      </c>
      <c r="U568" s="526"/>
      <c r="V568" s="517">
        <f t="shared" si="167"/>
        <v>0</v>
      </c>
      <c r="W568" s="632">
        <f t="shared" si="181"/>
        <v>0</v>
      </c>
      <c r="X568" s="517">
        <f t="shared" si="179"/>
        <v>0</v>
      </c>
      <c r="Y568" s="632">
        <f t="shared" si="182"/>
        <v>0</v>
      </c>
      <c r="Z568" s="517">
        <f t="shared" si="180"/>
        <v>0</v>
      </c>
      <c r="AA568" s="675"/>
      <c r="AB568" s="674"/>
    </row>
    <row r="569" spans="1:29" s="301" customFormat="1" ht="39" hidden="1" customHeight="1">
      <c r="A569" s="320"/>
      <c r="B569" s="320" t="s">
        <v>1406</v>
      </c>
      <c r="C569" s="308">
        <f>ROUND(Data!K626,2)</f>
        <v>575.44000000000005</v>
      </c>
      <c r="D569" s="486" t="s">
        <v>1867</v>
      </c>
      <c r="E569" s="526"/>
      <c r="F569" s="630">
        <f t="shared" si="162"/>
        <v>0</v>
      </c>
      <c r="G569" s="526"/>
      <c r="H569" s="517">
        <f t="shared" si="163"/>
        <v>0</v>
      </c>
      <c r="I569" s="526"/>
      <c r="J569" s="517">
        <f t="shared" si="164"/>
        <v>0</v>
      </c>
      <c r="K569" s="517"/>
      <c r="L569" s="517"/>
      <c r="M569" s="517"/>
      <c r="N569" s="517"/>
      <c r="O569" s="517"/>
      <c r="P569" s="517"/>
      <c r="Q569" s="517"/>
      <c r="R569" s="517"/>
      <c r="S569" s="517"/>
      <c r="T569" s="517">
        <f t="shared" si="166"/>
        <v>0</v>
      </c>
      <c r="U569" s="526"/>
      <c r="V569" s="517">
        <f t="shared" si="167"/>
        <v>0</v>
      </c>
      <c r="W569" s="632">
        <f t="shared" si="181"/>
        <v>0</v>
      </c>
      <c r="X569" s="517">
        <f t="shared" si="179"/>
        <v>0</v>
      </c>
      <c r="Y569" s="632">
        <f t="shared" si="182"/>
        <v>0</v>
      </c>
      <c r="Z569" s="517">
        <f t="shared" si="180"/>
        <v>0</v>
      </c>
      <c r="AA569" s="675"/>
      <c r="AB569" s="674"/>
    </row>
    <row r="570" spans="1:29" s="301" customFormat="1" ht="39" hidden="1" customHeight="1">
      <c r="A570" s="320"/>
      <c r="B570" s="320" t="s">
        <v>1455</v>
      </c>
      <c r="C570" s="308">
        <f>ROUND(Data!K627,2)</f>
        <v>579.71</v>
      </c>
      <c r="D570" s="486" t="s">
        <v>1867</v>
      </c>
      <c r="E570" s="526"/>
      <c r="F570" s="630">
        <f t="shared" si="162"/>
        <v>0</v>
      </c>
      <c r="G570" s="526"/>
      <c r="H570" s="517">
        <f t="shared" si="163"/>
        <v>0</v>
      </c>
      <c r="I570" s="526"/>
      <c r="J570" s="517">
        <f t="shared" si="164"/>
        <v>0</v>
      </c>
      <c r="K570" s="517"/>
      <c r="L570" s="517"/>
      <c r="M570" s="517"/>
      <c r="N570" s="517"/>
      <c r="O570" s="517"/>
      <c r="P570" s="517"/>
      <c r="Q570" s="517"/>
      <c r="R570" s="517"/>
      <c r="S570" s="517"/>
      <c r="T570" s="517">
        <f t="shared" si="166"/>
        <v>0</v>
      </c>
      <c r="U570" s="526"/>
      <c r="V570" s="517">
        <f t="shared" si="167"/>
        <v>0</v>
      </c>
      <c r="W570" s="632">
        <f t="shared" si="181"/>
        <v>0</v>
      </c>
      <c r="X570" s="517">
        <f t="shared" si="179"/>
        <v>0</v>
      </c>
      <c r="Y570" s="632">
        <f t="shared" si="182"/>
        <v>0</v>
      </c>
      <c r="Z570" s="517">
        <f t="shared" si="180"/>
        <v>0</v>
      </c>
      <c r="AA570" s="675"/>
      <c r="AB570" s="674"/>
    </row>
    <row r="571" spans="1:29" s="301" customFormat="1" ht="39" hidden="1" customHeight="1">
      <c r="A571" s="320"/>
      <c r="B571" s="320" t="s">
        <v>1344</v>
      </c>
      <c r="C571" s="308">
        <f>ROUND(Data!K628,2)</f>
        <v>583.98</v>
      </c>
      <c r="D571" s="486" t="s">
        <v>1867</v>
      </c>
      <c r="E571" s="526"/>
      <c r="F571" s="630">
        <f t="shared" si="162"/>
        <v>0</v>
      </c>
      <c r="G571" s="526"/>
      <c r="H571" s="517">
        <f t="shared" si="163"/>
        <v>0</v>
      </c>
      <c r="I571" s="526"/>
      <c r="J571" s="517">
        <f t="shared" si="164"/>
        <v>0</v>
      </c>
      <c r="K571" s="517"/>
      <c r="L571" s="517"/>
      <c r="M571" s="517"/>
      <c r="N571" s="517"/>
      <c r="O571" s="517"/>
      <c r="P571" s="517"/>
      <c r="Q571" s="517"/>
      <c r="R571" s="517"/>
      <c r="S571" s="517"/>
      <c r="T571" s="517">
        <f t="shared" si="166"/>
        <v>0</v>
      </c>
      <c r="U571" s="526"/>
      <c r="V571" s="517">
        <f t="shared" si="167"/>
        <v>0</v>
      </c>
      <c r="W571" s="632">
        <f t="shared" si="181"/>
        <v>0</v>
      </c>
      <c r="X571" s="517">
        <f t="shared" si="179"/>
        <v>0</v>
      </c>
      <c r="Y571" s="632">
        <f t="shared" si="182"/>
        <v>0</v>
      </c>
      <c r="Z571" s="517">
        <f t="shared" si="180"/>
        <v>0</v>
      </c>
      <c r="AA571" s="675"/>
      <c r="AB571" s="674"/>
    </row>
    <row r="572" spans="1:29" s="301" customFormat="1" ht="36" hidden="1" customHeight="1">
      <c r="A572" s="370"/>
      <c r="B572" s="320" t="s">
        <v>1096</v>
      </c>
      <c r="C572" s="307">
        <f>ROUND(Data!K629,2)</f>
        <v>588.25</v>
      </c>
      <c r="D572" s="486" t="s">
        <v>1867</v>
      </c>
      <c r="E572" s="526"/>
      <c r="F572" s="630">
        <f t="shared" si="162"/>
        <v>0</v>
      </c>
      <c r="G572" s="526"/>
      <c r="H572" s="517">
        <f t="shared" si="163"/>
        <v>0</v>
      </c>
      <c r="I572" s="526"/>
      <c r="J572" s="517">
        <f t="shared" si="164"/>
        <v>0</v>
      </c>
      <c r="K572" s="517"/>
      <c r="L572" s="517"/>
      <c r="M572" s="517"/>
      <c r="N572" s="517"/>
      <c r="O572" s="517"/>
      <c r="P572" s="517"/>
      <c r="Q572" s="517"/>
      <c r="R572" s="517"/>
      <c r="S572" s="517"/>
      <c r="T572" s="517">
        <f t="shared" si="166"/>
        <v>0</v>
      </c>
      <c r="U572" s="526"/>
      <c r="V572" s="517">
        <f t="shared" si="167"/>
        <v>0</v>
      </c>
      <c r="W572" s="632">
        <f t="shared" si="181"/>
        <v>0</v>
      </c>
      <c r="X572" s="517">
        <f t="shared" si="179"/>
        <v>0</v>
      </c>
      <c r="Y572" s="632">
        <f t="shared" si="182"/>
        <v>0</v>
      </c>
      <c r="Z572" s="517">
        <f t="shared" si="180"/>
        <v>0</v>
      </c>
      <c r="AA572" s="675"/>
      <c r="AB572" s="674"/>
    </row>
    <row r="573" spans="1:29" ht="36.75" hidden="1" customHeight="1">
      <c r="A573" s="309"/>
      <c r="B573" s="1192" t="s">
        <v>3362</v>
      </c>
      <c r="C573" s="307"/>
      <c r="D573" s="486"/>
      <c r="E573" s="512"/>
      <c r="F573" s="1394">
        <f t="shared" si="162"/>
        <v>0</v>
      </c>
      <c r="G573" s="517"/>
      <c r="H573" s="517">
        <f t="shared" si="163"/>
        <v>0</v>
      </c>
      <c r="I573" s="517"/>
      <c r="J573" s="517">
        <f t="shared" si="164"/>
        <v>0</v>
      </c>
      <c r="K573" s="517"/>
      <c r="L573" s="517">
        <f t="shared" ref="L573:L576" si="183">K573*C573</f>
        <v>0</v>
      </c>
      <c r="M573" s="517"/>
      <c r="N573" s="517">
        <f>M573*C573</f>
        <v>0</v>
      </c>
      <c r="O573" s="517"/>
      <c r="P573" s="517">
        <f>O573*C573</f>
        <v>0</v>
      </c>
      <c r="Q573" s="517"/>
      <c r="R573" s="517"/>
      <c r="S573" s="517"/>
      <c r="T573" s="517">
        <f t="shared" si="166"/>
        <v>0</v>
      </c>
      <c r="U573" s="517"/>
      <c r="V573" s="517">
        <f t="shared" si="167"/>
        <v>0</v>
      </c>
      <c r="W573" s="632" t="e">
        <f>U573+S573+O573+M573+#REF!+K573+I573+G573</f>
        <v>#REF!</v>
      </c>
      <c r="X573" s="517" t="e">
        <f t="shared" si="179"/>
        <v>#REF!</v>
      </c>
      <c r="Y573" s="632" t="e">
        <f>W573+E573</f>
        <v>#REF!</v>
      </c>
      <c r="Z573" s="517" t="e">
        <f t="shared" si="180"/>
        <v>#REF!</v>
      </c>
      <c r="AA573" s="530"/>
      <c r="AB573" s="673"/>
      <c r="AC573" s="627"/>
    </row>
    <row r="574" spans="1:29" s="301" customFormat="1" ht="36.75" hidden="1" customHeight="1">
      <c r="A574" s="370"/>
      <c r="B574" s="1166" t="s">
        <v>3668</v>
      </c>
      <c r="C574" s="307">
        <f>Data!K587</f>
        <v>529.47</v>
      </c>
      <c r="D574" s="486" t="s">
        <v>1867</v>
      </c>
      <c r="E574" s="526"/>
      <c r="F574" s="1394">
        <f t="shared" si="162"/>
        <v>0</v>
      </c>
      <c r="G574" s="517"/>
      <c r="H574" s="517">
        <f t="shared" si="163"/>
        <v>0</v>
      </c>
      <c r="I574" s="517"/>
      <c r="J574" s="517">
        <f t="shared" si="164"/>
        <v>0</v>
      </c>
      <c r="K574" s="517"/>
      <c r="L574" s="517">
        <f t="shared" si="183"/>
        <v>0</v>
      </c>
      <c r="M574" s="517"/>
      <c r="N574" s="517">
        <f>M574*C574</f>
        <v>0</v>
      </c>
      <c r="O574" s="517"/>
      <c r="P574" s="517">
        <f>O574*C574</f>
        <v>0</v>
      </c>
      <c r="Q574" s="517"/>
      <c r="R574" s="517"/>
      <c r="S574" s="517"/>
      <c r="T574" s="517">
        <f t="shared" si="166"/>
        <v>0</v>
      </c>
      <c r="U574" s="517"/>
      <c r="V574" s="517">
        <f t="shared" si="167"/>
        <v>0</v>
      </c>
      <c r="W574" s="632" t="e">
        <f>U574+S574+O574+M574+#REF!+K574+I574+G574</f>
        <v>#REF!</v>
      </c>
      <c r="X574" s="517" t="e">
        <f t="shared" si="179"/>
        <v>#REF!</v>
      </c>
      <c r="Y574" s="632" t="e">
        <f>W574+E574</f>
        <v>#REF!</v>
      </c>
      <c r="Z574" s="517" t="e">
        <f t="shared" si="180"/>
        <v>#REF!</v>
      </c>
      <c r="AA574" s="675"/>
      <c r="AB574" s="673"/>
    </row>
    <row r="575" spans="1:29" s="301" customFormat="1" ht="36.75" hidden="1" customHeight="1">
      <c r="A575" s="370"/>
      <c r="B575" s="1166" t="s">
        <v>1406</v>
      </c>
      <c r="C575" s="307">
        <f>Data!K588</f>
        <v>533.74</v>
      </c>
      <c r="D575" s="486" t="s">
        <v>1867</v>
      </c>
      <c r="E575" s="526"/>
      <c r="F575" s="1394">
        <f t="shared" si="162"/>
        <v>0</v>
      </c>
      <c r="G575" s="517"/>
      <c r="H575" s="517">
        <f t="shared" si="163"/>
        <v>0</v>
      </c>
      <c r="I575" s="517"/>
      <c r="J575" s="517">
        <f t="shared" si="164"/>
        <v>0</v>
      </c>
      <c r="K575" s="517"/>
      <c r="L575" s="517">
        <f t="shared" si="183"/>
        <v>0</v>
      </c>
      <c r="M575" s="517"/>
      <c r="N575" s="517">
        <f>M575*C575</f>
        <v>0</v>
      </c>
      <c r="O575" s="517"/>
      <c r="P575" s="517">
        <f>O575*C575</f>
        <v>0</v>
      </c>
      <c r="Q575" s="517"/>
      <c r="R575" s="517"/>
      <c r="S575" s="517"/>
      <c r="T575" s="517">
        <f t="shared" si="166"/>
        <v>0</v>
      </c>
      <c r="U575" s="517"/>
      <c r="V575" s="517">
        <f t="shared" si="167"/>
        <v>0</v>
      </c>
      <c r="W575" s="632" t="e">
        <f>U575+S575+O575+M575+#REF!+K575+I575+G575</f>
        <v>#REF!</v>
      </c>
      <c r="X575" s="517" t="e">
        <f t="shared" si="179"/>
        <v>#REF!</v>
      </c>
      <c r="Y575" s="632" t="e">
        <f>W575+E575</f>
        <v>#REF!</v>
      </c>
      <c r="Z575" s="517" t="e">
        <f t="shared" si="180"/>
        <v>#REF!</v>
      </c>
      <c r="AA575" s="675"/>
      <c r="AB575" s="673"/>
    </row>
    <row r="576" spans="1:29" s="301" customFormat="1" hidden="1">
      <c r="A576" s="370"/>
      <c r="B576" s="1166" t="s">
        <v>1455</v>
      </c>
      <c r="C576" s="307">
        <f>Data!K589</f>
        <v>538.01</v>
      </c>
      <c r="D576" s="486" t="s">
        <v>1867</v>
      </c>
      <c r="E576" s="526"/>
      <c r="F576" s="1394">
        <f t="shared" si="162"/>
        <v>0</v>
      </c>
      <c r="G576" s="526"/>
      <c r="H576" s="517">
        <f t="shared" si="163"/>
        <v>0</v>
      </c>
      <c r="I576" s="526"/>
      <c r="J576" s="517">
        <f t="shared" si="164"/>
        <v>0</v>
      </c>
      <c r="K576" s="517"/>
      <c r="L576" s="517">
        <f t="shared" si="183"/>
        <v>0</v>
      </c>
      <c r="M576" s="517"/>
      <c r="N576" s="517">
        <f>M576*C576</f>
        <v>0</v>
      </c>
      <c r="O576" s="517"/>
      <c r="P576" s="517">
        <f>O576*C576</f>
        <v>0</v>
      </c>
      <c r="Q576" s="517"/>
      <c r="R576" s="517"/>
      <c r="S576" s="517"/>
      <c r="T576" s="517">
        <f t="shared" si="166"/>
        <v>0</v>
      </c>
      <c r="U576" s="526"/>
      <c r="V576" s="517">
        <f t="shared" si="167"/>
        <v>0</v>
      </c>
      <c r="W576" s="632" t="e">
        <f>U576+S576+O576+M576+#REF!+K576+I576+G576</f>
        <v>#REF!</v>
      </c>
      <c r="X576" s="517" t="e">
        <f t="shared" si="179"/>
        <v>#REF!</v>
      </c>
      <c r="Y576" s="632" t="e">
        <f>W576+E576</f>
        <v>#REF!</v>
      </c>
      <c r="Z576" s="517" t="e">
        <f t="shared" si="180"/>
        <v>#REF!</v>
      </c>
      <c r="AA576" s="675"/>
      <c r="AB576" s="674"/>
    </row>
    <row r="577" spans="1:29" s="301" customFormat="1" hidden="1">
      <c r="A577" s="370"/>
      <c r="B577" s="320" t="s">
        <v>1344</v>
      </c>
      <c r="C577" s="307">
        <f>Data!K590</f>
        <v>542.28</v>
      </c>
      <c r="D577" s="486" t="s">
        <v>1867</v>
      </c>
      <c r="E577" s="526"/>
      <c r="F577" s="630">
        <f t="shared" si="162"/>
        <v>0</v>
      </c>
      <c r="G577" s="526"/>
      <c r="H577" s="517">
        <f t="shared" si="163"/>
        <v>0</v>
      </c>
      <c r="I577" s="526"/>
      <c r="J577" s="517">
        <f t="shared" si="164"/>
        <v>0</v>
      </c>
      <c r="K577" s="517"/>
      <c r="L577" s="517"/>
      <c r="M577" s="517"/>
      <c r="N577" s="517"/>
      <c r="O577" s="517"/>
      <c r="P577" s="517"/>
      <c r="Q577" s="517"/>
      <c r="R577" s="517"/>
      <c r="S577" s="517"/>
      <c r="T577" s="517">
        <f t="shared" si="166"/>
        <v>0</v>
      </c>
      <c r="U577" s="526"/>
      <c r="V577" s="517">
        <f t="shared" si="167"/>
        <v>0</v>
      </c>
      <c r="W577" s="632">
        <f>I577+S577+U577</f>
        <v>0</v>
      </c>
      <c r="X577" s="517">
        <f t="shared" si="179"/>
        <v>0</v>
      </c>
      <c r="Y577" s="632">
        <f>W577+E577+G577</f>
        <v>0</v>
      </c>
      <c r="Z577" s="517">
        <f t="shared" si="180"/>
        <v>0</v>
      </c>
      <c r="AA577" s="675"/>
      <c r="AB577" s="674"/>
    </row>
    <row r="578" spans="1:29" s="301" customFormat="1" hidden="1">
      <c r="A578" s="370"/>
      <c r="B578" s="320" t="s">
        <v>1096</v>
      </c>
      <c r="C578" s="307">
        <f>Data!K591</f>
        <v>546.54999999999995</v>
      </c>
      <c r="D578" s="486" t="s">
        <v>1867</v>
      </c>
      <c r="E578" s="526"/>
      <c r="F578" s="630">
        <f t="shared" si="162"/>
        <v>0</v>
      </c>
      <c r="G578" s="526"/>
      <c r="H578" s="517">
        <f t="shared" si="163"/>
        <v>0</v>
      </c>
      <c r="I578" s="526"/>
      <c r="J578" s="517">
        <f t="shared" si="164"/>
        <v>0</v>
      </c>
      <c r="K578" s="517"/>
      <c r="L578" s="517"/>
      <c r="M578" s="517"/>
      <c r="N578" s="517"/>
      <c r="O578" s="517"/>
      <c r="P578" s="517"/>
      <c r="Q578" s="517"/>
      <c r="R578" s="517"/>
      <c r="S578" s="517"/>
      <c r="T578" s="517">
        <f t="shared" si="166"/>
        <v>0</v>
      </c>
      <c r="U578" s="526"/>
      <c r="V578" s="517">
        <f t="shared" si="167"/>
        <v>0</v>
      </c>
      <c r="W578" s="632">
        <f>I578+S578+U578</f>
        <v>0</v>
      </c>
      <c r="X578" s="517">
        <f t="shared" si="179"/>
        <v>0</v>
      </c>
      <c r="Y578" s="632">
        <f>W578+E578+G578</f>
        <v>0</v>
      </c>
      <c r="Z578" s="517">
        <f t="shared" si="180"/>
        <v>0</v>
      </c>
      <c r="AA578" s="675"/>
      <c r="AB578" s="674"/>
    </row>
    <row r="579" spans="1:29" hidden="1">
      <c r="A579" s="309"/>
      <c r="B579" s="1192" t="s">
        <v>682</v>
      </c>
      <c r="C579" s="307"/>
      <c r="D579" s="486"/>
      <c r="E579" s="512"/>
      <c r="F579" s="1394">
        <f t="shared" si="162"/>
        <v>0</v>
      </c>
      <c r="G579" s="517"/>
      <c r="H579" s="517">
        <f t="shared" ref="H579:H582" si="184">G579*C579</f>
        <v>0</v>
      </c>
      <c r="I579" s="517"/>
      <c r="J579" s="517">
        <f t="shared" ref="J579:J582" si="185">I579*C579</f>
        <v>0</v>
      </c>
      <c r="K579" s="517"/>
      <c r="L579" s="517">
        <f t="shared" ref="L579:L582" si="186">K579*C579</f>
        <v>0</v>
      </c>
      <c r="M579" s="517"/>
      <c r="N579" s="517">
        <f>M579*C579</f>
        <v>0</v>
      </c>
      <c r="O579" s="517"/>
      <c r="P579" s="517">
        <f>O579*C579</f>
        <v>0</v>
      </c>
      <c r="Q579" s="517"/>
      <c r="R579" s="517"/>
      <c r="S579" s="517"/>
      <c r="T579" s="517">
        <f t="shared" si="166"/>
        <v>0</v>
      </c>
      <c r="U579" s="517"/>
      <c r="V579" s="517">
        <f t="shared" si="167"/>
        <v>0</v>
      </c>
      <c r="W579" s="632" t="e">
        <f>U579+S579+O579+M579+#REF!+K579+I579+G579</f>
        <v>#REF!</v>
      </c>
      <c r="X579" s="517" t="e">
        <f t="shared" si="179"/>
        <v>#REF!</v>
      </c>
      <c r="Y579" s="632" t="e">
        <f>W579+E579</f>
        <v>#REF!</v>
      </c>
      <c r="Z579" s="517" t="e">
        <f t="shared" si="180"/>
        <v>#REF!</v>
      </c>
      <c r="AA579" s="530"/>
      <c r="AB579" s="673"/>
      <c r="AC579" s="627"/>
    </row>
    <row r="580" spans="1:29" s="301" customFormat="1" ht="37.5" hidden="1" customHeight="1">
      <c r="A580" s="370"/>
      <c r="B580" s="1166" t="s">
        <v>1270</v>
      </c>
      <c r="C580" s="307">
        <f>Data!X587</f>
        <v>562.64</v>
      </c>
      <c r="D580" s="486" t="s">
        <v>1867</v>
      </c>
      <c r="E580" s="526"/>
      <c r="F580" s="1394">
        <f t="shared" si="162"/>
        <v>0</v>
      </c>
      <c r="G580" s="517"/>
      <c r="H580" s="517">
        <f t="shared" si="184"/>
        <v>0</v>
      </c>
      <c r="I580" s="517"/>
      <c r="J580" s="517">
        <f t="shared" si="185"/>
        <v>0</v>
      </c>
      <c r="K580" s="517"/>
      <c r="L580" s="517">
        <f t="shared" si="186"/>
        <v>0</v>
      </c>
      <c r="M580" s="517"/>
      <c r="N580" s="517">
        <f>M580*C580</f>
        <v>0</v>
      </c>
      <c r="O580" s="517"/>
      <c r="P580" s="517">
        <f>O580*C580</f>
        <v>0</v>
      </c>
      <c r="Q580" s="517"/>
      <c r="R580" s="517"/>
      <c r="S580" s="517"/>
      <c r="T580" s="517">
        <f t="shared" si="166"/>
        <v>0</v>
      </c>
      <c r="U580" s="517"/>
      <c r="V580" s="517">
        <f t="shared" si="167"/>
        <v>0</v>
      </c>
      <c r="W580" s="632" t="e">
        <f>U580+S580+O580+M580+#REF!+K580+I580+G580</f>
        <v>#REF!</v>
      </c>
      <c r="X580" s="517" t="e">
        <f t="shared" si="179"/>
        <v>#REF!</v>
      </c>
      <c r="Y580" s="632" t="e">
        <f>W580+E580</f>
        <v>#REF!</v>
      </c>
      <c r="Z580" s="517" t="e">
        <f t="shared" si="180"/>
        <v>#REF!</v>
      </c>
      <c r="AA580" s="675"/>
      <c r="AB580" s="673"/>
    </row>
    <row r="581" spans="1:29" s="301" customFormat="1" ht="37.5" hidden="1" customHeight="1">
      <c r="A581" s="370"/>
      <c r="B581" s="1166" t="s">
        <v>1406</v>
      </c>
      <c r="C581" s="307">
        <f>Data!X588</f>
        <v>571.19000000000005</v>
      </c>
      <c r="D581" s="486" t="s">
        <v>1867</v>
      </c>
      <c r="E581" s="526"/>
      <c r="F581" s="1394">
        <f t="shared" si="162"/>
        <v>0</v>
      </c>
      <c r="G581" s="517"/>
      <c r="H581" s="517">
        <f t="shared" si="184"/>
        <v>0</v>
      </c>
      <c r="I581" s="517"/>
      <c r="J581" s="517">
        <f t="shared" si="185"/>
        <v>0</v>
      </c>
      <c r="K581" s="517"/>
      <c r="L581" s="517">
        <f t="shared" si="186"/>
        <v>0</v>
      </c>
      <c r="M581" s="517"/>
      <c r="N581" s="517">
        <f>M581*C581</f>
        <v>0</v>
      </c>
      <c r="O581" s="517"/>
      <c r="P581" s="517">
        <f>O581*C581</f>
        <v>0</v>
      </c>
      <c r="Q581" s="517"/>
      <c r="R581" s="517"/>
      <c r="S581" s="517"/>
      <c r="T581" s="517">
        <f t="shared" si="166"/>
        <v>0</v>
      </c>
      <c r="U581" s="517"/>
      <c r="V581" s="517">
        <f t="shared" si="167"/>
        <v>0</v>
      </c>
      <c r="W581" s="632" t="e">
        <f>U581+S581+O581+M581+#REF!+K581+I581+G581</f>
        <v>#REF!</v>
      </c>
      <c r="X581" s="517" t="e">
        <f t="shared" si="179"/>
        <v>#REF!</v>
      </c>
      <c r="Y581" s="632" t="e">
        <f>W581+E581</f>
        <v>#REF!</v>
      </c>
      <c r="Z581" s="517" t="e">
        <f t="shared" si="180"/>
        <v>#REF!</v>
      </c>
      <c r="AA581" s="675"/>
      <c r="AB581" s="673"/>
    </row>
    <row r="582" spans="1:29" s="301" customFormat="1" ht="37.5" hidden="1" customHeight="1">
      <c r="A582" s="370"/>
      <c r="B582" s="1166" t="s">
        <v>1455</v>
      </c>
      <c r="C582" s="307">
        <f>Data!X589</f>
        <v>579.74</v>
      </c>
      <c r="D582" s="486" t="s">
        <v>1867</v>
      </c>
      <c r="E582" s="526"/>
      <c r="F582" s="1394">
        <f t="shared" ref="F582:F646" si="187">E582*C582</f>
        <v>0</v>
      </c>
      <c r="G582" s="526"/>
      <c r="H582" s="517">
        <f t="shared" si="184"/>
        <v>0</v>
      </c>
      <c r="I582" s="526"/>
      <c r="J582" s="517">
        <f t="shared" si="185"/>
        <v>0</v>
      </c>
      <c r="K582" s="517"/>
      <c r="L582" s="517">
        <f t="shared" si="186"/>
        <v>0</v>
      </c>
      <c r="M582" s="517"/>
      <c r="N582" s="517">
        <f>M582*C582</f>
        <v>0</v>
      </c>
      <c r="O582" s="517"/>
      <c r="P582" s="517">
        <f>O582*C582</f>
        <v>0</v>
      </c>
      <c r="Q582" s="517"/>
      <c r="R582" s="517"/>
      <c r="S582" s="517"/>
      <c r="T582" s="517">
        <f t="shared" si="166"/>
        <v>0</v>
      </c>
      <c r="U582" s="526"/>
      <c r="V582" s="517">
        <f t="shared" si="167"/>
        <v>0</v>
      </c>
      <c r="W582" s="632" t="e">
        <f>U582+S582+O582+M582+#REF!+K582+I582+G582</f>
        <v>#REF!</v>
      </c>
      <c r="X582" s="517" t="e">
        <f t="shared" si="179"/>
        <v>#REF!</v>
      </c>
      <c r="Y582" s="632" t="e">
        <f>W582+E582</f>
        <v>#REF!</v>
      </c>
      <c r="Z582" s="517" t="e">
        <f t="shared" si="180"/>
        <v>#REF!</v>
      </c>
      <c r="AA582" s="675"/>
      <c r="AB582" s="674"/>
    </row>
    <row r="583" spans="1:29" s="301" customFormat="1" ht="36" hidden="1" customHeight="1">
      <c r="A583" s="370"/>
      <c r="B583" s="320" t="s">
        <v>1344</v>
      </c>
      <c r="C583" s="307">
        <f>Data!X590</f>
        <v>588.29</v>
      </c>
      <c r="D583" s="486" t="s">
        <v>1867</v>
      </c>
      <c r="E583" s="526"/>
      <c r="F583" s="630">
        <f t="shared" si="187"/>
        <v>0</v>
      </c>
      <c r="G583" s="526"/>
      <c r="H583" s="517">
        <f t="shared" ref="H583:H647" si="188">G583*C583</f>
        <v>0</v>
      </c>
      <c r="I583" s="526"/>
      <c r="J583" s="517">
        <f t="shared" ref="J583:J647" si="189">I583*C583</f>
        <v>0</v>
      </c>
      <c r="K583" s="517"/>
      <c r="L583" s="517"/>
      <c r="M583" s="517"/>
      <c r="N583" s="517"/>
      <c r="O583" s="517"/>
      <c r="P583" s="517"/>
      <c r="Q583" s="517"/>
      <c r="R583" s="517"/>
      <c r="S583" s="517"/>
      <c r="T583" s="517">
        <f t="shared" ref="T583:T596" si="190">S583*C583</f>
        <v>0</v>
      </c>
      <c r="U583" s="526"/>
      <c r="V583" s="517">
        <f t="shared" ref="V583:V596" si="191">U583*C583</f>
        <v>0</v>
      </c>
      <c r="W583" s="632">
        <f t="shared" ref="W583:W590" si="192">I583+S583+U583</f>
        <v>0</v>
      </c>
      <c r="X583" s="517">
        <f t="shared" si="179"/>
        <v>0</v>
      </c>
      <c r="Y583" s="632">
        <f>W583+E583+G583</f>
        <v>0</v>
      </c>
      <c r="Z583" s="517">
        <f t="shared" si="180"/>
        <v>0</v>
      </c>
      <c r="AA583" s="675"/>
      <c r="AB583" s="674"/>
    </row>
    <row r="584" spans="1:29" s="301" customFormat="1" ht="36" hidden="1" customHeight="1">
      <c r="A584" s="370"/>
      <c r="B584" s="320" t="s">
        <v>1096</v>
      </c>
      <c r="C584" s="307">
        <f>Data!X590</f>
        <v>588.29</v>
      </c>
      <c r="D584" s="486"/>
      <c r="E584" s="526"/>
      <c r="F584" s="630">
        <f t="shared" si="187"/>
        <v>0</v>
      </c>
      <c r="G584" s="526"/>
      <c r="H584" s="517">
        <f t="shared" si="188"/>
        <v>0</v>
      </c>
      <c r="I584" s="526"/>
      <c r="J584" s="517">
        <f t="shared" si="189"/>
        <v>0</v>
      </c>
      <c r="K584" s="517"/>
      <c r="L584" s="517"/>
      <c r="M584" s="517"/>
      <c r="N584" s="517"/>
      <c r="O584" s="517"/>
      <c r="P584" s="517"/>
      <c r="Q584" s="517"/>
      <c r="R584" s="517"/>
      <c r="S584" s="517"/>
      <c r="T584" s="517">
        <f t="shared" si="190"/>
        <v>0</v>
      </c>
      <c r="U584" s="526"/>
      <c r="V584" s="517">
        <f t="shared" si="191"/>
        <v>0</v>
      </c>
      <c r="W584" s="632">
        <f t="shared" si="192"/>
        <v>0</v>
      </c>
      <c r="X584" s="517">
        <f t="shared" si="179"/>
        <v>0</v>
      </c>
      <c r="Y584" s="632">
        <f>W584+E584+G584</f>
        <v>0</v>
      </c>
      <c r="Z584" s="517">
        <f t="shared" si="180"/>
        <v>0</v>
      </c>
      <c r="AA584" s="675"/>
      <c r="AB584" s="674"/>
    </row>
    <row r="585" spans="1:29" s="301" customFormat="1" ht="45.75" hidden="1" customHeight="1">
      <c r="A585" s="370"/>
      <c r="B585" s="369" t="s">
        <v>3908</v>
      </c>
      <c r="C585" s="307"/>
      <c r="D585" s="486"/>
      <c r="E585" s="526"/>
      <c r="F585" s="630">
        <f t="shared" si="187"/>
        <v>0</v>
      </c>
      <c r="G585" s="526"/>
      <c r="H585" s="517">
        <f t="shared" si="188"/>
        <v>0</v>
      </c>
      <c r="I585" s="526"/>
      <c r="J585" s="517">
        <f t="shared" si="189"/>
        <v>0</v>
      </c>
      <c r="K585" s="517"/>
      <c r="L585" s="517"/>
      <c r="M585" s="517"/>
      <c r="N585" s="517"/>
      <c r="O585" s="517"/>
      <c r="P585" s="517"/>
      <c r="Q585" s="517"/>
      <c r="R585" s="517"/>
      <c r="S585" s="517"/>
      <c r="T585" s="517">
        <f t="shared" si="190"/>
        <v>0</v>
      </c>
      <c r="U585" s="526"/>
      <c r="V585" s="517">
        <f t="shared" si="191"/>
        <v>0</v>
      </c>
      <c r="W585" s="632">
        <f t="shared" si="192"/>
        <v>0</v>
      </c>
      <c r="X585" s="517">
        <f t="shared" si="179"/>
        <v>0</v>
      </c>
      <c r="Y585" s="625"/>
      <c r="Z585" s="517"/>
      <c r="AA585" s="675"/>
      <c r="AB585" s="674"/>
    </row>
    <row r="586" spans="1:29" s="301" customFormat="1" ht="40.5" hidden="1" customHeight="1">
      <c r="A586" s="370"/>
      <c r="B586" s="320" t="s">
        <v>1270</v>
      </c>
      <c r="C586" s="307">
        <f>Data!K609</f>
        <v>1847.59</v>
      </c>
      <c r="D586" s="486" t="s">
        <v>1867</v>
      </c>
      <c r="E586" s="526"/>
      <c r="F586" s="630">
        <f t="shared" si="187"/>
        <v>0</v>
      </c>
      <c r="G586" s="526"/>
      <c r="H586" s="517">
        <f t="shared" si="188"/>
        <v>0</v>
      </c>
      <c r="I586" s="526"/>
      <c r="J586" s="517">
        <f t="shared" si="189"/>
        <v>0</v>
      </c>
      <c r="K586" s="517"/>
      <c r="L586" s="517"/>
      <c r="M586" s="517"/>
      <c r="N586" s="517"/>
      <c r="O586" s="517"/>
      <c r="P586" s="517"/>
      <c r="Q586" s="517"/>
      <c r="R586" s="517"/>
      <c r="S586" s="517"/>
      <c r="T586" s="517">
        <f t="shared" si="190"/>
        <v>0</v>
      </c>
      <c r="U586" s="526"/>
      <c r="V586" s="517">
        <f t="shared" si="191"/>
        <v>0</v>
      </c>
      <c r="W586" s="632">
        <f t="shared" si="192"/>
        <v>0</v>
      </c>
      <c r="X586" s="517">
        <f t="shared" si="179"/>
        <v>0</v>
      </c>
      <c r="Y586" s="632">
        <f>W586+E586+G586</f>
        <v>0</v>
      </c>
      <c r="Z586" s="517">
        <f t="shared" ref="Z586:Z596" si="193">Y586*C586</f>
        <v>0</v>
      </c>
      <c r="AA586" s="675"/>
      <c r="AB586" s="674"/>
    </row>
    <row r="587" spans="1:29" s="301" customFormat="1" ht="40.5" hidden="1" customHeight="1">
      <c r="A587" s="370"/>
      <c r="B587" s="320" t="s">
        <v>1406</v>
      </c>
      <c r="C587" s="307">
        <f>Data!K610</f>
        <v>1856.14</v>
      </c>
      <c r="D587" s="486" t="s">
        <v>1867</v>
      </c>
      <c r="E587" s="526"/>
      <c r="F587" s="630">
        <f t="shared" si="187"/>
        <v>0</v>
      </c>
      <c r="G587" s="526"/>
      <c r="H587" s="517">
        <f t="shared" si="188"/>
        <v>0</v>
      </c>
      <c r="I587" s="526"/>
      <c r="J587" s="517">
        <f t="shared" si="189"/>
        <v>0</v>
      </c>
      <c r="K587" s="517"/>
      <c r="L587" s="517"/>
      <c r="M587" s="517"/>
      <c r="N587" s="517"/>
      <c r="O587" s="517"/>
      <c r="P587" s="517"/>
      <c r="Q587" s="517"/>
      <c r="R587" s="517"/>
      <c r="S587" s="517"/>
      <c r="T587" s="517">
        <f t="shared" si="190"/>
        <v>0</v>
      </c>
      <c r="U587" s="526"/>
      <c r="V587" s="517">
        <f t="shared" si="191"/>
        <v>0</v>
      </c>
      <c r="W587" s="632">
        <f t="shared" si="192"/>
        <v>0</v>
      </c>
      <c r="X587" s="517">
        <f t="shared" si="179"/>
        <v>0</v>
      </c>
      <c r="Y587" s="632">
        <f>W587+E587+G587</f>
        <v>0</v>
      </c>
      <c r="Z587" s="517">
        <f t="shared" si="193"/>
        <v>0</v>
      </c>
      <c r="AA587" s="675"/>
      <c r="AB587" s="674"/>
    </row>
    <row r="588" spans="1:29" s="301" customFormat="1" ht="40.5" hidden="1" customHeight="1">
      <c r="A588" s="370"/>
      <c r="B588" s="320" t="s">
        <v>1455</v>
      </c>
      <c r="C588" s="307">
        <f>Data!K611</f>
        <v>1864.69</v>
      </c>
      <c r="D588" s="486" t="s">
        <v>1867</v>
      </c>
      <c r="E588" s="526"/>
      <c r="F588" s="630">
        <f t="shared" si="187"/>
        <v>0</v>
      </c>
      <c r="G588" s="526"/>
      <c r="H588" s="517">
        <f t="shared" si="188"/>
        <v>0</v>
      </c>
      <c r="I588" s="526"/>
      <c r="J588" s="517">
        <f t="shared" si="189"/>
        <v>0</v>
      </c>
      <c r="K588" s="517"/>
      <c r="L588" s="517"/>
      <c r="M588" s="517"/>
      <c r="N588" s="517"/>
      <c r="O588" s="517"/>
      <c r="P588" s="517"/>
      <c r="Q588" s="517"/>
      <c r="R588" s="517"/>
      <c r="S588" s="517"/>
      <c r="T588" s="517">
        <f t="shared" si="190"/>
        <v>0</v>
      </c>
      <c r="U588" s="526"/>
      <c r="V588" s="517">
        <f t="shared" si="191"/>
        <v>0</v>
      </c>
      <c r="W588" s="632">
        <f t="shared" si="192"/>
        <v>0</v>
      </c>
      <c r="X588" s="517">
        <f t="shared" si="179"/>
        <v>0</v>
      </c>
      <c r="Y588" s="632">
        <f>W588+E588+G588</f>
        <v>0</v>
      </c>
      <c r="Z588" s="517">
        <f t="shared" si="193"/>
        <v>0</v>
      </c>
      <c r="AA588" s="675"/>
      <c r="AB588" s="674"/>
    </row>
    <row r="589" spans="1:29" s="301" customFormat="1" ht="25.5" hidden="1" customHeight="1">
      <c r="A589" s="370"/>
      <c r="B589" s="320" t="s">
        <v>1344</v>
      </c>
      <c r="C589" s="307">
        <f>Data!K612</f>
        <v>1873.24</v>
      </c>
      <c r="D589" s="486" t="s">
        <v>1867</v>
      </c>
      <c r="E589" s="526"/>
      <c r="F589" s="630">
        <f t="shared" si="187"/>
        <v>0</v>
      </c>
      <c r="G589" s="526"/>
      <c r="H589" s="517">
        <f t="shared" si="188"/>
        <v>0</v>
      </c>
      <c r="I589" s="526"/>
      <c r="J589" s="517">
        <f t="shared" si="189"/>
        <v>0</v>
      </c>
      <c r="K589" s="517"/>
      <c r="L589" s="517"/>
      <c r="M589" s="517"/>
      <c r="N589" s="517"/>
      <c r="O589" s="517"/>
      <c r="P589" s="517"/>
      <c r="Q589" s="517"/>
      <c r="R589" s="517"/>
      <c r="S589" s="517"/>
      <c r="T589" s="517">
        <f t="shared" si="190"/>
        <v>0</v>
      </c>
      <c r="U589" s="526"/>
      <c r="V589" s="517">
        <f t="shared" si="191"/>
        <v>0</v>
      </c>
      <c r="W589" s="632">
        <f t="shared" si="192"/>
        <v>0</v>
      </c>
      <c r="X589" s="517">
        <f t="shared" si="179"/>
        <v>0</v>
      </c>
      <c r="Y589" s="632">
        <f>W589+E589+G589</f>
        <v>0</v>
      </c>
      <c r="Z589" s="517">
        <f t="shared" si="193"/>
        <v>0</v>
      </c>
      <c r="AA589" s="675"/>
      <c r="AB589" s="674"/>
    </row>
    <row r="590" spans="1:29" s="301" customFormat="1" ht="25.5" hidden="1" customHeight="1">
      <c r="A590" s="370"/>
      <c r="B590" s="320" t="s">
        <v>1096</v>
      </c>
      <c r="C590" s="307">
        <f>Data!K613</f>
        <v>1881.79</v>
      </c>
      <c r="D590" s="486" t="s">
        <v>1867</v>
      </c>
      <c r="E590" s="526"/>
      <c r="F590" s="630">
        <f t="shared" si="187"/>
        <v>0</v>
      </c>
      <c r="G590" s="526"/>
      <c r="H590" s="517">
        <f t="shared" si="188"/>
        <v>0</v>
      </c>
      <c r="I590" s="526"/>
      <c r="J590" s="517">
        <f t="shared" si="189"/>
        <v>0</v>
      </c>
      <c r="K590" s="517"/>
      <c r="L590" s="517"/>
      <c r="M590" s="517"/>
      <c r="N590" s="517"/>
      <c r="O590" s="517"/>
      <c r="P590" s="517"/>
      <c r="Q590" s="517"/>
      <c r="R590" s="517"/>
      <c r="S590" s="517"/>
      <c r="T590" s="517">
        <f t="shared" si="190"/>
        <v>0</v>
      </c>
      <c r="U590" s="526"/>
      <c r="V590" s="517">
        <f t="shared" si="191"/>
        <v>0</v>
      </c>
      <c r="W590" s="632">
        <f t="shared" si="192"/>
        <v>0</v>
      </c>
      <c r="X590" s="517">
        <f t="shared" si="179"/>
        <v>0</v>
      </c>
      <c r="Y590" s="632">
        <f>W590+E590+G590</f>
        <v>0</v>
      </c>
      <c r="Z590" s="517">
        <f t="shared" si="193"/>
        <v>0</v>
      </c>
      <c r="AA590" s="675"/>
      <c r="AB590" s="674"/>
    </row>
    <row r="591" spans="1:29">
      <c r="A591" s="1608">
        <v>29.8</v>
      </c>
      <c r="B591" s="1166" t="s">
        <v>1299</v>
      </c>
      <c r="C591" s="1612">
        <f>ROUND(Data!K1275,2)</f>
        <v>1236.28</v>
      </c>
      <c r="D591" s="1610" t="s">
        <v>2308</v>
      </c>
      <c r="E591" s="1616">
        <f>station!I1367</f>
        <v>164.1</v>
      </c>
      <c r="F591" s="1617">
        <f t="shared" si="187"/>
        <v>202873.55</v>
      </c>
      <c r="G591" s="1618"/>
      <c r="H591" s="1618">
        <f>G591*C591</f>
        <v>0</v>
      </c>
      <c r="I591" s="1618"/>
      <c r="J591" s="1618">
        <f>I591*C591</f>
        <v>0</v>
      </c>
      <c r="K591" s="1618"/>
      <c r="L591" s="1618">
        <f>K591*C591</f>
        <v>0</v>
      </c>
      <c r="M591" s="1618"/>
      <c r="N591" s="1618">
        <f>M591*C591</f>
        <v>0</v>
      </c>
      <c r="O591" s="1618"/>
      <c r="P591" s="1618">
        <f>O591*C591</f>
        <v>0</v>
      </c>
      <c r="Q591" s="1618"/>
      <c r="R591" s="1618">
        <f>Q591*C591</f>
        <v>0</v>
      </c>
      <c r="S591" s="1618"/>
      <c r="T591" s="1618">
        <f t="shared" si="190"/>
        <v>0</v>
      </c>
      <c r="U591" s="1618"/>
      <c r="V591" s="1618">
        <f t="shared" si="191"/>
        <v>0</v>
      </c>
      <c r="W591" s="1619" t="e">
        <f>U591+S591+O591+M591+#REF!+K591+I591+G591+Q591</f>
        <v>#REF!</v>
      </c>
      <c r="X591" s="1618" t="e">
        <f t="shared" si="179"/>
        <v>#REF!</v>
      </c>
      <c r="Y591" s="1619" t="e">
        <f>W591+E591</f>
        <v>#REF!</v>
      </c>
      <c r="Z591" s="1618" t="e">
        <f t="shared" si="193"/>
        <v>#REF!</v>
      </c>
      <c r="AA591" s="673"/>
      <c r="AB591" s="673"/>
    </row>
    <row r="592" spans="1:29" s="301" customFormat="1">
      <c r="A592" s="1627"/>
      <c r="B592" s="1177" t="s">
        <v>2199</v>
      </c>
      <c r="C592" s="1628">
        <f>ROUND(Data!K1261,2)</f>
        <v>1092.05</v>
      </c>
      <c r="D592" s="1629" t="s">
        <v>2308</v>
      </c>
      <c r="E592" s="1616"/>
      <c r="F592" s="1626">
        <f t="shared" si="187"/>
        <v>0</v>
      </c>
      <c r="G592" s="1616"/>
      <c r="H592" s="1618">
        <f t="shared" si="188"/>
        <v>0</v>
      </c>
      <c r="I592" s="1616"/>
      <c r="J592" s="1618">
        <f t="shared" si="189"/>
        <v>0</v>
      </c>
      <c r="K592" s="1618"/>
      <c r="L592" s="1618"/>
      <c r="M592" s="1618"/>
      <c r="N592" s="1618"/>
      <c r="O592" s="1618"/>
      <c r="P592" s="1618"/>
      <c r="Q592" s="1618"/>
      <c r="R592" s="1618">
        <f>Q592*C592</f>
        <v>0</v>
      </c>
      <c r="S592" s="1618"/>
      <c r="T592" s="1618">
        <f t="shared" si="190"/>
        <v>0</v>
      </c>
      <c r="U592" s="1616"/>
      <c r="V592" s="1618">
        <f t="shared" si="191"/>
        <v>0</v>
      </c>
      <c r="W592" s="1619" t="e">
        <f>U592+S592+O592+M592+#REF!+K592+I592+G592+Q592</f>
        <v>#REF!</v>
      </c>
      <c r="X592" s="1618" t="e">
        <f t="shared" si="179"/>
        <v>#REF!</v>
      </c>
      <c r="Y592" s="1619" t="e">
        <f>W592+E592</f>
        <v>#REF!</v>
      </c>
      <c r="Z592" s="1618" t="e">
        <f t="shared" si="193"/>
        <v>#REF!</v>
      </c>
      <c r="AA592" s="675"/>
      <c r="AB592" s="674"/>
    </row>
    <row r="593" spans="1:29" ht="45">
      <c r="A593" s="1608">
        <v>29.9</v>
      </c>
      <c r="B593" s="1166" t="s">
        <v>1722</v>
      </c>
      <c r="C593" s="1612">
        <f>ROUND(Data!K1261,2)</f>
        <v>1092.05</v>
      </c>
      <c r="D593" s="1610" t="s">
        <v>2308</v>
      </c>
      <c r="E593" s="1616">
        <f>station!I1376</f>
        <v>53</v>
      </c>
      <c r="F593" s="1617">
        <f t="shared" si="187"/>
        <v>57878.65</v>
      </c>
      <c r="G593" s="1618"/>
      <c r="H593" s="1618">
        <f t="shared" si="188"/>
        <v>0</v>
      </c>
      <c r="I593" s="1618"/>
      <c r="J593" s="1618">
        <f t="shared" si="189"/>
        <v>0</v>
      </c>
      <c r="K593" s="1618"/>
      <c r="L593" s="1618">
        <f t="shared" ref="L593:L594" si="194">K593*C593</f>
        <v>0</v>
      </c>
      <c r="M593" s="1618"/>
      <c r="N593" s="1618">
        <f>M593*C593</f>
        <v>0</v>
      </c>
      <c r="O593" s="1618"/>
      <c r="P593" s="1618">
        <f>O593*C593</f>
        <v>0</v>
      </c>
      <c r="Q593" s="1618"/>
      <c r="R593" s="1618">
        <f>Q593*C593</f>
        <v>0</v>
      </c>
      <c r="S593" s="1618"/>
      <c r="T593" s="1618">
        <f t="shared" si="190"/>
        <v>0</v>
      </c>
      <c r="U593" s="1618"/>
      <c r="V593" s="1618">
        <f t="shared" si="191"/>
        <v>0</v>
      </c>
      <c r="W593" s="1619" t="e">
        <f>U593+S593+O593+M593+#REF!+K593+I593+G593+Q593</f>
        <v>#REF!</v>
      </c>
      <c r="X593" s="1618" t="e">
        <f t="shared" si="179"/>
        <v>#REF!</v>
      </c>
      <c r="Y593" s="1619" t="e">
        <f>W593+E593</f>
        <v>#REF!</v>
      </c>
      <c r="Z593" s="1618" t="e">
        <f t="shared" si="193"/>
        <v>#REF!</v>
      </c>
      <c r="AA593" s="673"/>
      <c r="AB593" s="673"/>
    </row>
    <row r="594" spans="1:29" s="475" customFormat="1" ht="44.25" customHeight="1">
      <c r="A594" s="1620">
        <v>38.4</v>
      </c>
      <c r="B594" s="1172" t="s">
        <v>1723</v>
      </c>
      <c r="C594" s="1621">
        <f>Data!K2722</f>
        <v>114.39</v>
      </c>
      <c r="D594" s="1622" t="s">
        <v>2308</v>
      </c>
      <c r="E594" s="1616"/>
      <c r="F594" s="1617">
        <f t="shared" si="187"/>
        <v>0</v>
      </c>
      <c r="G594" s="1616"/>
      <c r="H594" s="1618">
        <f t="shared" si="188"/>
        <v>0</v>
      </c>
      <c r="I594" s="1616"/>
      <c r="J594" s="1618">
        <f t="shared" si="189"/>
        <v>0</v>
      </c>
      <c r="K594" s="1618"/>
      <c r="L594" s="1618">
        <f t="shared" si="194"/>
        <v>0</v>
      </c>
      <c r="M594" s="1618"/>
      <c r="N594" s="1618">
        <f>M594*C594</f>
        <v>0</v>
      </c>
      <c r="O594" s="1618"/>
      <c r="P594" s="1618">
        <f>O594*C594</f>
        <v>0</v>
      </c>
      <c r="Q594" s="1618"/>
      <c r="R594" s="1618">
        <f>Q594*C594</f>
        <v>0</v>
      </c>
      <c r="S594" s="1618"/>
      <c r="T594" s="1618">
        <f t="shared" si="190"/>
        <v>0</v>
      </c>
      <c r="U594" s="1616"/>
      <c r="V594" s="1618">
        <f t="shared" si="191"/>
        <v>0</v>
      </c>
      <c r="W594" s="1619" t="e">
        <f>U594+S594+O594+M594+#REF!+K594+I594+G594+Q594</f>
        <v>#REF!</v>
      </c>
      <c r="X594" s="1618" t="e">
        <f t="shared" si="179"/>
        <v>#REF!</v>
      </c>
      <c r="Y594" s="1619" t="e">
        <f>W594+E594</f>
        <v>#REF!</v>
      </c>
      <c r="Z594" s="1618" t="e">
        <f t="shared" si="193"/>
        <v>#REF!</v>
      </c>
      <c r="AA594" s="674"/>
      <c r="AB594" s="674"/>
    </row>
    <row r="595" spans="1:29" s="301" customFormat="1" ht="60" hidden="1" customHeight="1">
      <c r="A595" s="368">
        <v>38.5</v>
      </c>
      <c r="B595" s="320" t="s">
        <v>33</v>
      </c>
      <c r="C595" s="307">
        <f>ROUND(Data!K1523,2)</f>
        <v>147.27000000000001</v>
      </c>
      <c r="D595" s="486" t="s">
        <v>2308</v>
      </c>
      <c r="E595" s="526"/>
      <c r="F595" s="630">
        <f t="shared" si="187"/>
        <v>0</v>
      </c>
      <c r="G595" s="526"/>
      <c r="H595" s="517">
        <f t="shared" si="188"/>
        <v>0</v>
      </c>
      <c r="I595" s="526"/>
      <c r="J595" s="517">
        <f t="shared" si="189"/>
        <v>0</v>
      </c>
      <c r="K595" s="517"/>
      <c r="L595" s="517"/>
      <c r="M595" s="517"/>
      <c r="N595" s="517"/>
      <c r="O595" s="517"/>
      <c r="P595" s="517"/>
      <c r="Q595" s="517"/>
      <c r="R595" s="517"/>
      <c r="S595" s="517"/>
      <c r="T595" s="517">
        <f t="shared" si="190"/>
        <v>0</v>
      </c>
      <c r="U595" s="526"/>
      <c r="V595" s="517">
        <f t="shared" si="191"/>
        <v>0</v>
      </c>
      <c r="W595" s="632">
        <f>I595+S595+U595</f>
        <v>0</v>
      </c>
      <c r="X595" s="517">
        <f t="shared" si="179"/>
        <v>0</v>
      </c>
      <c r="Y595" s="632">
        <f>W595+E595+G595</f>
        <v>0</v>
      </c>
      <c r="Z595" s="517">
        <f t="shared" si="193"/>
        <v>0</v>
      </c>
      <c r="AA595" s="675"/>
      <c r="AB595" s="674"/>
    </row>
    <row r="596" spans="1:29" ht="45">
      <c r="A596" s="1608">
        <v>38.6</v>
      </c>
      <c r="B596" s="1166" t="s">
        <v>1724</v>
      </c>
      <c r="C596" s="1612">
        <f>ROUND(Data!K2713,2)</f>
        <v>53.72</v>
      </c>
      <c r="D596" s="1610" t="s">
        <v>2308</v>
      </c>
      <c r="E596" s="1616">
        <f>station!I1380</f>
        <v>1879</v>
      </c>
      <c r="F596" s="1617">
        <f t="shared" si="187"/>
        <v>100939.88</v>
      </c>
      <c r="G596" s="1618"/>
      <c r="H596" s="1618">
        <f t="shared" si="188"/>
        <v>0</v>
      </c>
      <c r="I596" s="1618"/>
      <c r="J596" s="1618">
        <f t="shared" si="189"/>
        <v>0</v>
      </c>
      <c r="K596" s="1618"/>
      <c r="L596" s="1618">
        <f t="shared" ref="L596:L604" si="195">K596*C596</f>
        <v>0</v>
      </c>
      <c r="M596" s="1618"/>
      <c r="N596" s="1618">
        <f>M596*C596</f>
        <v>0</v>
      </c>
      <c r="O596" s="1618"/>
      <c r="P596" s="1618">
        <f>O596*C596</f>
        <v>0</v>
      </c>
      <c r="Q596" s="1618"/>
      <c r="R596" s="1618">
        <f>Q596*C596</f>
        <v>0</v>
      </c>
      <c r="S596" s="1618"/>
      <c r="T596" s="1618">
        <f t="shared" si="190"/>
        <v>0</v>
      </c>
      <c r="U596" s="1618"/>
      <c r="V596" s="1618">
        <f t="shared" si="191"/>
        <v>0</v>
      </c>
      <c r="W596" s="1619" t="e">
        <f>U596+S596+O596+M596+#REF!+K596+I596+G596+Q596</f>
        <v>#REF!</v>
      </c>
      <c r="X596" s="1618" t="e">
        <f t="shared" si="179"/>
        <v>#REF!</v>
      </c>
      <c r="Y596" s="1619" t="e">
        <f>W596+E596</f>
        <v>#REF!</v>
      </c>
      <c r="Z596" s="1618" t="e">
        <f t="shared" si="193"/>
        <v>#REF!</v>
      </c>
      <c r="AA596" s="673"/>
      <c r="AB596" s="673"/>
    </row>
    <row r="597" spans="1:29">
      <c r="A597" s="1627"/>
      <c r="B597" s="1177" t="s">
        <v>6450</v>
      </c>
      <c r="C597" s="1656">
        <f>Data!K3735</f>
        <v>84.17</v>
      </c>
      <c r="D597" s="1657" t="s">
        <v>2308</v>
      </c>
      <c r="E597" s="1616">
        <f>station!I1384</f>
        <v>1879</v>
      </c>
      <c r="F597" s="1617">
        <f t="shared" si="187"/>
        <v>158155.43</v>
      </c>
      <c r="G597" s="1618"/>
      <c r="H597" s="1618"/>
      <c r="I597" s="1618"/>
      <c r="J597" s="1618"/>
      <c r="K597" s="1618"/>
      <c r="L597" s="1618"/>
      <c r="M597" s="1618"/>
      <c r="N597" s="1618"/>
      <c r="O597" s="1618"/>
      <c r="P597" s="1618"/>
      <c r="Q597" s="1618"/>
      <c r="R597" s="1618"/>
      <c r="S597" s="1618"/>
      <c r="T597" s="1618"/>
      <c r="U597" s="1618"/>
      <c r="V597" s="1618"/>
      <c r="W597" s="1619"/>
      <c r="X597" s="1618"/>
      <c r="Y597" s="1619"/>
      <c r="Z597" s="1618"/>
      <c r="AA597" s="673"/>
      <c r="AB597" s="673"/>
    </row>
    <row r="598" spans="1:29" s="301" customFormat="1" ht="45">
      <c r="A598" s="1627">
        <v>42</v>
      </c>
      <c r="B598" s="1177" t="s">
        <v>5320</v>
      </c>
      <c r="C598" s="1683">
        <f>ROUND(Data!K1579,2)</f>
        <v>79335.5</v>
      </c>
      <c r="D598" s="1629" t="s">
        <v>530</v>
      </c>
      <c r="E598" s="1616"/>
      <c r="F598" s="1617">
        <f t="shared" si="187"/>
        <v>0</v>
      </c>
      <c r="G598" s="1616"/>
      <c r="H598" s="1618">
        <f t="shared" si="188"/>
        <v>0</v>
      </c>
      <c r="I598" s="1616"/>
      <c r="J598" s="1618">
        <f t="shared" si="189"/>
        <v>0</v>
      </c>
      <c r="K598" s="1618"/>
      <c r="L598" s="1618">
        <f t="shared" si="195"/>
        <v>0</v>
      </c>
      <c r="M598" s="1618"/>
      <c r="N598" s="1618">
        <f t="shared" ref="N598:N604" si="196">M598*C598</f>
        <v>0</v>
      </c>
      <c r="O598" s="1618"/>
      <c r="P598" s="1618">
        <f t="shared" ref="P598:P604" si="197">O598*C598</f>
        <v>0</v>
      </c>
      <c r="Q598" s="1618"/>
      <c r="R598" s="1618">
        <f t="shared" ref="R598:R604" si="198">Q598*C598</f>
        <v>0</v>
      </c>
      <c r="S598" s="1618"/>
      <c r="T598" s="1618">
        <f t="shared" ref="T598:T661" si="199">S598*C598</f>
        <v>0</v>
      </c>
      <c r="U598" s="1616"/>
      <c r="V598" s="1618">
        <f t="shared" ref="V598:V661" si="200">U598*C598</f>
        <v>0</v>
      </c>
      <c r="W598" s="1619" t="e">
        <f>U598+S598+O598+M598+#REF!+K598+I598+G598+Q598</f>
        <v>#REF!</v>
      </c>
      <c r="X598" s="1618" t="e">
        <f t="shared" ref="X598:X629" si="201">W598*C598</f>
        <v>#REF!</v>
      </c>
      <c r="Y598" s="1619" t="e">
        <f t="shared" ref="Y598:Y604" si="202">W598+E598</f>
        <v>#REF!</v>
      </c>
      <c r="Z598" s="1618" t="e">
        <f t="shared" ref="Z598:Z629" si="203">Y598*C598</f>
        <v>#REF!</v>
      </c>
      <c r="AA598" s="675"/>
      <c r="AB598" s="674"/>
    </row>
    <row r="599" spans="1:29" s="475" customFormat="1" ht="67.5">
      <c r="A599" s="1635">
        <v>43</v>
      </c>
      <c r="B599" s="1172" t="s">
        <v>5321</v>
      </c>
      <c r="C599" s="1677">
        <v>78398</v>
      </c>
      <c r="D599" s="1611" t="s">
        <v>530</v>
      </c>
      <c r="E599" s="1651">
        <f>station!I1396</f>
        <v>33.173999999999999</v>
      </c>
      <c r="F599" s="1617">
        <f t="shared" si="187"/>
        <v>2600775.25</v>
      </c>
      <c r="G599" s="1651">
        <f>S.T!G112</f>
        <v>0.186</v>
      </c>
      <c r="H599" s="1618">
        <f t="shared" si="188"/>
        <v>14582.03</v>
      </c>
      <c r="I599" s="1651">
        <f>Sump!G89</f>
        <v>1.66</v>
      </c>
      <c r="J599" s="1618">
        <f t="shared" si="189"/>
        <v>130140.68</v>
      </c>
      <c r="K599" s="1618"/>
      <c r="L599" s="1618">
        <f t="shared" si="195"/>
        <v>0</v>
      </c>
      <c r="M599" s="1618"/>
      <c r="N599" s="1618">
        <f t="shared" si="196"/>
        <v>0</v>
      </c>
      <c r="O599" s="1618"/>
      <c r="P599" s="1618">
        <f t="shared" si="197"/>
        <v>0</v>
      </c>
      <c r="Q599" s="1618">
        <f>CUlvert!G47</f>
        <v>0.27</v>
      </c>
      <c r="R599" s="1618">
        <f t="shared" si="198"/>
        <v>21167.46</v>
      </c>
      <c r="S599" s="1618"/>
      <c r="T599" s="1618">
        <f t="shared" si="199"/>
        <v>0</v>
      </c>
      <c r="U599" s="1651"/>
      <c r="V599" s="1618">
        <f t="shared" si="200"/>
        <v>0</v>
      </c>
      <c r="W599" s="1619" t="e">
        <f>U599+S599+O599+M599+#REF!+K599+I599+G599+Q599</f>
        <v>#REF!</v>
      </c>
      <c r="X599" s="1618" t="e">
        <f t="shared" si="201"/>
        <v>#REF!</v>
      </c>
      <c r="Y599" s="1619" t="e">
        <f t="shared" si="202"/>
        <v>#REF!</v>
      </c>
      <c r="Z599" s="1618" t="e">
        <f t="shared" si="203"/>
        <v>#REF!</v>
      </c>
      <c r="AA599" s="674"/>
      <c r="AB599" s="674"/>
    </row>
    <row r="600" spans="1:29" s="475" customFormat="1" ht="45">
      <c r="A600" s="1635">
        <v>44.6</v>
      </c>
      <c r="B600" s="1172" t="s">
        <v>5322</v>
      </c>
      <c r="C600" s="1636">
        <f>ROUND(Data!K1635,2)</f>
        <v>321.74</v>
      </c>
      <c r="D600" s="1611" t="s">
        <v>835</v>
      </c>
      <c r="E600" s="1616">
        <f>station!I1402</f>
        <v>73.8</v>
      </c>
      <c r="F600" s="1617">
        <f t="shared" si="187"/>
        <v>23744.41</v>
      </c>
      <c r="G600" s="1616"/>
      <c r="H600" s="1618">
        <f t="shared" si="188"/>
        <v>0</v>
      </c>
      <c r="I600" s="1616"/>
      <c r="J600" s="1618">
        <f t="shared" si="189"/>
        <v>0</v>
      </c>
      <c r="K600" s="1618"/>
      <c r="L600" s="1618">
        <f t="shared" si="195"/>
        <v>0</v>
      </c>
      <c r="M600" s="1618"/>
      <c r="N600" s="1618">
        <f t="shared" si="196"/>
        <v>0</v>
      </c>
      <c r="O600" s="1618"/>
      <c r="P600" s="1618">
        <f t="shared" si="197"/>
        <v>0</v>
      </c>
      <c r="Q600" s="1618"/>
      <c r="R600" s="1618">
        <f t="shared" si="198"/>
        <v>0</v>
      </c>
      <c r="S600" s="1618"/>
      <c r="T600" s="1618">
        <f t="shared" si="199"/>
        <v>0</v>
      </c>
      <c r="U600" s="1616"/>
      <c r="V600" s="1618">
        <f t="shared" si="200"/>
        <v>0</v>
      </c>
      <c r="W600" s="1619" t="e">
        <f>U600+S600+O600+M600+#REF!+K600+I600+G600+Q600</f>
        <v>#REF!</v>
      </c>
      <c r="X600" s="1618" t="e">
        <f t="shared" si="201"/>
        <v>#REF!</v>
      </c>
      <c r="Y600" s="1619" t="e">
        <f t="shared" si="202"/>
        <v>#REF!</v>
      </c>
      <c r="Z600" s="1618" t="e">
        <f t="shared" si="203"/>
        <v>#REF!</v>
      </c>
      <c r="AA600" s="674"/>
      <c r="AB600" s="674"/>
    </row>
    <row r="601" spans="1:29" s="475" customFormat="1">
      <c r="A601" s="1635">
        <v>50.6</v>
      </c>
      <c r="B601" s="1172" t="s">
        <v>1095</v>
      </c>
      <c r="C601" s="1636">
        <f>ROUND(Data!K2389,2)</f>
        <v>373.41</v>
      </c>
      <c r="D601" s="1611" t="s">
        <v>2308</v>
      </c>
      <c r="E601" s="1616"/>
      <c r="F601" s="1617">
        <f t="shared" si="187"/>
        <v>0</v>
      </c>
      <c r="G601" s="1616"/>
      <c r="H601" s="1618">
        <f t="shared" si="188"/>
        <v>0</v>
      </c>
      <c r="I601" s="1616"/>
      <c r="J601" s="1618">
        <f t="shared" si="189"/>
        <v>0</v>
      </c>
      <c r="K601" s="1618">
        <f>'Plinth '!I48</f>
        <v>47.6</v>
      </c>
      <c r="L601" s="1618">
        <f t="shared" si="195"/>
        <v>17774.32</v>
      </c>
      <c r="M601" s="1618"/>
      <c r="N601" s="1618">
        <f t="shared" si="196"/>
        <v>0</v>
      </c>
      <c r="O601" s="1618"/>
      <c r="P601" s="1618">
        <f t="shared" si="197"/>
        <v>0</v>
      </c>
      <c r="Q601" s="1618"/>
      <c r="R601" s="1618">
        <f t="shared" si="198"/>
        <v>0</v>
      </c>
      <c r="S601" s="1618"/>
      <c r="T601" s="1618">
        <f t="shared" si="199"/>
        <v>0</v>
      </c>
      <c r="U601" s="1616"/>
      <c r="V601" s="1618">
        <f t="shared" si="200"/>
        <v>0</v>
      </c>
      <c r="W601" s="1619" t="e">
        <f>U601+S601+O601+M601+#REF!+K601+I601+G601+Q601</f>
        <v>#REF!</v>
      </c>
      <c r="X601" s="1618" t="e">
        <f t="shared" si="201"/>
        <v>#REF!</v>
      </c>
      <c r="Y601" s="1619" t="e">
        <f t="shared" si="202"/>
        <v>#REF!</v>
      </c>
      <c r="Z601" s="1618" t="e">
        <f t="shared" si="203"/>
        <v>#REF!</v>
      </c>
      <c r="AA601" s="674"/>
      <c r="AB601" s="674"/>
    </row>
    <row r="602" spans="1:29" s="475" customFormat="1" ht="45">
      <c r="A602" s="1635">
        <v>52.4</v>
      </c>
      <c r="B602" s="1172" t="s">
        <v>2253</v>
      </c>
      <c r="C602" s="1636">
        <f>ROUND(Data!K2764,2)</f>
        <v>205.94</v>
      </c>
      <c r="D602" s="1611" t="s">
        <v>835</v>
      </c>
      <c r="E602" s="1616"/>
      <c r="F602" s="1617">
        <f t="shared" si="187"/>
        <v>0</v>
      </c>
      <c r="G602" s="1616"/>
      <c r="H602" s="1618">
        <f t="shared" si="188"/>
        <v>0</v>
      </c>
      <c r="I602" s="1616"/>
      <c r="J602" s="1618">
        <f t="shared" si="189"/>
        <v>0</v>
      </c>
      <c r="K602" s="1618"/>
      <c r="L602" s="1618">
        <f t="shared" si="195"/>
        <v>0</v>
      </c>
      <c r="M602" s="1618"/>
      <c r="N602" s="1618">
        <f t="shared" si="196"/>
        <v>0</v>
      </c>
      <c r="O602" s="1618"/>
      <c r="P602" s="1618">
        <f t="shared" si="197"/>
        <v>0</v>
      </c>
      <c r="Q602" s="1618"/>
      <c r="R602" s="1618">
        <f t="shared" si="198"/>
        <v>0</v>
      </c>
      <c r="S602" s="1618"/>
      <c r="T602" s="1618">
        <f t="shared" si="199"/>
        <v>0</v>
      </c>
      <c r="U602" s="1616"/>
      <c r="V602" s="1618">
        <f t="shared" si="200"/>
        <v>0</v>
      </c>
      <c r="W602" s="1619" t="e">
        <f>U602+S602+O602+M602+#REF!+K602+I602+G602+Q602</f>
        <v>#REF!</v>
      </c>
      <c r="X602" s="1618" t="e">
        <f t="shared" si="201"/>
        <v>#REF!</v>
      </c>
      <c r="Y602" s="1619" t="e">
        <f t="shared" si="202"/>
        <v>#REF!</v>
      </c>
      <c r="Z602" s="1618" t="e">
        <f t="shared" si="203"/>
        <v>#REF!</v>
      </c>
      <c r="AA602" s="674"/>
      <c r="AB602" s="674"/>
    </row>
    <row r="603" spans="1:29">
      <c r="A603" s="1608">
        <v>53.4</v>
      </c>
      <c r="B603" s="1166" t="s">
        <v>71</v>
      </c>
      <c r="C603" s="1612">
        <f>Data!K1948</f>
        <v>1846</v>
      </c>
      <c r="D603" s="1610" t="s">
        <v>1418</v>
      </c>
      <c r="E603" s="1616"/>
      <c r="F603" s="1633">
        <f t="shared" si="187"/>
        <v>0</v>
      </c>
      <c r="G603" s="1618">
        <f>S.T!G72</f>
        <v>2</v>
      </c>
      <c r="H603" s="1618">
        <f t="shared" si="188"/>
        <v>3692</v>
      </c>
      <c r="I603" s="1618">
        <f>Sump!H47</f>
        <v>1</v>
      </c>
      <c r="J603" s="1618">
        <f t="shared" si="189"/>
        <v>1846</v>
      </c>
      <c r="K603" s="1618"/>
      <c r="L603" s="1618">
        <f t="shared" si="195"/>
        <v>0</v>
      </c>
      <c r="M603" s="1618"/>
      <c r="N603" s="1618">
        <f t="shared" si="196"/>
        <v>0</v>
      </c>
      <c r="O603" s="1618"/>
      <c r="P603" s="1618">
        <f t="shared" si="197"/>
        <v>0</v>
      </c>
      <c r="Q603" s="1618"/>
      <c r="R603" s="1618">
        <f t="shared" si="198"/>
        <v>0</v>
      </c>
      <c r="S603" s="1618"/>
      <c r="T603" s="1618">
        <f t="shared" si="199"/>
        <v>0</v>
      </c>
      <c r="U603" s="1618"/>
      <c r="V603" s="1618">
        <f t="shared" si="200"/>
        <v>0</v>
      </c>
      <c r="W603" s="1619" t="e">
        <f>U603+S603+O603+M603+#REF!+K603+I603+G603+Q603</f>
        <v>#REF!</v>
      </c>
      <c r="X603" s="1618" t="e">
        <f t="shared" si="201"/>
        <v>#REF!</v>
      </c>
      <c r="Y603" s="1619" t="e">
        <f t="shared" si="202"/>
        <v>#REF!</v>
      </c>
      <c r="Z603" s="1618" t="e">
        <f t="shared" si="203"/>
        <v>#REF!</v>
      </c>
      <c r="AA603" s="673"/>
      <c r="AB603" s="673"/>
    </row>
    <row r="604" spans="1:29" ht="60.75" customHeight="1">
      <c r="A604" s="1608"/>
      <c r="B604" s="1166" t="s">
        <v>4851</v>
      </c>
      <c r="C604" s="1612">
        <v>3104.82</v>
      </c>
      <c r="D604" s="1610" t="s">
        <v>1418</v>
      </c>
      <c r="E604" s="1616">
        <f>station!I1407</f>
        <v>10</v>
      </c>
      <c r="F604" s="1633">
        <f t="shared" si="187"/>
        <v>31048.2</v>
      </c>
      <c r="G604" s="1618"/>
      <c r="H604" s="1618">
        <f t="shared" si="188"/>
        <v>0</v>
      </c>
      <c r="I604" s="1618"/>
      <c r="J604" s="1618">
        <f t="shared" si="189"/>
        <v>0</v>
      </c>
      <c r="K604" s="1618"/>
      <c r="L604" s="1618">
        <f t="shared" si="195"/>
        <v>0</v>
      </c>
      <c r="M604" s="1618"/>
      <c r="N604" s="1618">
        <f t="shared" si="196"/>
        <v>0</v>
      </c>
      <c r="O604" s="1618"/>
      <c r="P604" s="1618">
        <f t="shared" si="197"/>
        <v>0</v>
      </c>
      <c r="Q604" s="1618"/>
      <c r="R604" s="1618">
        <f t="shared" si="198"/>
        <v>0</v>
      </c>
      <c r="S604" s="1618"/>
      <c r="T604" s="1618">
        <f t="shared" si="199"/>
        <v>0</v>
      </c>
      <c r="U604" s="1618"/>
      <c r="V604" s="1618">
        <f t="shared" si="200"/>
        <v>0</v>
      </c>
      <c r="W604" s="1619" t="e">
        <f>U604+S604+O604+M604+#REF!+K604+I604+G604+Q604</f>
        <v>#REF!</v>
      </c>
      <c r="X604" s="1618" t="e">
        <f t="shared" si="201"/>
        <v>#REF!</v>
      </c>
      <c r="Y604" s="1619" t="e">
        <f t="shared" si="202"/>
        <v>#REF!</v>
      </c>
      <c r="Z604" s="1618" t="e">
        <f t="shared" si="203"/>
        <v>#REF!</v>
      </c>
      <c r="AA604" s="673"/>
      <c r="AB604" s="673"/>
    </row>
    <row r="605" spans="1:29" s="301" customFormat="1" ht="88.5" hidden="1" customHeight="1">
      <c r="A605" s="536">
        <v>54.3</v>
      </c>
      <c r="B605" s="537" t="s">
        <v>4069</v>
      </c>
      <c r="C605" s="538">
        <f>ROUND(Data!K1951,2)</f>
        <v>204</v>
      </c>
      <c r="D605" s="443" t="s">
        <v>1418</v>
      </c>
      <c r="E605" s="526"/>
      <c r="F605" s="630">
        <f t="shared" si="187"/>
        <v>0</v>
      </c>
      <c r="G605" s="526"/>
      <c r="H605" s="517">
        <f t="shared" si="188"/>
        <v>0</v>
      </c>
      <c r="I605" s="526"/>
      <c r="J605" s="517">
        <f t="shared" si="189"/>
        <v>0</v>
      </c>
      <c r="K605" s="517"/>
      <c r="L605" s="517"/>
      <c r="M605" s="517"/>
      <c r="N605" s="517"/>
      <c r="O605" s="517"/>
      <c r="P605" s="517"/>
      <c r="Q605" s="517"/>
      <c r="R605" s="517"/>
      <c r="S605" s="517"/>
      <c r="T605" s="517">
        <f t="shared" si="199"/>
        <v>0</v>
      </c>
      <c r="U605" s="526"/>
      <c r="V605" s="517">
        <f t="shared" si="200"/>
        <v>0</v>
      </c>
      <c r="W605" s="632">
        <f>I605+S605+U605</f>
        <v>0</v>
      </c>
      <c r="X605" s="517">
        <f t="shared" si="201"/>
        <v>0</v>
      </c>
      <c r="Y605" s="632">
        <f>W605+E605+G605</f>
        <v>0</v>
      </c>
      <c r="Z605" s="517">
        <f t="shared" si="203"/>
        <v>0</v>
      </c>
      <c r="AA605" s="675"/>
      <c r="AB605" s="674"/>
    </row>
    <row r="606" spans="1:29" s="301" customFormat="1" ht="72.75" hidden="1" customHeight="1">
      <c r="A606" s="368">
        <v>56.3</v>
      </c>
      <c r="B606" s="320" t="s">
        <v>833</v>
      </c>
      <c r="C606" s="308">
        <f>ROUND(Data!K1974,2)</f>
        <v>3060.82</v>
      </c>
      <c r="D606" s="486" t="s">
        <v>1418</v>
      </c>
      <c r="E606" s="526"/>
      <c r="F606" s="630">
        <f t="shared" si="187"/>
        <v>0</v>
      </c>
      <c r="G606" s="526"/>
      <c r="H606" s="517">
        <f t="shared" si="188"/>
        <v>0</v>
      </c>
      <c r="I606" s="526"/>
      <c r="J606" s="517">
        <f t="shared" si="189"/>
        <v>0</v>
      </c>
      <c r="K606" s="517"/>
      <c r="L606" s="517"/>
      <c r="M606" s="517"/>
      <c r="N606" s="517"/>
      <c r="O606" s="517"/>
      <c r="P606" s="517"/>
      <c r="Q606" s="517"/>
      <c r="R606" s="517"/>
      <c r="S606" s="517"/>
      <c r="T606" s="517">
        <f t="shared" si="199"/>
        <v>0</v>
      </c>
      <c r="U606" s="526"/>
      <c r="V606" s="517">
        <f t="shared" si="200"/>
        <v>0</v>
      </c>
      <c r="W606" s="632">
        <f>I606+S606+U606</f>
        <v>0</v>
      </c>
      <c r="X606" s="517">
        <f t="shared" si="201"/>
        <v>0</v>
      </c>
      <c r="Y606" s="632">
        <f>W606+E606+G606</f>
        <v>0</v>
      </c>
      <c r="Z606" s="517">
        <f t="shared" si="203"/>
        <v>0</v>
      </c>
      <c r="AA606" s="675"/>
      <c r="AB606" s="674"/>
    </row>
    <row r="607" spans="1:29" s="301" customFormat="1" ht="86.25" hidden="1" customHeight="1">
      <c r="A607" s="649">
        <v>56.4</v>
      </c>
      <c r="B607" s="520" t="s">
        <v>1300</v>
      </c>
      <c r="C607" s="448">
        <f>ROUND(Data!K1995,2)</f>
        <v>4798.84</v>
      </c>
      <c r="D607" s="446" t="s">
        <v>1418</v>
      </c>
      <c r="E607" s="651"/>
      <c r="F607" s="630">
        <f t="shared" si="187"/>
        <v>0</v>
      </c>
      <c r="G607" s="651"/>
      <c r="H607" s="517">
        <f t="shared" si="188"/>
        <v>0</v>
      </c>
      <c r="I607" s="651"/>
      <c r="J607" s="517">
        <f t="shared" si="189"/>
        <v>0</v>
      </c>
      <c r="K607" s="654"/>
      <c r="L607" s="654"/>
      <c r="M607" s="654"/>
      <c r="N607" s="654"/>
      <c r="O607" s="654"/>
      <c r="P607" s="654"/>
      <c r="Q607" s="654"/>
      <c r="R607" s="654"/>
      <c r="S607" s="654"/>
      <c r="T607" s="517">
        <f t="shared" si="199"/>
        <v>0</v>
      </c>
      <c r="U607" s="651"/>
      <c r="V607" s="517">
        <f t="shared" si="200"/>
        <v>0</v>
      </c>
      <c r="W607" s="632">
        <f>I607+S607+U607</f>
        <v>0</v>
      </c>
      <c r="X607" s="517">
        <f t="shared" si="201"/>
        <v>0</v>
      </c>
      <c r="Y607" s="632">
        <f>W607+E607+G607</f>
        <v>0</v>
      </c>
      <c r="Z607" s="517">
        <f t="shared" si="203"/>
        <v>0</v>
      </c>
      <c r="AA607" s="675"/>
      <c r="AB607" s="674"/>
    </row>
    <row r="608" spans="1:29" ht="48" customHeight="1">
      <c r="A608" s="1608">
        <v>58.3</v>
      </c>
      <c r="B608" s="1169" t="s">
        <v>1301</v>
      </c>
      <c r="C608" s="1612"/>
      <c r="D608" s="1684"/>
      <c r="E608" s="1623"/>
      <c r="F608" s="1633">
        <f t="shared" si="187"/>
        <v>0</v>
      </c>
      <c r="G608" s="1618"/>
      <c r="H608" s="1618">
        <f t="shared" si="188"/>
        <v>0</v>
      </c>
      <c r="I608" s="1618"/>
      <c r="J608" s="1618">
        <f t="shared" si="189"/>
        <v>0</v>
      </c>
      <c r="K608" s="1618"/>
      <c r="L608" s="1618">
        <f t="shared" ref="L608:L627" si="204">K608*C608</f>
        <v>0</v>
      </c>
      <c r="M608" s="1618"/>
      <c r="N608" s="1618">
        <f t="shared" ref="N608:N627" si="205">M608*C608</f>
        <v>0</v>
      </c>
      <c r="O608" s="1618"/>
      <c r="P608" s="1618">
        <f t="shared" ref="P608:P627" si="206">O608*C608</f>
        <v>0</v>
      </c>
      <c r="Q608" s="1618"/>
      <c r="R608" s="1618">
        <f t="shared" ref="R608:R627" si="207">Q608*C608</f>
        <v>0</v>
      </c>
      <c r="S608" s="1618"/>
      <c r="T608" s="1618">
        <f t="shared" si="199"/>
        <v>0</v>
      </c>
      <c r="U608" s="1618"/>
      <c r="V608" s="1618">
        <f t="shared" si="200"/>
        <v>0</v>
      </c>
      <c r="W608" s="1619" t="e">
        <f>U608+S608+O608+M608+#REF!+K608+I608+G608+Q608</f>
        <v>#REF!</v>
      </c>
      <c r="X608" s="1618" t="e">
        <f t="shared" si="201"/>
        <v>#REF!</v>
      </c>
      <c r="Y608" s="1619" t="e">
        <f t="shared" ref="Y608:Y627" si="208">W608+E608</f>
        <v>#REF!</v>
      </c>
      <c r="Z608" s="1618" t="e">
        <f t="shared" si="203"/>
        <v>#REF!</v>
      </c>
      <c r="AA608" s="530"/>
      <c r="AB608" s="673"/>
      <c r="AC608" s="627"/>
    </row>
    <row r="609" spans="1:28" ht="48" customHeight="1">
      <c r="A609" s="1608"/>
      <c r="B609" s="1166" t="s">
        <v>37</v>
      </c>
      <c r="C609" s="1612">
        <f>ROUND(Data!K2060,2)</f>
        <v>657.29</v>
      </c>
      <c r="D609" s="1610" t="s">
        <v>835</v>
      </c>
      <c r="E609" s="1616">
        <f>station!I1410</f>
        <v>24</v>
      </c>
      <c r="F609" s="1633">
        <f t="shared" si="187"/>
        <v>15774.96</v>
      </c>
      <c r="G609" s="1618"/>
      <c r="H609" s="1618">
        <f t="shared" si="188"/>
        <v>0</v>
      </c>
      <c r="I609" s="1618"/>
      <c r="J609" s="1618">
        <f t="shared" si="189"/>
        <v>0</v>
      </c>
      <c r="K609" s="1618"/>
      <c r="L609" s="1618">
        <f t="shared" si="204"/>
        <v>0</v>
      </c>
      <c r="M609" s="1618"/>
      <c r="N609" s="1618">
        <f t="shared" si="205"/>
        <v>0</v>
      </c>
      <c r="O609" s="1618"/>
      <c r="P609" s="1618">
        <f t="shared" si="206"/>
        <v>0</v>
      </c>
      <c r="Q609" s="1618"/>
      <c r="R609" s="1618">
        <f t="shared" si="207"/>
        <v>0</v>
      </c>
      <c r="S609" s="1618"/>
      <c r="T609" s="1618">
        <f t="shared" si="199"/>
        <v>0</v>
      </c>
      <c r="U609" s="1618"/>
      <c r="V609" s="1618">
        <f t="shared" si="200"/>
        <v>0</v>
      </c>
      <c r="W609" s="1619" t="e">
        <f>U609+S609+O609+M609+#REF!+K609+I609+G609+Q609</f>
        <v>#REF!</v>
      </c>
      <c r="X609" s="1618" t="e">
        <f t="shared" si="201"/>
        <v>#REF!</v>
      </c>
      <c r="Y609" s="1619" t="e">
        <f t="shared" si="208"/>
        <v>#REF!</v>
      </c>
      <c r="Z609" s="1618" t="e">
        <f t="shared" si="203"/>
        <v>#REF!</v>
      </c>
      <c r="AA609" s="673"/>
      <c r="AB609" s="673"/>
    </row>
    <row r="610" spans="1:28" ht="48" customHeight="1">
      <c r="A610" s="1625"/>
      <c r="B610" s="1166" t="s">
        <v>38</v>
      </c>
      <c r="C610" s="1612">
        <f>ROUND(Data!K2084,2)</f>
        <v>541.41999999999996</v>
      </c>
      <c r="D610" s="1610" t="s">
        <v>835</v>
      </c>
      <c r="E610" s="1616">
        <f>station!I1415</f>
        <v>79.400000000000006</v>
      </c>
      <c r="F610" s="1633">
        <f t="shared" si="187"/>
        <v>42988.75</v>
      </c>
      <c r="G610" s="1618"/>
      <c r="H610" s="1618">
        <f t="shared" si="188"/>
        <v>0</v>
      </c>
      <c r="I610" s="1618"/>
      <c r="J610" s="1618">
        <f t="shared" si="189"/>
        <v>0</v>
      </c>
      <c r="K610" s="1618"/>
      <c r="L610" s="1618">
        <f t="shared" si="204"/>
        <v>0</v>
      </c>
      <c r="M610" s="1618"/>
      <c r="N610" s="1618">
        <f t="shared" si="205"/>
        <v>0</v>
      </c>
      <c r="O610" s="1618"/>
      <c r="P610" s="1618">
        <f t="shared" si="206"/>
        <v>0</v>
      </c>
      <c r="Q610" s="1618"/>
      <c r="R610" s="1618">
        <f t="shared" si="207"/>
        <v>0</v>
      </c>
      <c r="S610" s="1618"/>
      <c r="T610" s="1618">
        <f t="shared" si="199"/>
        <v>0</v>
      </c>
      <c r="U610" s="1618"/>
      <c r="V610" s="1618">
        <f t="shared" si="200"/>
        <v>0</v>
      </c>
      <c r="W610" s="1619" t="e">
        <f>U610+S610+O610+M610+#REF!+K610+I610+G610+Q610</f>
        <v>#REF!</v>
      </c>
      <c r="X610" s="1618" t="e">
        <f t="shared" si="201"/>
        <v>#REF!</v>
      </c>
      <c r="Y610" s="1619" t="e">
        <f t="shared" si="208"/>
        <v>#REF!</v>
      </c>
      <c r="Z610" s="1618" t="e">
        <f t="shared" si="203"/>
        <v>#REF!</v>
      </c>
      <c r="AA610" s="673"/>
      <c r="AB610" s="673"/>
    </row>
    <row r="611" spans="1:28" ht="67.5">
      <c r="A611" s="1608">
        <v>58.4</v>
      </c>
      <c r="B611" s="1166" t="s">
        <v>858</v>
      </c>
      <c r="C611" s="1612">
        <v>81.2</v>
      </c>
      <c r="D611" s="1684" t="s">
        <v>835</v>
      </c>
      <c r="E611" s="1616">
        <f>station!I1417</f>
        <v>28</v>
      </c>
      <c r="F611" s="1633">
        <f t="shared" si="187"/>
        <v>2273.6</v>
      </c>
      <c r="G611" s="1618"/>
      <c r="H611" s="1618">
        <f t="shared" si="188"/>
        <v>0</v>
      </c>
      <c r="I611" s="1618"/>
      <c r="J611" s="1618">
        <f t="shared" si="189"/>
        <v>0</v>
      </c>
      <c r="K611" s="1618"/>
      <c r="L611" s="1618">
        <f t="shared" si="204"/>
        <v>0</v>
      </c>
      <c r="M611" s="1618"/>
      <c r="N611" s="1618">
        <f t="shared" si="205"/>
        <v>0</v>
      </c>
      <c r="O611" s="1618"/>
      <c r="P611" s="1618">
        <f t="shared" si="206"/>
        <v>0</v>
      </c>
      <c r="Q611" s="1618"/>
      <c r="R611" s="1618">
        <f t="shared" si="207"/>
        <v>0</v>
      </c>
      <c r="S611" s="1618"/>
      <c r="T611" s="1618">
        <f t="shared" si="199"/>
        <v>0</v>
      </c>
      <c r="U611" s="1618"/>
      <c r="V611" s="1618">
        <f t="shared" si="200"/>
        <v>0</v>
      </c>
      <c r="W611" s="1619" t="e">
        <f>U611+S611+O611+M611+#REF!+K611+I611+G611+Q611</f>
        <v>#REF!</v>
      </c>
      <c r="X611" s="1618" t="e">
        <f t="shared" si="201"/>
        <v>#REF!</v>
      </c>
      <c r="Y611" s="1619" t="e">
        <f t="shared" si="208"/>
        <v>#REF!</v>
      </c>
      <c r="Z611" s="1618" t="e">
        <f t="shared" si="203"/>
        <v>#REF!</v>
      </c>
      <c r="AA611" s="673"/>
      <c r="AB611" s="673"/>
    </row>
    <row r="612" spans="1:28" s="475" customFormat="1" ht="45">
      <c r="A612" s="1635">
        <v>58.5</v>
      </c>
      <c r="B612" s="1172" t="s">
        <v>859</v>
      </c>
      <c r="C612" s="1636">
        <f>ROUND(Data!K2095,2)</f>
        <v>450.1</v>
      </c>
      <c r="D612" s="1685" t="s">
        <v>1418</v>
      </c>
      <c r="E612" s="1616"/>
      <c r="F612" s="1617">
        <f t="shared" si="187"/>
        <v>0</v>
      </c>
      <c r="G612" s="1616">
        <f>S.T!H105</f>
        <v>1</v>
      </c>
      <c r="H612" s="1618">
        <f t="shared" si="188"/>
        <v>450.1</v>
      </c>
      <c r="I612" s="1616"/>
      <c r="J612" s="1618">
        <f t="shared" si="189"/>
        <v>0</v>
      </c>
      <c r="K612" s="1618"/>
      <c r="L612" s="1618">
        <f t="shared" si="204"/>
        <v>0</v>
      </c>
      <c r="M612" s="1618"/>
      <c r="N612" s="1618">
        <f t="shared" si="205"/>
        <v>0</v>
      </c>
      <c r="O612" s="1618"/>
      <c r="P612" s="1618">
        <f t="shared" si="206"/>
        <v>0</v>
      </c>
      <c r="Q612" s="1618"/>
      <c r="R612" s="1618">
        <f t="shared" si="207"/>
        <v>0</v>
      </c>
      <c r="S612" s="1618"/>
      <c r="T612" s="1618">
        <f t="shared" si="199"/>
        <v>0</v>
      </c>
      <c r="U612" s="1616"/>
      <c r="V612" s="1618">
        <f t="shared" si="200"/>
        <v>0</v>
      </c>
      <c r="W612" s="1619" t="e">
        <f>U612+S612+O612+M612+#REF!+K612+I612+G612+Q612</f>
        <v>#REF!</v>
      </c>
      <c r="X612" s="1618" t="e">
        <f t="shared" si="201"/>
        <v>#REF!</v>
      </c>
      <c r="Y612" s="1619" t="e">
        <f t="shared" si="208"/>
        <v>#REF!</v>
      </c>
      <c r="Z612" s="1618" t="e">
        <f t="shared" si="203"/>
        <v>#REF!</v>
      </c>
      <c r="AA612" s="674"/>
      <c r="AB612" s="674"/>
    </row>
    <row r="613" spans="1:28" s="475" customFormat="1" ht="67.5">
      <c r="A613" s="1635"/>
      <c r="B613" s="1170" t="s">
        <v>4044</v>
      </c>
      <c r="C613" s="1636"/>
      <c r="D613" s="1685"/>
      <c r="E613" s="1616"/>
      <c r="F613" s="1617">
        <f t="shared" si="187"/>
        <v>0</v>
      </c>
      <c r="G613" s="1616"/>
      <c r="H613" s="1618">
        <f t="shared" si="188"/>
        <v>0</v>
      </c>
      <c r="I613" s="1616"/>
      <c r="J613" s="1618">
        <f t="shared" si="189"/>
        <v>0</v>
      </c>
      <c r="K613" s="1618"/>
      <c r="L613" s="1618">
        <f t="shared" si="204"/>
        <v>0</v>
      </c>
      <c r="M613" s="1618"/>
      <c r="N613" s="1618">
        <f t="shared" si="205"/>
        <v>0</v>
      </c>
      <c r="O613" s="1618"/>
      <c r="P613" s="1618">
        <f t="shared" si="206"/>
        <v>0</v>
      </c>
      <c r="Q613" s="1618"/>
      <c r="R613" s="1618">
        <f t="shared" si="207"/>
        <v>0</v>
      </c>
      <c r="S613" s="1618"/>
      <c r="T613" s="1618">
        <f t="shared" si="199"/>
        <v>0</v>
      </c>
      <c r="U613" s="1616"/>
      <c r="V613" s="1618">
        <f t="shared" si="200"/>
        <v>0</v>
      </c>
      <c r="W613" s="1619" t="e">
        <f>U613+S613+O613+M613+#REF!+K613+I613+G613+Q613</f>
        <v>#REF!</v>
      </c>
      <c r="X613" s="1618" t="e">
        <f t="shared" si="201"/>
        <v>#REF!</v>
      </c>
      <c r="Y613" s="1619" t="e">
        <f t="shared" si="208"/>
        <v>#REF!</v>
      </c>
      <c r="Z613" s="1618" t="e">
        <f t="shared" si="203"/>
        <v>#REF!</v>
      </c>
      <c r="AA613" s="674"/>
      <c r="AB613" s="674"/>
    </row>
    <row r="614" spans="1:28" s="475" customFormat="1">
      <c r="A614" s="1635"/>
      <c r="B614" s="1172" t="s">
        <v>2166</v>
      </c>
      <c r="C614" s="1636">
        <v>1499.29</v>
      </c>
      <c r="D614" s="1686" t="s">
        <v>1418</v>
      </c>
      <c r="E614" s="1616">
        <f>station!I920</f>
        <v>50</v>
      </c>
      <c r="F614" s="1617">
        <f t="shared" si="187"/>
        <v>74964.5</v>
      </c>
      <c r="G614" s="1616"/>
      <c r="H614" s="1618">
        <f t="shared" si="188"/>
        <v>0</v>
      </c>
      <c r="I614" s="1616"/>
      <c r="J614" s="1618">
        <f t="shared" si="189"/>
        <v>0</v>
      </c>
      <c r="K614" s="1618"/>
      <c r="L614" s="1618">
        <f t="shared" si="204"/>
        <v>0</v>
      </c>
      <c r="M614" s="1618"/>
      <c r="N614" s="1618">
        <f t="shared" si="205"/>
        <v>0</v>
      </c>
      <c r="O614" s="1618"/>
      <c r="P614" s="1618">
        <f t="shared" si="206"/>
        <v>0</v>
      </c>
      <c r="Q614" s="1618"/>
      <c r="R614" s="1618">
        <f t="shared" si="207"/>
        <v>0</v>
      </c>
      <c r="S614" s="1618"/>
      <c r="T614" s="1618">
        <f t="shared" si="199"/>
        <v>0</v>
      </c>
      <c r="U614" s="1616"/>
      <c r="V614" s="1618">
        <f t="shared" si="200"/>
        <v>0</v>
      </c>
      <c r="W614" s="1619" t="e">
        <f>U614+S614+O614+M614+#REF!+K614+I614+G614+Q614</f>
        <v>#REF!</v>
      </c>
      <c r="X614" s="1618" t="e">
        <f t="shared" si="201"/>
        <v>#REF!</v>
      </c>
      <c r="Y614" s="1619" t="e">
        <f t="shared" si="208"/>
        <v>#REF!</v>
      </c>
      <c r="Z614" s="1618" t="e">
        <f t="shared" si="203"/>
        <v>#REF!</v>
      </c>
      <c r="AA614" s="674"/>
      <c r="AB614" s="674"/>
    </row>
    <row r="615" spans="1:28" s="475" customFormat="1">
      <c r="A615" s="1635"/>
      <c r="B615" s="1172" t="s">
        <v>1288</v>
      </c>
      <c r="C615" s="1636">
        <f>Data!K2259</f>
        <v>1503.34</v>
      </c>
      <c r="D615" s="1686" t="s">
        <v>1418</v>
      </c>
      <c r="E615" s="1616">
        <f>station!I934</f>
        <v>41</v>
      </c>
      <c r="F615" s="1617">
        <f t="shared" si="187"/>
        <v>61636.94</v>
      </c>
      <c r="G615" s="1616"/>
      <c r="H615" s="1618">
        <f t="shared" si="188"/>
        <v>0</v>
      </c>
      <c r="I615" s="1616"/>
      <c r="J615" s="1618">
        <f t="shared" si="189"/>
        <v>0</v>
      </c>
      <c r="K615" s="1618"/>
      <c r="L615" s="1618">
        <f t="shared" si="204"/>
        <v>0</v>
      </c>
      <c r="M615" s="1618"/>
      <c r="N615" s="1618">
        <f t="shared" si="205"/>
        <v>0</v>
      </c>
      <c r="O615" s="1618"/>
      <c r="P615" s="1618">
        <f t="shared" si="206"/>
        <v>0</v>
      </c>
      <c r="Q615" s="1618"/>
      <c r="R615" s="1618">
        <f t="shared" si="207"/>
        <v>0</v>
      </c>
      <c r="S615" s="1618"/>
      <c r="T615" s="1618">
        <f t="shared" si="199"/>
        <v>0</v>
      </c>
      <c r="U615" s="1616"/>
      <c r="V615" s="1618">
        <f t="shared" si="200"/>
        <v>0</v>
      </c>
      <c r="W615" s="1619" t="e">
        <f>U615+S615+O615+M615+#REF!+K615+I615+G615+Q615</f>
        <v>#REF!</v>
      </c>
      <c r="X615" s="1618" t="e">
        <f t="shared" si="201"/>
        <v>#REF!</v>
      </c>
      <c r="Y615" s="1619" t="e">
        <f t="shared" si="208"/>
        <v>#REF!</v>
      </c>
      <c r="Z615" s="1618" t="e">
        <f t="shared" si="203"/>
        <v>#REF!</v>
      </c>
      <c r="AA615" s="674"/>
      <c r="AB615" s="674"/>
    </row>
    <row r="616" spans="1:28" s="475" customFormat="1">
      <c r="A616" s="1677"/>
      <c r="B616" s="1172" t="s">
        <v>300</v>
      </c>
      <c r="C616" s="1636">
        <v>1531.07</v>
      </c>
      <c r="D616" s="1686" t="s">
        <v>1418</v>
      </c>
      <c r="E616" s="1616">
        <f>station!I936</f>
        <v>2</v>
      </c>
      <c r="F616" s="1617">
        <f t="shared" si="187"/>
        <v>3062.14</v>
      </c>
      <c r="G616" s="1616"/>
      <c r="H616" s="1618">
        <f t="shared" si="188"/>
        <v>0</v>
      </c>
      <c r="I616" s="1616"/>
      <c r="J616" s="1618">
        <f t="shared" si="189"/>
        <v>0</v>
      </c>
      <c r="K616" s="1618"/>
      <c r="L616" s="1618">
        <f t="shared" si="204"/>
        <v>0</v>
      </c>
      <c r="M616" s="1618"/>
      <c r="N616" s="1618">
        <f t="shared" si="205"/>
        <v>0</v>
      </c>
      <c r="O616" s="1618"/>
      <c r="P616" s="1618">
        <f t="shared" si="206"/>
        <v>0</v>
      </c>
      <c r="Q616" s="1618"/>
      <c r="R616" s="1618">
        <f t="shared" si="207"/>
        <v>0</v>
      </c>
      <c r="S616" s="1618"/>
      <c r="T616" s="1618">
        <f t="shared" si="199"/>
        <v>0</v>
      </c>
      <c r="U616" s="1616"/>
      <c r="V616" s="1618">
        <f t="shared" si="200"/>
        <v>0</v>
      </c>
      <c r="W616" s="1619" t="e">
        <f>U616+S616+O616+M616+#REF!+K616+I616+G616+Q616</f>
        <v>#REF!</v>
      </c>
      <c r="X616" s="1618" t="e">
        <f t="shared" si="201"/>
        <v>#REF!</v>
      </c>
      <c r="Y616" s="1619" t="e">
        <f t="shared" si="208"/>
        <v>#REF!</v>
      </c>
      <c r="Z616" s="1618" t="e">
        <f t="shared" si="203"/>
        <v>#REF!</v>
      </c>
      <c r="AA616" s="674"/>
      <c r="AB616" s="674"/>
    </row>
    <row r="617" spans="1:28" s="475" customFormat="1" ht="67.5">
      <c r="A617" s="1635">
        <v>65.099999999999994</v>
      </c>
      <c r="B617" s="1172" t="s">
        <v>5323</v>
      </c>
      <c r="C617" s="1636">
        <v>1565.5</v>
      </c>
      <c r="D617" s="1686" t="s">
        <v>1418</v>
      </c>
      <c r="E617" s="1616">
        <f>station!I950</f>
        <v>2</v>
      </c>
      <c r="F617" s="1617">
        <f t="shared" si="187"/>
        <v>3131</v>
      </c>
      <c r="G617" s="1616"/>
      <c r="H617" s="1618">
        <f t="shared" si="188"/>
        <v>0</v>
      </c>
      <c r="I617" s="1616"/>
      <c r="J617" s="1618">
        <f t="shared" si="189"/>
        <v>0</v>
      </c>
      <c r="K617" s="1618"/>
      <c r="L617" s="1618">
        <f t="shared" si="204"/>
        <v>0</v>
      </c>
      <c r="M617" s="1618"/>
      <c r="N617" s="1618">
        <f t="shared" si="205"/>
        <v>0</v>
      </c>
      <c r="O617" s="1618"/>
      <c r="P617" s="1618">
        <f t="shared" si="206"/>
        <v>0</v>
      </c>
      <c r="Q617" s="1618"/>
      <c r="R617" s="1618">
        <f t="shared" si="207"/>
        <v>0</v>
      </c>
      <c r="S617" s="1618"/>
      <c r="T617" s="1618">
        <f t="shared" si="199"/>
        <v>0</v>
      </c>
      <c r="U617" s="1616"/>
      <c r="V617" s="1618">
        <f t="shared" si="200"/>
        <v>0</v>
      </c>
      <c r="W617" s="1619" t="e">
        <f>U617+S617+O617+M617+#REF!+K617+I617+G617+Q617</f>
        <v>#REF!</v>
      </c>
      <c r="X617" s="1618" t="e">
        <f t="shared" si="201"/>
        <v>#REF!</v>
      </c>
      <c r="Y617" s="1619" t="e">
        <f t="shared" si="208"/>
        <v>#REF!</v>
      </c>
      <c r="Z617" s="1618" t="e">
        <f t="shared" si="203"/>
        <v>#REF!</v>
      </c>
      <c r="AA617" s="674"/>
      <c r="AB617" s="674"/>
    </row>
    <row r="618" spans="1:28" s="475" customFormat="1" ht="90">
      <c r="A618" s="1635">
        <v>66.099999999999994</v>
      </c>
      <c r="B618" s="1172" t="s">
        <v>5324</v>
      </c>
      <c r="C618" s="1636">
        <v>2802.19</v>
      </c>
      <c r="D618" s="1686" t="s">
        <v>1418</v>
      </c>
      <c r="E618" s="1616">
        <f>station!I961</f>
        <v>16</v>
      </c>
      <c r="F618" s="1617">
        <f t="shared" si="187"/>
        <v>44835.040000000001</v>
      </c>
      <c r="G618" s="1616"/>
      <c r="H618" s="1618">
        <f t="shared" si="188"/>
        <v>0</v>
      </c>
      <c r="I618" s="1616"/>
      <c r="J618" s="1618">
        <f t="shared" si="189"/>
        <v>0</v>
      </c>
      <c r="K618" s="1618"/>
      <c r="L618" s="1618">
        <f t="shared" si="204"/>
        <v>0</v>
      </c>
      <c r="M618" s="1618"/>
      <c r="N618" s="1618">
        <f t="shared" si="205"/>
        <v>0</v>
      </c>
      <c r="O618" s="1618"/>
      <c r="P618" s="1618">
        <f t="shared" si="206"/>
        <v>0</v>
      </c>
      <c r="Q618" s="1618"/>
      <c r="R618" s="1618">
        <f t="shared" si="207"/>
        <v>0</v>
      </c>
      <c r="S618" s="1618"/>
      <c r="T618" s="1618">
        <f t="shared" si="199"/>
        <v>0</v>
      </c>
      <c r="U618" s="1616"/>
      <c r="V618" s="1618">
        <f t="shared" si="200"/>
        <v>0</v>
      </c>
      <c r="W618" s="1619" t="e">
        <f>U618+S618+O618+M618+#REF!+K618+I618+G618+Q618</f>
        <v>#REF!</v>
      </c>
      <c r="X618" s="1618" t="e">
        <f t="shared" si="201"/>
        <v>#REF!</v>
      </c>
      <c r="Y618" s="1619" t="e">
        <f t="shared" si="208"/>
        <v>#REF!</v>
      </c>
      <c r="Z618" s="1618" t="e">
        <f t="shared" si="203"/>
        <v>#REF!</v>
      </c>
      <c r="AA618" s="674"/>
      <c r="AB618" s="674"/>
    </row>
    <row r="619" spans="1:28" s="475" customFormat="1" ht="90">
      <c r="A619" s="1635"/>
      <c r="B619" s="1172" t="s">
        <v>5325</v>
      </c>
      <c r="C619" s="1636">
        <f>Data!K2263</f>
        <v>764.91</v>
      </c>
      <c r="D619" s="1686" t="s">
        <v>1418</v>
      </c>
      <c r="E619" s="1616">
        <f>station!I961</f>
        <v>16</v>
      </c>
      <c r="F619" s="1617">
        <f t="shared" si="187"/>
        <v>12238.56</v>
      </c>
      <c r="G619" s="1616"/>
      <c r="H619" s="1618">
        <f t="shared" si="188"/>
        <v>0</v>
      </c>
      <c r="I619" s="1616"/>
      <c r="J619" s="1618">
        <f t="shared" si="189"/>
        <v>0</v>
      </c>
      <c r="K619" s="1618"/>
      <c r="L619" s="1618">
        <f t="shared" si="204"/>
        <v>0</v>
      </c>
      <c r="M619" s="1618"/>
      <c r="N619" s="1618">
        <f t="shared" si="205"/>
        <v>0</v>
      </c>
      <c r="O619" s="1618"/>
      <c r="P619" s="1618">
        <f t="shared" si="206"/>
        <v>0</v>
      </c>
      <c r="Q619" s="1618"/>
      <c r="R619" s="1618">
        <f t="shared" si="207"/>
        <v>0</v>
      </c>
      <c r="S619" s="1618"/>
      <c r="T619" s="1618">
        <f t="shared" si="199"/>
        <v>0</v>
      </c>
      <c r="U619" s="1616"/>
      <c r="V619" s="1618">
        <f t="shared" si="200"/>
        <v>0</v>
      </c>
      <c r="W619" s="1619" t="e">
        <f>U619+S619+O619+M619+#REF!+K619+I619+G619+Q619</f>
        <v>#REF!</v>
      </c>
      <c r="X619" s="1618" t="e">
        <f t="shared" si="201"/>
        <v>#REF!</v>
      </c>
      <c r="Y619" s="1619" t="e">
        <f t="shared" si="208"/>
        <v>#REF!</v>
      </c>
      <c r="Z619" s="1618" t="e">
        <f t="shared" si="203"/>
        <v>#REF!</v>
      </c>
      <c r="AA619" s="674"/>
      <c r="AB619" s="674"/>
    </row>
    <row r="620" spans="1:28" s="475" customFormat="1" ht="90">
      <c r="A620" s="1635">
        <v>68.2</v>
      </c>
      <c r="B620" s="1172" t="s">
        <v>5326</v>
      </c>
      <c r="C620" s="1636">
        <f>Data!K2264</f>
        <v>1041.2</v>
      </c>
      <c r="D620" s="1686" t="s">
        <v>1418</v>
      </c>
      <c r="E620" s="1616">
        <f>station!I970</f>
        <v>14</v>
      </c>
      <c r="F620" s="1617">
        <f t="shared" si="187"/>
        <v>14576.8</v>
      </c>
      <c r="G620" s="1616"/>
      <c r="H620" s="1618">
        <f t="shared" si="188"/>
        <v>0</v>
      </c>
      <c r="I620" s="1616"/>
      <c r="J620" s="1618">
        <f t="shared" si="189"/>
        <v>0</v>
      </c>
      <c r="K620" s="1618"/>
      <c r="L620" s="1618">
        <f t="shared" si="204"/>
        <v>0</v>
      </c>
      <c r="M620" s="1618"/>
      <c r="N620" s="1618">
        <f t="shared" si="205"/>
        <v>0</v>
      </c>
      <c r="O620" s="1618"/>
      <c r="P620" s="1618">
        <f t="shared" si="206"/>
        <v>0</v>
      </c>
      <c r="Q620" s="1618"/>
      <c r="R620" s="1618">
        <f t="shared" si="207"/>
        <v>0</v>
      </c>
      <c r="S620" s="1618"/>
      <c r="T620" s="1618">
        <f t="shared" si="199"/>
        <v>0</v>
      </c>
      <c r="U620" s="1616"/>
      <c r="V620" s="1618">
        <f t="shared" si="200"/>
        <v>0</v>
      </c>
      <c r="W620" s="1619" t="e">
        <f>U620+S620+O620+M620+#REF!+K620+I620+G620+Q620</f>
        <v>#REF!</v>
      </c>
      <c r="X620" s="1618" t="e">
        <f t="shared" si="201"/>
        <v>#REF!</v>
      </c>
      <c r="Y620" s="1619" t="e">
        <f t="shared" si="208"/>
        <v>#REF!</v>
      </c>
      <c r="Z620" s="1618" t="e">
        <f t="shared" si="203"/>
        <v>#REF!</v>
      </c>
      <c r="AA620" s="674"/>
      <c r="AB620" s="674"/>
    </row>
    <row r="621" spans="1:28" s="301" customFormat="1" ht="45">
      <c r="A621" s="1608">
        <v>70.5</v>
      </c>
      <c r="B621" s="1166" t="s">
        <v>1323</v>
      </c>
      <c r="C621" s="1687">
        <f>Elec.Data!K3781</f>
        <v>535.49</v>
      </c>
      <c r="D621" s="1688" t="s">
        <v>1418</v>
      </c>
      <c r="E621" s="1616"/>
      <c r="F621" s="1617">
        <f t="shared" si="187"/>
        <v>0</v>
      </c>
      <c r="G621" s="1616"/>
      <c r="H621" s="1618">
        <f t="shared" si="188"/>
        <v>0</v>
      </c>
      <c r="I621" s="1616"/>
      <c r="J621" s="1618">
        <f t="shared" si="189"/>
        <v>0</v>
      </c>
      <c r="K621" s="1618"/>
      <c r="L621" s="1618">
        <f t="shared" si="204"/>
        <v>0</v>
      </c>
      <c r="M621" s="1618"/>
      <c r="N621" s="1618">
        <f t="shared" si="205"/>
        <v>0</v>
      </c>
      <c r="O621" s="1618"/>
      <c r="P621" s="1618">
        <f t="shared" si="206"/>
        <v>0</v>
      </c>
      <c r="Q621" s="1618"/>
      <c r="R621" s="1618">
        <f t="shared" si="207"/>
        <v>0</v>
      </c>
      <c r="S621" s="1618"/>
      <c r="T621" s="1618">
        <f t="shared" si="199"/>
        <v>0</v>
      </c>
      <c r="U621" s="1616"/>
      <c r="V621" s="1618">
        <f t="shared" si="200"/>
        <v>0</v>
      </c>
      <c r="W621" s="1619" t="e">
        <f>U621+S621+O621+M621+#REF!+K621+I621+G621+Q621</f>
        <v>#REF!</v>
      </c>
      <c r="X621" s="1618" t="e">
        <f t="shared" si="201"/>
        <v>#REF!</v>
      </c>
      <c r="Y621" s="1619" t="e">
        <f t="shared" si="208"/>
        <v>#REF!</v>
      </c>
      <c r="Z621" s="1618" t="e">
        <f t="shared" si="203"/>
        <v>#REF!</v>
      </c>
      <c r="AA621" s="675"/>
      <c r="AB621" s="674"/>
    </row>
    <row r="622" spans="1:28" ht="45">
      <c r="A622" s="1625"/>
      <c r="B622" s="1166" t="s">
        <v>5327</v>
      </c>
      <c r="C622" s="1612">
        <f>ROUND(Data!K3035,2)</f>
        <v>1437.4</v>
      </c>
      <c r="D622" s="1689" t="s">
        <v>1418</v>
      </c>
      <c r="E622" s="1616">
        <f>station!I1441</f>
        <v>16</v>
      </c>
      <c r="F622" s="1633">
        <f t="shared" si="187"/>
        <v>22998.400000000001</v>
      </c>
      <c r="G622" s="1618"/>
      <c r="H622" s="1618">
        <f t="shared" si="188"/>
        <v>0</v>
      </c>
      <c r="I622" s="1618"/>
      <c r="J622" s="1618">
        <f t="shared" si="189"/>
        <v>0</v>
      </c>
      <c r="K622" s="1618"/>
      <c r="L622" s="1618">
        <f t="shared" si="204"/>
        <v>0</v>
      </c>
      <c r="M622" s="1618"/>
      <c r="N622" s="1618">
        <f t="shared" si="205"/>
        <v>0</v>
      </c>
      <c r="O622" s="1618"/>
      <c r="P622" s="1618">
        <f t="shared" si="206"/>
        <v>0</v>
      </c>
      <c r="Q622" s="1618"/>
      <c r="R622" s="1618">
        <f t="shared" si="207"/>
        <v>0</v>
      </c>
      <c r="S622" s="1618"/>
      <c r="T622" s="1618">
        <f t="shared" si="199"/>
        <v>0</v>
      </c>
      <c r="U622" s="1618"/>
      <c r="V622" s="1618">
        <f t="shared" si="200"/>
        <v>0</v>
      </c>
      <c r="W622" s="1619" t="e">
        <f>U622+S622+O622+M622+#REF!+K622+I622+G622+Q622</f>
        <v>#REF!</v>
      </c>
      <c r="X622" s="1618" t="e">
        <f t="shared" si="201"/>
        <v>#REF!</v>
      </c>
      <c r="Y622" s="1619" t="e">
        <f t="shared" si="208"/>
        <v>#REF!</v>
      </c>
      <c r="Z622" s="1618" t="e">
        <f t="shared" si="203"/>
        <v>#REF!</v>
      </c>
      <c r="AA622" s="673"/>
      <c r="AB622" s="673"/>
    </row>
    <row r="623" spans="1:28" ht="87" customHeight="1">
      <c r="A623" s="1625"/>
      <c r="B623" s="1166" t="s">
        <v>3576</v>
      </c>
      <c r="C623" s="1612">
        <f>Data!K2280</f>
        <v>246.68</v>
      </c>
      <c r="D623" s="1684" t="s">
        <v>835</v>
      </c>
      <c r="E623" s="1616">
        <v>50</v>
      </c>
      <c r="F623" s="1633">
        <f t="shared" si="187"/>
        <v>12334</v>
      </c>
      <c r="G623" s="1618"/>
      <c r="H623" s="1618">
        <f t="shared" si="188"/>
        <v>0</v>
      </c>
      <c r="I623" s="1618"/>
      <c r="J623" s="1618">
        <f t="shared" si="189"/>
        <v>0</v>
      </c>
      <c r="K623" s="1618"/>
      <c r="L623" s="1618">
        <f t="shared" si="204"/>
        <v>0</v>
      </c>
      <c r="M623" s="1618"/>
      <c r="N623" s="1618">
        <f t="shared" si="205"/>
        <v>0</v>
      </c>
      <c r="O623" s="1618"/>
      <c r="P623" s="1618">
        <f t="shared" si="206"/>
        <v>0</v>
      </c>
      <c r="Q623" s="1618"/>
      <c r="R623" s="1618">
        <f t="shared" si="207"/>
        <v>0</v>
      </c>
      <c r="S623" s="1618"/>
      <c r="T623" s="1618">
        <f t="shared" si="199"/>
        <v>0</v>
      </c>
      <c r="U623" s="1618"/>
      <c r="V623" s="1618">
        <f t="shared" si="200"/>
        <v>0</v>
      </c>
      <c r="W623" s="1619" t="e">
        <f>U623+S623+O623+M623+#REF!+K623+I623+G623+Q623</f>
        <v>#REF!</v>
      </c>
      <c r="X623" s="1618" t="e">
        <f t="shared" si="201"/>
        <v>#REF!</v>
      </c>
      <c r="Y623" s="1619" t="e">
        <f t="shared" si="208"/>
        <v>#REF!</v>
      </c>
      <c r="Z623" s="1618" t="e">
        <f t="shared" si="203"/>
        <v>#REF!</v>
      </c>
      <c r="AA623" s="673"/>
      <c r="AB623" s="673"/>
    </row>
    <row r="624" spans="1:28" s="301" customFormat="1" ht="84.75" customHeight="1">
      <c r="A624" s="1690">
        <v>77.5</v>
      </c>
      <c r="B624" s="1177" t="s">
        <v>3577</v>
      </c>
      <c r="C624" s="1683">
        <f>ROUND(Data!K2279,2)</f>
        <v>192.58</v>
      </c>
      <c r="D624" s="1691" t="s">
        <v>835</v>
      </c>
      <c r="E624" s="1616"/>
      <c r="F624" s="1633">
        <f t="shared" si="187"/>
        <v>0</v>
      </c>
      <c r="G624" s="1618"/>
      <c r="H624" s="1618">
        <f t="shared" si="188"/>
        <v>0</v>
      </c>
      <c r="I624" s="1618"/>
      <c r="J624" s="1618">
        <f t="shared" si="189"/>
        <v>0</v>
      </c>
      <c r="K624" s="1618"/>
      <c r="L624" s="1618">
        <f t="shared" si="204"/>
        <v>0</v>
      </c>
      <c r="M624" s="1618"/>
      <c r="N624" s="1618">
        <f t="shared" si="205"/>
        <v>0</v>
      </c>
      <c r="O624" s="1618"/>
      <c r="P624" s="1618">
        <f t="shared" si="206"/>
        <v>0</v>
      </c>
      <c r="Q624" s="1618"/>
      <c r="R624" s="1618">
        <f t="shared" si="207"/>
        <v>0</v>
      </c>
      <c r="S624" s="1618"/>
      <c r="T624" s="1618">
        <f t="shared" si="199"/>
        <v>0</v>
      </c>
      <c r="U624" s="1618"/>
      <c r="V624" s="1618">
        <f t="shared" si="200"/>
        <v>0</v>
      </c>
      <c r="W624" s="1619" t="e">
        <f>U624+S624+O624+M624+#REF!+K624+I624+G624+Q624</f>
        <v>#REF!</v>
      </c>
      <c r="X624" s="1618" t="e">
        <f t="shared" si="201"/>
        <v>#REF!</v>
      </c>
      <c r="Y624" s="1619" t="e">
        <f t="shared" si="208"/>
        <v>#REF!</v>
      </c>
      <c r="Z624" s="1618" t="e">
        <f t="shared" si="203"/>
        <v>#REF!</v>
      </c>
      <c r="AA624" s="675"/>
      <c r="AB624" s="673"/>
    </row>
    <row r="625" spans="1:28" s="301" customFormat="1" ht="84.75" customHeight="1">
      <c r="A625" s="1658"/>
      <c r="B625" s="1166" t="s">
        <v>3616</v>
      </c>
      <c r="C625" s="1625">
        <f>C1008</f>
        <v>209.78</v>
      </c>
      <c r="D625" s="1692" t="s">
        <v>835</v>
      </c>
      <c r="E625" s="1616">
        <f>station!I1442</f>
        <v>50</v>
      </c>
      <c r="F625" s="1633">
        <f t="shared" si="187"/>
        <v>10489</v>
      </c>
      <c r="G625" s="1618"/>
      <c r="H625" s="1618">
        <f t="shared" si="188"/>
        <v>0</v>
      </c>
      <c r="I625" s="1618"/>
      <c r="J625" s="1618">
        <f t="shared" si="189"/>
        <v>0</v>
      </c>
      <c r="K625" s="1618"/>
      <c r="L625" s="1618">
        <f t="shared" si="204"/>
        <v>0</v>
      </c>
      <c r="M625" s="1618"/>
      <c r="N625" s="1618">
        <f t="shared" si="205"/>
        <v>0</v>
      </c>
      <c r="O625" s="1618"/>
      <c r="P625" s="1618">
        <f t="shared" si="206"/>
        <v>0</v>
      </c>
      <c r="Q625" s="1618"/>
      <c r="R625" s="1618">
        <f t="shared" si="207"/>
        <v>0</v>
      </c>
      <c r="S625" s="1618"/>
      <c r="T625" s="1618">
        <f t="shared" si="199"/>
        <v>0</v>
      </c>
      <c r="U625" s="1618"/>
      <c r="V625" s="1618">
        <f t="shared" si="200"/>
        <v>0</v>
      </c>
      <c r="W625" s="1619" t="e">
        <f>U625+S625+O625+M625+#REF!+K625+I625+G625+Q625</f>
        <v>#REF!</v>
      </c>
      <c r="X625" s="1618" t="e">
        <f t="shared" si="201"/>
        <v>#REF!</v>
      </c>
      <c r="Y625" s="1619" t="e">
        <f t="shared" si="208"/>
        <v>#REF!</v>
      </c>
      <c r="Z625" s="1618" t="e">
        <f t="shared" si="203"/>
        <v>#REF!</v>
      </c>
      <c r="AA625" s="675"/>
      <c r="AB625" s="673"/>
    </row>
    <row r="626" spans="1:28" ht="84" customHeight="1">
      <c r="A626" s="1658"/>
      <c r="B626" s="1166" t="s">
        <v>5328</v>
      </c>
      <c r="C626" s="1625">
        <f>Elec.Data!K3539</f>
        <v>250.43</v>
      </c>
      <c r="D626" s="1684" t="s">
        <v>835</v>
      </c>
      <c r="E626" s="1616"/>
      <c r="F626" s="1633">
        <f t="shared" si="187"/>
        <v>0</v>
      </c>
      <c r="G626" s="1618"/>
      <c r="H626" s="1618">
        <f t="shared" si="188"/>
        <v>0</v>
      </c>
      <c r="I626" s="1618"/>
      <c r="J626" s="1618">
        <f t="shared" si="189"/>
        <v>0</v>
      </c>
      <c r="K626" s="1618"/>
      <c r="L626" s="1618">
        <f t="shared" si="204"/>
        <v>0</v>
      </c>
      <c r="M626" s="1618"/>
      <c r="N626" s="1618">
        <f t="shared" si="205"/>
        <v>0</v>
      </c>
      <c r="O626" s="1618"/>
      <c r="P626" s="1618">
        <f t="shared" si="206"/>
        <v>0</v>
      </c>
      <c r="Q626" s="1618"/>
      <c r="R626" s="1618">
        <f t="shared" si="207"/>
        <v>0</v>
      </c>
      <c r="S626" s="1618"/>
      <c r="T626" s="1618">
        <f t="shared" si="199"/>
        <v>0</v>
      </c>
      <c r="U626" s="1618"/>
      <c r="V626" s="1618">
        <f t="shared" si="200"/>
        <v>0</v>
      </c>
      <c r="W626" s="1619" t="e">
        <f>U626+S626+O626+M626+#REF!+K626+I626+G626+Q626</f>
        <v>#REF!</v>
      </c>
      <c r="X626" s="1618" t="e">
        <f t="shared" si="201"/>
        <v>#REF!</v>
      </c>
      <c r="Y626" s="1619" t="e">
        <f t="shared" si="208"/>
        <v>#REF!</v>
      </c>
      <c r="Z626" s="1618" t="e">
        <f t="shared" si="203"/>
        <v>#REF!</v>
      </c>
      <c r="AA626" s="673"/>
      <c r="AB626" s="673"/>
    </row>
    <row r="627" spans="1:28" s="301" customFormat="1" ht="59.25" customHeight="1">
      <c r="A627" s="1658"/>
      <c r="B627" s="1193" t="s">
        <v>3696</v>
      </c>
      <c r="C627" s="1630">
        <f>Elec.Data!R3119</f>
        <v>458</v>
      </c>
      <c r="D627" s="1693" t="s">
        <v>835</v>
      </c>
      <c r="E627" s="1616"/>
      <c r="F627" s="1633">
        <f t="shared" si="187"/>
        <v>0</v>
      </c>
      <c r="G627" s="1618"/>
      <c r="H627" s="1618">
        <f t="shared" si="188"/>
        <v>0</v>
      </c>
      <c r="I627" s="1618"/>
      <c r="J627" s="1618">
        <f t="shared" si="189"/>
        <v>0</v>
      </c>
      <c r="K627" s="1618"/>
      <c r="L627" s="1618">
        <f t="shared" si="204"/>
        <v>0</v>
      </c>
      <c r="M627" s="1618"/>
      <c r="N627" s="1618">
        <f t="shared" si="205"/>
        <v>0</v>
      </c>
      <c r="O627" s="1618"/>
      <c r="P627" s="1618">
        <f t="shared" si="206"/>
        <v>0</v>
      </c>
      <c r="Q627" s="1618"/>
      <c r="R627" s="1618">
        <f t="shared" si="207"/>
        <v>0</v>
      </c>
      <c r="S627" s="1618"/>
      <c r="T627" s="1618">
        <f t="shared" si="199"/>
        <v>0</v>
      </c>
      <c r="U627" s="1618"/>
      <c r="V627" s="1618">
        <f t="shared" si="200"/>
        <v>0</v>
      </c>
      <c r="W627" s="1619" t="e">
        <f>U627+S627+O627+M627+#REF!+K627+I627+G627+Q627</f>
        <v>#REF!</v>
      </c>
      <c r="X627" s="1618" t="e">
        <f t="shared" si="201"/>
        <v>#REF!</v>
      </c>
      <c r="Y627" s="1619" t="e">
        <f t="shared" si="208"/>
        <v>#REF!</v>
      </c>
      <c r="Z627" s="1618" t="e">
        <f t="shared" si="203"/>
        <v>#REF!</v>
      </c>
      <c r="AA627" s="675"/>
      <c r="AB627" s="673"/>
    </row>
    <row r="628" spans="1:28" s="301" customFormat="1" ht="66.75" hidden="1" customHeight="1">
      <c r="A628" s="375"/>
      <c r="B628" s="453" t="s">
        <v>3697</v>
      </c>
      <c r="C628" s="307">
        <f>Elec.Data!R3133</f>
        <v>589.27</v>
      </c>
      <c r="D628" s="318" t="s">
        <v>835</v>
      </c>
      <c r="E628" s="526"/>
      <c r="F628" s="630">
        <f t="shared" si="187"/>
        <v>0</v>
      </c>
      <c r="G628" s="526"/>
      <c r="H628" s="517">
        <f t="shared" si="188"/>
        <v>0</v>
      </c>
      <c r="I628" s="526"/>
      <c r="J628" s="517">
        <f t="shared" si="189"/>
        <v>0</v>
      </c>
      <c r="K628" s="517"/>
      <c r="L628" s="517"/>
      <c r="M628" s="517"/>
      <c r="N628" s="517"/>
      <c r="O628" s="517"/>
      <c r="P628" s="517"/>
      <c r="Q628" s="517"/>
      <c r="R628" s="517"/>
      <c r="S628" s="517"/>
      <c r="T628" s="517">
        <f t="shared" si="199"/>
        <v>0</v>
      </c>
      <c r="U628" s="526"/>
      <c r="V628" s="517">
        <f t="shared" si="200"/>
        <v>0</v>
      </c>
      <c r="W628" s="632">
        <f>I628+S628+U628</f>
        <v>0</v>
      </c>
      <c r="X628" s="517">
        <f t="shared" si="201"/>
        <v>0</v>
      </c>
      <c r="Y628" s="632">
        <f>W628+E628+G628</f>
        <v>0</v>
      </c>
      <c r="Z628" s="517">
        <f t="shared" si="203"/>
        <v>0</v>
      </c>
      <c r="AA628" s="675"/>
      <c r="AB628" s="674"/>
    </row>
    <row r="629" spans="1:28" s="475" customFormat="1">
      <c r="A629" s="1635">
        <v>112.1</v>
      </c>
      <c r="B629" s="1172" t="s">
        <v>1944</v>
      </c>
      <c r="C629" s="1636">
        <f>Data!K3015</f>
        <v>1941.5</v>
      </c>
      <c r="D629" s="1686" t="s">
        <v>1418</v>
      </c>
      <c r="E629" s="1616"/>
      <c r="F629" s="1633">
        <f t="shared" si="187"/>
        <v>0</v>
      </c>
      <c r="G629" s="1616"/>
      <c r="H629" s="1618">
        <f t="shared" si="188"/>
        <v>0</v>
      </c>
      <c r="I629" s="1616"/>
      <c r="J629" s="1618">
        <f t="shared" si="189"/>
        <v>0</v>
      </c>
      <c r="K629" s="1618"/>
      <c r="L629" s="1618">
        <f t="shared" ref="L629:L637" si="209">K629*C629</f>
        <v>0</v>
      </c>
      <c r="M629" s="1618"/>
      <c r="N629" s="1618">
        <f t="shared" ref="N629:N637" si="210">M629*C629</f>
        <v>0</v>
      </c>
      <c r="O629" s="1618"/>
      <c r="P629" s="1618">
        <f t="shared" ref="P629:P637" si="211">O629*C629</f>
        <v>0</v>
      </c>
      <c r="Q629" s="1618"/>
      <c r="R629" s="1618">
        <f>Q629*C629</f>
        <v>0</v>
      </c>
      <c r="S629" s="1618"/>
      <c r="T629" s="1618">
        <f t="shared" si="199"/>
        <v>0</v>
      </c>
      <c r="U629" s="1616"/>
      <c r="V629" s="1618">
        <f t="shared" si="200"/>
        <v>0</v>
      </c>
      <c r="W629" s="1619" t="e">
        <f>U629+S629+O629+M629+#REF!+K629+I629+G629+Q629</f>
        <v>#REF!</v>
      </c>
      <c r="X629" s="1618" t="e">
        <f t="shared" si="201"/>
        <v>#REF!</v>
      </c>
      <c r="Y629" s="1619" t="e">
        <f t="shared" ref="Y629:Y660" si="212">W629+E629</f>
        <v>#REF!</v>
      </c>
      <c r="Z629" s="1618" t="e">
        <f t="shared" si="203"/>
        <v>#REF!</v>
      </c>
      <c r="AA629" s="674"/>
      <c r="AB629" s="674"/>
    </row>
    <row r="630" spans="1:28" s="301" customFormat="1" hidden="1">
      <c r="A630" s="536"/>
      <c r="B630" s="1171" t="s">
        <v>1024</v>
      </c>
      <c r="C630" s="549"/>
      <c r="D630" s="550"/>
      <c r="E630" s="526"/>
      <c r="F630" s="1392">
        <f t="shared" si="187"/>
        <v>0</v>
      </c>
      <c r="G630" s="517"/>
      <c r="H630" s="517">
        <f t="shared" si="188"/>
        <v>0</v>
      </c>
      <c r="I630" s="517"/>
      <c r="J630" s="517">
        <f t="shared" si="189"/>
        <v>0</v>
      </c>
      <c r="K630" s="517"/>
      <c r="L630" s="517">
        <f t="shared" si="209"/>
        <v>0</v>
      </c>
      <c r="M630" s="517"/>
      <c r="N630" s="517">
        <f t="shared" si="210"/>
        <v>0</v>
      </c>
      <c r="O630" s="517"/>
      <c r="P630" s="517">
        <f t="shared" si="211"/>
        <v>0</v>
      </c>
      <c r="Q630" s="517"/>
      <c r="R630" s="517"/>
      <c r="S630" s="517"/>
      <c r="T630" s="517">
        <f t="shared" si="199"/>
        <v>0</v>
      </c>
      <c r="U630" s="517"/>
      <c r="V630" s="517">
        <f t="shared" si="200"/>
        <v>0</v>
      </c>
      <c r="W630" s="632" t="e">
        <f>U630+S630+O630+M630+#REF!+K630+I630+G630</f>
        <v>#REF!</v>
      </c>
      <c r="X630" s="517" t="e">
        <f t="shared" ref="X630:X661" si="213">W630*C630</f>
        <v>#REF!</v>
      </c>
      <c r="Y630" s="632" t="e">
        <f t="shared" si="212"/>
        <v>#REF!</v>
      </c>
      <c r="Z630" s="517" t="e">
        <f t="shared" ref="Z630:Z661" si="214">Y630*C630</f>
        <v>#REF!</v>
      </c>
      <c r="AA630" s="675"/>
      <c r="AB630" s="673"/>
    </row>
    <row r="631" spans="1:28" s="301" customFormat="1" hidden="1">
      <c r="A631" s="368"/>
      <c r="B631" s="1166" t="s">
        <v>1457</v>
      </c>
      <c r="C631" s="372">
        <f>ROUND(Data!K3028,2)</f>
        <v>130</v>
      </c>
      <c r="D631" s="376" t="s">
        <v>1418</v>
      </c>
      <c r="E631" s="526"/>
      <c r="F631" s="1392">
        <f t="shared" si="187"/>
        <v>0</v>
      </c>
      <c r="G631" s="517"/>
      <c r="H631" s="517">
        <f t="shared" si="188"/>
        <v>0</v>
      </c>
      <c r="I631" s="517"/>
      <c r="J631" s="517">
        <f t="shared" si="189"/>
        <v>0</v>
      </c>
      <c r="K631" s="517"/>
      <c r="L631" s="517">
        <f t="shared" si="209"/>
        <v>0</v>
      </c>
      <c r="M631" s="517"/>
      <c r="N631" s="517">
        <f t="shared" si="210"/>
        <v>0</v>
      </c>
      <c r="O631" s="517"/>
      <c r="P631" s="517">
        <f t="shared" si="211"/>
        <v>0</v>
      </c>
      <c r="Q631" s="517"/>
      <c r="R631" s="517"/>
      <c r="S631" s="517"/>
      <c r="T631" s="517">
        <f t="shared" si="199"/>
        <v>0</v>
      </c>
      <c r="U631" s="517"/>
      <c r="V631" s="517">
        <f t="shared" si="200"/>
        <v>0</v>
      </c>
      <c r="W631" s="632" t="e">
        <f>U631+S631+O631+M631+#REF!+K631+I631+G631</f>
        <v>#REF!</v>
      </c>
      <c r="X631" s="517" t="e">
        <f t="shared" si="213"/>
        <v>#REF!</v>
      </c>
      <c r="Y631" s="632" t="e">
        <f t="shared" si="212"/>
        <v>#REF!</v>
      </c>
      <c r="Z631" s="517" t="e">
        <f t="shared" si="214"/>
        <v>#REF!</v>
      </c>
      <c r="AA631" s="675"/>
      <c r="AB631" s="673"/>
    </row>
    <row r="632" spans="1:28" s="301" customFormat="1" hidden="1">
      <c r="A632" s="368"/>
      <c r="B632" s="1166" t="s">
        <v>1456</v>
      </c>
      <c r="C632" s="372">
        <f>Data!K3030</f>
        <v>170</v>
      </c>
      <c r="D632" s="376" t="s">
        <v>1418</v>
      </c>
      <c r="E632" s="526"/>
      <c r="F632" s="1392">
        <f t="shared" si="187"/>
        <v>0</v>
      </c>
      <c r="G632" s="517"/>
      <c r="H632" s="517">
        <f t="shared" si="188"/>
        <v>0</v>
      </c>
      <c r="I632" s="517"/>
      <c r="J632" s="517">
        <f t="shared" si="189"/>
        <v>0</v>
      </c>
      <c r="K632" s="517"/>
      <c r="L632" s="517">
        <f t="shared" si="209"/>
        <v>0</v>
      </c>
      <c r="M632" s="517"/>
      <c r="N632" s="517">
        <f t="shared" si="210"/>
        <v>0</v>
      </c>
      <c r="O632" s="517"/>
      <c r="P632" s="517">
        <f t="shared" si="211"/>
        <v>0</v>
      </c>
      <c r="Q632" s="517"/>
      <c r="R632" s="517"/>
      <c r="S632" s="517"/>
      <c r="T632" s="517">
        <f t="shared" si="199"/>
        <v>0</v>
      </c>
      <c r="U632" s="517"/>
      <c r="V632" s="517">
        <f t="shared" si="200"/>
        <v>0</v>
      </c>
      <c r="W632" s="632" t="e">
        <f>U632+S632+O632+M632+#REF!+K632+I632+G632</f>
        <v>#REF!</v>
      </c>
      <c r="X632" s="517" t="e">
        <f t="shared" si="213"/>
        <v>#REF!</v>
      </c>
      <c r="Y632" s="632" t="e">
        <f t="shared" si="212"/>
        <v>#REF!</v>
      </c>
      <c r="Z632" s="517" t="e">
        <f t="shared" si="214"/>
        <v>#REF!</v>
      </c>
      <c r="AA632" s="675"/>
      <c r="AB632" s="673"/>
    </row>
    <row r="633" spans="1:28" s="301" customFormat="1" hidden="1">
      <c r="A633" s="649"/>
      <c r="B633" s="1174" t="s">
        <v>201</v>
      </c>
      <c r="C633" s="664">
        <f>Data!K3033</f>
        <v>443</v>
      </c>
      <c r="D633" s="665" t="s">
        <v>1418</v>
      </c>
      <c r="E633" s="651"/>
      <c r="F633" s="1392">
        <f t="shared" si="187"/>
        <v>0</v>
      </c>
      <c r="G633" s="654"/>
      <c r="H633" s="517">
        <f t="shared" si="188"/>
        <v>0</v>
      </c>
      <c r="I633" s="654"/>
      <c r="J633" s="517">
        <f t="shared" si="189"/>
        <v>0</v>
      </c>
      <c r="K633" s="654"/>
      <c r="L633" s="517">
        <f t="shared" si="209"/>
        <v>0</v>
      </c>
      <c r="M633" s="654"/>
      <c r="N633" s="517">
        <f t="shared" si="210"/>
        <v>0</v>
      </c>
      <c r="O633" s="654"/>
      <c r="P633" s="517">
        <f t="shared" si="211"/>
        <v>0</v>
      </c>
      <c r="Q633" s="654"/>
      <c r="R633" s="654"/>
      <c r="S633" s="654"/>
      <c r="T633" s="517">
        <f t="shared" si="199"/>
        <v>0</v>
      </c>
      <c r="U633" s="654"/>
      <c r="V633" s="517">
        <f t="shared" si="200"/>
        <v>0</v>
      </c>
      <c r="W633" s="632" t="e">
        <f>U633+S633+O633+M633+#REF!+K633+I633+G633</f>
        <v>#REF!</v>
      </c>
      <c r="X633" s="517" t="e">
        <f t="shared" si="213"/>
        <v>#REF!</v>
      </c>
      <c r="Y633" s="632" t="e">
        <f t="shared" si="212"/>
        <v>#REF!</v>
      </c>
      <c r="Z633" s="517" t="e">
        <f t="shared" si="214"/>
        <v>#REF!</v>
      </c>
      <c r="AA633" s="675"/>
      <c r="AB633" s="673"/>
    </row>
    <row r="634" spans="1:28" s="301" customFormat="1" ht="45">
      <c r="A634" s="1608">
        <v>44.2</v>
      </c>
      <c r="B634" s="1169" t="s">
        <v>1930</v>
      </c>
      <c r="C634" s="1612"/>
      <c r="D634" s="1689"/>
      <c r="E634" s="1623"/>
      <c r="F634" s="1633">
        <f t="shared" si="187"/>
        <v>0</v>
      </c>
      <c r="G634" s="1618"/>
      <c r="H634" s="1618">
        <f t="shared" si="188"/>
        <v>0</v>
      </c>
      <c r="I634" s="1618"/>
      <c r="J634" s="1618">
        <f t="shared" si="189"/>
        <v>0</v>
      </c>
      <c r="K634" s="1618"/>
      <c r="L634" s="1618">
        <f t="shared" si="209"/>
        <v>0</v>
      </c>
      <c r="M634" s="1618"/>
      <c r="N634" s="1618">
        <f t="shared" si="210"/>
        <v>0</v>
      </c>
      <c r="O634" s="1618"/>
      <c r="P634" s="1618">
        <f t="shared" si="211"/>
        <v>0</v>
      </c>
      <c r="Q634" s="1618"/>
      <c r="R634" s="1618">
        <f t="shared" ref="R634:R639" si="215">Q634*C634</f>
        <v>0</v>
      </c>
      <c r="S634" s="1618"/>
      <c r="T634" s="1618">
        <f t="shared" si="199"/>
        <v>0</v>
      </c>
      <c r="U634" s="1618"/>
      <c r="V634" s="1618">
        <f t="shared" si="200"/>
        <v>0</v>
      </c>
      <c r="W634" s="1619" t="e">
        <f>U634+S634+O634+M634+#REF!+K634+I634+G634+Q634</f>
        <v>#REF!</v>
      </c>
      <c r="X634" s="1618" t="e">
        <f t="shared" si="213"/>
        <v>#REF!</v>
      </c>
      <c r="Y634" s="1619" t="e">
        <f t="shared" si="212"/>
        <v>#REF!</v>
      </c>
      <c r="Z634" s="1618" t="e">
        <f t="shared" si="214"/>
        <v>#REF!</v>
      </c>
      <c r="AA634" s="675"/>
      <c r="AB634" s="673"/>
    </row>
    <row r="635" spans="1:28" ht="39.75" customHeight="1">
      <c r="A635" s="1608"/>
      <c r="B635" s="1166" t="s">
        <v>4894</v>
      </c>
      <c r="C635" s="1612">
        <v>1879.46</v>
      </c>
      <c r="D635" s="1689" t="s">
        <v>1418</v>
      </c>
      <c r="E635" s="1616">
        <f>station!I1445</f>
        <v>4</v>
      </c>
      <c r="F635" s="1633">
        <f t="shared" si="187"/>
        <v>7517.84</v>
      </c>
      <c r="G635" s="1618"/>
      <c r="H635" s="1618">
        <f t="shared" si="188"/>
        <v>0</v>
      </c>
      <c r="I635" s="1618"/>
      <c r="J635" s="1618">
        <f t="shared" si="189"/>
        <v>0</v>
      </c>
      <c r="K635" s="1618"/>
      <c r="L635" s="1618">
        <f t="shared" si="209"/>
        <v>0</v>
      </c>
      <c r="M635" s="1618"/>
      <c r="N635" s="1618">
        <f t="shared" si="210"/>
        <v>0</v>
      </c>
      <c r="O635" s="1618"/>
      <c r="P635" s="1618">
        <f t="shared" si="211"/>
        <v>0</v>
      </c>
      <c r="Q635" s="1618"/>
      <c r="R635" s="1618">
        <f t="shared" si="215"/>
        <v>0</v>
      </c>
      <c r="S635" s="1618"/>
      <c r="T635" s="1618">
        <f t="shared" si="199"/>
        <v>0</v>
      </c>
      <c r="U635" s="1618"/>
      <c r="V635" s="1618">
        <f t="shared" si="200"/>
        <v>0</v>
      </c>
      <c r="W635" s="1619" t="e">
        <f>U635+S635+O635+M635+#REF!+K635+I635+G635+Q635</f>
        <v>#REF!</v>
      </c>
      <c r="X635" s="1618" t="e">
        <f t="shared" si="213"/>
        <v>#REF!</v>
      </c>
      <c r="Y635" s="1619" t="e">
        <f t="shared" si="212"/>
        <v>#REF!</v>
      </c>
      <c r="Z635" s="1618" t="e">
        <f t="shared" si="214"/>
        <v>#REF!</v>
      </c>
      <c r="AA635" s="673"/>
      <c r="AB635" s="673"/>
    </row>
    <row r="636" spans="1:28" ht="39.75" customHeight="1">
      <c r="A636" s="1608"/>
      <c r="B636" s="1166" t="s">
        <v>319</v>
      </c>
      <c r="C636" s="1612">
        <f>Data!R2354</f>
        <v>434.61</v>
      </c>
      <c r="D636" s="1689" t="s">
        <v>835</v>
      </c>
      <c r="E636" s="1616">
        <f>station!I1446</f>
        <v>15</v>
      </c>
      <c r="F636" s="1633">
        <f t="shared" si="187"/>
        <v>6519.15</v>
      </c>
      <c r="G636" s="1618"/>
      <c r="H636" s="1618">
        <f t="shared" si="188"/>
        <v>0</v>
      </c>
      <c r="I636" s="1618"/>
      <c r="J636" s="1618">
        <f t="shared" si="189"/>
        <v>0</v>
      </c>
      <c r="K636" s="1618"/>
      <c r="L636" s="1618">
        <f t="shared" si="209"/>
        <v>0</v>
      </c>
      <c r="M636" s="1618"/>
      <c r="N636" s="1618">
        <f t="shared" si="210"/>
        <v>0</v>
      </c>
      <c r="O636" s="1618"/>
      <c r="P636" s="1618">
        <f t="shared" si="211"/>
        <v>0</v>
      </c>
      <c r="Q636" s="1618"/>
      <c r="R636" s="1618">
        <f t="shared" si="215"/>
        <v>0</v>
      </c>
      <c r="S636" s="1618"/>
      <c r="T636" s="1618">
        <f t="shared" si="199"/>
        <v>0</v>
      </c>
      <c r="U636" s="1618"/>
      <c r="V636" s="1618">
        <f t="shared" si="200"/>
        <v>0</v>
      </c>
      <c r="W636" s="1619" t="e">
        <f>U636+S636+O636+M636+#REF!+K636+I636+G636+Q636</f>
        <v>#REF!</v>
      </c>
      <c r="X636" s="1618" t="e">
        <f t="shared" si="213"/>
        <v>#REF!</v>
      </c>
      <c r="Y636" s="1619" t="e">
        <f t="shared" si="212"/>
        <v>#REF!</v>
      </c>
      <c r="Z636" s="1618" t="e">
        <f t="shared" si="214"/>
        <v>#REF!</v>
      </c>
      <c r="AA636" s="673"/>
      <c r="AB636" s="673"/>
    </row>
    <row r="637" spans="1:28" ht="67.5">
      <c r="A637" s="1627"/>
      <c r="B637" s="1177" t="s">
        <v>4892</v>
      </c>
      <c r="C637" s="1694">
        <f>Data!R2093</f>
        <v>1315.68</v>
      </c>
      <c r="D637" s="1695" t="s">
        <v>1418</v>
      </c>
      <c r="E637" s="1616">
        <f>station!I1448</f>
        <v>4</v>
      </c>
      <c r="F637" s="1633">
        <f t="shared" si="187"/>
        <v>5262.72</v>
      </c>
      <c r="G637" s="1618"/>
      <c r="H637" s="1618">
        <f t="shared" si="188"/>
        <v>0</v>
      </c>
      <c r="I637" s="1618"/>
      <c r="J637" s="1618">
        <f t="shared" si="189"/>
        <v>0</v>
      </c>
      <c r="K637" s="1618"/>
      <c r="L637" s="1618">
        <f t="shared" si="209"/>
        <v>0</v>
      </c>
      <c r="M637" s="1618"/>
      <c r="N637" s="1618">
        <f t="shared" si="210"/>
        <v>0</v>
      </c>
      <c r="O637" s="1618"/>
      <c r="P637" s="1618">
        <f t="shared" si="211"/>
        <v>0</v>
      </c>
      <c r="Q637" s="1618"/>
      <c r="R637" s="1618">
        <f t="shared" si="215"/>
        <v>0</v>
      </c>
      <c r="S637" s="1618"/>
      <c r="T637" s="1618">
        <f t="shared" si="199"/>
        <v>0</v>
      </c>
      <c r="U637" s="1618"/>
      <c r="V637" s="1618">
        <f t="shared" si="200"/>
        <v>0</v>
      </c>
      <c r="W637" s="1619" t="e">
        <f>U637+S637+O637+M637+#REF!+K637+I637+G637+Q637</f>
        <v>#REF!</v>
      </c>
      <c r="X637" s="1618" t="e">
        <f t="shared" si="213"/>
        <v>#REF!</v>
      </c>
      <c r="Y637" s="1619" t="e">
        <f t="shared" si="212"/>
        <v>#REF!</v>
      </c>
      <c r="Z637" s="1618" t="e">
        <f t="shared" si="214"/>
        <v>#REF!</v>
      </c>
      <c r="AA637" s="673"/>
      <c r="AB637" s="673"/>
    </row>
    <row r="638" spans="1:28" s="301" customFormat="1" ht="45">
      <c r="A638" s="1627">
        <v>257.10000000000002</v>
      </c>
      <c r="B638" s="1177" t="s">
        <v>1404</v>
      </c>
      <c r="C638" s="1628">
        <f>ROUND(Data!K2700,2)</f>
        <v>239.99</v>
      </c>
      <c r="D638" s="1696" t="s">
        <v>835</v>
      </c>
      <c r="E638" s="1616"/>
      <c r="F638" s="1626">
        <f t="shared" si="187"/>
        <v>0</v>
      </c>
      <c r="G638" s="1616"/>
      <c r="H638" s="1618">
        <f t="shared" si="188"/>
        <v>0</v>
      </c>
      <c r="I638" s="1616"/>
      <c r="J638" s="1618">
        <f t="shared" si="189"/>
        <v>0</v>
      </c>
      <c r="K638" s="1618"/>
      <c r="L638" s="1618"/>
      <c r="M638" s="1618"/>
      <c r="N638" s="1618"/>
      <c r="O638" s="1618"/>
      <c r="P638" s="1618"/>
      <c r="Q638" s="1618"/>
      <c r="R638" s="1618">
        <f t="shared" si="215"/>
        <v>0</v>
      </c>
      <c r="S638" s="1618"/>
      <c r="T638" s="1618">
        <f t="shared" si="199"/>
        <v>0</v>
      </c>
      <c r="U638" s="1616"/>
      <c r="V638" s="1618">
        <f t="shared" si="200"/>
        <v>0</v>
      </c>
      <c r="W638" s="1619" t="e">
        <f>U638+S638+O638+M638+#REF!+K638+I638+G638+Q638</f>
        <v>#REF!</v>
      </c>
      <c r="X638" s="1618" t="e">
        <f t="shared" si="213"/>
        <v>#REF!</v>
      </c>
      <c r="Y638" s="1619" t="e">
        <f t="shared" si="212"/>
        <v>#REF!</v>
      </c>
      <c r="Z638" s="1618" t="e">
        <f t="shared" si="214"/>
        <v>#REF!</v>
      </c>
      <c r="AA638" s="675"/>
      <c r="AB638" s="674"/>
    </row>
    <row r="639" spans="1:28">
      <c r="A639" s="1658">
        <v>344.2</v>
      </c>
      <c r="B639" s="1166" t="s">
        <v>773</v>
      </c>
      <c r="C639" s="1612">
        <f>ROUND(Data!K3011,2)</f>
        <v>379.4</v>
      </c>
      <c r="D639" s="1689" t="s">
        <v>1418</v>
      </c>
      <c r="E639" s="1616">
        <f>station!I1450</f>
        <v>8</v>
      </c>
      <c r="F639" s="1633">
        <f t="shared" si="187"/>
        <v>3035.2</v>
      </c>
      <c r="G639" s="1618"/>
      <c r="H639" s="1618">
        <f t="shared" si="188"/>
        <v>0</v>
      </c>
      <c r="I639" s="1618"/>
      <c r="J639" s="1618">
        <f t="shared" si="189"/>
        <v>0</v>
      </c>
      <c r="K639" s="1618"/>
      <c r="L639" s="1618">
        <f t="shared" ref="L639:L690" si="216">K639*C639</f>
        <v>0</v>
      </c>
      <c r="M639" s="1618"/>
      <c r="N639" s="1618">
        <f t="shared" ref="N639:N670" si="217">M639*C639</f>
        <v>0</v>
      </c>
      <c r="O639" s="1618"/>
      <c r="P639" s="1618">
        <f t="shared" ref="P639:P670" si="218">O639*C639</f>
        <v>0</v>
      </c>
      <c r="Q639" s="1618"/>
      <c r="R639" s="1618">
        <f t="shared" si="215"/>
        <v>0</v>
      </c>
      <c r="S639" s="1618"/>
      <c r="T639" s="1618">
        <f t="shared" si="199"/>
        <v>0</v>
      </c>
      <c r="U639" s="1618"/>
      <c r="V639" s="1618">
        <f t="shared" si="200"/>
        <v>0</v>
      </c>
      <c r="W639" s="1619" t="e">
        <f>U639+S639+O639+M639+#REF!+K639+I639+G639+Q639</f>
        <v>#REF!</v>
      </c>
      <c r="X639" s="1618" t="e">
        <f t="shared" si="213"/>
        <v>#REF!</v>
      </c>
      <c r="Y639" s="1619" t="e">
        <f t="shared" si="212"/>
        <v>#REF!</v>
      </c>
      <c r="Z639" s="1618" t="e">
        <f t="shared" si="214"/>
        <v>#REF!</v>
      </c>
      <c r="AA639" s="673"/>
      <c r="AB639" s="673"/>
    </row>
    <row r="640" spans="1:28" s="475" customFormat="1" ht="48.75" hidden="1" customHeight="1">
      <c r="A640" s="552">
        <v>383</v>
      </c>
      <c r="B640" s="1173" t="s">
        <v>1648</v>
      </c>
      <c r="C640" s="535">
        <f>Data!C761</f>
        <v>1000</v>
      </c>
      <c r="D640" s="518" t="s">
        <v>1418</v>
      </c>
      <c r="E640" s="526"/>
      <c r="F640" s="1392">
        <f t="shared" si="187"/>
        <v>0</v>
      </c>
      <c r="G640" s="526"/>
      <c r="H640" s="517">
        <f t="shared" si="188"/>
        <v>0</v>
      </c>
      <c r="I640" s="526"/>
      <c r="J640" s="517">
        <f t="shared" si="189"/>
        <v>0</v>
      </c>
      <c r="K640" s="517"/>
      <c r="L640" s="517">
        <f t="shared" si="216"/>
        <v>0</v>
      </c>
      <c r="M640" s="517"/>
      <c r="N640" s="517">
        <f t="shared" si="217"/>
        <v>0</v>
      </c>
      <c r="O640" s="517"/>
      <c r="P640" s="517">
        <f t="shared" si="218"/>
        <v>0</v>
      </c>
      <c r="Q640" s="517"/>
      <c r="R640" s="517"/>
      <c r="S640" s="517"/>
      <c r="T640" s="517">
        <f t="shared" si="199"/>
        <v>0</v>
      </c>
      <c r="U640" s="526"/>
      <c r="V640" s="517">
        <f t="shared" si="200"/>
        <v>0</v>
      </c>
      <c r="W640" s="632" t="e">
        <f>U640+S640+O640+M640+#REF!+K640+I640+G640</f>
        <v>#REF!</v>
      </c>
      <c r="X640" s="517" t="e">
        <f t="shared" si="213"/>
        <v>#REF!</v>
      </c>
      <c r="Y640" s="632" t="e">
        <f t="shared" si="212"/>
        <v>#REF!</v>
      </c>
      <c r="Z640" s="517" t="e">
        <f t="shared" si="214"/>
        <v>#REF!</v>
      </c>
      <c r="AA640" s="674"/>
      <c r="AB640" s="674"/>
    </row>
    <row r="641" spans="1:28" s="301" customFormat="1" ht="45" hidden="1">
      <c r="A641" s="368">
        <v>383.1</v>
      </c>
      <c r="B641" s="1166" t="s">
        <v>5193</v>
      </c>
      <c r="C641" s="308">
        <v>366.6</v>
      </c>
      <c r="D641" s="310" t="s">
        <v>835</v>
      </c>
      <c r="E641" s="526"/>
      <c r="F641" s="1392">
        <f t="shared" si="187"/>
        <v>0</v>
      </c>
      <c r="G641" s="526"/>
      <c r="H641" s="517">
        <f t="shared" si="188"/>
        <v>0</v>
      </c>
      <c r="I641" s="526"/>
      <c r="J641" s="517">
        <f t="shared" si="189"/>
        <v>0</v>
      </c>
      <c r="K641" s="517"/>
      <c r="L641" s="517">
        <f t="shared" si="216"/>
        <v>0</v>
      </c>
      <c r="M641" s="517"/>
      <c r="N641" s="517">
        <f t="shared" si="217"/>
        <v>0</v>
      </c>
      <c r="O641" s="517"/>
      <c r="P641" s="517">
        <f t="shared" si="218"/>
        <v>0</v>
      </c>
      <c r="Q641" s="517"/>
      <c r="R641" s="517"/>
      <c r="S641" s="517"/>
      <c r="T641" s="517">
        <f t="shared" si="199"/>
        <v>0</v>
      </c>
      <c r="U641" s="526"/>
      <c r="V641" s="517">
        <f t="shared" si="200"/>
        <v>0</v>
      </c>
      <c r="W641" s="632" t="e">
        <f>U641+S641+O641+M641+#REF!+K641+I641+G641</f>
        <v>#REF!</v>
      </c>
      <c r="X641" s="517" t="e">
        <f t="shared" si="213"/>
        <v>#REF!</v>
      </c>
      <c r="Y641" s="632" t="e">
        <f t="shared" si="212"/>
        <v>#REF!</v>
      </c>
      <c r="Z641" s="517" t="e">
        <f t="shared" si="214"/>
        <v>#REF!</v>
      </c>
      <c r="AA641" s="675"/>
      <c r="AB641" s="674"/>
    </row>
    <row r="642" spans="1:28" s="301" customFormat="1" ht="45" hidden="1">
      <c r="A642" s="536"/>
      <c r="B642" s="1177" t="s">
        <v>3638</v>
      </c>
      <c r="C642" s="538">
        <f>Data!R1909</f>
        <v>290.77999999999997</v>
      </c>
      <c r="D642" s="551"/>
      <c r="E642" s="526"/>
      <c r="F642" s="1392">
        <f t="shared" si="187"/>
        <v>0</v>
      </c>
      <c r="G642" s="526"/>
      <c r="H642" s="517">
        <f t="shared" si="188"/>
        <v>0</v>
      </c>
      <c r="I642" s="526"/>
      <c r="J642" s="517">
        <f t="shared" si="189"/>
        <v>0</v>
      </c>
      <c r="K642" s="517"/>
      <c r="L642" s="517">
        <f t="shared" si="216"/>
        <v>0</v>
      </c>
      <c r="M642" s="517"/>
      <c r="N642" s="517">
        <f t="shared" si="217"/>
        <v>0</v>
      </c>
      <c r="O642" s="517"/>
      <c r="P642" s="517">
        <f t="shared" si="218"/>
        <v>0</v>
      </c>
      <c r="Q642" s="517"/>
      <c r="R642" s="517"/>
      <c r="S642" s="517"/>
      <c r="T642" s="517">
        <f t="shared" si="199"/>
        <v>0</v>
      </c>
      <c r="U642" s="526"/>
      <c r="V642" s="517">
        <f t="shared" si="200"/>
        <v>0</v>
      </c>
      <c r="W642" s="632" t="e">
        <f>U642+S642+O642+M642+#REF!+K642+I642+G642</f>
        <v>#REF!</v>
      </c>
      <c r="X642" s="517" t="e">
        <f t="shared" si="213"/>
        <v>#REF!</v>
      </c>
      <c r="Y642" s="632" t="e">
        <f t="shared" si="212"/>
        <v>#REF!</v>
      </c>
      <c r="Z642" s="517" t="e">
        <f t="shared" si="214"/>
        <v>#REF!</v>
      </c>
      <c r="AA642" s="675"/>
      <c r="AB642" s="674"/>
    </row>
    <row r="643" spans="1:28" s="475" customFormat="1" hidden="1">
      <c r="A643" s="522">
        <v>384</v>
      </c>
      <c r="B643" s="1172" t="s">
        <v>230</v>
      </c>
      <c r="C643" s="470">
        <f>Data!K3043</f>
        <v>1602.5</v>
      </c>
      <c r="D643" s="473" t="s">
        <v>1418</v>
      </c>
      <c r="E643" s="526"/>
      <c r="F643" s="1392">
        <f t="shared" si="187"/>
        <v>0</v>
      </c>
      <c r="G643" s="526"/>
      <c r="H643" s="517">
        <f t="shared" si="188"/>
        <v>0</v>
      </c>
      <c r="I643" s="526"/>
      <c r="J643" s="517">
        <f t="shared" si="189"/>
        <v>0</v>
      </c>
      <c r="K643" s="517"/>
      <c r="L643" s="517">
        <f t="shared" si="216"/>
        <v>0</v>
      </c>
      <c r="M643" s="517"/>
      <c r="N643" s="517">
        <f t="shared" si="217"/>
        <v>0</v>
      </c>
      <c r="O643" s="517"/>
      <c r="P643" s="517">
        <f t="shared" si="218"/>
        <v>0</v>
      </c>
      <c r="Q643" s="517"/>
      <c r="R643" s="517"/>
      <c r="S643" s="517"/>
      <c r="T643" s="517">
        <f t="shared" si="199"/>
        <v>0</v>
      </c>
      <c r="U643" s="526"/>
      <c r="V643" s="517">
        <f t="shared" si="200"/>
        <v>0</v>
      </c>
      <c r="W643" s="632" t="e">
        <f>U643+S643+O643+M643+#REF!+K643+I643+G643</f>
        <v>#REF!</v>
      </c>
      <c r="X643" s="517" t="e">
        <f t="shared" si="213"/>
        <v>#REF!</v>
      </c>
      <c r="Y643" s="632" t="e">
        <f t="shared" si="212"/>
        <v>#REF!</v>
      </c>
      <c r="Z643" s="517" t="e">
        <f t="shared" si="214"/>
        <v>#REF!</v>
      </c>
      <c r="AA643" s="674"/>
      <c r="AB643" s="674"/>
    </row>
    <row r="644" spans="1:28" s="301" customFormat="1" hidden="1">
      <c r="A644" s="374">
        <v>385</v>
      </c>
      <c r="B644" s="1166" t="s">
        <v>231</v>
      </c>
      <c r="C644" s="307">
        <f>ROUND(Data!K2687,2)</f>
        <v>762.6</v>
      </c>
      <c r="D644" s="486" t="s">
        <v>1418</v>
      </c>
      <c r="E644" s="526"/>
      <c r="F644" s="1392">
        <f t="shared" si="187"/>
        <v>0</v>
      </c>
      <c r="G644" s="526"/>
      <c r="H644" s="517">
        <f t="shared" si="188"/>
        <v>0</v>
      </c>
      <c r="I644" s="526"/>
      <c r="J644" s="517">
        <f t="shared" si="189"/>
        <v>0</v>
      </c>
      <c r="K644" s="517"/>
      <c r="L644" s="517">
        <f t="shared" si="216"/>
        <v>0</v>
      </c>
      <c r="M644" s="517"/>
      <c r="N644" s="517">
        <f t="shared" si="217"/>
        <v>0</v>
      </c>
      <c r="O644" s="517"/>
      <c r="P644" s="517">
        <f t="shared" si="218"/>
        <v>0</v>
      </c>
      <c r="Q644" s="517"/>
      <c r="R644" s="517"/>
      <c r="S644" s="517"/>
      <c r="T644" s="517">
        <f t="shared" si="199"/>
        <v>0</v>
      </c>
      <c r="U644" s="526"/>
      <c r="V644" s="517">
        <f t="shared" si="200"/>
        <v>0</v>
      </c>
      <c r="W644" s="632" t="e">
        <f>U644+S644+O644+M644+#REF!+K644+I644+G644</f>
        <v>#REF!</v>
      </c>
      <c r="X644" s="517" t="e">
        <f t="shared" si="213"/>
        <v>#REF!</v>
      </c>
      <c r="Y644" s="632" t="e">
        <f t="shared" si="212"/>
        <v>#REF!</v>
      </c>
      <c r="Z644" s="517" t="e">
        <f t="shared" si="214"/>
        <v>#REF!</v>
      </c>
      <c r="AA644" s="675"/>
      <c r="AB644" s="674"/>
    </row>
    <row r="645" spans="1:28" s="301" customFormat="1" hidden="1">
      <c r="A645" s="368">
        <v>238.1</v>
      </c>
      <c r="B645" s="1166" t="s">
        <v>5329</v>
      </c>
      <c r="C645" s="307">
        <f>ROUND(Data!K2775,2)</f>
        <v>2595.25</v>
      </c>
      <c r="D645" s="318" t="s">
        <v>530</v>
      </c>
      <c r="E645" s="527"/>
      <c r="F645" s="1392">
        <f t="shared" si="187"/>
        <v>0</v>
      </c>
      <c r="G645" s="632"/>
      <c r="H645" s="517">
        <f t="shared" si="188"/>
        <v>0</v>
      </c>
      <c r="I645" s="632"/>
      <c r="J645" s="517">
        <f t="shared" si="189"/>
        <v>0</v>
      </c>
      <c r="K645" s="517"/>
      <c r="L645" s="517">
        <f t="shared" si="216"/>
        <v>0</v>
      </c>
      <c r="M645" s="517"/>
      <c r="N645" s="517">
        <f t="shared" si="217"/>
        <v>0</v>
      </c>
      <c r="O645" s="517"/>
      <c r="P645" s="517">
        <f t="shared" si="218"/>
        <v>0</v>
      </c>
      <c r="Q645" s="517"/>
      <c r="R645" s="517"/>
      <c r="S645" s="517"/>
      <c r="T645" s="517">
        <f t="shared" si="199"/>
        <v>0</v>
      </c>
      <c r="U645" s="517"/>
      <c r="V645" s="517">
        <f t="shared" si="200"/>
        <v>0</v>
      </c>
      <c r="W645" s="632" t="e">
        <f>U645+S645+O645+M645+#REF!+K645+I645+G645</f>
        <v>#REF!</v>
      </c>
      <c r="X645" s="517" t="e">
        <f t="shared" si="213"/>
        <v>#REF!</v>
      </c>
      <c r="Y645" s="632" t="e">
        <f t="shared" si="212"/>
        <v>#REF!</v>
      </c>
      <c r="Z645" s="517" t="e">
        <f t="shared" si="214"/>
        <v>#REF!</v>
      </c>
      <c r="AA645" s="675"/>
      <c r="AB645" s="673"/>
    </row>
    <row r="646" spans="1:28" s="475" customFormat="1" ht="58.5" customHeight="1">
      <c r="A646" s="1635">
        <v>71.2</v>
      </c>
      <c r="B646" s="1172" t="s">
        <v>3573</v>
      </c>
      <c r="C646" s="1677">
        <v>2083.67</v>
      </c>
      <c r="D646" s="1697" t="s">
        <v>1418</v>
      </c>
      <c r="E646" s="1616">
        <f>station!I1452</f>
        <v>2</v>
      </c>
      <c r="F646" s="1633">
        <f t="shared" si="187"/>
        <v>4167.34</v>
      </c>
      <c r="G646" s="1616"/>
      <c r="H646" s="1618">
        <f t="shared" si="188"/>
        <v>0</v>
      </c>
      <c r="I646" s="1616"/>
      <c r="J646" s="1618">
        <f t="shared" si="189"/>
        <v>0</v>
      </c>
      <c r="K646" s="1618"/>
      <c r="L646" s="1618">
        <f t="shared" si="216"/>
        <v>0</v>
      </c>
      <c r="M646" s="1618"/>
      <c r="N646" s="1618">
        <f t="shared" si="217"/>
        <v>0</v>
      </c>
      <c r="O646" s="1618"/>
      <c r="P646" s="1618">
        <f t="shared" si="218"/>
        <v>0</v>
      </c>
      <c r="Q646" s="1618"/>
      <c r="R646" s="1618">
        <f t="shared" ref="R646:R665" si="219">Q646*C646</f>
        <v>0</v>
      </c>
      <c r="S646" s="1618"/>
      <c r="T646" s="1618">
        <f t="shared" si="199"/>
        <v>0</v>
      </c>
      <c r="U646" s="1616"/>
      <c r="V646" s="1618">
        <f t="shared" si="200"/>
        <v>0</v>
      </c>
      <c r="W646" s="1619" t="e">
        <f>U646+S646+O646+M646+#REF!+K646+I646+G646+Q646</f>
        <v>#REF!</v>
      </c>
      <c r="X646" s="1618" t="e">
        <f t="shared" si="213"/>
        <v>#REF!</v>
      </c>
      <c r="Y646" s="1619" t="e">
        <f t="shared" si="212"/>
        <v>#REF!</v>
      </c>
      <c r="Z646" s="1618" t="e">
        <f t="shared" si="214"/>
        <v>#REF!</v>
      </c>
      <c r="AA646" s="674"/>
      <c r="AB646" s="674"/>
    </row>
    <row r="647" spans="1:28" s="475" customFormat="1" ht="47.25" customHeight="1">
      <c r="A647" s="1635">
        <v>80.099999999999994</v>
      </c>
      <c r="B647" s="1172" t="s">
        <v>3855</v>
      </c>
      <c r="C647" s="1677">
        <f>C990</f>
        <v>1242.21</v>
      </c>
      <c r="D647" s="1697" t="s">
        <v>1418</v>
      </c>
      <c r="E647" s="1616"/>
      <c r="F647" s="1633">
        <f t="shared" ref="F647:F710" si="220">E647*C647</f>
        <v>0</v>
      </c>
      <c r="G647" s="1616"/>
      <c r="H647" s="1618">
        <f t="shared" si="188"/>
        <v>0</v>
      </c>
      <c r="I647" s="1616"/>
      <c r="J647" s="1618">
        <f t="shared" si="189"/>
        <v>0</v>
      </c>
      <c r="K647" s="1618"/>
      <c r="L647" s="1618">
        <f t="shared" si="216"/>
        <v>0</v>
      </c>
      <c r="M647" s="1618"/>
      <c r="N647" s="1618">
        <f t="shared" si="217"/>
        <v>0</v>
      </c>
      <c r="O647" s="1618"/>
      <c r="P647" s="1618">
        <f t="shared" si="218"/>
        <v>0</v>
      </c>
      <c r="Q647" s="1618"/>
      <c r="R647" s="1618">
        <f t="shared" si="219"/>
        <v>0</v>
      </c>
      <c r="S647" s="1618">
        <f>'UG Cable'!H20</f>
        <v>1</v>
      </c>
      <c r="T647" s="1618">
        <f t="shared" si="199"/>
        <v>1242.21</v>
      </c>
      <c r="U647" s="1616"/>
      <c r="V647" s="1618">
        <f t="shared" si="200"/>
        <v>0</v>
      </c>
      <c r="W647" s="1619" t="e">
        <f>U647+S647+O647+M647+#REF!+K647+I647+G647+Q647</f>
        <v>#REF!</v>
      </c>
      <c r="X647" s="1618" t="e">
        <f t="shared" si="213"/>
        <v>#REF!</v>
      </c>
      <c r="Y647" s="1619" t="e">
        <f t="shared" si="212"/>
        <v>#REF!</v>
      </c>
      <c r="Z647" s="1618" t="e">
        <f t="shared" si="214"/>
        <v>#REF!</v>
      </c>
      <c r="AA647" s="674"/>
      <c r="AB647" s="674"/>
    </row>
    <row r="648" spans="1:28" s="301" customFormat="1">
      <c r="A648" s="1608"/>
      <c r="B648" s="1166" t="s">
        <v>3579</v>
      </c>
      <c r="C648" s="1625">
        <v>776.68</v>
      </c>
      <c r="D648" s="1692" t="s">
        <v>1418</v>
      </c>
      <c r="E648" s="1616">
        <f>station!I1454</f>
        <v>2</v>
      </c>
      <c r="F648" s="1633">
        <f t="shared" si="220"/>
        <v>1553.36</v>
      </c>
      <c r="G648" s="1618"/>
      <c r="H648" s="1618">
        <f t="shared" ref="H648:H690" si="221">G648*C648</f>
        <v>0</v>
      </c>
      <c r="I648" s="1618"/>
      <c r="J648" s="1618">
        <f t="shared" ref="J648:J690" si="222">I648*C648</f>
        <v>0</v>
      </c>
      <c r="K648" s="1618"/>
      <c r="L648" s="1618">
        <f t="shared" si="216"/>
        <v>0</v>
      </c>
      <c r="M648" s="1618"/>
      <c r="N648" s="1618">
        <f t="shared" si="217"/>
        <v>0</v>
      </c>
      <c r="O648" s="1618"/>
      <c r="P648" s="1618">
        <f t="shared" si="218"/>
        <v>0</v>
      </c>
      <c r="Q648" s="1618"/>
      <c r="R648" s="1618">
        <f t="shared" si="219"/>
        <v>0</v>
      </c>
      <c r="S648" s="1618"/>
      <c r="T648" s="1618">
        <f t="shared" si="199"/>
        <v>0</v>
      </c>
      <c r="U648" s="1618"/>
      <c r="V648" s="1618">
        <f t="shared" si="200"/>
        <v>0</v>
      </c>
      <c r="W648" s="1619" t="e">
        <f>U648+S648+O648+M648+#REF!+K648+I648+G648+Q648</f>
        <v>#REF!</v>
      </c>
      <c r="X648" s="1618" t="e">
        <f t="shared" si="213"/>
        <v>#REF!</v>
      </c>
      <c r="Y648" s="1619" t="e">
        <f t="shared" si="212"/>
        <v>#REF!</v>
      </c>
      <c r="Z648" s="1618" t="e">
        <f t="shared" si="214"/>
        <v>#REF!</v>
      </c>
      <c r="AA648" s="675"/>
      <c r="AB648" s="673"/>
    </row>
    <row r="649" spans="1:28" s="301" customFormat="1">
      <c r="A649" s="1608"/>
      <c r="B649" s="1166" t="s">
        <v>3852</v>
      </c>
      <c r="C649" s="1630">
        <f>Elec.Data!K3400</f>
        <v>508.26</v>
      </c>
      <c r="D649" s="1693" t="s">
        <v>1418</v>
      </c>
      <c r="E649" s="1616">
        <f>station!I1455</f>
        <v>3</v>
      </c>
      <c r="F649" s="1633">
        <f t="shared" si="220"/>
        <v>1524.78</v>
      </c>
      <c r="G649" s="1616"/>
      <c r="H649" s="1618">
        <f t="shared" si="221"/>
        <v>0</v>
      </c>
      <c r="I649" s="1616"/>
      <c r="J649" s="1618">
        <f t="shared" si="222"/>
        <v>0</v>
      </c>
      <c r="K649" s="1618"/>
      <c r="L649" s="1618">
        <f t="shared" si="216"/>
        <v>0</v>
      </c>
      <c r="M649" s="1618"/>
      <c r="N649" s="1618">
        <f t="shared" si="217"/>
        <v>0</v>
      </c>
      <c r="O649" s="1618"/>
      <c r="P649" s="1618">
        <f t="shared" si="218"/>
        <v>0</v>
      </c>
      <c r="Q649" s="1618"/>
      <c r="R649" s="1618">
        <f t="shared" si="219"/>
        <v>0</v>
      </c>
      <c r="S649" s="1618"/>
      <c r="T649" s="1618">
        <f t="shared" si="199"/>
        <v>0</v>
      </c>
      <c r="U649" s="1616"/>
      <c r="V649" s="1618">
        <f t="shared" si="200"/>
        <v>0</v>
      </c>
      <c r="W649" s="1619" t="e">
        <f>U649+S649+O649+M649+#REF!+K649+I649+G649+Q649</f>
        <v>#REF!</v>
      </c>
      <c r="X649" s="1618" t="e">
        <f t="shared" si="213"/>
        <v>#REF!</v>
      </c>
      <c r="Y649" s="1619" t="e">
        <f t="shared" si="212"/>
        <v>#REF!</v>
      </c>
      <c r="Z649" s="1618" t="e">
        <f t="shared" si="214"/>
        <v>#REF!</v>
      </c>
      <c r="AA649" s="675"/>
      <c r="AB649" s="674"/>
    </row>
    <row r="650" spans="1:28">
      <c r="A650" s="1608">
        <v>87.1</v>
      </c>
      <c r="B650" s="1166" t="str">
        <f>B1024</f>
        <v>Supplying and delivery of Three phase ELCB/RCCB</v>
      </c>
      <c r="C650" s="1625">
        <v>2972.1</v>
      </c>
      <c r="D650" s="1692" t="s">
        <v>1418</v>
      </c>
      <c r="E650" s="1616">
        <f>station!I1042</f>
        <v>2</v>
      </c>
      <c r="F650" s="1633">
        <f t="shared" si="220"/>
        <v>5944.2</v>
      </c>
      <c r="G650" s="1618"/>
      <c r="H650" s="1618">
        <f t="shared" si="221"/>
        <v>0</v>
      </c>
      <c r="I650" s="1618"/>
      <c r="J650" s="1618">
        <f t="shared" si="222"/>
        <v>0</v>
      </c>
      <c r="K650" s="1618"/>
      <c r="L650" s="1618">
        <f t="shared" si="216"/>
        <v>0</v>
      </c>
      <c r="M650" s="1618"/>
      <c r="N650" s="1618">
        <f t="shared" si="217"/>
        <v>0</v>
      </c>
      <c r="O650" s="1618"/>
      <c r="P650" s="1618">
        <f t="shared" si="218"/>
        <v>0</v>
      </c>
      <c r="Q650" s="1618"/>
      <c r="R650" s="1618">
        <f t="shared" si="219"/>
        <v>0</v>
      </c>
      <c r="S650" s="1618"/>
      <c r="T650" s="1618">
        <f t="shared" si="199"/>
        <v>0</v>
      </c>
      <c r="U650" s="1618"/>
      <c r="V650" s="1618">
        <f t="shared" si="200"/>
        <v>0</v>
      </c>
      <c r="W650" s="1619" t="e">
        <f>U650+S650+O650+M650+#REF!+K650+I650+G650+Q650</f>
        <v>#REF!</v>
      </c>
      <c r="X650" s="1618" t="e">
        <f t="shared" si="213"/>
        <v>#REF!</v>
      </c>
      <c r="Y650" s="1619" t="e">
        <f t="shared" si="212"/>
        <v>#REF!</v>
      </c>
      <c r="Z650" s="1618" t="e">
        <f t="shared" si="214"/>
        <v>#REF!</v>
      </c>
      <c r="AA650" s="673"/>
      <c r="AB650" s="673"/>
    </row>
    <row r="651" spans="1:28" s="301" customFormat="1">
      <c r="A651" s="1608"/>
      <c r="B651" s="1166" t="s">
        <v>3856</v>
      </c>
      <c r="C651" s="1625">
        <f>C1027</f>
        <v>165</v>
      </c>
      <c r="D651" s="1692" t="s">
        <v>835</v>
      </c>
      <c r="E651" s="1616"/>
      <c r="F651" s="1617">
        <f t="shared" si="220"/>
        <v>0</v>
      </c>
      <c r="G651" s="1618"/>
      <c r="H651" s="1618">
        <f t="shared" si="221"/>
        <v>0</v>
      </c>
      <c r="I651" s="1618"/>
      <c r="J651" s="1618">
        <f t="shared" si="222"/>
        <v>0</v>
      </c>
      <c r="K651" s="1618"/>
      <c r="L651" s="1618">
        <f t="shared" si="216"/>
        <v>0</v>
      </c>
      <c r="M651" s="1618"/>
      <c r="N651" s="1618">
        <f t="shared" si="217"/>
        <v>0</v>
      </c>
      <c r="O651" s="1618"/>
      <c r="P651" s="1618">
        <f t="shared" si="218"/>
        <v>0</v>
      </c>
      <c r="Q651" s="1618"/>
      <c r="R651" s="1618">
        <f t="shared" si="219"/>
        <v>0</v>
      </c>
      <c r="S651" s="1618"/>
      <c r="T651" s="1618">
        <f t="shared" si="199"/>
        <v>0</v>
      </c>
      <c r="U651" s="1618"/>
      <c r="V651" s="1618">
        <f t="shared" si="200"/>
        <v>0</v>
      </c>
      <c r="W651" s="1619" t="e">
        <f>U651+S651+O651+M651+#REF!+K651+I651+G651+Q651</f>
        <v>#REF!</v>
      </c>
      <c r="X651" s="1618" t="e">
        <f t="shared" si="213"/>
        <v>#REF!</v>
      </c>
      <c r="Y651" s="1619" t="e">
        <f t="shared" si="212"/>
        <v>#REF!</v>
      </c>
      <c r="Z651" s="1618" t="e">
        <f t="shared" si="214"/>
        <v>#REF!</v>
      </c>
      <c r="AA651" s="675"/>
      <c r="AB651" s="673"/>
    </row>
    <row r="652" spans="1:28" ht="45">
      <c r="A652" s="1608"/>
      <c r="B652" s="1166" t="s">
        <v>4355</v>
      </c>
      <c r="C652" s="1612">
        <f>Data!R1323</f>
        <v>206.91</v>
      </c>
      <c r="D652" s="1692" t="s">
        <v>2308</v>
      </c>
      <c r="E652" s="1616">
        <f>station!I1387</f>
        <v>1147</v>
      </c>
      <c r="F652" s="1617">
        <f t="shared" si="220"/>
        <v>237325.77</v>
      </c>
      <c r="G652" s="1618"/>
      <c r="H652" s="1618">
        <f t="shared" si="221"/>
        <v>0</v>
      </c>
      <c r="I652" s="1618"/>
      <c r="J652" s="1618">
        <f t="shared" si="222"/>
        <v>0</v>
      </c>
      <c r="K652" s="1618"/>
      <c r="L652" s="1618">
        <f t="shared" si="216"/>
        <v>0</v>
      </c>
      <c r="M652" s="1618"/>
      <c r="N652" s="1618">
        <f t="shared" si="217"/>
        <v>0</v>
      </c>
      <c r="O652" s="1618"/>
      <c r="P652" s="1618">
        <f t="shared" si="218"/>
        <v>0</v>
      </c>
      <c r="Q652" s="1618">
        <f>CUlvert!G44</f>
        <v>5.4</v>
      </c>
      <c r="R652" s="1618">
        <f t="shared" si="219"/>
        <v>1117.31</v>
      </c>
      <c r="S652" s="1618"/>
      <c r="T652" s="1618">
        <f t="shared" si="199"/>
        <v>0</v>
      </c>
      <c r="U652" s="1618"/>
      <c r="V652" s="1618">
        <f t="shared" si="200"/>
        <v>0</v>
      </c>
      <c r="W652" s="1619" t="e">
        <f>U652+S652+O652+M652+#REF!+K652+I652+G652+Q652</f>
        <v>#REF!</v>
      </c>
      <c r="X652" s="1618" t="e">
        <f t="shared" si="213"/>
        <v>#REF!</v>
      </c>
      <c r="Y652" s="1619" t="e">
        <f t="shared" si="212"/>
        <v>#REF!</v>
      </c>
      <c r="Z652" s="1618" t="e">
        <f t="shared" si="214"/>
        <v>#REF!</v>
      </c>
      <c r="AA652" s="673"/>
      <c r="AB652" s="673"/>
    </row>
    <row r="653" spans="1:28" ht="45">
      <c r="A653" s="1608" t="s">
        <v>4464</v>
      </c>
      <c r="B653" s="1166" t="s">
        <v>3857</v>
      </c>
      <c r="C653" s="1612">
        <f>Data!K3345</f>
        <v>109.44</v>
      </c>
      <c r="D653" s="1692" t="s">
        <v>2308</v>
      </c>
      <c r="E653" s="1616">
        <f>station!I1499</f>
        <v>1879</v>
      </c>
      <c r="F653" s="1633">
        <f t="shared" si="220"/>
        <v>205637.76000000001</v>
      </c>
      <c r="G653" s="1618"/>
      <c r="H653" s="1618">
        <f t="shared" si="221"/>
        <v>0</v>
      </c>
      <c r="I653" s="1618"/>
      <c r="J653" s="1618">
        <f t="shared" si="222"/>
        <v>0</v>
      </c>
      <c r="K653" s="1618"/>
      <c r="L653" s="1618">
        <f t="shared" si="216"/>
        <v>0</v>
      </c>
      <c r="M653" s="1618"/>
      <c r="N653" s="1618">
        <f t="shared" si="217"/>
        <v>0</v>
      </c>
      <c r="O653" s="1618"/>
      <c r="P653" s="1618">
        <f t="shared" si="218"/>
        <v>0</v>
      </c>
      <c r="Q653" s="1618"/>
      <c r="R653" s="1618">
        <f t="shared" si="219"/>
        <v>0</v>
      </c>
      <c r="S653" s="1618"/>
      <c r="T653" s="1618">
        <f t="shared" si="199"/>
        <v>0</v>
      </c>
      <c r="U653" s="1618"/>
      <c r="V653" s="1618">
        <f t="shared" si="200"/>
        <v>0</v>
      </c>
      <c r="W653" s="1619" t="e">
        <f>U653+S653+O653+M653+#REF!+K653+I653+G653+Q653</f>
        <v>#REF!</v>
      </c>
      <c r="X653" s="1618" t="e">
        <f t="shared" si="213"/>
        <v>#REF!</v>
      </c>
      <c r="Y653" s="1619" t="e">
        <f t="shared" si="212"/>
        <v>#REF!</v>
      </c>
      <c r="Z653" s="1618" t="e">
        <f t="shared" si="214"/>
        <v>#REF!</v>
      </c>
      <c r="AA653" s="673"/>
      <c r="AB653" s="673"/>
    </row>
    <row r="654" spans="1:28" s="301" customFormat="1" ht="45">
      <c r="A654" s="1627"/>
      <c r="B654" s="1177" t="str">
        <f>B1025</f>
        <v>2 x 4 Sqmm Copper PVC insulated unsheathed single core 1 KV grade cable for EB service single phase.</v>
      </c>
      <c r="C654" s="1628">
        <f>C1025</f>
        <v>142.29</v>
      </c>
      <c r="D654" s="1698" t="s">
        <v>835</v>
      </c>
      <c r="E654" s="1616"/>
      <c r="F654" s="1633">
        <f t="shared" si="220"/>
        <v>0</v>
      </c>
      <c r="G654" s="1616"/>
      <c r="H654" s="1618">
        <f t="shared" si="221"/>
        <v>0</v>
      </c>
      <c r="I654" s="1616"/>
      <c r="J654" s="1618">
        <f t="shared" si="222"/>
        <v>0</v>
      </c>
      <c r="K654" s="1618"/>
      <c r="L654" s="1618">
        <f t="shared" si="216"/>
        <v>0</v>
      </c>
      <c r="M654" s="1618"/>
      <c r="N654" s="1618">
        <f t="shared" si="217"/>
        <v>0</v>
      </c>
      <c r="O654" s="1618"/>
      <c r="P654" s="1618">
        <f t="shared" si="218"/>
        <v>0</v>
      </c>
      <c r="Q654" s="1618"/>
      <c r="R654" s="1618">
        <f t="shared" si="219"/>
        <v>0</v>
      </c>
      <c r="S654" s="1618"/>
      <c r="T654" s="1618">
        <f t="shared" si="199"/>
        <v>0</v>
      </c>
      <c r="U654" s="1616"/>
      <c r="V654" s="1618">
        <f t="shared" si="200"/>
        <v>0</v>
      </c>
      <c r="W654" s="1619" t="e">
        <f>U654+S654+O654+M654+#REF!+K654+I654+G654+Q654</f>
        <v>#REF!</v>
      </c>
      <c r="X654" s="1618" t="e">
        <f t="shared" si="213"/>
        <v>#REF!</v>
      </c>
      <c r="Y654" s="1619" t="e">
        <f t="shared" si="212"/>
        <v>#REF!</v>
      </c>
      <c r="Z654" s="1618" t="e">
        <f t="shared" si="214"/>
        <v>#REF!</v>
      </c>
      <c r="AA654" s="675"/>
      <c r="AB654" s="674"/>
    </row>
    <row r="655" spans="1:28" s="301" customFormat="1">
      <c r="A655" s="1608"/>
      <c r="B655" s="1166" t="str">
        <f>B991</f>
        <v>40 mm dia GI pipe "B"class</v>
      </c>
      <c r="C655" s="1168">
        <f>C991</f>
        <v>165</v>
      </c>
      <c r="D655" s="1693" t="s">
        <v>835</v>
      </c>
      <c r="E655" s="1616"/>
      <c r="F655" s="1633">
        <f t="shared" si="220"/>
        <v>0</v>
      </c>
      <c r="G655" s="1616"/>
      <c r="H655" s="1618">
        <f t="shared" si="221"/>
        <v>0</v>
      </c>
      <c r="I655" s="1616"/>
      <c r="J655" s="1618">
        <f t="shared" si="222"/>
        <v>0</v>
      </c>
      <c r="K655" s="1618"/>
      <c r="L655" s="1618">
        <f t="shared" si="216"/>
        <v>0</v>
      </c>
      <c r="M655" s="1618"/>
      <c r="N655" s="1618">
        <f t="shared" si="217"/>
        <v>0</v>
      </c>
      <c r="O655" s="1618"/>
      <c r="P655" s="1618">
        <f t="shared" si="218"/>
        <v>0</v>
      </c>
      <c r="Q655" s="1618"/>
      <c r="R655" s="1618">
        <f t="shared" si="219"/>
        <v>0</v>
      </c>
      <c r="S655" s="1618"/>
      <c r="T655" s="1618">
        <f t="shared" si="199"/>
        <v>0</v>
      </c>
      <c r="U655" s="1616"/>
      <c r="V655" s="1618">
        <f t="shared" si="200"/>
        <v>0</v>
      </c>
      <c r="W655" s="1619" t="e">
        <f>U655+S655+O655+M655+#REF!+K655+I655+G655+Q655</f>
        <v>#REF!</v>
      </c>
      <c r="X655" s="1618" t="e">
        <f t="shared" si="213"/>
        <v>#REF!</v>
      </c>
      <c r="Y655" s="1619" t="e">
        <f t="shared" si="212"/>
        <v>#REF!</v>
      </c>
      <c r="Z655" s="1618" t="e">
        <f t="shared" si="214"/>
        <v>#REF!</v>
      </c>
      <c r="AA655" s="675"/>
      <c r="AB655" s="674"/>
    </row>
    <row r="656" spans="1:28" s="301" customFormat="1" ht="45">
      <c r="A656" s="1608"/>
      <c r="B656" s="1194" t="s">
        <v>4518</v>
      </c>
      <c r="C656" s="1699">
        <v>1562.5</v>
      </c>
      <c r="D656" s="1611" t="s">
        <v>1418</v>
      </c>
      <c r="E656" s="1616"/>
      <c r="F656" s="1633">
        <f t="shared" si="220"/>
        <v>0</v>
      </c>
      <c r="G656" s="1616"/>
      <c r="H656" s="1618">
        <f t="shared" si="221"/>
        <v>0</v>
      </c>
      <c r="I656" s="1616"/>
      <c r="J656" s="1618">
        <f t="shared" si="222"/>
        <v>0</v>
      </c>
      <c r="K656" s="1618"/>
      <c r="L656" s="1618">
        <f t="shared" si="216"/>
        <v>0</v>
      </c>
      <c r="M656" s="1618"/>
      <c r="N656" s="1618">
        <f t="shared" si="217"/>
        <v>0</v>
      </c>
      <c r="O656" s="1618"/>
      <c r="P656" s="1618">
        <f t="shared" si="218"/>
        <v>0</v>
      </c>
      <c r="Q656" s="1618"/>
      <c r="R656" s="1618">
        <f t="shared" si="219"/>
        <v>0</v>
      </c>
      <c r="S656" s="1618"/>
      <c r="T656" s="1618">
        <f t="shared" si="199"/>
        <v>0</v>
      </c>
      <c r="U656" s="1616"/>
      <c r="V656" s="1618">
        <f t="shared" si="200"/>
        <v>0</v>
      </c>
      <c r="W656" s="1619" t="e">
        <f>U656+S656+O656+M656+#REF!+K656+I656+G656+Q656</f>
        <v>#REF!</v>
      </c>
      <c r="X656" s="1618" t="e">
        <f t="shared" si="213"/>
        <v>#REF!</v>
      </c>
      <c r="Y656" s="1619" t="e">
        <f t="shared" si="212"/>
        <v>#REF!</v>
      </c>
      <c r="Z656" s="1618" t="e">
        <f t="shared" si="214"/>
        <v>#REF!</v>
      </c>
      <c r="AA656" s="675"/>
      <c r="AB656" s="674"/>
    </row>
    <row r="657" spans="1:28" s="475" customFormat="1">
      <c r="A657" s="1635">
        <v>448.2</v>
      </c>
      <c r="B657" s="1172" t="s">
        <v>4356</v>
      </c>
      <c r="C657" s="1636">
        <f>Data!R3120</f>
        <v>122.25</v>
      </c>
      <c r="D657" s="1697" t="s">
        <v>1418</v>
      </c>
      <c r="E657" s="1616">
        <f>station!I1458</f>
        <v>8</v>
      </c>
      <c r="F657" s="1633">
        <f t="shared" si="220"/>
        <v>978</v>
      </c>
      <c r="G657" s="1616"/>
      <c r="H657" s="1618">
        <f t="shared" si="221"/>
        <v>0</v>
      </c>
      <c r="I657" s="1616"/>
      <c r="J657" s="1618">
        <f t="shared" si="222"/>
        <v>0</v>
      </c>
      <c r="K657" s="1618"/>
      <c r="L657" s="1618">
        <f t="shared" si="216"/>
        <v>0</v>
      </c>
      <c r="M657" s="1618"/>
      <c r="N657" s="1618">
        <f t="shared" si="217"/>
        <v>0</v>
      </c>
      <c r="O657" s="1618"/>
      <c r="P657" s="1618">
        <f t="shared" si="218"/>
        <v>0</v>
      </c>
      <c r="Q657" s="1618"/>
      <c r="R657" s="1618">
        <f t="shared" si="219"/>
        <v>0</v>
      </c>
      <c r="S657" s="1618"/>
      <c r="T657" s="1618">
        <f t="shared" si="199"/>
        <v>0</v>
      </c>
      <c r="U657" s="1616"/>
      <c r="V657" s="1618">
        <f t="shared" si="200"/>
        <v>0</v>
      </c>
      <c r="W657" s="1619" t="e">
        <f>U657+S657+O657+M657+#REF!+K657+I657+G657+Q657</f>
        <v>#REF!</v>
      </c>
      <c r="X657" s="1618" t="e">
        <f t="shared" si="213"/>
        <v>#REF!</v>
      </c>
      <c r="Y657" s="1619" t="e">
        <f t="shared" si="212"/>
        <v>#REF!</v>
      </c>
      <c r="Z657" s="1618" t="e">
        <f t="shared" si="214"/>
        <v>#REF!</v>
      </c>
      <c r="AA657" s="674"/>
      <c r="AB657" s="674"/>
    </row>
    <row r="658" spans="1:28" s="301" customFormat="1" ht="45">
      <c r="A658" s="1627"/>
      <c r="B658" s="1177" t="s">
        <v>5330</v>
      </c>
      <c r="C658" s="1628">
        <f>C975</f>
        <v>1491.71</v>
      </c>
      <c r="D658" s="1696" t="s">
        <v>2308</v>
      </c>
      <c r="E658" s="1616"/>
      <c r="F658" s="1633">
        <f t="shared" si="220"/>
        <v>0</v>
      </c>
      <c r="G658" s="1618"/>
      <c r="H658" s="1618">
        <f t="shared" si="221"/>
        <v>0</v>
      </c>
      <c r="I658" s="1618"/>
      <c r="J658" s="1618">
        <f t="shared" si="222"/>
        <v>0</v>
      </c>
      <c r="K658" s="1618"/>
      <c r="L658" s="1618">
        <f t="shared" si="216"/>
        <v>0</v>
      </c>
      <c r="M658" s="1618"/>
      <c r="N658" s="1618">
        <f t="shared" si="217"/>
        <v>0</v>
      </c>
      <c r="O658" s="1618"/>
      <c r="P658" s="1618">
        <f t="shared" si="218"/>
        <v>0</v>
      </c>
      <c r="Q658" s="1618"/>
      <c r="R658" s="1618">
        <f t="shared" si="219"/>
        <v>0</v>
      </c>
      <c r="S658" s="1618"/>
      <c r="T658" s="1618">
        <f t="shared" si="199"/>
        <v>0</v>
      </c>
      <c r="U658" s="1618"/>
      <c r="V658" s="1618">
        <f t="shared" si="200"/>
        <v>0</v>
      </c>
      <c r="W658" s="1619" t="e">
        <f>U658+S658+O658+M658+#REF!+K658+I658+G658+Q658</f>
        <v>#REF!</v>
      </c>
      <c r="X658" s="1618" t="e">
        <f t="shared" si="213"/>
        <v>#REF!</v>
      </c>
      <c r="Y658" s="1619" t="e">
        <f t="shared" si="212"/>
        <v>#REF!</v>
      </c>
      <c r="Z658" s="1618" t="e">
        <f t="shared" si="214"/>
        <v>#REF!</v>
      </c>
      <c r="AA658" s="675"/>
      <c r="AB658" s="673"/>
    </row>
    <row r="659" spans="1:28" ht="45">
      <c r="A659" s="1608"/>
      <c r="B659" s="1166" t="s">
        <v>5331</v>
      </c>
      <c r="C659" s="1612">
        <f>Data!R2413</f>
        <v>1298.51</v>
      </c>
      <c r="D659" s="1689" t="s">
        <v>2308</v>
      </c>
      <c r="E659" s="1616">
        <f>station!I1463</f>
        <v>22.7</v>
      </c>
      <c r="F659" s="1633">
        <f t="shared" si="220"/>
        <v>29476.18</v>
      </c>
      <c r="G659" s="1618"/>
      <c r="H659" s="1618">
        <f t="shared" si="221"/>
        <v>0</v>
      </c>
      <c r="I659" s="1618"/>
      <c r="J659" s="1618">
        <f t="shared" si="222"/>
        <v>0</v>
      </c>
      <c r="K659" s="1618"/>
      <c r="L659" s="1618">
        <f t="shared" si="216"/>
        <v>0</v>
      </c>
      <c r="M659" s="1618"/>
      <c r="N659" s="1618">
        <f t="shared" si="217"/>
        <v>0</v>
      </c>
      <c r="O659" s="1618"/>
      <c r="P659" s="1618">
        <f t="shared" si="218"/>
        <v>0</v>
      </c>
      <c r="Q659" s="1618"/>
      <c r="R659" s="1618">
        <f t="shared" si="219"/>
        <v>0</v>
      </c>
      <c r="S659" s="1618"/>
      <c r="T659" s="1618">
        <f t="shared" si="199"/>
        <v>0</v>
      </c>
      <c r="U659" s="1618"/>
      <c r="V659" s="1618">
        <f t="shared" si="200"/>
        <v>0</v>
      </c>
      <c r="W659" s="1619" t="e">
        <f>U659+S659+O659+M659+#REF!+K659+I659+G659+Q659</f>
        <v>#REF!</v>
      </c>
      <c r="X659" s="1618" t="e">
        <f t="shared" si="213"/>
        <v>#REF!</v>
      </c>
      <c r="Y659" s="1619" t="e">
        <f t="shared" si="212"/>
        <v>#REF!</v>
      </c>
      <c r="Z659" s="1618" t="e">
        <f t="shared" si="214"/>
        <v>#REF!</v>
      </c>
      <c r="AA659" s="673"/>
      <c r="AB659" s="673"/>
    </row>
    <row r="660" spans="1:28" s="301" customFormat="1" ht="45">
      <c r="A660" s="1627"/>
      <c r="B660" s="1177" t="s">
        <v>4877</v>
      </c>
      <c r="C660" s="1621"/>
      <c r="D660" s="1689" t="s">
        <v>2308</v>
      </c>
      <c r="E660" s="1616"/>
      <c r="F660" s="1617">
        <f t="shared" si="220"/>
        <v>0</v>
      </c>
      <c r="G660" s="1616"/>
      <c r="H660" s="1618">
        <f t="shared" si="221"/>
        <v>0</v>
      </c>
      <c r="I660" s="1616"/>
      <c r="J660" s="1618">
        <f t="shared" si="222"/>
        <v>0</v>
      </c>
      <c r="K660" s="1618"/>
      <c r="L660" s="1618">
        <f t="shared" si="216"/>
        <v>0</v>
      </c>
      <c r="M660" s="1618"/>
      <c r="N660" s="1618">
        <f t="shared" si="217"/>
        <v>0</v>
      </c>
      <c r="O660" s="1618"/>
      <c r="P660" s="1618">
        <f t="shared" si="218"/>
        <v>0</v>
      </c>
      <c r="Q660" s="1618"/>
      <c r="R660" s="1618">
        <f t="shared" si="219"/>
        <v>0</v>
      </c>
      <c r="S660" s="1618"/>
      <c r="T660" s="1618">
        <f t="shared" si="199"/>
        <v>0</v>
      </c>
      <c r="U660" s="1616"/>
      <c r="V660" s="1618">
        <f t="shared" si="200"/>
        <v>0</v>
      </c>
      <c r="W660" s="1619" t="e">
        <f>U660+S660+O660+M660+#REF!+K660+I660+G660+Q660</f>
        <v>#REF!</v>
      </c>
      <c r="X660" s="1618" t="e">
        <f t="shared" si="213"/>
        <v>#REF!</v>
      </c>
      <c r="Y660" s="1619" t="e">
        <f t="shared" si="212"/>
        <v>#REF!</v>
      </c>
      <c r="Z660" s="1618" t="e">
        <f t="shared" si="214"/>
        <v>#REF!</v>
      </c>
      <c r="AA660" s="675"/>
      <c r="AB660" s="674"/>
    </row>
    <row r="661" spans="1:28" s="301" customFormat="1">
      <c r="A661" s="1627"/>
      <c r="B661" s="1177" t="s">
        <v>4845</v>
      </c>
      <c r="C661" s="1683">
        <f>Data!K2432</f>
        <v>1333.59</v>
      </c>
      <c r="D661" s="1696" t="s">
        <v>236</v>
      </c>
      <c r="E661" s="1616"/>
      <c r="F661" s="1617">
        <f t="shared" si="220"/>
        <v>0</v>
      </c>
      <c r="G661" s="1618"/>
      <c r="H661" s="1618">
        <f t="shared" si="221"/>
        <v>0</v>
      </c>
      <c r="I661" s="1618"/>
      <c r="J661" s="1618">
        <f t="shared" si="222"/>
        <v>0</v>
      </c>
      <c r="K661" s="1618"/>
      <c r="L661" s="1618">
        <f t="shared" si="216"/>
        <v>0</v>
      </c>
      <c r="M661" s="1618"/>
      <c r="N661" s="1618">
        <f t="shared" si="217"/>
        <v>0</v>
      </c>
      <c r="O661" s="1618"/>
      <c r="P661" s="1618">
        <f t="shared" si="218"/>
        <v>0</v>
      </c>
      <c r="Q661" s="1618"/>
      <c r="R661" s="1618">
        <f t="shared" si="219"/>
        <v>0</v>
      </c>
      <c r="S661" s="1618"/>
      <c r="T661" s="1618">
        <f t="shared" si="199"/>
        <v>0</v>
      </c>
      <c r="U661" s="1618"/>
      <c r="V661" s="1618">
        <f t="shared" si="200"/>
        <v>0</v>
      </c>
      <c r="W661" s="1619" t="e">
        <f>U661+S661+O661+M661+#REF!+K661+I661+G661+Q661</f>
        <v>#REF!</v>
      </c>
      <c r="X661" s="1618" t="e">
        <f t="shared" si="213"/>
        <v>#REF!</v>
      </c>
      <c r="Y661" s="1619" t="e">
        <f t="shared" ref="Y661:Y690" si="223">W661+E661</f>
        <v>#REF!</v>
      </c>
      <c r="Z661" s="1618" t="e">
        <f t="shared" si="214"/>
        <v>#REF!</v>
      </c>
      <c r="AA661" s="675"/>
      <c r="AB661" s="673"/>
    </row>
    <row r="662" spans="1:28">
      <c r="A662" s="1608"/>
      <c r="B662" s="1166" t="s">
        <v>4688</v>
      </c>
      <c r="C662" s="1625">
        <f>Data!R1269</f>
        <v>1150.01</v>
      </c>
      <c r="D662" s="1689" t="s">
        <v>2308</v>
      </c>
      <c r="E662" s="1616"/>
      <c r="F662" s="1617">
        <f t="shared" si="220"/>
        <v>0</v>
      </c>
      <c r="G662" s="1618"/>
      <c r="H662" s="1618">
        <f t="shared" si="221"/>
        <v>0</v>
      </c>
      <c r="I662" s="1618"/>
      <c r="J662" s="1618">
        <f t="shared" si="222"/>
        <v>0</v>
      </c>
      <c r="K662" s="1618"/>
      <c r="L662" s="1618">
        <f t="shared" si="216"/>
        <v>0</v>
      </c>
      <c r="M662" s="1618"/>
      <c r="N662" s="1618">
        <f t="shared" si="217"/>
        <v>0</v>
      </c>
      <c r="O662" s="1618"/>
      <c r="P662" s="1618">
        <f t="shared" si="218"/>
        <v>0</v>
      </c>
      <c r="Q662" s="1618"/>
      <c r="R662" s="1618">
        <f t="shared" si="219"/>
        <v>0</v>
      </c>
      <c r="S662" s="1618"/>
      <c r="T662" s="1618">
        <f t="shared" ref="T662:T725" si="224">S662*C662</f>
        <v>0</v>
      </c>
      <c r="U662" s="1618"/>
      <c r="V662" s="1618">
        <f t="shared" ref="V662:V725" si="225">U662*C662</f>
        <v>0</v>
      </c>
      <c r="W662" s="1619" t="e">
        <f>U662+S662+O662+M662+#REF!+K662+I662+G662+Q662</f>
        <v>#REF!</v>
      </c>
      <c r="X662" s="1618" t="e">
        <f t="shared" ref="X662:X693" si="226">W662*C662</f>
        <v>#REF!</v>
      </c>
      <c r="Y662" s="1619" t="e">
        <f t="shared" si="223"/>
        <v>#REF!</v>
      </c>
      <c r="Z662" s="1618" t="e">
        <f t="shared" ref="Z662:Z693" si="227">Y662*C662</f>
        <v>#REF!</v>
      </c>
      <c r="AA662" s="673"/>
      <c r="AB662" s="673"/>
    </row>
    <row r="663" spans="1:28" s="301" customFormat="1">
      <c r="A663" s="1627"/>
      <c r="B663" s="1177" t="s">
        <v>4687</v>
      </c>
      <c r="C663" s="1628">
        <v>1325.71</v>
      </c>
      <c r="D663" s="1696" t="s">
        <v>2308</v>
      </c>
      <c r="E663" s="1616">
        <f>station!I1350</f>
        <v>351.4</v>
      </c>
      <c r="F663" s="1617">
        <f t="shared" si="220"/>
        <v>465854.49</v>
      </c>
      <c r="G663" s="1616"/>
      <c r="H663" s="1618">
        <f t="shared" si="221"/>
        <v>0</v>
      </c>
      <c r="I663" s="1616"/>
      <c r="J663" s="1618">
        <f t="shared" si="222"/>
        <v>0</v>
      </c>
      <c r="K663" s="1618"/>
      <c r="L663" s="1618">
        <f t="shared" si="216"/>
        <v>0</v>
      </c>
      <c r="M663" s="1618"/>
      <c r="N663" s="1618">
        <f t="shared" si="217"/>
        <v>0</v>
      </c>
      <c r="O663" s="1618"/>
      <c r="P663" s="1618">
        <f t="shared" si="218"/>
        <v>0</v>
      </c>
      <c r="Q663" s="1618"/>
      <c r="R663" s="1618">
        <f t="shared" si="219"/>
        <v>0</v>
      </c>
      <c r="S663" s="1618"/>
      <c r="T663" s="1618">
        <f t="shared" si="224"/>
        <v>0</v>
      </c>
      <c r="U663" s="1616"/>
      <c r="V663" s="1618">
        <f t="shared" si="225"/>
        <v>0</v>
      </c>
      <c r="W663" s="1619" t="e">
        <f>U663+S663+O663+M663+#REF!+K663+I663+G663+Q663</f>
        <v>#REF!</v>
      </c>
      <c r="X663" s="1618" t="e">
        <f t="shared" si="226"/>
        <v>#REF!</v>
      </c>
      <c r="Y663" s="1619" t="e">
        <f t="shared" si="223"/>
        <v>#REF!</v>
      </c>
      <c r="Z663" s="1618" t="e">
        <f t="shared" si="227"/>
        <v>#REF!</v>
      </c>
      <c r="AA663" s="675"/>
      <c r="AB663" s="674"/>
    </row>
    <row r="664" spans="1:28" s="301" customFormat="1">
      <c r="A664" s="1608" t="s">
        <v>4350</v>
      </c>
      <c r="B664" s="1172" t="s">
        <v>3853</v>
      </c>
      <c r="C664" s="1700">
        <f>Data!R1227</f>
        <v>1354.89</v>
      </c>
      <c r="D664" s="1701" t="s">
        <v>2308</v>
      </c>
      <c r="E664" s="1616">
        <f>station!I1428</f>
        <v>77</v>
      </c>
      <c r="F664" s="1633">
        <f t="shared" si="220"/>
        <v>104326.53</v>
      </c>
      <c r="G664" s="1616"/>
      <c r="H664" s="1618">
        <f t="shared" si="221"/>
        <v>0</v>
      </c>
      <c r="I664" s="1616"/>
      <c r="J664" s="1618">
        <f t="shared" si="222"/>
        <v>0</v>
      </c>
      <c r="K664" s="1618"/>
      <c r="L664" s="1618">
        <f t="shared" si="216"/>
        <v>0</v>
      </c>
      <c r="M664" s="1618"/>
      <c r="N664" s="1618">
        <f t="shared" si="217"/>
        <v>0</v>
      </c>
      <c r="O664" s="1618"/>
      <c r="P664" s="1618">
        <f t="shared" si="218"/>
        <v>0</v>
      </c>
      <c r="Q664" s="1618"/>
      <c r="R664" s="1618">
        <f t="shared" si="219"/>
        <v>0</v>
      </c>
      <c r="S664" s="1618"/>
      <c r="T664" s="1618">
        <f t="shared" si="224"/>
        <v>0</v>
      </c>
      <c r="U664" s="1616"/>
      <c r="V664" s="1618">
        <f t="shared" si="225"/>
        <v>0</v>
      </c>
      <c r="W664" s="1619" t="e">
        <f>U664+S664+O664+M664+#REF!+K664+I664+G664+Q664</f>
        <v>#REF!</v>
      </c>
      <c r="X664" s="1618" t="e">
        <f t="shared" si="226"/>
        <v>#REF!</v>
      </c>
      <c r="Y664" s="1619" t="e">
        <f t="shared" si="223"/>
        <v>#REF!</v>
      </c>
      <c r="Z664" s="1618" t="e">
        <f t="shared" si="227"/>
        <v>#REF!</v>
      </c>
      <c r="AA664" s="675"/>
      <c r="AB664" s="674"/>
    </row>
    <row r="665" spans="1:28" s="301" customFormat="1">
      <c r="A665" s="1627"/>
      <c r="B665" s="1173" t="s">
        <v>4855</v>
      </c>
      <c r="C665" s="1621">
        <f>Data!R1227</f>
        <v>1354.89</v>
      </c>
      <c r="D665" s="1702" t="s">
        <v>2308</v>
      </c>
      <c r="E665" s="1616"/>
      <c r="F665" s="1617">
        <f t="shared" si="220"/>
        <v>0</v>
      </c>
      <c r="G665" s="1618"/>
      <c r="H665" s="1618">
        <f t="shared" si="221"/>
        <v>0</v>
      </c>
      <c r="I665" s="1618"/>
      <c r="J665" s="1618">
        <f t="shared" si="222"/>
        <v>0</v>
      </c>
      <c r="K665" s="1618"/>
      <c r="L665" s="1618">
        <f t="shared" si="216"/>
        <v>0</v>
      </c>
      <c r="M665" s="1618"/>
      <c r="N665" s="1618">
        <f t="shared" si="217"/>
        <v>0</v>
      </c>
      <c r="O665" s="1618"/>
      <c r="P665" s="1618">
        <f t="shared" si="218"/>
        <v>0</v>
      </c>
      <c r="Q665" s="1618"/>
      <c r="R665" s="1618">
        <f t="shared" si="219"/>
        <v>0</v>
      </c>
      <c r="S665" s="1618"/>
      <c r="T665" s="1618">
        <f t="shared" si="224"/>
        <v>0</v>
      </c>
      <c r="U665" s="1618"/>
      <c r="V665" s="1618">
        <f t="shared" si="225"/>
        <v>0</v>
      </c>
      <c r="W665" s="1619" t="e">
        <f>U665+S665+O665+M665+#REF!+K665+I665+G665+Q665</f>
        <v>#REF!</v>
      </c>
      <c r="X665" s="1618" t="e">
        <f t="shared" si="226"/>
        <v>#REF!</v>
      </c>
      <c r="Y665" s="1619" t="e">
        <f t="shared" si="223"/>
        <v>#REF!</v>
      </c>
      <c r="Z665" s="1618" t="e">
        <f t="shared" si="227"/>
        <v>#REF!</v>
      </c>
      <c r="AA665" s="675"/>
      <c r="AB665" s="673"/>
    </row>
    <row r="666" spans="1:28" s="301" customFormat="1" hidden="1">
      <c r="A666" s="368"/>
      <c r="B666" s="1398" t="s">
        <v>3660</v>
      </c>
      <c r="C666" s="466"/>
      <c r="D666" s="471"/>
      <c r="E666" s="526"/>
      <c r="F666" s="1394">
        <f t="shared" si="220"/>
        <v>0</v>
      </c>
      <c r="G666" s="526"/>
      <c r="H666" s="517">
        <f t="shared" si="221"/>
        <v>0</v>
      </c>
      <c r="I666" s="526"/>
      <c r="J666" s="517">
        <f t="shared" si="222"/>
        <v>0</v>
      </c>
      <c r="K666" s="517"/>
      <c r="L666" s="517">
        <f t="shared" si="216"/>
        <v>0</v>
      </c>
      <c r="M666" s="517"/>
      <c r="N666" s="517">
        <f t="shared" si="217"/>
        <v>0</v>
      </c>
      <c r="O666" s="517"/>
      <c r="P666" s="517">
        <f t="shared" si="218"/>
        <v>0</v>
      </c>
      <c r="Q666" s="517"/>
      <c r="R666" s="517"/>
      <c r="S666" s="517"/>
      <c r="T666" s="517">
        <f t="shared" si="224"/>
        <v>0</v>
      </c>
      <c r="U666" s="526"/>
      <c r="V666" s="517">
        <f t="shared" si="225"/>
        <v>0</v>
      </c>
      <c r="W666" s="632" t="e">
        <f>U666+S666+O666+M666+#REF!+K666+I666+G666</f>
        <v>#REF!</v>
      </c>
      <c r="X666" s="517" t="e">
        <f t="shared" si="226"/>
        <v>#REF!</v>
      </c>
      <c r="Y666" s="632" t="e">
        <f t="shared" si="223"/>
        <v>#REF!</v>
      </c>
      <c r="Z666" s="517" t="e">
        <f t="shared" si="227"/>
        <v>#REF!</v>
      </c>
      <c r="AA666" s="675"/>
      <c r="AB666" s="674"/>
    </row>
    <row r="667" spans="1:28" s="301" customFormat="1" hidden="1">
      <c r="A667" s="368"/>
      <c r="B667" s="1399" t="s">
        <v>4620</v>
      </c>
      <c r="C667" s="466">
        <f>'Sliding and french window'!G350</f>
        <v>3353.03</v>
      </c>
      <c r="D667" s="471" t="s">
        <v>2308</v>
      </c>
      <c r="E667" s="526"/>
      <c r="F667" s="1394">
        <f t="shared" si="220"/>
        <v>0</v>
      </c>
      <c r="G667" s="526"/>
      <c r="H667" s="517">
        <f t="shared" si="221"/>
        <v>0</v>
      </c>
      <c r="I667" s="526"/>
      <c r="J667" s="517">
        <f t="shared" si="222"/>
        <v>0</v>
      </c>
      <c r="K667" s="517"/>
      <c r="L667" s="517">
        <f t="shared" si="216"/>
        <v>0</v>
      </c>
      <c r="M667" s="517"/>
      <c r="N667" s="517">
        <f t="shared" si="217"/>
        <v>0</v>
      </c>
      <c r="O667" s="517"/>
      <c r="P667" s="517">
        <f t="shared" si="218"/>
        <v>0</v>
      </c>
      <c r="Q667" s="517"/>
      <c r="R667" s="517"/>
      <c r="S667" s="517"/>
      <c r="T667" s="517">
        <f t="shared" si="224"/>
        <v>0</v>
      </c>
      <c r="U667" s="526"/>
      <c r="V667" s="517">
        <f t="shared" si="225"/>
        <v>0</v>
      </c>
      <c r="W667" s="632" t="e">
        <f>U667+S667+O667+M667+#REF!+K667+I667+G667</f>
        <v>#REF!</v>
      </c>
      <c r="X667" s="517" t="e">
        <f t="shared" si="226"/>
        <v>#REF!</v>
      </c>
      <c r="Y667" s="632" t="e">
        <f t="shared" si="223"/>
        <v>#REF!</v>
      </c>
      <c r="Z667" s="517" t="e">
        <f t="shared" si="227"/>
        <v>#REF!</v>
      </c>
      <c r="AA667" s="675"/>
      <c r="AB667" s="674"/>
    </row>
    <row r="668" spans="1:28" s="301" customFormat="1" hidden="1">
      <c r="A668" s="368"/>
      <c r="B668" s="1399" t="s">
        <v>4621</v>
      </c>
      <c r="C668" s="466">
        <f>'Sliding and french window'!G491</f>
        <v>3169.22</v>
      </c>
      <c r="D668" s="471" t="s">
        <v>2308</v>
      </c>
      <c r="E668" s="526"/>
      <c r="F668" s="1394">
        <f t="shared" si="220"/>
        <v>0</v>
      </c>
      <c r="G668" s="526"/>
      <c r="H668" s="517">
        <f t="shared" si="221"/>
        <v>0</v>
      </c>
      <c r="I668" s="526"/>
      <c r="J668" s="517">
        <f t="shared" si="222"/>
        <v>0</v>
      </c>
      <c r="K668" s="517"/>
      <c r="L668" s="517">
        <f t="shared" si="216"/>
        <v>0</v>
      </c>
      <c r="M668" s="517"/>
      <c r="N668" s="517">
        <f t="shared" si="217"/>
        <v>0</v>
      </c>
      <c r="O668" s="517"/>
      <c r="P668" s="517">
        <f t="shared" si="218"/>
        <v>0</v>
      </c>
      <c r="Q668" s="517"/>
      <c r="R668" s="517"/>
      <c r="S668" s="517"/>
      <c r="T668" s="517">
        <f t="shared" si="224"/>
        <v>0</v>
      </c>
      <c r="U668" s="526"/>
      <c r="V668" s="517">
        <f t="shared" si="225"/>
        <v>0</v>
      </c>
      <c r="W668" s="632" t="e">
        <f>U668+S668+O668+M668+#REF!+K668+I668+G668</f>
        <v>#REF!</v>
      </c>
      <c r="X668" s="517" t="e">
        <f t="shared" si="226"/>
        <v>#REF!</v>
      </c>
      <c r="Y668" s="632" t="e">
        <f t="shared" si="223"/>
        <v>#REF!</v>
      </c>
      <c r="Z668" s="517" t="e">
        <f t="shared" si="227"/>
        <v>#REF!</v>
      </c>
      <c r="AA668" s="675"/>
      <c r="AB668" s="674"/>
    </row>
    <row r="669" spans="1:28" s="301" customFormat="1" hidden="1">
      <c r="A669" s="368"/>
      <c r="B669" s="1399" t="s">
        <v>4622</v>
      </c>
      <c r="C669" s="466">
        <f>'Sliding and french window'!G395</f>
        <v>4048</v>
      </c>
      <c r="D669" s="471" t="s">
        <v>2308</v>
      </c>
      <c r="E669" s="526"/>
      <c r="F669" s="1394">
        <f t="shared" si="220"/>
        <v>0</v>
      </c>
      <c r="G669" s="526"/>
      <c r="H669" s="517">
        <f t="shared" si="221"/>
        <v>0</v>
      </c>
      <c r="I669" s="526"/>
      <c r="J669" s="517">
        <f t="shared" si="222"/>
        <v>0</v>
      </c>
      <c r="K669" s="517"/>
      <c r="L669" s="517">
        <f t="shared" si="216"/>
        <v>0</v>
      </c>
      <c r="M669" s="517"/>
      <c r="N669" s="517">
        <f t="shared" si="217"/>
        <v>0</v>
      </c>
      <c r="O669" s="517"/>
      <c r="P669" s="517">
        <f t="shared" si="218"/>
        <v>0</v>
      </c>
      <c r="Q669" s="517"/>
      <c r="R669" s="517"/>
      <c r="S669" s="517"/>
      <c r="T669" s="517">
        <f t="shared" si="224"/>
        <v>0</v>
      </c>
      <c r="U669" s="526"/>
      <c r="V669" s="517">
        <f t="shared" si="225"/>
        <v>0</v>
      </c>
      <c r="W669" s="632" t="e">
        <f>U669+S669+O669+M669+#REF!+K669+I669+G669</f>
        <v>#REF!</v>
      </c>
      <c r="X669" s="517" t="e">
        <f t="shared" si="226"/>
        <v>#REF!</v>
      </c>
      <c r="Y669" s="632" t="e">
        <f t="shared" si="223"/>
        <v>#REF!</v>
      </c>
      <c r="Z669" s="517" t="e">
        <f t="shared" si="227"/>
        <v>#REF!</v>
      </c>
      <c r="AA669" s="675"/>
      <c r="AB669" s="674"/>
    </row>
    <row r="670" spans="1:28" s="301" customFormat="1" hidden="1">
      <c r="A670" s="368"/>
      <c r="B670" s="1399" t="s">
        <v>4623</v>
      </c>
      <c r="C670" s="466">
        <f>'Sliding and french window'!G440</f>
        <v>3758.93</v>
      </c>
      <c r="D670" s="471" t="s">
        <v>2308</v>
      </c>
      <c r="E670" s="526"/>
      <c r="F670" s="1394">
        <f t="shared" si="220"/>
        <v>0</v>
      </c>
      <c r="G670" s="526"/>
      <c r="H670" s="517">
        <f t="shared" si="221"/>
        <v>0</v>
      </c>
      <c r="I670" s="526"/>
      <c r="J670" s="517">
        <f t="shared" si="222"/>
        <v>0</v>
      </c>
      <c r="K670" s="517"/>
      <c r="L670" s="517">
        <f t="shared" si="216"/>
        <v>0</v>
      </c>
      <c r="M670" s="517"/>
      <c r="N670" s="517">
        <f t="shared" si="217"/>
        <v>0</v>
      </c>
      <c r="O670" s="517"/>
      <c r="P670" s="517">
        <f t="shared" si="218"/>
        <v>0</v>
      </c>
      <c r="Q670" s="517"/>
      <c r="R670" s="517"/>
      <c r="S670" s="517"/>
      <c r="T670" s="517">
        <f t="shared" si="224"/>
        <v>0</v>
      </c>
      <c r="U670" s="526"/>
      <c r="V670" s="517">
        <f t="shared" si="225"/>
        <v>0</v>
      </c>
      <c r="W670" s="632" t="e">
        <f>U670+S670+O670+M670+#REF!+K670+I670+G670</f>
        <v>#REF!</v>
      </c>
      <c r="X670" s="517" t="e">
        <f t="shared" si="226"/>
        <v>#REF!</v>
      </c>
      <c r="Y670" s="632" t="e">
        <f t="shared" si="223"/>
        <v>#REF!</v>
      </c>
      <c r="Z670" s="517" t="e">
        <f t="shared" si="227"/>
        <v>#REF!</v>
      </c>
      <c r="AA670" s="675"/>
      <c r="AB670" s="674"/>
    </row>
    <row r="671" spans="1:28" s="301" customFormat="1" ht="45" hidden="1">
      <c r="A671" s="368"/>
      <c r="B671" s="1396" t="s">
        <v>3628</v>
      </c>
      <c r="C671" s="1400">
        <f>Data!X1290</f>
        <v>1266.92</v>
      </c>
      <c r="D671" s="1401" t="s">
        <v>1867</v>
      </c>
      <c r="E671" s="526"/>
      <c r="F671" s="1394">
        <f t="shared" si="220"/>
        <v>0</v>
      </c>
      <c r="G671" s="526"/>
      <c r="H671" s="517">
        <f t="shared" si="221"/>
        <v>0</v>
      </c>
      <c r="I671" s="526"/>
      <c r="J671" s="517">
        <f t="shared" si="222"/>
        <v>0</v>
      </c>
      <c r="K671" s="517"/>
      <c r="L671" s="517">
        <f t="shared" si="216"/>
        <v>0</v>
      </c>
      <c r="M671" s="517"/>
      <c r="N671" s="517">
        <f t="shared" ref="N671:N690" si="228">M671*C671</f>
        <v>0</v>
      </c>
      <c r="O671" s="517"/>
      <c r="P671" s="517">
        <f t="shared" ref="P671:P690" si="229">O671*C671</f>
        <v>0</v>
      </c>
      <c r="Q671" s="517"/>
      <c r="R671" s="517"/>
      <c r="S671" s="517"/>
      <c r="T671" s="517">
        <f t="shared" si="224"/>
        <v>0</v>
      </c>
      <c r="U671" s="526"/>
      <c r="V671" s="517">
        <f t="shared" si="225"/>
        <v>0</v>
      </c>
      <c r="W671" s="632" t="e">
        <f>U671+S671+O671+M671+#REF!+K671+I671+G671</f>
        <v>#REF!</v>
      </c>
      <c r="X671" s="517" t="e">
        <f t="shared" si="226"/>
        <v>#REF!</v>
      </c>
      <c r="Y671" s="632" t="e">
        <f t="shared" si="223"/>
        <v>#REF!</v>
      </c>
      <c r="Z671" s="517" t="e">
        <f t="shared" si="227"/>
        <v>#REF!</v>
      </c>
      <c r="AA671" s="675"/>
      <c r="AB671" s="674"/>
    </row>
    <row r="672" spans="1:28" s="301" customFormat="1" ht="45" hidden="1">
      <c r="A672" s="368"/>
      <c r="B672" s="1396" t="s">
        <v>3629</v>
      </c>
      <c r="C672" s="1400">
        <f>Data!K1289</f>
        <v>2809.64</v>
      </c>
      <c r="D672" s="1401" t="s">
        <v>1867</v>
      </c>
      <c r="E672" s="526"/>
      <c r="F672" s="1394">
        <f t="shared" si="220"/>
        <v>0</v>
      </c>
      <c r="G672" s="526"/>
      <c r="H672" s="517">
        <f t="shared" si="221"/>
        <v>0</v>
      </c>
      <c r="I672" s="526"/>
      <c r="J672" s="517">
        <f t="shared" si="222"/>
        <v>0</v>
      </c>
      <c r="K672" s="517"/>
      <c r="L672" s="517">
        <f t="shared" si="216"/>
        <v>0</v>
      </c>
      <c r="M672" s="517"/>
      <c r="N672" s="517">
        <f t="shared" si="228"/>
        <v>0</v>
      </c>
      <c r="O672" s="517"/>
      <c r="P672" s="517">
        <f t="shared" si="229"/>
        <v>0</v>
      </c>
      <c r="Q672" s="517"/>
      <c r="R672" s="517"/>
      <c r="S672" s="517"/>
      <c r="T672" s="517">
        <f t="shared" si="224"/>
        <v>0</v>
      </c>
      <c r="U672" s="526"/>
      <c r="V672" s="517">
        <f t="shared" si="225"/>
        <v>0</v>
      </c>
      <c r="W672" s="632" t="e">
        <f>U672+S672+O672+M672+#REF!+K672+I672+G672</f>
        <v>#REF!</v>
      </c>
      <c r="X672" s="517" t="e">
        <f t="shared" si="226"/>
        <v>#REF!</v>
      </c>
      <c r="Y672" s="632" t="e">
        <f t="shared" si="223"/>
        <v>#REF!</v>
      </c>
      <c r="Z672" s="517" t="e">
        <f t="shared" si="227"/>
        <v>#REF!</v>
      </c>
      <c r="AA672" s="675"/>
      <c r="AB672" s="674"/>
    </row>
    <row r="673" spans="1:28" s="301" customFormat="1" ht="46.5" hidden="1">
      <c r="A673" s="368" t="s">
        <v>4870</v>
      </c>
      <c r="B673" s="1402" t="s">
        <v>4865</v>
      </c>
      <c r="C673" s="1400">
        <f>Data!R3717</f>
        <v>4090.4</v>
      </c>
      <c r="D673" s="467" t="s">
        <v>2308</v>
      </c>
      <c r="E673" s="526"/>
      <c r="F673" s="1394">
        <f t="shared" si="220"/>
        <v>0</v>
      </c>
      <c r="G673" s="526"/>
      <c r="H673" s="517">
        <f t="shared" si="221"/>
        <v>0</v>
      </c>
      <c r="I673" s="526"/>
      <c r="J673" s="517">
        <f t="shared" si="222"/>
        <v>0</v>
      </c>
      <c r="K673" s="517"/>
      <c r="L673" s="517">
        <f t="shared" si="216"/>
        <v>0</v>
      </c>
      <c r="M673" s="517"/>
      <c r="N673" s="517">
        <f t="shared" si="228"/>
        <v>0</v>
      </c>
      <c r="O673" s="517"/>
      <c r="P673" s="517">
        <f t="shared" si="229"/>
        <v>0</v>
      </c>
      <c r="Q673" s="517"/>
      <c r="R673" s="517"/>
      <c r="S673" s="517"/>
      <c r="T673" s="517">
        <f t="shared" si="224"/>
        <v>0</v>
      </c>
      <c r="U673" s="526"/>
      <c r="V673" s="517">
        <f t="shared" si="225"/>
        <v>0</v>
      </c>
      <c r="W673" s="632" t="e">
        <f>U673+S673+O673+M673+#REF!+K673+I673+G673</f>
        <v>#REF!</v>
      </c>
      <c r="X673" s="517" t="e">
        <f t="shared" si="226"/>
        <v>#REF!</v>
      </c>
      <c r="Y673" s="632" t="e">
        <f t="shared" si="223"/>
        <v>#REF!</v>
      </c>
      <c r="Z673" s="517" t="e">
        <f t="shared" si="227"/>
        <v>#REF!</v>
      </c>
      <c r="AA673" s="675"/>
      <c r="AB673" s="674"/>
    </row>
    <row r="674" spans="1:28" s="301" customFormat="1" ht="45" hidden="1">
      <c r="A674" s="368">
        <f>11.6-7.25</f>
        <v>4.4000000000000004</v>
      </c>
      <c r="B674" s="1172" t="s">
        <v>5332</v>
      </c>
      <c r="C674" s="1400">
        <v>915.02</v>
      </c>
      <c r="D674" s="467" t="s">
        <v>2308</v>
      </c>
      <c r="E674" s="526"/>
      <c r="F674" s="1394">
        <f t="shared" si="220"/>
        <v>0</v>
      </c>
      <c r="G674" s="526"/>
      <c r="H674" s="517">
        <f t="shared" si="221"/>
        <v>0</v>
      </c>
      <c r="I674" s="526"/>
      <c r="J674" s="517">
        <f t="shared" si="222"/>
        <v>0</v>
      </c>
      <c r="K674" s="517"/>
      <c r="L674" s="517">
        <f t="shared" si="216"/>
        <v>0</v>
      </c>
      <c r="M674" s="517"/>
      <c r="N674" s="517">
        <f t="shared" si="228"/>
        <v>0</v>
      </c>
      <c r="O674" s="517"/>
      <c r="P674" s="517">
        <f t="shared" si="229"/>
        <v>0</v>
      </c>
      <c r="Q674" s="517"/>
      <c r="R674" s="517"/>
      <c r="S674" s="517"/>
      <c r="T674" s="517">
        <f t="shared" si="224"/>
        <v>0</v>
      </c>
      <c r="U674" s="526"/>
      <c r="V674" s="517">
        <f t="shared" si="225"/>
        <v>0</v>
      </c>
      <c r="W674" s="632" t="e">
        <f>U674+S674+O674+M674+#REF!+K674+I674+G674</f>
        <v>#REF!</v>
      </c>
      <c r="X674" s="517" t="e">
        <f t="shared" si="226"/>
        <v>#REF!</v>
      </c>
      <c r="Y674" s="632" t="e">
        <f t="shared" si="223"/>
        <v>#REF!</v>
      </c>
      <c r="Z674" s="517" t="e">
        <f t="shared" si="227"/>
        <v>#REF!</v>
      </c>
      <c r="AA674" s="675"/>
      <c r="AB674" s="674"/>
    </row>
    <row r="675" spans="1:28" s="301" customFormat="1" ht="45" hidden="1">
      <c r="A675" s="368"/>
      <c r="B675" s="1172" t="s">
        <v>5333</v>
      </c>
      <c r="C675" s="1400">
        <v>990</v>
      </c>
      <c r="D675" s="467" t="s">
        <v>2308</v>
      </c>
      <c r="E675" s="526"/>
      <c r="F675" s="1394">
        <f t="shared" si="220"/>
        <v>0</v>
      </c>
      <c r="G675" s="526"/>
      <c r="H675" s="517">
        <f t="shared" si="221"/>
        <v>0</v>
      </c>
      <c r="I675" s="526"/>
      <c r="J675" s="517">
        <f t="shared" si="222"/>
        <v>0</v>
      </c>
      <c r="K675" s="517"/>
      <c r="L675" s="517">
        <f t="shared" si="216"/>
        <v>0</v>
      </c>
      <c r="M675" s="517"/>
      <c r="N675" s="517">
        <f t="shared" si="228"/>
        <v>0</v>
      </c>
      <c r="O675" s="517"/>
      <c r="P675" s="517">
        <f t="shared" si="229"/>
        <v>0</v>
      </c>
      <c r="Q675" s="517"/>
      <c r="R675" s="517"/>
      <c r="S675" s="517"/>
      <c r="T675" s="517">
        <f t="shared" si="224"/>
        <v>0</v>
      </c>
      <c r="U675" s="526"/>
      <c r="V675" s="517">
        <f t="shared" si="225"/>
        <v>0</v>
      </c>
      <c r="W675" s="632" t="e">
        <f>U675+S675+O675+M675+#REF!+K675+I675+G675</f>
        <v>#REF!</v>
      </c>
      <c r="X675" s="517" t="e">
        <f t="shared" si="226"/>
        <v>#REF!</v>
      </c>
      <c r="Y675" s="632" t="e">
        <f t="shared" si="223"/>
        <v>#REF!</v>
      </c>
      <c r="Z675" s="517" t="e">
        <f t="shared" si="227"/>
        <v>#REF!</v>
      </c>
      <c r="AA675" s="675"/>
      <c r="AB675" s="674"/>
    </row>
    <row r="676" spans="1:28" s="301" customFormat="1" hidden="1">
      <c r="A676" s="368"/>
      <c r="B676" s="1166" t="s">
        <v>3617</v>
      </c>
      <c r="C676" s="485">
        <v>905</v>
      </c>
      <c r="D676" s="486" t="s">
        <v>835</v>
      </c>
      <c r="E676" s="526"/>
      <c r="F676" s="1394">
        <f t="shared" si="220"/>
        <v>0</v>
      </c>
      <c r="G676" s="526"/>
      <c r="H676" s="517">
        <f t="shared" si="221"/>
        <v>0</v>
      </c>
      <c r="I676" s="526"/>
      <c r="J676" s="517">
        <f t="shared" si="222"/>
        <v>0</v>
      </c>
      <c r="K676" s="517"/>
      <c r="L676" s="517">
        <f t="shared" si="216"/>
        <v>0</v>
      </c>
      <c r="M676" s="517"/>
      <c r="N676" s="517">
        <f t="shared" si="228"/>
        <v>0</v>
      </c>
      <c r="O676" s="517"/>
      <c r="P676" s="517">
        <f t="shared" si="229"/>
        <v>0</v>
      </c>
      <c r="Q676" s="517"/>
      <c r="R676" s="517"/>
      <c r="S676" s="517"/>
      <c r="T676" s="517">
        <f t="shared" si="224"/>
        <v>0</v>
      </c>
      <c r="U676" s="526"/>
      <c r="V676" s="517">
        <f t="shared" si="225"/>
        <v>0</v>
      </c>
      <c r="W676" s="632" t="e">
        <f>U676+S676+O676+M676+#REF!+K676+I676+G676</f>
        <v>#REF!</v>
      </c>
      <c r="X676" s="517" t="e">
        <f t="shared" si="226"/>
        <v>#REF!</v>
      </c>
      <c r="Y676" s="632" t="e">
        <f t="shared" si="223"/>
        <v>#REF!</v>
      </c>
      <c r="Z676" s="517" t="e">
        <f t="shared" si="227"/>
        <v>#REF!</v>
      </c>
      <c r="AA676" s="675"/>
      <c r="AB676" s="674"/>
    </row>
    <row r="677" spans="1:28" s="301" customFormat="1" hidden="1">
      <c r="A677" s="368"/>
      <c r="B677" s="1166" t="s">
        <v>3651</v>
      </c>
      <c r="C677" s="485">
        <v>8467.2999999999993</v>
      </c>
      <c r="D677" s="486" t="s">
        <v>1418</v>
      </c>
      <c r="E677" s="526"/>
      <c r="F677" s="1394">
        <f t="shared" si="220"/>
        <v>0</v>
      </c>
      <c r="G677" s="526"/>
      <c r="H677" s="517">
        <f t="shared" si="221"/>
        <v>0</v>
      </c>
      <c r="I677" s="526"/>
      <c r="J677" s="517">
        <f t="shared" si="222"/>
        <v>0</v>
      </c>
      <c r="K677" s="517"/>
      <c r="L677" s="517">
        <f t="shared" si="216"/>
        <v>0</v>
      </c>
      <c r="M677" s="517"/>
      <c r="N677" s="517">
        <f t="shared" si="228"/>
        <v>0</v>
      </c>
      <c r="O677" s="517"/>
      <c r="P677" s="517">
        <f t="shared" si="229"/>
        <v>0</v>
      </c>
      <c r="Q677" s="517"/>
      <c r="R677" s="517"/>
      <c r="S677" s="517"/>
      <c r="T677" s="517">
        <f t="shared" si="224"/>
        <v>0</v>
      </c>
      <c r="U677" s="526"/>
      <c r="V677" s="517">
        <f t="shared" si="225"/>
        <v>0</v>
      </c>
      <c r="W677" s="632" t="e">
        <f>U677+S677+O677+M677+#REF!+K677+I677+G677</f>
        <v>#REF!</v>
      </c>
      <c r="X677" s="517" t="e">
        <f t="shared" si="226"/>
        <v>#REF!</v>
      </c>
      <c r="Y677" s="632" t="e">
        <f t="shared" si="223"/>
        <v>#REF!</v>
      </c>
      <c r="Z677" s="517" t="e">
        <f t="shared" si="227"/>
        <v>#REF!</v>
      </c>
      <c r="AA677" s="675"/>
      <c r="AB677" s="674"/>
    </row>
    <row r="678" spans="1:28" s="301" customFormat="1" ht="90" hidden="1">
      <c r="A678" s="368"/>
      <c r="B678" s="1166" t="s">
        <v>5334</v>
      </c>
      <c r="C678" s="485">
        <v>3409</v>
      </c>
      <c r="D678" s="486" t="s">
        <v>1418</v>
      </c>
      <c r="E678" s="526"/>
      <c r="F678" s="1394">
        <f t="shared" si="220"/>
        <v>0</v>
      </c>
      <c r="G678" s="526"/>
      <c r="H678" s="517">
        <f t="shared" si="221"/>
        <v>0</v>
      </c>
      <c r="I678" s="526"/>
      <c r="J678" s="517">
        <f t="shared" si="222"/>
        <v>0</v>
      </c>
      <c r="K678" s="517"/>
      <c r="L678" s="517">
        <f t="shared" si="216"/>
        <v>0</v>
      </c>
      <c r="M678" s="517"/>
      <c r="N678" s="517">
        <f t="shared" si="228"/>
        <v>0</v>
      </c>
      <c r="O678" s="517"/>
      <c r="P678" s="517">
        <f t="shared" si="229"/>
        <v>0</v>
      </c>
      <c r="Q678" s="517"/>
      <c r="R678" s="517"/>
      <c r="S678" s="517"/>
      <c r="T678" s="517">
        <f t="shared" si="224"/>
        <v>0</v>
      </c>
      <c r="U678" s="526"/>
      <c r="V678" s="517">
        <f t="shared" si="225"/>
        <v>0</v>
      </c>
      <c r="W678" s="632" t="e">
        <f>U678+S678+O678+M678+#REF!+K678+I678+G678</f>
        <v>#REF!</v>
      </c>
      <c r="X678" s="517" t="e">
        <f t="shared" si="226"/>
        <v>#REF!</v>
      </c>
      <c r="Y678" s="632" t="e">
        <f t="shared" si="223"/>
        <v>#REF!</v>
      </c>
      <c r="Z678" s="517" t="e">
        <f t="shared" si="227"/>
        <v>#REF!</v>
      </c>
      <c r="AA678" s="675"/>
      <c r="AB678" s="674"/>
    </row>
    <row r="679" spans="1:28" s="301" customFormat="1" ht="67.5" hidden="1">
      <c r="A679" s="368"/>
      <c r="B679" s="1166" t="s">
        <v>5335</v>
      </c>
      <c r="C679" s="485">
        <v>1160</v>
      </c>
      <c r="D679" s="486" t="s">
        <v>1418</v>
      </c>
      <c r="E679" s="526"/>
      <c r="F679" s="1394">
        <f t="shared" si="220"/>
        <v>0</v>
      </c>
      <c r="G679" s="526"/>
      <c r="H679" s="517">
        <f t="shared" si="221"/>
        <v>0</v>
      </c>
      <c r="I679" s="526"/>
      <c r="J679" s="517">
        <f t="shared" si="222"/>
        <v>0</v>
      </c>
      <c r="K679" s="517"/>
      <c r="L679" s="517">
        <f t="shared" si="216"/>
        <v>0</v>
      </c>
      <c r="M679" s="517"/>
      <c r="N679" s="517">
        <f t="shared" si="228"/>
        <v>0</v>
      </c>
      <c r="O679" s="517"/>
      <c r="P679" s="517">
        <f t="shared" si="229"/>
        <v>0</v>
      </c>
      <c r="Q679" s="517"/>
      <c r="R679" s="517"/>
      <c r="S679" s="517"/>
      <c r="T679" s="517">
        <f t="shared" si="224"/>
        <v>0</v>
      </c>
      <c r="U679" s="526"/>
      <c r="V679" s="517">
        <f t="shared" si="225"/>
        <v>0</v>
      </c>
      <c r="W679" s="632" t="e">
        <f>U679+S679+O679+M679+#REF!+K679+I679+G679</f>
        <v>#REF!</v>
      </c>
      <c r="X679" s="517" t="e">
        <f t="shared" si="226"/>
        <v>#REF!</v>
      </c>
      <c r="Y679" s="632" t="e">
        <f t="shared" si="223"/>
        <v>#REF!</v>
      </c>
      <c r="Z679" s="517" t="e">
        <f t="shared" si="227"/>
        <v>#REF!</v>
      </c>
      <c r="AA679" s="675"/>
      <c r="AB679" s="674"/>
    </row>
    <row r="680" spans="1:28" s="301" customFormat="1" hidden="1">
      <c r="A680" s="368"/>
      <c r="B680" s="1166" t="s">
        <v>3618</v>
      </c>
      <c r="C680" s="485"/>
      <c r="D680" s="486"/>
      <c r="E680" s="526"/>
      <c r="F680" s="1394">
        <f t="shared" si="220"/>
        <v>0</v>
      </c>
      <c r="G680" s="526"/>
      <c r="H680" s="517">
        <f t="shared" si="221"/>
        <v>0</v>
      </c>
      <c r="I680" s="526"/>
      <c r="J680" s="517">
        <f t="shared" si="222"/>
        <v>0</v>
      </c>
      <c r="K680" s="517"/>
      <c r="L680" s="517">
        <f t="shared" si="216"/>
        <v>0</v>
      </c>
      <c r="M680" s="517"/>
      <c r="N680" s="517">
        <f t="shared" si="228"/>
        <v>0</v>
      </c>
      <c r="O680" s="517"/>
      <c r="P680" s="517">
        <f t="shared" si="229"/>
        <v>0</v>
      </c>
      <c r="Q680" s="517"/>
      <c r="R680" s="517"/>
      <c r="S680" s="517"/>
      <c r="T680" s="517">
        <f t="shared" si="224"/>
        <v>0</v>
      </c>
      <c r="U680" s="526"/>
      <c r="V680" s="517">
        <f t="shared" si="225"/>
        <v>0</v>
      </c>
      <c r="W680" s="632" t="e">
        <f>U680+S680+O680+M680+#REF!+K680+I680+G680</f>
        <v>#REF!</v>
      </c>
      <c r="X680" s="517" t="e">
        <f t="shared" si="226"/>
        <v>#REF!</v>
      </c>
      <c r="Y680" s="632" t="e">
        <f t="shared" si="223"/>
        <v>#REF!</v>
      </c>
      <c r="Z680" s="517" t="e">
        <f t="shared" si="227"/>
        <v>#REF!</v>
      </c>
      <c r="AA680" s="675"/>
      <c r="AB680" s="674"/>
    </row>
    <row r="681" spans="1:28" s="301" customFormat="1" hidden="1">
      <c r="A681" s="368"/>
      <c r="B681" s="1166" t="s">
        <v>3652</v>
      </c>
      <c r="C681" s="485">
        <v>5640</v>
      </c>
      <c r="D681" s="486" t="s">
        <v>1418</v>
      </c>
      <c r="E681" s="526"/>
      <c r="F681" s="1394">
        <f t="shared" si="220"/>
        <v>0</v>
      </c>
      <c r="G681" s="526"/>
      <c r="H681" s="517">
        <f t="shared" si="221"/>
        <v>0</v>
      </c>
      <c r="I681" s="526"/>
      <c r="J681" s="517">
        <f t="shared" si="222"/>
        <v>0</v>
      </c>
      <c r="K681" s="517"/>
      <c r="L681" s="517">
        <f t="shared" si="216"/>
        <v>0</v>
      </c>
      <c r="M681" s="517"/>
      <c r="N681" s="517">
        <f t="shared" si="228"/>
        <v>0</v>
      </c>
      <c r="O681" s="517"/>
      <c r="P681" s="517">
        <f t="shared" si="229"/>
        <v>0</v>
      </c>
      <c r="Q681" s="517"/>
      <c r="R681" s="517"/>
      <c r="S681" s="517"/>
      <c r="T681" s="517">
        <f t="shared" si="224"/>
        <v>0</v>
      </c>
      <c r="U681" s="526"/>
      <c r="V681" s="517">
        <f t="shared" si="225"/>
        <v>0</v>
      </c>
      <c r="W681" s="632" t="e">
        <f>U681+S681+O681+M681+#REF!+K681+I681+G681</f>
        <v>#REF!</v>
      </c>
      <c r="X681" s="517" t="e">
        <f t="shared" si="226"/>
        <v>#REF!</v>
      </c>
      <c r="Y681" s="632" t="e">
        <f t="shared" si="223"/>
        <v>#REF!</v>
      </c>
      <c r="Z681" s="517" t="e">
        <f t="shared" si="227"/>
        <v>#REF!</v>
      </c>
      <c r="AA681" s="675"/>
      <c r="AB681" s="674"/>
    </row>
    <row r="682" spans="1:28" s="301" customFormat="1" hidden="1">
      <c r="A682" s="368"/>
      <c r="B682" s="1166" t="s">
        <v>3653</v>
      </c>
      <c r="C682" s="485">
        <v>1340</v>
      </c>
      <c r="D682" s="486" t="s">
        <v>1418</v>
      </c>
      <c r="E682" s="526"/>
      <c r="F682" s="1394">
        <f t="shared" si="220"/>
        <v>0</v>
      </c>
      <c r="G682" s="526"/>
      <c r="H682" s="517">
        <f t="shared" si="221"/>
        <v>0</v>
      </c>
      <c r="I682" s="526"/>
      <c r="J682" s="517">
        <f t="shared" si="222"/>
        <v>0</v>
      </c>
      <c r="K682" s="517"/>
      <c r="L682" s="517">
        <f t="shared" si="216"/>
        <v>0</v>
      </c>
      <c r="M682" s="517"/>
      <c r="N682" s="517">
        <f t="shared" si="228"/>
        <v>0</v>
      </c>
      <c r="O682" s="517"/>
      <c r="P682" s="517">
        <f t="shared" si="229"/>
        <v>0</v>
      </c>
      <c r="Q682" s="517"/>
      <c r="R682" s="517"/>
      <c r="S682" s="517"/>
      <c r="T682" s="517">
        <f t="shared" si="224"/>
        <v>0</v>
      </c>
      <c r="U682" s="526"/>
      <c r="V682" s="517">
        <f t="shared" si="225"/>
        <v>0</v>
      </c>
      <c r="W682" s="632" t="e">
        <f>U682+S682+O682+M682+#REF!+K682+I682+G682</f>
        <v>#REF!</v>
      </c>
      <c r="X682" s="517" t="e">
        <f t="shared" si="226"/>
        <v>#REF!</v>
      </c>
      <c r="Y682" s="632" t="e">
        <f t="shared" si="223"/>
        <v>#REF!</v>
      </c>
      <c r="Z682" s="517" t="e">
        <f t="shared" si="227"/>
        <v>#REF!</v>
      </c>
      <c r="AA682" s="675"/>
      <c r="AB682" s="674"/>
    </row>
    <row r="683" spans="1:28" s="301" customFormat="1" hidden="1">
      <c r="A683" s="368"/>
      <c r="B683" s="1166" t="s">
        <v>3654</v>
      </c>
      <c r="C683" s="485">
        <v>604</v>
      </c>
      <c r="D683" s="486" t="s">
        <v>1418</v>
      </c>
      <c r="E683" s="526"/>
      <c r="F683" s="1394">
        <f t="shared" si="220"/>
        <v>0</v>
      </c>
      <c r="G683" s="526"/>
      <c r="H683" s="517">
        <f t="shared" si="221"/>
        <v>0</v>
      </c>
      <c r="I683" s="526"/>
      <c r="J683" s="517">
        <f t="shared" si="222"/>
        <v>0</v>
      </c>
      <c r="K683" s="517"/>
      <c r="L683" s="517">
        <f t="shared" si="216"/>
        <v>0</v>
      </c>
      <c r="M683" s="517"/>
      <c r="N683" s="517">
        <f t="shared" si="228"/>
        <v>0</v>
      </c>
      <c r="O683" s="517"/>
      <c r="P683" s="517">
        <f t="shared" si="229"/>
        <v>0</v>
      </c>
      <c r="Q683" s="517"/>
      <c r="R683" s="517"/>
      <c r="S683" s="517"/>
      <c r="T683" s="517">
        <f t="shared" si="224"/>
        <v>0</v>
      </c>
      <c r="U683" s="526"/>
      <c r="V683" s="517">
        <f t="shared" si="225"/>
        <v>0</v>
      </c>
      <c r="W683" s="632" t="e">
        <f>U683+S683+O683+M683+#REF!+K683+I683+G683</f>
        <v>#REF!</v>
      </c>
      <c r="X683" s="517" t="e">
        <f t="shared" si="226"/>
        <v>#REF!</v>
      </c>
      <c r="Y683" s="632" t="e">
        <f t="shared" si="223"/>
        <v>#REF!</v>
      </c>
      <c r="Z683" s="517" t="e">
        <f t="shared" si="227"/>
        <v>#REF!</v>
      </c>
      <c r="AA683" s="675"/>
      <c r="AB683" s="674"/>
    </row>
    <row r="684" spans="1:28" s="301" customFormat="1" ht="67.5" hidden="1">
      <c r="A684" s="368"/>
      <c r="B684" s="1166" t="s">
        <v>5336</v>
      </c>
      <c r="C684" s="485"/>
      <c r="D684" s="486"/>
      <c r="E684" s="526"/>
      <c r="F684" s="1394">
        <f t="shared" si="220"/>
        <v>0</v>
      </c>
      <c r="G684" s="526"/>
      <c r="H684" s="517">
        <f t="shared" si="221"/>
        <v>0</v>
      </c>
      <c r="I684" s="526"/>
      <c r="J684" s="517">
        <f t="shared" si="222"/>
        <v>0</v>
      </c>
      <c r="K684" s="517"/>
      <c r="L684" s="517">
        <f t="shared" si="216"/>
        <v>0</v>
      </c>
      <c r="M684" s="517"/>
      <c r="N684" s="517">
        <f t="shared" si="228"/>
        <v>0</v>
      </c>
      <c r="O684" s="517"/>
      <c r="P684" s="517">
        <f t="shared" si="229"/>
        <v>0</v>
      </c>
      <c r="Q684" s="517"/>
      <c r="R684" s="517"/>
      <c r="S684" s="517"/>
      <c r="T684" s="517">
        <f t="shared" si="224"/>
        <v>0</v>
      </c>
      <c r="U684" s="526"/>
      <c r="V684" s="517">
        <f t="shared" si="225"/>
        <v>0</v>
      </c>
      <c r="W684" s="632" t="e">
        <f>U684+S684+O684+M684+#REF!+K684+I684+G684</f>
        <v>#REF!</v>
      </c>
      <c r="X684" s="517" t="e">
        <f t="shared" si="226"/>
        <v>#REF!</v>
      </c>
      <c r="Y684" s="632" t="e">
        <f t="shared" si="223"/>
        <v>#REF!</v>
      </c>
      <c r="Z684" s="517" t="e">
        <f t="shared" si="227"/>
        <v>#REF!</v>
      </c>
      <c r="AA684" s="675"/>
      <c r="AB684" s="674"/>
    </row>
    <row r="685" spans="1:28" s="301" customFormat="1" hidden="1">
      <c r="A685" s="368"/>
      <c r="B685" s="1166" t="s">
        <v>2166</v>
      </c>
      <c r="C685" s="485">
        <v>1000.51</v>
      </c>
      <c r="D685" s="486" t="s">
        <v>1418</v>
      </c>
      <c r="E685" s="526"/>
      <c r="F685" s="1394">
        <f t="shared" si="220"/>
        <v>0</v>
      </c>
      <c r="G685" s="526"/>
      <c r="H685" s="517">
        <f t="shared" si="221"/>
        <v>0</v>
      </c>
      <c r="I685" s="526"/>
      <c r="J685" s="517">
        <f t="shared" si="222"/>
        <v>0</v>
      </c>
      <c r="K685" s="517"/>
      <c r="L685" s="517">
        <f t="shared" si="216"/>
        <v>0</v>
      </c>
      <c r="M685" s="517"/>
      <c r="N685" s="517">
        <f t="shared" si="228"/>
        <v>0</v>
      </c>
      <c r="O685" s="517"/>
      <c r="P685" s="517">
        <f t="shared" si="229"/>
        <v>0</v>
      </c>
      <c r="Q685" s="517"/>
      <c r="R685" s="517"/>
      <c r="S685" s="517"/>
      <c r="T685" s="517">
        <f t="shared" si="224"/>
        <v>0</v>
      </c>
      <c r="U685" s="526"/>
      <c r="V685" s="517">
        <f t="shared" si="225"/>
        <v>0</v>
      </c>
      <c r="W685" s="632" t="e">
        <f>U685+S685+O685+M685+#REF!+K685+I685+G685</f>
        <v>#REF!</v>
      </c>
      <c r="X685" s="517" t="e">
        <f t="shared" si="226"/>
        <v>#REF!</v>
      </c>
      <c r="Y685" s="632" t="e">
        <f t="shared" si="223"/>
        <v>#REF!</v>
      </c>
      <c r="Z685" s="517" t="e">
        <f t="shared" si="227"/>
        <v>#REF!</v>
      </c>
      <c r="AA685" s="675"/>
      <c r="AB685" s="674"/>
    </row>
    <row r="686" spans="1:28" s="301" customFormat="1" hidden="1">
      <c r="A686" s="368"/>
      <c r="B686" s="1166" t="s">
        <v>1288</v>
      </c>
      <c r="C686" s="485">
        <v>1003.51</v>
      </c>
      <c r="D686" s="486" t="s">
        <v>1418</v>
      </c>
      <c r="E686" s="526"/>
      <c r="F686" s="1394">
        <f t="shared" si="220"/>
        <v>0</v>
      </c>
      <c r="G686" s="526"/>
      <c r="H686" s="517">
        <f t="shared" si="221"/>
        <v>0</v>
      </c>
      <c r="I686" s="526"/>
      <c r="J686" s="517">
        <f t="shared" si="222"/>
        <v>0</v>
      </c>
      <c r="K686" s="517"/>
      <c r="L686" s="517">
        <f t="shared" si="216"/>
        <v>0</v>
      </c>
      <c r="M686" s="517"/>
      <c r="N686" s="517">
        <f t="shared" si="228"/>
        <v>0</v>
      </c>
      <c r="O686" s="517"/>
      <c r="P686" s="517">
        <f t="shared" si="229"/>
        <v>0</v>
      </c>
      <c r="Q686" s="517"/>
      <c r="R686" s="517"/>
      <c r="S686" s="517"/>
      <c r="T686" s="517">
        <f t="shared" si="224"/>
        <v>0</v>
      </c>
      <c r="U686" s="526"/>
      <c r="V686" s="517">
        <f t="shared" si="225"/>
        <v>0</v>
      </c>
      <c r="W686" s="632" t="e">
        <f>U686+S686+O686+M686+#REF!+K686+I686+G686</f>
        <v>#REF!</v>
      </c>
      <c r="X686" s="517" t="e">
        <f t="shared" si="226"/>
        <v>#REF!</v>
      </c>
      <c r="Y686" s="632" t="e">
        <f t="shared" si="223"/>
        <v>#REF!</v>
      </c>
      <c r="Z686" s="517" t="e">
        <f t="shared" si="227"/>
        <v>#REF!</v>
      </c>
      <c r="AA686" s="675"/>
      <c r="AB686" s="674"/>
    </row>
    <row r="687" spans="1:28" s="301" customFormat="1" ht="90" hidden="1">
      <c r="A687" s="368"/>
      <c r="B687" s="1166" t="s">
        <v>5337</v>
      </c>
      <c r="C687" s="485">
        <v>769.3</v>
      </c>
      <c r="D687" s="486" t="s">
        <v>1418</v>
      </c>
      <c r="E687" s="526"/>
      <c r="F687" s="1394">
        <f t="shared" si="220"/>
        <v>0</v>
      </c>
      <c r="G687" s="526"/>
      <c r="H687" s="517">
        <f t="shared" si="221"/>
        <v>0</v>
      </c>
      <c r="I687" s="526"/>
      <c r="J687" s="517">
        <f t="shared" si="222"/>
        <v>0</v>
      </c>
      <c r="K687" s="517"/>
      <c r="L687" s="517">
        <f t="shared" si="216"/>
        <v>0</v>
      </c>
      <c r="M687" s="517"/>
      <c r="N687" s="517">
        <f t="shared" si="228"/>
        <v>0</v>
      </c>
      <c r="O687" s="517"/>
      <c r="P687" s="517">
        <f t="shared" si="229"/>
        <v>0</v>
      </c>
      <c r="Q687" s="517"/>
      <c r="R687" s="517"/>
      <c r="S687" s="517"/>
      <c r="T687" s="517">
        <f t="shared" si="224"/>
        <v>0</v>
      </c>
      <c r="U687" s="526"/>
      <c r="V687" s="517">
        <f t="shared" si="225"/>
        <v>0</v>
      </c>
      <c r="W687" s="632" t="e">
        <f>U687+S687+O687+M687+#REF!+K687+I687+G687</f>
        <v>#REF!</v>
      </c>
      <c r="X687" s="517" t="e">
        <f t="shared" si="226"/>
        <v>#REF!</v>
      </c>
      <c r="Y687" s="632" t="e">
        <f t="shared" si="223"/>
        <v>#REF!</v>
      </c>
      <c r="Z687" s="517" t="e">
        <f t="shared" si="227"/>
        <v>#REF!</v>
      </c>
      <c r="AA687" s="675"/>
      <c r="AB687" s="674"/>
    </row>
    <row r="688" spans="1:28" s="301" customFormat="1" ht="90" hidden="1">
      <c r="A688" s="368"/>
      <c r="B688" s="1166" t="s">
        <v>5338</v>
      </c>
      <c r="C688" s="485">
        <v>536.54999999999995</v>
      </c>
      <c r="D688" s="486" t="s">
        <v>1418</v>
      </c>
      <c r="E688" s="526"/>
      <c r="F688" s="1394">
        <f t="shared" si="220"/>
        <v>0</v>
      </c>
      <c r="G688" s="526"/>
      <c r="H688" s="517">
        <f t="shared" si="221"/>
        <v>0</v>
      </c>
      <c r="I688" s="526"/>
      <c r="J688" s="517">
        <f t="shared" si="222"/>
        <v>0</v>
      </c>
      <c r="K688" s="517"/>
      <c r="L688" s="517">
        <f t="shared" si="216"/>
        <v>0</v>
      </c>
      <c r="M688" s="517"/>
      <c r="N688" s="517">
        <f t="shared" si="228"/>
        <v>0</v>
      </c>
      <c r="O688" s="517"/>
      <c r="P688" s="517">
        <f t="shared" si="229"/>
        <v>0</v>
      </c>
      <c r="Q688" s="517"/>
      <c r="R688" s="517"/>
      <c r="S688" s="517"/>
      <c r="T688" s="517">
        <f t="shared" si="224"/>
        <v>0</v>
      </c>
      <c r="U688" s="526"/>
      <c r="V688" s="517">
        <f t="shared" si="225"/>
        <v>0</v>
      </c>
      <c r="W688" s="632" t="e">
        <f>U688+S688+O688+M688+#REF!+K688+I688+G688</f>
        <v>#REF!</v>
      </c>
      <c r="X688" s="517" t="e">
        <f t="shared" si="226"/>
        <v>#REF!</v>
      </c>
      <c r="Y688" s="632" t="e">
        <f t="shared" si="223"/>
        <v>#REF!</v>
      </c>
      <c r="Z688" s="517" t="e">
        <f t="shared" si="227"/>
        <v>#REF!</v>
      </c>
      <c r="AA688" s="675"/>
      <c r="AB688" s="674"/>
    </row>
    <row r="689" spans="1:28" s="301" customFormat="1" ht="45" hidden="1">
      <c r="A689" s="368"/>
      <c r="B689" s="1166" t="s">
        <v>4897</v>
      </c>
      <c r="C689" s="485">
        <v>570</v>
      </c>
      <c r="D689" s="438" t="s">
        <v>1796</v>
      </c>
      <c r="E689" s="526"/>
      <c r="F689" s="1392">
        <f t="shared" si="220"/>
        <v>0</v>
      </c>
      <c r="G689" s="517"/>
      <c r="H689" s="517">
        <f t="shared" si="221"/>
        <v>0</v>
      </c>
      <c r="I689" s="517"/>
      <c r="J689" s="517">
        <f t="shared" si="222"/>
        <v>0</v>
      </c>
      <c r="K689" s="517"/>
      <c r="L689" s="517">
        <f t="shared" si="216"/>
        <v>0</v>
      </c>
      <c r="M689" s="517"/>
      <c r="N689" s="517">
        <f t="shared" si="228"/>
        <v>0</v>
      </c>
      <c r="O689" s="517"/>
      <c r="P689" s="517">
        <f t="shared" si="229"/>
        <v>0</v>
      </c>
      <c r="Q689" s="517"/>
      <c r="R689" s="517"/>
      <c r="S689" s="517"/>
      <c r="T689" s="517">
        <f t="shared" si="224"/>
        <v>0</v>
      </c>
      <c r="U689" s="517"/>
      <c r="V689" s="517">
        <f t="shared" si="225"/>
        <v>0</v>
      </c>
      <c r="W689" s="632" t="e">
        <f>U689+S689+O689+M689+#REF!+K689+I689+G689</f>
        <v>#REF!</v>
      </c>
      <c r="X689" s="517" t="e">
        <f t="shared" si="226"/>
        <v>#REF!</v>
      </c>
      <c r="Y689" s="632" t="e">
        <f t="shared" si="223"/>
        <v>#REF!</v>
      </c>
      <c r="Z689" s="517" t="e">
        <f t="shared" si="227"/>
        <v>#REF!</v>
      </c>
      <c r="AA689" s="675"/>
      <c r="AB689" s="673"/>
    </row>
    <row r="690" spans="1:28" s="301" customFormat="1" ht="75" hidden="1" customHeight="1">
      <c r="A690" s="368"/>
      <c r="B690" s="1166" t="s">
        <v>4901</v>
      </c>
      <c r="C690" s="485">
        <v>472</v>
      </c>
      <c r="D690" s="438" t="s">
        <v>1796</v>
      </c>
      <c r="E690" s="526"/>
      <c r="F690" s="1394">
        <f t="shared" si="220"/>
        <v>0</v>
      </c>
      <c r="G690" s="526"/>
      <c r="H690" s="517">
        <f t="shared" si="221"/>
        <v>0</v>
      </c>
      <c r="I690" s="526"/>
      <c r="J690" s="517">
        <f t="shared" si="222"/>
        <v>0</v>
      </c>
      <c r="K690" s="517"/>
      <c r="L690" s="517">
        <f t="shared" si="216"/>
        <v>0</v>
      </c>
      <c r="M690" s="517"/>
      <c r="N690" s="517">
        <f t="shared" si="228"/>
        <v>0</v>
      </c>
      <c r="O690" s="517"/>
      <c r="P690" s="517">
        <f t="shared" si="229"/>
        <v>0</v>
      </c>
      <c r="Q690" s="517"/>
      <c r="R690" s="517"/>
      <c r="S690" s="517"/>
      <c r="T690" s="517">
        <f t="shared" si="224"/>
        <v>0</v>
      </c>
      <c r="U690" s="526"/>
      <c r="V690" s="517">
        <f t="shared" si="225"/>
        <v>0</v>
      </c>
      <c r="W690" s="632" t="e">
        <f>U690+S690+O690+M690+#REF!+K690+I690+G690</f>
        <v>#REF!</v>
      </c>
      <c r="X690" s="517" t="e">
        <f t="shared" si="226"/>
        <v>#REF!</v>
      </c>
      <c r="Y690" s="632" t="e">
        <f t="shared" si="223"/>
        <v>#REF!</v>
      </c>
      <c r="Z690" s="517" t="e">
        <f t="shared" si="227"/>
        <v>#REF!</v>
      </c>
      <c r="AA690" s="675"/>
      <c r="AB690" s="674"/>
    </row>
    <row r="691" spans="1:28" s="301" customFormat="1" ht="46.5" hidden="1" customHeight="1">
      <c r="A691" s="368"/>
      <c r="B691" s="320" t="s">
        <v>4893</v>
      </c>
      <c r="C691" s="485">
        <v>500</v>
      </c>
      <c r="D691" s="438" t="s">
        <v>1796</v>
      </c>
      <c r="E691" s="526"/>
      <c r="F691" s="630">
        <f t="shared" si="220"/>
        <v>0</v>
      </c>
      <c r="G691" s="526"/>
      <c r="H691" s="517">
        <f t="shared" ref="H691:H729" si="230">G691*C691</f>
        <v>0</v>
      </c>
      <c r="I691" s="526"/>
      <c r="J691" s="517">
        <f t="shared" ref="J691:J729" si="231">I691*C691</f>
        <v>0</v>
      </c>
      <c r="K691" s="517"/>
      <c r="L691" s="517"/>
      <c r="M691" s="517"/>
      <c r="N691" s="517"/>
      <c r="O691" s="517"/>
      <c r="P691" s="517"/>
      <c r="Q691" s="517"/>
      <c r="R691" s="517"/>
      <c r="S691" s="517"/>
      <c r="T691" s="517">
        <f t="shared" si="224"/>
        <v>0</v>
      </c>
      <c r="U691" s="526"/>
      <c r="V691" s="517">
        <f t="shared" si="225"/>
        <v>0</v>
      </c>
      <c r="W691" s="632">
        <f>I691+S691+U691</f>
        <v>0</v>
      </c>
      <c r="X691" s="517">
        <f t="shared" si="226"/>
        <v>0</v>
      </c>
      <c r="Y691" s="632">
        <f>W691+E691+G691</f>
        <v>0</v>
      </c>
      <c r="Z691" s="517">
        <f t="shared" si="227"/>
        <v>0</v>
      </c>
      <c r="AA691" s="675"/>
      <c r="AB691" s="674"/>
    </row>
    <row r="692" spans="1:28" s="301" customFormat="1" ht="25.5" hidden="1" customHeight="1">
      <c r="A692" s="368"/>
      <c r="B692" s="320" t="s">
        <v>3619</v>
      </c>
      <c r="C692" s="485">
        <v>317</v>
      </c>
      <c r="D692" s="438" t="s">
        <v>1796</v>
      </c>
      <c r="E692" s="526"/>
      <c r="F692" s="630">
        <f t="shared" si="220"/>
        <v>0</v>
      </c>
      <c r="G692" s="526"/>
      <c r="H692" s="517">
        <f t="shared" si="230"/>
        <v>0</v>
      </c>
      <c r="I692" s="526"/>
      <c r="J692" s="517">
        <f t="shared" si="231"/>
        <v>0</v>
      </c>
      <c r="K692" s="517"/>
      <c r="L692" s="517"/>
      <c r="M692" s="517"/>
      <c r="N692" s="517"/>
      <c r="O692" s="517"/>
      <c r="P692" s="517"/>
      <c r="Q692" s="517"/>
      <c r="R692" s="517"/>
      <c r="S692" s="517"/>
      <c r="T692" s="517">
        <f t="shared" si="224"/>
        <v>0</v>
      </c>
      <c r="U692" s="526"/>
      <c r="V692" s="517">
        <f t="shared" si="225"/>
        <v>0</v>
      </c>
      <c r="W692" s="632">
        <f>I692+S692+U692</f>
        <v>0</v>
      </c>
      <c r="X692" s="517">
        <f t="shared" si="226"/>
        <v>0</v>
      </c>
      <c r="Y692" s="632">
        <f>W692+E692+G692</f>
        <v>0</v>
      </c>
      <c r="Z692" s="517">
        <f t="shared" si="227"/>
        <v>0</v>
      </c>
      <c r="AA692" s="675"/>
      <c r="AB692" s="674"/>
    </row>
    <row r="693" spans="1:28" s="301" customFormat="1" ht="25.5" hidden="1" customHeight="1">
      <c r="A693" s="368"/>
      <c r="B693" s="320" t="s">
        <v>3648</v>
      </c>
      <c r="C693" s="485">
        <v>176.84</v>
      </c>
      <c r="D693" s="438" t="s">
        <v>835</v>
      </c>
      <c r="E693" s="526"/>
      <c r="F693" s="630">
        <f t="shared" si="220"/>
        <v>0</v>
      </c>
      <c r="G693" s="526"/>
      <c r="H693" s="517">
        <f t="shared" si="230"/>
        <v>0</v>
      </c>
      <c r="I693" s="526"/>
      <c r="J693" s="517">
        <f t="shared" si="231"/>
        <v>0</v>
      </c>
      <c r="K693" s="517"/>
      <c r="L693" s="517"/>
      <c r="M693" s="517"/>
      <c r="N693" s="517"/>
      <c r="O693" s="517"/>
      <c r="P693" s="517"/>
      <c r="Q693" s="517"/>
      <c r="R693" s="517"/>
      <c r="S693" s="517"/>
      <c r="T693" s="517">
        <f t="shared" si="224"/>
        <v>0</v>
      </c>
      <c r="U693" s="526"/>
      <c r="V693" s="517">
        <f t="shared" si="225"/>
        <v>0</v>
      </c>
      <c r="W693" s="632">
        <f>I693+S693+U693</f>
        <v>0</v>
      </c>
      <c r="X693" s="517">
        <f t="shared" si="226"/>
        <v>0</v>
      </c>
      <c r="Y693" s="632">
        <f>W693+E693+G693</f>
        <v>0</v>
      </c>
      <c r="Z693" s="517">
        <f t="shared" si="227"/>
        <v>0</v>
      </c>
      <c r="AA693" s="675"/>
      <c r="AB693" s="674"/>
    </row>
    <row r="694" spans="1:28" s="301" customFormat="1" ht="45" hidden="1">
      <c r="A694" s="368"/>
      <c r="B694" s="1166" t="s">
        <v>5339</v>
      </c>
      <c r="C694" s="485">
        <v>353</v>
      </c>
      <c r="D694" s="438" t="s">
        <v>1418</v>
      </c>
      <c r="E694" s="526"/>
      <c r="F694" s="1394">
        <f t="shared" si="220"/>
        <v>0</v>
      </c>
      <c r="G694" s="517"/>
      <c r="H694" s="517">
        <f>G694*C694</f>
        <v>0</v>
      </c>
      <c r="I694" s="517"/>
      <c r="J694" s="517">
        <f>I694*C694</f>
        <v>0</v>
      </c>
      <c r="K694" s="517"/>
      <c r="L694" s="517">
        <f>K694*C694</f>
        <v>0</v>
      </c>
      <c r="M694" s="517"/>
      <c r="N694" s="517">
        <f>M694*C694</f>
        <v>0</v>
      </c>
      <c r="O694" s="517"/>
      <c r="P694" s="517">
        <f>O694*C694</f>
        <v>0</v>
      </c>
      <c r="Q694" s="517"/>
      <c r="R694" s="517"/>
      <c r="S694" s="517"/>
      <c r="T694" s="517">
        <f t="shared" si="224"/>
        <v>0</v>
      </c>
      <c r="U694" s="517"/>
      <c r="V694" s="517">
        <f t="shared" si="225"/>
        <v>0</v>
      </c>
      <c r="W694" s="632" t="e">
        <f>U694+S694+O694+M694+#REF!+K694+I694+G694</f>
        <v>#REF!</v>
      </c>
      <c r="X694" s="517" t="e">
        <f t="shared" ref="X694:X725" si="232">W694*C694</f>
        <v>#REF!</v>
      </c>
      <c r="Y694" s="632" t="e">
        <f>W694+E694</f>
        <v>#REF!</v>
      </c>
      <c r="Z694" s="517" t="e">
        <f t="shared" ref="Z694:Z725" si="233">Y694*C694</f>
        <v>#REF!</v>
      </c>
      <c r="AA694" s="675"/>
      <c r="AB694" s="673"/>
    </row>
    <row r="695" spans="1:28" s="301" customFormat="1" ht="46.5" hidden="1">
      <c r="A695" s="368"/>
      <c r="B695" s="320" t="s">
        <v>4853</v>
      </c>
      <c r="C695" s="485">
        <v>293</v>
      </c>
      <c r="D695" s="485" t="s">
        <v>1418</v>
      </c>
      <c r="E695" s="517"/>
      <c r="F695" s="630">
        <f t="shared" si="220"/>
        <v>0</v>
      </c>
      <c r="G695" s="517"/>
      <c r="H695" s="517">
        <f t="shared" si="230"/>
        <v>0</v>
      </c>
      <c r="I695" s="517"/>
      <c r="J695" s="517">
        <f t="shared" si="231"/>
        <v>0</v>
      </c>
      <c r="K695" s="517"/>
      <c r="L695" s="517"/>
      <c r="M695" s="517"/>
      <c r="N695" s="517"/>
      <c r="O695" s="517"/>
      <c r="P695" s="517"/>
      <c r="Q695" s="517"/>
      <c r="R695" s="517"/>
      <c r="S695" s="517"/>
      <c r="T695" s="517">
        <f t="shared" si="224"/>
        <v>0</v>
      </c>
      <c r="U695" s="517"/>
      <c r="V695" s="517">
        <f t="shared" si="225"/>
        <v>0</v>
      </c>
      <c r="W695" s="632">
        <f t="shared" ref="W695:W709" si="234">I695+S695+U695</f>
        <v>0</v>
      </c>
      <c r="X695" s="517">
        <f t="shared" si="232"/>
        <v>0</v>
      </c>
      <c r="Y695" s="632">
        <f t="shared" ref="Y695:Y709" si="235">W695+E695+G695</f>
        <v>0</v>
      </c>
      <c r="Z695" s="517">
        <f t="shared" si="233"/>
        <v>0</v>
      </c>
      <c r="AA695" s="675"/>
      <c r="AB695" s="673"/>
    </row>
    <row r="696" spans="1:28" s="301" customFormat="1" ht="26.25" hidden="1">
      <c r="A696" s="368"/>
      <c r="B696" s="583" t="s">
        <v>4662</v>
      </c>
      <c r="C696" s="586">
        <f>Data!R1452</f>
        <v>5689.24</v>
      </c>
      <c r="D696" s="587" t="s">
        <v>2308</v>
      </c>
      <c r="E696" s="526"/>
      <c r="F696" s="630">
        <f t="shared" si="220"/>
        <v>0</v>
      </c>
      <c r="G696" s="526"/>
      <c r="H696" s="517">
        <f t="shared" si="230"/>
        <v>0</v>
      </c>
      <c r="I696" s="526"/>
      <c r="J696" s="517">
        <f t="shared" si="231"/>
        <v>0</v>
      </c>
      <c r="K696" s="517"/>
      <c r="L696" s="517"/>
      <c r="M696" s="517"/>
      <c r="N696" s="517"/>
      <c r="O696" s="517"/>
      <c r="P696" s="517"/>
      <c r="Q696" s="517"/>
      <c r="R696" s="517"/>
      <c r="S696" s="517"/>
      <c r="T696" s="517">
        <f t="shared" si="224"/>
        <v>0</v>
      </c>
      <c r="U696" s="526"/>
      <c r="V696" s="517">
        <f t="shared" si="225"/>
        <v>0</v>
      </c>
      <c r="W696" s="632">
        <f t="shared" si="234"/>
        <v>0</v>
      </c>
      <c r="X696" s="517">
        <f t="shared" si="232"/>
        <v>0</v>
      </c>
      <c r="Y696" s="632">
        <f t="shared" si="235"/>
        <v>0</v>
      </c>
      <c r="Z696" s="517">
        <f t="shared" si="233"/>
        <v>0</v>
      </c>
      <c r="AA696" s="675"/>
      <c r="AB696" s="674"/>
    </row>
    <row r="697" spans="1:28" s="301" customFormat="1" hidden="1">
      <c r="A697" s="368"/>
      <c r="B697" s="583" t="s">
        <v>4666</v>
      </c>
      <c r="C697" s="583">
        <f>Data!K3996</f>
        <v>4809.91</v>
      </c>
      <c r="D697" s="583" t="s">
        <v>2308</v>
      </c>
      <c r="E697" s="526"/>
      <c r="F697" s="630">
        <f t="shared" si="220"/>
        <v>0</v>
      </c>
      <c r="G697" s="526"/>
      <c r="H697" s="517">
        <f t="shared" si="230"/>
        <v>0</v>
      </c>
      <c r="I697" s="526"/>
      <c r="J697" s="517">
        <f t="shared" si="231"/>
        <v>0</v>
      </c>
      <c r="K697" s="517"/>
      <c r="L697" s="517"/>
      <c r="M697" s="517"/>
      <c r="N697" s="517"/>
      <c r="O697" s="517"/>
      <c r="P697" s="517"/>
      <c r="Q697" s="517"/>
      <c r="R697" s="517"/>
      <c r="S697" s="517"/>
      <c r="T697" s="517">
        <f t="shared" si="224"/>
        <v>0</v>
      </c>
      <c r="U697" s="526"/>
      <c r="V697" s="517">
        <f t="shared" si="225"/>
        <v>0</v>
      </c>
      <c r="W697" s="632">
        <f t="shared" si="234"/>
        <v>0</v>
      </c>
      <c r="X697" s="517">
        <f t="shared" si="232"/>
        <v>0</v>
      </c>
      <c r="Y697" s="632">
        <f t="shared" si="235"/>
        <v>0</v>
      </c>
      <c r="Z697" s="517">
        <f t="shared" si="233"/>
        <v>0</v>
      </c>
      <c r="AA697" s="675"/>
      <c r="AB697" s="674"/>
    </row>
    <row r="698" spans="1:28" s="301" customFormat="1" hidden="1">
      <c r="A698" s="368"/>
      <c r="B698" s="583" t="s">
        <v>4660</v>
      </c>
      <c r="C698" s="583">
        <f>'Sliding and french window'!F310</f>
        <v>5118.9399999999996</v>
      </c>
      <c r="D698" s="583" t="s">
        <v>2308</v>
      </c>
      <c r="E698" s="526"/>
      <c r="F698" s="630">
        <f t="shared" si="220"/>
        <v>0</v>
      </c>
      <c r="G698" s="526"/>
      <c r="H698" s="517">
        <f t="shared" si="230"/>
        <v>0</v>
      </c>
      <c r="I698" s="526"/>
      <c r="J698" s="517">
        <f t="shared" si="231"/>
        <v>0</v>
      </c>
      <c r="K698" s="517"/>
      <c r="L698" s="517"/>
      <c r="M698" s="517"/>
      <c r="N698" s="517"/>
      <c r="O698" s="517"/>
      <c r="P698" s="517"/>
      <c r="Q698" s="517"/>
      <c r="R698" s="517"/>
      <c r="S698" s="517"/>
      <c r="T698" s="517">
        <f t="shared" si="224"/>
        <v>0</v>
      </c>
      <c r="U698" s="526"/>
      <c r="V698" s="517">
        <f t="shared" si="225"/>
        <v>0</v>
      </c>
      <c r="W698" s="632">
        <f t="shared" si="234"/>
        <v>0</v>
      </c>
      <c r="X698" s="517">
        <f t="shared" si="232"/>
        <v>0</v>
      </c>
      <c r="Y698" s="632">
        <f t="shared" si="235"/>
        <v>0</v>
      </c>
      <c r="Z698" s="517">
        <f t="shared" si="233"/>
        <v>0</v>
      </c>
      <c r="AA698" s="675"/>
      <c r="AB698" s="674"/>
    </row>
    <row r="699" spans="1:28" s="301" customFormat="1" hidden="1">
      <c r="A699" s="368"/>
      <c r="B699" s="583" t="s">
        <v>4663</v>
      </c>
      <c r="C699" s="583">
        <f>'Sliding and french window'!F145</f>
        <v>5107.12</v>
      </c>
      <c r="D699" s="583" t="s">
        <v>2308</v>
      </c>
      <c r="E699" s="526"/>
      <c r="F699" s="630">
        <f t="shared" si="220"/>
        <v>0</v>
      </c>
      <c r="G699" s="526"/>
      <c r="H699" s="517">
        <f t="shared" si="230"/>
        <v>0</v>
      </c>
      <c r="I699" s="526"/>
      <c r="J699" s="517">
        <f t="shared" si="231"/>
        <v>0</v>
      </c>
      <c r="K699" s="517"/>
      <c r="L699" s="517"/>
      <c r="M699" s="517"/>
      <c r="N699" s="517"/>
      <c r="O699" s="517"/>
      <c r="P699" s="517"/>
      <c r="Q699" s="517"/>
      <c r="R699" s="517"/>
      <c r="S699" s="517"/>
      <c r="T699" s="517">
        <f t="shared" si="224"/>
        <v>0</v>
      </c>
      <c r="U699" s="526"/>
      <c r="V699" s="517">
        <f t="shared" si="225"/>
        <v>0</v>
      </c>
      <c r="W699" s="632">
        <f t="shared" si="234"/>
        <v>0</v>
      </c>
      <c r="X699" s="517">
        <f t="shared" si="232"/>
        <v>0</v>
      </c>
      <c r="Y699" s="632">
        <f t="shared" si="235"/>
        <v>0</v>
      </c>
      <c r="Z699" s="517">
        <f t="shared" si="233"/>
        <v>0</v>
      </c>
      <c r="AA699" s="675"/>
      <c r="AB699" s="674"/>
    </row>
    <row r="700" spans="1:28" s="301" customFormat="1" hidden="1">
      <c r="A700" s="368"/>
      <c r="B700" s="583" t="s">
        <v>4664</v>
      </c>
      <c r="C700" s="583">
        <f>'Sliding and french window'!F167</f>
        <v>4446.5</v>
      </c>
      <c r="D700" s="583" t="s">
        <v>2308</v>
      </c>
      <c r="E700" s="526"/>
      <c r="F700" s="630">
        <f t="shared" si="220"/>
        <v>0</v>
      </c>
      <c r="G700" s="526"/>
      <c r="H700" s="517">
        <f t="shared" si="230"/>
        <v>0</v>
      </c>
      <c r="I700" s="526"/>
      <c r="J700" s="517">
        <f t="shared" si="231"/>
        <v>0</v>
      </c>
      <c r="K700" s="517"/>
      <c r="L700" s="517"/>
      <c r="M700" s="517"/>
      <c r="N700" s="517"/>
      <c r="O700" s="517"/>
      <c r="P700" s="517"/>
      <c r="Q700" s="517"/>
      <c r="R700" s="517"/>
      <c r="S700" s="517"/>
      <c r="T700" s="517">
        <f t="shared" si="224"/>
        <v>0</v>
      </c>
      <c r="U700" s="526"/>
      <c r="V700" s="517">
        <f t="shared" si="225"/>
        <v>0</v>
      </c>
      <c r="W700" s="632">
        <f t="shared" si="234"/>
        <v>0</v>
      </c>
      <c r="X700" s="517">
        <f t="shared" si="232"/>
        <v>0</v>
      </c>
      <c r="Y700" s="632">
        <f t="shared" si="235"/>
        <v>0</v>
      </c>
      <c r="Z700" s="517">
        <f t="shared" si="233"/>
        <v>0</v>
      </c>
      <c r="AA700" s="675"/>
      <c r="AB700" s="674"/>
    </row>
    <row r="701" spans="1:28" s="301" customFormat="1" ht="46.5" hidden="1">
      <c r="A701" s="368"/>
      <c r="B701" s="583" t="s">
        <v>4665</v>
      </c>
      <c r="C701" s="583">
        <f>Data!K4012</f>
        <v>4625.8999999999996</v>
      </c>
      <c r="D701" s="583" t="s">
        <v>2308</v>
      </c>
      <c r="E701" s="526"/>
      <c r="F701" s="630">
        <f t="shared" si="220"/>
        <v>0</v>
      </c>
      <c r="G701" s="526"/>
      <c r="H701" s="517">
        <f t="shared" si="230"/>
        <v>0</v>
      </c>
      <c r="I701" s="526"/>
      <c r="J701" s="517">
        <f t="shared" si="231"/>
        <v>0</v>
      </c>
      <c r="K701" s="517"/>
      <c r="L701" s="517"/>
      <c r="M701" s="517"/>
      <c r="N701" s="517"/>
      <c r="O701" s="517"/>
      <c r="P701" s="517"/>
      <c r="Q701" s="517"/>
      <c r="R701" s="517"/>
      <c r="S701" s="517"/>
      <c r="T701" s="517">
        <f t="shared" si="224"/>
        <v>0</v>
      </c>
      <c r="U701" s="526"/>
      <c r="V701" s="517">
        <f t="shared" si="225"/>
        <v>0</v>
      </c>
      <c r="W701" s="632">
        <f t="shared" si="234"/>
        <v>0</v>
      </c>
      <c r="X701" s="517">
        <f t="shared" si="232"/>
        <v>0</v>
      </c>
      <c r="Y701" s="632">
        <f t="shared" si="235"/>
        <v>0</v>
      </c>
      <c r="Z701" s="517">
        <f t="shared" si="233"/>
        <v>0</v>
      </c>
      <c r="AA701" s="675"/>
      <c r="AB701" s="674"/>
    </row>
    <row r="702" spans="1:28" s="301" customFormat="1" ht="46.5" hidden="1">
      <c r="A702" s="368"/>
      <c r="B702" s="583" t="s">
        <v>4443</v>
      </c>
      <c r="C702" s="583">
        <f>Data!K4027</f>
        <v>4967.9399999999996</v>
      </c>
      <c r="D702" s="583" t="s">
        <v>2308</v>
      </c>
      <c r="E702" s="526"/>
      <c r="F702" s="630">
        <f t="shared" si="220"/>
        <v>0</v>
      </c>
      <c r="G702" s="526"/>
      <c r="H702" s="517">
        <f t="shared" si="230"/>
        <v>0</v>
      </c>
      <c r="I702" s="526"/>
      <c r="J702" s="517">
        <f t="shared" si="231"/>
        <v>0</v>
      </c>
      <c r="K702" s="517"/>
      <c r="L702" s="517"/>
      <c r="M702" s="517"/>
      <c r="N702" s="517"/>
      <c r="O702" s="517"/>
      <c r="P702" s="517"/>
      <c r="Q702" s="517"/>
      <c r="R702" s="517"/>
      <c r="S702" s="517"/>
      <c r="T702" s="517">
        <f t="shared" si="224"/>
        <v>0</v>
      </c>
      <c r="U702" s="526"/>
      <c r="V702" s="517">
        <f t="shared" si="225"/>
        <v>0</v>
      </c>
      <c r="W702" s="632">
        <f t="shared" si="234"/>
        <v>0</v>
      </c>
      <c r="X702" s="517">
        <f t="shared" si="232"/>
        <v>0</v>
      </c>
      <c r="Y702" s="632">
        <f t="shared" si="235"/>
        <v>0</v>
      </c>
      <c r="Z702" s="517">
        <f t="shared" si="233"/>
        <v>0</v>
      </c>
      <c r="AA702" s="675"/>
      <c r="AB702" s="674"/>
    </row>
    <row r="703" spans="1:28" s="301" customFormat="1" ht="46.5" hidden="1">
      <c r="A703" s="368"/>
      <c r="B703" s="583" t="s">
        <v>4444</v>
      </c>
      <c r="C703" s="583">
        <f>Data!K4039</f>
        <v>4858.8</v>
      </c>
      <c r="D703" s="583" t="s">
        <v>2308</v>
      </c>
      <c r="E703" s="526"/>
      <c r="F703" s="630">
        <f t="shared" si="220"/>
        <v>0</v>
      </c>
      <c r="G703" s="526"/>
      <c r="H703" s="517">
        <f t="shared" si="230"/>
        <v>0</v>
      </c>
      <c r="I703" s="526"/>
      <c r="J703" s="517">
        <f t="shared" si="231"/>
        <v>0</v>
      </c>
      <c r="K703" s="517"/>
      <c r="L703" s="517"/>
      <c r="M703" s="517"/>
      <c r="N703" s="517"/>
      <c r="O703" s="517"/>
      <c r="P703" s="517"/>
      <c r="Q703" s="517"/>
      <c r="R703" s="517"/>
      <c r="S703" s="517"/>
      <c r="T703" s="517">
        <f t="shared" si="224"/>
        <v>0</v>
      </c>
      <c r="U703" s="526"/>
      <c r="V703" s="517">
        <f t="shared" si="225"/>
        <v>0</v>
      </c>
      <c r="W703" s="632">
        <f t="shared" si="234"/>
        <v>0</v>
      </c>
      <c r="X703" s="517">
        <f t="shared" si="232"/>
        <v>0</v>
      </c>
      <c r="Y703" s="632">
        <f t="shared" si="235"/>
        <v>0</v>
      </c>
      <c r="Z703" s="517">
        <f t="shared" si="233"/>
        <v>0</v>
      </c>
      <c r="AA703" s="675"/>
      <c r="AB703" s="674"/>
    </row>
    <row r="704" spans="1:28" s="301" customFormat="1" ht="69.75" hidden="1">
      <c r="A704" s="368"/>
      <c r="B704" s="583" t="s">
        <v>4661</v>
      </c>
      <c r="C704" s="583">
        <f>Data!R1542</f>
        <v>4553.9799999999996</v>
      </c>
      <c r="D704" s="583" t="s">
        <v>2308</v>
      </c>
      <c r="E704" s="526"/>
      <c r="F704" s="630">
        <f t="shared" si="220"/>
        <v>0</v>
      </c>
      <c r="G704" s="526"/>
      <c r="H704" s="517">
        <f t="shared" si="230"/>
        <v>0</v>
      </c>
      <c r="I704" s="526"/>
      <c r="J704" s="517">
        <f t="shared" si="231"/>
        <v>0</v>
      </c>
      <c r="K704" s="517"/>
      <c r="L704" s="517"/>
      <c r="M704" s="517"/>
      <c r="N704" s="517"/>
      <c r="O704" s="517"/>
      <c r="P704" s="517"/>
      <c r="Q704" s="517"/>
      <c r="R704" s="517"/>
      <c r="S704" s="517"/>
      <c r="T704" s="517">
        <f t="shared" si="224"/>
        <v>0</v>
      </c>
      <c r="U704" s="526"/>
      <c r="V704" s="517">
        <f t="shared" si="225"/>
        <v>0</v>
      </c>
      <c r="W704" s="632">
        <f t="shared" si="234"/>
        <v>0</v>
      </c>
      <c r="X704" s="517">
        <f t="shared" si="232"/>
        <v>0</v>
      </c>
      <c r="Y704" s="632">
        <f t="shared" si="235"/>
        <v>0</v>
      </c>
      <c r="Z704" s="517">
        <f t="shared" si="233"/>
        <v>0</v>
      </c>
      <c r="AA704" s="675"/>
      <c r="AB704" s="674"/>
    </row>
    <row r="705" spans="1:28" s="301" customFormat="1" ht="93" hidden="1">
      <c r="A705" s="368"/>
      <c r="B705" s="320" t="s">
        <v>3647</v>
      </c>
      <c r="C705" s="485">
        <v>6950</v>
      </c>
      <c r="D705" s="438" t="s">
        <v>1418</v>
      </c>
      <c r="E705" s="526"/>
      <c r="F705" s="630">
        <f t="shared" si="220"/>
        <v>0</v>
      </c>
      <c r="G705" s="526"/>
      <c r="H705" s="517">
        <f t="shared" si="230"/>
        <v>0</v>
      </c>
      <c r="I705" s="526"/>
      <c r="J705" s="517">
        <f t="shared" si="231"/>
        <v>0</v>
      </c>
      <c r="K705" s="517"/>
      <c r="L705" s="517"/>
      <c r="M705" s="517"/>
      <c r="N705" s="517"/>
      <c r="O705" s="517"/>
      <c r="P705" s="517"/>
      <c r="Q705" s="517"/>
      <c r="R705" s="517"/>
      <c r="S705" s="517"/>
      <c r="T705" s="517">
        <f t="shared" si="224"/>
        <v>0</v>
      </c>
      <c r="U705" s="526"/>
      <c r="V705" s="517">
        <f t="shared" si="225"/>
        <v>0</v>
      </c>
      <c r="W705" s="632">
        <f t="shared" si="234"/>
        <v>0</v>
      </c>
      <c r="X705" s="517">
        <f t="shared" si="232"/>
        <v>0</v>
      </c>
      <c r="Y705" s="632">
        <f t="shared" si="235"/>
        <v>0</v>
      </c>
      <c r="Z705" s="517">
        <f t="shared" si="233"/>
        <v>0</v>
      </c>
      <c r="AA705" s="675"/>
      <c r="AB705" s="674"/>
    </row>
    <row r="706" spans="1:28" s="301" customFormat="1" ht="46.5" hidden="1">
      <c r="A706" s="368"/>
      <c r="B706" s="320" t="s">
        <v>3678</v>
      </c>
      <c r="C706" s="485">
        <v>634</v>
      </c>
      <c r="D706" s="438" t="s">
        <v>1418</v>
      </c>
      <c r="E706" s="526"/>
      <c r="F706" s="630">
        <f t="shared" si="220"/>
        <v>0</v>
      </c>
      <c r="G706" s="526"/>
      <c r="H706" s="517">
        <f t="shared" si="230"/>
        <v>0</v>
      </c>
      <c r="I706" s="526"/>
      <c r="J706" s="517">
        <f t="shared" si="231"/>
        <v>0</v>
      </c>
      <c r="K706" s="517"/>
      <c r="L706" s="517"/>
      <c r="M706" s="517"/>
      <c r="N706" s="517"/>
      <c r="O706" s="517"/>
      <c r="P706" s="517"/>
      <c r="Q706" s="517"/>
      <c r="R706" s="517"/>
      <c r="S706" s="517"/>
      <c r="T706" s="517">
        <f t="shared" si="224"/>
        <v>0</v>
      </c>
      <c r="U706" s="526"/>
      <c r="V706" s="517">
        <f t="shared" si="225"/>
        <v>0</v>
      </c>
      <c r="W706" s="632">
        <f t="shared" si="234"/>
        <v>0</v>
      </c>
      <c r="X706" s="517">
        <f t="shared" si="232"/>
        <v>0</v>
      </c>
      <c r="Y706" s="632">
        <f t="shared" si="235"/>
        <v>0</v>
      </c>
      <c r="Z706" s="517">
        <f t="shared" si="233"/>
        <v>0</v>
      </c>
      <c r="AA706" s="675"/>
      <c r="AB706" s="674"/>
    </row>
    <row r="707" spans="1:28" s="301" customFormat="1" ht="69.75" hidden="1">
      <c r="A707" s="368"/>
      <c r="B707" s="320" t="s">
        <v>3695</v>
      </c>
      <c r="C707" s="485">
        <v>9470</v>
      </c>
      <c r="D707" s="438" t="s">
        <v>1418</v>
      </c>
      <c r="E707" s="526"/>
      <c r="F707" s="630">
        <f t="shared" si="220"/>
        <v>0</v>
      </c>
      <c r="G707" s="526"/>
      <c r="H707" s="517">
        <f t="shared" si="230"/>
        <v>0</v>
      </c>
      <c r="I707" s="526"/>
      <c r="J707" s="517">
        <f t="shared" si="231"/>
        <v>0</v>
      </c>
      <c r="K707" s="517"/>
      <c r="L707" s="517"/>
      <c r="M707" s="517"/>
      <c r="N707" s="517"/>
      <c r="O707" s="517"/>
      <c r="P707" s="517"/>
      <c r="Q707" s="517"/>
      <c r="R707" s="517"/>
      <c r="S707" s="517"/>
      <c r="T707" s="517">
        <f t="shared" si="224"/>
        <v>0</v>
      </c>
      <c r="U707" s="526"/>
      <c r="V707" s="517">
        <f t="shared" si="225"/>
        <v>0</v>
      </c>
      <c r="W707" s="632">
        <f t="shared" si="234"/>
        <v>0</v>
      </c>
      <c r="X707" s="517">
        <f t="shared" si="232"/>
        <v>0</v>
      </c>
      <c r="Y707" s="632">
        <f t="shared" si="235"/>
        <v>0</v>
      </c>
      <c r="Z707" s="517">
        <f t="shared" si="233"/>
        <v>0</v>
      </c>
      <c r="AA707" s="675"/>
      <c r="AB707" s="674"/>
    </row>
    <row r="708" spans="1:28" s="301" customFormat="1" ht="46.5" hidden="1">
      <c r="A708" s="368"/>
      <c r="B708" s="320" t="s">
        <v>3659</v>
      </c>
      <c r="C708" s="485">
        <v>293</v>
      </c>
      <c r="D708" s="438" t="s">
        <v>1418</v>
      </c>
      <c r="E708" s="526"/>
      <c r="F708" s="630">
        <f t="shared" si="220"/>
        <v>0</v>
      </c>
      <c r="G708" s="526"/>
      <c r="H708" s="517">
        <f t="shared" si="230"/>
        <v>0</v>
      </c>
      <c r="I708" s="526"/>
      <c r="J708" s="517">
        <f t="shared" si="231"/>
        <v>0</v>
      </c>
      <c r="K708" s="517"/>
      <c r="L708" s="517"/>
      <c r="M708" s="517"/>
      <c r="N708" s="517"/>
      <c r="O708" s="517"/>
      <c r="P708" s="517"/>
      <c r="Q708" s="517"/>
      <c r="R708" s="517"/>
      <c r="S708" s="517"/>
      <c r="T708" s="517">
        <f t="shared" si="224"/>
        <v>0</v>
      </c>
      <c r="U708" s="526"/>
      <c r="V708" s="517">
        <f t="shared" si="225"/>
        <v>0</v>
      </c>
      <c r="W708" s="632">
        <f t="shared" si="234"/>
        <v>0</v>
      </c>
      <c r="X708" s="517">
        <f t="shared" si="232"/>
        <v>0</v>
      </c>
      <c r="Y708" s="632">
        <f t="shared" si="235"/>
        <v>0</v>
      </c>
      <c r="Z708" s="517">
        <f t="shared" si="233"/>
        <v>0</v>
      </c>
      <c r="AA708" s="675"/>
      <c r="AB708" s="674"/>
    </row>
    <row r="709" spans="1:28" s="301" customFormat="1" ht="69.75" hidden="1">
      <c r="A709" s="368"/>
      <c r="B709" s="320" t="s">
        <v>4070</v>
      </c>
      <c r="C709" s="485">
        <v>704.75</v>
      </c>
      <c r="D709" s="486" t="s">
        <v>1418</v>
      </c>
      <c r="E709" s="526"/>
      <c r="F709" s="630">
        <f t="shared" si="220"/>
        <v>0</v>
      </c>
      <c r="G709" s="526"/>
      <c r="H709" s="517">
        <f t="shared" si="230"/>
        <v>0</v>
      </c>
      <c r="I709" s="526"/>
      <c r="J709" s="517">
        <f t="shared" si="231"/>
        <v>0</v>
      </c>
      <c r="K709" s="517"/>
      <c r="L709" s="517"/>
      <c r="M709" s="517"/>
      <c r="N709" s="517"/>
      <c r="O709" s="517"/>
      <c r="P709" s="517"/>
      <c r="Q709" s="517"/>
      <c r="R709" s="517"/>
      <c r="S709" s="517"/>
      <c r="T709" s="517">
        <f t="shared" si="224"/>
        <v>0</v>
      </c>
      <c r="U709" s="526"/>
      <c r="V709" s="517">
        <f t="shared" si="225"/>
        <v>0</v>
      </c>
      <c r="W709" s="632">
        <f t="shared" si="234"/>
        <v>0</v>
      </c>
      <c r="X709" s="517">
        <f t="shared" si="232"/>
        <v>0</v>
      </c>
      <c r="Y709" s="632">
        <f t="shared" si="235"/>
        <v>0</v>
      </c>
      <c r="Z709" s="517">
        <f t="shared" si="233"/>
        <v>0</v>
      </c>
      <c r="AA709" s="675"/>
      <c r="AB709" s="674"/>
    </row>
    <row r="710" spans="1:28" s="301" customFormat="1" ht="67.5" hidden="1">
      <c r="A710" s="368"/>
      <c r="B710" s="1166" t="s">
        <v>5340</v>
      </c>
      <c r="C710" s="485">
        <v>769</v>
      </c>
      <c r="D710" s="486" t="s">
        <v>1418</v>
      </c>
      <c r="E710" s="526"/>
      <c r="F710" s="1394">
        <f t="shared" si="220"/>
        <v>0</v>
      </c>
      <c r="G710" s="526"/>
      <c r="H710" s="517">
        <f t="shared" si="230"/>
        <v>0</v>
      </c>
      <c r="I710" s="526"/>
      <c r="J710" s="517">
        <f t="shared" si="231"/>
        <v>0</v>
      </c>
      <c r="K710" s="517"/>
      <c r="L710" s="517">
        <f t="shared" ref="L710:L729" si="236">K710*C710</f>
        <v>0</v>
      </c>
      <c r="M710" s="517"/>
      <c r="N710" s="517">
        <f t="shared" ref="N710:N729" si="237">M710*C710</f>
        <v>0</v>
      </c>
      <c r="O710" s="517"/>
      <c r="P710" s="517">
        <f t="shared" ref="P710:P729" si="238">O710*C710</f>
        <v>0</v>
      </c>
      <c r="Q710" s="517"/>
      <c r="R710" s="517"/>
      <c r="S710" s="517"/>
      <c r="T710" s="517">
        <f t="shared" si="224"/>
        <v>0</v>
      </c>
      <c r="U710" s="526"/>
      <c r="V710" s="517">
        <f t="shared" si="225"/>
        <v>0</v>
      </c>
      <c r="W710" s="632" t="e">
        <f>U710+S710+O710+M710+#REF!+K710+I710+G710</f>
        <v>#REF!</v>
      </c>
      <c r="X710" s="517" t="e">
        <f t="shared" si="232"/>
        <v>#REF!</v>
      </c>
      <c r="Y710" s="632" t="e">
        <f t="shared" ref="Y710:Y729" si="239">W710+E710</f>
        <v>#REF!</v>
      </c>
      <c r="Z710" s="517" t="e">
        <f t="shared" si="233"/>
        <v>#REF!</v>
      </c>
      <c r="AA710" s="675"/>
      <c r="AB710" s="674"/>
    </row>
    <row r="711" spans="1:28" s="301" customFormat="1" hidden="1">
      <c r="A711" s="368"/>
      <c r="B711" s="1195" t="s">
        <v>5341</v>
      </c>
      <c r="C711" s="485">
        <v>473.5</v>
      </c>
      <c r="D711" s="438" t="s">
        <v>835</v>
      </c>
      <c r="E711" s="526"/>
      <c r="F711" s="1394">
        <f t="shared" ref="F711:F774" si="240">E711*C711</f>
        <v>0</v>
      </c>
      <c r="G711" s="526"/>
      <c r="H711" s="517">
        <f t="shared" si="230"/>
        <v>0</v>
      </c>
      <c r="I711" s="526"/>
      <c r="J711" s="517">
        <f t="shared" si="231"/>
        <v>0</v>
      </c>
      <c r="K711" s="517"/>
      <c r="L711" s="517">
        <f t="shared" si="236"/>
        <v>0</v>
      </c>
      <c r="M711" s="517"/>
      <c r="N711" s="517">
        <f t="shared" si="237"/>
        <v>0</v>
      </c>
      <c r="O711" s="517"/>
      <c r="P711" s="517">
        <f t="shared" si="238"/>
        <v>0</v>
      </c>
      <c r="Q711" s="517"/>
      <c r="R711" s="517"/>
      <c r="S711" s="517"/>
      <c r="T711" s="517">
        <f t="shared" si="224"/>
        <v>0</v>
      </c>
      <c r="U711" s="526"/>
      <c r="V711" s="517">
        <f t="shared" si="225"/>
        <v>0</v>
      </c>
      <c r="W711" s="632" t="e">
        <f>U711+S711+O711+M711+#REF!+K711+I711+G711</f>
        <v>#REF!</v>
      </c>
      <c r="X711" s="517" t="e">
        <f t="shared" si="232"/>
        <v>#REF!</v>
      </c>
      <c r="Y711" s="632" t="e">
        <f t="shared" si="239"/>
        <v>#REF!</v>
      </c>
      <c r="Z711" s="517" t="e">
        <f t="shared" si="233"/>
        <v>#REF!</v>
      </c>
      <c r="AA711" s="675"/>
      <c r="AB711" s="674"/>
    </row>
    <row r="712" spans="1:28" s="301" customFormat="1" ht="45" hidden="1">
      <c r="A712" s="368"/>
      <c r="B712" s="1195" t="s">
        <v>5342</v>
      </c>
      <c r="C712" s="485">
        <v>994</v>
      </c>
      <c r="D712" s="438" t="s">
        <v>1418</v>
      </c>
      <c r="E712" s="526"/>
      <c r="F712" s="1394">
        <f t="shared" si="240"/>
        <v>0</v>
      </c>
      <c r="G712" s="526"/>
      <c r="H712" s="517">
        <f t="shared" si="230"/>
        <v>0</v>
      </c>
      <c r="I712" s="526"/>
      <c r="J712" s="517">
        <f t="shared" si="231"/>
        <v>0</v>
      </c>
      <c r="K712" s="517"/>
      <c r="L712" s="517">
        <f t="shared" si="236"/>
        <v>0</v>
      </c>
      <c r="M712" s="517"/>
      <c r="N712" s="517">
        <f t="shared" si="237"/>
        <v>0</v>
      </c>
      <c r="O712" s="517"/>
      <c r="P712" s="517">
        <f t="shared" si="238"/>
        <v>0</v>
      </c>
      <c r="Q712" s="517"/>
      <c r="R712" s="517"/>
      <c r="S712" s="517"/>
      <c r="T712" s="517">
        <f t="shared" si="224"/>
        <v>0</v>
      </c>
      <c r="U712" s="526"/>
      <c r="V712" s="517">
        <f t="shared" si="225"/>
        <v>0</v>
      </c>
      <c r="W712" s="632" t="e">
        <f>U712+S712+O712+M712+#REF!+K712+I712+G712</f>
        <v>#REF!</v>
      </c>
      <c r="X712" s="517" t="e">
        <f t="shared" si="232"/>
        <v>#REF!</v>
      </c>
      <c r="Y712" s="632" t="e">
        <f t="shared" si="239"/>
        <v>#REF!</v>
      </c>
      <c r="Z712" s="517" t="e">
        <f t="shared" si="233"/>
        <v>#REF!</v>
      </c>
      <c r="AA712" s="675"/>
      <c r="AB712" s="674"/>
    </row>
    <row r="713" spans="1:28" s="301" customFormat="1" hidden="1">
      <c r="A713" s="368"/>
      <c r="B713" s="1195" t="s">
        <v>3655</v>
      </c>
      <c r="C713" s="485">
        <v>11481.8</v>
      </c>
      <c r="D713" s="438" t="s">
        <v>1418</v>
      </c>
      <c r="E713" s="526"/>
      <c r="F713" s="1394">
        <f t="shared" si="240"/>
        <v>0</v>
      </c>
      <c r="G713" s="526"/>
      <c r="H713" s="517">
        <f t="shared" si="230"/>
        <v>0</v>
      </c>
      <c r="I713" s="526"/>
      <c r="J713" s="517">
        <f t="shared" si="231"/>
        <v>0</v>
      </c>
      <c r="K713" s="517"/>
      <c r="L713" s="517">
        <f t="shared" si="236"/>
        <v>0</v>
      </c>
      <c r="M713" s="517"/>
      <c r="N713" s="517">
        <f t="shared" si="237"/>
        <v>0</v>
      </c>
      <c r="O713" s="517"/>
      <c r="P713" s="517">
        <f t="shared" si="238"/>
        <v>0</v>
      </c>
      <c r="Q713" s="517"/>
      <c r="R713" s="517"/>
      <c r="S713" s="517"/>
      <c r="T713" s="517">
        <f t="shared" si="224"/>
        <v>0</v>
      </c>
      <c r="U713" s="526"/>
      <c r="V713" s="517">
        <f t="shared" si="225"/>
        <v>0</v>
      </c>
      <c r="W713" s="632" t="e">
        <f>U713+S713+O713+M713+#REF!+K713+I713+G713</f>
        <v>#REF!</v>
      </c>
      <c r="X713" s="517" t="e">
        <f t="shared" si="232"/>
        <v>#REF!</v>
      </c>
      <c r="Y713" s="632" t="e">
        <f t="shared" si="239"/>
        <v>#REF!</v>
      </c>
      <c r="Z713" s="517" t="e">
        <f t="shared" si="233"/>
        <v>#REF!</v>
      </c>
      <c r="AA713" s="675"/>
      <c r="AB713" s="674"/>
    </row>
    <row r="714" spans="1:28" s="301" customFormat="1" ht="45" hidden="1">
      <c r="A714" s="368"/>
      <c r="B714" s="1195" t="s">
        <v>3669</v>
      </c>
      <c r="C714" s="485">
        <v>5325.6</v>
      </c>
      <c r="D714" s="438" t="s">
        <v>1418</v>
      </c>
      <c r="E714" s="526"/>
      <c r="F714" s="1394">
        <f t="shared" si="240"/>
        <v>0</v>
      </c>
      <c r="G714" s="526"/>
      <c r="H714" s="517">
        <f t="shared" si="230"/>
        <v>0</v>
      </c>
      <c r="I714" s="526"/>
      <c r="J714" s="517">
        <f t="shared" si="231"/>
        <v>0</v>
      </c>
      <c r="K714" s="517"/>
      <c r="L714" s="517">
        <f t="shared" si="236"/>
        <v>0</v>
      </c>
      <c r="M714" s="517"/>
      <c r="N714" s="517">
        <f t="shared" si="237"/>
        <v>0</v>
      </c>
      <c r="O714" s="517"/>
      <c r="P714" s="517">
        <f t="shared" si="238"/>
        <v>0</v>
      </c>
      <c r="Q714" s="517"/>
      <c r="R714" s="517"/>
      <c r="S714" s="517"/>
      <c r="T714" s="517">
        <f t="shared" si="224"/>
        <v>0</v>
      </c>
      <c r="U714" s="526"/>
      <c r="V714" s="517">
        <f t="shared" si="225"/>
        <v>0</v>
      </c>
      <c r="W714" s="632" t="e">
        <f>U714+S714+O714+M714+#REF!+K714+I714+G714</f>
        <v>#REF!</v>
      </c>
      <c r="X714" s="517" t="e">
        <f t="shared" si="232"/>
        <v>#REF!</v>
      </c>
      <c r="Y714" s="632" t="e">
        <f t="shared" si="239"/>
        <v>#REF!</v>
      </c>
      <c r="Z714" s="517" t="e">
        <f t="shared" si="233"/>
        <v>#REF!</v>
      </c>
      <c r="AA714" s="675"/>
      <c r="AB714" s="674"/>
    </row>
    <row r="715" spans="1:28" s="301" customFormat="1" ht="45" hidden="1">
      <c r="A715" s="368"/>
      <c r="B715" s="1195" t="s">
        <v>3670</v>
      </c>
      <c r="C715" s="485">
        <v>8254.6</v>
      </c>
      <c r="D715" s="438" t="s">
        <v>1418</v>
      </c>
      <c r="E715" s="526"/>
      <c r="F715" s="1394">
        <f t="shared" si="240"/>
        <v>0</v>
      </c>
      <c r="G715" s="526"/>
      <c r="H715" s="517">
        <f t="shared" si="230"/>
        <v>0</v>
      </c>
      <c r="I715" s="526"/>
      <c r="J715" s="517">
        <f t="shared" si="231"/>
        <v>0</v>
      </c>
      <c r="K715" s="517"/>
      <c r="L715" s="517">
        <f t="shared" si="236"/>
        <v>0</v>
      </c>
      <c r="M715" s="517"/>
      <c r="N715" s="517">
        <f t="shared" si="237"/>
        <v>0</v>
      </c>
      <c r="O715" s="517"/>
      <c r="P715" s="517">
        <f t="shared" si="238"/>
        <v>0</v>
      </c>
      <c r="Q715" s="517"/>
      <c r="R715" s="517"/>
      <c r="S715" s="517"/>
      <c r="T715" s="517">
        <f t="shared" si="224"/>
        <v>0</v>
      </c>
      <c r="U715" s="526"/>
      <c r="V715" s="517">
        <f t="shared" si="225"/>
        <v>0</v>
      </c>
      <c r="W715" s="632" t="e">
        <f>U715+S715+O715+M715+#REF!+K715+I715+G715</f>
        <v>#REF!</v>
      </c>
      <c r="X715" s="517" t="e">
        <f t="shared" si="232"/>
        <v>#REF!</v>
      </c>
      <c r="Y715" s="632" t="e">
        <f t="shared" si="239"/>
        <v>#REF!</v>
      </c>
      <c r="Z715" s="517" t="e">
        <f t="shared" si="233"/>
        <v>#REF!</v>
      </c>
      <c r="AA715" s="675"/>
      <c r="AB715" s="674"/>
    </row>
    <row r="716" spans="1:28" s="301" customFormat="1" ht="45" hidden="1">
      <c r="A716" s="368"/>
      <c r="B716" s="1195" t="s">
        <v>3671</v>
      </c>
      <c r="C716" s="485">
        <v>6588</v>
      </c>
      <c r="D716" s="438" t="s">
        <v>1418</v>
      </c>
      <c r="E716" s="526"/>
      <c r="F716" s="1394">
        <f t="shared" si="240"/>
        <v>0</v>
      </c>
      <c r="G716" s="526"/>
      <c r="H716" s="517">
        <f t="shared" si="230"/>
        <v>0</v>
      </c>
      <c r="I716" s="526"/>
      <c r="J716" s="517">
        <f t="shared" si="231"/>
        <v>0</v>
      </c>
      <c r="K716" s="517"/>
      <c r="L716" s="517">
        <f t="shared" si="236"/>
        <v>0</v>
      </c>
      <c r="M716" s="517"/>
      <c r="N716" s="517">
        <f t="shared" si="237"/>
        <v>0</v>
      </c>
      <c r="O716" s="517"/>
      <c r="P716" s="517">
        <f t="shared" si="238"/>
        <v>0</v>
      </c>
      <c r="Q716" s="517"/>
      <c r="R716" s="517"/>
      <c r="S716" s="517"/>
      <c r="T716" s="517">
        <f t="shared" si="224"/>
        <v>0</v>
      </c>
      <c r="U716" s="526"/>
      <c r="V716" s="517">
        <f t="shared" si="225"/>
        <v>0</v>
      </c>
      <c r="W716" s="632" t="e">
        <f>U716+S716+O716+M716+#REF!+K716+I716+G716</f>
        <v>#REF!</v>
      </c>
      <c r="X716" s="517" t="e">
        <f t="shared" si="232"/>
        <v>#REF!</v>
      </c>
      <c r="Y716" s="632" t="e">
        <f t="shared" si="239"/>
        <v>#REF!</v>
      </c>
      <c r="Z716" s="517" t="e">
        <f t="shared" si="233"/>
        <v>#REF!</v>
      </c>
      <c r="AA716" s="675"/>
      <c r="AB716" s="674"/>
    </row>
    <row r="717" spans="1:28" s="301" customFormat="1" ht="45" hidden="1">
      <c r="A717" s="368"/>
      <c r="B717" s="1195" t="s">
        <v>5343</v>
      </c>
      <c r="C717" s="485">
        <v>593</v>
      </c>
      <c r="D717" s="439" t="s">
        <v>1418</v>
      </c>
      <c r="E717" s="526"/>
      <c r="F717" s="1394">
        <f t="shared" si="240"/>
        <v>0</v>
      </c>
      <c r="G717" s="526"/>
      <c r="H717" s="517">
        <f t="shared" si="230"/>
        <v>0</v>
      </c>
      <c r="I717" s="526"/>
      <c r="J717" s="517">
        <f t="shared" si="231"/>
        <v>0</v>
      </c>
      <c r="K717" s="517"/>
      <c r="L717" s="517">
        <f t="shared" si="236"/>
        <v>0</v>
      </c>
      <c r="M717" s="517"/>
      <c r="N717" s="517">
        <f t="shared" si="237"/>
        <v>0</v>
      </c>
      <c r="O717" s="517"/>
      <c r="P717" s="517">
        <f t="shared" si="238"/>
        <v>0</v>
      </c>
      <c r="Q717" s="517"/>
      <c r="R717" s="517"/>
      <c r="S717" s="517"/>
      <c r="T717" s="517">
        <f t="shared" si="224"/>
        <v>0</v>
      </c>
      <c r="U717" s="526"/>
      <c r="V717" s="517">
        <f t="shared" si="225"/>
        <v>0</v>
      </c>
      <c r="W717" s="632" t="e">
        <f>U717+S717+O717+M717+#REF!+K717+I717+G717</f>
        <v>#REF!</v>
      </c>
      <c r="X717" s="517" t="e">
        <f t="shared" si="232"/>
        <v>#REF!</v>
      </c>
      <c r="Y717" s="632" t="e">
        <f t="shared" si="239"/>
        <v>#REF!</v>
      </c>
      <c r="Z717" s="517" t="e">
        <f t="shared" si="233"/>
        <v>#REF!</v>
      </c>
      <c r="AA717" s="675"/>
      <c r="AB717" s="674"/>
    </row>
    <row r="718" spans="1:28" s="568" customFormat="1" ht="26.25" hidden="1">
      <c r="A718" s="566"/>
      <c r="B718" s="1196" t="s">
        <v>4519</v>
      </c>
      <c r="C718" s="504"/>
      <c r="D718" s="567"/>
      <c r="E718" s="526"/>
      <c r="F718" s="1394">
        <f t="shared" si="240"/>
        <v>0</v>
      </c>
      <c r="G718" s="526"/>
      <c r="H718" s="517">
        <f t="shared" si="230"/>
        <v>0</v>
      </c>
      <c r="I718" s="526"/>
      <c r="J718" s="517">
        <f t="shared" si="231"/>
        <v>0</v>
      </c>
      <c r="K718" s="517"/>
      <c r="L718" s="517">
        <f t="shared" si="236"/>
        <v>0</v>
      </c>
      <c r="M718" s="517"/>
      <c r="N718" s="517">
        <f t="shared" si="237"/>
        <v>0</v>
      </c>
      <c r="O718" s="517"/>
      <c r="P718" s="517">
        <f t="shared" si="238"/>
        <v>0</v>
      </c>
      <c r="Q718" s="517"/>
      <c r="R718" s="517"/>
      <c r="S718" s="517"/>
      <c r="T718" s="517">
        <f t="shared" si="224"/>
        <v>0</v>
      </c>
      <c r="U718" s="526"/>
      <c r="V718" s="517">
        <f t="shared" si="225"/>
        <v>0</v>
      </c>
      <c r="W718" s="632" t="e">
        <f>U718+S718+O718+M718+#REF!+K718+I718+G718</f>
        <v>#REF!</v>
      </c>
      <c r="X718" s="517" t="e">
        <f t="shared" si="232"/>
        <v>#REF!</v>
      </c>
      <c r="Y718" s="632" t="e">
        <f t="shared" si="239"/>
        <v>#REF!</v>
      </c>
      <c r="Z718" s="517" t="e">
        <f t="shared" si="233"/>
        <v>#REF!</v>
      </c>
      <c r="AA718" s="680"/>
      <c r="AB718" s="674"/>
    </row>
    <row r="719" spans="1:28" s="301" customFormat="1" hidden="1">
      <c r="A719" s="368"/>
      <c r="B719" s="1197" t="s">
        <v>3620</v>
      </c>
      <c r="C719" s="485">
        <v>6300</v>
      </c>
      <c r="D719" s="305" t="s">
        <v>2308</v>
      </c>
      <c r="E719" s="526"/>
      <c r="F719" s="1394">
        <f t="shared" si="240"/>
        <v>0</v>
      </c>
      <c r="G719" s="526"/>
      <c r="H719" s="517">
        <f t="shared" si="230"/>
        <v>0</v>
      </c>
      <c r="I719" s="526"/>
      <c r="J719" s="517">
        <f t="shared" si="231"/>
        <v>0</v>
      </c>
      <c r="K719" s="517"/>
      <c r="L719" s="517">
        <f t="shared" si="236"/>
        <v>0</v>
      </c>
      <c r="M719" s="517"/>
      <c r="N719" s="517">
        <f t="shared" si="237"/>
        <v>0</v>
      </c>
      <c r="O719" s="517"/>
      <c r="P719" s="517">
        <f t="shared" si="238"/>
        <v>0</v>
      </c>
      <c r="Q719" s="517"/>
      <c r="R719" s="517"/>
      <c r="S719" s="517"/>
      <c r="T719" s="517">
        <f t="shared" si="224"/>
        <v>0</v>
      </c>
      <c r="U719" s="526"/>
      <c r="V719" s="517">
        <f t="shared" si="225"/>
        <v>0</v>
      </c>
      <c r="W719" s="632" t="e">
        <f>U719+S719+O719+M719+#REF!+K719+I719+G719</f>
        <v>#REF!</v>
      </c>
      <c r="X719" s="517" t="e">
        <f t="shared" si="232"/>
        <v>#REF!</v>
      </c>
      <c r="Y719" s="632" t="e">
        <f t="shared" si="239"/>
        <v>#REF!</v>
      </c>
      <c r="Z719" s="517" t="e">
        <f t="shared" si="233"/>
        <v>#REF!</v>
      </c>
      <c r="AA719" s="675"/>
      <c r="AB719" s="674"/>
    </row>
    <row r="720" spans="1:28" s="301" customFormat="1" hidden="1">
      <c r="A720" s="368"/>
      <c r="B720" s="1197" t="s">
        <v>3621</v>
      </c>
      <c r="C720" s="485">
        <v>6300</v>
      </c>
      <c r="D720" s="305" t="s">
        <v>2308</v>
      </c>
      <c r="E720" s="526"/>
      <c r="F720" s="1394">
        <f t="shared" si="240"/>
        <v>0</v>
      </c>
      <c r="G720" s="526"/>
      <c r="H720" s="517">
        <f t="shared" si="230"/>
        <v>0</v>
      </c>
      <c r="I720" s="526"/>
      <c r="J720" s="517">
        <f t="shared" si="231"/>
        <v>0</v>
      </c>
      <c r="K720" s="517"/>
      <c r="L720" s="517">
        <f t="shared" si="236"/>
        <v>0</v>
      </c>
      <c r="M720" s="517"/>
      <c r="N720" s="517">
        <f t="shared" si="237"/>
        <v>0</v>
      </c>
      <c r="O720" s="517"/>
      <c r="P720" s="517">
        <f t="shared" si="238"/>
        <v>0</v>
      </c>
      <c r="Q720" s="517"/>
      <c r="R720" s="517"/>
      <c r="S720" s="517"/>
      <c r="T720" s="517">
        <f t="shared" si="224"/>
        <v>0</v>
      </c>
      <c r="U720" s="526"/>
      <c r="V720" s="517">
        <f t="shared" si="225"/>
        <v>0</v>
      </c>
      <c r="W720" s="632" t="e">
        <f>U720+S720+O720+M720+#REF!+K720+I720+G720</f>
        <v>#REF!</v>
      </c>
      <c r="X720" s="517" t="e">
        <f t="shared" si="232"/>
        <v>#REF!</v>
      </c>
      <c r="Y720" s="632" t="e">
        <f t="shared" si="239"/>
        <v>#REF!</v>
      </c>
      <c r="Z720" s="517" t="e">
        <f t="shared" si="233"/>
        <v>#REF!</v>
      </c>
      <c r="AA720" s="675"/>
      <c r="AB720" s="674"/>
    </row>
    <row r="721" spans="1:28" s="301" customFormat="1" hidden="1">
      <c r="A721" s="368"/>
      <c r="B721" s="1197" t="s">
        <v>3622</v>
      </c>
      <c r="C721" s="485">
        <v>6300</v>
      </c>
      <c r="D721" s="305" t="s">
        <v>2308</v>
      </c>
      <c r="E721" s="526"/>
      <c r="F721" s="1394">
        <f t="shared" si="240"/>
        <v>0</v>
      </c>
      <c r="G721" s="526"/>
      <c r="H721" s="517">
        <f t="shared" si="230"/>
        <v>0</v>
      </c>
      <c r="I721" s="526"/>
      <c r="J721" s="517">
        <f t="shared" si="231"/>
        <v>0</v>
      </c>
      <c r="K721" s="517"/>
      <c r="L721" s="517">
        <f t="shared" si="236"/>
        <v>0</v>
      </c>
      <c r="M721" s="517"/>
      <c r="N721" s="517">
        <f t="shared" si="237"/>
        <v>0</v>
      </c>
      <c r="O721" s="517"/>
      <c r="P721" s="517">
        <f t="shared" si="238"/>
        <v>0</v>
      </c>
      <c r="Q721" s="517"/>
      <c r="R721" s="517"/>
      <c r="S721" s="517"/>
      <c r="T721" s="517">
        <f t="shared" si="224"/>
        <v>0</v>
      </c>
      <c r="U721" s="526"/>
      <c r="V721" s="517">
        <f t="shared" si="225"/>
        <v>0</v>
      </c>
      <c r="W721" s="632" t="e">
        <f>U721+S721+O721+M721+#REF!+K721+I721+G721</f>
        <v>#REF!</v>
      </c>
      <c r="X721" s="517" t="e">
        <f t="shared" si="232"/>
        <v>#REF!</v>
      </c>
      <c r="Y721" s="632" t="e">
        <f t="shared" si="239"/>
        <v>#REF!</v>
      </c>
      <c r="Z721" s="517" t="e">
        <f t="shared" si="233"/>
        <v>#REF!</v>
      </c>
      <c r="AA721" s="675"/>
      <c r="AB721" s="674"/>
    </row>
    <row r="722" spans="1:28" s="301" customFormat="1" hidden="1">
      <c r="A722" s="368"/>
      <c r="B722" s="1197" t="s">
        <v>3623</v>
      </c>
      <c r="C722" s="485">
        <v>6300</v>
      </c>
      <c r="D722" s="305" t="s">
        <v>2308</v>
      </c>
      <c r="E722" s="526"/>
      <c r="F722" s="1394">
        <f t="shared" si="240"/>
        <v>0</v>
      </c>
      <c r="G722" s="526"/>
      <c r="H722" s="517">
        <f t="shared" si="230"/>
        <v>0</v>
      </c>
      <c r="I722" s="526"/>
      <c r="J722" s="517">
        <f t="shared" si="231"/>
        <v>0</v>
      </c>
      <c r="K722" s="517"/>
      <c r="L722" s="517">
        <f t="shared" si="236"/>
        <v>0</v>
      </c>
      <c r="M722" s="517"/>
      <c r="N722" s="517">
        <f t="shared" si="237"/>
        <v>0</v>
      </c>
      <c r="O722" s="517"/>
      <c r="P722" s="517">
        <f t="shared" si="238"/>
        <v>0</v>
      </c>
      <c r="Q722" s="517"/>
      <c r="R722" s="517"/>
      <c r="S722" s="517"/>
      <c r="T722" s="517">
        <f t="shared" si="224"/>
        <v>0</v>
      </c>
      <c r="U722" s="526"/>
      <c r="V722" s="517">
        <f t="shared" si="225"/>
        <v>0</v>
      </c>
      <c r="W722" s="632" t="e">
        <f>U722+S722+O722+M722+#REF!+K722+I722+G722</f>
        <v>#REF!</v>
      </c>
      <c r="X722" s="517" t="e">
        <f t="shared" si="232"/>
        <v>#REF!</v>
      </c>
      <c r="Y722" s="632" t="e">
        <f t="shared" si="239"/>
        <v>#REF!</v>
      </c>
      <c r="Z722" s="517" t="e">
        <f t="shared" si="233"/>
        <v>#REF!</v>
      </c>
      <c r="AA722" s="675"/>
      <c r="AB722" s="674"/>
    </row>
    <row r="723" spans="1:28" s="301" customFormat="1" hidden="1">
      <c r="A723" s="368"/>
      <c r="B723" s="1197" t="s">
        <v>3624</v>
      </c>
      <c r="C723" s="485">
        <v>6300</v>
      </c>
      <c r="D723" s="305" t="s">
        <v>2308</v>
      </c>
      <c r="E723" s="526"/>
      <c r="F723" s="1394">
        <f t="shared" si="240"/>
        <v>0</v>
      </c>
      <c r="G723" s="526"/>
      <c r="H723" s="517">
        <f t="shared" si="230"/>
        <v>0</v>
      </c>
      <c r="I723" s="526"/>
      <c r="J723" s="517">
        <f t="shared" si="231"/>
        <v>0</v>
      </c>
      <c r="K723" s="517"/>
      <c r="L723" s="517">
        <f t="shared" si="236"/>
        <v>0</v>
      </c>
      <c r="M723" s="517"/>
      <c r="N723" s="517">
        <f t="shared" si="237"/>
        <v>0</v>
      </c>
      <c r="O723" s="517"/>
      <c r="P723" s="517">
        <f t="shared" si="238"/>
        <v>0</v>
      </c>
      <c r="Q723" s="517"/>
      <c r="R723" s="517"/>
      <c r="S723" s="517"/>
      <c r="T723" s="517">
        <f t="shared" si="224"/>
        <v>0</v>
      </c>
      <c r="U723" s="526"/>
      <c r="V723" s="517">
        <f t="shared" si="225"/>
        <v>0</v>
      </c>
      <c r="W723" s="632" t="e">
        <f>U723+S723+O723+M723+#REF!+K723+I723+G723</f>
        <v>#REF!</v>
      </c>
      <c r="X723" s="517" t="e">
        <f t="shared" si="232"/>
        <v>#REF!</v>
      </c>
      <c r="Y723" s="632" t="e">
        <f t="shared" si="239"/>
        <v>#REF!</v>
      </c>
      <c r="Z723" s="517" t="e">
        <f t="shared" si="233"/>
        <v>#REF!</v>
      </c>
      <c r="AA723" s="675"/>
      <c r="AB723" s="674"/>
    </row>
    <row r="724" spans="1:28" s="301" customFormat="1" hidden="1">
      <c r="A724" s="368"/>
      <c r="B724" s="1197">
        <v>0</v>
      </c>
      <c r="C724" s="485">
        <v>6300</v>
      </c>
      <c r="D724" s="305" t="s">
        <v>2308</v>
      </c>
      <c r="E724" s="526"/>
      <c r="F724" s="1394">
        <f t="shared" si="240"/>
        <v>0</v>
      </c>
      <c r="G724" s="526"/>
      <c r="H724" s="517">
        <f t="shared" si="230"/>
        <v>0</v>
      </c>
      <c r="I724" s="526"/>
      <c r="J724" s="517">
        <f t="shared" si="231"/>
        <v>0</v>
      </c>
      <c r="K724" s="517"/>
      <c r="L724" s="517">
        <f t="shared" si="236"/>
        <v>0</v>
      </c>
      <c r="M724" s="517"/>
      <c r="N724" s="517">
        <f t="shared" si="237"/>
        <v>0</v>
      </c>
      <c r="O724" s="517"/>
      <c r="P724" s="517">
        <f t="shared" si="238"/>
        <v>0</v>
      </c>
      <c r="Q724" s="517"/>
      <c r="R724" s="517"/>
      <c r="S724" s="517"/>
      <c r="T724" s="517">
        <f t="shared" si="224"/>
        <v>0</v>
      </c>
      <c r="U724" s="526"/>
      <c r="V724" s="517">
        <f t="shared" si="225"/>
        <v>0</v>
      </c>
      <c r="W724" s="632" t="e">
        <f>U724+S724+O724+M724+#REF!+K724+I724+G724</f>
        <v>#REF!</v>
      </c>
      <c r="X724" s="517" t="e">
        <f t="shared" si="232"/>
        <v>#REF!</v>
      </c>
      <c r="Y724" s="632" t="e">
        <f t="shared" si="239"/>
        <v>#REF!</v>
      </c>
      <c r="Z724" s="517" t="e">
        <f t="shared" si="233"/>
        <v>#REF!</v>
      </c>
      <c r="AA724" s="675"/>
      <c r="AB724" s="674"/>
    </row>
    <row r="725" spans="1:28" s="301" customFormat="1" hidden="1">
      <c r="A725" s="368"/>
      <c r="B725" s="1197" t="s">
        <v>3625</v>
      </c>
      <c r="C725" s="485">
        <v>6300</v>
      </c>
      <c r="D725" s="305" t="s">
        <v>2308</v>
      </c>
      <c r="E725" s="526"/>
      <c r="F725" s="1394">
        <f t="shared" si="240"/>
        <v>0</v>
      </c>
      <c r="G725" s="526"/>
      <c r="H725" s="517">
        <f t="shared" si="230"/>
        <v>0</v>
      </c>
      <c r="I725" s="526"/>
      <c r="J725" s="517">
        <f t="shared" si="231"/>
        <v>0</v>
      </c>
      <c r="K725" s="517"/>
      <c r="L725" s="517">
        <f t="shared" si="236"/>
        <v>0</v>
      </c>
      <c r="M725" s="517"/>
      <c r="N725" s="517">
        <f t="shared" si="237"/>
        <v>0</v>
      </c>
      <c r="O725" s="517"/>
      <c r="P725" s="517">
        <f t="shared" si="238"/>
        <v>0</v>
      </c>
      <c r="Q725" s="517"/>
      <c r="R725" s="517"/>
      <c r="S725" s="517"/>
      <c r="T725" s="517">
        <f t="shared" si="224"/>
        <v>0</v>
      </c>
      <c r="U725" s="526"/>
      <c r="V725" s="517">
        <f t="shared" si="225"/>
        <v>0</v>
      </c>
      <c r="W725" s="632" t="e">
        <f>U725+S725+O725+M725+#REF!+K725+I725+G725</f>
        <v>#REF!</v>
      </c>
      <c r="X725" s="517" t="e">
        <f t="shared" si="232"/>
        <v>#REF!</v>
      </c>
      <c r="Y725" s="632" t="e">
        <f t="shared" si="239"/>
        <v>#REF!</v>
      </c>
      <c r="Z725" s="517" t="e">
        <f t="shared" si="233"/>
        <v>#REF!</v>
      </c>
      <c r="AA725" s="675"/>
      <c r="AB725" s="674"/>
    </row>
    <row r="726" spans="1:28" s="301" customFormat="1" hidden="1">
      <c r="A726" s="368"/>
      <c r="B726" s="1197" t="s">
        <v>3626</v>
      </c>
      <c r="C726" s="485">
        <v>6300</v>
      </c>
      <c r="D726" s="305" t="s">
        <v>2308</v>
      </c>
      <c r="E726" s="526"/>
      <c r="F726" s="1394">
        <f t="shared" si="240"/>
        <v>0</v>
      </c>
      <c r="G726" s="526"/>
      <c r="H726" s="517">
        <f t="shared" si="230"/>
        <v>0</v>
      </c>
      <c r="I726" s="526"/>
      <c r="J726" s="517">
        <f t="shared" si="231"/>
        <v>0</v>
      </c>
      <c r="K726" s="517"/>
      <c r="L726" s="517">
        <f t="shared" si="236"/>
        <v>0</v>
      </c>
      <c r="M726" s="517"/>
      <c r="N726" s="517">
        <f t="shared" si="237"/>
        <v>0</v>
      </c>
      <c r="O726" s="517"/>
      <c r="P726" s="517">
        <f t="shared" si="238"/>
        <v>0</v>
      </c>
      <c r="Q726" s="517"/>
      <c r="R726" s="517"/>
      <c r="S726" s="517"/>
      <c r="T726" s="517">
        <f t="shared" ref="T726:T789" si="241">S726*C726</f>
        <v>0</v>
      </c>
      <c r="U726" s="526"/>
      <c r="V726" s="517">
        <f t="shared" ref="V726:V789" si="242">U726*C726</f>
        <v>0</v>
      </c>
      <c r="W726" s="632" t="e">
        <f>U726+S726+O726+M726+#REF!+K726+I726+G726</f>
        <v>#REF!</v>
      </c>
      <c r="X726" s="517" t="e">
        <f t="shared" ref="X726:X757" si="243">W726*C726</f>
        <v>#REF!</v>
      </c>
      <c r="Y726" s="632" t="e">
        <f t="shared" si="239"/>
        <v>#REF!</v>
      </c>
      <c r="Z726" s="517" t="e">
        <f t="shared" ref="Z726:Z731" si="244">Y726*C726</f>
        <v>#REF!</v>
      </c>
      <c r="AA726" s="675"/>
      <c r="AB726" s="674"/>
    </row>
    <row r="727" spans="1:28" s="301" customFormat="1" hidden="1">
      <c r="A727" s="368"/>
      <c r="B727" s="1189" t="s">
        <v>3662</v>
      </c>
      <c r="C727" s="307">
        <v>5654</v>
      </c>
      <c r="D727" s="310" t="s">
        <v>3663</v>
      </c>
      <c r="E727" s="526"/>
      <c r="F727" s="1394">
        <f t="shared" si="240"/>
        <v>0</v>
      </c>
      <c r="G727" s="526"/>
      <c r="H727" s="517">
        <f t="shared" si="230"/>
        <v>0</v>
      </c>
      <c r="I727" s="526"/>
      <c r="J727" s="517">
        <f t="shared" si="231"/>
        <v>0</v>
      </c>
      <c r="K727" s="517"/>
      <c r="L727" s="517">
        <f t="shared" si="236"/>
        <v>0</v>
      </c>
      <c r="M727" s="517"/>
      <c r="N727" s="517">
        <f t="shared" si="237"/>
        <v>0</v>
      </c>
      <c r="O727" s="517"/>
      <c r="P727" s="517">
        <f t="shared" si="238"/>
        <v>0</v>
      </c>
      <c r="Q727" s="517"/>
      <c r="R727" s="517"/>
      <c r="S727" s="517"/>
      <c r="T727" s="517">
        <f t="shared" si="241"/>
        <v>0</v>
      </c>
      <c r="U727" s="526"/>
      <c r="V727" s="517">
        <f t="shared" si="242"/>
        <v>0</v>
      </c>
      <c r="W727" s="632" t="e">
        <f>U727+S727+O727+M727+#REF!+K727+I727+G727</f>
        <v>#REF!</v>
      </c>
      <c r="X727" s="517" t="e">
        <f t="shared" si="243"/>
        <v>#REF!</v>
      </c>
      <c r="Y727" s="632" t="e">
        <f t="shared" si="239"/>
        <v>#REF!</v>
      </c>
      <c r="Z727" s="517" t="e">
        <f t="shared" si="244"/>
        <v>#REF!</v>
      </c>
      <c r="AA727" s="675"/>
      <c r="AB727" s="674"/>
    </row>
    <row r="728" spans="1:28" s="301" customFormat="1" ht="65.25" hidden="1">
      <c r="A728" s="368"/>
      <c r="B728" s="1198" t="s">
        <v>5194</v>
      </c>
      <c r="C728" s="308">
        <v>7720</v>
      </c>
      <c r="D728" s="397" t="s">
        <v>2308</v>
      </c>
      <c r="E728" s="526"/>
      <c r="F728" s="1394">
        <f t="shared" si="240"/>
        <v>0</v>
      </c>
      <c r="G728" s="517"/>
      <c r="H728" s="517">
        <f t="shared" si="230"/>
        <v>0</v>
      </c>
      <c r="I728" s="517"/>
      <c r="J728" s="517">
        <f t="shared" si="231"/>
        <v>0</v>
      </c>
      <c r="K728" s="517"/>
      <c r="L728" s="517">
        <f t="shared" si="236"/>
        <v>0</v>
      </c>
      <c r="M728" s="517"/>
      <c r="N728" s="517">
        <f t="shared" si="237"/>
        <v>0</v>
      </c>
      <c r="O728" s="517"/>
      <c r="P728" s="517">
        <f t="shared" si="238"/>
        <v>0</v>
      </c>
      <c r="Q728" s="517"/>
      <c r="R728" s="517"/>
      <c r="S728" s="517"/>
      <c r="T728" s="517">
        <f t="shared" si="241"/>
        <v>0</v>
      </c>
      <c r="U728" s="517"/>
      <c r="V728" s="517">
        <f t="shared" si="242"/>
        <v>0</v>
      </c>
      <c r="W728" s="632" t="e">
        <f>U728+S728+O728+M728+#REF!+K728+I728+G728</f>
        <v>#REF!</v>
      </c>
      <c r="X728" s="517" t="e">
        <f t="shared" si="243"/>
        <v>#REF!</v>
      </c>
      <c r="Y728" s="632" t="e">
        <f t="shared" si="239"/>
        <v>#REF!</v>
      </c>
      <c r="Z728" s="517" t="e">
        <f t="shared" si="244"/>
        <v>#REF!</v>
      </c>
      <c r="AA728" s="675"/>
      <c r="AB728" s="673"/>
    </row>
    <row r="729" spans="1:28" s="301" customFormat="1" ht="65.25" hidden="1">
      <c r="A729" s="368"/>
      <c r="B729" s="1198" t="s">
        <v>5195</v>
      </c>
      <c r="C729" s="308">
        <v>7126</v>
      </c>
      <c r="D729" s="397" t="s">
        <v>2308</v>
      </c>
      <c r="E729" s="526"/>
      <c r="F729" s="1394">
        <f t="shared" si="240"/>
        <v>0</v>
      </c>
      <c r="G729" s="517"/>
      <c r="H729" s="517">
        <f t="shared" si="230"/>
        <v>0</v>
      </c>
      <c r="I729" s="517"/>
      <c r="J729" s="517">
        <f t="shared" si="231"/>
        <v>0</v>
      </c>
      <c r="K729" s="517"/>
      <c r="L729" s="517">
        <f t="shared" si="236"/>
        <v>0</v>
      </c>
      <c r="M729" s="517"/>
      <c r="N729" s="517">
        <f t="shared" si="237"/>
        <v>0</v>
      </c>
      <c r="O729" s="517"/>
      <c r="P729" s="517">
        <f t="shared" si="238"/>
        <v>0</v>
      </c>
      <c r="Q729" s="517"/>
      <c r="R729" s="517"/>
      <c r="S729" s="517"/>
      <c r="T729" s="517">
        <f t="shared" si="241"/>
        <v>0</v>
      </c>
      <c r="U729" s="517"/>
      <c r="V729" s="517">
        <f t="shared" si="242"/>
        <v>0</v>
      </c>
      <c r="W729" s="632" t="e">
        <f>U729+S729+O729+M729+#REF!+K729+I729+G729</f>
        <v>#REF!</v>
      </c>
      <c r="X729" s="517" t="e">
        <f t="shared" si="243"/>
        <v>#REF!</v>
      </c>
      <c r="Y729" s="632" t="e">
        <f t="shared" si="239"/>
        <v>#REF!</v>
      </c>
      <c r="Z729" s="517" t="e">
        <f t="shared" si="244"/>
        <v>#REF!</v>
      </c>
      <c r="AA729" s="675"/>
      <c r="AB729" s="673"/>
    </row>
    <row r="730" spans="1:28" s="301" customFormat="1" ht="46.5" hidden="1">
      <c r="A730" s="368"/>
      <c r="B730" s="319" t="s">
        <v>3672</v>
      </c>
      <c r="C730" s="485">
        <v>2286.4499999999998</v>
      </c>
      <c r="D730" s="305" t="s">
        <v>1418</v>
      </c>
      <c r="E730" s="526"/>
      <c r="F730" s="630">
        <f t="shared" si="240"/>
        <v>0</v>
      </c>
      <c r="G730" s="526"/>
      <c r="H730" s="517">
        <f t="shared" ref="H730:H793" si="245">G730*C730</f>
        <v>0</v>
      </c>
      <c r="I730" s="526"/>
      <c r="J730" s="517">
        <f t="shared" ref="J730:J793" si="246">I730*C730</f>
        <v>0</v>
      </c>
      <c r="K730" s="517"/>
      <c r="L730" s="517"/>
      <c r="M730" s="517"/>
      <c r="N730" s="517"/>
      <c r="O730" s="517"/>
      <c r="P730" s="517"/>
      <c r="Q730" s="517"/>
      <c r="R730" s="517"/>
      <c r="S730" s="517"/>
      <c r="T730" s="517">
        <f t="shared" si="241"/>
        <v>0</v>
      </c>
      <c r="U730" s="526"/>
      <c r="V730" s="517">
        <f t="shared" si="242"/>
        <v>0</v>
      </c>
      <c r="W730" s="632">
        <f>I730+S730+U730</f>
        <v>0</v>
      </c>
      <c r="X730" s="517">
        <f t="shared" si="243"/>
        <v>0</v>
      </c>
      <c r="Y730" s="632">
        <f>W730+E730+G730</f>
        <v>0</v>
      </c>
      <c r="Z730" s="517">
        <f t="shared" si="244"/>
        <v>0</v>
      </c>
      <c r="AA730" s="675"/>
      <c r="AB730" s="674"/>
    </row>
    <row r="731" spans="1:28" s="301" customFormat="1" ht="43.5" hidden="1">
      <c r="A731" s="368"/>
      <c r="B731" s="314" t="s">
        <v>4888</v>
      </c>
      <c r="C731" s="370">
        <v>2131</v>
      </c>
      <c r="D731" s="669" t="s">
        <v>2308</v>
      </c>
      <c r="E731" s="526"/>
      <c r="F731" s="630">
        <f t="shared" si="240"/>
        <v>0</v>
      </c>
      <c r="G731" s="526"/>
      <c r="H731" s="517">
        <f t="shared" si="245"/>
        <v>0</v>
      </c>
      <c r="I731" s="526"/>
      <c r="J731" s="517">
        <f t="shared" si="246"/>
        <v>0</v>
      </c>
      <c r="K731" s="517"/>
      <c r="L731" s="517"/>
      <c r="M731" s="517"/>
      <c r="N731" s="517"/>
      <c r="O731" s="517"/>
      <c r="P731" s="517"/>
      <c r="Q731" s="517"/>
      <c r="R731" s="517"/>
      <c r="S731" s="517"/>
      <c r="T731" s="517">
        <f t="shared" si="241"/>
        <v>0</v>
      </c>
      <c r="U731" s="526"/>
      <c r="V731" s="517">
        <f t="shared" si="242"/>
        <v>0</v>
      </c>
      <c r="W731" s="632">
        <f>I731+S731+U731</f>
        <v>0</v>
      </c>
      <c r="X731" s="517">
        <f t="shared" si="243"/>
        <v>0</v>
      </c>
      <c r="Y731" s="632">
        <f>W731+E731+G731</f>
        <v>0</v>
      </c>
      <c r="Z731" s="517">
        <f t="shared" si="244"/>
        <v>0</v>
      </c>
      <c r="AA731" s="675"/>
      <c r="AB731" s="674"/>
    </row>
    <row r="732" spans="1:28" s="301" customFormat="1" ht="45" hidden="1">
      <c r="A732" s="368"/>
      <c r="B732" s="1199" t="s">
        <v>3646</v>
      </c>
      <c r="C732" s="485"/>
      <c r="D732" s="305"/>
      <c r="E732" s="512"/>
      <c r="F732" s="1394">
        <f t="shared" si="240"/>
        <v>0</v>
      </c>
      <c r="G732" s="517"/>
      <c r="H732" s="517">
        <f>G732*C732</f>
        <v>0</v>
      </c>
      <c r="I732" s="517"/>
      <c r="J732" s="517">
        <f>I732*C732</f>
        <v>0</v>
      </c>
      <c r="K732" s="517"/>
      <c r="L732" s="517">
        <f>K732*C732</f>
        <v>0</v>
      </c>
      <c r="M732" s="517"/>
      <c r="N732" s="517">
        <f>M732*C732</f>
        <v>0</v>
      </c>
      <c r="O732" s="517"/>
      <c r="P732" s="517">
        <f>O732*C732</f>
        <v>0</v>
      </c>
      <c r="Q732" s="517"/>
      <c r="R732" s="517"/>
      <c r="S732" s="517"/>
      <c r="T732" s="517">
        <f t="shared" si="241"/>
        <v>0</v>
      </c>
      <c r="U732" s="517"/>
      <c r="V732" s="517">
        <f t="shared" si="242"/>
        <v>0</v>
      </c>
      <c r="W732" s="632" t="e">
        <f>U732+S732+O732+M732+#REF!+K732+I732+G732</f>
        <v>#REF!</v>
      </c>
      <c r="X732" s="517" t="e">
        <f t="shared" si="243"/>
        <v>#REF!</v>
      </c>
      <c r="Y732" s="632" t="e">
        <f>W732+E732</f>
        <v>#REF!</v>
      </c>
      <c r="Z732" s="517"/>
      <c r="AA732" s="675"/>
      <c r="AB732" s="673"/>
    </row>
    <row r="733" spans="1:28" s="301" customFormat="1" ht="36.950000000000003" hidden="1" customHeight="1">
      <c r="A733" s="536"/>
      <c r="B733" s="599" t="s">
        <v>4521</v>
      </c>
      <c r="C733" s="596">
        <f>Data!X3593</f>
        <v>2963.85</v>
      </c>
      <c r="D733" s="305" t="s">
        <v>2308</v>
      </c>
      <c r="E733" s="526"/>
      <c r="F733" s="630">
        <f t="shared" si="240"/>
        <v>0</v>
      </c>
      <c r="G733" s="526"/>
      <c r="H733" s="517">
        <f t="shared" si="245"/>
        <v>0</v>
      </c>
      <c r="I733" s="526"/>
      <c r="J733" s="517">
        <f t="shared" si="246"/>
        <v>0</v>
      </c>
      <c r="K733" s="517"/>
      <c r="L733" s="517"/>
      <c r="M733" s="517"/>
      <c r="N733" s="517"/>
      <c r="O733" s="517"/>
      <c r="P733" s="517"/>
      <c r="Q733" s="517"/>
      <c r="R733" s="517"/>
      <c r="S733" s="517"/>
      <c r="T733" s="517">
        <f t="shared" si="241"/>
        <v>0</v>
      </c>
      <c r="U733" s="526"/>
      <c r="V733" s="517">
        <f t="shared" si="242"/>
        <v>0</v>
      </c>
      <c r="W733" s="632">
        <f t="shared" ref="W733:W738" si="247">I733+S733+U733</f>
        <v>0</v>
      </c>
      <c r="X733" s="517">
        <f t="shared" si="243"/>
        <v>0</v>
      </c>
      <c r="Y733" s="632">
        <f t="shared" ref="Y733:Y738" si="248">W733+E733+G733</f>
        <v>0</v>
      </c>
      <c r="Z733" s="517">
        <f t="shared" ref="Z733:Z743" si="249">Y733*C733</f>
        <v>0</v>
      </c>
      <c r="AA733" s="675"/>
      <c r="AB733" s="674"/>
    </row>
    <row r="734" spans="1:28" s="301" customFormat="1" ht="36.950000000000003" hidden="1" customHeight="1">
      <c r="A734" s="536"/>
      <c r="B734" s="454" t="s">
        <v>4522</v>
      </c>
      <c r="C734" s="485">
        <f>Data!X3610</f>
        <v>2979.58</v>
      </c>
      <c r="D734" s="305" t="s">
        <v>2308</v>
      </c>
      <c r="E734" s="526"/>
      <c r="F734" s="630">
        <f t="shared" si="240"/>
        <v>0</v>
      </c>
      <c r="G734" s="526"/>
      <c r="H734" s="517">
        <f t="shared" si="245"/>
        <v>0</v>
      </c>
      <c r="I734" s="526"/>
      <c r="J734" s="517">
        <f t="shared" si="246"/>
        <v>0</v>
      </c>
      <c r="K734" s="517"/>
      <c r="L734" s="517"/>
      <c r="M734" s="517"/>
      <c r="N734" s="517"/>
      <c r="O734" s="517"/>
      <c r="P734" s="517"/>
      <c r="Q734" s="517"/>
      <c r="R734" s="517"/>
      <c r="S734" s="517"/>
      <c r="T734" s="517">
        <f t="shared" si="241"/>
        <v>0</v>
      </c>
      <c r="U734" s="526"/>
      <c r="V734" s="517">
        <f t="shared" si="242"/>
        <v>0</v>
      </c>
      <c r="W734" s="632">
        <f t="shared" si="247"/>
        <v>0</v>
      </c>
      <c r="X734" s="517">
        <f t="shared" si="243"/>
        <v>0</v>
      </c>
      <c r="Y734" s="632">
        <f t="shared" si="248"/>
        <v>0</v>
      </c>
      <c r="Z734" s="517">
        <f t="shared" si="249"/>
        <v>0</v>
      </c>
      <c r="AA734" s="675"/>
      <c r="AB734" s="674"/>
    </row>
    <row r="735" spans="1:28" s="301" customFormat="1" ht="36.950000000000003" hidden="1" customHeight="1">
      <c r="A735" s="536"/>
      <c r="B735" s="454" t="s">
        <v>4523</v>
      </c>
      <c r="C735" s="485">
        <f>Data!X3578</f>
        <v>3004.28</v>
      </c>
      <c r="D735" s="305" t="s">
        <v>2308</v>
      </c>
      <c r="E735" s="526"/>
      <c r="F735" s="630">
        <f t="shared" si="240"/>
        <v>0</v>
      </c>
      <c r="G735" s="526"/>
      <c r="H735" s="517">
        <f t="shared" si="245"/>
        <v>0</v>
      </c>
      <c r="I735" s="526"/>
      <c r="J735" s="517">
        <f t="shared" si="246"/>
        <v>0</v>
      </c>
      <c r="K735" s="517"/>
      <c r="L735" s="517"/>
      <c r="M735" s="517"/>
      <c r="N735" s="517"/>
      <c r="O735" s="517"/>
      <c r="P735" s="517"/>
      <c r="Q735" s="517"/>
      <c r="R735" s="517"/>
      <c r="S735" s="517"/>
      <c r="T735" s="517">
        <f t="shared" si="241"/>
        <v>0</v>
      </c>
      <c r="U735" s="526"/>
      <c r="V735" s="517">
        <f t="shared" si="242"/>
        <v>0</v>
      </c>
      <c r="W735" s="632">
        <f t="shared" si="247"/>
        <v>0</v>
      </c>
      <c r="X735" s="517">
        <f t="shared" si="243"/>
        <v>0</v>
      </c>
      <c r="Y735" s="632">
        <f t="shared" si="248"/>
        <v>0</v>
      </c>
      <c r="Z735" s="517">
        <f t="shared" si="249"/>
        <v>0</v>
      </c>
      <c r="AA735" s="675"/>
      <c r="AB735" s="674"/>
    </row>
    <row r="736" spans="1:28" s="301" customFormat="1" ht="36.950000000000003" hidden="1" customHeight="1">
      <c r="A736" s="536"/>
      <c r="B736" s="599" t="s">
        <v>4524</v>
      </c>
      <c r="C736" s="596">
        <f>Data!X3562</f>
        <v>3074.09</v>
      </c>
      <c r="D736" s="305" t="s">
        <v>2308</v>
      </c>
      <c r="E736" s="526"/>
      <c r="F736" s="630">
        <f t="shared" si="240"/>
        <v>0</v>
      </c>
      <c r="G736" s="526"/>
      <c r="H736" s="517">
        <f t="shared" si="245"/>
        <v>0</v>
      </c>
      <c r="I736" s="526"/>
      <c r="J736" s="517">
        <f t="shared" si="246"/>
        <v>0</v>
      </c>
      <c r="K736" s="517"/>
      <c r="L736" s="517"/>
      <c r="M736" s="517"/>
      <c r="N736" s="517"/>
      <c r="O736" s="517"/>
      <c r="P736" s="517"/>
      <c r="Q736" s="517"/>
      <c r="R736" s="517"/>
      <c r="S736" s="517"/>
      <c r="T736" s="517">
        <f t="shared" si="241"/>
        <v>0</v>
      </c>
      <c r="U736" s="526"/>
      <c r="V736" s="517">
        <f t="shared" si="242"/>
        <v>0</v>
      </c>
      <c r="W736" s="632">
        <f t="shared" si="247"/>
        <v>0</v>
      </c>
      <c r="X736" s="517">
        <f t="shared" si="243"/>
        <v>0</v>
      </c>
      <c r="Y736" s="632">
        <f t="shared" si="248"/>
        <v>0</v>
      </c>
      <c r="Z736" s="517">
        <f t="shared" si="249"/>
        <v>0</v>
      </c>
      <c r="AA736" s="675"/>
      <c r="AB736" s="674"/>
    </row>
    <row r="737" spans="1:28" s="301" customFormat="1" ht="36.950000000000003" hidden="1" customHeight="1">
      <c r="A737" s="368"/>
      <c r="B737" s="454" t="s">
        <v>4525</v>
      </c>
      <c r="C737" s="485">
        <f>Data!K3530</f>
        <v>3198.2</v>
      </c>
      <c r="D737" s="305" t="s">
        <v>2308</v>
      </c>
      <c r="E737" s="526"/>
      <c r="F737" s="630">
        <f t="shared" si="240"/>
        <v>0</v>
      </c>
      <c r="G737" s="526"/>
      <c r="H737" s="517">
        <f t="shared" si="245"/>
        <v>0</v>
      </c>
      <c r="I737" s="526"/>
      <c r="J737" s="517">
        <f t="shared" si="246"/>
        <v>0</v>
      </c>
      <c r="K737" s="517"/>
      <c r="L737" s="517"/>
      <c r="M737" s="517"/>
      <c r="N737" s="517"/>
      <c r="O737" s="517"/>
      <c r="P737" s="517"/>
      <c r="Q737" s="517"/>
      <c r="R737" s="517"/>
      <c r="S737" s="517"/>
      <c r="T737" s="517">
        <f t="shared" si="241"/>
        <v>0</v>
      </c>
      <c r="U737" s="526"/>
      <c r="V737" s="517">
        <f t="shared" si="242"/>
        <v>0</v>
      </c>
      <c r="W737" s="632">
        <f t="shared" si="247"/>
        <v>0</v>
      </c>
      <c r="X737" s="517">
        <f t="shared" si="243"/>
        <v>0</v>
      </c>
      <c r="Y737" s="632">
        <f t="shared" si="248"/>
        <v>0</v>
      </c>
      <c r="Z737" s="517">
        <f t="shared" si="249"/>
        <v>0</v>
      </c>
      <c r="AA737" s="675"/>
      <c r="AB737" s="674"/>
    </row>
    <row r="738" spans="1:28" s="301" customFormat="1" ht="36.950000000000003" hidden="1" customHeight="1">
      <c r="A738" s="368"/>
      <c r="B738" s="597" t="s">
        <v>4526</v>
      </c>
      <c r="C738" s="598">
        <f>Data!X3625</f>
        <v>3222.3</v>
      </c>
      <c r="D738" s="554" t="s">
        <v>2308</v>
      </c>
      <c r="E738" s="526"/>
      <c r="F738" s="630">
        <f t="shared" si="240"/>
        <v>0</v>
      </c>
      <c r="G738" s="526"/>
      <c r="H738" s="517">
        <f t="shared" si="245"/>
        <v>0</v>
      </c>
      <c r="I738" s="526"/>
      <c r="J738" s="517">
        <f t="shared" si="246"/>
        <v>0</v>
      </c>
      <c r="K738" s="517"/>
      <c r="L738" s="517"/>
      <c r="M738" s="517"/>
      <c r="N738" s="517"/>
      <c r="O738" s="517"/>
      <c r="P738" s="517"/>
      <c r="Q738" s="517"/>
      <c r="R738" s="517"/>
      <c r="S738" s="517"/>
      <c r="T738" s="517">
        <f t="shared" si="241"/>
        <v>0</v>
      </c>
      <c r="U738" s="526"/>
      <c r="V738" s="517">
        <f t="shared" si="242"/>
        <v>0</v>
      </c>
      <c r="W738" s="632">
        <f t="shared" si="247"/>
        <v>0</v>
      </c>
      <c r="X738" s="517">
        <f t="shared" si="243"/>
        <v>0</v>
      </c>
      <c r="Y738" s="632">
        <f t="shared" si="248"/>
        <v>0</v>
      </c>
      <c r="Z738" s="517">
        <f t="shared" si="249"/>
        <v>0</v>
      </c>
      <c r="AA738" s="675"/>
      <c r="AB738" s="674"/>
    </row>
    <row r="739" spans="1:28" s="301" customFormat="1" hidden="1">
      <c r="A739" s="368"/>
      <c r="B739" s="1200" t="s">
        <v>4527</v>
      </c>
      <c r="C739" s="485">
        <f>Data!K3546</f>
        <v>2939.38</v>
      </c>
      <c r="D739" s="305" t="s">
        <v>2308</v>
      </c>
      <c r="E739" s="526"/>
      <c r="F739" s="1394">
        <f t="shared" si="240"/>
        <v>0</v>
      </c>
      <c r="G739" s="526"/>
      <c r="H739" s="517">
        <f t="shared" si="245"/>
        <v>0</v>
      </c>
      <c r="I739" s="526"/>
      <c r="J739" s="517">
        <f t="shared" si="246"/>
        <v>0</v>
      </c>
      <c r="K739" s="517"/>
      <c r="L739" s="517">
        <f t="shared" ref="L739:L744" si="250">K739*C739</f>
        <v>0</v>
      </c>
      <c r="M739" s="517"/>
      <c r="N739" s="517">
        <f t="shared" ref="N739:N744" si="251">M739*C739</f>
        <v>0</v>
      </c>
      <c r="O739" s="517"/>
      <c r="P739" s="517">
        <f t="shared" ref="P739:P744" si="252">O739*C739</f>
        <v>0</v>
      </c>
      <c r="Q739" s="517"/>
      <c r="R739" s="517"/>
      <c r="S739" s="517"/>
      <c r="T739" s="517">
        <f t="shared" si="241"/>
        <v>0</v>
      </c>
      <c r="U739" s="526"/>
      <c r="V739" s="517">
        <f t="shared" si="242"/>
        <v>0</v>
      </c>
      <c r="W739" s="632" t="e">
        <f>U739+S739+O739+M739+#REF!+K739+I739+G739</f>
        <v>#REF!</v>
      </c>
      <c r="X739" s="517" t="e">
        <f t="shared" si="243"/>
        <v>#REF!</v>
      </c>
      <c r="Y739" s="632" t="e">
        <f t="shared" ref="Y739:Y744" si="253">W739+E739</f>
        <v>#REF!</v>
      </c>
      <c r="Z739" s="517" t="e">
        <f t="shared" si="249"/>
        <v>#REF!</v>
      </c>
      <c r="AA739" s="675"/>
      <c r="AB739" s="674"/>
    </row>
    <row r="740" spans="1:28" s="301" customFormat="1" hidden="1">
      <c r="A740" s="368"/>
      <c r="B740" s="1201" t="s">
        <v>4528</v>
      </c>
      <c r="C740" s="553">
        <f>Data!X3546</f>
        <v>2912.93</v>
      </c>
      <c r="D740" s="554" t="s">
        <v>2308</v>
      </c>
      <c r="E740" s="526"/>
      <c r="F740" s="1394">
        <f t="shared" si="240"/>
        <v>0</v>
      </c>
      <c r="G740" s="526"/>
      <c r="H740" s="517">
        <f t="shared" si="245"/>
        <v>0</v>
      </c>
      <c r="I740" s="526"/>
      <c r="J740" s="517">
        <f t="shared" si="246"/>
        <v>0</v>
      </c>
      <c r="K740" s="517"/>
      <c r="L740" s="517">
        <f t="shared" si="250"/>
        <v>0</v>
      </c>
      <c r="M740" s="517"/>
      <c r="N740" s="517">
        <f t="shared" si="251"/>
        <v>0</v>
      </c>
      <c r="O740" s="517"/>
      <c r="P740" s="517">
        <f t="shared" si="252"/>
        <v>0</v>
      </c>
      <c r="Q740" s="517"/>
      <c r="R740" s="517"/>
      <c r="S740" s="517"/>
      <c r="T740" s="517">
        <f t="shared" si="241"/>
        <v>0</v>
      </c>
      <c r="U740" s="526"/>
      <c r="V740" s="517">
        <f t="shared" si="242"/>
        <v>0</v>
      </c>
      <c r="W740" s="632" t="e">
        <f>U740+S740+O740+M740+#REF!+K740+I740+G740</f>
        <v>#REF!</v>
      </c>
      <c r="X740" s="517" t="e">
        <f t="shared" si="243"/>
        <v>#REF!</v>
      </c>
      <c r="Y740" s="632" t="e">
        <f t="shared" si="253"/>
        <v>#REF!</v>
      </c>
      <c r="Z740" s="517" t="e">
        <f t="shared" si="249"/>
        <v>#REF!</v>
      </c>
      <c r="AA740" s="675"/>
      <c r="AB740" s="674"/>
    </row>
    <row r="741" spans="1:28" s="301" customFormat="1" hidden="1">
      <c r="A741" s="368"/>
      <c r="B741" s="1202" t="s">
        <v>4529</v>
      </c>
      <c r="C741" s="485">
        <f>Data!AG3546</f>
        <v>3002.61</v>
      </c>
      <c r="D741" s="305" t="s">
        <v>2308</v>
      </c>
      <c r="E741" s="526"/>
      <c r="F741" s="1394">
        <f t="shared" si="240"/>
        <v>0</v>
      </c>
      <c r="G741" s="517"/>
      <c r="H741" s="517">
        <f t="shared" si="245"/>
        <v>0</v>
      </c>
      <c r="I741" s="517"/>
      <c r="J741" s="517">
        <f t="shared" si="246"/>
        <v>0</v>
      </c>
      <c r="K741" s="517"/>
      <c r="L741" s="517">
        <f t="shared" si="250"/>
        <v>0</v>
      </c>
      <c r="M741" s="517"/>
      <c r="N741" s="517">
        <f t="shared" si="251"/>
        <v>0</v>
      </c>
      <c r="O741" s="517"/>
      <c r="P741" s="517">
        <f t="shared" si="252"/>
        <v>0</v>
      </c>
      <c r="Q741" s="517"/>
      <c r="R741" s="517"/>
      <c r="S741" s="517"/>
      <c r="T741" s="517">
        <f t="shared" si="241"/>
        <v>0</v>
      </c>
      <c r="U741" s="517"/>
      <c r="V741" s="517">
        <f t="shared" si="242"/>
        <v>0</v>
      </c>
      <c r="W741" s="632" t="e">
        <f>U741+S741+O741+M741+#REF!+K741+I741+G741</f>
        <v>#REF!</v>
      </c>
      <c r="X741" s="517" t="e">
        <f t="shared" si="243"/>
        <v>#REF!</v>
      </c>
      <c r="Y741" s="632" t="e">
        <f t="shared" si="253"/>
        <v>#REF!</v>
      </c>
      <c r="Z741" s="517" t="e">
        <f t="shared" si="249"/>
        <v>#REF!</v>
      </c>
      <c r="AA741" s="675"/>
      <c r="AB741" s="673"/>
    </row>
    <row r="742" spans="1:28" s="301" customFormat="1" hidden="1">
      <c r="A742" s="368"/>
      <c r="B742" s="1203" t="s">
        <v>4802</v>
      </c>
      <c r="C742" s="596">
        <f>Data!AG3562</f>
        <v>2972.99</v>
      </c>
      <c r="D742" s="305" t="s">
        <v>2308</v>
      </c>
      <c r="E742" s="526"/>
      <c r="F742" s="1394">
        <f t="shared" si="240"/>
        <v>0</v>
      </c>
      <c r="G742" s="526"/>
      <c r="H742" s="517">
        <f t="shared" si="245"/>
        <v>0</v>
      </c>
      <c r="I742" s="526"/>
      <c r="J742" s="517">
        <f t="shared" si="246"/>
        <v>0</v>
      </c>
      <c r="K742" s="517"/>
      <c r="L742" s="517">
        <f t="shared" si="250"/>
        <v>0</v>
      </c>
      <c r="M742" s="517"/>
      <c r="N742" s="517">
        <f t="shared" si="251"/>
        <v>0</v>
      </c>
      <c r="O742" s="517"/>
      <c r="P742" s="517">
        <f t="shared" si="252"/>
        <v>0</v>
      </c>
      <c r="Q742" s="517"/>
      <c r="R742" s="517"/>
      <c r="S742" s="517"/>
      <c r="T742" s="517">
        <f t="shared" si="241"/>
        <v>0</v>
      </c>
      <c r="U742" s="526"/>
      <c r="V742" s="517">
        <f t="shared" si="242"/>
        <v>0</v>
      </c>
      <c r="W742" s="632" t="e">
        <f>U742+S742+O742+M742+#REF!+K742+I742+G742</f>
        <v>#REF!</v>
      </c>
      <c r="X742" s="517" t="e">
        <f t="shared" si="243"/>
        <v>#REF!</v>
      </c>
      <c r="Y742" s="632" t="e">
        <f t="shared" si="253"/>
        <v>#REF!</v>
      </c>
      <c r="Z742" s="517" t="e">
        <f t="shared" si="249"/>
        <v>#REF!</v>
      </c>
      <c r="AA742" s="675"/>
      <c r="AB742" s="674"/>
    </row>
    <row r="743" spans="1:28" s="301" customFormat="1" ht="45" hidden="1">
      <c r="A743" s="368"/>
      <c r="B743" s="1166" t="s">
        <v>3627</v>
      </c>
      <c r="C743" s="308">
        <f>Data!K2350</f>
        <v>30.62</v>
      </c>
      <c r="D743" s="310" t="s">
        <v>2308</v>
      </c>
      <c r="E743" s="526"/>
      <c r="F743" s="1394">
        <f t="shared" si="240"/>
        <v>0</v>
      </c>
      <c r="G743" s="526"/>
      <c r="H743" s="517">
        <f t="shared" si="245"/>
        <v>0</v>
      </c>
      <c r="I743" s="526"/>
      <c r="J743" s="517">
        <f t="shared" si="246"/>
        <v>0</v>
      </c>
      <c r="K743" s="517"/>
      <c r="L743" s="517">
        <f t="shared" si="250"/>
        <v>0</v>
      </c>
      <c r="M743" s="517"/>
      <c r="N743" s="517">
        <f t="shared" si="251"/>
        <v>0</v>
      </c>
      <c r="O743" s="517"/>
      <c r="P743" s="517">
        <f t="shared" si="252"/>
        <v>0</v>
      </c>
      <c r="Q743" s="517"/>
      <c r="R743" s="517"/>
      <c r="S743" s="517"/>
      <c r="T743" s="517">
        <f t="shared" si="241"/>
        <v>0</v>
      </c>
      <c r="U743" s="526"/>
      <c r="V743" s="517">
        <f t="shared" si="242"/>
        <v>0</v>
      </c>
      <c r="W743" s="632" t="e">
        <f>U743+S743+O743+M743+#REF!+K743+I743+G743</f>
        <v>#REF!</v>
      </c>
      <c r="X743" s="517" t="e">
        <f t="shared" si="243"/>
        <v>#REF!</v>
      </c>
      <c r="Y743" s="632" t="e">
        <f t="shared" si="253"/>
        <v>#REF!</v>
      </c>
      <c r="Z743" s="517" t="e">
        <f t="shared" si="249"/>
        <v>#REF!</v>
      </c>
      <c r="AA743" s="675"/>
      <c r="AB743" s="674"/>
    </row>
    <row r="744" spans="1:28" s="301" customFormat="1" ht="45" hidden="1">
      <c r="A744" s="368"/>
      <c r="B744" s="1199" t="s">
        <v>3890</v>
      </c>
      <c r="C744" s="308"/>
      <c r="D744" s="310"/>
      <c r="E744" s="512"/>
      <c r="F744" s="1394">
        <f t="shared" si="240"/>
        <v>0</v>
      </c>
      <c r="G744" s="517"/>
      <c r="H744" s="517">
        <f t="shared" si="245"/>
        <v>0</v>
      </c>
      <c r="I744" s="517"/>
      <c r="J744" s="517">
        <f t="shared" si="246"/>
        <v>0</v>
      </c>
      <c r="K744" s="517"/>
      <c r="L744" s="517">
        <f t="shared" si="250"/>
        <v>0</v>
      </c>
      <c r="M744" s="517"/>
      <c r="N744" s="517">
        <f t="shared" si="251"/>
        <v>0</v>
      </c>
      <c r="O744" s="517"/>
      <c r="P744" s="517">
        <f t="shared" si="252"/>
        <v>0</v>
      </c>
      <c r="Q744" s="517"/>
      <c r="R744" s="517"/>
      <c r="S744" s="517"/>
      <c r="T744" s="517">
        <f t="shared" si="241"/>
        <v>0</v>
      </c>
      <c r="U744" s="517"/>
      <c r="V744" s="517">
        <f t="shared" si="242"/>
        <v>0</v>
      </c>
      <c r="W744" s="632" t="e">
        <f>U744+S744+O744+M744+#REF!+K744+I744+G744</f>
        <v>#REF!</v>
      </c>
      <c r="X744" s="517" t="e">
        <f t="shared" si="243"/>
        <v>#REF!</v>
      </c>
      <c r="Y744" s="632" t="e">
        <f t="shared" si="253"/>
        <v>#REF!</v>
      </c>
      <c r="Z744" s="517"/>
      <c r="AA744" s="675"/>
      <c r="AB744" s="673"/>
    </row>
    <row r="745" spans="1:28" s="301" customFormat="1" ht="55.5" hidden="1" customHeight="1">
      <c r="A745" s="368"/>
      <c r="B745" s="320" t="s">
        <v>1270</v>
      </c>
      <c r="C745" s="308">
        <f>Data!AD1194</f>
        <v>1918.17</v>
      </c>
      <c r="D745" s="310" t="s">
        <v>2308</v>
      </c>
      <c r="E745" s="517"/>
      <c r="F745" s="630">
        <f t="shared" si="240"/>
        <v>0</v>
      </c>
      <c r="G745" s="517"/>
      <c r="H745" s="517">
        <f t="shared" si="245"/>
        <v>0</v>
      </c>
      <c r="I745" s="517"/>
      <c r="J745" s="517">
        <f t="shared" si="246"/>
        <v>0</v>
      </c>
      <c r="K745" s="517"/>
      <c r="L745" s="517"/>
      <c r="M745" s="517"/>
      <c r="N745" s="517"/>
      <c r="O745" s="517"/>
      <c r="P745" s="517"/>
      <c r="Q745" s="517"/>
      <c r="R745" s="517"/>
      <c r="S745" s="517"/>
      <c r="T745" s="517">
        <f t="shared" si="241"/>
        <v>0</v>
      </c>
      <c r="U745" s="517"/>
      <c r="V745" s="517">
        <f t="shared" si="242"/>
        <v>0</v>
      </c>
      <c r="W745" s="632">
        <f>I745+S745+U745</f>
        <v>0</v>
      </c>
      <c r="X745" s="517">
        <f t="shared" si="243"/>
        <v>0</v>
      </c>
      <c r="Y745" s="632">
        <f>W745+E745+G745</f>
        <v>0</v>
      </c>
      <c r="Z745" s="517">
        <f t="shared" ref="Z745:Z776" si="254">Y745*C745</f>
        <v>0</v>
      </c>
      <c r="AA745" s="675"/>
      <c r="AB745" s="673"/>
    </row>
    <row r="746" spans="1:28" s="301" customFormat="1" ht="46.5" hidden="1" customHeight="1">
      <c r="A746" s="536"/>
      <c r="B746" s="1177" t="s">
        <v>1406</v>
      </c>
      <c r="C746" s="308">
        <f>Data!AD1195</f>
        <v>1922.44</v>
      </c>
      <c r="D746" s="551" t="s">
        <v>2308</v>
      </c>
      <c r="E746" s="526"/>
      <c r="F746" s="1394">
        <f t="shared" si="240"/>
        <v>0</v>
      </c>
      <c r="G746" s="526"/>
      <c r="H746" s="517">
        <f t="shared" si="245"/>
        <v>0</v>
      </c>
      <c r="I746" s="526"/>
      <c r="J746" s="517">
        <f t="shared" si="246"/>
        <v>0</v>
      </c>
      <c r="K746" s="517"/>
      <c r="L746" s="517">
        <f t="shared" ref="L746:L793" si="255">K746*C746</f>
        <v>0</v>
      </c>
      <c r="M746" s="517"/>
      <c r="N746" s="517">
        <f t="shared" ref="N746:N793" si="256">M746*C746</f>
        <v>0</v>
      </c>
      <c r="O746" s="517"/>
      <c r="P746" s="517">
        <f t="shared" ref="P746:P793" si="257">O746*C746</f>
        <v>0</v>
      </c>
      <c r="Q746" s="517"/>
      <c r="R746" s="517"/>
      <c r="S746" s="517"/>
      <c r="T746" s="517">
        <f t="shared" si="241"/>
        <v>0</v>
      </c>
      <c r="U746" s="526"/>
      <c r="V746" s="517">
        <f t="shared" si="242"/>
        <v>0</v>
      </c>
      <c r="W746" s="632" t="e">
        <f>U746+S746+O746+M746+#REF!+K746+I746+G746</f>
        <v>#REF!</v>
      </c>
      <c r="X746" s="517" t="e">
        <f t="shared" si="243"/>
        <v>#REF!</v>
      </c>
      <c r="Y746" s="632" t="e">
        <f t="shared" ref="Y746:Y793" si="258">W746+E746</f>
        <v>#REF!</v>
      </c>
      <c r="Z746" s="517" t="e">
        <f t="shared" si="254"/>
        <v>#REF!</v>
      </c>
      <c r="AA746" s="675"/>
      <c r="AB746" s="674"/>
    </row>
    <row r="747" spans="1:28" s="301" customFormat="1" hidden="1">
      <c r="A747" s="368"/>
      <c r="B747" s="1166" t="s">
        <v>1455</v>
      </c>
      <c r="C747" s="308">
        <f>Data!AD1196</f>
        <v>1926.71</v>
      </c>
      <c r="D747" s="310" t="s">
        <v>2308</v>
      </c>
      <c r="E747" s="526"/>
      <c r="F747" s="1394">
        <f t="shared" si="240"/>
        <v>0</v>
      </c>
      <c r="G747" s="526"/>
      <c r="H747" s="517">
        <f t="shared" si="245"/>
        <v>0</v>
      </c>
      <c r="I747" s="526"/>
      <c r="J747" s="517">
        <f t="shared" si="246"/>
        <v>0</v>
      </c>
      <c r="K747" s="517"/>
      <c r="L747" s="517">
        <f t="shared" si="255"/>
        <v>0</v>
      </c>
      <c r="M747" s="517"/>
      <c r="N747" s="517">
        <f t="shared" si="256"/>
        <v>0</v>
      </c>
      <c r="O747" s="517"/>
      <c r="P747" s="517">
        <f t="shared" si="257"/>
        <v>0</v>
      </c>
      <c r="Q747" s="517"/>
      <c r="R747" s="517"/>
      <c r="S747" s="517"/>
      <c r="T747" s="517">
        <f t="shared" si="241"/>
        <v>0</v>
      </c>
      <c r="U747" s="526"/>
      <c r="V747" s="517">
        <f t="shared" si="242"/>
        <v>0</v>
      </c>
      <c r="W747" s="632" t="e">
        <f>U747+S747+O747+M747+#REF!+K747+I747+G747</f>
        <v>#REF!</v>
      </c>
      <c r="X747" s="517" t="e">
        <f t="shared" si="243"/>
        <v>#REF!</v>
      </c>
      <c r="Y747" s="632" t="e">
        <f t="shared" si="258"/>
        <v>#REF!</v>
      </c>
      <c r="Z747" s="517" t="e">
        <f t="shared" si="254"/>
        <v>#REF!</v>
      </c>
      <c r="AA747" s="675"/>
      <c r="AB747" s="674"/>
    </row>
    <row r="748" spans="1:28" s="301" customFormat="1" hidden="1">
      <c r="A748" s="368"/>
      <c r="B748" s="1166" t="s">
        <v>1344</v>
      </c>
      <c r="C748" s="308">
        <f>Data!AD1197</f>
        <v>1930.98</v>
      </c>
      <c r="D748" s="310" t="s">
        <v>2308</v>
      </c>
      <c r="E748" s="526"/>
      <c r="F748" s="1394">
        <f t="shared" si="240"/>
        <v>0</v>
      </c>
      <c r="G748" s="526"/>
      <c r="H748" s="517">
        <f t="shared" si="245"/>
        <v>0</v>
      </c>
      <c r="I748" s="526"/>
      <c r="J748" s="517">
        <f t="shared" si="246"/>
        <v>0</v>
      </c>
      <c r="K748" s="517"/>
      <c r="L748" s="517">
        <f t="shared" si="255"/>
        <v>0</v>
      </c>
      <c r="M748" s="517"/>
      <c r="N748" s="517">
        <f t="shared" si="256"/>
        <v>0</v>
      </c>
      <c r="O748" s="517"/>
      <c r="P748" s="517">
        <f t="shared" si="257"/>
        <v>0</v>
      </c>
      <c r="Q748" s="517"/>
      <c r="R748" s="517"/>
      <c r="S748" s="517"/>
      <c r="T748" s="517">
        <f t="shared" si="241"/>
        <v>0</v>
      </c>
      <c r="U748" s="526"/>
      <c r="V748" s="517">
        <f t="shared" si="242"/>
        <v>0</v>
      </c>
      <c r="W748" s="632" t="e">
        <f>U748+S748+O748+M748+#REF!+K748+I748+G748</f>
        <v>#REF!</v>
      </c>
      <c r="X748" s="517" t="e">
        <f t="shared" si="243"/>
        <v>#REF!</v>
      </c>
      <c r="Y748" s="632" t="e">
        <f t="shared" si="258"/>
        <v>#REF!</v>
      </c>
      <c r="Z748" s="517" t="e">
        <f t="shared" si="254"/>
        <v>#REF!</v>
      </c>
      <c r="AA748" s="675"/>
      <c r="AB748" s="674"/>
    </row>
    <row r="749" spans="1:28" s="475" customFormat="1" ht="45" hidden="1">
      <c r="A749" s="464"/>
      <c r="B749" s="1204" t="s">
        <v>4852</v>
      </c>
      <c r="C749" s="511"/>
      <c r="D749" s="524"/>
      <c r="E749" s="512"/>
      <c r="F749" s="1394">
        <f t="shared" si="240"/>
        <v>0</v>
      </c>
      <c r="G749" s="526"/>
      <c r="H749" s="517">
        <f t="shared" si="245"/>
        <v>0</v>
      </c>
      <c r="I749" s="526"/>
      <c r="J749" s="517">
        <f t="shared" si="246"/>
        <v>0</v>
      </c>
      <c r="K749" s="517"/>
      <c r="L749" s="517">
        <f t="shared" si="255"/>
        <v>0</v>
      </c>
      <c r="M749" s="517"/>
      <c r="N749" s="517">
        <f t="shared" si="256"/>
        <v>0</v>
      </c>
      <c r="O749" s="517"/>
      <c r="P749" s="517">
        <f t="shared" si="257"/>
        <v>0</v>
      </c>
      <c r="Q749" s="517"/>
      <c r="R749" s="517"/>
      <c r="S749" s="517"/>
      <c r="T749" s="517">
        <f t="shared" si="241"/>
        <v>0</v>
      </c>
      <c r="U749" s="526"/>
      <c r="V749" s="517">
        <f t="shared" si="242"/>
        <v>0</v>
      </c>
      <c r="W749" s="632" t="e">
        <f>U749+S749+O749+M749+#REF!+K749+I749+G749</f>
        <v>#REF!</v>
      </c>
      <c r="X749" s="517" t="e">
        <f t="shared" si="243"/>
        <v>#REF!</v>
      </c>
      <c r="Y749" s="632" t="e">
        <f t="shared" si="258"/>
        <v>#REF!</v>
      </c>
      <c r="Z749" s="517" t="e">
        <f t="shared" si="254"/>
        <v>#REF!</v>
      </c>
      <c r="AA749" s="674"/>
      <c r="AB749" s="674"/>
    </row>
    <row r="750" spans="1:28" s="475" customFormat="1" hidden="1">
      <c r="A750" s="464"/>
      <c r="B750" s="1172" t="s">
        <v>1270</v>
      </c>
      <c r="C750" s="511">
        <f>Data!AK1194</f>
        <v>1049.08</v>
      </c>
      <c r="D750" s="524" t="s">
        <v>2308</v>
      </c>
      <c r="E750" s="526"/>
      <c r="F750" s="1394">
        <f t="shared" si="240"/>
        <v>0</v>
      </c>
      <c r="G750" s="526"/>
      <c r="H750" s="517">
        <f t="shared" si="245"/>
        <v>0</v>
      </c>
      <c r="I750" s="526"/>
      <c r="J750" s="517">
        <f t="shared" si="246"/>
        <v>0</v>
      </c>
      <c r="K750" s="517"/>
      <c r="L750" s="517">
        <f t="shared" si="255"/>
        <v>0</v>
      </c>
      <c r="M750" s="517"/>
      <c r="N750" s="517">
        <f t="shared" si="256"/>
        <v>0</v>
      </c>
      <c r="O750" s="517"/>
      <c r="P750" s="517">
        <f t="shared" si="257"/>
        <v>0</v>
      </c>
      <c r="Q750" s="517"/>
      <c r="R750" s="517"/>
      <c r="S750" s="517"/>
      <c r="T750" s="517">
        <f t="shared" si="241"/>
        <v>0</v>
      </c>
      <c r="U750" s="526"/>
      <c r="V750" s="517">
        <f t="shared" si="242"/>
        <v>0</v>
      </c>
      <c r="W750" s="632" t="e">
        <f>U750+S750+O750+M750+#REF!+K750+I750+G750</f>
        <v>#REF!</v>
      </c>
      <c r="X750" s="517" t="e">
        <f t="shared" si="243"/>
        <v>#REF!</v>
      </c>
      <c r="Y750" s="632" t="e">
        <f t="shared" si="258"/>
        <v>#REF!</v>
      </c>
      <c r="Z750" s="517" t="e">
        <f t="shared" si="254"/>
        <v>#REF!</v>
      </c>
      <c r="AA750" s="674"/>
      <c r="AB750" s="674"/>
    </row>
    <row r="751" spans="1:28" s="475" customFormat="1" hidden="1">
      <c r="A751" s="464"/>
      <c r="B751" s="1172" t="s">
        <v>1406</v>
      </c>
      <c r="C751" s="511">
        <f>Data!AK1195</f>
        <v>1051.22</v>
      </c>
      <c r="D751" s="524" t="s">
        <v>2308</v>
      </c>
      <c r="E751" s="526"/>
      <c r="F751" s="1394">
        <f t="shared" si="240"/>
        <v>0</v>
      </c>
      <c r="G751" s="526"/>
      <c r="H751" s="517">
        <f t="shared" si="245"/>
        <v>0</v>
      </c>
      <c r="I751" s="526"/>
      <c r="J751" s="517">
        <f t="shared" si="246"/>
        <v>0</v>
      </c>
      <c r="K751" s="517"/>
      <c r="L751" s="517">
        <f t="shared" si="255"/>
        <v>0</v>
      </c>
      <c r="M751" s="517"/>
      <c r="N751" s="517">
        <f t="shared" si="256"/>
        <v>0</v>
      </c>
      <c r="O751" s="517"/>
      <c r="P751" s="517">
        <f t="shared" si="257"/>
        <v>0</v>
      </c>
      <c r="Q751" s="517"/>
      <c r="R751" s="517"/>
      <c r="S751" s="517"/>
      <c r="T751" s="517">
        <f t="shared" si="241"/>
        <v>0</v>
      </c>
      <c r="U751" s="526"/>
      <c r="V751" s="517">
        <f t="shared" si="242"/>
        <v>0</v>
      </c>
      <c r="W751" s="632" t="e">
        <f>U751+S751+O751+M751+#REF!+K751+I751+G751</f>
        <v>#REF!</v>
      </c>
      <c r="X751" s="517" t="e">
        <f t="shared" si="243"/>
        <v>#REF!</v>
      </c>
      <c r="Y751" s="632" t="e">
        <f t="shared" si="258"/>
        <v>#REF!</v>
      </c>
      <c r="Z751" s="517" t="e">
        <f t="shared" si="254"/>
        <v>#REF!</v>
      </c>
      <c r="AA751" s="674"/>
      <c r="AB751" s="674"/>
    </row>
    <row r="752" spans="1:28" s="475" customFormat="1" hidden="1">
      <c r="A752" s="464"/>
      <c r="B752" s="1172" t="s">
        <v>1455</v>
      </c>
      <c r="C752" s="511">
        <f>Data!AK1196</f>
        <v>1053.3599999999999</v>
      </c>
      <c r="D752" s="524" t="s">
        <v>2308</v>
      </c>
      <c r="E752" s="526"/>
      <c r="F752" s="1394">
        <f t="shared" si="240"/>
        <v>0</v>
      </c>
      <c r="G752" s="526"/>
      <c r="H752" s="517">
        <f t="shared" si="245"/>
        <v>0</v>
      </c>
      <c r="I752" s="526"/>
      <c r="J752" s="517">
        <f t="shared" si="246"/>
        <v>0</v>
      </c>
      <c r="K752" s="517"/>
      <c r="L752" s="517">
        <f t="shared" si="255"/>
        <v>0</v>
      </c>
      <c r="M752" s="517"/>
      <c r="N752" s="517">
        <f t="shared" si="256"/>
        <v>0</v>
      </c>
      <c r="O752" s="517"/>
      <c r="P752" s="517">
        <f t="shared" si="257"/>
        <v>0</v>
      </c>
      <c r="Q752" s="517"/>
      <c r="R752" s="517"/>
      <c r="S752" s="517"/>
      <c r="T752" s="517">
        <f t="shared" si="241"/>
        <v>0</v>
      </c>
      <c r="U752" s="526"/>
      <c r="V752" s="517">
        <f t="shared" si="242"/>
        <v>0</v>
      </c>
      <c r="W752" s="632" t="e">
        <f>U752+S752+O752+M752+#REF!+K752+I752+G752</f>
        <v>#REF!</v>
      </c>
      <c r="X752" s="517" t="e">
        <f t="shared" si="243"/>
        <v>#REF!</v>
      </c>
      <c r="Y752" s="632" t="e">
        <f t="shared" si="258"/>
        <v>#REF!</v>
      </c>
      <c r="Z752" s="517" t="e">
        <f t="shared" si="254"/>
        <v>#REF!</v>
      </c>
      <c r="AA752" s="674"/>
      <c r="AB752" s="674"/>
    </row>
    <row r="753" spans="1:28" s="475" customFormat="1" hidden="1">
      <c r="A753" s="464"/>
      <c r="B753" s="1172" t="s">
        <v>4349</v>
      </c>
      <c r="C753" s="511">
        <f>Data!AK1197</f>
        <v>1055.31</v>
      </c>
      <c r="D753" s="524" t="s">
        <v>2308</v>
      </c>
      <c r="E753" s="526"/>
      <c r="F753" s="1394">
        <f t="shared" si="240"/>
        <v>0</v>
      </c>
      <c r="G753" s="526"/>
      <c r="H753" s="517">
        <f t="shared" si="245"/>
        <v>0</v>
      </c>
      <c r="I753" s="526"/>
      <c r="J753" s="517">
        <f t="shared" si="246"/>
        <v>0</v>
      </c>
      <c r="K753" s="517"/>
      <c r="L753" s="517">
        <f t="shared" si="255"/>
        <v>0</v>
      </c>
      <c r="M753" s="517"/>
      <c r="N753" s="517">
        <f t="shared" si="256"/>
        <v>0</v>
      </c>
      <c r="O753" s="517"/>
      <c r="P753" s="517">
        <f t="shared" si="257"/>
        <v>0</v>
      </c>
      <c r="Q753" s="517"/>
      <c r="R753" s="517"/>
      <c r="S753" s="517"/>
      <c r="T753" s="517">
        <f t="shared" si="241"/>
        <v>0</v>
      </c>
      <c r="U753" s="526"/>
      <c r="V753" s="517">
        <f t="shared" si="242"/>
        <v>0</v>
      </c>
      <c r="W753" s="632" t="e">
        <f>U753+S753+O753+M753+#REF!+K753+I753+G753</f>
        <v>#REF!</v>
      </c>
      <c r="X753" s="517" t="e">
        <f t="shared" si="243"/>
        <v>#REF!</v>
      </c>
      <c r="Y753" s="632" t="e">
        <f t="shared" si="258"/>
        <v>#REF!</v>
      </c>
      <c r="Z753" s="517" t="e">
        <f t="shared" si="254"/>
        <v>#REF!</v>
      </c>
      <c r="AA753" s="674"/>
      <c r="AB753" s="674"/>
    </row>
    <row r="754" spans="1:28" s="301" customFormat="1" hidden="1">
      <c r="A754" s="368"/>
      <c r="B754" s="1204" t="s">
        <v>3848</v>
      </c>
      <c r="C754" s="485"/>
      <c r="D754" s="305"/>
      <c r="E754" s="526"/>
      <c r="F754" s="1394">
        <f t="shared" si="240"/>
        <v>0</v>
      </c>
      <c r="G754" s="526"/>
      <c r="H754" s="517">
        <f t="shared" si="245"/>
        <v>0</v>
      </c>
      <c r="I754" s="526"/>
      <c r="J754" s="517">
        <f t="shared" si="246"/>
        <v>0</v>
      </c>
      <c r="K754" s="517"/>
      <c r="L754" s="517">
        <f t="shared" si="255"/>
        <v>0</v>
      </c>
      <c r="M754" s="517"/>
      <c r="N754" s="517">
        <f t="shared" si="256"/>
        <v>0</v>
      </c>
      <c r="O754" s="517"/>
      <c r="P754" s="517">
        <f t="shared" si="257"/>
        <v>0</v>
      </c>
      <c r="Q754" s="517"/>
      <c r="R754" s="517"/>
      <c r="S754" s="517"/>
      <c r="T754" s="517">
        <f t="shared" si="241"/>
        <v>0</v>
      </c>
      <c r="U754" s="526"/>
      <c r="V754" s="517">
        <f t="shared" si="242"/>
        <v>0</v>
      </c>
      <c r="W754" s="632" t="e">
        <f>U754+S754+O754+M754+#REF!+K754+I754+G754</f>
        <v>#REF!</v>
      </c>
      <c r="X754" s="517" t="e">
        <f t="shared" si="243"/>
        <v>#REF!</v>
      </c>
      <c r="Y754" s="632" t="e">
        <f t="shared" si="258"/>
        <v>#REF!</v>
      </c>
      <c r="Z754" s="517" t="e">
        <f t="shared" si="254"/>
        <v>#REF!</v>
      </c>
      <c r="AA754" s="675"/>
      <c r="AB754" s="674"/>
    </row>
    <row r="755" spans="1:28" s="301" customFormat="1" hidden="1">
      <c r="A755" s="368"/>
      <c r="B755" s="1396" t="s">
        <v>4505</v>
      </c>
      <c r="C755" s="485">
        <f>Data!R1483</f>
        <v>4633.6899999999996</v>
      </c>
      <c r="D755" s="305" t="s">
        <v>2308</v>
      </c>
      <c r="E755" s="526"/>
      <c r="F755" s="1394">
        <f t="shared" si="240"/>
        <v>0</v>
      </c>
      <c r="G755" s="526"/>
      <c r="H755" s="517">
        <f t="shared" si="245"/>
        <v>0</v>
      </c>
      <c r="I755" s="526"/>
      <c r="J755" s="517">
        <f t="shared" si="246"/>
        <v>0</v>
      </c>
      <c r="K755" s="517"/>
      <c r="L755" s="517">
        <f t="shared" si="255"/>
        <v>0</v>
      </c>
      <c r="M755" s="517"/>
      <c r="N755" s="517">
        <f t="shared" si="256"/>
        <v>0</v>
      </c>
      <c r="O755" s="517"/>
      <c r="P755" s="517">
        <f t="shared" si="257"/>
        <v>0</v>
      </c>
      <c r="Q755" s="517"/>
      <c r="R755" s="517"/>
      <c r="S755" s="517"/>
      <c r="T755" s="517">
        <f t="shared" si="241"/>
        <v>0</v>
      </c>
      <c r="U755" s="526"/>
      <c r="V755" s="517">
        <f t="shared" si="242"/>
        <v>0</v>
      </c>
      <c r="W755" s="632" t="e">
        <f>U755+S755+O755+M755+#REF!+K755+I755+G755</f>
        <v>#REF!</v>
      </c>
      <c r="X755" s="517" t="e">
        <f t="shared" si="243"/>
        <v>#REF!</v>
      </c>
      <c r="Y755" s="632" t="e">
        <f t="shared" si="258"/>
        <v>#REF!</v>
      </c>
      <c r="Z755" s="517" t="e">
        <f t="shared" si="254"/>
        <v>#REF!</v>
      </c>
      <c r="AA755" s="675"/>
      <c r="AB755" s="674"/>
    </row>
    <row r="756" spans="1:28" s="301" customFormat="1" hidden="1">
      <c r="A756" s="368"/>
      <c r="B756" s="1396" t="s">
        <v>4314</v>
      </c>
      <c r="C756" s="485">
        <f>Data!R1476</f>
        <v>4631</v>
      </c>
      <c r="D756" s="305" t="s">
        <v>2308</v>
      </c>
      <c r="E756" s="526"/>
      <c r="F756" s="1394">
        <f t="shared" si="240"/>
        <v>0</v>
      </c>
      <c r="G756" s="526"/>
      <c r="H756" s="517">
        <f t="shared" si="245"/>
        <v>0</v>
      </c>
      <c r="I756" s="526"/>
      <c r="J756" s="517">
        <f t="shared" si="246"/>
        <v>0</v>
      </c>
      <c r="K756" s="517"/>
      <c r="L756" s="517">
        <f t="shared" si="255"/>
        <v>0</v>
      </c>
      <c r="M756" s="517"/>
      <c r="N756" s="517">
        <f t="shared" si="256"/>
        <v>0</v>
      </c>
      <c r="O756" s="517"/>
      <c r="P756" s="517">
        <f t="shared" si="257"/>
        <v>0</v>
      </c>
      <c r="Q756" s="517"/>
      <c r="R756" s="517"/>
      <c r="S756" s="517"/>
      <c r="T756" s="517">
        <f t="shared" si="241"/>
        <v>0</v>
      </c>
      <c r="U756" s="526"/>
      <c r="V756" s="517">
        <f t="shared" si="242"/>
        <v>0</v>
      </c>
      <c r="W756" s="632" t="e">
        <f>U756+S756+O756+M756+#REF!+K756+I756+G756</f>
        <v>#REF!</v>
      </c>
      <c r="X756" s="517" t="e">
        <f t="shared" si="243"/>
        <v>#REF!</v>
      </c>
      <c r="Y756" s="632" t="e">
        <f t="shared" si="258"/>
        <v>#REF!</v>
      </c>
      <c r="Z756" s="517" t="e">
        <f t="shared" si="254"/>
        <v>#REF!</v>
      </c>
      <c r="AA756" s="675"/>
      <c r="AB756" s="674"/>
    </row>
    <row r="757" spans="1:28" s="301" customFormat="1" hidden="1">
      <c r="A757" s="368"/>
      <c r="B757" s="1396" t="s">
        <v>3849</v>
      </c>
      <c r="C757" s="485">
        <f>Data!R1476</f>
        <v>4631</v>
      </c>
      <c r="D757" s="305" t="s">
        <v>2308</v>
      </c>
      <c r="E757" s="526"/>
      <c r="F757" s="1394">
        <f t="shared" si="240"/>
        <v>0</v>
      </c>
      <c r="G757" s="526"/>
      <c r="H757" s="517">
        <f t="shared" si="245"/>
        <v>0</v>
      </c>
      <c r="I757" s="526"/>
      <c r="J757" s="517">
        <f t="shared" si="246"/>
        <v>0</v>
      </c>
      <c r="K757" s="517"/>
      <c r="L757" s="517">
        <f t="shared" si="255"/>
        <v>0</v>
      </c>
      <c r="M757" s="517"/>
      <c r="N757" s="517">
        <f t="shared" si="256"/>
        <v>0</v>
      </c>
      <c r="O757" s="517"/>
      <c r="P757" s="517">
        <f t="shared" si="257"/>
        <v>0</v>
      </c>
      <c r="Q757" s="517"/>
      <c r="R757" s="517"/>
      <c r="S757" s="517"/>
      <c r="T757" s="517">
        <f t="shared" si="241"/>
        <v>0</v>
      </c>
      <c r="U757" s="526"/>
      <c r="V757" s="517">
        <f t="shared" si="242"/>
        <v>0</v>
      </c>
      <c r="W757" s="632" t="e">
        <f>U757+S757+O757+M757+#REF!+K757+I757+G757</f>
        <v>#REF!</v>
      </c>
      <c r="X757" s="517" t="e">
        <f t="shared" si="243"/>
        <v>#REF!</v>
      </c>
      <c r="Y757" s="632" t="e">
        <f t="shared" si="258"/>
        <v>#REF!</v>
      </c>
      <c r="Z757" s="517" t="e">
        <f t="shared" si="254"/>
        <v>#REF!</v>
      </c>
      <c r="AA757" s="675"/>
      <c r="AB757" s="674"/>
    </row>
    <row r="758" spans="1:28" s="301" customFormat="1" hidden="1">
      <c r="A758" s="368"/>
      <c r="B758" s="1396" t="s">
        <v>4004</v>
      </c>
      <c r="C758" s="485">
        <f>Data!X1444</f>
        <v>4843.93</v>
      </c>
      <c r="D758" s="305" t="s">
        <v>2308</v>
      </c>
      <c r="E758" s="526"/>
      <c r="F758" s="1394">
        <f t="shared" si="240"/>
        <v>0</v>
      </c>
      <c r="G758" s="526"/>
      <c r="H758" s="517">
        <f t="shared" si="245"/>
        <v>0</v>
      </c>
      <c r="I758" s="526"/>
      <c r="J758" s="517">
        <f t="shared" si="246"/>
        <v>0</v>
      </c>
      <c r="K758" s="517"/>
      <c r="L758" s="517">
        <f t="shared" si="255"/>
        <v>0</v>
      </c>
      <c r="M758" s="517"/>
      <c r="N758" s="517">
        <f t="shared" si="256"/>
        <v>0</v>
      </c>
      <c r="O758" s="517"/>
      <c r="P758" s="517">
        <f t="shared" si="257"/>
        <v>0</v>
      </c>
      <c r="Q758" s="517"/>
      <c r="R758" s="517"/>
      <c r="S758" s="517"/>
      <c r="T758" s="517">
        <f t="shared" si="241"/>
        <v>0</v>
      </c>
      <c r="U758" s="526"/>
      <c r="V758" s="517">
        <f t="shared" si="242"/>
        <v>0</v>
      </c>
      <c r="W758" s="632" t="e">
        <f>U758+S758+O758+M758+#REF!+K758+I758+G758</f>
        <v>#REF!</v>
      </c>
      <c r="X758" s="517" t="e">
        <f t="shared" ref="X758:X776" si="259">W758*C758</f>
        <v>#REF!</v>
      </c>
      <c r="Y758" s="632" t="e">
        <f t="shared" si="258"/>
        <v>#REF!</v>
      </c>
      <c r="Z758" s="517" t="e">
        <f t="shared" si="254"/>
        <v>#REF!</v>
      </c>
      <c r="AA758" s="675"/>
      <c r="AB758" s="674"/>
    </row>
    <row r="759" spans="1:28" s="301" customFormat="1" hidden="1">
      <c r="A759" s="649"/>
      <c r="B759" s="1397" t="s">
        <v>4003</v>
      </c>
      <c r="C759" s="313">
        <f>Data!X1437</f>
        <v>5154.1099999999997</v>
      </c>
      <c r="D759" s="658" t="s">
        <v>2308</v>
      </c>
      <c r="E759" s="651"/>
      <c r="F759" s="1394">
        <f t="shared" si="240"/>
        <v>0</v>
      </c>
      <c r="G759" s="651"/>
      <c r="H759" s="517">
        <f t="shared" si="245"/>
        <v>0</v>
      </c>
      <c r="I759" s="651"/>
      <c r="J759" s="517">
        <f t="shared" si="246"/>
        <v>0</v>
      </c>
      <c r="K759" s="654"/>
      <c r="L759" s="517">
        <f t="shared" si="255"/>
        <v>0</v>
      </c>
      <c r="M759" s="654"/>
      <c r="N759" s="517">
        <f t="shared" si="256"/>
        <v>0</v>
      </c>
      <c r="O759" s="654"/>
      <c r="P759" s="517">
        <f t="shared" si="257"/>
        <v>0</v>
      </c>
      <c r="Q759" s="654"/>
      <c r="R759" s="654"/>
      <c r="S759" s="654"/>
      <c r="T759" s="517">
        <f t="shared" si="241"/>
        <v>0</v>
      </c>
      <c r="U759" s="651"/>
      <c r="V759" s="517">
        <f t="shared" si="242"/>
        <v>0</v>
      </c>
      <c r="W759" s="632" t="e">
        <f>U759+S759+O759+M759+#REF!+K759+I759+G759</f>
        <v>#REF!</v>
      </c>
      <c r="X759" s="517" t="e">
        <f t="shared" si="259"/>
        <v>#REF!</v>
      </c>
      <c r="Y759" s="632" t="e">
        <f t="shared" si="258"/>
        <v>#REF!</v>
      </c>
      <c r="Z759" s="517" t="e">
        <f t="shared" si="254"/>
        <v>#REF!</v>
      </c>
      <c r="AA759" s="675"/>
      <c r="AB759" s="674"/>
    </row>
    <row r="760" spans="1:28" s="301" customFormat="1" hidden="1">
      <c r="A760" s="368"/>
      <c r="B760" s="1199" t="str">
        <f>'[6]Bldg+Dev'!$B$566</f>
        <v>Supply &amp; Fixing of MS door  (for lockup door )</v>
      </c>
      <c r="C760" s="513"/>
      <c r="D760" s="634"/>
      <c r="E760" s="526"/>
      <c r="F760" s="1394">
        <f t="shared" si="240"/>
        <v>0</v>
      </c>
      <c r="G760" s="517"/>
      <c r="H760" s="517">
        <f t="shared" si="245"/>
        <v>0</v>
      </c>
      <c r="I760" s="517"/>
      <c r="J760" s="517">
        <f t="shared" si="246"/>
        <v>0</v>
      </c>
      <c r="K760" s="517"/>
      <c r="L760" s="517">
        <f t="shared" si="255"/>
        <v>0</v>
      </c>
      <c r="M760" s="517"/>
      <c r="N760" s="517">
        <f t="shared" si="256"/>
        <v>0</v>
      </c>
      <c r="O760" s="517"/>
      <c r="P760" s="517">
        <f t="shared" si="257"/>
        <v>0</v>
      </c>
      <c r="Q760" s="517"/>
      <c r="R760" s="517"/>
      <c r="S760" s="517"/>
      <c r="T760" s="517">
        <f t="shared" si="241"/>
        <v>0</v>
      </c>
      <c r="U760" s="517"/>
      <c r="V760" s="517">
        <f t="shared" si="242"/>
        <v>0</v>
      </c>
      <c r="W760" s="632" t="e">
        <f>U760+S760+O760+M760+#REF!+K760+I760+G760</f>
        <v>#REF!</v>
      </c>
      <c r="X760" s="517" t="e">
        <f t="shared" si="259"/>
        <v>#REF!</v>
      </c>
      <c r="Y760" s="632" t="e">
        <f t="shared" si="258"/>
        <v>#REF!</v>
      </c>
      <c r="Z760" s="517" t="e">
        <f t="shared" si="254"/>
        <v>#REF!</v>
      </c>
      <c r="AA760" s="675"/>
      <c r="AB760" s="673"/>
    </row>
    <row r="761" spans="1:28" s="301" customFormat="1" hidden="1">
      <c r="A761" s="368"/>
      <c r="B761" s="1166" t="s">
        <v>2075</v>
      </c>
      <c r="C761" s="513">
        <f>Data!K2542</f>
        <v>8458.2000000000007</v>
      </c>
      <c r="D761" s="634" t="s">
        <v>1739</v>
      </c>
      <c r="E761" s="526"/>
      <c r="F761" s="1394">
        <f t="shared" si="240"/>
        <v>0</v>
      </c>
      <c r="G761" s="517"/>
      <c r="H761" s="517">
        <f t="shared" si="245"/>
        <v>0</v>
      </c>
      <c r="I761" s="517"/>
      <c r="J761" s="517">
        <f t="shared" si="246"/>
        <v>0</v>
      </c>
      <c r="K761" s="517"/>
      <c r="L761" s="517">
        <f t="shared" si="255"/>
        <v>0</v>
      </c>
      <c r="M761" s="517"/>
      <c r="N761" s="517">
        <f t="shared" si="256"/>
        <v>0</v>
      </c>
      <c r="O761" s="517"/>
      <c r="P761" s="517">
        <f t="shared" si="257"/>
        <v>0</v>
      </c>
      <c r="Q761" s="517"/>
      <c r="R761" s="517"/>
      <c r="S761" s="517"/>
      <c r="T761" s="517">
        <f t="shared" si="241"/>
        <v>0</v>
      </c>
      <c r="U761" s="517"/>
      <c r="V761" s="517">
        <f t="shared" si="242"/>
        <v>0</v>
      </c>
      <c r="W761" s="632" t="e">
        <f>U761+S761+O761+M761+#REF!+K761+I761+G761</f>
        <v>#REF!</v>
      </c>
      <c r="X761" s="517" t="e">
        <f t="shared" si="259"/>
        <v>#REF!</v>
      </c>
      <c r="Y761" s="632" t="e">
        <f t="shared" si="258"/>
        <v>#REF!</v>
      </c>
      <c r="Z761" s="517" t="e">
        <f t="shared" si="254"/>
        <v>#REF!</v>
      </c>
      <c r="AA761" s="675"/>
      <c r="AB761" s="673"/>
    </row>
    <row r="762" spans="1:28" s="301" customFormat="1" hidden="1">
      <c r="A762" s="649"/>
      <c r="B762" s="1395" t="s">
        <v>602</v>
      </c>
      <c r="C762" s="448">
        <f>Data!K2577</f>
        <v>5510.55</v>
      </c>
      <c r="D762" s="323" t="s">
        <v>1418</v>
      </c>
      <c r="E762" s="651"/>
      <c r="F762" s="1394">
        <f t="shared" si="240"/>
        <v>0</v>
      </c>
      <c r="G762" s="651"/>
      <c r="H762" s="517">
        <f t="shared" si="245"/>
        <v>0</v>
      </c>
      <c r="I762" s="651"/>
      <c r="J762" s="517">
        <f t="shared" si="246"/>
        <v>0</v>
      </c>
      <c r="K762" s="654"/>
      <c r="L762" s="517">
        <f t="shared" si="255"/>
        <v>0</v>
      </c>
      <c r="M762" s="654"/>
      <c r="N762" s="517">
        <f t="shared" si="256"/>
        <v>0</v>
      </c>
      <c r="O762" s="654"/>
      <c r="P762" s="517">
        <f t="shared" si="257"/>
        <v>0</v>
      </c>
      <c r="Q762" s="654"/>
      <c r="R762" s="654"/>
      <c r="S762" s="654"/>
      <c r="T762" s="517">
        <f t="shared" si="241"/>
        <v>0</v>
      </c>
      <c r="U762" s="651"/>
      <c r="V762" s="517">
        <f t="shared" si="242"/>
        <v>0</v>
      </c>
      <c r="W762" s="632" t="e">
        <f>U762+S762+O762+M762+#REF!+K762+I762+G762</f>
        <v>#REF!</v>
      </c>
      <c r="X762" s="517" t="e">
        <f t="shared" si="259"/>
        <v>#REF!</v>
      </c>
      <c r="Y762" s="632" t="e">
        <f t="shared" si="258"/>
        <v>#REF!</v>
      </c>
      <c r="Z762" s="517" t="e">
        <f t="shared" si="254"/>
        <v>#REF!</v>
      </c>
      <c r="AA762" s="675"/>
      <c r="AB762" s="674"/>
    </row>
    <row r="763" spans="1:28" s="301" customFormat="1" ht="67.5" hidden="1">
      <c r="A763" s="368"/>
      <c r="B763" s="1170" t="s">
        <v>3891</v>
      </c>
      <c r="C763" s="513"/>
      <c r="D763" s="634"/>
      <c r="E763" s="526"/>
      <c r="F763" s="1394">
        <f t="shared" si="240"/>
        <v>0</v>
      </c>
      <c r="G763" s="517"/>
      <c r="H763" s="517">
        <f t="shared" si="245"/>
        <v>0</v>
      </c>
      <c r="I763" s="517"/>
      <c r="J763" s="517">
        <f t="shared" si="246"/>
        <v>0</v>
      </c>
      <c r="K763" s="517"/>
      <c r="L763" s="517">
        <f t="shared" si="255"/>
        <v>0</v>
      </c>
      <c r="M763" s="517"/>
      <c r="N763" s="517">
        <f t="shared" si="256"/>
        <v>0</v>
      </c>
      <c r="O763" s="517"/>
      <c r="P763" s="517">
        <f t="shared" si="257"/>
        <v>0</v>
      </c>
      <c r="Q763" s="517"/>
      <c r="R763" s="517"/>
      <c r="S763" s="517"/>
      <c r="T763" s="517">
        <f t="shared" si="241"/>
        <v>0</v>
      </c>
      <c r="U763" s="517"/>
      <c r="V763" s="517">
        <f t="shared" si="242"/>
        <v>0</v>
      </c>
      <c r="W763" s="632" t="e">
        <f>U763+S763+O763+M763+#REF!+K763+I763+G763</f>
        <v>#REF!</v>
      </c>
      <c r="X763" s="517" t="e">
        <f t="shared" si="259"/>
        <v>#REF!</v>
      </c>
      <c r="Y763" s="632" t="e">
        <f t="shared" si="258"/>
        <v>#REF!</v>
      </c>
      <c r="Z763" s="517" t="e">
        <f t="shared" si="254"/>
        <v>#REF!</v>
      </c>
      <c r="AA763" s="675"/>
      <c r="AB763" s="673"/>
    </row>
    <row r="764" spans="1:28" s="301" customFormat="1" hidden="1">
      <c r="A764" s="536"/>
      <c r="B764" s="1173" t="s">
        <v>2232</v>
      </c>
      <c r="C764" s="452">
        <f>Data!K2470</f>
        <v>3840.75</v>
      </c>
      <c r="D764" s="551" t="s">
        <v>2308</v>
      </c>
      <c r="E764" s="668"/>
      <c r="F764" s="1394">
        <f t="shared" si="240"/>
        <v>0</v>
      </c>
      <c r="G764" s="668"/>
      <c r="H764" s="517">
        <f t="shared" si="245"/>
        <v>0</v>
      </c>
      <c r="I764" s="668"/>
      <c r="J764" s="517">
        <f t="shared" si="246"/>
        <v>0</v>
      </c>
      <c r="K764" s="682"/>
      <c r="L764" s="517">
        <f t="shared" si="255"/>
        <v>0</v>
      </c>
      <c r="M764" s="682"/>
      <c r="N764" s="517">
        <f t="shared" si="256"/>
        <v>0</v>
      </c>
      <c r="O764" s="682"/>
      <c r="P764" s="517">
        <f t="shared" si="257"/>
        <v>0</v>
      </c>
      <c r="Q764" s="682"/>
      <c r="R764" s="682"/>
      <c r="S764" s="682"/>
      <c r="T764" s="517">
        <f t="shared" si="241"/>
        <v>0</v>
      </c>
      <c r="U764" s="668"/>
      <c r="V764" s="517">
        <f t="shared" si="242"/>
        <v>0</v>
      </c>
      <c r="W764" s="632" t="e">
        <f>U764+S764+O764+M764+#REF!+K764+I764+G764</f>
        <v>#REF!</v>
      </c>
      <c r="X764" s="517" t="e">
        <f t="shared" si="259"/>
        <v>#REF!</v>
      </c>
      <c r="Y764" s="632" t="e">
        <f t="shared" si="258"/>
        <v>#REF!</v>
      </c>
      <c r="Z764" s="517" t="e">
        <f t="shared" si="254"/>
        <v>#REF!</v>
      </c>
      <c r="AA764" s="675"/>
      <c r="AB764" s="674"/>
    </row>
    <row r="765" spans="1:28" s="301" customFormat="1" ht="45" hidden="1">
      <c r="A765" s="368"/>
      <c r="B765" s="1172" t="s">
        <v>4503</v>
      </c>
      <c r="C765" s="485">
        <f>Data!J3856</f>
        <v>4173.82</v>
      </c>
      <c r="D765" s="455" t="s">
        <v>2308</v>
      </c>
      <c r="E765" s="526"/>
      <c r="F765" s="1394">
        <f t="shared" si="240"/>
        <v>0</v>
      </c>
      <c r="G765" s="526"/>
      <c r="H765" s="517">
        <f t="shared" si="245"/>
        <v>0</v>
      </c>
      <c r="I765" s="526"/>
      <c r="J765" s="517">
        <f t="shared" si="246"/>
        <v>0</v>
      </c>
      <c r="K765" s="517"/>
      <c r="L765" s="517">
        <f t="shared" si="255"/>
        <v>0</v>
      </c>
      <c r="M765" s="517"/>
      <c r="N765" s="517">
        <f t="shared" si="256"/>
        <v>0</v>
      </c>
      <c r="O765" s="517"/>
      <c r="P765" s="517">
        <f t="shared" si="257"/>
        <v>0</v>
      </c>
      <c r="Q765" s="517"/>
      <c r="R765" s="517"/>
      <c r="S765" s="517"/>
      <c r="T765" s="517">
        <f t="shared" si="241"/>
        <v>0</v>
      </c>
      <c r="U765" s="526"/>
      <c r="V765" s="517">
        <f t="shared" si="242"/>
        <v>0</v>
      </c>
      <c r="W765" s="632" t="e">
        <f>U765+S765+O765+M765+#REF!+K765+I765+G765</f>
        <v>#REF!</v>
      </c>
      <c r="X765" s="517" t="e">
        <f t="shared" si="259"/>
        <v>#REF!</v>
      </c>
      <c r="Y765" s="632" t="e">
        <f t="shared" si="258"/>
        <v>#REF!</v>
      </c>
      <c r="Z765" s="517" t="e">
        <f t="shared" si="254"/>
        <v>#REF!</v>
      </c>
      <c r="AA765" s="675"/>
      <c r="AB765" s="674"/>
    </row>
    <row r="766" spans="1:28" s="301" customFormat="1" ht="45" hidden="1">
      <c r="A766" s="368"/>
      <c r="B766" s="1172" t="s">
        <v>4504</v>
      </c>
      <c r="C766" s="485">
        <f>Data!R2518</f>
        <v>3884.75</v>
      </c>
      <c r="D766" s="455" t="s">
        <v>2308</v>
      </c>
      <c r="E766" s="526"/>
      <c r="F766" s="1394">
        <f t="shared" si="240"/>
        <v>0</v>
      </c>
      <c r="G766" s="526"/>
      <c r="H766" s="517">
        <f t="shared" si="245"/>
        <v>0</v>
      </c>
      <c r="I766" s="526"/>
      <c r="J766" s="517">
        <f t="shared" si="246"/>
        <v>0</v>
      </c>
      <c r="K766" s="517"/>
      <c r="L766" s="517">
        <f t="shared" si="255"/>
        <v>0</v>
      </c>
      <c r="M766" s="517"/>
      <c r="N766" s="517">
        <f t="shared" si="256"/>
        <v>0</v>
      </c>
      <c r="O766" s="517"/>
      <c r="P766" s="517">
        <f t="shared" si="257"/>
        <v>0</v>
      </c>
      <c r="Q766" s="517"/>
      <c r="R766" s="517"/>
      <c r="S766" s="517"/>
      <c r="T766" s="517">
        <f t="shared" si="241"/>
        <v>0</v>
      </c>
      <c r="U766" s="526"/>
      <c r="V766" s="517">
        <f t="shared" si="242"/>
        <v>0</v>
      </c>
      <c r="W766" s="632" t="e">
        <f>U766+S766+O766+M766+#REF!+K766+I766+G766</f>
        <v>#REF!</v>
      </c>
      <c r="X766" s="517" t="e">
        <f t="shared" si="259"/>
        <v>#REF!</v>
      </c>
      <c r="Y766" s="632" t="e">
        <f t="shared" si="258"/>
        <v>#REF!</v>
      </c>
      <c r="Z766" s="517" t="e">
        <f t="shared" si="254"/>
        <v>#REF!</v>
      </c>
      <c r="AA766" s="675"/>
      <c r="AB766" s="674"/>
    </row>
    <row r="767" spans="1:28" s="301" customFormat="1" ht="45" hidden="1">
      <c r="A767" s="368"/>
      <c r="B767" s="1172" t="s">
        <v>4189</v>
      </c>
      <c r="C767" s="485">
        <f>Data!J3877</f>
        <v>4106.45</v>
      </c>
      <c r="D767" s="455" t="s">
        <v>2308</v>
      </c>
      <c r="E767" s="526"/>
      <c r="F767" s="1394">
        <f t="shared" si="240"/>
        <v>0</v>
      </c>
      <c r="G767" s="526"/>
      <c r="H767" s="517">
        <f t="shared" si="245"/>
        <v>0</v>
      </c>
      <c r="I767" s="526"/>
      <c r="J767" s="517">
        <f t="shared" si="246"/>
        <v>0</v>
      </c>
      <c r="K767" s="517"/>
      <c r="L767" s="517">
        <f t="shared" si="255"/>
        <v>0</v>
      </c>
      <c r="M767" s="517"/>
      <c r="N767" s="517">
        <f t="shared" si="256"/>
        <v>0</v>
      </c>
      <c r="O767" s="517"/>
      <c r="P767" s="517">
        <f t="shared" si="257"/>
        <v>0</v>
      </c>
      <c r="Q767" s="517"/>
      <c r="R767" s="517"/>
      <c r="S767" s="517"/>
      <c r="T767" s="517">
        <f t="shared" si="241"/>
        <v>0</v>
      </c>
      <c r="U767" s="526"/>
      <c r="V767" s="517">
        <f t="shared" si="242"/>
        <v>0</v>
      </c>
      <c r="W767" s="632" t="e">
        <f>U767+S767+O767+M767+#REF!+K767+I767+G767</f>
        <v>#REF!</v>
      </c>
      <c r="X767" s="517" t="e">
        <f t="shared" si="259"/>
        <v>#REF!</v>
      </c>
      <c r="Y767" s="632" t="e">
        <f t="shared" si="258"/>
        <v>#REF!</v>
      </c>
      <c r="Z767" s="517" t="e">
        <f t="shared" si="254"/>
        <v>#REF!</v>
      </c>
      <c r="AA767" s="675"/>
      <c r="AB767" s="674"/>
    </row>
    <row r="768" spans="1:28" hidden="1">
      <c r="A768" s="368"/>
      <c r="B768" s="1172" t="s">
        <v>603</v>
      </c>
      <c r="C768" s="513">
        <f>C963</f>
        <v>4366.33</v>
      </c>
      <c r="D768" s="634" t="s">
        <v>2308</v>
      </c>
      <c r="E768" s="526"/>
      <c r="F768" s="1394">
        <f t="shared" si="240"/>
        <v>0</v>
      </c>
      <c r="G768" s="517"/>
      <c r="H768" s="517">
        <f t="shared" si="245"/>
        <v>0</v>
      </c>
      <c r="I768" s="517"/>
      <c r="J768" s="517">
        <f t="shared" si="246"/>
        <v>0</v>
      </c>
      <c r="K768" s="517"/>
      <c r="L768" s="517">
        <f t="shared" si="255"/>
        <v>0</v>
      </c>
      <c r="M768" s="517"/>
      <c r="N768" s="517">
        <f t="shared" si="256"/>
        <v>0</v>
      </c>
      <c r="O768" s="517"/>
      <c r="P768" s="517">
        <f t="shared" si="257"/>
        <v>0</v>
      </c>
      <c r="Q768" s="517"/>
      <c r="R768" s="517"/>
      <c r="S768" s="517"/>
      <c r="T768" s="517">
        <f t="shared" si="241"/>
        <v>0</v>
      </c>
      <c r="U768" s="517"/>
      <c r="V768" s="517">
        <f t="shared" si="242"/>
        <v>0</v>
      </c>
      <c r="W768" s="632" t="e">
        <f>U768+S768+O768+M768+#REF!+K768+I768+G768</f>
        <v>#REF!</v>
      </c>
      <c r="X768" s="517" t="e">
        <f t="shared" si="259"/>
        <v>#REF!</v>
      </c>
      <c r="Y768" s="632" t="e">
        <f t="shared" si="258"/>
        <v>#REF!</v>
      </c>
      <c r="Z768" s="517" t="e">
        <f t="shared" si="254"/>
        <v>#REF!</v>
      </c>
      <c r="AA768" s="673"/>
      <c r="AB768" s="673"/>
    </row>
    <row r="769" spans="1:28" s="301" customFormat="1" hidden="1">
      <c r="A769" s="368"/>
      <c r="B769" s="1172" t="s">
        <v>1925</v>
      </c>
      <c r="C769" s="308">
        <f>Abs!C964</f>
        <v>4626.8100000000004</v>
      </c>
      <c r="D769" s="310" t="s">
        <v>2308</v>
      </c>
      <c r="E769" s="526"/>
      <c r="F769" s="1394">
        <f t="shared" si="240"/>
        <v>0</v>
      </c>
      <c r="G769" s="526"/>
      <c r="H769" s="517">
        <f t="shared" si="245"/>
        <v>0</v>
      </c>
      <c r="I769" s="526"/>
      <c r="J769" s="517">
        <f t="shared" si="246"/>
        <v>0</v>
      </c>
      <c r="K769" s="517"/>
      <c r="L769" s="517">
        <f t="shared" si="255"/>
        <v>0</v>
      </c>
      <c r="M769" s="517"/>
      <c r="N769" s="517">
        <f t="shared" si="256"/>
        <v>0</v>
      </c>
      <c r="O769" s="517"/>
      <c r="P769" s="517">
        <f t="shared" si="257"/>
        <v>0</v>
      </c>
      <c r="Q769" s="517"/>
      <c r="R769" s="517"/>
      <c r="S769" s="517"/>
      <c r="T769" s="517">
        <f t="shared" si="241"/>
        <v>0</v>
      </c>
      <c r="U769" s="526"/>
      <c r="V769" s="517">
        <f t="shared" si="242"/>
        <v>0</v>
      </c>
      <c r="W769" s="632" t="e">
        <f>U769+S769+O769+M769+#REF!+K769+I769+G769</f>
        <v>#REF!</v>
      </c>
      <c r="X769" s="517" t="e">
        <f t="shared" si="259"/>
        <v>#REF!</v>
      </c>
      <c r="Y769" s="632" t="e">
        <f t="shared" si="258"/>
        <v>#REF!</v>
      </c>
      <c r="Z769" s="517" t="e">
        <f t="shared" si="254"/>
        <v>#REF!</v>
      </c>
      <c r="AA769" s="675"/>
      <c r="AB769" s="674"/>
    </row>
    <row r="770" spans="1:28" s="301" customFormat="1" hidden="1">
      <c r="A770" s="368"/>
      <c r="B770" s="1172" t="s">
        <v>2231</v>
      </c>
      <c r="C770" s="308">
        <f>C965</f>
        <v>3984.57</v>
      </c>
      <c r="D770" s="310" t="s">
        <v>2308</v>
      </c>
      <c r="E770" s="526"/>
      <c r="F770" s="1394">
        <f t="shared" si="240"/>
        <v>0</v>
      </c>
      <c r="G770" s="526"/>
      <c r="H770" s="517">
        <f t="shared" si="245"/>
        <v>0</v>
      </c>
      <c r="I770" s="526"/>
      <c r="J770" s="517">
        <f t="shared" si="246"/>
        <v>0</v>
      </c>
      <c r="K770" s="517"/>
      <c r="L770" s="517">
        <f t="shared" si="255"/>
        <v>0</v>
      </c>
      <c r="M770" s="517"/>
      <c r="N770" s="517">
        <f t="shared" si="256"/>
        <v>0</v>
      </c>
      <c r="O770" s="517"/>
      <c r="P770" s="517">
        <f t="shared" si="257"/>
        <v>0</v>
      </c>
      <c r="Q770" s="517"/>
      <c r="R770" s="517"/>
      <c r="S770" s="517"/>
      <c r="T770" s="517">
        <f t="shared" si="241"/>
        <v>0</v>
      </c>
      <c r="U770" s="526"/>
      <c r="V770" s="517">
        <f t="shared" si="242"/>
        <v>0</v>
      </c>
      <c r="W770" s="632" t="e">
        <f>U770+S770+O770+M770+#REF!+K770+I770+G770</f>
        <v>#REF!</v>
      </c>
      <c r="X770" s="517" t="e">
        <f t="shared" si="259"/>
        <v>#REF!</v>
      </c>
      <c r="Y770" s="632" t="e">
        <f t="shared" si="258"/>
        <v>#REF!</v>
      </c>
      <c r="Z770" s="517" t="e">
        <f t="shared" si="254"/>
        <v>#REF!</v>
      </c>
      <c r="AA770" s="675"/>
      <c r="AB770" s="674"/>
    </row>
    <row r="771" spans="1:28" s="301" customFormat="1" ht="43.5" hidden="1">
      <c r="A771" s="368"/>
      <c r="B771" s="1185" t="s">
        <v>4200</v>
      </c>
      <c r="C771" s="313">
        <v>61.8</v>
      </c>
      <c r="D771" s="323" t="s">
        <v>1418</v>
      </c>
      <c r="E771" s="526"/>
      <c r="F771" s="1394">
        <f t="shared" si="240"/>
        <v>0</v>
      </c>
      <c r="G771" s="526"/>
      <c r="H771" s="517">
        <f t="shared" si="245"/>
        <v>0</v>
      </c>
      <c r="I771" s="526"/>
      <c r="J771" s="517">
        <f t="shared" si="246"/>
        <v>0</v>
      </c>
      <c r="K771" s="517"/>
      <c r="L771" s="517">
        <f t="shared" si="255"/>
        <v>0</v>
      </c>
      <c r="M771" s="517"/>
      <c r="N771" s="517">
        <f t="shared" si="256"/>
        <v>0</v>
      </c>
      <c r="O771" s="517"/>
      <c r="P771" s="517">
        <f t="shared" si="257"/>
        <v>0</v>
      </c>
      <c r="Q771" s="517"/>
      <c r="R771" s="517"/>
      <c r="S771" s="517"/>
      <c r="T771" s="517">
        <f t="shared" si="241"/>
        <v>0</v>
      </c>
      <c r="U771" s="526"/>
      <c r="V771" s="517">
        <f t="shared" si="242"/>
        <v>0</v>
      </c>
      <c r="W771" s="632" t="e">
        <f>U771+S771+O771+M771+#REF!+K771+I771+G771</f>
        <v>#REF!</v>
      </c>
      <c r="X771" s="517" t="e">
        <f t="shared" si="259"/>
        <v>#REF!</v>
      </c>
      <c r="Y771" s="632" t="e">
        <f t="shared" si="258"/>
        <v>#REF!</v>
      </c>
      <c r="Z771" s="517" t="e">
        <f t="shared" si="254"/>
        <v>#REF!</v>
      </c>
      <c r="AA771" s="675"/>
      <c r="AB771" s="674"/>
    </row>
    <row r="772" spans="1:28" s="301" customFormat="1" ht="45" hidden="1">
      <c r="A772" s="368"/>
      <c r="B772" s="1166" t="s">
        <v>3674</v>
      </c>
      <c r="C772" s="485">
        <v>405</v>
      </c>
      <c r="D772" s="486" t="s">
        <v>835</v>
      </c>
      <c r="E772" s="526"/>
      <c r="F772" s="1392">
        <f t="shared" si="240"/>
        <v>0</v>
      </c>
      <c r="G772" s="526"/>
      <c r="H772" s="517">
        <f t="shared" si="245"/>
        <v>0</v>
      </c>
      <c r="I772" s="526"/>
      <c r="J772" s="517">
        <f t="shared" si="246"/>
        <v>0</v>
      </c>
      <c r="K772" s="517"/>
      <c r="L772" s="517">
        <f t="shared" si="255"/>
        <v>0</v>
      </c>
      <c r="M772" s="517"/>
      <c r="N772" s="517">
        <f t="shared" si="256"/>
        <v>0</v>
      </c>
      <c r="O772" s="517"/>
      <c r="P772" s="517">
        <f t="shared" si="257"/>
        <v>0</v>
      </c>
      <c r="Q772" s="517"/>
      <c r="R772" s="517"/>
      <c r="S772" s="517"/>
      <c r="T772" s="517">
        <f t="shared" si="241"/>
        <v>0</v>
      </c>
      <c r="U772" s="526"/>
      <c r="V772" s="517">
        <f t="shared" si="242"/>
        <v>0</v>
      </c>
      <c r="W772" s="632" t="e">
        <f>U772+S772+O772+M772+#REF!+K772+I772+G772</f>
        <v>#REF!</v>
      </c>
      <c r="X772" s="517" t="e">
        <f t="shared" si="259"/>
        <v>#REF!</v>
      </c>
      <c r="Y772" s="632" t="e">
        <f t="shared" si="258"/>
        <v>#REF!</v>
      </c>
      <c r="Z772" s="517" t="e">
        <f t="shared" si="254"/>
        <v>#REF!</v>
      </c>
      <c r="AA772" s="675"/>
      <c r="AB772" s="674"/>
    </row>
    <row r="773" spans="1:28" s="301" customFormat="1" ht="45" hidden="1">
      <c r="A773" s="368"/>
      <c r="B773" s="1166" t="s">
        <v>3679</v>
      </c>
      <c r="C773" s="309">
        <v>325</v>
      </c>
      <c r="D773" s="440" t="s">
        <v>2308</v>
      </c>
      <c r="E773" s="526"/>
      <c r="F773" s="1392">
        <f t="shared" si="240"/>
        <v>0</v>
      </c>
      <c r="G773" s="526"/>
      <c r="H773" s="517">
        <f t="shared" si="245"/>
        <v>0</v>
      </c>
      <c r="I773" s="526"/>
      <c r="J773" s="517">
        <f t="shared" si="246"/>
        <v>0</v>
      </c>
      <c r="K773" s="517"/>
      <c r="L773" s="517">
        <f t="shared" si="255"/>
        <v>0</v>
      </c>
      <c r="M773" s="517"/>
      <c r="N773" s="517">
        <f t="shared" si="256"/>
        <v>0</v>
      </c>
      <c r="O773" s="517"/>
      <c r="P773" s="517">
        <f t="shared" si="257"/>
        <v>0</v>
      </c>
      <c r="Q773" s="517"/>
      <c r="R773" s="517"/>
      <c r="S773" s="517"/>
      <c r="T773" s="517">
        <f t="shared" si="241"/>
        <v>0</v>
      </c>
      <c r="U773" s="526"/>
      <c r="V773" s="517">
        <f t="shared" si="242"/>
        <v>0</v>
      </c>
      <c r="W773" s="632" t="e">
        <f>U773+S773+O773+M773+#REF!+K773+I773+G773</f>
        <v>#REF!</v>
      </c>
      <c r="X773" s="517" t="e">
        <f t="shared" si="259"/>
        <v>#REF!</v>
      </c>
      <c r="Y773" s="632" t="e">
        <f t="shared" si="258"/>
        <v>#REF!</v>
      </c>
      <c r="Z773" s="517" t="e">
        <f t="shared" si="254"/>
        <v>#REF!</v>
      </c>
      <c r="AA773" s="675"/>
      <c r="AB773" s="674"/>
    </row>
    <row r="774" spans="1:28" s="301" customFormat="1">
      <c r="A774" s="1608"/>
      <c r="B774" s="1166" t="s">
        <v>3680</v>
      </c>
      <c r="C774" s="1703">
        <v>35</v>
      </c>
      <c r="D774" s="1704" t="s">
        <v>2308</v>
      </c>
      <c r="E774" s="1616"/>
      <c r="F774" s="1633">
        <f t="shared" si="240"/>
        <v>0</v>
      </c>
      <c r="G774" s="1616"/>
      <c r="H774" s="1618">
        <f t="shared" si="245"/>
        <v>0</v>
      </c>
      <c r="I774" s="1616"/>
      <c r="J774" s="1618">
        <f t="shared" si="246"/>
        <v>0</v>
      </c>
      <c r="K774" s="1618"/>
      <c r="L774" s="1618">
        <f t="shared" si="255"/>
        <v>0</v>
      </c>
      <c r="M774" s="1618"/>
      <c r="N774" s="1618">
        <f t="shared" si="256"/>
        <v>0</v>
      </c>
      <c r="O774" s="1618"/>
      <c r="P774" s="1618">
        <f t="shared" si="257"/>
        <v>0</v>
      </c>
      <c r="Q774" s="1618"/>
      <c r="R774" s="1618">
        <f t="shared" ref="R774:R793" si="260">Q774*C774</f>
        <v>0</v>
      </c>
      <c r="S774" s="1618"/>
      <c r="T774" s="1618">
        <f t="shared" si="241"/>
        <v>0</v>
      </c>
      <c r="U774" s="1616"/>
      <c r="V774" s="1618">
        <f t="shared" si="242"/>
        <v>0</v>
      </c>
      <c r="W774" s="1619" t="e">
        <f>U774+S774+O774+M774+#REF!+K774+I774+G774+Q774</f>
        <v>#REF!</v>
      </c>
      <c r="X774" s="1618" t="e">
        <f t="shared" si="259"/>
        <v>#REF!</v>
      </c>
      <c r="Y774" s="1619" t="e">
        <f t="shared" si="258"/>
        <v>#REF!</v>
      </c>
      <c r="Z774" s="1618" t="e">
        <f t="shared" si="254"/>
        <v>#REF!</v>
      </c>
      <c r="AA774" s="675"/>
      <c r="AB774" s="674"/>
    </row>
    <row r="775" spans="1:28" s="301" customFormat="1">
      <c r="A775" s="1608"/>
      <c r="B775" s="1189" t="s">
        <v>6004</v>
      </c>
      <c r="C775" s="1705">
        <f>Data!AG3112</f>
        <v>467</v>
      </c>
      <c r="D775" s="1706" t="s">
        <v>1418</v>
      </c>
      <c r="E775" s="1616">
        <f>station!I1467</f>
        <v>12</v>
      </c>
      <c r="F775" s="1633">
        <f t="shared" ref="F775:F839" si="261">E775*C775</f>
        <v>5604</v>
      </c>
      <c r="G775" s="1618"/>
      <c r="H775" s="1618">
        <f t="shared" si="245"/>
        <v>0</v>
      </c>
      <c r="I775" s="1618"/>
      <c r="J775" s="1618">
        <f t="shared" si="246"/>
        <v>0</v>
      </c>
      <c r="K775" s="1618"/>
      <c r="L775" s="1618">
        <f t="shared" si="255"/>
        <v>0</v>
      </c>
      <c r="M775" s="1618"/>
      <c r="N775" s="1618">
        <f t="shared" si="256"/>
        <v>0</v>
      </c>
      <c r="O775" s="1618"/>
      <c r="P775" s="1618">
        <f t="shared" si="257"/>
        <v>0</v>
      </c>
      <c r="Q775" s="1618"/>
      <c r="R775" s="1618">
        <f t="shared" si="260"/>
        <v>0</v>
      </c>
      <c r="S775" s="1618"/>
      <c r="T775" s="1618">
        <f t="shared" si="241"/>
        <v>0</v>
      </c>
      <c r="U775" s="1618"/>
      <c r="V775" s="1618">
        <f t="shared" si="242"/>
        <v>0</v>
      </c>
      <c r="W775" s="1619" t="e">
        <f>U775+S775+O775+M775+#REF!+K775+I775+G775+Q775</f>
        <v>#REF!</v>
      </c>
      <c r="X775" s="1618" t="e">
        <f t="shared" si="259"/>
        <v>#REF!</v>
      </c>
      <c r="Y775" s="1619" t="e">
        <f t="shared" si="258"/>
        <v>#REF!</v>
      </c>
      <c r="Z775" s="1618" t="e">
        <f t="shared" si="254"/>
        <v>#REF!</v>
      </c>
      <c r="AA775" s="675"/>
      <c r="AB775" s="673"/>
    </row>
    <row r="776" spans="1:28" s="301" customFormat="1">
      <c r="A776" s="1608"/>
      <c r="B776" s="1189" t="s">
        <v>6005</v>
      </c>
      <c r="C776" s="1705">
        <f>Data!AH3112</f>
        <v>419</v>
      </c>
      <c r="D776" s="1706" t="s">
        <v>1418</v>
      </c>
      <c r="E776" s="1616">
        <f>station!I1469</f>
        <v>12</v>
      </c>
      <c r="F776" s="1633">
        <f t="shared" si="261"/>
        <v>5028</v>
      </c>
      <c r="G776" s="1618"/>
      <c r="H776" s="1618">
        <f t="shared" si="245"/>
        <v>0</v>
      </c>
      <c r="I776" s="1618"/>
      <c r="J776" s="1618">
        <f t="shared" si="246"/>
        <v>0</v>
      </c>
      <c r="K776" s="1618"/>
      <c r="L776" s="1618">
        <f t="shared" si="255"/>
        <v>0</v>
      </c>
      <c r="M776" s="1618"/>
      <c r="N776" s="1618">
        <f t="shared" si="256"/>
        <v>0</v>
      </c>
      <c r="O776" s="1618"/>
      <c r="P776" s="1618">
        <f t="shared" si="257"/>
        <v>0</v>
      </c>
      <c r="Q776" s="1618"/>
      <c r="R776" s="1618">
        <f t="shared" si="260"/>
        <v>0</v>
      </c>
      <c r="S776" s="1618"/>
      <c r="T776" s="1618">
        <f t="shared" si="241"/>
        <v>0</v>
      </c>
      <c r="U776" s="1618"/>
      <c r="V776" s="1618">
        <f t="shared" si="242"/>
        <v>0</v>
      </c>
      <c r="W776" s="1619" t="e">
        <f>U776+S776+O776+M776+#REF!+K776+I776+G776+Q776</f>
        <v>#REF!</v>
      </c>
      <c r="X776" s="1618" t="e">
        <f t="shared" si="259"/>
        <v>#REF!</v>
      </c>
      <c r="Y776" s="1619" t="e">
        <f t="shared" si="258"/>
        <v>#REF!</v>
      </c>
      <c r="Z776" s="1618" t="e">
        <f t="shared" si="254"/>
        <v>#REF!</v>
      </c>
      <c r="AA776" s="675"/>
      <c r="AB776" s="673"/>
    </row>
    <row r="777" spans="1:28" s="301" customFormat="1">
      <c r="A777" s="1608"/>
      <c r="B777" s="1189" t="s">
        <v>5856</v>
      </c>
      <c r="C777" s="1705">
        <f>Data!K2412</f>
        <v>2016.25</v>
      </c>
      <c r="D777" s="1706" t="s">
        <v>1418</v>
      </c>
      <c r="E777" s="1616">
        <f>station!I1471</f>
        <v>4</v>
      </c>
      <c r="F777" s="1633">
        <f t="shared" si="261"/>
        <v>8065</v>
      </c>
      <c r="G777" s="1618"/>
      <c r="H777" s="1618">
        <f t="shared" si="245"/>
        <v>0</v>
      </c>
      <c r="I777" s="1618"/>
      <c r="J777" s="1618">
        <f t="shared" si="246"/>
        <v>0</v>
      </c>
      <c r="K777" s="1618"/>
      <c r="L777" s="1618">
        <f t="shared" si="255"/>
        <v>0</v>
      </c>
      <c r="M777" s="1618"/>
      <c r="N777" s="1618">
        <f t="shared" si="256"/>
        <v>0</v>
      </c>
      <c r="O777" s="1618"/>
      <c r="P777" s="1618">
        <f t="shared" si="257"/>
        <v>0</v>
      </c>
      <c r="Q777" s="1618"/>
      <c r="R777" s="1618">
        <f t="shared" si="260"/>
        <v>0</v>
      </c>
      <c r="S777" s="1618"/>
      <c r="T777" s="1618">
        <f t="shared" si="241"/>
        <v>0</v>
      </c>
      <c r="U777" s="1618"/>
      <c r="V777" s="1618">
        <f t="shared" si="242"/>
        <v>0</v>
      </c>
      <c r="W777" s="1619" t="e">
        <f>U777+S777+O777+M777+#REF!+K777+I777+G777+Q777</f>
        <v>#REF!</v>
      </c>
      <c r="X777" s="1618"/>
      <c r="Y777" s="1619" t="e">
        <f t="shared" si="258"/>
        <v>#REF!</v>
      </c>
      <c r="Z777" s="1618" t="e">
        <f t="shared" ref="Z777:Z801" si="262">Y777*C777</f>
        <v>#REF!</v>
      </c>
      <c r="AA777" s="675"/>
      <c r="AB777" s="673"/>
    </row>
    <row r="778" spans="1:28" s="301" customFormat="1" ht="45">
      <c r="A778" s="1608"/>
      <c r="B778" s="1189" t="s">
        <v>3677</v>
      </c>
      <c r="C778" s="1707">
        <f>Elec.Data!R3638</f>
        <v>3190.14</v>
      </c>
      <c r="D778" s="1708" t="s">
        <v>1418</v>
      </c>
      <c r="E778" s="1616"/>
      <c r="F778" s="1633">
        <f t="shared" si="261"/>
        <v>0</v>
      </c>
      <c r="G778" s="1616"/>
      <c r="H778" s="1618">
        <f t="shared" si="245"/>
        <v>0</v>
      </c>
      <c r="I778" s="1616"/>
      <c r="J778" s="1618">
        <f t="shared" si="246"/>
        <v>0</v>
      </c>
      <c r="K778" s="1618"/>
      <c r="L778" s="1618">
        <f t="shared" si="255"/>
        <v>0</v>
      </c>
      <c r="M778" s="1618"/>
      <c r="N778" s="1618">
        <f t="shared" si="256"/>
        <v>0</v>
      </c>
      <c r="O778" s="1618"/>
      <c r="P778" s="1618">
        <f t="shared" si="257"/>
        <v>0</v>
      </c>
      <c r="Q778" s="1618"/>
      <c r="R778" s="1618">
        <f t="shared" si="260"/>
        <v>0</v>
      </c>
      <c r="S778" s="1618"/>
      <c r="T778" s="1618">
        <f t="shared" si="241"/>
        <v>0</v>
      </c>
      <c r="U778" s="1616"/>
      <c r="V778" s="1618">
        <f t="shared" si="242"/>
        <v>0</v>
      </c>
      <c r="W778" s="1619" t="e">
        <f>U778+S778+O778+M778+#REF!+K778+I778+G778+Q778</f>
        <v>#REF!</v>
      </c>
      <c r="X778" s="1618" t="e">
        <f t="shared" ref="X778:X809" si="263">W778*C778</f>
        <v>#REF!</v>
      </c>
      <c r="Y778" s="1619" t="e">
        <f t="shared" si="258"/>
        <v>#REF!</v>
      </c>
      <c r="Z778" s="1618" t="e">
        <f t="shared" si="262"/>
        <v>#REF!</v>
      </c>
      <c r="AA778" s="675"/>
      <c r="AB778" s="674"/>
    </row>
    <row r="779" spans="1:28" s="301" customFormat="1">
      <c r="A779" s="1608"/>
      <c r="B779" s="1166" t="s">
        <v>4854</v>
      </c>
      <c r="C779" s="1168">
        <f>Data!R2362</f>
        <v>343.98</v>
      </c>
      <c r="D779" s="1631" t="s">
        <v>835</v>
      </c>
      <c r="E779" s="1616"/>
      <c r="F779" s="1633">
        <f t="shared" si="261"/>
        <v>0</v>
      </c>
      <c r="G779" s="1616"/>
      <c r="H779" s="1618">
        <f t="shared" si="245"/>
        <v>0</v>
      </c>
      <c r="I779" s="1616"/>
      <c r="J779" s="1618">
        <f t="shared" si="246"/>
        <v>0</v>
      </c>
      <c r="K779" s="1618"/>
      <c r="L779" s="1618">
        <f t="shared" si="255"/>
        <v>0</v>
      </c>
      <c r="M779" s="1618"/>
      <c r="N779" s="1618">
        <f t="shared" si="256"/>
        <v>0</v>
      </c>
      <c r="O779" s="1618"/>
      <c r="P779" s="1618">
        <f t="shared" si="257"/>
        <v>0</v>
      </c>
      <c r="Q779" s="1618"/>
      <c r="R779" s="1618">
        <f t="shared" si="260"/>
        <v>0</v>
      </c>
      <c r="S779" s="1618"/>
      <c r="T779" s="1618">
        <f t="shared" si="241"/>
        <v>0</v>
      </c>
      <c r="U779" s="1616"/>
      <c r="V779" s="1618">
        <f t="shared" si="242"/>
        <v>0</v>
      </c>
      <c r="W779" s="1619" t="e">
        <f>U779+S779+O779+M779+#REF!+K779+I779+G779+Q779</f>
        <v>#REF!</v>
      </c>
      <c r="X779" s="1618" t="e">
        <f t="shared" si="263"/>
        <v>#REF!</v>
      </c>
      <c r="Y779" s="1619" t="e">
        <f t="shared" si="258"/>
        <v>#REF!</v>
      </c>
      <c r="Z779" s="1618" t="e">
        <f t="shared" si="262"/>
        <v>#REF!</v>
      </c>
      <c r="AA779" s="675"/>
      <c r="AB779" s="674"/>
    </row>
    <row r="780" spans="1:28" ht="45">
      <c r="A780" s="1608"/>
      <c r="B780" s="1166" t="s">
        <v>4313</v>
      </c>
      <c r="C780" s="1709">
        <v>1321.58</v>
      </c>
      <c r="D780" s="1610" t="s">
        <v>1867</v>
      </c>
      <c r="E780" s="1616">
        <f>station!I1514</f>
        <v>559.4</v>
      </c>
      <c r="F780" s="1633">
        <f t="shared" si="261"/>
        <v>739291.85</v>
      </c>
      <c r="G780" s="1618"/>
      <c r="H780" s="1618">
        <f t="shared" si="245"/>
        <v>0</v>
      </c>
      <c r="I780" s="1618"/>
      <c r="J780" s="1618">
        <f t="shared" si="246"/>
        <v>0</v>
      </c>
      <c r="K780" s="1618"/>
      <c r="L780" s="1618">
        <f t="shared" si="255"/>
        <v>0</v>
      </c>
      <c r="M780" s="1618"/>
      <c r="N780" s="1618">
        <f t="shared" si="256"/>
        <v>0</v>
      </c>
      <c r="O780" s="1618"/>
      <c r="P780" s="1618">
        <f t="shared" si="257"/>
        <v>0</v>
      </c>
      <c r="Q780" s="1618"/>
      <c r="R780" s="1618">
        <f t="shared" si="260"/>
        <v>0</v>
      </c>
      <c r="S780" s="1618"/>
      <c r="T780" s="1618">
        <f t="shared" si="241"/>
        <v>0</v>
      </c>
      <c r="U780" s="1618"/>
      <c r="V780" s="1618">
        <f t="shared" si="242"/>
        <v>0</v>
      </c>
      <c r="W780" s="1619" t="e">
        <f>U780+S780+O780+M780+#REF!+K780+I780+G780+Q780</f>
        <v>#REF!</v>
      </c>
      <c r="X780" s="1618" t="e">
        <f t="shared" si="263"/>
        <v>#REF!</v>
      </c>
      <c r="Y780" s="1619" t="e">
        <f t="shared" si="258"/>
        <v>#REF!</v>
      </c>
      <c r="Z780" s="1618" t="e">
        <f t="shared" si="262"/>
        <v>#REF!</v>
      </c>
      <c r="AA780" s="673"/>
      <c r="AB780" s="673"/>
    </row>
    <row r="781" spans="1:28" s="301" customFormat="1">
      <c r="A781" s="1652" t="s">
        <v>1351</v>
      </c>
      <c r="B781" s="1176" t="s">
        <v>1428</v>
      </c>
      <c r="C781" s="1653">
        <f>Data!K1794</f>
        <v>1920</v>
      </c>
      <c r="D781" s="1654" t="s">
        <v>1418</v>
      </c>
      <c r="E781" s="1649"/>
      <c r="F781" s="1633">
        <f t="shared" si="261"/>
        <v>0</v>
      </c>
      <c r="G781" s="1649"/>
      <c r="H781" s="1618">
        <f t="shared" si="245"/>
        <v>0</v>
      </c>
      <c r="I781" s="1649"/>
      <c r="J781" s="1618">
        <f t="shared" si="246"/>
        <v>0</v>
      </c>
      <c r="K781" s="1650"/>
      <c r="L781" s="1618">
        <f t="shared" si="255"/>
        <v>0</v>
      </c>
      <c r="M781" s="1650"/>
      <c r="N781" s="1618">
        <f t="shared" si="256"/>
        <v>0</v>
      </c>
      <c r="O781" s="1650"/>
      <c r="P781" s="1618">
        <f t="shared" si="257"/>
        <v>0</v>
      </c>
      <c r="Q781" s="1650"/>
      <c r="R781" s="1618">
        <f t="shared" si="260"/>
        <v>0</v>
      </c>
      <c r="S781" s="1650"/>
      <c r="T781" s="1618">
        <f t="shared" si="241"/>
        <v>0</v>
      </c>
      <c r="U781" s="1649"/>
      <c r="V781" s="1618">
        <f t="shared" si="242"/>
        <v>0</v>
      </c>
      <c r="W781" s="1619" t="e">
        <f>U781+S781+O781+M781+#REF!+K781+I781+G781+Q781</f>
        <v>#REF!</v>
      </c>
      <c r="X781" s="1618" t="e">
        <f t="shared" si="263"/>
        <v>#REF!</v>
      </c>
      <c r="Y781" s="1619" t="e">
        <f t="shared" si="258"/>
        <v>#REF!</v>
      </c>
      <c r="Z781" s="1618" t="e">
        <f t="shared" si="262"/>
        <v>#REF!</v>
      </c>
      <c r="AA781" s="675"/>
      <c r="AB781" s="674"/>
    </row>
    <row r="782" spans="1:28" ht="45">
      <c r="A782" s="1608"/>
      <c r="B782" s="1169" t="s">
        <v>3868</v>
      </c>
      <c r="C782" s="1625"/>
      <c r="D782" s="1610"/>
      <c r="E782" s="1623"/>
      <c r="F782" s="1633">
        <f t="shared" si="261"/>
        <v>0</v>
      </c>
      <c r="G782" s="1618"/>
      <c r="H782" s="1618">
        <f t="shared" si="245"/>
        <v>0</v>
      </c>
      <c r="I782" s="1618"/>
      <c r="J782" s="1618">
        <f t="shared" si="246"/>
        <v>0</v>
      </c>
      <c r="K782" s="1618"/>
      <c r="L782" s="1618">
        <f t="shared" si="255"/>
        <v>0</v>
      </c>
      <c r="M782" s="1618"/>
      <c r="N782" s="1618">
        <f t="shared" si="256"/>
        <v>0</v>
      </c>
      <c r="O782" s="1618"/>
      <c r="P782" s="1618">
        <f t="shared" si="257"/>
        <v>0</v>
      </c>
      <c r="Q782" s="1618"/>
      <c r="R782" s="1618">
        <f t="shared" si="260"/>
        <v>0</v>
      </c>
      <c r="S782" s="1618"/>
      <c r="T782" s="1618">
        <f t="shared" si="241"/>
        <v>0</v>
      </c>
      <c r="U782" s="1618"/>
      <c r="V782" s="1618">
        <f t="shared" si="242"/>
        <v>0</v>
      </c>
      <c r="W782" s="1619" t="e">
        <f>U782+S782+O782+M782+#REF!+K782+I782+G782+Q782</f>
        <v>#REF!</v>
      </c>
      <c r="X782" s="1618" t="e">
        <f t="shared" si="263"/>
        <v>#REF!</v>
      </c>
      <c r="Y782" s="1619" t="e">
        <f t="shared" si="258"/>
        <v>#REF!</v>
      </c>
      <c r="Z782" s="1618" t="e">
        <f t="shared" si="262"/>
        <v>#REF!</v>
      </c>
      <c r="AA782" s="673"/>
      <c r="AB782" s="673"/>
    </row>
    <row r="783" spans="1:28" ht="50.25" customHeight="1">
      <c r="A783" s="1608"/>
      <c r="B783" s="1166" t="s">
        <v>3869</v>
      </c>
      <c r="C783" s="1710">
        <v>444.77</v>
      </c>
      <c r="D783" s="1610" t="s">
        <v>835</v>
      </c>
      <c r="E783" s="1616">
        <f>station!I1475</f>
        <v>30</v>
      </c>
      <c r="F783" s="1633">
        <f t="shared" si="261"/>
        <v>13343.1</v>
      </c>
      <c r="G783" s="1618">
        <f>S.T!G121</f>
        <v>77</v>
      </c>
      <c r="H783" s="1618">
        <f t="shared" si="245"/>
        <v>34247.29</v>
      </c>
      <c r="I783" s="1618"/>
      <c r="J783" s="1618">
        <f t="shared" si="246"/>
        <v>0</v>
      </c>
      <c r="K783" s="1618"/>
      <c r="L783" s="1618">
        <f t="shared" si="255"/>
        <v>0</v>
      </c>
      <c r="M783" s="1618"/>
      <c r="N783" s="1618">
        <f t="shared" si="256"/>
        <v>0</v>
      </c>
      <c r="O783" s="1618"/>
      <c r="P783" s="1618">
        <f t="shared" si="257"/>
        <v>0</v>
      </c>
      <c r="Q783" s="1618"/>
      <c r="R783" s="1618">
        <f t="shared" si="260"/>
        <v>0</v>
      </c>
      <c r="S783" s="1618"/>
      <c r="T783" s="1618">
        <f t="shared" si="241"/>
        <v>0</v>
      </c>
      <c r="U783" s="1618"/>
      <c r="V783" s="1618">
        <f t="shared" si="242"/>
        <v>0</v>
      </c>
      <c r="W783" s="1619" t="e">
        <f>U783+S783+O783+M783+#REF!+K783+I783+G783+Q783</f>
        <v>#REF!</v>
      </c>
      <c r="X783" s="1618" t="e">
        <f t="shared" si="263"/>
        <v>#REF!</v>
      </c>
      <c r="Y783" s="1619" t="e">
        <f t="shared" si="258"/>
        <v>#REF!</v>
      </c>
      <c r="Z783" s="1618" t="e">
        <f t="shared" si="262"/>
        <v>#REF!</v>
      </c>
      <c r="AA783" s="673"/>
      <c r="AB783" s="673"/>
    </row>
    <row r="784" spans="1:28" ht="50.25" customHeight="1">
      <c r="A784" s="1608"/>
      <c r="B784" s="1166" t="s">
        <v>4043</v>
      </c>
      <c r="C784" s="1710">
        <v>755.84</v>
      </c>
      <c r="D784" s="1610" t="s">
        <v>835</v>
      </c>
      <c r="E784" s="1616">
        <f>station!I1477</f>
        <v>45</v>
      </c>
      <c r="F784" s="1633">
        <f t="shared" si="261"/>
        <v>34012.800000000003</v>
      </c>
      <c r="G784" s="1618">
        <f>S.T!G127</f>
        <v>29</v>
      </c>
      <c r="H784" s="1618">
        <f t="shared" si="245"/>
        <v>21919.360000000001</v>
      </c>
      <c r="I784" s="1618"/>
      <c r="J784" s="1618">
        <f t="shared" si="246"/>
        <v>0</v>
      </c>
      <c r="K784" s="1618"/>
      <c r="L784" s="1618">
        <f t="shared" si="255"/>
        <v>0</v>
      </c>
      <c r="M784" s="1618"/>
      <c r="N784" s="1618">
        <f t="shared" si="256"/>
        <v>0</v>
      </c>
      <c r="O784" s="1618"/>
      <c r="P784" s="1618">
        <f t="shared" si="257"/>
        <v>0</v>
      </c>
      <c r="Q784" s="1618"/>
      <c r="R784" s="1618">
        <f t="shared" si="260"/>
        <v>0</v>
      </c>
      <c r="S784" s="1618"/>
      <c r="T784" s="1618">
        <f t="shared" si="241"/>
        <v>0</v>
      </c>
      <c r="U784" s="1618"/>
      <c r="V784" s="1618">
        <f t="shared" si="242"/>
        <v>0</v>
      </c>
      <c r="W784" s="1619" t="e">
        <f>U784+S784+O784+M784+#REF!+K784+I784+G784+Q784</f>
        <v>#REF!</v>
      </c>
      <c r="X784" s="1618" t="e">
        <f t="shared" si="263"/>
        <v>#REF!</v>
      </c>
      <c r="Y784" s="1619" t="e">
        <f t="shared" si="258"/>
        <v>#REF!</v>
      </c>
      <c r="Z784" s="1618" t="e">
        <f t="shared" si="262"/>
        <v>#REF!</v>
      </c>
      <c r="AA784" s="673"/>
      <c r="AB784" s="673"/>
    </row>
    <row r="785" spans="1:28" s="475" customFormat="1" ht="50.25" customHeight="1">
      <c r="A785" s="1635"/>
      <c r="B785" s="1170" t="s">
        <v>3870</v>
      </c>
      <c r="C785" s="1710"/>
      <c r="D785" s="1611"/>
      <c r="E785" s="1616"/>
      <c r="F785" s="1633">
        <f t="shared" si="261"/>
        <v>0</v>
      </c>
      <c r="G785" s="1616"/>
      <c r="H785" s="1618">
        <f t="shared" si="245"/>
        <v>0</v>
      </c>
      <c r="I785" s="1616"/>
      <c r="J785" s="1618">
        <f t="shared" si="246"/>
        <v>0</v>
      </c>
      <c r="K785" s="1618"/>
      <c r="L785" s="1618">
        <f t="shared" si="255"/>
        <v>0</v>
      </c>
      <c r="M785" s="1618"/>
      <c r="N785" s="1618">
        <f t="shared" si="256"/>
        <v>0</v>
      </c>
      <c r="O785" s="1618"/>
      <c r="P785" s="1618">
        <f t="shared" si="257"/>
        <v>0</v>
      </c>
      <c r="Q785" s="1618"/>
      <c r="R785" s="1618">
        <f t="shared" si="260"/>
        <v>0</v>
      </c>
      <c r="S785" s="1618"/>
      <c r="T785" s="1618">
        <f t="shared" si="241"/>
        <v>0</v>
      </c>
      <c r="U785" s="1616"/>
      <c r="V785" s="1618">
        <f t="shared" si="242"/>
        <v>0</v>
      </c>
      <c r="W785" s="1619" t="e">
        <f>U785+S785+O785+M785+#REF!+K785+I785+G785+Q785</f>
        <v>#REF!</v>
      </c>
      <c r="X785" s="1618" t="e">
        <f t="shared" si="263"/>
        <v>#REF!</v>
      </c>
      <c r="Y785" s="1619" t="e">
        <f t="shared" si="258"/>
        <v>#REF!</v>
      </c>
      <c r="Z785" s="1618" t="e">
        <f t="shared" si="262"/>
        <v>#REF!</v>
      </c>
      <c r="AA785" s="674"/>
      <c r="AB785" s="674"/>
    </row>
    <row r="786" spans="1:28" s="475" customFormat="1" ht="55.5" customHeight="1">
      <c r="A786" s="1635"/>
      <c r="B786" s="1205" t="s">
        <v>4880</v>
      </c>
      <c r="C786" s="1710">
        <v>173</v>
      </c>
      <c r="D786" s="1611" t="s">
        <v>1418</v>
      </c>
      <c r="E786" s="1616">
        <f>station!I1480</f>
        <v>6</v>
      </c>
      <c r="F786" s="1633">
        <f t="shared" si="261"/>
        <v>1038</v>
      </c>
      <c r="G786" s="1616"/>
      <c r="H786" s="1618">
        <f t="shared" si="245"/>
        <v>0</v>
      </c>
      <c r="I786" s="1616"/>
      <c r="J786" s="1618">
        <f t="shared" si="246"/>
        <v>0</v>
      </c>
      <c r="K786" s="1618"/>
      <c r="L786" s="1618">
        <f t="shared" si="255"/>
        <v>0</v>
      </c>
      <c r="M786" s="1618"/>
      <c r="N786" s="1618">
        <f t="shared" si="256"/>
        <v>0</v>
      </c>
      <c r="O786" s="1618"/>
      <c r="P786" s="1618">
        <f t="shared" si="257"/>
        <v>0</v>
      </c>
      <c r="Q786" s="1618"/>
      <c r="R786" s="1618">
        <f t="shared" si="260"/>
        <v>0</v>
      </c>
      <c r="S786" s="1618"/>
      <c r="T786" s="1618">
        <f t="shared" si="241"/>
        <v>0</v>
      </c>
      <c r="U786" s="1616"/>
      <c r="V786" s="1618">
        <f t="shared" si="242"/>
        <v>0</v>
      </c>
      <c r="W786" s="1619" t="e">
        <f>U786+S786+O786+M786+#REF!+K786+I786+G786+Q786</f>
        <v>#REF!</v>
      </c>
      <c r="X786" s="1618" t="e">
        <f t="shared" si="263"/>
        <v>#REF!</v>
      </c>
      <c r="Y786" s="1619" t="e">
        <f t="shared" si="258"/>
        <v>#REF!</v>
      </c>
      <c r="Z786" s="1618" t="e">
        <f t="shared" si="262"/>
        <v>#REF!</v>
      </c>
      <c r="AA786" s="674"/>
      <c r="AB786" s="674"/>
    </row>
    <row r="787" spans="1:28" s="475" customFormat="1" ht="63.75" customHeight="1">
      <c r="A787" s="1711"/>
      <c r="B787" s="1206" t="s">
        <v>4883</v>
      </c>
      <c r="C787" s="1712">
        <v>553</v>
      </c>
      <c r="D787" s="1713" t="s">
        <v>1418</v>
      </c>
      <c r="E787" s="1649">
        <f>station!I1481</f>
        <v>4</v>
      </c>
      <c r="F787" s="1633">
        <f t="shared" si="261"/>
        <v>2212</v>
      </c>
      <c r="G787" s="1649"/>
      <c r="H787" s="1618">
        <f t="shared" si="245"/>
        <v>0</v>
      </c>
      <c r="I787" s="1649"/>
      <c r="J787" s="1618">
        <f t="shared" si="246"/>
        <v>0</v>
      </c>
      <c r="K787" s="1650"/>
      <c r="L787" s="1618">
        <f t="shared" si="255"/>
        <v>0</v>
      </c>
      <c r="M787" s="1650"/>
      <c r="N787" s="1618">
        <f t="shared" si="256"/>
        <v>0</v>
      </c>
      <c r="O787" s="1650"/>
      <c r="P787" s="1618">
        <f t="shared" si="257"/>
        <v>0</v>
      </c>
      <c r="Q787" s="1650"/>
      <c r="R787" s="1618">
        <f t="shared" si="260"/>
        <v>0</v>
      </c>
      <c r="S787" s="1650"/>
      <c r="T787" s="1618">
        <f t="shared" si="241"/>
        <v>0</v>
      </c>
      <c r="U787" s="1649"/>
      <c r="V787" s="1618">
        <f t="shared" si="242"/>
        <v>0</v>
      </c>
      <c r="W787" s="1619" t="e">
        <f>U787+S787+O787+M787+#REF!+K787+I787+G787+Q787</f>
        <v>#REF!</v>
      </c>
      <c r="X787" s="1618" t="e">
        <f t="shared" si="263"/>
        <v>#REF!</v>
      </c>
      <c r="Y787" s="1619" t="e">
        <f t="shared" si="258"/>
        <v>#REF!</v>
      </c>
      <c r="Z787" s="1618" t="e">
        <f t="shared" si="262"/>
        <v>#REF!</v>
      </c>
      <c r="AA787" s="674"/>
      <c r="AB787" s="674"/>
    </row>
    <row r="788" spans="1:28" s="475" customFormat="1" ht="55.5" customHeight="1">
      <c r="A788" s="1635"/>
      <c r="B788" s="1170" t="s">
        <v>3871</v>
      </c>
      <c r="C788" s="1710"/>
      <c r="D788" s="1611"/>
      <c r="E788" s="1616"/>
      <c r="F788" s="1633">
        <f t="shared" si="261"/>
        <v>0</v>
      </c>
      <c r="G788" s="1616"/>
      <c r="H788" s="1618">
        <f t="shared" si="245"/>
        <v>0</v>
      </c>
      <c r="I788" s="1616"/>
      <c r="J788" s="1618">
        <f t="shared" si="246"/>
        <v>0</v>
      </c>
      <c r="K788" s="1618"/>
      <c r="L788" s="1618">
        <f t="shared" si="255"/>
        <v>0</v>
      </c>
      <c r="M788" s="1618"/>
      <c r="N788" s="1618">
        <f t="shared" si="256"/>
        <v>0</v>
      </c>
      <c r="O788" s="1618"/>
      <c r="P788" s="1618">
        <f t="shared" si="257"/>
        <v>0</v>
      </c>
      <c r="Q788" s="1618"/>
      <c r="R788" s="1618">
        <f t="shared" si="260"/>
        <v>0</v>
      </c>
      <c r="S788" s="1618"/>
      <c r="T788" s="1618">
        <f t="shared" si="241"/>
        <v>0</v>
      </c>
      <c r="U788" s="1616"/>
      <c r="V788" s="1618">
        <f t="shared" si="242"/>
        <v>0</v>
      </c>
      <c r="W788" s="1619" t="e">
        <f>U788+S788+O788+M788+#REF!+K788+I788+G788+Q788</f>
        <v>#REF!</v>
      </c>
      <c r="X788" s="1618" t="e">
        <f t="shared" si="263"/>
        <v>#REF!</v>
      </c>
      <c r="Y788" s="1619" t="e">
        <f t="shared" si="258"/>
        <v>#REF!</v>
      </c>
      <c r="Z788" s="1618" t="e">
        <f t="shared" si="262"/>
        <v>#REF!</v>
      </c>
      <c r="AA788" s="674"/>
      <c r="AB788" s="674"/>
    </row>
    <row r="789" spans="1:28" s="475" customFormat="1" ht="55.5" customHeight="1">
      <c r="A789" s="1635"/>
      <c r="B789" s="1172" t="s">
        <v>4881</v>
      </c>
      <c r="C789" s="1710">
        <v>195</v>
      </c>
      <c r="D789" s="1611" t="s">
        <v>1418</v>
      </c>
      <c r="E789" s="1616">
        <f>station!I1483</f>
        <v>2</v>
      </c>
      <c r="F789" s="1633">
        <f t="shared" si="261"/>
        <v>390</v>
      </c>
      <c r="G789" s="1616"/>
      <c r="H789" s="1618">
        <f t="shared" si="245"/>
        <v>0</v>
      </c>
      <c r="I789" s="1616"/>
      <c r="J789" s="1618">
        <f t="shared" si="246"/>
        <v>0</v>
      </c>
      <c r="K789" s="1618"/>
      <c r="L789" s="1618">
        <f t="shared" si="255"/>
        <v>0</v>
      </c>
      <c r="M789" s="1618"/>
      <c r="N789" s="1618">
        <f t="shared" si="256"/>
        <v>0</v>
      </c>
      <c r="O789" s="1618"/>
      <c r="P789" s="1618">
        <f t="shared" si="257"/>
        <v>0</v>
      </c>
      <c r="Q789" s="1618"/>
      <c r="R789" s="1618">
        <f t="shared" si="260"/>
        <v>0</v>
      </c>
      <c r="S789" s="1618"/>
      <c r="T789" s="1618">
        <f t="shared" si="241"/>
        <v>0</v>
      </c>
      <c r="U789" s="1616"/>
      <c r="V789" s="1618">
        <f t="shared" si="242"/>
        <v>0</v>
      </c>
      <c r="W789" s="1619" t="e">
        <f>U789+S789+O789+M789+#REF!+K789+I789+G789+Q789</f>
        <v>#REF!</v>
      </c>
      <c r="X789" s="1618" t="e">
        <f t="shared" si="263"/>
        <v>#REF!</v>
      </c>
      <c r="Y789" s="1619" t="e">
        <f t="shared" si="258"/>
        <v>#REF!</v>
      </c>
      <c r="Z789" s="1618" t="e">
        <f t="shared" si="262"/>
        <v>#REF!</v>
      </c>
      <c r="AA789" s="674"/>
      <c r="AB789" s="674"/>
    </row>
    <row r="790" spans="1:28" s="475" customFormat="1" ht="45">
      <c r="A790" s="1638"/>
      <c r="B790" s="1173" t="s">
        <v>4882</v>
      </c>
      <c r="C790" s="1712">
        <v>367</v>
      </c>
      <c r="D790" s="1714" t="s">
        <v>1418</v>
      </c>
      <c r="E790" s="1616">
        <f>station!I1484</f>
        <v>2</v>
      </c>
      <c r="F790" s="1633">
        <f t="shared" si="261"/>
        <v>734</v>
      </c>
      <c r="G790" s="1616">
        <v>2</v>
      </c>
      <c r="H790" s="1618">
        <f t="shared" si="245"/>
        <v>734</v>
      </c>
      <c r="I790" s="1616"/>
      <c r="J790" s="1618">
        <f t="shared" si="246"/>
        <v>0</v>
      </c>
      <c r="K790" s="1618"/>
      <c r="L790" s="1618">
        <f t="shared" si="255"/>
        <v>0</v>
      </c>
      <c r="M790" s="1618"/>
      <c r="N790" s="1618">
        <f t="shared" si="256"/>
        <v>0</v>
      </c>
      <c r="O790" s="1618"/>
      <c r="P790" s="1618">
        <f t="shared" si="257"/>
        <v>0</v>
      </c>
      <c r="Q790" s="1618"/>
      <c r="R790" s="1618">
        <f t="shared" si="260"/>
        <v>0</v>
      </c>
      <c r="S790" s="1618"/>
      <c r="T790" s="1618">
        <f t="shared" ref="T790:T853" si="264">S790*C790</f>
        <v>0</v>
      </c>
      <c r="U790" s="1616"/>
      <c r="V790" s="1618">
        <f t="shared" ref="V790:V853" si="265">U790*C790</f>
        <v>0</v>
      </c>
      <c r="W790" s="1619" t="e">
        <f>U790+S790+O790+M790+#REF!+K790+I790+G790+Q790</f>
        <v>#REF!</v>
      </c>
      <c r="X790" s="1618" t="e">
        <f t="shared" si="263"/>
        <v>#REF!</v>
      </c>
      <c r="Y790" s="1619" t="e">
        <f t="shared" si="258"/>
        <v>#REF!</v>
      </c>
      <c r="Z790" s="1618" t="e">
        <f t="shared" si="262"/>
        <v>#REF!</v>
      </c>
      <c r="AA790" s="674"/>
      <c r="AB790" s="674"/>
    </row>
    <row r="791" spans="1:28" ht="67.5">
      <c r="A791" s="1608"/>
      <c r="B791" s="1166" t="s">
        <v>5344</v>
      </c>
      <c r="C791" s="1715">
        <v>3041.71</v>
      </c>
      <c r="D791" s="1610" t="s">
        <v>1418</v>
      </c>
      <c r="E791" s="1616">
        <f>station!I1487</f>
        <v>3</v>
      </c>
      <c r="F791" s="1633">
        <f t="shared" si="261"/>
        <v>9125.1299999999992</v>
      </c>
      <c r="G791" s="1618"/>
      <c r="H791" s="1618">
        <f t="shared" si="245"/>
        <v>0</v>
      </c>
      <c r="I791" s="1618"/>
      <c r="J791" s="1618">
        <f t="shared" si="246"/>
        <v>0</v>
      </c>
      <c r="K791" s="1618"/>
      <c r="L791" s="1618">
        <f t="shared" si="255"/>
        <v>0</v>
      </c>
      <c r="M791" s="1618"/>
      <c r="N791" s="1618">
        <f t="shared" si="256"/>
        <v>0</v>
      </c>
      <c r="O791" s="1618"/>
      <c r="P791" s="1618">
        <f t="shared" si="257"/>
        <v>0</v>
      </c>
      <c r="Q791" s="1618"/>
      <c r="R791" s="1618">
        <f t="shared" si="260"/>
        <v>0</v>
      </c>
      <c r="S791" s="1618"/>
      <c r="T791" s="1618">
        <f t="shared" si="264"/>
        <v>0</v>
      </c>
      <c r="U791" s="1618"/>
      <c r="V791" s="1618">
        <f t="shared" si="265"/>
        <v>0</v>
      </c>
      <c r="W791" s="1619" t="e">
        <f>U791+S791+O791+M791+#REF!+K791+I791+G791+Q791</f>
        <v>#REF!</v>
      </c>
      <c r="X791" s="1618" t="e">
        <f t="shared" si="263"/>
        <v>#REF!</v>
      </c>
      <c r="Y791" s="1619" t="e">
        <f t="shared" si="258"/>
        <v>#REF!</v>
      </c>
      <c r="Z791" s="1618" t="e">
        <f t="shared" si="262"/>
        <v>#REF!</v>
      </c>
      <c r="AA791" s="673"/>
      <c r="AB791" s="673"/>
    </row>
    <row r="792" spans="1:28" ht="67.5">
      <c r="A792" s="1608"/>
      <c r="B792" s="1166" t="s">
        <v>5345</v>
      </c>
      <c r="C792" s="1715">
        <v>4781.04</v>
      </c>
      <c r="D792" s="1610" t="s">
        <v>1418</v>
      </c>
      <c r="E792" s="1616">
        <f>station!I1488</f>
        <v>3</v>
      </c>
      <c r="F792" s="1633">
        <f t="shared" si="261"/>
        <v>14343.12</v>
      </c>
      <c r="G792" s="1618"/>
      <c r="H792" s="1618">
        <f t="shared" si="245"/>
        <v>0</v>
      </c>
      <c r="I792" s="1618"/>
      <c r="J792" s="1618">
        <f t="shared" si="246"/>
        <v>0</v>
      </c>
      <c r="K792" s="1618"/>
      <c r="L792" s="1618">
        <f t="shared" si="255"/>
        <v>0</v>
      </c>
      <c r="M792" s="1618"/>
      <c r="N792" s="1618">
        <f t="shared" si="256"/>
        <v>0</v>
      </c>
      <c r="O792" s="1618"/>
      <c r="P792" s="1618">
        <f t="shared" si="257"/>
        <v>0</v>
      </c>
      <c r="Q792" s="1618"/>
      <c r="R792" s="1618">
        <f t="shared" si="260"/>
        <v>0</v>
      </c>
      <c r="S792" s="1618"/>
      <c r="T792" s="1618">
        <f t="shared" si="264"/>
        <v>0</v>
      </c>
      <c r="U792" s="1618"/>
      <c r="V792" s="1618">
        <f t="shared" si="265"/>
        <v>0</v>
      </c>
      <c r="W792" s="1619" t="e">
        <f>U792+S792+O792+M792+#REF!+K792+I792+G792+Q792</f>
        <v>#REF!</v>
      </c>
      <c r="X792" s="1618" t="e">
        <f t="shared" si="263"/>
        <v>#REF!</v>
      </c>
      <c r="Y792" s="1619" t="e">
        <f t="shared" si="258"/>
        <v>#REF!</v>
      </c>
      <c r="Z792" s="1618" t="e">
        <f t="shared" si="262"/>
        <v>#REF!</v>
      </c>
      <c r="AA792" s="673"/>
      <c r="AB792" s="673"/>
    </row>
    <row r="793" spans="1:28" ht="71.25" customHeight="1">
      <c r="A793" s="1608"/>
      <c r="B793" s="1166" t="s">
        <v>5346</v>
      </c>
      <c r="C793" s="1709">
        <f>Data!R2015</f>
        <v>6501.3</v>
      </c>
      <c r="D793" s="1610" t="s">
        <v>1418</v>
      </c>
      <c r="E793" s="1616">
        <f>station!I1490</f>
        <v>1</v>
      </c>
      <c r="F793" s="1633">
        <f t="shared" si="261"/>
        <v>6501.3</v>
      </c>
      <c r="G793" s="1618"/>
      <c r="H793" s="1618">
        <f t="shared" si="245"/>
        <v>0</v>
      </c>
      <c r="I793" s="1618"/>
      <c r="J793" s="1618">
        <f t="shared" si="246"/>
        <v>0</v>
      </c>
      <c r="K793" s="1618"/>
      <c r="L793" s="1618">
        <f t="shared" si="255"/>
        <v>0</v>
      </c>
      <c r="M793" s="1618"/>
      <c r="N793" s="1618">
        <f t="shared" si="256"/>
        <v>0</v>
      </c>
      <c r="O793" s="1618"/>
      <c r="P793" s="1618">
        <f t="shared" si="257"/>
        <v>0</v>
      </c>
      <c r="Q793" s="1618"/>
      <c r="R793" s="1618">
        <f t="shared" si="260"/>
        <v>0</v>
      </c>
      <c r="S793" s="1618"/>
      <c r="T793" s="1618">
        <f t="shared" si="264"/>
        <v>0</v>
      </c>
      <c r="U793" s="1618"/>
      <c r="V793" s="1618">
        <f t="shared" si="265"/>
        <v>0</v>
      </c>
      <c r="W793" s="1619" t="e">
        <f>U793+S793+O793+M793+#REF!+K793+I793+G793+Q793</f>
        <v>#REF!</v>
      </c>
      <c r="X793" s="1618" t="e">
        <f t="shared" si="263"/>
        <v>#REF!</v>
      </c>
      <c r="Y793" s="1619" t="e">
        <f t="shared" si="258"/>
        <v>#REF!</v>
      </c>
      <c r="Z793" s="1618" t="e">
        <f t="shared" si="262"/>
        <v>#REF!</v>
      </c>
      <c r="AA793" s="673"/>
      <c r="AB793" s="673"/>
    </row>
    <row r="794" spans="1:28" s="475" customFormat="1" ht="71.25" hidden="1" customHeight="1">
      <c r="A794" s="540"/>
      <c r="B794" s="465" t="s">
        <v>4686</v>
      </c>
      <c r="C794" s="525">
        <f>Data!R2034</f>
        <v>6891.3</v>
      </c>
      <c r="D794" s="510" t="s">
        <v>1418</v>
      </c>
      <c r="E794" s="526"/>
      <c r="F794" s="630">
        <f t="shared" si="261"/>
        <v>0</v>
      </c>
      <c r="G794" s="526"/>
      <c r="H794" s="517">
        <f t="shared" ref="H794:H839" si="266">G794*C794</f>
        <v>0</v>
      </c>
      <c r="I794" s="526"/>
      <c r="J794" s="517">
        <f t="shared" ref="J794:J839" si="267">I794*C794</f>
        <v>0</v>
      </c>
      <c r="K794" s="517"/>
      <c r="L794" s="517"/>
      <c r="M794" s="517"/>
      <c r="N794" s="517"/>
      <c r="O794" s="517"/>
      <c r="P794" s="517"/>
      <c r="Q794" s="517"/>
      <c r="R794" s="517"/>
      <c r="S794" s="517"/>
      <c r="T794" s="517">
        <f t="shared" si="264"/>
        <v>0</v>
      </c>
      <c r="U794" s="526"/>
      <c r="V794" s="517">
        <f t="shared" si="265"/>
        <v>0</v>
      </c>
      <c r="W794" s="632">
        <f t="shared" ref="W794:W801" si="268">I794+S794+U794</f>
        <v>0</v>
      </c>
      <c r="X794" s="517">
        <f t="shared" si="263"/>
        <v>0</v>
      </c>
      <c r="Y794" s="632">
        <f t="shared" ref="Y794:Y801" si="269">W794+E794+G794</f>
        <v>0</v>
      </c>
      <c r="Z794" s="517">
        <f t="shared" si="262"/>
        <v>0</v>
      </c>
      <c r="AA794" s="674"/>
      <c r="AB794" s="674"/>
    </row>
    <row r="795" spans="1:28" s="301" customFormat="1" ht="38.25" hidden="1" customHeight="1">
      <c r="A795" s="536"/>
      <c r="B795" s="584" t="s">
        <v>4655</v>
      </c>
      <c r="C795" s="553"/>
      <c r="D795" s="443"/>
      <c r="E795" s="526"/>
      <c r="F795" s="630">
        <f t="shared" si="261"/>
        <v>0</v>
      </c>
      <c r="G795" s="526"/>
      <c r="H795" s="517">
        <f t="shared" si="266"/>
        <v>0</v>
      </c>
      <c r="I795" s="526"/>
      <c r="J795" s="517">
        <f t="shared" si="267"/>
        <v>0</v>
      </c>
      <c r="K795" s="517"/>
      <c r="L795" s="517"/>
      <c r="M795" s="517"/>
      <c r="N795" s="517"/>
      <c r="O795" s="517"/>
      <c r="P795" s="517"/>
      <c r="Q795" s="517"/>
      <c r="R795" s="517"/>
      <c r="S795" s="517"/>
      <c r="T795" s="517">
        <f t="shared" si="264"/>
        <v>0</v>
      </c>
      <c r="U795" s="526"/>
      <c r="V795" s="517">
        <f t="shared" si="265"/>
        <v>0</v>
      </c>
      <c r="W795" s="632">
        <f t="shared" si="268"/>
        <v>0</v>
      </c>
      <c r="X795" s="517">
        <f t="shared" si="263"/>
        <v>0</v>
      </c>
      <c r="Y795" s="632">
        <f t="shared" si="269"/>
        <v>0</v>
      </c>
      <c r="Z795" s="517">
        <f t="shared" si="262"/>
        <v>0</v>
      </c>
      <c r="AA795" s="675"/>
      <c r="AB795" s="674"/>
    </row>
    <row r="796" spans="1:28" s="301" customFormat="1" ht="45.75" hidden="1" customHeight="1">
      <c r="A796" s="368"/>
      <c r="B796" s="585" t="s">
        <v>3884</v>
      </c>
      <c r="C796" s="504">
        <f>'Sliding and french window'!F595</f>
        <v>3349.83</v>
      </c>
      <c r="D796" s="440" t="s">
        <v>2308</v>
      </c>
      <c r="E796" s="526"/>
      <c r="F796" s="630">
        <f t="shared" si="261"/>
        <v>0</v>
      </c>
      <c r="G796" s="526"/>
      <c r="H796" s="517">
        <f t="shared" si="266"/>
        <v>0</v>
      </c>
      <c r="I796" s="526"/>
      <c r="J796" s="517">
        <f t="shared" si="267"/>
        <v>0</v>
      </c>
      <c r="K796" s="517"/>
      <c r="L796" s="517"/>
      <c r="M796" s="517"/>
      <c r="N796" s="517"/>
      <c r="O796" s="517"/>
      <c r="P796" s="517"/>
      <c r="Q796" s="517"/>
      <c r="R796" s="517"/>
      <c r="S796" s="517"/>
      <c r="T796" s="517">
        <f t="shared" si="264"/>
        <v>0</v>
      </c>
      <c r="U796" s="526"/>
      <c r="V796" s="517">
        <f t="shared" si="265"/>
        <v>0</v>
      </c>
      <c r="W796" s="632">
        <f t="shared" si="268"/>
        <v>0</v>
      </c>
      <c r="X796" s="517">
        <f t="shared" si="263"/>
        <v>0</v>
      </c>
      <c r="Y796" s="632">
        <f t="shared" si="269"/>
        <v>0</v>
      </c>
      <c r="Z796" s="517">
        <f t="shared" si="262"/>
        <v>0</v>
      </c>
      <c r="AA796" s="675"/>
      <c r="AB796" s="674"/>
    </row>
    <row r="797" spans="1:28" s="301" customFormat="1" ht="45.75" hidden="1" customHeight="1">
      <c r="A797" s="368"/>
      <c r="B797" s="585" t="s">
        <v>3885</v>
      </c>
      <c r="C797" s="485">
        <f>'Sliding and french window'!F558</f>
        <v>3651.05</v>
      </c>
      <c r="D797" s="440" t="s">
        <v>2308</v>
      </c>
      <c r="E797" s="526"/>
      <c r="F797" s="630">
        <f t="shared" si="261"/>
        <v>0</v>
      </c>
      <c r="G797" s="526"/>
      <c r="H797" s="517">
        <f t="shared" si="266"/>
        <v>0</v>
      </c>
      <c r="I797" s="526"/>
      <c r="J797" s="517">
        <f t="shared" si="267"/>
        <v>0</v>
      </c>
      <c r="K797" s="517"/>
      <c r="L797" s="517"/>
      <c r="M797" s="517"/>
      <c r="N797" s="517"/>
      <c r="O797" s="517"/>
      <c r="P797" s="517"/>
      <c r="Q797" s="517"/>
      <c r="R797" s="517"/>
      <c r="S797" s="517"/>
      <c r="T797" s="517">
        <f t="shared" si="264"/>
        <v>0</v>
      </c>
      <c r="U797" s="526"/>
      <c r="V797" s="517">
        <f t="shared" si="265"/>
        <v>0</v>
      </c>
      <c r="W797" s="632">
        <f t="shared" si="268"/>
        <v>0</v>
      </c>
      <c r="X797" s="517">
        <f t="shared" si="263"/>
        <v>0</v>
      </c>
      <c r="Y797" s="632">
        <f t="shared" si="269"/>
        <v>0</v>
      </c>
      <c r="Z797" s="517">
        <f t="shared" si="262"/>
        <v>0</v>
      </c>
      <c r="AA797" s="675"/>
      <c r="AB797" s="674"/>
    </row>
    <row r="798" spans="1:28" s="301" customFormat="1" ht="45.75" hidden="1" customHeight="1">
      <c r="A798" s="368"/>
      <c r="B798" s="585" t="s">
        <v>3886</v>
      </c>
      <c r="C798" s="485">
        <f>'Sliding and french window'!F630</f>
        <v>3651.06</v>
      </c>
      <c r="D798" s="440" t="s">
        <v>2308</v>
      </c>
      <c r="E798" s="526"/>
      <c r="F798" s="630">
        <f t="shared" si="261"/>
        <v>0</v>
      </c>
      <c r="G798" s="526"/>
      <c r="H798" s="517">
        <f t="shared" si="266"/>
        <v>0</v>
      </c>
      <c r="I798" s="526"/>
      <c r="J798" s="517">
        <f t="shared" si="267"/>
        <v>0</v>
      </c>
      <c r="K798" s="517"/>
      <c r="L798" s="517"/>
      <c r="M798" s="517"/>
      <c r="N798" s="517"/>
      <c r="O798" s="517"/>
      <c r="P798" s="517"/>
      <c r="Q798" s="517"/>
      <c r="R798" s="517"/>
      <c r="S798" s="517"/>
      <c r="T798" s="517">
        <f t="shared" si="264"/>
        <v>0</v>
      </c>
      <c r="U798" s="526"/>
      <c r="V798" s="517">
        <f t="shared" si="265"/>
        <v>0</v>
      </c>
      <c r="W798" s="632">
        <f t="shared" si="268"/>
        <v>0</v>
      </c>
      <c r="X798" s="517">
        <f t="shared" si="263"/>
        <v>0</v>
      </c>
      <c r="Y798" s="632">
        <f t="shared" si="269"/>
        <v>0</v>
      </c>
      <c r="Z798" s="517">
        <f t="shared" si="262"/>
        <v>0</v>
      </c>
      <c r="AA798" s="675"/>
      <c r="AB798" s="674"/>
    </row>
    <row r="799" spans="1:28" s="301" customFormat="1" ht="45.75" hidden="1" customHeight="1">
      <c r="A799" s="368"/>
      <c r="B799" s="585" t="s">
        <v>3887</v>
      </c>
      <c r="C799" s="485">
        <f>'Sliding and french window'!F666</f>
        <v>4099.2</v>
      </c>
      <c r="D799" s="440" t="s">
        <v>2308</v>
      </c>
      <c r="E799" s="526"/>
      <c r="F799" s="630">
        <f t="shared" si="261"/>
        <v>0</v>
      </c>
      <c r="G799" s="526"/>
      <c r="H799" s="517">
        <f t="shared" si="266"/>
        <v>0</v>
      </c>
      <c r="I799" s="526"/>
      <c r="J799" s="517">
        <f t="shared" si="267"/>
        <v>0</v>
      </c>
      <c r="K799" s="517"/>
      <c r="L799" s="517"/>
      <c r="M799" s="517"/>
      <c r="N799" s="517"/>
      <c r="O799" s="517"/>
      <c r="P799" s="517"/>
      <c r="Q799" s="517"/>
      <c r="R799" s="517"/>
      <c r="S799" s="517"/>
      <c r="T799" s="517">
        <f t="shared" si="264"/>
        <v>0</v>
      </c>
      <c r="U799" s="526"/>
      <c r="V799" s="517">
        <f t="shared" si="265"/>
        <v>0</v>
      </c>
      <c r="W799" s="632">
        <f t="shared" si="268"/>
        <v>0</v>
      </c>
      <c r="X799" s="517">
        <f t="shared" si="263"/>
        <v>0</v>
      </c>
      <c r="Y799" s="632">
        <f t="shared" si="269"/>
        <v>0</v>
      </c>
      <c r="Z799" s="517">
        <f t="shared" si="262"/>
        <v>0</v>
      </c>
      <c r="AA799" s="675"/>
      <c r="AB799" s="674"/>
    </row>
    <row r="800" spans="1:28" s="301" customFormat="1" ht="45.75" hidden="1" customHeight="1">
      <c r="A800" s="368"/>
      <c r="B800" s="585" t="s">
        <v>4656</v>
      </c>
      <c r="C800" s="485">
        <f>'Sliding and french window'!F702</f>
        <v>4954.1000000000004</v>
      </c>
      <c r="D800" s="440" t="s">
        <v>2308</v>
      </c>
      <c r="E800" s="526"/>
      <c r="F800" s="630">
        <f t="shared" si="261"/>
        <v>0</v>
      </c>
      <c r="G800" s="526"/>
      <c r="H800" s="517">
        <f t="shared" si="266"/>
        <v>0</v>
      </c>
      <c r="I800" s="526"/>
      <c r="J800" s="517">
        <f t="shared" si="267"/>
        <v>0</v>
      </c>
      <c r="K800" s="517"/>
      <c r="L800" s="517"/>
      <c r="M800" s="517"/>
      <c r="N800" s="517"/>
      <c r="O800" s="517"/>
      <c r="P800" s="517"/>
      <c r="Q800" s="517"/>
      <c r="R800" s="517"/>
      <c r="S800" s="517"/>
      <c r="T800" s="517">
        <f t="shared" si="264"/>
        <v>0</v>
      </c>
      <c r="U800" s="526"/>
      <c r="V800" s="517">
        <f t="shared" si="265"/>
        <v>0</v>
      </c>
      <c r="W800" s="632">
        <f t="shared" si="268"/>
        <v>0</v>
      </c>
      <c r="X800" s="517">
        <f t="shared" si="263"/>
        <v>0</v>
      </c>
      <c r="Y800" s="632">
        <f t="shared" si="269"/>
        <v>0</v>
      </c>
      <c r="Z800" s="517">
        <f t="shared" si="262"/>
        <v>0</v>
      </c>
      <c r="AA800" s="675"/>
      <c r="AB800" s="674"/>
    </row>
    <row r="801" spans="1:28" s="301" customFormat="1" ht="45.75" hidden="1" customHeight="1">
      <c r="A801" s="368"/>
      <c r="B801" s="583" t="s">
        <v>4659</v>
      </c>
      <c r="C801" s="309">
        <f>Data!X3165</f>
        <v>3281.18</v>
      </c>
      <c r="D801" s="312" t="s">
        <v>2308</v>
      </c>
      <c r="E801" s="526"/>
      <c r="F801" s="630">
        <f t="shared" si="261"/>
        <v>0</v>
      </c>
      <c r="G801" s="526"/>
      <c r="H801" s="517">
        <f t="shared" si="266"/>
        <v>0</v>
      </c>
      <c r="I801" s="526"/>
      <c r="J801" s="517">
        <f t="shared" si="267"/>
        <v>0</v>
      </c>
      <c r="K801" s="517"/>
      <c r="L801" s="517"/>
      <c r="M801" s="517"/>
      <c r="N801" s="517"/>
      <c r="O801" s="517"/>
      <c r="P801" s="517"/>
      <c r="Q801" s="517"/>
      <c r="R801" s="517"/>
      <c r="S801" s="517"/>
      <c r="T801" s="517">
        <f t="shared" si="264"/>
        <v>0</v>
      </c>
      <c r="U801" s="526"/>
      <c r="V801" s="517">
        <f t="shared" si="265"/>
        <v>0</v>
      </c>
      <c r="W801" s="632">
        <f t="shared" si="268"/>
        <v>0</v>
      </c>
      <c r="X801" s="517">
        <f t="shared" si="263"/>
        <v>0</v>
      </c>
      <c r="Y801" s="632">
        <f t="shared" si="269"/>
        <v>0</v>
      </c>
      <c r="Z801" s="517">
        <f t="shared" si="262"/>
        <v>0</v>
      </c>
      <c r="AA801" s="675"/>
      <c r="AB801" s="674"/>
    </row>
    <row r="802" spans="1:28" s="301" customFormat="1" ht="110.25" hidden="1" customHeight="1">
      <c r="A802" s="368"/>
      <c r="B802" s="1169" t="s">
        <v>3968</v>
      </c>
      <c r="C802" s="485"/>
      <c r="D802" s="317"/>
      <c r="E802" s="512"/>
      <c r="F802" s="1394">
        <f t="shared" si="261"/>
        <v>0</v>
      </c>
      <c r="G802" s="517"/>
      <c r="H802" s="517">
        <f t="shared" si="266"/>
        <v>0</v>
      </c>
      <c r="I802" s="517"/>
      <c r="J802" s="517">
        <f t="shared" si="267"/>
        <v>0</v>
      </c>
      <c r="K802" s="517"/>
      <c r="L802" s="517">
        <f t="shared" ref="L802:L812" si="270">K802*C802</f>
        <v>0</v>
      </c>
      <c r="M802" s="517"/>
      <c r="N802" s="517">
        <f t="shared" ref="N802:N812" si="271">M802*C802</f>
        <v>0</v>
      </c>
      <c r="O802" s="517"/>
      <c r="P802" s="517">
        <f t="shared" ref="P802:P812" si="272">O802*C802</f>
        <v>0</v>
      </c>
      <c r="Q802" s="517"/>
      <c r="R802" s="517"/>
      <c r="S802" s="517"/>
      <c r="T802" s="517">
        <f t="shared" si="264"/>
        <v>0</v>
      </c>
      <c r="U802" s="517"/>
      <c r="V802" s="517">
        <f t="shared" si="265"/>
        <v>0</v>
      </c>
      <c r="W802" s="632" t="e">
        <f>U802+S802+O802+M802+#REF!+K802+I802+G802</f>
        <v>#REF!</v>
      </c>
      <c r="X802" s="517" t="e">
        <f t="shared" si="263"/>
        <v>#REF!</v>
      </c>
      <c r="Y802" s="632" t="e">
        <f t="shared" ref="Y802:Y812" si="273">W802+E802</f>
        <v>#REF!</v>
      </c>
      <c r="Z802" s="517"/>
      <c r="AA802" s="675"/>
      <c r="AB802" s="673"/>
    </row>
    <row r="803" spans="1:28" s="301" customFormat="1" ht="41.25" hidden="1" customHeight="1">
      <c r="A803" s="368"/>
      <c r="B803" s="1166" t="s">
        <v>2166</v>
      </c>
      <c r="C803" s="485">
        <f>'  Coastal  Elec.Data '!K2860</f>
        <v>1493.17</v>
      </c>
      <c r="D803" s="310" t="s">
        <v>1418</v>
      </c>
      <c r="E803" s="526"/>
      <c r="F803" s="1394">
        <f t="shared" si="261"/>
        <v>0</v>
      </c>
      <c r="G803" s="517"/>
      <c r="H803" s="517">
        <f t="shared" si="266"/>
        <v>0</v>
      </c>
      <c r="I803" s="517"/>
      <c r="J803" s="517">
        <f t="shared" si="267"/>
        <v>0</v>
      </c>
      <c r="K803" s="517"/>
      <c r="L803" s="517">
        <f t="shared" si="270"/>
        <v>0</v>
      </c>
      <c r="M803" s="517"/>
      <c r="N803" s="517">
        <f t="shared" si="271"/>
        <v>0</v>
      </c>
      <c r="O803" s="517"/>
      <c r="P803" s="517">
        <f t="shared" si="272"/>
        <v>0</v>
      </c>
      <c r="Q803" s="517"/>
      <c r="R803" s="517"/>
      <c r="S803" s="517"/>
      <c r="T803" s="517">
        <f t="shared" si="264"/>
        <v>0</v>
      </c>
      <c r="U803" s="517"/>
      <c r="V803" s="517">
        <f t="shared" si="265"/>
        <v>0</v>
      </c>
      <c r="W803" s="632" t="e">
        <f>U803+S803+O803+M803+#REF!+K803+I803+G803</f>
        <v>#REF!</v>
      </c>
      <c r="X803" s="517" t="e">
        <f t="shared" si="263"/>
        <v>#REF!</v>
      </c>
      <c r="Y803" s="632" t="e">
        <f t="shared" si="273"/>
        <v>#REF!</v>
      </c>
      <c r="Z803" s="517" t="e">
        <f t="shared" ref="Z803:Z813" si="274">Y803*C803</f>
        <v>#REF!</v>
      </c>
      <c r="AA803" s="675"/>
      <c r="AB803" s="673"/>
    </row>
    <row r="804" spans="1:28" s="301" customFormat="1" ht="36" hidden="1" customHeight="1">
      <c r="A804" s="368"/>
      <c r="B804" s="1166" t="s">
        <v>1288</v>
      </c>
      <c r="C804" s="485">
        <f>'  Coastal  Elec.Data '!K2884</f>
        <v>1496.32</v>
      </c>
      <c r="D804" s="310" t="s">
        <v>1418</v>
      </c>
      <c r="E804" s="526"/>
      <c r="F804" s="1394">
        <f t="shared" si="261"/>
        <v>0</v>
      </c>
      <c r="G804" s="517"/>
      <c r="H804" s="517">
        <f t="shared" si="266"/>
        <v>0</v>
      </c>
      <c r="I804" s="517"/>
      <c r="J804" s="517">
        <f t="shared" si="267"/>
        <v>0</v>
      </c>
      <c r="K804" s="517"/>
      <c r="L804" s="517">
        <f t="shared" si="270"/>
        <v>0</v>
      </c>
      <c r="M804" s="517"/>
      <c r="N804" s="517">
        <f t="shared" si="271"/>
        <v>0</v>
      </c>
      <c r="O804" s="517"/>
      <c r="P804" s="517">
        <f t="shared" si="272"/>
        <v>0</v>
      </c>
      <c r="Q804" s="517"/>
      <c r="R804" s="517"/>
      <c r="S804" s="517"/>
      <c r="T804" s="517">
        <f t="shared" si="264"/>
        <v>0</v>
      </c>
      <c r="U804" s="517"/>
      <c r="V804" s="517">
        <f t="shared" si="265"/>
        <v>0</v>
      </c>
      <c r="W804" s="632" t="e">
        <f>U804+S804+O804+M804+#REF!+K804+I804+G804</f>
        <v>#REF!</v>
      </c>
      <c r="X804" s="517" t="e">
        <f t="shared" si="263"/>
        <v>#REF!</v>
      </c>
      <c r="Y804" s="632" t="e">
        <f t="shared" si="273"/>
        <v>#REF!</v>
      </c>
      <c r="Z804" s="517" t="e">
        <f t="shared" si="274"/>
        <v>#REF!</v>
      </c>
      <c r="AA804" s="675"/>
      <c r="AB804" s="673"/>
    </row>
    <row r="805" spans="1:28" s="301" customFormat="1" ht="36" hidden="1" customHeight="1">
      <c r="A805" s="370"/>
      <c r="B805" s="1166" t="s">
        <v>300</v>
      </c>
      <c r="C805" s="485">
        <f>'  Coastal  Elec.Data '!K2899</f>
        <v>1526.05</v>
      </c>
      <c r="D805" s="310" t="s">
        <v>1418</v>
      </c>
      <c r="E805" s="526"/>
      <c r="F805" s="1394">
        <f t="shared" si="261"/>
        <v>0</v>
      </c>
      <c r="G805" s="517"/>
      <c r="H805" s="517">
        <f t="shared" si="266"/>
        <v>0</v>
      </c>
      <c r="I805" s="517"/>
      <c r="J805" s="517">
        <f t="shared" si="267"/>
        <v>0</v>
      </c>
      <c r="K805" s="517"/>
      <c r="L805" s="517">
        <f t="shared" si="270"/>
        <v>0</v>
      </c>
      <c r="M805" s="517"/>
      <c r="N805" s="517">
        <f t="shared" si="271"/>
        <v>0</v>
      </c>
      <c r="O805" s="517"/>
      <c r="P805" s="517">
        <f t="shared" si="272"/>
        <v>0</v>
      </c>
      <c r="Q805" s="517"/>
      <c r="R805" s="517"/>
      <c r="S805" s="517"/>
      <c r="T805" s="517">
        <f t="shared" si="264"/>
        <v>0</v>
      </c>
      <c r="U805" s="517"/>
      <c r="V805" s="517">
        <f t="shared" si="265"/>
        <v>0</v>
      </c>
      <c r="W805" s="632" t="e">
        <f>U805+S805+O805+M805+#REF!+K805+I805+G805</f>
        <v>#REF!</v>
      </c>
      <c r="X805" s="517" t="e">
        <f t="shared" si="263"/>
        <v>#REF!</v>
      </c>
      <c r="Y805" s="632" t="e">
        <f t="shared" si="273"/>
        <v>#REF!</v>
      </c>
      <c r="Z805" s="517" t="e">
        <f t="shared" si="274"/>
        <v>#REF!</v>
      </c>
      <c r="AA805" s="675"/>
      <c r="AB805" s="673"/>
    </row>
    <row r="806" spans="1:28" s="301" customFormat="1" ht="112.5" hidden="1" customHeight="1">
      <c r="A806" s="368"/>
      <c r="B806" s="1166" t="s">
        <v>5347</v>
      </c>
      <c r="C806" s="485">
        <f>'  Coastal  Elec.Data '!K2921</f>
        <v>1547.18</v>
      </c>
      <c r="D806" s="310" t="s">
        <v>1418</v>
      </c>
      <c r="E806" s="526"/>
      <c r="F806" s="1394">
        <f t="shared" si="261"/>
        <v>0</v>
      </c>
      <c r="G806" s="517"/>
      <c r="H806" s="517">
        <f t="shared" si="266"/>
        <v>0</v>
      </c>
      <c r="I806" s="517"/>
      <c r="J806" s="517">
        <f t="shared" si="267"/>
        <v>0</v>
      </c>
      <c r="K806" s="517"/>
      <c r="L806" s="517">
        <f t="shared" si="270"/>
        <v>0</v>
      </c>
      <c r="M806" s="517"/>
      <c r="N806" s="517">
        <f t="shared" si="271"/>
        <v>0</v>
      </c>
      <c r="O806" s="517"/>
      <c r="P806" s="517">
        <f t="shared" si="272"/>
        <v>0</v>
      </c>
      <c r="Q806" s="517"/>
      <c r="R806" s="517"/>
      <c r="S806" s="517"/>
      <c r="T806" s="517">
        <f t="shared" si="264"/>
        <v>0</v>
      </c>
      <c r="U806" s="517"/>
      <c r="V806" s="517">
        <f t="shared" si="265"/>
        <v>0</v>
      </c>
      <c r="W806" s="632" t="e">
        <f>U806+S806+O806+M806+#REF!+K806+I806+G806</f>
        <v>#REF!</v>
      </c>
      <c r="X806" s="517" t="e">
        <f t="shared" si="263"/>
        <v>#REF!</v>
      </c>
      <c r="Y806" s="632" t="e">
        <f t="shared" si="273"/>
        <v>#REF!</v>
      </c>
      <c r="Z806" s="517" t="e">
        <f t="shared" si="274"/>
        <v>#REF!</v>
      </c>
      <c r="AA806" s="675"/>
      <c r="AB806" s="673"/>
    </row>
    <row r="807" spans="1:28" s="301" customFormat="1" ht="117" hidden="1" customHeight="1">
      <c r="A807" s="368"/>
      <c r="B807" s="1166" t="s">
        <v>5348</v>
      </c>
      <c r="C807" s="485">
        <f>'  Coastal  Elec.Data '!K2945</f>
        <v>2795.25</v>
      </c>
      <c r="D807" s="310" t="s">
        <v>1418</v>
      </c>
      <c r="E807" s="526"/>
      <c r="F807" s="1394">
        <f t="shared" si="261"/>
        <v>0</v>
      </c>
      <c r="G807" s="517"/>
      <c r="H807" s="517">
        <f t="shared" si="266"/>
        <v>0</v>
      </c>
      <c r="I807" s="517"/>
      <c r="J807" s="517">
        <f t="shared" si="267"/>
        <v>0</v>
      </c>
      <c r="K807" s="517"/>
      <c r="L807" s="517">
        <f t="shared" si="270"/>
        <v>0</v>
      </c>
      <c r="M807" s="517"/>
      <c r="N807" s="517">
        <f t="shared" si="271"/>
        <v>0</v>
      </c>
      <c r="O807" s="517"/>
      <c r="P807" s="517">
        <f t="shared" si="272"/>
        <v>0</v>
      </c>
      <c r="Q807" s="517"/>
      <c r="R807" s="517"/>
      <c r="S807" s="517"/>
      <c r="T807" s="517">
        <f t="shared" si="264"/>
        <v>0</v>
      </c>
      <c r="U807" s="517"/>
      <c r="V807" s="517">
        <f t="shared" si="265"/>
        <v>0</v>
      </c>
      <c r="W807" s="632" t="e">
        <f>U807+S807+O807+M807+#REF!+K807+I807+G807</f>
        <v>#REF!</v>
      </c>
      <c r="X807" s="517" t="e">
        <f t="shared" si="263"/>
        <v>#REF!</v>
      </c>
      <c r="Y807" s="632" t="e">
        <f t="shared" si="273"/>
        <v>#REF!</v>
      </c>
      <c r="Z807" s="517" t="e">
        <f t="shared" si="274"/>
        <v>#REF!</v>
      </c>
      <c r="AA807" s="675"/>
      <c r="AB807" s="673"/>
    </row>
    <row r="808" spans="1:28" s="301" customFormat="1" ht="112.5" hidden="1" customHeight="1">
      <c r="A808" s="368">
        <v>67.099999999999994</v>
      </c>
      <c r="B808" s="1166" t="s">
        <v>5325</v>
      </c>
      <c r="C808" s="485">
        <f>'  Coastal  Elec.Data '!K2977</f>
        <v>764.91</v>
      </c>
      <c r="D808" s="310" t="s">
        <v>1418</v>
      </c>
      <c r="E808" s="526"/>
      <c r="F808" s="1394">
        <f t="shared" si="261"/>
        <v>0</v>
      </c>
      <c r="G808" s="517"/>
      <c r="H808" s="517">
        <f t="shared" si="266"/>
        <v>0</v>
      </c>
      <c r="I808" s="517"/>
      <c r="J808" s="517">
        <f t="shared" si="267"/>
        <v>0</v>
      </c>
      <c r="K808" s="517"/>
      <c r="L808" s="517">
        <f t="shared" si="270"/>
        <v>0</v>
      </c>
      <c r="M808" s="517"/>
      <c r="N808" s="517">
        <f t="shared" si="271"/>
        <v>0</v>
      </c>
      <c r="O808" s="517"/>
      <c r="P808" s="517">
        <f t="shared" si="272"/>
        <v>0</v>
      </c>
      <c r="Q808" s="517"/>
      <c r="R808" s="517"/>
      <c r="S808" s="517"/>
      <c r="T808" s="517">
        <f t="shared" si="264"/>
        <v>0</v>
      </c>
      <c r="U808" s="517"/>
      <c r="V808" s="517">
        <f t="shared" si="265"/>
        <v>0</v>
      </c>
      <c r="W808" s="632" t="e">
        <f>U808+S808+O808+M808+#REF!+K808+I808+G808</f>
        <v>#REF!</v>
      </c>
      <c r="X808" s="517" t="e">
        <f t="shared" si="263"/>
        <v>#REF!</v>
      </c>
      <c r="Y808" s="632" t="e">
        <f t="shared" si="273"/>
        <v>#REF!</v>
      </c>
      <c r="Z808" s="517" t="e">
        <f t="shared" si="274"/>
        <v>#REF!</v>
      </c>
      <c r="AA808" s="675"/>
      <c r="AB808" s="673"/>
    </row>
    <row r="809" spans="1:28" s="301" customFormat="1" ht="138.75" hidden="1" customHeight="1">
      <c r="A809" s="368"/>
      <c r="B809" s="1166" t="s">
        <v>5349</v>
      </c>
      <c r="C809" s="485">
        <f>'  Coastal  Elec.Data '!K2965</f>
        <v>1037.46</v>
      </c>
      <c r="D809" s="310" t="s">
        <v>1418</v>
      </c>
      <c r="E809" s="526"/>
      <c r="F809" s="1394">
        <f t="shared" si="261"/>
        <v>0</v>
      </c>
      <c r="G809" s="517"/>
      <c r="H809" s="517">
        <f t="shared" si="266"/>
        <v>0</v>
      </c>
      <c r="I809" s="517"/>
      <c r="J809" s="517">
        <f t="shared" si="267"/>
        <v>0</v>
      </c>
      <c r="K809" s="517"/>
      <c r="L809" s="517">
        <f t="shared" si="270"/>
        <v>0</v>
      </c>
      <c r="M809" s="517"/>
      <c r="N809" s="517">
        <f t="shared" si="271"/>
        <v>0</v>
      </c>
      <c r="O809" s="517"/>
      <c r="P809" s="517">
        <f t="shared" si="272"/>
        <v>0</v>
      </c>
      <c r="Q809" s="517"/>
      <c r="R809" s="517"/>
      <c r="S809" s="517"/>
      <c r="T809" s="517">
        <f t="shared" si="264"/>
        <v>0</v>
      </c>
      <c r="U809" s="517"/>
      <c r="V809" s="517">
        <f t="shared" si="265"/>
        <v>0</v>
      </c>
      <c r="W809" s="632" t="e">
        <f>U809+S809+O809+M809+#REF!+K809+I809+G809</f>
        <v>#REF!</v>
      </c>
      <c r="X809" s="517" t="e">
        <f t="shared" si="263"/>
        <v>#REF!</v>
      </c>
      <c r="Y809" s="632" t="e">
        <f t="shared" si="273"/>
        <v>#REF!</v>
      </c>
      <c r="Z809" s="517" t="e">
        <f t="shared" si="274"/>
        <v>#REF!</v>
      </c>
      <c r="AA809" s="675"/>
      <c r="AB809" s="673"/>
    </row>
    <row r="810" spans="1:28" s="301" customFormat="1" ht="59.25" hidden="1" customHeight="1">
      <c r="A810" s="368"/>
      <c r="B810" s="1166" t="s">
        <v>5350</v>
      </c>
      <c r="C810" s="485">
        <f>'  Coastal  Elec.Data '!K2988</f>
        <v>133.5</v>
      </c>
      <c r="D810" s="310" t="s">
        <v>1418</v>
      </c>
      <c r="E810" s="526"/>
      <c r="F810" s="1392">
        <f t="shared" si="261"/>
        <v>0</v>
      </c>
      <c r="G810" s="517"/>
      <c r="H810" s="517">
        <f t="shared" si="266"/>
        <v>0</v>
      </c>
      <c r="I810" s="517"/>
      <c r="J810" s="517">
        <f t="shared" si="267"/>
        <v>0</v>
      </c>
      <c r="K810" s="517"/>
      <c r="L810" s="517">
        <f t="shared" si="270"/>
        <v>0</v>
      </c>
      <c r="M810" s="517"/>
      <c r="N810" s="517">
        <f t="shared" si="271"/>
        <v>0</v>
      </c>
      <c r="O810" s="517"/>
      <c r="P810" s="517">
        <f t="shared" si="272"/>
        <v>0</v>
      </c>
      <c r="Q810" s="517"/>
      <c r="R810" s="517"/>
      <c r="S810" s="517"/>
      <c r="T810" s="517">
        <f t="shared" si="264"/>
        <v>0</v>
      </c>
      <c r="U810" s="517"/>
      <c r="V810" s="517">
        <f t="shared" si="265"/>
        <v>0</v>
      </c>
      <c r="W810" s="632" t="e">
        <f>U810+S810+O810+M810+#REF!+K810+I810+G810</f>
        <v>#REF!</v>
      </c>
      <c r="X810" s="517" t="e">
        <f t="shared" ref="X810:X841" si="275">W810*C810</f>
        <v>#REF!</v>
      </c>
      <c r="Y810" s="632" t="e">
        <f t="shared" si="273"/>
        <v>#REF!</v>
      </c>
      <c r="Z810" s="517" t="e">
        <f t="shared" si="274"/>
        <v>#REF!</v>
      </c>
      <c r="AA810" s="675"/>
      <c r="AB810" s="673"/>
    </row>
    <row r="811" spans="1:28" s="301" customFormat="1" ht="94.5" hidden="1" customHeight="1">
      <c r="A811" s="368"/>
      <c r="B811" s="1166" t="s">
        <v>5351</v>
      </c>
      <c r="C811" s="485">
        <f>Data!R1606</f>
        <v>77804.3</v>
      </c>
      <c r="D811" s="486" t="s">
        <v>530</v>
      </c>
      <c r="E811" s="527"/>
      <c r="F811" s="1394">
        <f t="shared" si="261"/>
        <v>0</v>
      </c>
      <c r="G811" s="632"/>
      <c r="H811" s="517">
        <f t="shared" si="266"/>
        <v>0</v>
      </c>
      <c r="I811" s="632"/>
      <c r="J811" s="517">
        <f t="shared" si="267"/>
        <v>0</v>
      </c>
      <c r="K811" s="517"/>
      <c r="L811" s="517">
        <f t="shared" si="270"/>
        <v>0</v>
      </c>
      <c r="M811" s="517"/>
      <c r="N811" s="517">
        <f t="shared" si="271"/>
        <v>0</v>
      </c>
      <c r="O811" s="517"/>
      <c r="P811" s="517">
        <f t="shared" si="272"/>
        <v>0</v>
      </c>
      <c r="Q811" s="517"/>
      <c r="R811" s="517"/>
      <c r="S811" s="517"/>
      <c r="T811" s="517">
        <f t="shared" si="264"/>
        <v>0</v>
      </c>
      <c r="U811" s="517"/>
      <c r="V811" s="517">
        <f t="shared" si="265"/>
        <v>0</v>
      </c>
      <c r="W811" s="632" t="e">
        <f>U811+S811+O811+M811+#REF!+K811+I811+G811</f>
        <v>#REF!</v>
      </c>
      <c r="X811" s="517" t="e">
        <f t="shared" si="275"/>
        <v>#REF!</v>
      </c>
      <c r="Y811" s="632" t="e">
        <f t="shared" si="273"/>
        <v>#REF!</v>
      </c>
      <c r="Z811" s="517" t="e">
        <f t="shared" si="274"/>
        <v>#REF!</v>
      </c>
      <c r="AA811" s="675"/>
      <c r="AB811" s="673"/>
    </row>
    <row r="812" spans="1:28" s="301" customFormat="1" ht="45" hidden="1">
      <c r="A812" s="368"/>
      <c r="B812" s="1166" t="s">
        <v>5352</v>
      </c>
      <c r="C812" s="485">
        <f>Data!R1637</f>
        <v>326.29000000000002</v>
      </c>
      <c r="D812" s="486" t="s">
        <v>835</v>
      </c>
      <c r="E812" s="526"/>
      <c r="F812" s="1394">
        <f t="shared" si="261"/>
        <v>0</v>
      </c>
      <c r="G812" s="517"/>
      <c r="H812" s="517">
        <f t="shared" si="266"/>
        <v>0</v>
      </c>
      <c r="I812" s="517"/>
      <c r="J812" s="517">
        <f t="shared" si="267"/>
        <v>0</v>
      </c>
      <c r="K812" s="517"/>
      <c r="L812" s="517">
        <f t="shared" si="270"/>
        <v>0</v>
      </c>
      <c r="M812" s="517"/>
      <c r="N812" s="517">
        <f t="shared" si="271"/>
        <v>0</v>
      </c>
      <c r="O812" s="517"/>
      <c r="P812" s="517">
        <f t="shared" si="272"/>
        <v>0</v>
      </c>
      <c r="Q812" s="517"/>
      <c r="R812" s="517"/>
      <c r="S812" s="517"/>
      <c r="T812" s="517">
        <f t="shared" si="264"/>
        <v>0</v>
      </c>
      <c r="U812" s="517"/>
      <c r="V812" s="517">
        <f t="shared" si="265"/>
        <v>0</v>
      </c>
      <c r="W812" s="632" t="e">
        <f>U812+S812+O812+M812+#REF!+K812+I812+G812</f>
        <v>#REF!</v>
      </c>
      <c r="X812" s="517" t="e">
        <f t="shared" si="275"/>
        <v>#REF!</v>
      </c>
      <c r="Y812" s="632" t="e">
        <f t="shared" si="273"/>
        <v>#REF!</v>
      </c>
      <c r="Z812" s="517" t="e">
        <f t="shared" si="274"/>
        <v>#REF!</v>
      </c>
      <c r="AA812" s="675"/>
      <c r="AB812" s="673"/>
    </row>
    <row r="813" spans="1:28" s="301" customFormat="1" ht="46.5" hidden="1">
      <c r="A813" s="368"/>
      <c r="B813" s="369" t="s">
        <v>3966</v>
      </c>
      <c r="C813" s="485">
        <f>Data!K2328</f>
        <v>33.229999999999997</v>
      </c>
      <c r="D813" s="486"/>
      <c r="E813" s="526"/>
      <c r="F813" s="630">
        <f t="shared" si="261"/>
        <v>0</v>
      </c>
      <c r="G813" s="526"/>
      <c r="H813" s="517">
        <f t="shared" si="266"/>
        <v>0</v>
      </c>
      <c r="I813" s="526"/>
      <c r="J813" s="517">
        <f t="shared" si="267"/>
        <v>0</v>
      </c>
      <c r="K813" s="517"/>
      <c r="L813" s="517"/>
      <c r="M813" s="517"/>
      <c r="N813" s="517"/>
      <c r="O813" s="517"/>
      <c r="P813" s="517"/>
      <c r="Q813" s="517"/>
      <c r="R813" s="517"/>
      <c r="S813" s="517"/>
      <c r="T813" s="517">
        <f t="shared" si="264"/>
        <v>0</v>
      </c>
      <c r="U813" s="526"/>
      <c r="V813" s="517">
        <f t="shared" si="265"/>
        <v>0</v>
      </c>
      <c r="W813" s="632">
        <f>I813+S813+U813</f>
        <v>0</v>
      </c>
      <c r="X813" s="517">
        <f t="shared" si="275"/>
        <v>0</v>
      </c>
      <c r="Y813" s="632">
        <f>W813+E813+G813</f>
        <v>0</v>
      </c>
      <c r="Z813" s="517">
        <f t="shared" si="274"/>
        <v>0</v>
      </c>
      <c r="AA813" s="675"/>
      <c r="AB813" s="674"/>
    </row>
    <row r="814" spans="1:28" s="301" customFormat="1" ht="45" hidden="1">
      <c r="A814" s="368"/>
      <c r="B814" s="1199" t="s">
        <v>3969</v>
      </c>
      <c r="C814" s="485"/>
      <c r="D814" s="486"/>
      <c r="E814" s="512"/>
      <c r="F814" s="1394">
        <f t="shared" si="261"/>
        <v>0</v>
      </c>
      <c r="G814" s="517"/>
      <c r="H814" s="517">
        <f t="shared" si="266"/>
        <v>0</v>
      </c>
      <c r="I814" s="517"/>
      <c r="J814" s="517">
        <f t="shared" si="267"/>
        <v>0</v>
      </c>
      <c r="K814" s="517"/>
      <c r="L814" s="517">
        <f t="shared" ref="L814:L818" si="276">K814*C814</f>
        <v>0</v>
      </c>
      <c r="M814" s="517"/>
      <c r="N814" s="517">
        <f>M814*C814</f>
        <v>0</v>
      </c>
      <c r="O814" s="517"/>
      <c r="P814" s="517">
        <f>O814*C814</f>
        <v>0</v>
      </c>
      <c r="Q814" s="517"/>
      <c r="R814" s="517"/>
      <c r="S814" s="517"/>
      <c r="T814" s="517">
        <f t="shared" si="264"/>
        <v>0</v>
      </c>
      <c r="U814" s="517"/>
      <c r="V814" s="517">
        <f t="shared" si="265"/>
        <v>0</v>
      </c>
      <c r="W814" s="632" t="e">
        <f>U814+S814+O814+M814+#REF!+K814+I814+G814</f>
        <v>#REF!</v>
      </c>
      <c r="X814" s="517" t="e">
        <f t="shared" si="275"/>
        <v>#REF!</v>
      </c>
      <c r="Y814" s="632" t="e">
        <f>W814+E814</f>
        <v>#REF!</v>
      </c>
      <c r="Z814" s="517"/>
      <c r="AA814" s="675"/>
      <c r="AB814" s="673"/>
    </row>
    <row r="815" spans="1:28" s="301" customFormat="1" ht="45" hidden="1" customHeight="1">
      <c r="A815" s="368"/>
      <c r="B815" s="1166" t="s">
        <v>48</v>
      </c>
      <c r="C815" s="485">
        <f>Data!K1887</f>
        <v>227.81</v>
      </c>
      <c r="D815" s="486" t="s">
        <v>835</v>
      </c>
      <c r="E815" s="526"/>
      <c r="F815" s="1394">
        <f t="shared" si="261"/>
        <v>0</v>
      </c>
      <c r="G815" s="517"/>
      <c r="H815" s="517">
        <f t="shared" si="266"/>
        <v>0</v>
      </c>
      <c r="I815" s="517"/>
      <c r="J815" s="517">
        <f t="shared" si="267"/>
        <v>0</v>
      </c>
      <c r="K815" s="517"/>
      <c r="L815" s="517">
        <f t="shared" si="276"/>
        <v>0</v>
      </c>
      <c r="M815" s="517"/>
      <c r="N815" s="517">
        <f>M815*C815</f>
        <v>0</v>
      </c>
      <c r="O815" s="517"/>
      <c r="P815" s="517">
        <f>O815*C815</f>
        <v>0</v>
      </c>
      <c r="Q815" s="517"/>
      <c r="R815" s="517"/>
      <c r="S815" s="517"/>
      <c r="T815" s="517">
        <f t="shared" si="264"/>
        <v>0</v>
      </c>
      <c r="U815" s="517"/>
      <c r="V815" s="517">
        <f t="shared" si="265"/>
        <v>0</v>
      </c>
      <c r="W815" s="632" t="e">
        <f>U815+S815+O815+M815+#REF!+K815+I815+G815</f>
        <v>#REF!</v>
      </c>
      <c r="X815" s="517" t="e">
        <f t="shared" si="275"/>
        <v>#REF!</v>
      </c>
      <c r="Y815" s="632" t="e">
        <f>W815+E815</f>
        <v>#REF!</v>
      </c>
      <c r="Z815" s="517" t="e">
        <f t="shared" ref="Z815:Z846" si="277">Y815*C815</f>
        <v>#REF!</v>
      </c>
      <c r="AA815" s="675"/>
      <c r="AB815" s="673"/>
    </row>
    <row r="816" spans="1:28" s="301" customFormat="1" ht="45" hidden="1" customHeight="1">
      <c r="A816" s="368"/>
      <c r="B816" s="1166" t="s">
        <v>49</v>
      </c>
      <c r="C816" s="485">
        <f>Data!K1879</f>
        <v>208.73</v>
      </c>
      <c r="D816" s="486" t="s">
        <v>835</v>
      </c>
      <c r="E816" s="526"/>
      <c r="F816" s="1394">
        <f t="shared" si="261"/>
        <v>0</v>
      </c>
      <c r="G816" s="517"/>
      <c r="H816" s="517">
        <f t="shared" si="266"/>
        <v>0</v>
      </c>
      <c r="I816" s="517"/>
      <c r="J816" s="517">
        <f t="shared" si="267"/>
        <v>0</v>
      </c>
      <c r="K816" s="517"/>
      <c r="L816" s="517">
        <f t="shared" si="276"/>
        <v>0</v>
      </c>
      <c r="M816" s="517"/>
      <c r="N816" s="517">
        <f>M816*C816</f>
        <v>0</v>
      </c>
      <c r="O816" s="517"/>
      <c r="P816" s="517">
        <f>O816*C816</f>
        <v>0</v>
      </c>
      <c r="Q816" s="517"/>
      <c r="R816" s="517"/>
      <c r="S816" s="517"/>
      <c r="T816" s="517">
        <f t="shared" si="264"/>
        <v>0</v>
      </c>
      <c r="U816" s="517"/>
      <c r="V816" s="517">
        <f t="shared" si="265"/>
        <v>0</v>
      </c>
      <c r="W816" s="632" t="e">
        <f>U816+S816+O816+M816+#REF!+K816+I816+G816</f>
        <v>#REF!</v>
      </c>
      <c r="X816" s="517" t="e">
        <f t="shared" si="275"/>
        <v>#REF!</v>
      </c>
      <c r="Y816" s="632" t="e">
        <f>W816+E816</f>
        <v>#REF!</v>
      </c>
      <c r="Z816" s="517" t="e">
        <f t="shared" si="277"/>
        <v>#REF!</v>
      </c>
      <c r="AA816" s="675"/>
      <c r="AB816" s="673"/>
    </row>
    <row r="817" spans="1:28" s="301" customFormat="1" ht="70.5" hidden="1" customHeight="1">
      <c r="A817" s="368"/>
      <c r="B817" s="1166" t="s">
        <v>3910</v>
      </c>
      <c r="C817" s="485">
        <f>Data!K2764</f>
        <v>205.94</v>
      </c>
      <c r="D817" s="486" t="s">
        <v>835</v>
      </c>
      <c r="E817" s="526"/>
      <c r="F817" s="1394">
        <f t="shared" si="261"/>
        <v>0</v>
      </c>
      <c r="G817" s="526"/>
      <c r="H817" s="517">
        <f t="shared" si="266"/>
        <v>0</v>
      </c>
      <c r="I817" s="526"/>
      <c r="J817" s="517">
        <f t="shared" si="267"/>
        <v>0</v>
      </c>
      <c r="K817" s="517"/>
      <c r="L817" s="517">
        <f t="shared" si="276"/>
        <v>0</v>
      </c>
      <c r="M817" s="517"/>
      <c r="N817" s="517">
        <f>M817*C817</f>
        <v>0</v>
      </c>
      <c r="O817" s="517"/>
      <c r="P817" s="517">
        <f>O817*C817</f>
        <v>0</v>
      </c>
      <c r="Q817" s="517"/>
      <c r="R817" s="517"/>
      <c r="S817" s="517"/>
      <c r="T817" s="517">
        <f t="shared" si="264"/>
        <v>0</v>
      </c>
      <c r="U817" s="526"/>
      <c r="V817" s="517">
        <f t="shared" si="265"/>
        <v>0</v>
      </c>
      <c r="W817" s="632" t="e">
        <f>U817+S817+O817+M817+#REF!+K817+I817+G817</f>
        <v>#REF!</v>
      </c>
      <c r="X817" s="517" t="e">
        <f t="shared" si="275"/>
        <v>#REF!</v>
      </c>
      <c r="Y817" s="632" t="e">
        <f>W817+E817</f>
        <v>#REF!</v>
      </c>
      <c r="Z817" s="517" t="e">
        <f t="shared" si="277"/>
        <v>#REF!</v>
      </c>
      <c r="AA817" s="675"/>
      <c r="AB817" s="674"/>
    </row>
    <row r="818" spans="1:28" s="301" customFormat="1" ht="90" hidden="1">
      <c r="A818" s="368"/>
      <c r="B818" s="1199" t="s">
        <v>4047</v>
      </c>
      <c r="C818" s="485">
        <f>Data!K3645</f>
        <v>334.22</v>
      </c>
      <c r="D818" s="310" t="s">
        <v>2308</v>
      </c>
      <c r="E818" s="526"/>
      <c r="F818" s="1394">
        <f t="shared" si="261"/>
        <v>0</v>
      </c>
      <c r="G818" s="526"/>
      <c r="H818" s="517">
        <f t="shared" si="266"/>
        <v>0</v>
      </c>
      <c r="I818" s="526"/>
      <c r="J818" s="517">
        <f t="shared" si="267"/>
        <v>0</v>
      </c>
      <c r="K818" s="517"/>
      <c r="L818" s="517">
        <f t="shared" si="276"/>
        <v>0</v>
      </c>
      <c r="M818" s="517"/>
      <c r="N818" s="517">
        <f>M818*C818</f>
        <v>0</v>
      </c>
      <c r="O818" s="517"/>
      <c r="P818" s="517">
        <f>O818*C818</f>
        <v>0</v>
      </c>
      <c r="Q818" s="517"/>
      <c r="R818" s="517"/>
      <c r="S818" s="517"/>
      <c r="T818" s="517">
        <f t="shared" si="264"/>
        <v>0</v>
      </c>
      <c r="U818" s="526"/>
      <c r="V818" s="517">
        <f t="shared" si="265"/>
        <v>0</v>
      </c>
      <c r="W818" s="632" t="e">
        <f>U818+S818+O818+M818+#REF!+K818+I818+G818</f>
        <v>#REF!</v>
      </c>
      <c r="X818" s="517" t="e">
        <f t="shared" si="275"/>
        <v>#REF!</v>
      </c>
      <c r="Y818" s="632" t="e">
        <f>W818+E818</f>
        <v>#REF!</v>
      </c>
      <c r="Z818" s="517" t="e">
        <f t="shared" si="277"/>
        <v>#REF!</v>
      </c>
      <c r="AA818" s="675"/>
      <c r="AB818" s="674"/>
    </row>
    <row r="819" spans="1:28" s="475" customFormat="1" hidden="1">
      <c r="A819" s="464"/>
      <c r="B819" s="472" t="s">
        <v>3675</v>
      </c>
      <c r="C819" s="525">
        <f>Data!AF3112</f>
        <v>467</v>
      </c>
      <c r="D819" s="524" t="s">
        <v>1418</v>
      </c>
      <c r="E819" s="526"/>
      <c r="F819" s="630">
        <f t="shared" si="261"/>
        <v>0</v>
      </c>
      <c r="G819" s="526"/>
      <c r="H819" s="517">
        <f t="shared" si="266"/>
        <v>0</v>
      </c>
      <c r="I819" s="526"/>
      <c r="J819" s="517">
        <f t="shared" si="267"/>
        <v>0</v>
      </c>
      <c r="K819" s="517"/>
      <c r="L819" s="517"/>
      <c r="M819" s="517"/>
      <c r="N819" s="517"/>
      <c r="O819" s="517"/>
      <c r="P819" s="517"/>
      <c r="Q819" s="517"/>
      <c r="R819" s="517"/>
      <c r="S819" s="517"/>
      <c r="T819" s="517">
        <f t="shared" si="264"/>
        <v>0</v>
      </c>
      <c r="U819" s="526"/>
      <c r="V819" s="517">
        <f t="shared" si="265"/>
        <v>0</v>
      </c>
      <c r="W819" s="632">
        <f t="shared" ref="W819:W846" si="278">I819+S819+U819</f>
        <v>0</v>
      </c>
      <c r="X819" s="517">
        <f t="shared" si="275"/>
        <v>0</v>
      </c>
      <c r="Y819" s="632">
        <f t="shared" ref="Y819:Y846" si="279">W819+E819+G819</f>
        <v>0</v>
      </c>
      <c r="Z819" s="517">
        <f t="shared" si="277"/>
        <v>0</v>
      </c>
      <c r="AA819" s="674"/>
      <c r="AB819" s="674"/>
    </row>
    <row r="820" spans="1:28" s="475" customFormat="1" hidden="1">
      <c r="A820" s="464"/>
      <c r="B820" s="472" t="s">
        <v>3676</v>
      </c>
      <c r="C820" s="525">
        <f>Data!AH3112</f>
        <v>419</v>
      </c>
      <c r="D820" s="524" t="s">
        <v>1418</v>
      </c>
      <c r="E820" s="526"/>
      <c r="F820" s="630">
        <f t="shared" si="261"/>
        <v>0</v>
      </c>
      <c r="G820" s="526"/>
      <c r="H820" s="517">
        <f t="shared" si="266"/>
        <v>0</v>
      </c>
      <c r="I820" s="526"/>
      <c r="J820" s="517">
        <f t="shared" si="267"/>
        <v>0</v>
      </c>
      <c r="K820" s="517"/>
      <c r="L820" s="517"/>
      <c r="M820" s="517"/>
      <c r="N820" s="517"/>
      <c r="O820" s="517"/>
      <c r="P820" s="517"/>
      <c r="Q820" s="517"/>
      <c r="R820" s="517"/>
      <c r="S820" s="517"/>
      <c r="T820" s="517">
        <f t="shared" si="264"/>
        <v>0</v>
      </c>
      <c r="U820" s="526"/>
      <c r="V820" s="517">
        <f t="shared" si="265"/>
        <v>0</v>
      </c>
      <c r="W820" s="632">
        <f t="shared" si="278"/>
        <v>0</v>
      </c>
      <c r="X820" s="517">
        <f t="shared" si="275"/>
        <v>0</v>
      </c>
      <c r="Y820" s="632">
        <f t="shared" si="279"/>
        <v>0</v>
      </c>
      <c r="Z820" s="517">
        <f t="shared" si="277"/>
        <v>0</v>
      </c>
      <c r="AA820" s="674"/>
      <c r="AB820" s="674"/>
    </row>
    <row r="821" spans="1:28" s="301" customFormat="1" hidden="1">
      <c r="A821" s="536"/>
      <c r="B821" s="537" t="s">
        <v>3965</v>
      </c>
      <c r="C821" s="553">
        <v>51.4</v>
      </c>
      <c r="D821" s="555" t="s">
        <v>1670</v>
      </c>
      <c r="E821" s="526"/>
      <c r="F821" s="630">
        <f t="shared" si="261"/>
        <v>0</v>
      </c>
      <c r="G821" s="526"/>
      <c r="H821" s="517">
        <f t="shared" si="266"/>
        <v>0</v>
      </c>
      <c r="I821" s="526"/>
      <c r="J821" s="517">
        <f t="shared" si="267"/>
        <v>0</v>
      </c>
      <c r="K821" s="517"/>
      <c r="L821" s="517"/>
      <c r="M821" s="517"/>
      <c r="N821" s="517"/>
      <c r="O821" s="517"/>
      <c r="P821" s="517"/>
      <c r="Q821" s="517"/>
      <c r="R821" s="517"/>
      <c r="S821" s="517"/>
      <c r="T821" s="517">
        <f t="shared" si="264"/>
        <v>0</v>
      </c>
      <c r="U821" s="526"/>
      <c r="V821" s="517">
        <f t="shared" si="265"/>
        <v>0</v>
      </c>
      <c r="W821" s="632">
        <f t="shared" si="278"/>
        <v>0</v>
      </c>
      <c r="X821" s="517">
        <f t="shared" si="275"/>
        <v>0</v>
      </c>
      <c r="Y821" s="632">
        <f t="shared" si="279"/>
        <v>0</v>
      </c>
      <c r="Z821" s="517">
        <f t="shared" si="277"/>
        <v>0</v>
      </c>
      <c r="AA821" s="675"/>
      <c r="AB821" s="674"/>
    </row>
    <row r="822" spans="1:28" s="301" customFormat="1" ht="46.5" hidden="1">
      <c r="A822" s="368"/>
      <c r="B822" s="320" t="s">
        <v>3739</v>
      </c>
      <c r="C822" s="485">
        <f>Data!AD1226</f>
        <v>2176.71</v>
      </c>
      <c r="D822" s="310" t="s">
        <v>2308</v>
      </c>
      <c r="E822" s="526"/>
      <c r="F822" s="630">
        <f t="shared" si="261"/>
        <v>0</v>
      </c>
      <c r="G822" s="526"/>
      <c r="H822" s="517">
        <f t="shared" si="266"/>
        <v>0</v>
      </c>
      <c r="I822" s="526"/>
      <c r="J822" s="517">
        <f t="shared" si="267"/>
        <v>0</v>
      </c>
      <c r="K822" s="517"/>
      <c r="L822" s="517"/>
      <c r="M822" s="517"/>
      <c r="N822" s="517"/>
      <c r="O822" s="517"/>
      <c r="P822" s="517"/>
      <c r="Q822" s="517"/>
      <c r="R822" s="517"/>
      <c r="S822" s="517"/>
      <c r="T822" s="517">
        <f t="shared" si="264"/>
        <v>0</v>
      </c>
      <c r="U822" s="526"/>
      <c r="V822" s="517">
        <f t="shared" si="265"/>
        <v>0</v>
      </c>
      <c r="W822" s="632">
        <f t="shared" si="278"/>
        <v>0</v>
      </c>
      <c r="X822" s="517">
        <f t="shared" si="275"/>
        <v>0</v>
      </c>
      <c r="Y822" s="632">
        <f t="shared" si="279"/>
        <v>0</v>
      </c>
      <c r="Z822" s="517">
        <f t="shared" si="277"/>
        <v>0</v>
      </c>
      <c r="AA822" s="675"/>
      <c r="AB822" s="674"/>
    </row>
    <row r="823" spans="1:28" s="301" customFormat="1" ht="93" hidden="1">
      <c r="A823" s="368" t="s">
        <v>3829</v>
      </c>
      <c r="B823" s="369" t="s">
        <v>4624</v>
      </c>
      <c r="C823" s="315"/>
      <c r="D823" s="315"/>
      <c r="E823" s="526"/>
      <c r="F823" s="630">
        <f t="shared" si="261"/>
        <v>0</v>
      </c>
      <c r="G823" s="526"/>
      <c r="H823" s="517">
        <f t="shared" si="266"/>
        <v>0</v>
      </c>
      <c r="I823" s="526"/>
      <c r="J823" s="517">
        <f t="shared" si="267"/>
        <v>0</v>
      </c>
      <c r="K823" s="517"/>
      <c r="L823" s="517"/>
      <c r="M823" s="517"/>
      <c r="N823" s="517"/>
      <c r="O823" s="517"/>
      <c r="P823" s="517"/>
      <c r="Q823" s="517"/>
      <c r="R823" s="517"/>
      <c r="S823" s="517"/>
      <c r="T823" s="517">
        <f t="shared" si="264"/>
        <v>0</v>
      </c>
      <c r="U823" s="526"/>
      <c r="V823" s="517">
        <f t="shared" si="265"/>
        <v>0</v>
      </c>
      <c r="W823" s="632">
        <f t="shared" si="278"/>
        <v>0</v>
      </c>
      <c r="X823" s="517">
        <f t="shared" si="275"/>
        <v>0</v>
      </c>
      <c r="Y823" s="632">
        <f t="shared" si="279"/>
        <v>0</v>
      </c>
      <c r="Z823" s="517">
        <f t="shared" si="277"/>
        <v>0</v>
      </c>
      <c r="AA823" s="534"/>
      <c r="AB823" s="674"/>
    </row>
    <row r="824" spans="1:28" s="301" customFormat="1" hidden="1">
      <c r="A824" s="368"/>
      <c r="B824" s="369" t="s">
        <v>4226</v>
      </c>
      <c r="C824" s="311">
        <f>'pile data ( M30 grade) (2)'!F17</f>
        <v>3043.23</v>
      </c>
      <c r="D824" s="311" t="s">
        <v>835</v>
      </c>
      <c r="E824" s="526"/>
      <c r="F824" s="630">
        <f t="shared" si="261"/>
        <v>0</v>
      </c>
      <c r="G824" s="526"/>
      <c r="H824" s="517">
        <f t="shared" si="266"/>
        <v>0</v>
      </c>
      <c r="I824" s="526"/>
      <c r="J824" s="517">
        <f t="shared" si="267"/>
        <v>0</v>
      </c>
      <c r="K824" s="517"/>
      <c r="L824" s="517"/>
      <c r="M824" s="517"/>
      <c r="N824" s="517"/>
      <c r="O824" s="517"/>
      <c r="P824" s="517"/>
      <c r="Q824" s="517"/>
      <c r="R824" s="517"/>
      <c r="S824" s="517"/>
      <c r="T824" s="517">
        <f t="shared" si="264"/>
        <v>0</v>
      </c>
      <c r="U824" s="526"/>
      <c r="V824" s="517">
        <f t="shared" si="265"/>
        <v>0</v>
      </c>
      <c r="W824" s="632">
        <f t="shared" si="278"/>
        <v>0</v>
      </c>
      <c r="X824" s="517">
        <f t="shared" si="275"/>
        <v>0</v>
      </c>
      <c r="Y824" s="632">
        <f t="shared" si="279"/>
        <v>0</v>
      </c>
      <c r="Z824" s="517">
        <f t="shared" si="277"/>
        <v>0</v>
      </c>
      <c r="AA824" s="675"/>
      <c r="AB824" s="674"/>
    </row>
    <row r="825" spans="1:28" s="301" customFormat="1" hidden="1">
      <c r="A825" s="368"/>
      <c r="B825" s="369" t="s">
        <v>4227</v>
      </c>
      <c r="C825" s="311">
        <f>'pile data ( M30 grade) (2)'!F81</f>
        <v>2697.57</v>
      </c>
      <c r="D825" s="311" t="s">
        <v>835</v>
      </c>
      <c r="E825" s="526"/>
      <c r="F825" s="630">
        <f t="shared" si="261"/>
        <v>0</v>
      </c>
      <c r="G825" s="526"/>
      <c r="H825" s="517">
        <f t="shared" si="266"/>
        <v>0</v>
      </c>
      <c r="I825" s="526"/>
      <c r="J825" s="517">
        <f t="shared" si="267"/>
        <v>0</v>
      </c>
      <c r="K825" s="517"/>
      <c r="L825" s="517"/>
      <c r="M825" s="517"/>
      <c r="N825" s="517"/>
      <c r="O825" s="517"/>
      <c r="P825" s="517"/>
      <c r="Q825" s="517"/>
      <c r="R825" s="517"/>
      <c r="S825" s="517"/>
      <c r="T825" s="517">
        <f t="shared" si="264"/>
        <v>0</v>
      </c>
      <c r="U825" s="526"/>
      <c r="V825" s="517">
        <f t="shared" si="265"/>
        <v>0</v>
      </c>
      <c r="W825" s="632">
        <f t="shared" si="278"/>
        <v>0</v>
      </c>
      <c r="X825" s="517">
        <f t="shared" si="275"/>
        <v>0</v>
      </c>
      <c r="Y825" s="632">
        <f t="shared" si="279"/>
        <v>0</v>
      </c>
      <c r="Z825" s="517">
        <f t="shared" si="277"/>
        <v>0</v>
      </c>
      <c r="AA825" s="675"/>
      <c r="AB825" s="674"/>
    </row>
    <row r="826" spans="1:28" s="301" customFormat="1" hidden="1">
      <c r="A826" s="368"/>
      <c r="B826" s="369" t="s">
        <v>4228</v>
      </c>
      <c r="C826" s="311">
        <f>'pile data ( M30 grade) (2)'!F141</f>
        <v>2387.87</v>
      </c>
      <c r="D826" s="311" t="s">
        <v>835</v>
      </c>
      <c r="E826" s="526"/>
      <c r="F826" s="630">
        <f t="shared" si="261"/>
        <v>0</v>
      </c>
      <c r="G826" s="526"/>
      <c r="H826" s="517">
        <f t="shared" si="266"/>
        <v>0</v>
      </c>
      <c r="I826" s="526"/>
      <c r="J826" s="517">
        <f t="shared" si="267"/>
        <v>0</v>
      </c>
      <c r="K826" s="517"/>
      <c r="L826" s="517"/>
      <c r="M826" s="517"/>
      <c r="N826" s="517"/>
      <c r="O826" s="517"/>
      <c r="P826" s="517"/>
      <c r="Q826" s="517"/>
      <c r="R826" s="517"/>
      <c r="S826" s="517"/>
      <c r="T826" s="517">
        <f t="shared" si="264"/>
        <v>0</v>
      </c>
      <c r="U826" s="526"/>
      <c r="V826" s="517">
        <f t="shared" si="265"/>
        <v>0</v>
      </c>
      <c r="W826" s="632">
        <f t="shared" si="278"/>
        <v>0</v>
      </c>
      <c r="X826" s="517">
        <f t="shared" si="275"/>
        <v>0</v>
      </c>
      <c r="Y826" s="632">
        <f t="shared" si="279"/>
        <v>0</v>
      </c>
      <c r="Z826" s="517">
        <f t="shared" si="277"/>
        <v>0</v>
      </c>
      <c r="AA826" s="675"/>
      <c r="AB826" s="674"/>
    </row>
    <row r="827" spans="1:28" s="301" customFormat="1" ht="69.75" hidden="1">
      <c r="A827" s="368"/>
      <c r="B827" s="371" t="s">
        <v>4017</v>
      </c>
      <c r="C827" s="367">
        <f>'[7]pile data'!G83</f>
        <v>0</v>
      </c>
      <c r="D827" s="367"/>
      <c r="E827" s="526"/>
      <c r="F827" s="630">
        <f t="shared" si="261"/>
        <v>0</v>
      </c>
      <c r="G827" s="526"/>
      <c r="H827" s="517">
        <f t="shared" si="266"/>
        <v>0</v>
      </c>
      <c r="I827" s="526"/>
      <c r="J827" s="517">
        <f t="shared" si="267"/>
        <v>0</v>
      </c>
      <c r="K827" s="517"/>
      <c r="L827" s="517"/>
      <c r="M827" s="517"/>
      <c r="N827" s="517"/>
      <c r="O827" s="517"/>
      <c r="P827" s="517"/>
      <c r="Q827" s="517"/>
      <c r="R827" s="517"/>
      <c r="S827" s="517"/>
      <c r="T827" s="517">
        <f t="shared" si="264"/>
        <v>0</v>
      </c>
      <c r="U827" s="526"/>
      <c r="V827" s="517">
        <f t="shared" si="265"/>
        <v>0</v>
      </c>
      <c r="W827" s="632">
        <f t="shared" si="278"/>
        <v>0</v>
      </c>
      <c r="X827" s="517">
        <f t="shared" si="275"/>
        <v>0</v>
      </c>
      <c r="Y827" s="632">
        <f t="shared" si="279"/>
        <v>0</v>
      </c>
      <c r="Z827" s="517">
        <f t="shared" si="277"/>
        <v>0</v>
      </c>
      <c r="AA827" s="675"/>
      <c r="AB827" s="674"/>
    </row>
    <row r="828" spans="1:28" s="301" customFormat="1" ht="93" hidden="1">
      <c r="A828" s="368"/>
      <c r="B828" s="369" t="s">
        <v>4018</v>
      </c>
      <c r="C828" s="315"/>
      <c r="D828" s="315"/>
      <c r="E828" s="526"/>
      <c r="F828" s="630">
        <f t="shared" si="261"/>
        <v>0</v>
      </c>
      <c r="G828" s="526"/>
      <c r="H828" s="517">
        <f t="shared" si="266"/>
        <v>0</v>
      </c>
      <c r="I828" s="526"/>
      <c r="J828" s="517">
        <f t="shared" si="267"/>
        <v>0</v>
      </c>
      <c r="K828" s="517"/>
      <c r="L828" s="517"/>
      <c r="M828" s="517"/>
      <c r="N828" s="517"/>
      <c r="O828" s="517"/>
      <c r="P828" s="517"/>
      <c r="Q828" s="517"/>
      <c r="R828" s="517"/>
      <c r="S828" s="517"/>
      <c r="T828" s="517">
        <f t="shared" si="264"/>
        <v>0</v>
      </c>
      <c r="U828" s="526"/>
      <c r="V828" s="517">
        <f t="shared" si="265"/>
        <v>0</v>
      </c>
      <c r="W828" s="632">
        <f t="shared" si="278"/>
        <v>0</v>
      </c>
      <c r="X828" s="517">
        <f t="shared" si="275"/>
        <v>0</v>
      </c>
      <c r="Y828" s="632">
        <f t="shared" si="279"/>
        <v>0</v>
      </c>
      <c r="Z828" s="517">
        <f t="shared" si="277"/>
        <v>0</v>
      </c>
      <c r="AA828" s="534"/>
      <c r="AB828" s="674"/>
    </row>
    <row r="829" spans="1:28" s="301" customFormat="1" hidden="1">
      <c r="A829" s="368"/>
      <c r="B829" s="369" t="s">
        <v>4226</v>
      </c>
      <c r="C829" s="311">
        <f>'pile data ( M30 grade) (2)'!F28</f>
        <v>764.05</v>
      </c>
      <c r="D829" s="311" t="s">
        <v>835</v>
      </c>
      <c r="E829" s="526"/>
      <c r="F829" s="630">
        <f t="shared" si="261"/>
        <v>0</v>
      </c>
      <c r="G829" s="526"/>
      <c r="H829" s="517">
        <f t="shared" si="266"/>
        <v>0</v>
      </c>
      <c r="I829" s="526"/>
      <c r="J829" s="517">
        <f t="shared" si="267"/>
        <v>0</v>
      </c>
      <c r="K829" s="517"/>
      <c r="L829" s="517"/>
      <c r="M829" s="517"/>
      <c r="N829" s="517"/>
      <c r="O829" s="517"/>
      <c r="P829" s="517"/>
      <c r="Q829" s="517"/>
      <c r="R829" s="517"/>
      <c r="S829" s="517"/>
      <c r="T829" s="517">
        <f t="shared" si="264"/>
        <v>0</v>
      </c>
      <c r="U829" s="526"/>
      <c r="V829" s="517">
        <f t="shared" si="265"/>
        <v>0</v>
      </c>
      <c r="W829" s="632">
        <f t="shared" si="278"/>
        <v>0</v>
      </c>
      <c r="X829" s="517">
        <f t="shared" si="275"/>
        <v>0</v>
      </c>
      <c r="Y829" s="632">
        <f t="shared" si="279"/>
        <v>0</v>
      </c>
      <c r="Z829" s="517">
        <f t="shared" si="277"/>
        <v>0</v>
      </c>
      <c r="AA829" s="675"/>
      <c r="AB829" s="674"/>
    </row>
    <row r="830" spans="1:28" s="301" customFormat="1" hidden="1">
      <c r="A830" s="368"/>
      <c r="B830" s="369" t="s">
        <v>4227</v>
      </c>
      <c r="C830" s="311">
        <f>'pile data ( M30 grade) (2)'!F92</f>
        <v>619.82000000000005</v>
      </c>
      <c r="D830" s="311" t="s">
        <v>835</v>
      </c>
      <c r="E830" s="526"/>
      <c r="F830" s="630">
        <f t="shared" si="261"/>
        <v>0</v>
      </c>
      <c r="G830" s="526"/>
      <c r="H830" s="517">
        <f t="shared" si="266"/>
        <v>0</v>
      </c>
      <c r="I830" s="526"/>
      <c r="J830" s="517">
        <f t="shared" si="267"/>
        <v>0</v>
      </c>
      <c r="K830" s="517"/>
      <c r="L830" s="517"/>
      <c r="M830" s="517"/>
      <c r="N830" s="517"/>
      <c r="O830" s="517"/>
      <c r="P830" s="517"/>
      <c r="Q830" s="517"/>
      <c r="R830" s="517"/>
      <c r="S830" s="517"/>
      <c r="T830" s="517">
        <f t="shared" si="264"/>
        <v>0</v>
      </c>
      <c r="U830" s="526"/>
      <c r="V830" s="517">
        <f t="shared" si="265"/>
        <v>0</v>
      </c>
      <c r="W830" s="632">
        <f t="shared" si="278"/>
        <v>0</v>
      </c>
      <c r="X830" s="517">
        <f t="shared" si="275"/>
        <v>0</v>
      </c>
      <c r="Y830" s="632">
        <f t="shared" si="279"/>
        <v>0</v>
      </c>
      <c r="Z830" s="517">
        <f t="shared" si="277"/>
        <v>0</v>
      </c>
      <c r="AA830" s="675"/>
      <c r="AB830" s="674"/>
    </row>
    <row r="831" spans="1:28" s="301" customFormat="1" hidden="1">
      <c r="A831" s="368"/>
      <c r="B831" s="369" t="s">
        <v>4228</v>
      </c>
      <c r="C831" s="311">
        <f>'pile data ( M30 grade) (2)'!F152</f>
        <v>491.17</v>
      </c>
      <c r="D831" s="311" t="s">
        <v>835</v>
      </c>
      <c r="E831" s="526"/>
      <c r="F831" s="630">
        <f t="shared" si="261"/>
        <v>0</v>
      </c>
      <c r="G831" s="526"/>
      <c r="H831" s="517">
        <f t="shared" si="266"/>
        <v>0</v>
      </c>
      <c r="I831" s="526"/>
      <c r="J831" s="517">
        <f t="shared" si="267"/>
        <v>0</v>
      </c>
      <c r="K831" s="517"/>
      <c r="L831" s="517"/>
      <c r="M831" s="517"/>
      <c r="N831" s="517"/>
      <c r="O831" s="517"/>
      <c r="P831" s="517"/>
      <c r="Q831" s="517"/>
      <c r="R831" s="517"/>
      <c r="S831" s="517"/>
      <c r="T831" s="517">
        <f t="shared" si="264"/>
        <v>0</v>
      </c>
      <c r="U831" s="526"/>
      <c r="V831" s="517">
        <f t="shared" si="265"/>
        <v>0</v>
      </c>
      <c r="W831" s="632">
        <f t="shared" si="278"/>
        <v>0</v>
      </c>
      <c r="X831" s="517">
        <f t="shared" si="275"/>
        <v>0</v>
      </c>
      <c r="Y831" s="632">
        <f t="shared" si="279"/>
        <v>0</v>
      </c>
      <c r="Z831" s="517">
        <f t="shared" si="277"/>
        <v>0</v>
      </c>
      <c r="AA831" s="675"/>
      <c r="AB831" s="674"/>
    </row>
    <row r="832" spans="1:28" s="301" customFormat="1" ht="93" hidden="1">
      <c r="A832" s="368"/>
      <c r="B832" s="369" t="s">
        <v>4019</v>
      </c>
      <c r="C832" s="311">
        <v>40000</v>
      </c>
      <c r="D832" s="311" t="s">
        <v>1414</v>
      </c>
      <c r="E832" s="526"/>
      <c r="F832" s="630">
        <f t="shared" si="261"/>
        <v>0</v>
      </c>
      <c r="G832" s="526"/>
      <c r="H832" s="517">
        <f t="shared" si="266"/>
        <v>0</v>
      </c>
      <c r="I832" s="526"/>
      <c r="J832" s="517">
        <f t="shared" si="267"/>
        <v>0</v>
      </c>
      <c r="K832" s="517"/>
      <c r="L832" s="517"/>
      <c r="M832" s="517"/>
      <c r="N832" s="517"/>
      <c r="O832" s="517"/>
      <c r="P832" s="517"/>
      <c r="Q832" s="517"/>
      <c r="R832" s="517"/>
      <c r="S832" s="517"/>
      <c r="T832" s="517">
        <f t="shared" si="264"/>
        <v>0</v>
      </c>
      <c r="U832" s="526"/>
      <c r="V832" s="517">
        <f t="shared" si="265"/>
        <v>0</v>
      </c>
      <c r="W832" s="632">
        <f t="shared" si="278"/>
        <v>0</v>
      </c>
      <c r="X832" s="517">
        <f t="shared" si="275"/>
        <v>0</v>
      </c>
      <c r="Y832" s="632">
        <f t="shared" si="279"/>
        <v>0</v>
      </c>
      <c r="Z832" s="517">
        <f t="shared" si="277"/>
        <v>0</v>
      </c>
      <c r="AA832" s="675"/>
      <c r="AB832" s="674"/>
    </row>
    <row r="833" spans="1:28" s="301" customFormat="1" ht="162.75" hidden="1">
      <c r="A833" s="368"/>
      <c r="B833" s="369" t="s">
        <v>4020</v>
      </c>
      <c r="C833" s="311">
        <v>70000</v>
      </c>
      <c r="D833" s="311" t="s">
        <v>1414</v>
      </c>
      <c r="E833" s="526"/>
      <c r="F833" s="630">
        <f t="shared" si="261"/>
        <v>0</v>
      </c>
      <c r="G833" s="526"/>
      <c r="H833" s="517">
        <f t="shared" si="266"/>
        <v>0</v>
      </c>
      <c r="I833" s="526"/>
      <c r="J833" s="517">
        <f t="shared" si="267"/>
        <v>0</v>
      </c>
      <c r="K833" s="517"/>
      <c r="L833" s="517"/>
      <c r="M833" s="517"/>
      <c r="N833" s="517"/>
      <c r="O833" s="517"/>
      <c r="P833" s="517"/>
      <c r="Q833" s="517"/>
      <c r="R833" s="517"/>
      <c r="S833" s="517"/>
      <c r="T833" s="517">
        <f t="shared" si="264"/>
        <v>0</v>
      </c>
      <c r="U833" s="526"/>
      <c r="V833" s="517">
        <f t="shared" si="265"/>
        <v>0</v>
      </c>
      <c r="W833" s="632">
        <f t="shared" si="278"/>
        <v>0</v>
      </c>
      <c r="X833" s="517">
        <f t="shared" si="275"/>
        <v>0</v>
      </c>
      <c r="Y833" s="632">
        <f t="shared" si="279"/>
        <v>0</v>
      </c>
      <c r="Z833" s="517">
        <f t="shared" si="277"/>
        <v>0</v>
      </c>
      <c r="AA833" s="675"/>
      <c r="AB833" s="674"/>
    </row>
    <row r="834" spans="1:28" s="301" customFormat="1" ht="39.75" hidden="1">
      <c r="A834" s="368"/>
      <c r="B834" s="320" t="s">
        <v>4181</v>
      </c>
      <c r="C834" s="485">
        <v>713.54</v>
      </c>
      <c r="D834" s="437" t="s">
        <v>2308</v>
      </c>
      <c r="E834" s="526"/>
      <c r="F834" s="630">
        <f t="shared" si="261"/>
        <v>0</v>
      </c>
      <c r="G834" s="526"/>
      <c r="H834" s="517">
        <f t="shared" si="266"/>
        <v>0</v>
      </c>
      <c r="I834" s="526"/>
      <c r="J834" s="517">
        <f t="shared" si="267"/>
        <v>0</v>
      </c>
      <c r="K834" s="517"/>
      <c r="L834" s="517"/>
      <c r="M834" s="517"/>
      <c r="N834" s="517"/>
      <c r="O834" s="517"/>
      <c r="P834" s="517"/>
      <c r="Q834" s="517"/>
      <c r="R834" s="517"/>
      <c r="S834" s="517"/>
      <c r="T834" s="517">
        <f t="shared" si="264"/>
        <v>0</v>
      </c>
      <c r="U834" s="526"/>
      <c r="V834" s="517">
        <f t="shared" si="265"/>
        <v>0</v>
      </c>
      <c r="W834" s="632">
        <f t="shared" si="278"/>
        <v>0</v>
      </c>
      <c r="X834" s="517">
        <f t="shared" si="275"/>
        <v>0</v>
      </c>
      <c r="Y834" s="632">
        <f t="shared" si="279"/>
        <v>0</v>
      </c>
      <c r="Z834" s="517">
        <f t="shared" si="277"/>
        <v>0</v>
      </c>
      <c r="AA834" s="675"/>
      <c r="AB834" s="674"/>
    </row>
    <row r="835" spans="1:28" s="301" customFormat="1" ht="93" hidden="1">
      <c r="A835" s="368"/>
      <c r="B835" s="369" t="s">
        <v>4182</v>
      </c>
      <c r="C835" s="456"/>
      <c r="D835" s="437"/>
      <c r="E835" s="526"/>
      <c r="F835" s="630">
        <f t="shared" si="261"/>
        <v>0</v>
      </c>
      <c r="G835" s="526"/>
      <c r="H835" s="517">
        <f t="shared" si="266"/>
        <v>0</v>
      </c>
      <c r="I835" s="526"/>
      <c r="J835" s="517">
        <f t="shared" si="267"/>
        <v>0</v>
      </c>
      <c r="K835" s="517"/>
      <c r="L835" s="517"/>
      <c r="M835" s="517"/>
      <c r="N835" s="517"/>
      <c r="O835" s="517"/>
      <c r="P835" s="517"/>
      <c r="Q835" s="517"/>
      <c r="R835" s="517"/>
      <c r="S835" s="517"/>
      <c r="T835" s="517">
        <f t="shared" si="264"/>
        <v>0</v>
      </c>
      <c r="U835" s="526"/>
      <c r="V835" s="517">
        <f t="shared" si="265"/>
        <v>0</v>
      </c>
      <c r="W835" s="632">
        <f t="shared" si="278"/>
        <v>0</v>
      </c>
      <c r="X835" s="517">
        <f t="shared" si="275"/>
        <v>0</v>
      </c>
      <c r="Y835" s="632">
        <f t="shared" si="279"/>
        <v>0</v>
      </c>
      <c r="Z835" s="517">
        <f t="shared" si="277"/>
        <v>0</v>
      </c>
      <c r="AA835" s="675"/>
      <c r="AB835" s="674"/>
    </row>
    <row r="836" spans="1:28" s="301" customFormat="1" hidden="1">
      <c r="A836" s="368"/>
      <c r="B836" s="299" t="s">
        <v>2166</v>
      </c>
      <c r="C836" s="456">
        <f>Elec.Data!K3824</f>
        <v>830.01</v>
      </c>
      <c r="D836" s="437" t="s">
        <v>1418</v>
      </c>
      <c r="E836" s="526"/>
      <c r="F836" s="630">
        <f t="shared" si="261"/>
        <v>0</v>
      </c>
      <c r="G836" s="526"/>
      <c r="H836" s="517">
        <f t="shared" si="266"/>
        <v>0</v>
      </c>
      <c r="I836" s="526"/>
      <c r="J836" s="517">
        <f t="shared" si="267"/>
        <v>0</v>
      </c>
      <c r="K836" s="517"/>
      <c r="L836" s="517"/>
      <c r="M836" s="517"/>
      <c r="N836" s="517"/>
      <c r="O836" s="517"/>
      <c r="P836" s="517"/>
      <c r="Q836" s="517"/>
      <c r="R836" s="517"/>
      <c r="S836" s="517"/>
      <c r="T836" s="517">
        <f t="shared" si="264"/>
        <v>0</v>
      </c>
      <c r="U836" s="526"/>
      <c r="V836" s="517">
        <f t="shared" si="265"/>
        <v>0</v>
      </c>
      <c r="W836" s="632">
        <f t="shared" si="278"/>
        <v>0</v>
      </c>
      <c r="X836" s="517">
        <f t="shared" si="275"/>
        <v>0</v>
      </c>
      <c r="Y836" s="632">
        <f t="shared" si="279"/>
        <v>0</v>
      </c>
      <c r="Z836" s="517">
        <f t="shared" si="277"/>
        <v>0</v>
      </c>
      <c r="AA836" s="675"/>
      <c r="AB836" s="674"/>
    </row>
    <row r="837" spans="1:28" s="301" customFormat="1" hidden="1">
      <c r="A837" s="368"/>
      <c r="B837" s="299" t="s">
        <v>1288</v>
      </c>
      <c r="C837" s="456">
        <f>Elec.Data!K3850</f>
        <v>833.16</v>
      </c>
      <c r="D837" s="437" t="s">
        <v>1418</v>
      </c>
      <c r="E837" s="526"/>
      <c r="F837" s="630">
        <f t="shared" si="261"/>
        <v>0</v>
      </c>
      <c r="G837" s="526"/>
      <c r="H837" s="517">
        <f t="shared" si="266"/>
        <v>0</v>
      </c>
      <c r="I837" s="526"/>
      <c r="J837" s="517">
        <f t="shared" si="267"/>
        <v>0</v>
      </c>
      <c r="K837" s="517"/>
      <c r="L837" s="517"/>
      <c r="M837" s="517"/>
      <c r="N837" s="517"/>
      <c r="O837" s="517"/>
      <c r="P837" s="517"/>
      <c r="Q837" s="517"/>
      <c r="R837" s="517"/>
      <c r="S837" s="517"/>
      <c r="T837" s="517">
        <f t="shared" si="264"/>
        <v>0</v>
      </c>
      <c r="U837" s="526"/>
      <c r="V837" s="517">
        <f t="shared" si="265"/>
        <v>0</v>
      </c>
      <c r="W837" s="632">
        <f t="shared" si="278"/>
        <v>0</v>
      </c>
      <c r="X837" s="517">
        <f t="shared" si="275"/>
        <v>0</v>
      </c>
      <c r="Y837" s="632">
        <f t="shared" si="279"/>
        <v>0</v>
      </c>
      <c r="Z837" s="517">
        <f t="shared" si="277"/>
        <v>0</v>
      </c>
      <c r="AA837" s="675"/>
      <c r="AB837" s="674"/>
    </row>
    <row r="838" spans="1:28" s="301" customFormat="1" hidden="1">
      <c r="A838" s="368"/>
      <c r="B838" s="299" t="s">
        <v>4824</v>
      </c>
      <c r="C838" s="456">
        <f>Elec.Data!K3866</f>
        <v>871.29</v>
      </c>
      <c r="D838" s="437"/>
      <c r="E838" s="526"/>
      <c r="F838" s="630">
        <f t="shared" si="261"/>
        <v>0</v>
      </c>
      <c r="G838" s="526"/>
      <c r="H838" s="517">
        <f t="shared" si="266"/>
        <v>0</v>
      </c>
      <c r="I838" s="526"/>
      <c r="J838" s="517">
        <f t="shared" si="267"/>
        <v>0</v>
      </c>
      <c r="K838" s="517"/>
      <c r="L838" s="517"/>
      <c r="M838" s="517"/>
      <c r="N838" s="517"/>
      <c r="O838" s="517"/>
      <c r="P838" s="517"/>
      <c r="Q838" s="517"/>
      <c r="R838" s="517"/>
      <c r="S838" s="517"/>
      <c r="T838" s="517">
        <f t="shared" si="264"/>
        <v>0</v>
      </c>
      <c r="U838" s="526"/>
      <c r="V838" s="517">
        <f t="shared" si="265"/>
        <v>0</v>
      </c>
      <c r="W838" s="632">
        <f t="shared" si="278"/>
        <v>0</v>
      </c>
      <c r="X838" s="517">
        <f t="shared" si="275"/>
        <v>0</v>
      </c>
      <c r="Y838" s="632">
        <f t="shared" si="279"/>
        <v>0</v>
      </c>
      <c r="Z838" s="517">
        <f t="shared" si="277"/>
        <v>0</v>
      </c>
      <c r="AA838" s="675"/>
      <c r="AB838" s="674"/>
    </row>
    <row r="839" spans="1:28" s="301" customFormat="1" ht="87" hidden="1">
      <c r="A839" s="368"/>
      <c r="B839" s="299" t="s">
        <v>4183</v>
      </c>
      <c r="C839" s="456">
        <f>Elec.Data!K3927</f>
        <v>638.45000000000005</v>
      </c>
      <c r="D839" s="437" t="s">
        <v>1418</v>
      </c>
      <c r="E839" s="526"/>
      <c r="F839" s="630">
        <f t="shared" si="261"/>
        <v>0</v>
      </c>
      <c r="G839" s="526"/>
      <c r="H839" s="517">
        <f t="shared" si="266"/>
        <v>0</v>
      </c>
      <c r="I839" s="526"/>
      <c r="J839" s="517">
        <f t="shared" si="267"/>
        <v>0</v>
      </c>
      <c r="K839" s="517"/>
      <c r="L839" s="517"/>
      <c r="M839" s="517"/>
      <c r="N839" s="517"/>
      <c r="O839" s="517"/>
      <c r="P839" s="517"/>
      <c r="Q839" s="517"/>
      <c r="R839" s="517"/>
      <c r="S839" s="517"/>
      <c r="T839" s="517">
        <f t="shared" si="264"/>
        <v>0</v>
      </c>
      <c r="U839" s="526"/>
      <c r="V839" s="517">
        <f t="shared" si="265"/>
        <v>0</v>
      </c>
      <c r="W839" s="632">
        <f t="shared" si="278"/>
        <v>0</v>
      </c>
      <c r="X839" s="517">
        <f t="shared" si="275"/>
        <v>0</v>
      </c>
      <c r="Y839" s="632">
        <f t="shared" si="279"/>
        <v>0</v>
      </c>
      <c r="Z839" s="517">
        <f t="shared" si="277"/>
        <v>0</v>
      </c>
      <c r="AA839" s="675"/>
      <c r="AB839" s="674"/>
    </row>
    <row r="840" spans="1:28" s="301" customFormat="1" ht="87" hidden="1">
      <c r="A840" s="368"/>
      <c r="B840" s="299" t="s">
        <v>4184</v>
      </c>
      <c r="C840" s="456">
        <f>Elec.Data!K2977</f>
        <v>764.91</v>
      </c>
      <c r="D840" s="437" t="s">
        <v>1418</v>
      </c>
      <c r="E840" s="526"/>
      <c r="F840" s="630">
        <f t="shared" ref="F840:F957" si="280">E840*C840</f>
        <v>0</v>
      </c>
      <c r="G840" s="526"/>
      <c r="H840" s="517">
        <f t="shared" ref="H840:H904" si="281">G840*C840</f>
        <v>0</v>
      </c>
      <c r="I840" s="526"/>
      <c r="J840" s="517">
        <f t="shared" ref="J840:J904" si="282">I840*C840</f>
        <v>0</v>
      </c>
      <c r="K840" s="517"/>
      <c r="L840" s="517"/>
      <c r="M840" s="517"/>
      <c r="N840" s="517"/>
      <c r="O840" s="517"/>
      <c r="P840" s="517"/>
      <c r="Q840" s="517"/>
      <c r="R840" s="517"/>
      <c r="S840" s="517"/>
      <c r="T840" s="517">
        <f t="shared" si="264"/>
        <v>0</v>
      </c>
      <c r="U840" s="526"/>
      <c r="V840" s="517">
        <f t="shared" si="265"/>
        <v>0</v>
      </c>
      <c r="W840" s="632">
        <f t="shared" si="278"/>
        <v>0</v>
      </c>
      <c r="X840" s="517">
        <f t="shared" si="275"/>
        <v>0</v>
      </c>
      <c r="Y840" s="632">
        <f t="shared" si="279"/>
        <v>0</v>
      </c>
      <c r="Z840" s="517">
        <f t="shared" si="277"/>
        <v>0</v>
      </c>
      <c r="AA840" s="675"/>
      <c r="AB840" s="674"/>
    </row>
    <row r="841" spans="1:28" s="301" customFormat="1" ht="65.25" hidden="1">
      <c r="A841" s="368"/>
      <c r="B841" s="457" t="s">
        <v>4185</v>
      </c>
      <c r="C841" s="458">
        <f>Elec.Data!K3888</f>
        <v>917.36</v>
      </c>
      <c r="D841" s="436" t="s">
        <v>1796</v>
      </c>
      <c r="E841" s="526"/>
      <c r="F841" s="630">
        <f t="shared" si="280"/>
        <v>0</v>
      </c>
      <c r="G841" s="526"/>
      <c r="H841" s="517">
        <f t="shared" si="281"/>
        <v>0</v>
      </c>
      <c r="I841" s="526"/>
      <c r="J841" s="517">
        <f t="shared" si="282"/>
        <v>0</v>
      </c>
      <c r="K841" s="517"/>
      <c r="L841" s="517"/>
      <c r="M841" s="517"/>
      <c r="N841" s="517"/>
      <c r="O841" s="517"/>
      <c r="P841" s="517"/>
      <c r="Q841" s="517"/>
      <c r="R841" s="517"/>
      <c r="S841" s="517"/>
      <c r="T841" s="517">
        <f t="shared" si="264"/>
        <v>0</v>
      </c>
      <c r="U841" s="526"/>
      <c r="V841" s="517">
        <f t="shared" si="265"/>
        <v>0</v>
      </c>
      <c r="W841" s="632">
        <f t="shared" si="278"/>
        <v>0</v>
      </c>
      <c r="X841" s="517">
        <f t="shared" si="275"/>
        <v>0</v>
      </c>
      <c r="Y841" s="632">
        <f t="shared" si="279"/>
        <v>0</v>
      </c>
      <c r="Z841" s="517">
        <f t="shared" si="277"/>
        <v>0</v>
      </c>
      <c r="AA841" s="675"/>
      <c r="AB841" s="674"/>
    </row>
    <row r="842" spans="1:28" s="301" customFormat="1" ht="65.25" hidden="1">
      <c r="A842" s="368"/>
      <c r="B842" s="505" t="s">
        <v>4223</v>
      </c>
      <c r="C842" s="458">
        <f>Data!K3789</f>
        <v>3734.46</v>
      </c>
      <c r="D842" s="459" t="s">
        <v>2308</v>
      </c>
      <c r="E842" s="526"/>
      <c r="F842" s="630">
        <f t="shared" si="280"/>
        <v>0</v>
      </c>
      <c r="G842" s="526"/>
      <c r="H842" s="517">
        <f t="shared" si="281"/>
        <v>0</v>
      </c>
      <c r="I842" s="526"/>
      <c r="J842" s="517">
        <f t="shared" si="282"/>
        <v>0</v>
      </c>
      <c r="K842" s="517"/>
      <c r="L842" s="517"/>
      <c r="M842" s="517"/>
      <c r="N842" s="517"/>
      <c r="O842" s="517"/>
      <c r="P842" s="517"/>
      <c r="Q842" s="517"/>
      <c r="R842" s="517"/>
      <c r="S842" s="517"/>
      <c r="T842" s="517">
        <f t="shared" si="264"/>
        <v>0</v>
      </c>
      <c r="U842" s="526"/>
      <c r="V842" s="517">
        <f t="shared" si="265"/>
        <v>0</v>
      </c>
      <c r="W842" s="632">
        <f t="shared" si="278"/>
        <v>0</v>
      </c>
      <c r="X842" s="517">
        <f t="shared" ref="X842:X866" si="283">W842*C842</f>
        <v>0</v>
      </c>
      <c r="Y842" s="632">
        <f t="shared" si="279"/>
        <v>0</v>
      </c>
      <c r="Z842" s="517">
        <f t="shared" si="277"/>
        <v>0</v>
      </c>
      <c r="AA842" s="675"/>
      <c r="AB842" s="674"/>
    </row>
    <row r="843" spans="1:28" s="301" customFormat="1" ht="43.5" hidden="1">
      <c r="A843" s="368"/>
      <c r="B843" s="505" t="s">
        <v>4201</v>
      </c>
      <c r="C843" s="458">
        <f>Data!X3665</f>
        <v>5581.27</v>
      </c>
      <c r="D843" s="459" t="s">
        <v>2308</v>
      </c>
      <c r="E843" s="526"/>
      <c r="F843" s="630">
        <f t="shared" si="280"/>
        <v>0</v>
      </c>
      <c r="G843" s="526"/>
      <c r="H843" s="517">
        <f t="shared" si="281"/>
        <v>0</v>
      </c>
      <c r="I843" s="526"/>
      <c r="J843" s="517">
        <f t="shared" si="282"/>
        <v>0</v>
      </c>
      <c r="K843" s="517"/>
      <c r="L843" s="517"/>
      <c r="M843" s="517"/>
      <c r="N843" s="517"/>
      <c r="O843" s="517"/>
      <c r="P843" s="517"/>
      <c r="Q843" s="517"/>
      <c r="R843" s="517"/>
      <c r="S843" s="517"/>
      <c r="T843" s="517">
        <f t="shared" si="264"/>
        <v>0</v>
      </c>
      <c r="U843" s="526"/>
      <c r="V843" s="517">
        <f t="shared" si="265"/>
        <v>0</v>
      </c>
      <c r="W843" s="632">
        <f t="shared" si="278"/>
        <v>0</v>
      </c>
      <c r="X843" s="517">
        <f t="shared" si="283"/>
        <v>0</v>
      </c>
      <c r="Y843" s="632">
        <f t="shared" si="279"/>
        <v>0</v>
      </c>
      <c r="Z843" s="517">
        <f t="shared" si="277"/>
        <v>0</v>
      </c>
      <c r="AA843" s="675"/>
      <c r="AB843" s="674"/>
    </row>
    <row r="844" spans="1:28" s="301" customFormat="1" ht="43.5" hidden="1">
      <c r="A844" s="368"/>
      <c r="B844" s="505" t="s">
        <v>4222</v>
      </c>
      <c r="C844" s="458">
        <f>Data!X3693</f>
        <v>7223.65</v>
      </c>
      <c r="D844" s="459" t="s">
        <v>2308</v>
      </c>
      <c r="E844" s="526"/>
      <c r="F844" s="630">
        <f t="shared" si="280"/>
        <v>0</v>
      </c>
      <c r="G844" s="526"/>
      <c r="H844" s="517">
        <f t="shared" si="281"/>
        <v>0</v>
      </c>
      <c r="I844" s="526"/>
      <c r="J844" s="517">
        <f t="shared" si="282"/>
        <v>0</v>
      </c>
      <c r="K844" s="517"/>
      <c r="L844" s="517"/>
      <c r="M844" s="517"/>
      <c r="N844" s="517"/>
      <c r="O844" s="517"/>
      <c r="P844" s="517"/>
      <c r="Q844" s="517"/>
      <c r="R844" s="517"/>
      <c r="S844" s="517"/>
      <c r="T844" s="517">
        <f t="shared" si="264"/>
        <v>0</v>
      </c>
      <c r="U844" s="526"/>
      <c r="V844" s="517">
        <f t="shared" si="265"/>
        <v>0</v>
      </c>
      <c r="W844" s="632">
        <f t="shared" si="278"/>
        <v>0</v>
      </c>
      <c r="X844" s="517">
        <f t="shared" si="283"/>
        <v>0</v>
      </c>
      <c r="Y844" s="632">
        <f t="shared" si="279"/>
        <v>0</v>
      </c>
      <c r="Z844" s="517">
        <f t="shared" si="277"/>
        <v>0</v>
      </c>
      <c r="AA844" s="675"/>
      <c r="AB844" s="674"/>
    </row>
    <row r="845" spans="1:28" s="301" customFormat="1" ht="43.5" hidden="1">
      <c r="A845" s="368"/>
      <c r="B845" s="505" t="s">
        <v>4188</v>
      </c>
      <c r="C845" s="458">
        <f>Data!K3834</f>
        <v>1266.92</v>
      </c>
      <c r="D845" s="436" t="s">
        <v>2308</v>
      </c>
      <c r="E845" s="526"/>
      <c r="F845" s="630">
        <f t="shared" si="280"/>
        <v>0</v>
      </c>
      <c r="G845" s="526"/>
      <c r="H845" s="517">
        <f t="shared" si="281"/>
        <v>0</v>
      </c>
      <c r="I845" s="526"/>
      <c r="J845" s="517">
        <f t="shared" si="282"/>
        <v>0</v>
      </c>
      <c r="K845" s="517"/>
      <c r="L845" s="517"/>
      <c r="M845" s="517"/>
      <c r="N845" s="517"/>
      <c r="O845" s="517"/>
      <c r="P845" s="517"/>
      <c r="Q845" s="517"/>
      <c r="R845" s="517"/>
      <c r="S845" s="517"/>
      <c r="T845" s="517">
        <f t="shared" si="264"/>
        <v>0</v>
      </c>
      <c r="U845" s="526"/>
      <c r="V845" s="517">
        <f t="shared" si="265"/>
        <v>0</v>
      </c>
      <c r="W845" s="632">
        <f t="shared" si="278"/>
        <v>0</v>
      </c>
      <c r="X845" s="517">
        <f t="shared" si="283"/>
        <v>0</v>
      </c>
      <c r="Y845" s="632">
        <f t="shared" si="279"/>
        <v>0</v>
      </c>
      <c r="Z845" s="517">
        <f t="shared" si="277"/>
        <v>0</v>
      </c>
      <c r="AA845" s="675"/>
      <c r="AB845" s="674"/>
    </row>
    <row r="846" spans="1:28" s="301" customFormat="1" ht="43.5" hidden="1">
      <c r="A846" s="368"/>
      <c r="B846" s="314" t="s">
        <v>4187</v>
      </c>
      <c r="C846" s="458">
        <f>Data!K3811</f>
        <v>1535.68</v>
      </c>
      <c r="D846" s="436" t="s">
        <v>2308</v>
      </c>
      <c r="E846" s="526"/>
      <c r="F846" s="630">
        <f t="shared" si="280"/>
        <v>0</v>
      </c>
      <c r="G846" s="526"/>
      <c r="H846" s="517">
        <f t="shared" si="281"/>
        <v>0</v>
      </c>
      <c r="I846" s="526"/>
      <c r="J846" s="517">
        <f t="shared" si="282"/>
        <v>0</v>
      </c>
      <c r="K846" s="517"/>
      <c r="L846" s="517"/>
      <c r="M846" s="517"/>
      <c r="N846" s="517"/>
      <c r="O846" s="517"/>
      <c r="P846" s="517"/>
      <c r="Q846" s="517"/>
      <c r="R846" s="517"/>
      <c r="S846" s="517"/>
      <c r="T846" s="517">
        <f t="shared" si="264"/>
        <v>0</v>
      </c>
      <c r="U846" s="526"/>
      <c r="V846" s="517">
        <f t="shared" si="265"/>
        <v>0</v>
      </c>
      <c r="W846" s="632">
        <f t="shared" si="278"/>
        <v>0</v>
      </c>
      <c r="X846" s="517">
        <f t="shared" si="283"/>
        <v>0</v>
      </c>
      <c r="Y846" s="632">
        <f t="shared" si="279"/>
        <v>0</v>
      </c>
      <c r="Z846" s="517">
        <f t="shared" si="277"/>
        <v>0</v>
      </c>
      <c r="AA846" s="675"/>
      <c r="AB846" s="674"/>
    </row>
    <row r="847" spans="1:28" s="301" customFormat="1" ht="112.5" hidden="1">
      <c r="A847" s="368"/>
      <c r="B847" s="1166" t="s">
        <v>4847</v>
      </c>
      <c r="C847" s="635">
        <v>1830</v>
      </c>
      <c r="D847" s="636" t="s">
        <v>1418</v>
      </c>
      <c r="E847" s="526"/>
      <c r="F847" s="1392">
        <f t="shared" si="280"/>
        <v>0</v>
      </c>
      <c r="G847" s="517"/>
      <c r="H847" s="517">
        <f>G847*C847</f>
        <v>0</v>
      </c>
      <c r="I847" s="517"/>
      <c r="J847" s="517">
        <f>I847*C847</f>
        <v>0</v>
      </c>
      <c r="K847" s="517"/>
      <c r="L847" s="517">
        <f>K847*C847</f>
        <v>0</v>
      </c>
      <c r="M847" s="517"/>
      <c r="N847" s="517">
        <f>M847*C847</f>
        <v>0</v>
      </c>
      <c r="O847" s="517"/>
      <c r="P847" s="517">
        <f>O847*C847</f>
        <v>0</v>
      </c>
      <c r="Q847" s="517"/>
      <c r="R847" s="517"/>
      <c r="S847" s="517"/>
      <c r="T847" s="517">
        <f t="shared" si="264"/>
        <v>0</v>
      </c>
      <c r="U847" s="517"/>
      <c r="V847" s="517">
        <f t="shared" si="265"/>
        <v>0</v>
      </c>
      <c r="W847" s="632" t="e">
        <f>U847+S847+O847+M847+#REF!+K847+I847+G847</f>
        <v>#REF!</v>
      </c>
      <c r="X847" s="517" t="e">
        <f t="shared" si="283"/>
        <v>#REF!</v>
      </c>
      <c r="Y847" s="632" t="e">
        <f>W847+E847</f>
        <v>#REF!</v>
      </c>
      <c r="Z847" s="517" t="e">
        <f t="shared" ref="Z847:Z866" si="284">Y847*C847</f>
        <v>#REF!</v>
      </c>
      <c r="AA847" s="675"/>
      <c r="AB847" s="673"/>
    </row>
    <row r="848" spans="1:28" s="301" customFormat="1" ht="123" hidden="1" customHeight="1">
      <c r="A848" s="536"/>
      <c r="B848" s="465" t="s">
        <v>4234</v>
      </c>
      <c r="C848" s="556">
        <f>Elec.Data!K4096</f>
        <v>34310</v>
      </c>
      <c r="D848" s="557" t="s">
        <v>1418</v>
      </c>
      <c r="E848" s="526"/>
      <c r="F848" s="630">
        <f t="shared" si="280"/>
        <v>0</v>
      </c>
      <c r="G848" s="526"/>
      <c r="H848" s="517">
        <f t="shared" si="281"/>
        <v>0</v>
      </c>
      <c r="I848" s="526"/>
      <c r="J848" s="517">
        <f t="shared" si="282"/>
        <v>0</v>
      </c>
      <c r="K848" s="517"/>
      <c r="L848" s="517"/>
      <c r="M848" s="517"/>
      <c r="N848" s="517"/>
      <c r="O848" s="517"/>
      <c r="P848" s="517"/>
      <c r="Q848" s="517"/>
      <c r="R848" s="517"/>
      <c r="S848" s="517"/>
      <c r="T848" s="517">
        <f t="shared" si="264"/>
        <v>0</v>
      </c>
      <c r="U848" s="526"/>
      <c r="V848" s="517">
        <f t="shared" si="265"/>
        <v>0</v>
      </c>
      <c r="W848" s="632">
        <f>I848+S848+U848</f>
        <v>0</v>
      </c>
      <c r="X848" s="517">
        <f t="shared" si="283"/>
        <v>0</v>
      </c>
      <c r="Y848" s="632">
        <f>W848+E848+G848</f>
        <v>0</v>
      </c>
      <c r="Z848" s="517">
        <f t="shared" si="284"/>
        <v>0</v>
      </c>
      <c r="AA848" s="675"/>
      <c r="AB848" s="674"/>
    </row>
    <row r="849" spans="1:28" s="301" customFormat="1" ht="89.25" hidden="1" customHeight="1">
      <c r="A849" s="368"/>
      <c r="B849" s="479" t="s">
        <v>4520</v>
      </c>
      <c r="C849" s="460">
        <v>8100</v>
      </c>
      <c r="D849" s="461" t="s">
        <v>1418</v>
      </c>
      <c r="E849" s="526"/>
      <c r="F849" s="630">
        <f t="shared" si="280"/>
        <v>0</v>
      </c>
      <c r="G849" s="526"/>
      <c r="H849" s="517">
        <f t="shared" si="281"/>
        <v>0</v>
      </c>
      <c r="I849" s="526"/>
      <c r="J849" s="517">
        <f t="shared" si="282"/>
        <v>0</v>
      </c>
      <c r="K849" s="517"/>
      <c r="L849" s="517"/>
      <c r="M849" s="517"/>
      <c r="N849" s="517"/>
      <c r="O849" s="517"/>
      <c r="P849" s="517"/>
      <c r="Q849" s="517"/>
      <c r="R849" s="517"/>
      <c r="S849" s="517"/>
      <c r="T849" s="517">
        <f t="shared" si="264"/>
        <v>0</v>
      </c>
      <c r="U849" s="526"/>
      <c r="V849" s="517">
        <f t="shared" si="265"/>
        <v>0</v>
      </c>
      <c r="W849" s="632">
        <f>I849+S849+U849</f>
        <v>0</v>
      </c>
      <c r="X849" s="517">
        <f t="shared" si="283"/>
        <v>0</v>
      </c>
      <c r="Y849" s="632">
        <f>W849+E849+G849</f>
        <v>0</v>
      </c>
      <c r="Z849" s="517">
        <f t="shared" si="284"/>
        <v>0</v>
      </c>
      <c r="AA849" s="675"/>
      <c r="AB849" s="674"/>
    </row>
    <row r="850" spans="1:28" s="475" customFormat="1" ht="117.75" hidden="1" customHeight="1">
      <c r="A850" s="476"/>
      <c r="B850" s="483" t="s">
        <v>4468</v>
      </c>
      <c r="C850" s="478">
        <v>829</v>
      </c>
      <c r="D850" s="471" t="s">
        <v>1418</v>
      </c>
      <c r="E850" s="526"/>
      <c r="F850" s="630">
        <f t="shared" si="280"/>
        <v>0</v>
      </c>
      <c r="G850" s="526"/>
      <c r="H850" s="517">
        <f t="shared" si="281"/>
        <v>0</v>
      </c>
      <c r="I850" s="526"/>
      <c r="J850" s="517">
        <f t="shared" si="282"/>
        <v>0</v>
      </c>
      <c r="K850" s="517"/>
      <c r="L850" s="517"/>
      <c r="M850" s="517"/>
      <c r="N850" s="517"/>
      <c r="O850" s="517"/>
      <c r="P850" s="517"/>
      <c r="Q850" s="517"/>
      <c r="R850" s="517"/>
      <c r="S850" s="517"/>
      <c r="T850" s="517">
        <f t="shared" si="264"/>
        <v>0</v>
      </c>
      <c r="U850" s="526"/>
      <c r="V850" s="517">
        <f t="shared" si="265"/>
        <v>0</v>
      </c>
      <c r="W850" s="632">
        <f>I850+S850+U850</f>
        <v>0</v>
      </c>
      <c r="X850" s="517">
        <f t="shared" si="283"/>
        <v>0</v>
      </c>
      <c r="Y850" s="632">
        <f>W850+E850+G850</f>
        <v>0</v>
      </c>
      <c r="Z850" s="517">
        <f t="shared" si="284"/>
        <v>0</v>
      </c>
      <c r="AA850" s="674"/>
      <c r="AB850" s="674"/>
    </row>
    <row r="851" spans="1:28" s="301" customFormat="1" ht="58.5" customHeight="1">
      <c r="A851" s="1608"/>
      <c r="B851" s="1207" t="s">
        <v>4898</v>
      </c>
      <c r="C851" s="1716">
        <v>8460</v>
      </c>
      <c r="D851" s="1717" t="s">
        <v>1418</v>
      </c>
      <c r="E851" s="1616"/>
      <c r="F851" s="1633">
        <f t="shared" si="280"/>
        <v>0</v>
      </c>
      <c r="G851" s="1616"/>
      <c r="H851" s="1618">
        <f>G851*C851</f>
        <v>0</v>
      </c>
      <c r="I851" s="1616"/>
      <c r="J851" s="1618">
        <f>I851*C851</f>
        <v>0</v>
      </c>
      <c r="K851" s="1618"/>
      <c r="L851" s="1618">
        <f>K851*C851</f>
        <v>0</v>
      </c>
      <c r="M851" s="1618"/>
      <c r="N851" s="1618">
        <f>M851*C851</f>
        <v>0</v>
      </c>
      <c r="O851" s="1618"/>
      <c r="P851" s="1618">
        <f>O851*C851</f>
        <v>0</v>
      </c>
      <c r="Q851" s="1618"/>
      <c r="R851" s="1618">
        <f>Q851*C851</f>
        <v>0</v>
      </c>
      <c r="S851" s="1618"/>
      <c r="T851" s="1618">
        <f t="shared" si="264"/>
        <v>0</v>
      </c>
      <c r="U851" s="1616"/>
      <c r="V851" s="1618">
        <f t="shared" si="265"/>
        <v>0</v>
      </c>
      <c r="W851" s="1619" t="e">
        <f>U851+S851+O851+M851+#REF!+K851+I851+G851+Q851</f>
        <v>#REF!</v>
      </c>
      <c r="X851" s="1618" t="e">
        <f t="shared" si="283"/>
        <v>#REF!</v>
      </c>
      <c r="Y851" s="1619" t="e">
        <f>W851+E851</f>
        <v>#REF!</v>
      </c>
      <c r="Z851" s="1618" t="e">
        <f t="shared" si="284"/>
        <v>#REF!</v>
      </c>
      <c r="AA851" s="675"/>
      <c r="AB851" s="674"/>
    </row>
    <row r="852" spans="1:28" s="301" customFormat="1" ht="111" hidden="1" customHeight="1">
      <c r="A852" s="476">
        <v>21.6</v>
      </c>
      <c r="B852" s="477" t="s">
        <v>4431</v>
      </c>
      <c r="C852" s="466"/>
      <c r="D852" s="467"/>
      <c r="E852" s="526"/>
      <c r="F852" s="630">
        <f t="shared" si="280"/>
        <v>0</v>
      </c>
      <c r="G852" s="526"/>
      <c r="H852" s="517">
        <f t="shared" si="281"/>
        <v>0</v>
      </c>
      <c r="I852" s="526"/>
      <c r="J852" s="517">
        <f t="shared" si="282"/>
        <v>0</v>
      </c>
      <c r="K852" s="517"/>
      <c r="L852" s="517"/>
      <c r="M852" s="517"/>
      <c r="N852" s="517"/>
      <c r="O852" s="517"/>
      <c r="P852" s="517"/>
      <c r="Q852" s="517"/>
      <c r="R852" s="517"/>
      <c r="S852" s="517"/>
      <c r="T852" s="517">
        <f t="shared" si="264"/>
        <v>0</v>
      </c>
      <c r="U852" s="526"/>
      <c r="V852" s="517">
        <f t="shared" si="265"/>
        <v>0</v>
      </c>
      <c r="W852" s="632">
        <f>I852+S852+U852</f>
        <v>0</v>
      </c>
      <c r="X852" s="517">
        <f t="shared" si="283"/>
        <v>0</v>
      </c>
      <c r="Y852" s="632">
        <f>W852+E852+G852</f>
        <v>0</v>
      </c>
      <c r="Z852" s="517">
        <f t="shared" si="284"/>
        <v>0</v>
      </c>
      <c r="AA852" s="675"/>
      <c r="AB852" s="674"/>
    </row>
    <row r="853" spans="1:28" s="301" customFormat="1" ht="45" hidden="1" customHeight="1">
      <c r="A853" s="482"/>
      <c r="B853" s="479" t="s">
        <v>577</v>
      </c>
      <c r="C853" s="466">
        <f>Data!K3947</f>
        <v>2455.4699999999998</v>
      </c>
      <c r="D853" s="467" t="s">
        <v>1418</v>
      </c>
      <c r="E853" s="526"/>
      <c r="F853" s="630">
        <f t="shared" si="280"/>
        <v>0</v>
      </c>
      <c r="G853" s="526"/>
      <c r="H853" s="517">
        <f t="shared" si="281"/>
        <v>0</v>
      </c>
      <c r="I853" s="526"/>
      <c r="J853" s="517">
        <f t="shared" si="282"/>
        <v>0</v>
      </c>
      <c r="K853" s="517"/>
      <c r="L853" s="517"/>
      <c r="M853" s="517"/>
      <c r="N853" s="517"/>
      <c r="O853" s="517"/>
      <c r="P853" s="517"/>
      <c r="Q853" s="517"/>
      <c r="R853" s="517"/>
      <c r="S853" s="517"/>
      <c r="T853" s="517">
        <f t="shared" si="264"/>
        <v>0</v>
      </c>
      <c r="U853" s="526"/>
      <c r="V853" s="517">
        <f t="shared" si="265"/>
        <v>0</v>
      </c>
      <c r="W853" s="632">
        <f>I853+S853+U853</f>
        <v>0</v>
      </c>
      <c r="X853" s="517">
        <f t="shared" si="283"/>
        <v>0</v>
      </c>
      <c r="Y853" s="632">
        <f>W853+E853+G853</f>
        <v>0</v>
      </c>
      <c r="Z853" s="517">
        <f t="shared" si="284"/>
        <v>0</v>
      </c>
      <c r="AA853" s="675"/>
      <c r="AB853" s="674"/>
    </row>
    <row r="854" spans="1:28" s="301" customFormat="1" ht="45" hidden="1" customHeight="1">
      <c r="A854" s="374"/>
      <c r="B854" s="320" t="s">
        <v>3836</v>
      </c>
      <c r="C854" s="308">
        <f>Data!K3980</f>
        <v>2957.3</v>
      </c>
      <c r="D854" s="486" t="s">
        <v>1418</v>
      </c>
      <c r="E854" s="526"/>
      <c r="F854" s="630">
        <f t="shared" si="280"/>
        <v>0</v>
      </c>
      <c r="G854" s="526"/>
      <c r="H854" s="517">
        <f t="shared" si="281"/>
        <v>0</v>
      </c>
      <c r="I854" s="526"/>
      <c r="J854" s="517">
        <f t="shared" si="282"/>
        <v>0</v>
      </c>
      <c r="K854" s="517"/>
      <c r="L854" s="517"/>
      <c r="M854" s="517"/>
      <c r="N854" s="517"/>
      <c r="O854" s="517"/>
      <c r="P854" s="517"/>
      <c r="Q854" s="517"/>
      <c r="R854" s="517"/>
      <c r="S854" s="517"/>
      <c r="T854" s="517">
        <f t="shared" ref="T854:T866" si="285">S854*C854</f>
        <v>0</v>
      </c>
      <c r="U854" s="526"/>
      <c r="V854" s="517">
        <f t="shared" ref="V854:V866" si="286">U854*C854</f>
        <v>0</v>
      </c>
      <c r="W854" s="632">
        <f>I854+S854+U854</f>
        <v>0</v>
      </c>
      <c r="X854" s="517">
        <f t="shared" si="283"/>
        <v>0</v>
      </c>
      <c r="Y854" s="632">
        <f>W854+E854+G854</f>
        <v>0</v>
      </c>
      <c r="Z854" s="517">
        <f t="shared" si="284"/>
        <v>0</v>
      </c>
      <c r="AA854" s="675"/>
      <c r="AB854" s="674"/>
    </row>
    <row r="855" spans="1:28" s="301" customFormat="1" ht="45" hidden="1" customHeight="1">
      <c r="A855" s="374"/>
      <c r="B855" s="320" t="s">
        <v>3743</v>
      </c>
      <c r="C855" s="308">
        <f>Data!K3963</f>
        <v>2421.2399999999998</v>
      </c>
      <c r="D855" s="486"/>
      <c r="E855" s="526"/>
      <c r="F855" s="630">
        <f t="shared" si="280"/>
        <v>0</v>
      </c>
      <c r="G855" s="526"/>
      <c r="H855" s="517">
        <f t="shared" si="281"/>
        <v>0</v>
      </c>
      <c r="I855" s="526"/>
      <c r="J855" s="517">
        <f t="shared" si="282"/>
        <v>0</v>
      </c>
      <c r="K855" s="517"/>
      <c r="L855" s="517"/>
      <c r="M855" s="517"/>
      <c r="N855" s="517"/>
      <c r="O855" s="517"/>
      <c r="P855" s="517"/>
      <c r="Q855" s="517"/>
      <c r="R855" s="517"/>
      <c r="S855" s="517"/>
      <c r="T855" s="517">
        <f t="shared" si="285"/>
        <v>0</v>
      </c>
      <c r="U855" s="526"/>
      <c r="V855" s="517">
        <f t="shared" si="286"/>
        <v>0</v>
      </c>
      <c r="W855" s="632">
        <f>I855+S855+U855</f>
        <v>0</v>
      </c>
      <c r="X855" s="517">
        <f t="shared" si="283"/>
        <v>0</v>
      </c>
      <c r="Y855" s="632">
        <f>W855+E855+G855</f>
        <v>0</v>
      </c>
      <c r="Z855" s="517">
        <f t="shared" si="284"/>
        <v>0</v>
      </c>
      <c r="AA855" s="675"/>
      <c r="AB855" s="674"/>
    </row>
    <row r="856" spans="1:28" s="301" customFormat="1" ht="54.75" hidden="1" customHeight="1">
      <c r="A856" s="374"/>
      <c r="B856" s="320" t="s">
        <v>1929</v>
      </c>
      <c r="C856" s="307">
        <f>Data!K3929</f>
        <v>2475.81</v>
      </c>
      <c r="D856" s="486" t="s">
        <v>1418</v>
      </c>
      <c r="E856" s="526"/>
      <c r="F856" s="630">
        <f t="shared" si="280"/>
        <v>0</v>
      </c>
      <c r="G856" s="526"/>
      <c r="H856" s="517">
        <f t="shared" si="281"/>
        <v>0</v>
      </c>
      <c r="I856" s="526"/>
      <c r="J856" s="517">
        <f t="shared" si="282"/>
        <v>0</v>
      </c>
      <c r="K856" s="517"/>
      <c r="L856" s="517"/>
      <c r="M856" s="517"/>
      <c r="N856" s="517"/>
      <c r="O856" s="517"/>
      <c r="P856" s="517"/>
      <c r="Q856" s="517"/>
      <c r="R856" s="517"/>
      <c r="S856" s="517"/>
      <c r="T856" s="517">
        <f t="shared" si="285"/>
        <v>0</v>
      </c>
      <c r="U856" s="526"/>
      <c r="V856" s="517">
        <f t="shared" si="286"/>
        <v>0</v>
      </c>
      <c r="W856" s="632">
        <f>I856+S856+U856</f>
        <v>0</v>
      </c>
      <c r="X856" s="517">
        <f t="shared" si="283"/>
        <v>0</v>
      </c>
      <c r="Y856" s="632">
        <f>W856+E856+G856</f>
        <v>0</v>
      </c>
      <c r="Z856" s="517">
        <f t="shared" si="284"/>
        <v>0</v>
      </c>
      <c r="AA856" s="675"/>
      <c r="AB856" s="674"/>
    </row>
    <row r="857" spans="1:28" s="301" customFormat="1" ht="54.95" customHeight="1">
      <c r="A857" s="1675"/>
      <c r="B857" s="1166" t="s">
        <v>5196</v>
      </c>
      <c r="C857" s="1718">
        <v>134</v>
      </c>
      <c r="D857" s="1631" t="s">
        <v>1418</v>
      </c>
      <c r="E857" s="1616"/>
      <c r="F857" s="1633">
        <f t="shared" si="280"/>
        <v>0</v>
      </c>
      <c r="G857" s="1618"/>
      <c r="H857" s="1618">
        <f t="shared" si="281"/>
        <v>0</v>
      </c>
      <c r="I857" s="1618"/>
      <c r="J857" s="1618">
        <f t="shared" si="282"/>
        <v>0</v>
      </c>
      <c r="K857" s="1618"/>
      <c r="L857" s="1618">
        <f t="shared" ref="L857:L861" si="287">K857*C857</f>
        <v>0</v>
      </c>
      <c r="M857" s="1618"/>
      <c r="N857" s="1618">
        <f>M857*C857</f>
        <v>0</v>
      </c>
      <c r="O857" s="1618"/>
      <c r="P857" s="1618">
        <f>O857*C857</f>
        <v>0</v>
      </c>
      <c r="Q857" s="1618"/>
      <c r="R857" s="1618">
        <f>Q857*C857</f>
        <v>0</v>
      </c>
      <c r="S857" s="1618"/>
      <c r="T857" s="1618">
        <f t="shared" si="285"/>
        <v>0</v>
      </c>
      <c r="U857" s="1618"/>
      <c r="V857" s="1618">
        <f t="shared" si="286"/>
        <v>0</v>
      </c>
      <c r="W857" s="1619" t="e">
        <f>U857+S857+O857+M857+#REF!+K857+I857+G857+Q857</f>
        <v>#REF!</v>
      </c>
      <c r="X857" s="1618" t="e">
        <f t="shared" si="283"/>
        <v>#REF!</v>
      </c>
      <c r="Y857" s="1619" t="e">
        <f>W857+E857</f>
        <v>#REF!</v>
      </c>
      <c r="Z857" s="1618" t="e">
        <f t="shared" si="284"/>
        <v>#REF!</v>
      </c>
      <c r="AA857" s="675"/>
      <c r="AB857" s="673"/>
    </row>
    <row r="858" spans="1:28" s="301" customFormat="1" ht="54.95" customHeight="1">
      <c r="A858" s="1675"/>
      <c r="B858" s="1166" t="s">
        <v>5197</v>
      </c>
      <c r="C858" s="1166">
        <v>635</v>
      </c>
      <c r="D858" s="1631" t="s">
        <v>1418</v>
      </c>
      <c r="E858" s="1616">
        <f>station!I999</f>
        <v>73</v>
      </c>
      <c r="F858" s="1633">
        <f t="shared" si="280"/>
        <v>46355</v>
      </c>
      <c r="G858" s="1618"/>
      <c r="H858" s="1618">
        <f t="shared" si="281"/>
        <v>0</v>
      </c>
      <c r="I858" s="1618"/>
      <c r="J858" s="1618">
        <f t="shared" si="282"/>
        <v>0</v>
      </c>
      <c r="K858" s="1618"/>
      <c r="L858" s="1618">
        <f t="shared" si="287"/>
        <v>0</v>
      </c>
      <c r="M858" s="1618"/>
      <c r="N858" s="1618">
        <f>M858*C858</f>
        <v>0</v>
      </c>
      <c r="O858" s="1618"/>
      <c r="P858" s="1618">
        <f>O858*C858</f>
        <v>0</v>
      </c>
      <c r="Q858" s="1618"/>
      <c r="R858" s="1618">
        <f>Q858*C858</f>
        <v>0</v>
      </c>
      <c r="S858" s="1618"/>
      <c r="T858" s="1618">
        <f t="shared" si="285"/>
        <v>0</v>
      </c>
      <c r="U858" s="1618"/>
      <c r="V858" s="1618">
        <f t="shared" si="286"/>
        <v>0</v>
      </c>
      <c r="W858" s="1619" t="e">
        <f>U858+S858+O858+M858+#REF!+K858+I858+G858+Q858</f>
        <v>#REF!</v>
      </c>
      <c r="X858" s="1618" t="e">
        <f t="shared" si="283"/>
        <v>#REF!</v>
      </c>
      <c r="Y858" s="1619" t="e">
        <f>W858+E858</f>
        <v>#REF!</v>
      </c>
      <c r="Z858" s="1618" t="e">
        <f t="shared" si="284"/>
        <v>#REF!</v>
      </c>
      <c r="AA858" s="675"/>
      <c r="AB858" s="673"/>
    </row>
    <row r="859" spans="1:28" s="301" customFormat="1" ht="65.099999999999994" customHeight="1">
      <c r="A859" s="1675"/>
      <c r="B859" s="1166" t="s">
        <v>4856</v>
      </c>
      <c r="C859" s="1166">
        <v>462</v>
      </c>
      <c r="D859" s="1610" t="s">
        <v>1418</v>
      </c>
      <c r="E859" s="1616"/>
      <c r="F859" s="1633">
        <f t="shared" si="280"/>
        <v>0</v>
      </c>
      <c r="G859" s="1618"/>
      <c r="H859" s="1618">
        <f t="shared" si="281"/>
        <v>0</v>
      </c>
      <c r="I859" s="1618"/>
      <c r="J859" s="1618">
        <f t="shared" si="282"/>
        <v>0</v>
      </c>
      <c r="K859" s="1618"/>
      <c r="L859" s="1618">
        <f t="shared" si="287"/>
        <v>0</v>
      </c>
      <c r="M859" s="1618"/>
      <c r="N859" s="1618">
        <f>M859*C859</f>
        <v>0</v>
      </c>
      <c r="O859" s="1618"/>
      <c r="P859" s="1618">
        <f>O859*C859</f>
        <v>0</v>
      </c>
      <c r="Q859" s="1618"/>
      <c r="R859" s="1618">
        <f>Q859*C859</f>
        <v>0</v>
      </c>
      <c r="S859" s="1618"/>
      <c r="T859" s="1618">
        <f t="shared" si="285"/>
        <v>0</v>
      </c>
      <c r="U859" s="1618"/>
      <c r="V859" s="1618">
        <f t="shared" si="286"/>
        <v>0</v>
      </c>
      <c r="W859" s="1619" t="e">
        <f>U859+S859+O859+M859+#REF!+K859+I859+G859+Q859</f>
        <v>#REF!</v>
      </c>
      <c r="X859" s="1618" t="e">
        <f t="shared" si="283"/>
        <v>#REF!</v>
      </c>
      <c r="Y859" s="1619" t="e">
        <f>W859+E859</f>
        <v>#REF!</v>
      </c>
      <c r="Z859" s="1618" t="e">
        <f t="shared" si="284"/>
        <v>#REF!</v>
      </c>
      <c r="AA859" s="675"/>
      <c r="AB859" s="673"/>
    </row>
    <row r="860" spans="1:28" s="301" customFormat="1" ht="54.95" customHeight="1">
      <c r="A860" s="1675"/>
      <c r="B860" s="1166" t="s">
        <v>4885</v>
      </c>
      <c r="C860" s="1166">
        <v>2991</v>
      </c>
      <c r="D860" s="1610" t="s">
        <v>1418</v>
      </c>
      <c r="E860" s="1616">
        <f>station!I1464</f>
        <v>5</v>
      </c>
      <c r="F860" s="1633">
        <f t="shared" si="280"/>
        <v>14955</v>
      </c>
      <c r="G860" s="1618"/>
      <c r="H860" s="1618">
        <f t="shared" si="281"/>
        <v>0</v>
      </c>
      <c r="I860" s="1618"/>
      <c r="J860" s="1618">
        <f t="shared" si="282"/>
        <v>0</v>
      </c>
      <c r="K860" s="1618"/>
      <c r="L860" s="1618">
        <f t="shared" si="287"/>
        <v>0</v>
      </c>
      <c r="M860" s="1618"/>
      <c r="N860" s="1618">
        <f>M860*C860</f>
        <v>0</v>
      </c>
      <c r="O860" s="1618"/>
      <c r="P860" s="1618">
        <f>O860*C860</f>
        <v>0</v>
      </c>
      <c r="Q860" s="1618"/>
      <c r="R860" s="1618">
        <f>Q860*C860</f>
        <v>0</v>
      </c>
      <c r="S860" s="1618"/>
      <c r="T860" s="1618">
        <f t="shared" si="285"/>
        <v>0</v>
      </c>
      <c r="U860" s="1618"/>
      <c r="V860" s="1618">
        <f t="shared" si="286"/>
        <v>0</v>
      </c>
      <c r="W860" s="1619" t="e">
        <f>U860+S860+O860+M860+#REF!+K860+I860+G860+Q860</f>
        <v>#REF!</v>
      </c>
      <c r="X860" s="1618" t="e">
        <f t="shared" si="283"/>
        <v>#REF!</v>
      </c>
      <c r="Y860" s="1619" t="e">
        <f>W860+E860</f>
        <v>#REF!</v>
      </c>
      <c r="Z860" s="1618" t="e">
        <f t="shared" si="284"/>
        <v>#REF!</v>
      </c>
      <c r="AA860" s="675"/>
      <c r="AB860" s="673"/>
    </row>
    <row r="861" spans="1:28" s="301" customFormat="1" ht="54.95" customHeight="1">
      <c r="A861" s="1675"/>
      <c r="B861" s="1166" t="s">
        <v>5353</v>
      </c>
      <c r="C861" s="1166">
        <v>170</v>
      </c>
      <c r="D861" s="1610" t="str">
        <f>D860</f>
        <v>Each</v>
      </c>
      <c r="E861" s="1616">
        <f>station!I1493</f>
        <v>18</v>
      </c>
      <c r="F861" s="1633">
        <f t="shared" si="280"/>
        <v>3060</v>
      </c>
      <c r="G861" s="1618"/>
      <c r="H861" s="1618">
        <f t="shared" si="281"/>
        <v>0</v>
      </c>
      <c r="I861" s="1618"/>
      <c r="J861" s="1618">
        <f t="shared" si="282"/>
        <v>0</v>
      </c>
      <c r="K861" s="1618"/>
      <c r="L861" s="1618">
        <f t="shared" si="287"/>
        <v>0</v>
      </c>
      <c r="M861" s="1618"/>
      <c r="N861" s="1618">
        <f>M861*C861</f>
        <v>0</v>
      </c>
      <c r="O861" s="1618"/>
      <c r="P861" s="1618">
        <f>O861*C861</f>
        <v>0</v>
      </c>
      <c r="Q861" s="1618"/>
      <c r="R861" s="1618">
        <f>Q861*C861</f>
        <v>0</v>
      </c>
      <c r="S861" s="1618"/>
      <c r="T861" s="1618">
        <f t="shared" si="285"/>
        <v>0</v>
      </c>
      <c r="U861" s="1618"/>
      <c r="V861" s="1618">
        <f t="shared" si="286"/>
        <v>0</v>
      </c>
      <c r="W861" s="1619" t="e">
        <f>U861+S861+O861+M861+#REF!+K861+I861+G861+Q861</f>
        <v>#REF!</v>
      </c>
      <c r="X861" s="1618" t="e">
        <f t="shared" si="283"/>
        <v>#REF!</v>
      </c>
      <c r="Y861" s="1619" t="e">
        <f>W861+E861</f>
        <v>#REF!</v>
      </c>
      <c r="Z861" s="1618" t="e">
        <f t="shared" si="284"/>
        <v>#REF!</v>
      </c>
      <c r="AA861" s="675"/>
      <c r="AB861" s="673"/>
    </row>
    <row r="862" spans="1:28" s="301" customFormat="1" ht="62.25" hidden="1" customHeight="1">
      <c r="A862" s="374"/>
      <c r="B862" s="469" t="s">
        <v>4479</v>
      </c>
      <c r="C862" s="516">
        <v>5350</v>
      </c>
      <c r="D862" s="467" t="s">
        <v>2308</v>
      </c>
      <c r="E862" s="526"/>
      <c r="F862" s="630">
        <f t="shared" si="280"/>
        <v>0</v>
      </c>
      <c r="G862" s="526"/>
      <c r="H862" s="517">
        <f t="shared" si="281"/>
        <v>0</v>
      </c>
      <c r="I862" s="526"/>
      <c r="J862" s="517">
        <f t="shared" si="282"/>
        <v>0</v>
      </c>
      <c r="K862" s="517"/>
      <c r="L862" s="517"/>
      <c r="M862" s="517"/>
      <c r="N862" s="517"/>
      <c r="O862" s="517"/>
      <c r="P862" s="517"/>
      <c r="Q862" s="517"/>
      <c r="R862" s="517"/>
      <c r="S862" s="517"/>
      <c r="T862" s="517">
        <f t="shared" si="285"/>
        <v>0</v>
      </c>
      <c r="U862" s="526"/>
      <c r="V862" s="517">
        <f t="shared" si="286"/>
        <v>0</v>
      </c>
      <c r="W862" s="632">
        <f>I862+S862+U862</f>
        <v>0</v>
      </c>
      <c r="X862" s="517">
        <f t="shared" si="283"/>
        <v>0</v>
      </c>
      <c r="Y862" s="632">
        <f>W862+E862+G862</f>
        <v>0</v>
      </c>
      <c r="Z862" s="517">
        <f t="shared" si="284"/>
        <v>0</v>
      </c>
      <c r="AA862" s="675"/>
      <c r="AB862" s="674"/>
    </row>
    <row r="863" spans="1:28" s="301" customFormat="1" ht="62.25" hidden="1" customHeight="1">
      <c r="A863" s="666"/>
      <c r="B863" s="667" t="s">
        <v>4476</v>
      </c>
      <c r="C863" s="520">
        <f>Data!K3735</f>
        <v>84.17</v>
      </c>
      <c r="D863" s="446" t="s">
        <v>2308</v>
      </c>
      <c r="E863" s="651"/>
      <c r="F863" s="630">
        <f t="shared" si="280"/>
        <v>0</v>
      </c>
      <c r="G863" s="651"/>
      <c r="H863" s="517">
        <f t="shared" si="281"/>
        <v>0</v>
      </c>
      <c r="I863" s="651"/>
      <c r="J863" s="517">
        <f t="shared" si="282"/>
        <v>0</v>
      </c>
      <c r="K863" s="654"/>
      <c r="L863" s="654"/>
      <c r="M863" s="654"/>
      <c r="N863" s="654"/>
      <c r="O863" s="654"/>
      <c r="P863" s="654"/>
      <c r="Q863" s="654"/>
      <c r="R863" s="654"/>
      <c r="S863" s="654"/>
      <c r="T863" s="517">
        <f t="shared" si="285"/>
        <v>0</v>
      </c>
      <c r="U863" s="651"/>
      <c r="V863" s="517">
        <f t="shared" si="286"/>
        <v>0</v>
      </c>
      <c r="W863" s="632">
        <f>I863+S863+U863</f>
        <v>0</v>
      </c>
      <c r="X863" s="517">
        <f t="shared" si="283"/>
        <v>0</v>
      </c>
      <c r="Y863" s="632">
        <f>W863+E863+G863</f>
        <v>0</v>
      </c>
      <c r="Z863" s="517">
        <f t="shared" si="284"/>
        <v>0</v>
      </c>
      <c r="AA863" s="675"/>
      <c r="AB863" s="674"/>
    </row>
    <row r="864" spans="1:28" s="301" customFormat="1" ht="40.9" hidden="1" customHeight="1">
      <c r="A864" s="374"/>
      <c r="B864" s="670" t="s">
        <v>4884</v>
      </c>
      <c r="C864" s="320"/>
      <c r="D864" s="514"/>
      <c r="E864" s="517"/>
      <c r="F864" s="630">
        <f t="shared" si="280"/>
        <v>0</v>
      </c>
      <c r="G864" s="517"/>
      <c r="H864" s="517">
        <f t="shared" si="281"/>
        <v>0</v>
      </c>
      <c r="I864" s="517"/>
      <c r="J864" s="517">
        <f t="shared" si="282"/>
        <v>0</v>
      </c>
      <c r="K864" s="517"/>
      <c r="L864" s="517"/>
      <c r="M864" s="517"/>
      <c r="N864" s="517"/>
      <c r="O864" s="517"/>
      <c r="P864" s="517"/>
      <c r="Q864" s="517"/>
      <c r="R864" s="517"/>
      <c r="S864" s="517"/>
      <c r="T864" s="517">
        <f t="shared" si="285"/>
        <v>0</v>
      </c>
      <c r="U864" s="517"/>
      <c r="V864" s="517">
        <f t="shared" si="286"/>
        <v>0</v>
      </c>
      <c r="W864" s="632">
        <f>I864+S864+U864</f>
        <v>0</v>
      </c>
      <c r="X864" s="517">
        <f t="shared" si="283"/>
        <v>0</v>
      </c>
      <c r="Y864" s="632">
        <f>W864+E864+G864</f>
        <v>0</v>
      </c>
      <c r="Z864" s="517">
        <f t="shared" si="284"/>
        <v>0</v>
      </c>
      <c r="AA864" s="675"/>
      <c r="AB864" s="673"/>
    </row>
    <row r="865" spans="1:28" s="301" customFormat="1" ht="76.5" customHeight="1">
      <c r="A865" s="1675"/>
      <c r="B865" s="1208" t="s">
        <v>4895</v>
      </c>
      <c r="C865" s="1719">
        <v>34607</v>
      </c>
      <c r="D865" s="1720" t="s">
        <v>1418</v>
      </c>
      <c r="E865" s="1623"/>
      <c r="F865" s="1633">
        <f t="shared" si="280"/>
        <v>0</v>
      </c>
      <c r="G865" s="1618"/>
      <c r="H865" s="1618">
        <f t="shared" si="281"/>
        <v>0</v>
      </c>
      <c r="I865" s="1618"/>
      <c r="J865" s="1618">
        <f t="shared" si="282"/>
        <v>0</v>
      </c>
      <c r="K865" s="1618"/>
      <c r="L865" s="1618">
        <f t="shared" ref="L865:L929" si="288">K865*C865</f>
        <v>0</v>
      </c>
      <c r="M865" s="1618"/>
      <c r="N865" s="1618">
        <f>M865*C865</f>
        <v>0</v>
      </c>
      <c r="O865" s="1618"/>
      <c r="P865" s="1618">
        <f>O865*C865</f>
        <v>0</v>
      </c>
      <c r="Q865" s="1618"/>
      <c r="R865" s="1618">
        <f>Q865*C865</f>
        <v>0</v>
      </c>
      <c r="S865" s="1618"/>
      <c r="T865" s="1618">
        <f t="shared" si="285"/>
        <v>0</v>
      </c>
      <c r="U865" s="1618"/>
      <c r="V865" s="1618">
        <f t="shared" si="286"/>
        <v>0</v>
      </c>
      <c r="W865" s="1619" t="e">
        <f>U865+S865+O865+M865+#REF!+K865+I865+G865+Q865</f>
        <v>#REF!</v>
      </c>
      <c r="X865" s="1618" t="e">
        <f t="shared" si="283"/>
        <v>#REF!</v>
      </c>
      <c r="Y865" s="1619" t="e">
        <f>W865+E865</f>
        <v>#REF!</v>
      </c>
      <c r="Z865" s="1618" t="e">
        <f t="shared" si="284"/>
        <v>#REF!</v>
      </c>
      <c r="AA865" s="675"/>
      <c r="AB865" s="673"/>
    </row>
    <row r="866" spans="1:28" s="301" customFormat="1" ht="75" customHeight="1">
      <c r="A866" s="1675"/>
      <c r="B866" s="1208" t="s">
        <v>4899</v>
      </c>
      <c r="C866" s="1719">
        <v>410</v>
      </c>
      <c r="D866" s="1720" t="s">
        <v>835</v>
      </c>
      <c r="E866" s="1616"/>
      <c r="F866" s="1633">
        <f t="shared" si="280"/>
        <v>0</v>
      </c>
      <c r="G866" s="1618"/>
      <c r="H866" s="1618">
        <f t="shared" si="281"/>
        <v>0</v>
      </c>
      <c r="I866" s="1618"/>
      <c r="J866" s="1618">
        <f t="shared" si="282"/>
        <v>0</v>
      </c>
      <c r="K866" s="1618"/>
      <c r="L866" s="1618">
        <f t="shared" si="288"/>
        <v>0</v>
      </c>
      <c r="M866" s="1618"/>
      <c r="N866" s="1618">
        <f>M866*C866</f>
        <v>0</v>
      </c>
      <c r="O866" s="1618"/>
      <c r="P866" s="1618">
        <f>O866*C866</f>
        <v>0</v>
      </c>
      <c r="Q866" s="1618"/>
      <c r="R866" s="1618">
        <f>Q866*C866</f>
        <v>0</v>
      </c>
      <c r="S866" s="1618"/>
      <c r="T866" s="1618">
        <f t="shared" si="285"/>
        <v>0</v>
      </c>
      <c r="U866" s="1618"/>
      <c r="V866" s="1618">
        <f t="shared" si="286"/>
        <v>0</v>
      </c>
      <c r="W866" s="1619" t="e">
        <f>U866+S866+O866+M866+#REF!+K866+I866+G866+Q866</f>
        <v>#REF!</v>
      </c>
      <c r="X866" s="1618" t="e">
        <f t="shared" si="283"/>
        <v>#REF!</v>
      </c>
      <c r="Y866" s="1619" t="e">
        <f>W866+E866</f>
        <v>#REF!</v>
      </c>
      <c r="Z866" s="1618" t="e">
        <f t="shared" si="284"/>
        <v>#REF!</v>
      </c>
      <c r="AA866" s="675"/>
      <c r="AB866" s="673"/>
    </row>
    <row r="867" spans="1:28" s="301" customFormat="1" ht="48" customHeight="1">
      <c r="A867" s="1675"/>
      <c r="B867" s="1200" t="s">
        <v>604</v>
      </c>
      <c r="C867" s="1737">
        <f>8.2*1500</f>
        <v>12300</v>
      </c>
      <c r="D867" s="1732" t="s">
        <v>1418</v>
      </c>
      <c r="E867" s="1616">
        <f>station!I1520</f>
        <v>2</v>
      </c>
      <c r="F867" s="1633">
        <f t="shared" si="280"/>
        <v>24600</v>
      </c>
      <c r="G867" s="1618"/>
      <c r="H867" s="1618"/>
      <c r="I867" s="1618"/>
      <c r="J867" s="1618"/>
      <c r="K867" s="1618"/>
      <c r="L867" s="1618"/>
      <c r="M867" s="1618"/>
      <c r="N867" s="1618"/>
      <c r="O867" s="1618"/>
      <c r="P867" s="1618"/>
      <c r="Q867" s="1618"/>
      <c r="R867" s="1618"/>
      <c r="S867" s="1618"/>
      <c r="T867" s="1618"/>
      <c r="U867" s="1618"/>
      <c r="V867" s="1618"/>
      <c r="W867" s="1619"/>
      <c r="X867" s="1618"/>
      <c r="Y867" s="1619"/>
      <c r="Z867" s="1618"/>
      <c r="AA867" s="675"/>
      <c r="AB867" s="673"/>
    </row>
    <row r="868" spans="1:28" s="301" customFormat="1" ht="36" customHeight="1">
      <c r="A868" s="1675"/>
      <c r="B868" s="1599" t="s">
        <v>6352</v>
      </c>
      <c r="C868" s="1719"/>
      <c r="D868" s="1720"/>
      <c r="E868" s="1616"/>
      <c r="F868" s="1626"/>
      <c r="G868" s="1618"/>
      <c r="H868" s="1618">
        <f t="shared" si="281"/>
        <v>0</v>
      </c>
      <c r="I868" s="1618"/>
      <c r="J868" s="1618">
        <f t="shared" si="282"/>
        <v>0</v>
      </c>
      <c r="K868" s="1618"/>
      <c r="L868" s="1618">
        <f t="shared" si="288"/>
        <v>0</v>
      </c>
      <c r="M868" s="1618"/>
      <c r="N868" s="1618">
        <f t="shared" ref="N868:N899" si="289">M868*C868</f>
        <v>0</v>
      </c>
      <c r="O868" s="1618"/>
      <c r="P868" s="1618">
        <f t="shared" ref="P868:P899" si="290">O868*C868</f>
        <v>0</v>
      </c>
      <c r="Q868" s="1618"/>
      <c r="R868" s="1618">
        <f t="shared" ref="R868:R899" si="291">Q868*C868</f>
        <v>0</v>
      </c>
      <c r="S868" s="1618"/>
      <c r="T868" s="1618">
        <f t="shared" ref="T868:T899" si="292">S868*C868</f>
        <v>0</v>
      </c>
      <c r="U868" s="1618"/>
      <c r="V868" s="1618">
        <f t="shared" ref="V868:V899" si="293">U868*C868</f>
        <v>0</v>
      </c>
      <c r="W868" s="1619" t="e">
        <f>U868+S868+O868+M868+#REF!+K868+I868+G868+Q868</f>
        <v>#REF!</v>
      </c>
      <c r="X868" s="1618"/>
      <c r="Y868" s="1619" t="e">
        <f t="shared" ref="Y868:Y899" si="294">W868+E868</f>
        <v>#REF!</v>
      </c>
      <c r="Z868" s="1618" t="e">
        <f t="shared" ref="Z868:Z899" si="295">Y868*C868</f>
        <v>#REF!</v>
      </c>
      <c r="AA868" s="675"/>
      <c r="AB868" s="673"/>
    </row>
    <row r="869" spans="1:28" s="301" customFormat="1" ht="75" customHeight="1">
      <c r="A869" s="1675"/>
      <c r="B869" s="1577" t="s">
        <v>6235</v>
      </c>
      <c r="C869" s="1574">
        <v>275</v>
      </c>
      <c r="D869" s="1575" t="s">
        <v>835</v>
      </c>
      <c r="E869" s="1616"/>
      <c r="F869" s="1626"/>
      <c r="G869" s="1618"/>
      <c r="H869" s="1618">
        <f t="shared" si="281"/>
        <v>0</v>
      </c>
      <c r="I869" s="1618"/>
      <c r="J869" s="1618">
        <f t="shared" si="282"/>
        <v>0</v>
      </c>
      <c r="K869" s="1618"/>
      <c r="L869" s="1618">
        <f t="shared" si="288"/>
        <v>0</v>
      </c>
      <c r="M869" s="1618"/>
      <c r="N869" s="1618">
        <f t="shared" si="289"/>
        <v>0</v>
      </c>
      <c r="O869" s="1618"/>
      <c r="P869" s="1618">
        <f t="shared" si="290"/>
        <v>0</v>
      </c>
      <c r="Q869" s="1618"/>
      <c r="R869" s="1618">
        <f t="shared" si="291"/>
        <v>0</v>
      </c>
      <c r="S869" s="1618"/>
      <c r="T869" s="1618">
        <f t="shared" si="292"/>
        <v>0</v>
      </c>
      <c r="U869" s="1618">
        <f>'EX Water'!H8</f>
        <v>300</v>
      </c>
      <c r="V869" s="1618">
        <f t="shared" si="293"/>
        <v>82500</v>
      </c>
      <c r="W869" s="1619" t="e">
        <f>U869+S869+O869+M869+#REF!+K869+I869+G869+Q869</f>
        <v>#REF!</v>
      </c>
      <c r="X869" s="1618"/>
      <c r="Y869" s="1619" t="e">
        <f t="shared" si="294"/>
        <v>#REF!</v>
      </c>
      <c r="Z869" s="1618" t="e">
        <f t="shared" si="295"/>
        <v>#REF!</v>
      </c>
      <c r="AA869" s="675"/>
      <c r="AB869" s="673"/>
    </row>
    <row r="870" spans="1:28" s="301" customFormat="1" ht="28.5" customHeight="1">
      <c r="A870" s="1675"/>
      <c r="B870" s="1578"/>
      <c r="C870" s="1574"/>
      <c r="D870" s="1575"/>
      <c r="E870" s="1616"/>
      <c r="F870" s="1626"/>
      <c r="G870" s="1618"/>
      <c r="H870" s="1618">
        <f t="shared" si="281"/>
        <v>0</v>
      </c>
      <c r="I870" s="1618"/>
      <c r="J870" s="1618">
        <f t="shared" si="282"/>
        <v>0</v>
      </c>
      <c r="K870" s="1618"/>
      <c r="L870" s="1618">
        <f t="shared" si="288"/>
        <v>0</v>
      </c>
      <c r="M870" s="1618"/>
      <c r="N870" s="1618">
        <f t="shared" si="289"/>
        <v>0</v>
      </c>
      <c r="O870" s="1618"/>
      <c r="P870" s="1618">
        <f t="shared" si="290"/>
        <v>0</v>
      </c>
      <c r="Q870" s="1618"/>
      <c r="R870" s="1618">
        <f t="shared" si="291"/>
        <v>0</v>
      </c>
      <c r="S870" s="1618"/>
      <c r="T870" s="1618">
        <f t="shared" si="292"/>
        <v>0</v>
      </c>
      <c r="U870" s="1618"/>
      <c r="V870" s="1618">
        <f t="shared" si="293"/>
        <v>0</v>
      </c>
      <c r="W870" s="1619" t="e">
        <f>U870+S870+O870+M870+#REF!+K870+I870+G870+Q870</f>
        <v>#REF!</v>
      </c>
      <c r="X870" s="1618"/>
      <c r="Y870" s="1619" t="e">
        <f t="shared" si="294"/>
        <v>#REF!</v>
      </c>
      <c r="Z870" s="1618" t="e">
        <f t="shared" si="295"/>
        <v>#REF!</v>
      </c>
      <c r="AA870" s="675"/>
      <c r="AB870" s="673"/>
    </row>
    <row r="871" spans="1:28" s="301" customFormat="1" ht="75" customHeight="1">
      <c r="A871" s="1675"/>
      <c r="B871" s="1577" t="s">
        <v>6237</v>
      </c>
      <c r="C871" s="1574">
        <v>618</v>
      </c>
      <c r="D871" s="1575" t="s">
        <v>835</v>
      </c>
      <c r="E871" s="1616"/>
      <c r="F871" s="1626"/>
      <c r="G871" s="1618"/>
      <c r="H871" s="1618">
        <f t="shared" si="281"/>
        <v>0</v>
      </c>
      <c r="I871" s="1618"/>
      <c r="J871" s="1618">
        <f t="shared" si="282"/>
        <v>0</v>
      </c>
      <c r="K871" s="1618"/>
      <c r="L871" s="1618">
        <f t="shared" si="288"/>
        <v>0</v>
      </c>
      <c r="M871" s="1618"/>
      <c r="N871" s="1618">
        <f t="shared" si="289"/>
        <v>0</v>
      </c>
      <c r="O871" s="1618"/>
      <c r="P871" s="1618">
        <f t="shared" si="290"/>
        <v>0</v>
      </c>
      <c r="Q871" s="1618"/>
      <c r="R871" s="1618">
        <f t="shared" si="291"/>
        <v>0</v>
      </c>
      <c r="S871" s="1618"/>
      <c r="T871" s="1618">
        <f t="shared" si="292"/>
        <v>0</v>
      </c>
      <c r="U871" s="1618">
        <f>'EX Water'!H11</f>
        <v>25</v>
      </c>
      <c r="V871" s="1618">
        <f t="shared" si="293"/>
        <v>15450</v>
      </c>
      <c r="W871" s="1619" t="e">
        <f>U871+S871+O871+M871+#REF!+K871+I871+G871+Q871</f>
        <v>#REF!</v>
      </c>
      <c r="X871" s="1618"/>
      <c r="Y871" s="1619" t="e">
        <f t="shared" si="294"/>
        <v>#REF!</v>
      </c>
      <c r="Z871" s="1618" t="e">
        <f t="shared" si="295"/>
        <v>#REF!</v>
      </c>
      <c r="AA871" s="675"/>
      <c r="AB871" s="673"/>
    </row>
    <row r="872" spans="1:28" s="301" customFormat="1" ht="34.5" customHeight="1">
      <c r="A872" s="1675"/>
      <c r="B872" s="1578"/>
      <c r="C872" s="1574"/>
      <c r="D872" s="1575"/>
      <c r="E872" s="1616"/>
      <c r="F872" s="1626"/>
      <c r="G872" s="1618"/>
      <c r="H872" s="1618">
        <f t="shared" si="281"/>
        <v>0</v>
      </c>
      <c r="I872" s="1618"/>
      <c r="J872" s="1618">
        <f t="shared" si="282"/>
        <v>0</v>
      </c>
      <c r="K872" s="1618"/>
      <c r="L872" s="1618">
        <f t="shared" si="288"/>
        <v>0</v>
      </c>
      <c r="M872" s="1618"/>
      <c r="N872" s="1618">
        <f t="shared" si="289"/>
        <v>0</v>
      </c>
      <c r="O872" s="1618"/>
      <c r="P872" s="1618">
        <f t="shared" si="290"/>
        <v>0</v>
      </c>
      <c r="Q872" s="1618"/>
      <c r="R872" s="1618">
        <f t="shared" si="291"/>
        <v>0</v>
      </c>
      <c r="S872" s="1618"/>
      <c r="T872" s="1618">
        <f t="shared" si="292"/>
        <v>0</v>
      </c>
      <c r="U872" s="1618"/>
      <c r="V872" s="1618">
        <f t="shared" si="293"/>
        <v>0</v>
      </c>
      <c r="W872" s="1619" t="e">
        <f>U872+S872+O872+M872+#REF!+K872+I872+G872+Q872</f>
        <v>#REF!</v>
      </c>
      <c r="X872" s="1618"/>
      <c r="Y872" s="1619" t="e">
        <f t="shared" si="294"/>
        <v>#REF!</v>
      </c>
      <c r="Z872" s="1618" t="e">
        <f t="shared" si="295"/>
        <v>#REF!</v>
      </c>
      <c r="AA872" s="675"/>
      <c r="AB872" s="673"/>
    </row>
    <row r="873" spans="1:28" s="301" customFormat="1" ht="75" customHeight="1">
      <c r="A873" s="1675"/>
      <c r="B873" s="1577" t="s">
        <v>6239</v>
      </c>
      <c r="C873" s="1574">
        <v>137.5</v>
      </c>
      <c r="D873" s="1575" t="s">
        <v>1418</v>
      </c>
      <c r="E873" s="1616"/>
      <c r="F873" s="1626"/>
      <c r="G873" s="1618"/>
      <c r="H873" s="1618">
        <f t="shared" si="281"/>
        <v>0</v>
      </c>
      <c r="I873" s="1618"/>
      <c r="J873" s="1618">
        <f t="shared" si="282"/>
        <v>0</v>
      </c>
      <c r="K873" s="1618"/>
      <c r="L873" s="1618">
        <f t="shared" si="288"/>
        <v>0</v>
      </c>
      <c r="M873" s="1618"/>
      <c r="N873" s="1618">
        <f t="shared" si="289"/>
        <v>0</v>
      </c>
      <c r="O873" s="1618"/>
      <c r="P873" s="1618">
        <f t="shared" si="290"/>
        <v>0</v>
      </c>
      <c r="Q873" s="1618"/>
      <c r="R873" s="1618">
        <f t="shared" si="291"/>
        <v>0</v>
      </c>
      <c r="S873" s="1618"/>
      <c r="T873" s="1618">
        <f t="shared" si="292"/>
        <v>0</v>
      </c>
      <c r="U873" s="1618">
        <f>'EX Water'!H13</f>
        <v>1</v>
      </c>
      <c r="V873" s="1618">
        <f t="shared" si="293"/>
        <v>137.5</v>
      </c>
      <c r="W873" s="1619" t="e">
        <f>U873+S873+O873+M873+#REF!+K873+I873+G873+Q873</f>
        <v>#REF!</v>
      </c>
      <c r="X873" s="1618"/>
      <c r="Y873" s="1619" t="e">
        <f t="shared" si="294"/>
        <v>#REF!</v>
      </c>
      <c r="Z873" s="1618" t="e">
        <f t="shared" si="295"/>
        <v>#REF!</v>
      </c>
      <c r="AA873" s="675"/>
      <c r="AB873" s="673"/>
    </row>
    <row r="874" spans="1:28" s="301" customFormat="1" ht="33" customHeight="1">
      <c r="A874" s="1675"/>
      <c r="B874" s="1576"/>
      <c r="C874" s="1575"/>
      <c r="D874" s="1575"/>
      <c r="E874" s="1616"/>
      <c r="F874" s="1626"/>
      <c r="G874" s="1618"/>
      <c r="H874" s="1618">
        <f t="shared" si="281"/>
        <v>0</v>
      </c>
      <c r="I874" s="1618"/>
      <c r="J874" s="1618">
        <f t="shared" si="282"/>
        <v>0</v>
      </c>
      <c r="K874" s="1618"/>
      <c r="L874" s="1618">
        <f t="shared" si="288"/>
        <v>0</v>
      </c>
      <c r="M874" s="1618"/>
      <c r="N874" s="1618">
        <f t="shared" si="289"/>
        <v>0</v>
      </c>
      <c r="O874" s="1618"/>
      <c r="P874" s="1618">
        <f t="shared" si="290"/>
        <v>0</v>
      </c>
      <c r="Q874" s="1618"/>
      <c r="R874" s="1618">
        <f t="shared" si="291"/>
        <v>0</v>
      </c>
      <c r="S874" s="1618"/>
      <c r="T874" s="1618">
        <f t="shared" si="292"/>
        <v>0</v>
      </c>
      <c r="U874" s="1618"/>
      <c r="V874" s="1618">
        <f t="shared" si="293"/>
        <v>0</v>
      </c>
      <c r="W874" s="1619" t="e">
        <f>U874+S874+O874+M874+#REF!+K874+I874+G874+Q874</f>
        <v>#REF!</v>
      </c>
      <c r="X874" s="1618"/>
      <c r="Y874" s="1619" t="e">
        <f t="shared" si="294"/>
        <v>#REF!</v>
      </c>
      <c r="Z874" s="1618" t="e">
        <f t="shared" si="295"/>
        <v>#REF!</v>
      </c>
      <c r="AA874" s="675"/>
      <c r="AB874" s="673"/>
    </row>
    <row r="875" spans="1:28" s="301" customFormat="1" ht="75" customHeight="1">
      <c r="A875" s="1675"/>
      <c r="B875" s="1577" t="s">
        <v>6353</v>
      </c>
      <c r="C875" s="1574">
        <v>19309</v>
      </c>
      <c r="D875" s="1575" t="s">
        <v>1452</v>
      </c>
      <c r="E875" s="1616"/>
      <c r="F875" s="1626"/>
      <c r="G875" s="1618"/>
      <c r="H875" s="1618">
        <f t="shared" si="281"/>
        <v>0</v>
      </c>
      <c r="I875" s="1618"/>
      <c r="J875" s="1618">
        <f t="shared" si="282"/>
        <v>0</v>
      </c>
      <c r="K875" s="1618"/>
      <c r="L875" s="1618">
        <f t="shared" si="288"/>
        <v>0</v>
      </c>
      <c r="M875" s="1618"/>
      <c r="N875" s="1618">
        <f t="shared" si="289"/>
        <v>0</v>
      </c>
      <c r="O875" s="1618"/>
      <c r="P875" s="1618">
        <f t="shared" si="290"/>
        <v>0</v>
      </c>
      <c r="Q875" s="1618"/>
      <c r="R875" s="1618">
        <f t="shared" si="291"/>
        <v>0</v>
      </c>
      <c r="S875" s="1618"/>
      <c r="T875" s="1618">
        <f t="shared" si="292"/>
        <v>0</v>
      </c>
      <c r="U875" s="1618">
        <f>'EX Water'!H19</f>
        <v>3</v>
      </c>
      <c r="V875" s="1618">
        <f t="shared" si="293"/>
        <v>57927</v>
      </c>
      <c r="W875" s="1619" t="e">
        <f>U875+S875+O875+M875+#REF!+K875+I875+G875+Q875</f>
        <v>#REF!</v>
      </c>
      <c r="X875" s="1618"/>
      <c r="Y875" s="1619" t="e">
        <f t="shared" si="294"/>
        <v>#REF!</v>
      </c>
      <c r="Z875" s="1618" t="e">
        <f t="shared" si="295"/>
        <v>#REF!</v>
      </c>
      <c r="AA875" s="675"/>
      <c r="AB875" s="673"/>
    </row>
    <row r="876" spans="1:28" s="301" customFormat="1" ht="28.5" customHeight="1">
      <c r="A876" s="1675"/>
      <c r="B876" s="1578"/>
      <c r="C876" s="1574"/>
      <c r="D876" s="1575"/>
      <c r="E876" s="1616"/>
      <c r="F876" s="1626"/>
      <c r="G876" s="1618"/>
      <c r="H876" s="1618">
        <f t="shared" si="281"/>
        <v>0</v>
      </c>
      <c r="I876" s="1618"/>
      <c r="J876" s="1618">
        <f t="shared" si="282"/>
        <v>0</v>
      </c>
      <c r="K876" s="1618"/>
      <c r="L876" s="1618">
        <f t="shared" si="288"/>
        <v>0</v>
      </c>
      <c r="M876" s="1618"/>
      <c r="N876" s="1618">
        <f t="shared" si="289"/>
        <v>0</v>
      </c>
      <c r="O876" s="1618"/>
      <c r="P876" s="1618">
        <f t="shared" si="290"/>
        <v>0</v>
      </c>
      <c r="Q876" s="1618"/>
      <c r="R876" s="1618">
        <f t="shared" si="291"/>
        <v>0</v>
      </c>
      <c r="S876" s="1618"/>
      <c r="T876" s="1618">
        <f t="shared" si="292"/>
        <v>0</v>
      </c>
      <c r="U876" s="1618"/>
      <c r="V876" s="1618">
        <f t="shared" si="293"/>
        <v>0</v>
      </c>
      <c r="W876" s="1619" t="e">
        <f>U876+S876+O876+M876+#REF!+K876+I876+G876+Q876</f>
        <v>#REF!</v>
      </c>
      <c r="X876" s="1618"/>
      <c r="Y876" s="1619" t="e">
        <f t="shared" si="294"/>
        <v>#REF!</v>
      </c>
      <c r="Z876" s="1618" t="e">
        <f t="shared" si="295"/>
        <v>#REF!</v>
      </c>
      <c r="AA876" s="675"/>
      <c r="AB876" s="673"/>
    </row>
    <row r="877" spans="1:28" s="301" customFormat="1" ht="58.5" customHeight="1">
      <c r="A877" s="1675"/>
      <c r="B877" s="1579" t="s">
        <v>6245</v>
      </c>
      <c r="C877" s="1574">
        <v>5249</v>
      </c>
      <c r="D877" s="1575" t="s">
        <v>1452</v>
      </c>
      <c r="E877" s="1616"/>
      <c r="F877" s="1626"/>
      <c r="G877" s="1618"/>
      <c r="H877" s="1618">
        <f t="shared" si="281"/>
        <v>0</v>
      </c>
      <c r="I877" s="1618"/>
      <c r="J877" s="1618">
        <f t="shared" si="282"/>
        <v>0</v>
      </c>
      <c r="K877" s="1618"/>
      <c r="L877" s="1618">
        <f t="shared" si="288"/>
        <v>0</v>
      </c>
      <c r="M877" s="1618"/>
      <c r="N877" s="1618">
        <f t="shared" si="289"/>
        <v>0</v>
      </c>
      <c r="O877" s="1618"/>
      <c r="P877" s="1618">
        <f t="shared" si="290"/>
        <v>0</v>
      </c>
      <c r="Q877" s="1618"/>
      <c r="R877" s="1618">
        <f t="shared" si="291"/>
        <v>0</v>
      </c>
      <c r="S877" s="1618"/>
      <c r="T877" s="1618">
        <f t="shared" si="292"/>
        <v>0</v>
      </c>
      <c r="U877" s="1618">
        <f>'EX Water'!H21</f>
        <v>3</v>
      </c>
      <c r="V877" s="1618">
        <f t="shared" si="293"/>
        <v>15747</v>
      </c>
      <c r="W877" s="1619" t="e">
        <f>U877+S877+O877+M877+#REF!+K877+I877+G877+Q877</f>
        <v>#REF!</v>
      </c>
      <c r="X877" s="1618"/>
      <c r="Y877" s="1619" t="e">
        <f t="shared" si="294"/>
        <v>#REF!</v>
      </c>
      <c r="Z877" s="1618" t="e">
        <f t="shared" si="295"/>
        <v>#REF!</v>
      </c>
      <c r="AA877" s="675"/>
      <c r="AB877" s="673"/>
    </row>
    <row r="878" spans="1:28" s="301" customFormat="1" ht="33" customHeight="1">
      <c r="A878" s="1675"/>
      <c r="B878" s="1578"/>
      <c r="C878" s="1574"/>
      <c r="D878" s="1575"/>
      <c r="E878" s="1616"/>
      <c r="F878" s="1626"/>
      <c r="G878" s="1618"/>
      <c r="H878" s="1618">
        <f t="shared" si="281"/>
        <v>0</v>
      </c>
      <c r="I878" s="1618"/>
      <c r="J878" s="1618">
        <f t="shared" si="282"/>
        <v>0</v>
      </c>
      <c r="K878" s="1618"/>
      <c r="L878" s="1618">
        <f t="shared" si="288"/>
        <v>0</v>
      </c>
      <c r="M878" s="1618"/>
      <c r="N878" s="1618">
        <f t="shared" si="289"/>
        <v>0</v>
      </c>
      <c r="O878" s="1618"/>
      <c r="P878" s="1618">
        <f t="shared" si="290"/>
        <v>0</v>
      </c>
      <c r="Q878" s="1618"/>
      <c r="R878" s="1618">
        <f t="shared" si="291"/>
        <v>0</v>
      </c>
      <c r="S878" s="1618"/>
      <c r="T878" s="1618">
        <f t="shared" si="292"/>
        <v>0</v>
      </c>
      <c r="U878" s="1618"/>
      <c r="V878" s="1618">
        <f t="shared" si="293"/>
        <v>0</v>
      </c>
      <c r="W878" s="1619" t="e">
        <f>U878+S878+O878+M878+#REF!+K878+I878+G878+Q878</f>
        <v>#REF!</v>
      </c>
      <c r="X878" s="1618"/>
      <c r="Y878" s="1619" t="e">
        <f t="shared" si="294"/>
        <v>#REF!</v>
      </c>
      <c r="Z878" s="1618" t="e">
        <f t="shared" si="295"/>
        <v>#REF!</v>
      </c>
      <c r="AA878" s="675"/>
      <c r="AB878" s="673"/>
    </row>
    <row r="879" spans="1:28" s="301" customFormat="1" ht="75" customHeight="1">
      <c r="A879" s="1675"/>
      <c r="B879" s="1577" t="s">
        <v>6247</v>
      </c>
      <c r="C879" s="1574">
        <v>7391.8</v>
      </c>
      <c r="D879" s="1575" t="s">
        <v>1452</v>
      </c>
      <c r="E879" s="1616"/>
      <c r="F879" s="1626"/>
      <c r="G879" s="1618"/>
      <c r="H879" s="1618">
        <f t="shared" si="281"/>
        <v>0</v>
      </c>
      <c r="I879" s="1618"/>
      <c r="J879" s="1618">
        <f t="shared" si="282"/>
        <v>0</v>
      </c>
      <c r="K879" s="1618"/>
      <c r="L879" s="1618">
        <f t="shared" si="288"/>
        <v>0</v>
      </c>
      <c r="M879" s="1618"/>
      <c r="N879" s="1618">
        <f t="shared" si="289"/>
        <v>0</v>
      </c>
      <c r="O879" s="1618"/>
      <c r="P879" s="1618">
        <f t="shared" si="290"/>
        <v>0</v>
      </c>
      <c r="Q879" s="1618"/>
      <c r="R879" s="1618">
        <f t="shared" si="291"/>
        <v>0</v>
      </c>
      <c r="S879" s="1618"/>
      <c r="T879" s="1618">
        <f t="shared" si="292"/>
        <v>0</v>
      </c>
      <c r="U879" s="1618">
        <f>'EX Water'!H24</f>
        <v>3</v>
      </c>
      <c r="V879" s="1618">
        <f t="shared" si="293"/>
        <v>22175.4</v>
      </c>
      <c r="W879" s="1619" t="e">
        <f>U879+S879+O879+M879+#REF!+K879+I879+G879+Q879</f>
        <v>#REF!</v>
      </c>
      <c r="X879" s="1618"/>
      <c r="Y879" s="1619" t="e">
        <f t="shared" si="294"/>
        <v>#REF!</v>
      </c>
      <c r="Z879" s="1618" t="e">
        <f t="shared" si="295"/>
        <v>#REF!</v>
      </c>
      <c r="AA879" s="675"/>
      <c r="AB879" s="673"/>
    </row>
    <row r="880" spans="1:28" s="301" customFormat="1" ht="30" customHeight="1">
      <c r="A880" s="1675"/>
      <c r="B880" s="1578"/>
      <c r="C880" s="1574"/>
      <c r="D880" s="1575"/>
      <c r="E880" s="1616"/>
      <c r="F880" s="1626"/>
      <c r="G880" s="1618"/>
      <c r="H880" s="1618">
        <f t="shared" si="281"/>
        <v>0</v>
      </c>
      <c r="I880" s="1618"/>
      <c r="J880" s="1618">
        <f t="shared" si="282"/>
        <v>0</v>
      </c>
      <c r="K880" s="1618"/>
      <c r="L880" s="1618">
        <f t="shared" si="288"/>
        <v>0</v>
      </c>
      <c r="M880" s="1618"/>
      <c r="N880" s="1618">
        <f t="shared" si="289"/>
        <v>0</v>
      </c>
      <c r="O880" s="1618"/>
      <c r="P880" s="1618">
        <f t="shared" si="290"/>
        <v>0</v>
      </c>
      <c r="Q880" s="1618"/>
      <c r="R880" s="1618">
        <f t="shared" si="291"/>
        <v>0</v>
      </c>
      <c r="S880" s="1618"/>
      <c r="T880" s="1618">
        <f t="shared" si="292"/>
        <v>0</v>
      </c>
      <c r="U880" s="1618"/>
      <c r="V880" s="1618">
        <f t="shared" si="293"/>
        <v>0</v>
      </c>
      <c r="W880" s="1619" t="e">
        <f>U880+S880+O880+M880+#REF!+K880+I880+G880+Q880</f>
        <v>#REF!</v>
      </c>
      <c r="X880" s="1618"/>
      <c r="Y880" s="1619" t="e">
        <f t="shared" si="294"/>
        <v>#REF!</v>
      </c>
      <c r="Z880" s="1618" t="e">
        <f t="shared" si="295"/>
        <v>#REF!</v>
      </c>
      <c r="AA880" s="675"/>
      <c r="AB880" s="673"/>
    </row>
    <row r="881" spans="1:28" s="301" customFormat="1" ht="75" customHeight="1">
      <c r="A881" s="1675"/>
      <c r="B881" s="1577" t="s">
        <v>6354</v>
      </c>
      <c r="C881" s="1574">
        <v>57424</v>
      </c>
      <c r="D881" s="1580" t="s">
        <v>6355</v>
      </c>
      <c r="E881" s="1616"/>
      <c r="F881" s="1626"/>
      <c r="G881" s="1618"/>
      <c r="H881" s="1618">
        <f t="shared" si="281"/>
        <v>0</v>
      </c>
      <c r="I881" s="1618"/>
      <c r="J881" s="1618">
        <f t="shared" si="282"/>
        <v>0</v>
      </c>
      <c r="K881" s="1618"/>
      <c r="L881" s="1618">
        <f t="shared" si="288"/>
        <v>0</v>
      </c>
      <c r="M881" s="1618"/>
      <c r="N881" s="1618">
        <f t="shared" si="289"/>
        <v>0</v>
      </c>
      <c r="O881" s="1618"/>
      <c r="P881" s="1618">
        <f t="shared" si="290"/>
        <v>0</v>
      </c>
      <c r="Q881" s="1618"/>
      <c r="R881" s="1618">
        <f t="shared" si="291"/>
        <v>0</v>
      </c>
      <c r="S881" s="1618"/>
      <c r="T881" s="1618">
        <f t="shared" si="292"/>
        <v>0</v>
      </c>
      <c r="U881" s="1618">
        <f>'EX Water'!H26</f>
        <v>1</v>
      </c>
      <c r="V881" s="1618">
        <f t="shared" si="293"/>
        <v>57424</v>
      </c>
      <c r="W881" s="1619" t="e">
        <f>U881+S881+O881+M881+#REF!+K881+I881+G881+Q881</f>
        <v>#REF!</v>
      </c>
      <c r="X881" s="1618"/>
      <c r="Y881" s="1619" t="e">
        <f t="shared" si="294"/>
        <v>#REF!</v>
      </c>
      <c r="Z881" s="1618" t="e">
        <f t="shared" si="295"/>
        <v>#REF!</v>
      </c>
      <c r="AA881" s="675"/>
      <c r="AB881" s="673"/>
    </row>
    <row r="882" spans="1:28" s="301" customFormat="1" ht="30" customHeight="1">
      <c r="A882" s="1675"/>
      <c r="B882" s="1578"/>
      <c r="C882" s="1574"/>
      <c r="D882" s="1575"/>
      <c r="E882" s="1616"/>
      <c r="F882" s="1626"/>
      <c r="G882" s="1618"/>
      <c r="H882" s="1618">
        <f t="shared" si="281"/>
        <v>0</v>
      </c>
      <c r="I882" s="1618"/>
      <c r="J882" s="1618">
        <f t="shared" si="282"/>
        <v>0</v>
      </c>
      <c r="K882" s="1618"/>
      <c r="L882" s="1618">
        <f t="shared" si="288"/>
        <v>0</v>
      </c>
      <c r="M882" s="1618"/>
      <c r="N882" s="1618">
        <f t="shared" si="289"/>
        <v>0</v>
      </c>
      <c r="O882" s="1618"/>
      <c r="P882" s="1618">
        <f t="shared" si="290"/>
        <v>0</v>
      </c>
      <c r="Q882" s="1618"/>
      <c r="R882" s="1618">
        <f t="shared" si="291"/>
        <v>0</v>
      </c>
      <c r="S882" s="1618"/>
      <c r="T882" s="1618">
        <f t="shared" si="292"/>
        <v>0</v>
      </c>
      <c r="U882" s="1618"/>
      <c r="V882" s="1618">
        <f t="shared" si="293"/>
        <v>0</v>
      </c>
      <c r="W882" s="1619" t="e">
        <f>U882+S882+O882+M882+#REF!+K882+I882+G882+Q882</f>
        <v>#REF!</v>
      </c>
      <c r="X882" s="1618"/>
      <c r="Y882" s="1619" t="e">
        <f t="shared" si="294"/>
        <v>#REF!</v>
      </c>
      <c r="Z882" s="1618" t="e">
        <f t="shared" si="295"/>
        <v>#REF!</v>
      </c>
      <c r="AA882" s="675"/>
      <c r="AB882" s="673"/>
    </row>
    <row r="883" spans="1:28" s="301" customFormat="1" ht="75" customHeight="1">
      <c r="A883" s="1675"/>
      <c r="B883" s="1577" t="s">
        <v>6250</v>
      </c>
      <c r="C883" s="1574">
        <v>10051.1</v>
      </c>
      <c r="D883" s="1575" t="s">
        <v>1452</v>
      </c>
      <c r="E883" s="1616"/>
      <c r="F883" s="1626"/>
      <c r="G883" s="1618"/>
      <c r="H883" s="1618">
        <f t="shared" si="281"/>
        <v>0</v>
      </c>
      <c r="I883" s="1618"/>
      <c r="J883" s="1618">
        <f t="shared" si="282"/>
        <v>0</v>
      </c>
      <c r="K883" s="1618"/>
      <c r="L883" s="1618">
        <f t="shared" si="288"/>
        <v>0</v>
      </c>
      <c r="M883" s="1618"/>
      <c r="N883" s="1618">
        <f t="shared" si="289"/>
        <v>0</v>
      </c>
      <c r="O883" s="1618"/>
      <c r="P883" s="1618">
        <f t="shared" si="290"/>
        <v>0</v>
      </c>
      <c r="Q883" s="1618"/>
      <c r="R883" s="1618">
        <f t="shared" si="291"/>
        <v>0</v>
      </c>
      <c r="S883" s="1618"/>
      <c r="T883" s="1618">
        <f t="shared" si="292"/>
        <v>0</v>
      </c>
      <c r="U883" s="1618">
        <f>'EX Water'!H28</f>
        <v>1</v>
      </c>
      <c r="V883" s="1618">
        <f t="shared" si="293"/>
        <v>10051.1</v>
      </c>
      <c r="W883" s="1619" t="e">
        <f>U883+S883+O883+M883+#REF!+K883+I883+G883+Q883</f>
        <v>#REF!</v>
      </c>
      <c r="X883" s="1618"/>
      <c r="Y883" s="1619" t="e">
        <f t="shared" si="294"/>
        <v>#REF!</v>
      </c>
      <c r="Z883" s="1618" t="e">
        <f t="shared" si="295"/>
        <v>#REF!</v>
      </c>
      <c r="AA883" s="675"/>
      <c r="AB883" s="673"/>
    </row>
    <row r="884" spans="1:28" s="301" customFormat="1" ht="36" customHeight="1">
      <c r="A884" s="1675"/>
      <c r="B884" s="1578"/>
      <c r="C884" s="1574"/>
      <c r="D884" s="1575"/>
      <c r="E884" s="1616"/>
      <c r="F884" s="1626"/>
      <c r="G884" s="1618"/>
      <c r="H884" s="1618">
        <f t="shared" si="281"/>
        <v>0</v>
      </c>
      <c r="I884" s="1618"/>
      <c r="J884" s="1618">
        <f t="shared" si="282"/>
        <v>0</v>
      </c>
      <c r="K884" s="1618"/>
      <c r="L884" s="1618">
        <f t="shared" si="288"/>
        <v>0</v>
      </c>
      <c r="M884" s="1618"/>
      <c r="N884" s="1618">
        <f t="shared" si="289"/>
        <v>0</v>
      </c>
      <c r="O884" s="1618"/>
      <c r="P884" s="1618">
        <f t="shared" si="290"/>
        <v>0</v>
      </c>
      <c r="Q884" s="1618"/>
      <c r="R884" s="1618">
        <f t="shared" si="291"/>
        <v>0</v>
      </c>
      <c r="S884" s="1618"/>
      <c r="T884" s="1618">
        <f t="shared" si="292"/>
        <v>0</v>
      </c>
      <c r="U884" s="1618"/>
      <c r="V884" s="1618">
        <f t="shared" si="293"/>
        <v>0</v>
      </c>
      <c r="W884" s="1619" t="e">
        <f>U884+S884+O884+M884+#REF!+K884+I884+G884+Q884</f>
        <v>#REF!</v>
      </c>
      <c r="X884" s="1618"/>
      <c r="Y884" s="1619" t="e">
        <f t="shared" si="294"/>
        <v>#REF!</v>
      </c>
      <c r="Z884" s="1618" t="e">
        <f t="shared" si="295"/>
        <v>#REF!</v>
      </c>
      <c r="AA884" s="675"/>
      <c r="AB884" s="673"/>
    </row>
    <row r="885" spans="1:28" s="301" customFormat="1" ht="57" customHeight="1">
      <c r="A885" s="1675"/>
      <c r="B885" s="1577" t="s">
        <v>6251</v>
      </c>
      <c r="C885" s="1574">
        <v>14492</v>
      </c>
      <c r="D885" s="1580" t="s">
        <v>6355</v>
      </c>
      <c r="E885" s="1616"/>
      <c r="F885" s="1626"/>
      <c r="G885" s="1618"/>
      <c r="H885" s="1618">
        <f t="shared" si="281"/>
        <v>0</v>
      </c>
      <c r="I885" s="1618"/>
      <c r="J885" s="1618">
        <f t="shared" si="282"/>
        <v>0</v>
      </c>
      <c r="K885" s="1618"/>
      <c r="L885" s="1618">
        <f t="shared" si="288"/>
        <v>0</v>
      </c>
      <c r="M885" s="1618"/>
      <c r="N885" s="1618">
        <f t="shared" si="289"/>
        <v>0</v>
      </c>
      <c r="O885" s="1618"/>
      <c r="P885" s="1618">
        <f t="shared" si="290"/>
        <v>0</v>
      </c>
      <c r="Q885" s="1618"/>
      <c r="R885" s="1618">
        <f t="shared" si="291"/>
        <v>0</v>
      </c>
      <c r="S885" s="1618"/>
      <c r="T885" s="1618">
        <f t="shared" si="292"/>
        <v>0</v>
      </c>
      <c r="U885" s="1618">
        <f>'EX Water'!H30</f>
        <v>1</v>
      </c>
      <c r="V885" s="1618">
        <f t="shared" si="293"/>
        <v>14492</v>
      </c>
      <c r="W885" s="1619" t="e">
        <f>U885+S885+O885+M885+#REF!+K885+I885+G885+Q885</f>
        <v>#REF!</v>
      </c>
      <c r="X885" s="1618"/>
      <c r="Y885" s="1619" t="e">
        <f t="shared" si="294"/>
        <v>#REF!</v>
      </c>
      <c r="Z885" s="1618" t="e">
        <f t="shared" si="295"/>
        <v>#REF!</v>
      </c>
      <c r="AA885" s="675"/>
      <c r="AB885" s="673"/>
    </row>
    <row r="886" spans="1:28" s="301" customFormat="1" ht="42" customHeight="1">
      <c r="A886" s="1675"/>
      <c r="B886" s="1578"/>
      <c r="C886" s="1574"/>
      <c r="D886" s="1575"/>
      <c r="E886" s="1616"/>
      <c r="F886" s="1626"/>
      <c r="G886" s="1618"/>
      <c r="H886" s="1618">
        <f t="shared" si="281"/>
        <v>0</v>
      </c>
      <c r="I886" s="1618"/>
      <c r="J886" s="1618">
        <f t="shared" si="282"/>
        <v>0</v>
      </c>
      <c r="K886" s="1618"/>
      <c r="L886" s="1618">
        <f t="shared" si="288"/>
        <v>0</v>
      </c>
      <c r="M886" s="1618"/>
      <c r="N886" s="1618">
        <f t="shared" si="289"/>
        <v>0</v>
      </c>
      <c r="O886" s="1618"/>
      <c r="P886" s="1618">
        <f t="shared" si="290"/>
        <v>0</v>
      </c>
      <c r="Q886" s="1618"/>
      <c r="R886" s="1618">
        <f t="shared" si="291"/>
        <v>0</v>
      </c>
      <c r="S886" s="1618"/>
      <c r="T886" s="1618">
        <f t="shared" si="292"/>
        <v>0</v>
      </c>
      <c r="U886" s="1618"/>
      <c r="V886" s="1618">
        <f t="shared" si="293"/>
        <v>0</v>
      </c>
      <c r="W886" s="1619" t="e">
        <f>U886+S886+O886+M886+#REF!+K886+I886+G886+Q886</f>
        <v>#REF!</v>
      </c>
      <c r="X886" s="1618"/>
      <c r="Y886" s="1619" t="e">
        <f t="shared" si="294"/>
        <v>#REF!</v>
      </c>
      <c r="Z886" s="1618" t="e">
        <f t="shared" si="295"/>
        <v>#REF!</v>
      </c>
      <c r="AA886" s="675"/>
      <c r="AB886" s="673"/>
    </row>
    <row r="887" spans="1:28" s="301" customFormat="1" ht="75" customHeight="1">
      <c r="A887" s="1675"/>
      <c r="B887" s="1577" t="s">
        <v>6252</v>
      </c>
      <c r="C887" s="1574">
        <v>186</v>
      </c>
      <c r="D887" s="1575" t="s">
        <v>835</v>
      </c>
      <c r="E887" s="1616"/>
      <c r="F887" s="1626"/>
      <c r="G887" s="1618"/>
      <c r="H887" s="1618">
        <f t="shared" si="281"/>
        <v>0</v>
      </c>
      <c r="I887" s="1618"/>
      <c r="J887" s="1618">
        <f t="shared" si="282"/>
        <v>0</v>
      </c>
      <c r="K887" s="1618"/>
      <c r="L887" s="1618">
        <f t="shared" si="288"/>
        <v>0</v>
      </c>
      <c r="M887" s="1618"/>
      <c r="N887" s="1618">
        <f t="shared" si="289"/>
        <v>0</v>
      </c>
      <c r="O887" s="1618"/>
      <c r="P887" s="1618">
        <f t="shared" si="290"/>
        <v>0</v>
      </c>
      <c r="Q887" s="1618"/>
      <c r="R887" s="1618">
        <f t="shared" si="291"/>
        <v>0</v>
      </c>
      <c r="S887" s="1618"/>
      <c r="T887" s="1618">
        <f t="shared" si="292"/>
        <v>0</v>
      </c>
      <c r="U887" s="1618">
        <f>'EX Water'!H35</f>
        <v>325</v>
      </c>
      <c r="V887" s="1618">
        <f t="shared" si="293"/>
        <v>60450</v>
      </c>
      <c r="W887" s="1619" t="e">
        <f>U887+S887+O887+M887+#REF!+K887+I887+G887+Q887</f>
        <v>#REF!</v>
      </c>
      <c r="X887" s="1618"/>
      <c r="Y887" s="1619" t="e">
        <f t="shared" si="294"/>
        <v>#REF!</v>
      </c>
      <c r="Z887" s="1618" t="e">
        <f t="shared" si="295"/>
        <v>#REF!</v>
      </c>
      <c r="AA887" s="675"/>
      <c r="AB887" s="673"/>
    </row>
    <row r="888" spans="1:28" s="301" customFormat="1" ht="33" customHeight="1">
      <c r="A888" s="1675"/>
      <c r="B888" s="1578"/>
      <c r="C888" s="1581"/>
      <c r="D888" s="1575"/>
      <c r="E888" s="1616"/>
      <c r="F888" s="1626"/>
      <c r="G888" s="1618"/>
      <c r="H888" s="1618">
        <f t="shared" si="281"/>
        <v>0</v>
      </c>
      <c r="I888" s="1618"/>
      <c r="J888" s="1618">
        <f t="shared" si="282"/>
        <v>0</v>
      </c>
      <c r="K888" s="1618"/>
      <c r="L888" s="1618">
        <f t="shared" si="288"/>
        <v>0</v>
      </c>
      <c r="M888" s="1618"/>
      <c r="N888" s="1618">
        <f t="shared" si="289"/>
        <v>0</v>
      </c>
      <c r="O888" s="1618"/>
      <c r="P888" s="1618">
        <f t="shared" si="290"/>
        <v>0</v>
      </c>
      <c r="Q888" s="1618"/>
      <c r="R888" s="1618">
        <f t="shared" si="291"/>
        <v>0</v>
      </c>
      <c r="S888" s="1618"/>
      <c r="T888" s="1618">
        <f t="shared" si="292"/>
        <v>0</v>
      </c>
      <c r="U888" s="1618"/>
      <c r="V888" s="1618">
        <f t="shared" si="293"/>
        <v>0</v>
      </c>
      <c r="W888" s="1619" t="e">
        <f>U888+S888+O888+M888+#REF!+K888+I888+G888+Q888</f>
        <v>#REF!</v>
      </c>
      <c r="X888" s="1618"/>
      <c r="Y888" s="1619" t="e">
        <f t="shared" si="294"/>
        <v>#REF!</v>
      </c>
      <c r="Z888" s="1618" t="e">
        <f t="shared" si="295"/>
        <v>#REF!</v>
      </c>
      <c r="AA888" s="675"/>
      <c r="AB888" s="673"/>
    </row>
    <row r="889" spans="1:28" s="301" customFormat="1" ht="75" customHeight="1">
      <c r="A889" s="1675"/>
      <c r="B889" s="1577" t="s">
        <v>6255</v>
      </c>
      <c r="C889" s="1574">
        <v>141.1</v>
      </c>
      <c r="D889" s="1575" t="s">
        <v>3500</v>
      </c>
      <c r="E889" s="1616"/>
      <c r="F889" s="1626"/>
      <c r="G889" s="1618"/>
      <c r="H889" s="1618">
        <f t="shared" si="281"/>
        <v>0</v>
      </c>
      <c r="I889" s="1618"/>
      <c r="J889" s="1618">
        <f t="shared" si="282"/>
        <v>0</v>
      </c>
      <c r="K889" s="1618"/>
      <c r="L889" s="1618">
        <f t="shared" si="288"/>
        <v>0</v>
      </c>
      <c r="M889" s="1618"/>
      <c r="N889" s="1618">
        <f t="shared" si="289"/>
        <v>0</v>
      </c>
      <c r="O889" s="1618"/>
      <c r="P889" s="1618">
        <f t="shared" si="290"/>
        <v>0</v>
      </c>
      <c r="Q889" s="1618"/>
      <c r="R889" s="1618">
        <f t="shared" si="291"/>
        <v>0</v>
      </c>
      <c r="S889" s="1618"/>
      <c r="T889" s="1618">
        <f t="shared" si="292"/>
        <v>0</v>
      </c>
      <c r="U889" s="1618">
        <f>'EX Water'!H38</f>
        <v>300</v>
      </c>
      <c r="V889" s="1618">
        <f t="shared" si="293"/>
        <v>42330</v>
      </c>
      <c r="W889" s="1619" t="e">
        <f>U889+S889+O889+M889+#REF!+K889+I889+G889+Q889</f>
        <v>#REF!</v>
      </c>
      <c r="X889" s="1618"/>
      <c r="Y889" s="1619" t="e">
        <f t="shared" si="294"/>
        <v>#REF!</v>
      </c>
      <c r="Z889" s="1618" t="e">
        <f t="shared" si="295"/>
        <v>#REF!</v>
      </c>
      <c r="AA889" s="675"/>
      <c r="AB889" s="673"/>
    </row>
    <row r="890" spans="1:28" s="301" customFormat="1" ht="40.5" customHeight="1">
      <c r="A890" s="1675"/>
      <c r="B890" s="1578"/>
      <c r="C890" s="1574"/>
      <c r="D890" s="1575"/>
      <c r="E890" s="1616"/>
      <c r="F890" s="1626"/>
      <c r="G890" s="1618"/>
      <c r="H890" s="1618">
        <f t="shared" si="281"/>
        <v>0</v>
      </c>
      <c r="I890" s="1618"/>
      <c r="J890" s="1618">
        <f t="shared" si="282"/>
        <v>0</v>
      </c>
      <c r="K890" s="1618"/>
      <c r="L890" s="1618">
        <f t="shared" si="288"/>
        <v>0</v>
      </c>
      <c r="M890" s="1618"/>
      <c r="N890" s="1618">
        <f t="shared" si="289"/>
        <v>0</v>
      </c>
      <c r="O890" s="1618"/>
      <c r="P890" s="1618">
        <f t="shared" si="290"/>
        <v>0</v>
      </c>
      <c r="Q890" s="1618"/>
      <c r="R890" s="1618">
        <f t="shared" si="291"/>
        <v>0</v>
      </c>
      <c r="S890" s="1618"/>
      <c r="T890" s="1618">
        <f t="shared" si="292"/>
        <v>0</v>
      </c>
      <c r="U890" s="1618"/>
      <c r="V890" s="1618">
        <f t="shared" si="293"/>
        <v>0</v>
      </c>
      <c r="W890" s="1619" t="e">
        <f>U890+S890+O890+M890+#REF!+K890+I890+G890+Q890</f>
        <v>#REF!</v>
      </c>
      <c r="X890" s="1618"/>
      <c r="Y890" s="1619" t="e">
        <f t="shared" si="294"/>
        <v>#REF!</v>
      </c>
      <c r="Z890" s="1618" t="e">
        <f t="shared" si="295"/>
        <v>#REF!</v>
      </c>
      <c r="AA890" s="675"/>
      <c r="AB890" s="673"/>
    </row>
    <row r="891" spans="1:28" s="301" customFormat="1" ht="55.5" customHeight="1">
      <c r="A891" s="1675"/>
      <c r="B891" s="1577" t="s">
        <v>6257</v>
      </c>
      <c r="C891" s="1574"/>
      <c r="D891" s="1575"/>
      <c r="E891" s="1616"/>
      <c r="F891" s="1626"/>
      <c r="G891" s="1618"/>
      <c r="H891" s="1618">
        <f t="shared" si="281"/>
        <v>0</v>
      </c>
      <c r="I891" s="1618"/>
      <c r="J891" s="1618">
        <f t="shared" si="282"/>
        <v>0</v>
      </c>
      <c r="K891" s="1618"/>
      <c r="L891" s="1618">
        <f t="shared" si="288"/>
        <v>0</v>
      </c>
      <c r="M891" s="1618"/>
      <c r="N891" s="1618">
        <f t="shared" si="289"/>
        <v>0</v>
      </c>
      <c r="O891" s="1618"/>
      <c r="P891" s="1618">
        <f t="shared" si="290"/>
        <v>0</v>
      </c>
      <c r="Q891" s="1618"/>
      <c r="R891" s="1618">
        <f t="shared" si="291"/>
        <v>0</v>
      </c>
      <c r="S891" s="1618"/>
      <c r="T891" s="1618">
        <f t="shared" si="292"/>
        <v>0</v>
      </c>
      <c r="U891" s="1618"/>
      <c r="V891" s="1618">
        <f t="shared" si="293"/>
        <v>0</v>
      </c>
      <c r="W891" s="1619" t="e">
        <f>U891+S891+O891+M891+#REF!+K891+I891+G891+Q891</f>
        <v>#REF!</v>
      </c>
      <c r="X891" s="1618"/>
      <c r="Y891" s="1619" t="e">
        <f t="shared" si="294"/>
        <v>#REF!</v>
      </c>
      <c r="Z891" s="1618" t="e">
        <f t="shared" si="295"/>
        <v>#REF!</v>
      </c>
      <c r="AA891" s="675"/>
      <c r="AB891" s="673"/>
    </row>
    <row r="892" spans="1:28" s="301" customFormat="1" ht="37.5" customHeight="1">
      <c r="A892" s="1675"/>
      <c r="B892" s="1582" t="s">
        <v>6258</v>
      </c>
      <c r="C892" s="1574">
        <v>128</v>
      </c>
      <c r="D892" s="1575" t="s">
        <v>3500</v>
      </c>
      <c r="E892" s="1616"/>
      <c r="F892" s="1626"/>
      <c r="G892" s="1618"/>
      <c r="H892" s="1618">
        <f t="shared" si="281"/>
        <v>0</v>
      </c>
      <c r="I892" s="1618"/>
      <c r="J892" s="1618">
        <f t="shared" si="282"/>
        <v>0</v>
      </c>
      <c r="K892" s="1618"/>
      <c r="L892" s="1618">
        <f t="shared" si="288"/>
        <v>0</v>
      </c>
      <c r="M892" s="1618"/>
      <c r="N892" s="1618">
        <f t="shared" si="289"/>
        <v>0</v>
      </c>
      <c r="O892" s="1618"/>
      <c r="P892" s="1618">
        <f t="shared" si="290"/>
        <v>0</v>
      </c>
      <c r="Q892" s="1618"/>
      <c r="R892" s="1618">
        <f t="shared" si="291"/>
        <v>0</v>
      </c>
      <c r="S892" s="1618"/>
      <c r="T892" s="1618">
        <f t="shared" si="292"/>
        <v>0</v>
      </c>
      <c r="U892" s="1618">
        <f>'EX Water'!H43</f>
        <v>15</v>
      </c>
      <c r="V892" s="1618">
        <f t="shared" si="293"/>
        <v>1920</v>
      </c>
      <c r="W892" s="1619" t="e">
        <f>U892+S892+O892+M892+#REF!+K892+I892+G892+Q892</f>
        <v>#REF!</v>
      </c>
      <c r="X892" s="1618"/>
      <c r="Y892" s="1619" t="e">
        <f t="shared" si="294"/>
        <v>#REF!</v>
      </c>
      <c r="Z892" s="1618" t="e">
        <f t="shared" si="295"/>
        <v>#REF!</v>
      </c>
      <c r="AA892" s="675"/>
      <c r="AB892" s="673"/>
    </row>
    <row r="893" spans="1:28" s="301" customFormat="1" ht="37.5" customHeight="1">
      <c r="A893" s="1675"/>
      <c r="B893" s="1582" t="s">
        <v>6260</v>
      </c>
      <c r="C893" s="1574">
        <v>163</v>
      </c>
      <c r="D893" s="1575" t="s">
        <v>3500</v>
      </c>
      <c r="E893" s="1616"/>
      <c r="F893" s="1626"/>
      <c r="G893" s="1618"/>
      <c r="H893" s="1618">
        <f t="shared" si="281"/>
        <v>0</v>
      </c>
      <c r="I893" s="1618"/>
      <c r="J893" s="1618">
        <f t="shared" si="282"/>
        <v>0</v>
      </c>
      <c r="K893" s="1618"/>
      <c r="L893" s="1618">
        <f t="shared" si="288"/>
        <v>0</v>
      </c>
      <c r="M893" s="1618"/>
      <c r="N893" s="1618">
        <f t="shared" si="289"/>
        <v>0</v>
      </c>
      <c r="O893" s="1618"/>
      <c r="P893" s="1618">
        <f t="shared" si="290"/>
        <v>0</v>
      </c>
      <c r="Q893" s="1618"/>
      <c r="R893" s="1618">
        <f t="shared" si="291"/>
        <v>0</v>
      </c>
      <c r="S893" s="1618"/>
      <c r="T893" s="1618">
        <f t="shared" si="292"/>
        <v>0</v>
      </c>
      <c r="U893" s="1618">
        <f>'EX Water'!H45</f>
        <v>5</v>
      </c>
      <c r="V893" s="1618">
        <f t="shared" si="293"/>
        <v>815</v>
      </c>
      <c r="W893" s="1619" t="e">
        <f>U893+S893+O893+M893+#REF!+K893+I893+G893+Q893</f>
        <v>#REF!</v>
      </c>
      <c r="X893" s="1618"/>
      <c r="Y893" s="1619" t="e">
        <f t="shared" si="294"/>
        <v>#REF!</v>
      </c>
      <c r="Z893" s="1618" t="e">
        <f t="shared" si="295"/>
        <v>#REF!</v>
      </c>
      <c r="AA893" s="675"/>
      <c r="AB893" s="673"/>
    </row>
    <row r="894" spans="1:28" s="301" customFormat="1" ht="37.5" customHeight="1">
      <c r="A894" s="1675"/>
      <c r="B894" s="1582" t="s">
        <v>6390</v>
      </c>
      <c r="C894" s="1574">
        <v>209</v>
      </c>
      <c r="D894" s="1575" t="s">
        <v>3500</v>
      </c>
      <c r="E894" s="1616"/>
      <c r="F894" s="1626"/>
      <c r="G894" s="1618"/>
      <c r="H894" s="1618">
        <f t="shared" si="281"/>
        <v>0</v>
      </c>
      <c r="I894" s="1618"/>
      <c r="J894" s="1618">
        <f t="shared" si="282"/>
        <v>0</v>
      </c>
      <c r="K894" s="1618"/>
      <c r="L894" s="1618">
        <f t="shared" si="288"/>
        <v>0</v>
      </c>
      <c r="M894" s="1618"/>
      <c r="N894" s="1618">
        <f t="shared" si="289"/>
        <v>0</v>
      </c>
      <c r="O894" s="1618"/>
      <c r="P894" s="1618">
        <f t="shared" si="290"/>
        <v>0</v>
      </c>
      <c r="Q894" s="1618"/>
      <c r="R894" s="1618">
        <f t="shared" si="291"/>
        <v>0</v>
      </c>
      <c r="S894" s="1618"/>
      <c r="T894" s="1618">
        <f t="shared" si="292"/>
        <v>0</v>
      </c>
      <c r="U894" s="1618">
        <f>'EX Water'!H51</f>
        <v>16</v>
      </c>
      <c r="V894" s="1618">
        <f t="shared" si="293"/>
        <v>3344</v>
      </c>
      <c r="W894" s="1619" t="e">
        <f>U894+S894+O894+M894+#REF!+K894+I894+G894+Q894</f>
        <v>#REF!</v>
      </c>
      <c r="X894" s="1618"/>
      <c r="Y894" s="1619" t="e">
        <f t="shared" si="294"/>
        <v>#REF!</v>
      </c>
      <c r="Z894" s="1618" t="e">
        <f t="shared" si="295"/>
        <v>#REF!</v>
      </c>
      <c r="AA894" s="675"/>
      <c r="AB894" s="673"/>
    </row>
    <row r="895" spans="1:28" s="301" customFormat="1" ht="39" customHeight="1">
      <c r="A895" s="1675"/>
      <c r="B895" s="1582"/>
      <c r="C895" s="1574"/>
      <c r="D895" s="1575"/>
      <c r="E895" s="1616"/>
      <c r="F895" s="1626"/>
      <c r="G895" s="1618"/>
      <c r="H895" s="1618">
        <f t="shared" si="281"/>
        <v>0</v>
      </c>
      <c r="I895" s="1618"/>
      <c r="J895" s="1618">
        <f t="shared" si="282"/>
        <v>0</v>
      </c>
      <c r="K895" s="1618"/>
      <c r="L895" s="1618">
        <f t="shared" si="288"/>
        <v>0</v>
      </c>
      <c r="M895" s="1618"/>
      <c r="N895" s="1618">
        <f t="shared" si="289"/>
        <v>0</v>
      </c>
      <c r="O895" s="1618"/>
      <c r="P895" s="1618">
        <f t="shared" si="290"/>
        <v>0</v>
      </c>
      <c r="Q895" s="1618"/>
      <c r="R895" s="1618">
        <f t="shared" si="291"/>
        <v>0</v>
      </c>
      <c r="S895" s="1618"/>
      <c r="T895" s="1618">
        <f t="shared" si="292"/>
        <v>0</v>
      </c>
      <c r="U895" s="1618"/>
      <c r="V895" s="1618">
        <f t="shared" si="293"/>
        <v>0</v>
      </c>
      <c r="W895" s="1619" t="e">
        <f>U895+S895+O895+M895+#REF!+K895+I895+G895+Q895</f>
        <v>#REF!</v>
      </c>
      <c r="X895" s="1618"/>
      <c r="Y895" s="1619" t="e">
        <f t="shared" si="294"/>
        <v>#REF!</v>
      </c>
      <c r="Z895" s="1618" t="e">
        <f t="shared" si="295"/>
        <v>#REF!</v>
      </c>
      <c r="AA895" s="675"/>
      <c r="AB895" s="673"/>
    </row>
    <row r="896" spans="1:28" s="301" customFormat="1" ht="39" customHeight="1">
      <c r="A896" s="1675"/>
      <c r="B896" s="1577" t="s">
        <v>6267</v>
      </c>
      <c r="C896" s="1574"/>
      <c r="D896" s="1575"/>
      <c r="E896" s="1616"/>
      <c r="F896" s="1626"/>
      <c r="G896" s="1618"/>
      <c r="H896" s="1618">
        <f t="shared" si="281"/>
        <v>0</v>
      </c>
      <c r="I896" s="1618"/>
      <c r="J896" s="1618">
        <f t="shared" si="282"/>
        <v>0</v>
      </c>
      <c r="K896" s="1618"/>
      <c r="L896" s="1618">
        <f t="shared" si="288"/>
        <v>0</v>
      </c>
      <c r="M896" s="1618"/>
      <c r="N896" s="1618">
        <f t="shared" si="289"/>
        <v>0</v>
      </c>
      <c r="O896" s="1618"/>
      <c r="P896" s="1618">
        <f t="shared" si="290"/>
        <v>0</v>
      </c>
      <c r="Q896" s="1618"/>
      <c r="R896" s="1618">
        <f t="shared" si="291"/>
        <v>0</v>
      </c>
      <c r="S896" s="1618"/>
      <c r="T896" s="1618">
        <f t="shared" si="292"/>
        <v>0</v>
      </c>
      <c r="U896" s="1618"/>
      <c r="V896" s="1618">
        <f t="shared" si="293"/>
        <v>0</v>
      </c>
      <c r="W896" s="1619" t="e">
        <f>U896+S896+O896+M896+#REF!+K896+I896+G896+Q896</f>
        <v>#REF!</v>
      </c>
      <c r="X896" s="1618"/>
      <c r="Y896" s="1619" t="e">
        <f t="shared" si="294"/>
        <v>#REF!</v>
      </c>
      <c r="Z896" s="1618" t="e">
        <f t="shared" si="295"/>
        <v>#REF!</v>
      </c>
      <c r="AA896" s="675"/>
      <c r="AB896" s="673"/>
    </row>
    <row r="897" spans="1:28" s="301" customFormat="1" ht="31.5" customHeight="1">
      <c r="A897" s="1675"/>
      <c r="B897" s="1582" t="s">
        <v>6268</v>
      </c>
      <c r="C897" s="1574">
        <v>144.69999999999999</v>
      </c>
      <c r="D897" s="1575" t="s">
        <v>3500</v>
      </c>
      <c r="E897" s="1616"/>
      <c r="F897" s="1626"/>
      <c r="G897" s="1618"/>
      <c r="H897" s="1618">
        <f t="shared" si="281"/>
        <v>0</v>
      </c>
      <c r="I897" s="1618"/>
      <c r="J897" s="1618">
        <f t="shared" si="282"/>
        <v>0</v>
      </c>
      <c r="K897" s="1618"/>
      <c r="L897" s="1618">
        <f t="shared" si="288"/>
        <v>0</v>
      </c>
      <c r="M897" s="1618"/>
      <c r="N897" s="1618">
        <f t="shared" si="289"/>
        <v>0</v>
      </c>
      <c r="O897" s="1618"/>
      <c r="P897" s="1618">
        <f t="shared" si="290"/>
        <v>0</v>
      </c>
      <c r="Q897" s="1618"/>
      <c r="R897" s="1618">
        <f t="shared" si="291"/>
        <v>0</v>
      </c>
      <c r="S897" s="1618"/>
      <c r="T897" s="1618">
        <f t="shared" si="292"/>
        <v>0</v>
      </c>
      <c r="U897" s="1618">
        <f>'EX Water'!G57</f>
        <v>70</v>
      </c>
      <c r="V897" s="1618">
        <f t="shared" si="293"/>
        <v>10129</v>
      </c>
      <c r="W897" s="1619" t="e">
        <f>U897+S897+O897+M897+#REF!+K897+I897+G897+Q897</f>
        <v>#REF!</v>
      </c>
      <c r="X897" s="1618"/>
      <c r="Y897" s="1619" t="e">
        <f t="shared" si="294"/>
        <v>#REF!</v>
      </c>
      <c r="Z897" s="1618" t="e">
        <f t="shared" si="295"/>
        <v>#REF!</v>
      </c>
      <c r="AA897" s="675"/>
      <c r="AB897" s="673"/>
    </row>
    <row r="898" spans="1:28" s="301" customFormat="1" ht="31.5" customHeight="1">
      <c r="A898" s="1675"/>
      <c r="B898" s="1578"/>
      <c r="C898" s="1574"/>
      <c r="D898" s="1575"/>
      <c r="E898" s="1616"/>
      <c r="F898" s="1626"/>
      <c r="G898" s="1618"/>
      <c r="H898" s="1618">
        <f t="shared" si="281"/>
        <v>0</v>
      </c>
      <c r="I898" s="1618"/>
      <c r="J898" s="1618">
        <f t="shared" si="282"/>
        <v>0</v>
      </c>
      <c r="K898" s="1618"/>
      <c r="L898" s="1618">
        <f t="shared" si="288"/>
        <v>0</v>
      </c>
      <c r="M898" s="1618"/>
      <c r="N898" s="1618">
        <f t="shared" si="289"/>
        <v>0</v>
      </c>
      <c r="O898" s="1618"/>
      <c r="P898" s="1618">
        <f t="shared" si="290"/>
        <v>0</v>
      </c>
      <c r="Q898" s="1618"/>
      <c r="R898" s="1618">
        <f t="shared" si="291"/>
        <v>0</v>
      </c>
      <c r="S898" s="1618"/>
      <c r="T898" s="1618">
        <f t="shared" si="292"/>
        <v>0</v>
      </c>
      <c r="U898" s="1618"/>
      <c r="V898" s="1618">
        <f t="shared" si="293"/>
        <v>0</v>
      </c>
      <c r="W898" s="1619" t="e">
        <f>U898+S898+O898+M898+#REF!+K898+I898+G898+Q898</f>
        <v>#REF!</v>
      </c>
      <c r="X898" s="1618"/>
      <c r="Y898" s="1619" t="e">
        <f t="shared" si="294"/>
        <v>#REF!</v>
      </c>
      <c r="Z898" s="1618" t="e">
        <f t="shared" si="295"/>
        <v>#REF!</v>
      </c>
      <c r="AA898" s="675"/>
      <c r="AB898" s="673"/>
    </row>
    <row r="899" spans="1:28" s="301" customFormat="1" ht="31.5" customHeight="1">
      <c r="A899" s="1675"/>
      <c r="B899" s="1577" t="s">
        <v>6356</v>
      </c>
      <c r="C899" s="1574">
        <v>61.7</v>
      </c>
      <c r="D899" s="1575" t="s">
        <v>3500</v>
      </c>
      <c r="E899" s="1616"/>
      <c r="F899" s="1626"/>
      <c r="G899" s="1618"/>
      <c r="H899" s="1618">
        <f t="shared" si="281"/>
        <v>0</v>
      </c>
      <c r="I899" s="1618"/>
      <c r="J899" s="1618">
        <f t="shared" si="282"/>
        <v>0</v>
      </c>
      <c r="K899" s="1618"/>
      <c r="L899" s="1618">
        <f t="shared" si="288"/>
        <v>0</v>
      </c>
      <c r="M899" s="1618"/>
      <c r="N899" s="1618">
        <f t="shared" si="289"/>
        <v>0</v>
      </c>
      <c r="O899" s="1618"/>
      <c r="P899" s="1618">
        <f t="shared" si="290"/>
        <v>0</v>
      </c>
      <c r="Q899" s="1618"/>
      <c r="R899" s="1618">
        <f t="shared" si="291"/>
        <v>0</v>
      </c>
      <c r="S899" s="1618"/>
      <c r="T899" s="1618">
        <f t="shared" si="292"/>
        <v>0</v>
      </c>
      <c r="U899" s="1618">
        <f>'EX Water'!H60</f>
        <v>15</v>
      </c>
      <c r="V899" s="1618">
        <f t="shared" si="293"/>
        <v>925.5</v>
      </c>
      <c r="W899" s="1619" t="e">
        <f>U899+S899+O899+M899+#REF!+K899+I899+G899+Q899</f>
        <v>#REF!</v>
      </c>
      <c r="X899" s="1618"/>
      <c r="Y899" s="1619" t="e">
        <f t="shared" si="294"/>
        <v>#REF!</v>
      </c>
      <c r="Z899" s="1618" t="e">
        <f t="shared" si="295"/>
        <v>#REF!</v>
      </c>
      <c r="AA899" s="675"/>
      <c r="AB899" s="673"/>
    </row>
    <row r="900" spans="1:28" s="301" customFormat="1" ht="31.5" customHeight="1">
      <c r="A900" s="1675"/>
      <c r="B900" s="1578"/>
      <c r="C900" s="1574"/>
      <c r="D900" s="1575"/>
      <c r="E900" s="1616"/>
      <c r="F900" s="1626"/>
      <c r="G900" s="1618"/>
      <c r="H900" s="1618">
        <f t="shared" si="281"/>
        <v>0</v>
      </c>
      <c r="I900" s="1618"/>
      <c r="J900" s="1618">
        <f t="shared" si="282"/>
        <v>0</v>
      </c>
      <c r="K900" s="1618"/>
      <c r="L900" s="1618">
        <f t="shared" si="288"/>
        <v>0</v>
      </c>
      <c r="M900" s="1618"/>
      <c r="N900" s="1618">
        <f t="shared" ref="N900:N931" si="296">M900*C900</f>
        <v>0</v>
      </c>
      <c r="O900" s="1618"/>
      <c r="P900" s="1618">
        <f t="shared" ref="P900:P931" si="297">O900*C900</f>
        <v>0</v>
      </c>
      <c r="Q900" s="1618"/>
      <c r="R900" s="1618">
        <f t="shared" ref="R900:R931" si="298">Q900*C900</f>
        <v>0</v>
      </c>
      <c r="S900" s="1618"/>
      <c r="T900" s="1618">
        <f t="shared" ref="T900:T931" si="299">S900*C900</f>
        <v>0</v>
      </c>
      <c r="U900" s="1618"/>
      <c r="V900" s="1618">
        <f t="shared" ref="V900:V931" si="300">U900*C900</f>
        <v>0</v>
      </c>
      <c r="W900" s="1619" t="e">
        <f>U900+S900+O900+M900+#REF!+K900+I900+G900+Q900</f>
        <v>#REF!</v>
      </c>
      <c r="X900" s="1618"/>
      <c r="Y900" s="1619" t="e">
        <f t="shared" ref="Y900:Y931" si="301">W900+E900</f>
        <v>#REF!</v>
      </c>
      <c r="Z900" s="1618" t="e">
        <f t="shared" ref="Z900:Z931" si="302">Y900*C900</f>
        <v>#REF!</v>
      </c>
      <c r="AA900" s="675"/>
      <c r="AB900" s="673"/>
    </row>
    <row r="901" spans="1:28" s="301" customFormat="1" ht="31.5" customHeight="1">
      <c r="A901" s="1675"/>
      <c r="B901" s="1577" t="s">
        <v>6273</v>
      </c>
      <c r="C901" s="1574"/>
      <c r="D901" s="1575"/>
      <c r="E901" s="1616"/>
      <c r="F901" s="1626"/>
      <c r="G901" s="1618"/>
      <c r="H901" s="1618">
        <f t="shared" si="281"/>
        <v>0</v>
      </c>
      <c r="I901" s="1618"/>
      <c r="J901" s="1618">
        <f t="shared" si="282"/>
        <v>0</v>
      </c>
      <c r="K901" s="1618"/>
      <c r="L901" s="1618">
        <f t="shared" si="288"/>
        <v>0</v>
      </c>
      <c r="M901" s="1618"/>
      <c r="N901" s="1618">
        <f t="shared" si="296"/>
        <v>0</v>
      </c>
      <c r="O901" s="1618"/>
      <c r="P901" s="1618">
        <f t="shared" si="297"/>
        <v>0</v>
      </c>
      <c r="Q901" s="1618"/>
      <c r="R901" s="1618">
        <f t="shared" si="298"/>
        <v>0</v>
      </c>
      <c r="S901" s="1618"/>
      <c r="T901" s="1618">
        <f t="shared" si="299"/>
        <v>0</v>
      </c>
      <c r="U901" s="1618"/>
      <c r="V901" s="1618">
        <f t="shared" si="300"/>
        <v>0</v>
      </c>
      <c r="W901" s="1619" t="e">
        <f>U901+S901+O901+M901+#REF!+K901+I901+G901+Q901</f>
        <v>#REF!</v>
      </c>
      <c r="X901" s="1618"/>
      <c r="Y901" s="1619" t="e">
        <f t="shared" si="301"/>
        <v>#REF!</v>
      </c>
      <c r="Z901" s="1618" t="e">
        <f t="shared" si="302"/>
        <v>#REF!</v>
      </c>
      <c r="AA901" s="675"/>
      <c r="AB901" s="673"/>
    </row>
    <row r="902" spans="1:28" s="301" customFormat="1" ht="31.5" customHeight="1">
      <c r="A902" s="1675"/>
      <c r="B902" s="1577" t="s">
        <v>6357</v>
      </c>
      <c r="C902" s="1574">
        <v>139.80000000000001</v>
      </c>
      <c r="D902" s="1575" t="s">
        <v>1452</v>
      </c>
      <c r="E902" s="1616"/>
      <c r="F902" s="1626"/>
      <c r="G902" s="1618"/>
      <c r="H902" s="1618">
        <f t="shared" si="281"/>
        <v>0</v>
      </c>
      <c r="I902" s="1618"/>
      <c r="J902" s="1618">
        <f t="shared" si="282"/>
        <v>0</v>
      </c>
      <c r="K902" s="1618"/>
      <c r="L902" s="1618">
        <f t="shared" si="288"/>
        <v>0</v>
      </c>
      <c r="M902" s="1618"/>
      <c r="N902" s="1618">
        <f t="shared" si="296"/>
        <v>0</v>
      </c>
      <c r="O902" s="1618"/>
      <c r="P902" s="1618">
        <f t="shared" si="297"/>
        <v>0</v>
      </c>
      <c r="Q902" s="1618"/>
      <c r="R902" s="1618">
        <f t="shared" si="298"/>
        <v>0</v>
      </c>
      <c r="S902" s="1618"/>
      <c r="T902" s="1618">
        <f t="shared" si="299"/>
        <v>0</v>
      </c>
      <c r="U902" s="1618">
        <f>'EX Water'!H62</f>
        <v>5</v>
      </c>
      <c r="V902" s="1618">
        <f t="shared" si="300"/>
        <v>699</v>
      </c>
      <c r="W902" s="1619" t="e">
        <f>U902+S902+O902+M902+#REF!+K902+I902+G902+Q902</f>
        <v>#REF!</v>
      </c>
      <c r="X902" s="1618"/>
      <c r="Y902" s="1619" t="e">
        <f t="shared" si="301"/>
        <v>#REF!</v>
      </c>
      <c r="Z902" s="1618" t="e">
        <f t="shared" si="302"/>
        <v>#REF!</v>
      </c>
      <c r="AA902" s="675"/>
      <c r="AB902" s="673"/>
    </row>
    <row r="903" spans="1:28" s="301" customFormat="1" ht="31.5" customHeight="1">
      <c r="A903" s="1675"/>
      <c r="B903" s="1577" t="s">
        <v>6358</v>
      </c>
      <c r="C903" s="1574">
        <v>69.8</v>
      </c>
      <c r="D903" s="1575" t="s">
        <v>1452</v>
      </c>
      <c r="E903" s="1616"/>
      <c r="F903" s="1626"/>
      <c r="G903" s="1618"/>
      <c r="H903" s="1618">
        <f t="shared" si="281"/>
        <v>0</v>
      </c>
      <c r="I903" s="1618"/>
      <c r="J903" s="1618">
        <f t="shared" si="282"/>
        <v>0</v>
      </c>
      <c r="K903" s="1618"/>
      <c r="L903" s="1618">
        <f t="shared" si="288"/>
        <v>0</v>
      </c>
      <c r="M903" s="1618"/>
      <c r="N903" s="1618">
        <f t="shared" si="296"/>
        <v>0</v>
      </c>
      <c r="O903" s="1618"/>
      <c r="P903" s="1618">
        <f t="shared" si="297"/>
        <v>0</v>
      </c>
      <c r="Q903" s="1618"/>
      <c r="R903" s="1618">
        <f t="shared" si="298"/>
        <v>0</v>
      </c>
      <c r="S903" s="1618"/>
      <c r="T903" s="1618">
        <f t="shared" si="299"/>
        <v>0</v>
      </c>
      <c r="U903" s="1618">
        <f>'EX Water'!H63</f>
        <v>6</v>
      </c>
      <c r="V903" s="1618">
        <f t="shared" si="300"/>
        <v>418.8</v>
      </c>
      <c r="W903" s="1619" t="e">
        <f>U903+S903+O903+M903+#REF!+K903+I903+G903+Q903</f>
        <v>#REF!</v>
      </c>
      <c r="X903" s="1618"/>
      <c r="Y903" s="1619" t="e">
        <f t="shared" si="301"/>
        <v>#REF!</v>
      </c>
      <c r="Z903" s="1618" t="e">
        <f t="shared" si="302"/>
        <v>#REF!</v>
      </c>
      <c r="AA903" s="675"/>
      <c r="AB903" s="673"/>
    </row>
    <row r="904" spans="1:28" s="301" customFormat="1" ht="31.5" customHeight="1">
      <c r="A904" s="1675"/>
      <c r="B904" s="1577" t="s">
        <v>6359</v>
      </c>
      <c r="C904" s="1574">
        <v>1229</v>
      </c>
      <c r="D904" s="1575" t="s">
        <v>1452</v>
      </c>
      <c r="E904" s="1616"/>
      <c r="F904" s="1626"/>
      <c r="G904" s="1618"/>
      <c r="H904" s="1618">
        <f t="shared" si="281"/>
        <v>0</v>
      </c>
      <c r="I904" s="1618"/>
      <c r="J904" s="1618">
        <f t="shared" si="282"/>
        <v>0</v>
      </c>
      <c r="K904" s="1618"/>
      <c r="L904" s="1618">
        <f t="shared" si="288"/>
        <v>0</v>
      </c>
      <c r="M904" s="1618"/>
      <c r="N904" s="1618">
        <f t="shared" si="296"/>
        <v>0</v>
      </c>
      <c r="O904" s="1618"/>
      <c r="P904" s="1618">
        <f t="shared" si="297"/>
        <v>0</v>
      </c>
      <c r="Q904" s="1618"/>
      <c r="R904" s="1618">
        <f t="shared" si="298"/>
        <v>0</v>
      </c>
      <c r="S904" s="1618"/>
      <c r="T904" s="1618">
        <f t="shared" si="299"/>
        <v>0</v>
      </c>
      <c r="U904" s="1618">
        <f>'EX Water'!H64</f>
        <v>3</v>
      </c>
      <c r="V904" s="1618">
        <f t="shared" si="300"/>
        <v>3687</v>
      </c>
      <c r="W904" s="1619" t="e">
        <f>U904+S904+O904+M904+#REF!+K904+I904+G904+Q904</f>
        <v>#REF!</v>
      </c>
      <c r="X904" s="1618"/>
      <c r="Y904" s="1619" t="e">
        <f t="shared" si="301"/>
        <v>#REF!</v>
      </c>
      <c r="Z904" s="1618" t="e">
        <f t="shared" si="302"/>
        <v>#REF!</v>
      </c>
      <c r="AA904" s="675"/>
      <c r="AB904" s="673"/>
    </row>
    <row r="905" spans="1:28" s="301" customFormat="1" ht="31.5" customHeight="1">
      <c r="A905" s="1675"/>
      <c r="B905" s="1577" t="s">
        <v>6360</v>
      </c>
      <c r="C905" s="1574">
        <v>2082</v>
      </c>
      <c r="D905" s="1575" t="s">
        <v>1452</v>
      </c>
      <c r="E905" s="1616"/>
      <c r="F905" s="1626"/>
      <c r="G905" s="1618"/>
      <c r="H905" s="1618">
        <f t="shared" ref="H905:H957" si="303">G905*C905</f>
        <v>0</v>
      </c>
      <c r="I905" s="1618"/>
      <c r="J905" s="1618">
        <f t="shared" ref="J905:J958" si="304">I905*C905</f>
        <v>0</v>
      </c>
      <c r="K905" s="1618"/>
      <c r="L905" s="1618">
        <f t="shared" si="288"/>
        <v>0</v>
      </c>
      <c r="M905" s="1618"/>
      <c r="N905" s="1618">
        <f t="shared" si="296"/>
        <v>0</v>
      </c>
      <c r="O905" s="1618"/>
      <c r="P905" s="1618">
        <f t="shared" si="297"/>
        <v>0</v>
      </c>
      <c r="Q905" s="1618"/>
      <c r="R905" s="1618">
        <f t="shared" si="298"/>
        <v>0</v>
      </c>
      <c r="S905" s="1618"/>
      <c r="T905" s="1618">
        <f t="shared" si="299"/>
        <v>0</v>
      </c>
      <c r="U905" s="1618">
        <f>'EX Water'!H65</f>
        <v>1</v>
      </c>
      <c r="V905" s="1618">
        <f t="shared" si="300"/>
        <v>2082</v>
      </c>
      <c r="W905" s="1619" t="e">
        <f>U905+S905+O905+M905+#REF!+K905+I905+G905+Q905</f>
        <v>#REF!</v>
      </c>
      <c r="X905" s="1618"/>
      <c r="Y905" s="1619" t="e">
        <f t="shared" si="301"/>
        <v>#REF!</v>
      </c>
      <c r="Z905" s="1618" t="e">
        <f t="shared" si="302"/>
        <v>#REF!</v>
      </c>
      <c r="AA905" s="675"/>
      <c r="AB905" s="673"/>
    </row>
    <row r="906" spans="1:28" s="301" customFormat="1" ht="31.5" customHeight="1">
      <c r="A906" s="1675"/>
      <c r="B906" s="1577" t="s">
        <v>6361</v>
      </c>
      <c r="C906" s="1574">
        <v>266.3</v>
      </c>
      <c r="D906" s="1575" t="s">
        <v>1452</v>
      </c>
      <c r="E906" s="1616"/>
      <c r="F906" s="1626"/>
      <c r="G906" s="1618"/>
      <c r="H906" s="1618">
        <f t="shared" si="303"/>
        <v>0</v>
      </c>
      <c r="I906" s="1618"/>
      <c r="J906" s="1618">
        <f t="shared" si="304"/>
        <v>0</v>
      </c>
      <c r="K906" s="1618"/>
      <c r="L906" s="1618">
        <f t="shared" si="288"/>
        <v>0</v>
      </c>
      <c r="M906" s="1618"/>
      <c r="N906" s="1618">
        <f t="shared" si="296"/>
        <v>0</v>
      </c>
      <c r="O906" s="1618"/>
      <c r="P906" s="1618">
        <f t="shared" si="297"/>
        <v>0</v>
      </c>
      <c r="Q906" s="1618"/>
      <c r="R906" s="1618">
        <f t="shared" si="298"/>
        <v>0</v>
      </c>
      <c r="S906" s="1618"/>
      <c r="T906" s="1618">
        <f t="shared" si="299"/>
        <v>0</v>
      </c>
      <c r="U906" s="1618">
        <f>'EX Water'!H66</f>
        <v>3</v>
      </c>
      <c r="V906" s="1618">
        <f t="shared" si="300"/>
        <v>798.9</v>
      </c>
      <c r="W906" s="1619" t="e">
        <f>U906+S906+O906+M906+#REF!+K906+I906+G906+Q906</f>
        <v>#REF!</v>
      </c>
      <c r="X906" s="1618"/>
      <c r="Y906" s="1619" t="e">
        <f t="shared" si="301"/>
        <v>#REF!</v>
      </c>
      <c r="Z906" s="1618" t="e">
        <f t="shared" si="302"/>
        <v>#REF!</v>
      </c>
      <c r="AA906" s="675"/>
      <c r="AB906" s="673"/>
    </row>
    <row r="907" spans="1:28" s="301" customFormat="1" ht="31.5" customHeight="1">
      <c r="A907" s="1675"/>
      <c r="B907" s="1577" t="s">
        <v>6362</v>
      </c>
      <c r="C907" s="1574">
        <v>87</v>
      </c>
      <c r="D907" s="1575" t="s">
        <v>1452</v>
      </c>
      <c r="E907" s="1616"/>
      <c r="F907" s="1626"/>
      <c r="G907" s="1618"/>
      <c r="H907" s="1618">
        <f t="shared" si="303"/>
        <v>0</v>
      </c>
      <c r="I907" s="1618"/>
      <c r="J907" s="1618">
        <f t="shared" si="304"/>
        <v>0</v>
      </c>
      <c r="K907" s="1618"/>
      <c r="L907" s="1618">
        <f t="shared" si="288"/>
        <v>0</v>
      </c>
      <c r="M907" s="1618"/>
      <c r="N907" s="1618">
        <f t="shared" si="296"/>
        <v>0</v>
      </c>
      <c r="O907" s="1618"/>
      <c r="P907" s="1618">
        <f t="shared" si="297"/>
        <v>0</v>
      </c>
      <c r="Q907" s="1618"/>
      <c r="R907" s="1618">
        <f t="shared" si="298"/>
        <v>0</v>
      </c>
      <c r="S907" s="1618"/>
      <c r="T907" s="1618">
        <f t="shared" si="299"/>
        <v>0</v>
      </c>
      <c r="U907" s="1618">
        <f>'EX Water'!H67</f>
        <v>5</v>
      </c>
      <c r="V907" s="1618">
        <f t="shared" si="300"/>
        <v>435</v>
      </c>
      <c r="W907" s="1619" t="e">
        <f>U907+S907+O907+M907+#REF!+K907+I907+G907+Q907</f>
        <v>#REF!</v>
      </c>
      <c r="X907" s="1618"/>
      <c r="Y907" s="1619" t="e">
        <f t="shared" si="301"/>
        <v>#REF!</v>
      </c>
      <c r="Z907" s="1618" t="e">
        <f t="shared" si="302"/>
        <v>#REF!</v>
      </c>
      <c r="AA907" s="675"/>
      <c r="AB907" s="673"/>
    </row>
    <row r="908" spans="1:28" s="301" customFormat="1" ht="31.5" customHeight="1">
      <c r="A908" s="1675"/>
      <c r="B908" s="1577" t="s">
        <v>6363</v>
      </c>
      <c r="C908" s="1574">
        <v>434</v>
      </c>
      <c r="D908" s="1575" t="s">
        <v>1452</v>
      </c>
      <c r="E908" s="1616"/>
      <c r="F908" s="1626"/>
      <c r="G908" s="1618"/>
      <c r="H908" s="1618">
        <f t="shared" si="303"/>
        <v>0</v>
      </c>
      <c r="I908" s="1618"/>
      <c r="J908" s="1618">
        <f t="shared" si="304"/>
        <v>0</v>
      </c>
      <c r="K908" s="1618"/>
      <c r="L908" s="1618">
        <f t="shared" si="288"/>
        <v>0</v>
      </c>
      <c r="M908" s="1618"/>
      <c r="N908" s="1618">
        <f t="shared" si="296"/>
        <v>0</v>
      </c>
      <c r="O908" s="1618"/>
      <c r="P908" s="1618">
        <f t="shared" si="297"/>
        <v>0</v>
      </c>
      <c r="Q908" s="1618"/>
      <c r="R908" s="1618">
        <f t="shared" si="298"/>
        <v>0</v>
      </c>
      <c r="S908" s="1618"/>
      <c r="T908" s="1618">
        <f t="shared" si="299"/>
        <v>0</v>
      </c>
      <c r="U908" s="1618">
        <f>'EX Water'!H68</f>
        <v>1</v>
      </c>
      <c r="V908" s="1618">
        <f t="shared" si="300"/>
        <v>434</v>
      </c>
      <c r="W908" s="1619" t="e">
        <f>U908+S908+O908+M908+#REF!+K908+I908+G908+Q908</f>
        <v>#REF!</v>
      </c>
      <c r="X908" s="1618"/>
      <c r="Y908" s="1619" t="e">
        <f t="shared" si="301"/>
        <v>#REF!</v>
      </c>
      <c r="Z908" s="1618" t="e">
        <f t="shared" si="302"/>
        <v>#REF!</v>
      </c>
      <c r="AA908" s="675"/>
      <c r="AB908" s="673"/>
    </row>
    <row r="909" spans="1:28" s="301" customFormat="1" ht="31.5" customHeight="1">
      <c r="A909" s="1675"/>
      <c r="B909" s="1577" t="s">
        <v>6364</v>
      </c>
      <c r="C909" s="1574">
        <v>139.80000000000001</v>
      </c>
      <c r="D909" s="1575" t="s">
        <v>1452</v>
      </c>
      <c r="E909" s="1616"/>
      <c r="F909" s="1626"/>
      <c r="G909" s="1618"/>
      <c r="H909" s="1618">
        <f t="shared" si="303"/>
        <v>0</v>
      </c>
      <c r="I909" s="1618"/>
      <c r="J909" s="1618">
        <f t="shared" si="304"/>
        <v>0</v>
      </c>
      <c r="K909" s="1618"/>
      <c r="L909" s="1618">
        <f t="shared" si="288"/>
        <v>0</v>
      </c>
      <c r="M909" s="1618"/>
      <c r="N909" s="1618">
        <f t="shared" si="296"/>
        <v>0</v>
      </c>
      <c r="O909" s="1618"/>
      <c r="P909" s="1618">
        <f t="shared" si="297"/>
        <v>0</v>
      </c>
      <c r="Q909" s="1618"/>
      <c r="R909" s="1618">
        <f t="shared" si="298"/>
        <v>0</v>
      </c>
      <c r="S909" s="1618"/>
      <c r="T909" s="1618">
        <f t="shared" si="299"/>
        <v>0</v>
      </c>
      <c r="U909" s="1618">
        <f>'EX Water'!H69</f>
        <v>3</v>
      </c>
      <c r="V909" s="1618">
        <f t="shared" si="300"/>
        <v>419.4</v>
      </c>
      <c r="W909" s="1619" t="e">
        <f>U909+S909+O909+M909+#REF!+K909+I909+G909+Q909</f>
        <v>#REF!</v>
      </c>
      <c r="X909" s="1618"/>
      <c r="Y909" s="1619" t="e">
        <f t="shared" si="301"/>
        <v>#REF!</v>
      </c>
      <c r="Z909" s="1618" t="e">
        <f t="shared" si="302"/>
        <v>#REF!</v>
      </c>
      <c r="AA909" s="675"/>
      <c r="AB909" s="673"/>
    </row>
    <row r="910" spans="1:28" s="301" customFormat="1" ht="31.5" customHeight="1">
      <c r="A910" s="1675"/>
      <c r="B910" s="1577" t="s">
        <v>6365</v>
      </c>
      <c r="C910" s="1574">
        <v>127.5</v>
      </c>
      <c r="D910" s="1575" t="s">
        <v>1452</v>
      </c>
      <c r="E910" s="1616"/>
      <c r="F910" s="1626"/>
      <c r="G910" s="1618"/>
      <c r="H910" s="1618">
        <f t="shared" si="303"/>
        <v>0</v>
      </c>
      <c r="I910" s="1618"/>
      <c r="J910" s="1618">
        <f t="shared" si="304"/>
        <v>0</v>
      </c>
      <c r="K910" s="1618"/>
      <c r="L910" s="1618">
        <f t="shared" si="288"/>
        <v>0</v>
      </c>
      <c r="M910" s="1618"/>
      <c r="N910" s="1618">
        <f t="shared" si="296"/>
        <v>0</v>
      </c>
      <c r="O910" s="1618"/>
      <c r="P910" s="1618">
        <f t="shared" si="297"/>
        <v>0</v>
      </c>
      <c r="Q910" s="1618"/>
      <c r="R910" s="1618">
        <f t="shared" si="298"/>
        <v>0</v>
      </c>
      <c r="S910" s="1618"/>
      <c r="T910" s="1618">
        <f t="shared" si="299"/>
        <v>0</v>
      </c>
      <c r="U910" s="1618">
        <f>'EX Water'!H70</f>
        <v>2</v>
      </c>
      <c r="V910" s="1618">
        <f t="shared" si="300"/>
        <v>255</v>
      </c>
      <c r="W910" s="1619" t="e">
        <f>U910+S910+O910+M910+#REF!+K910+I910+G910+Q910</f>
        <v>#REF!</v>
      </c>
      <c r="X910" s="1618"/>
      <c r="Y910" s="1619" t="e">
        <f t="shared" si="301"/>
        <v>#REF!</v>
      </c>
      <c r="Z910" s="1618" t="e">
        <f t="shared" si="302"/>
        <v>#REF!</v>
      </c>
      <c r="AA910" s="675"/>
      <c r="AB910" s="673"/>
    </row>
    <row r="911" spans="1:28" s="301" customFormat="1" ht="31.5" customHeight="1">
      <c r="A911" s="1675"/>
      <c r="B911" s="1577" t="s">
        <v>6366</v>
      </c>
      <c r="C911" s="1574">
        <v>87</v>
      </c>
      <c r="D911" s="1575" t="s">
        <v>1452</v>
      </c>
      <c r="E911" s="1616"/>
      <c r="F911" s="1626"/>
      <c r="G911" s="1618"/>
      <c r="H911" s="1618">
        <f t="shared" si="303"/>
        <v>0</v>
      </c>
      <c r="I911" s="1618"/>
      <c r="J911" s="1618">
        <f t="shared" si="304"/>
        <v>0</v>
      </c>
      <c r="K911" s="1618"/>
      <c r="L911" s="1618">
        <f t="shared" si="288"/>
        <v>0</v>
      </c>
      <c r="M911" s="1618"/>
      <c r="N911" s="1618">
        <f t="shared" si="296"/>
        <v>0</v>
      </c>
      <c r="O911" s="1618"/>
      <c r="P911" s="1618">
        <f t="shared" si="297"/>
        <v>0</v>
      </c>
      <c r="Q911" s="1618"/>
      <c r="R911" s="1618">
        <f t="shared" si="298"/>
        <v>0</v>
      </c>
      <c r="S911" s="1618"/>
      <c r="T911" s="1618">
        <f t="shared" si="299"/>
        <v>0</v>
      </c>
      <c r="U911" s="1618">
        <f>'EX Water'!H71</f>
        <v>2</v>
      </c>
      <c r="V911" s="1618">
        <f t="shared" si="300"/>
        <v>174</v>
      </c>
      <c r="W911" s="1619" t="e">
        <f>U911+S911+O911+M911+#REF!+K911+I911+G911+Q911</f>
        <v>#REF!</v>
      </c>
      <c r="X911" s="1618"/>
      <c r="Y911" s="1619" t="e">
        <f t="shared" si="301"/>
        <v>#REF!</v>
      </c>
      <c r="Z911" s="1618" t="e">
        <f t="shared" si="302"/>
        <v>#REF!</v>
      </c>
      <c r="AA911" s="675"/>
      <c r="AB911" s="673"/>
    </row>
    <row r="912" spans="1:28" s="301" customFormat="1" ht="31.5" customHeight="1">
      <c r="A912" s="1675"/>
      <c r="B912" s="1577" t="s">
        <v>6367</v>
      </c>
      <c r="C912" s="1574">
        <v>58.1</v>
      </c>
      <c r="D912" s="1575" t="s">
        <v>1452</v>
      </c>
      <c r="E912" s="1616"/>
      <c r="F912" s="1626"/>
      <c r="G912" s="1618"/>
      <c r="H912" s="1618">
        <f t="shared" si="303"/>
        <v>0</v>
      </c>
      <c r="I912" s="1618"/>
      <c r="J912" s="1618">
        <f t="shared" si="304"/>
        <v>0</v>
      </c>
      <c r="K912" s="1618"/>
      <c r="L912" s="1618">
        <f t="shared" si="288"/>
        <v>0</v>
      </c>
      <c r="M912" s="1618"/>
      <c r="N912" s="1618">
        <f t="shared" si="296"/>
        <v>0</v>
      </c>
      <c r="O912" s="1618"/>
      <c r="P912" s="1618">
        <f t="shared" si="297"/>
        <v>0</v>
      </c>
      <c r="Q912" s="1618"/>
      <c r="R912" s="1618">
        <f t="shared" si="298"/>
        <v>0</v>
      </c>
      <c r="S912" s="1618"/>
      <c r="T912" s="1618">
        <f t="shared" si="299"/>
        <v>0</v>
      </c>
      <c r="U912" s="1618">
        <f>'EX Water'!H72</f>
        <v>2</v>
      </c>
      <c r="V912" s="1618">
        <f t="shared" si="300"/>
        <v>116.2</v>
      </c>
      <c r="W912" s="1619" t="e">
        <f>U912+S912+O912+M912+#REF!+K912+I912+G912+Q912</f>
        <v>#REF!</v>
      </c>
      <c r="X912" s="1618"/>
      <c r="Y912" s="1619" t="e">
        <f t="shared" si="301"/>
        <v>#REF!</v>
      </c>
      <c r="Z912" s="1618" t="e">
        <f t="shared" si="302"/>
        <v>#REF!</v>
      </c>
      <c r="AA912" s="675"/>
      <c r="AB912" s="673"/>
    </row>
    <row r="913" spans="1:28" s="301" customFormat="1" ht="31.5" customHeight="1">
      <c r="A913" s="1675"/>
      <c r="B913" s="1577" t="s">
        <v>6295</v>
      </c>
      <c r="C913" s="1574">
        <v>28.6</v>
      </c>
      <c r="D913" s="1575" t="s">
        <v>1452</v>
      </c>
      <c r="E913" s="1616"/>
      <c r="F913" s="1626"/>
      <c r="G913" s="1618"/>
      <c r="H913" s="1618">
        <f t="shared" si="303"/>
        <v>0</v>
      </c>
      <c r="I913" s="1618"/>
      <c r="J913" s="1618">
        <f t="shared" si="304"/>
        <v>0</v>
      </c>
      <c r="K913" s="1618"/>
      <c r="L913" s="1618">
        <f t="shared" si="288"/>
        <v>0</v>
      </c>
      <c r="M913" s="1618"/>
      <c r="N913" s="1618">
        <f t="shared" si="296"/>
        <v>0</v>
      </c>
      <c r="O913" s="1618"/>
      <c r="P913" s="1618">
        <f t="shared" si="297"/>
        <v>0</v>
      </c>
      <c r="Q913" s="1618"/>
      <c r="R913" s="1618">
        <f t="shared" si="298"/>
        <v>0</v>
      </c>
      <c r="S913" s="1618"/>
      <c r="T913" s="1618">
        <f t="shared" si="299"/>
        <v>0</v>
      </c>
      <c r="U913" s="1618">
        <f>'EX Water'!H73</f>
        <v>2</v>
      </c>
      <c r="V913" s="1618">
        <f t="shared" si="300"/>
        <v>57.2</v>
      </c>
      <c r="W913" s="1619" t="e">
        <f>U913+S913+O913+M913+#REF!+K913+I913+G913+Q913</f>
        <v>#REF!</v>
      </c>
      <c r="X913" s="1618"/>
      <c r="Y913" s="1619" t="e">
        <f t="shared" si="301"/>
        <v>#REF!</v>
      </c>
      <c r="Z913" s="1618" t="e">
        <f t="shared" si="302"/>
        <v>#REF!</v>
      </c>
      <c r="AA913" s="675"/>
      <c r="AB913" s="673"/>
    </row>
    <row r="914" spans="1:28" s="301" customFormat="1" ht="31.5" customHeight="1">
      <c r="A914" s="1675"/>
      <c r="B914" s="1577"/>
      <c r="C914" s="1574"/>
      <c r="D914" s="1575"/>
      <c r="E914" s="1616"/>
      <c r="F914" s="1626"/>
      <c r="G914" s="1618"/>
      <c r="H914" s="1618">
        <f t="shared" si="303"/>
        <v>0</v>
      </c>
      <c r="I914" s="1618"/>
      <c r="J914" s="1618">
        <f t="shared" si="304"/>
        <v>0</v>
      </c>
      <c r="K914" s="1618"/>
      <c r="L914" s="1618">
        <f t="shared" si="288"/>
        <v>0</v>
      </c>
      <c r="M914" s="1618"/>
      <c r="N914" s="1618">
        <f t="shared" si="296"/>
        <v>0</v>
      </c>
      <c r="O914" s="1618"/>
      <c r="P914" s="1618">
        <f t="shared" si="297"/>
        <v>0</v>
      </c>
      <c r="Q914" s="1618"/>
      <c r="R914" s="1618">
        <f t="shared" si="298"/>
        <v>0</v>
      </c>
      <c r="S914" s="1618"/>
      <c r="T914" s="1618">
        <f t="shared" si="299"/>
        <v>0</v>
      </c>
      <c r="U914" s="1618"/>
      <c r="V914" s="1618">
        <f t="shared" si="300"/>
        <v>0</v>
      </c>
      <c r="W914" s="1619" t="e">
        <f>U914+S914+O914+M914+#REF!+K914+I914+G914+Q914</f>
        <v>#REF!</v>
      </c>
      <c r="X914" s="1618"/>
      <c r="Y914" s="1619" t="e">
        <f t="shared" si="301"/>
        <v>#REF!</v>
      </c>
      <c r="Z914" s="1618" t="e">
        <f t="shared" si="302"/>
        <v>#REF!</v>
      </c>
      <c r="AA914" s="675"/>
      <c r="AB914" s="673"/>
    </row>
    <row r="915" spans="1:28" s="301" customFormat="1" ht="75" customHeight="1">
      <c r="A915" s="1675"/>
      <c r="B915" s="1577" t="s">
        <v>6296</v>
      </c>
      <c r="C915" s="1574">
        <v>81.89</v>
      </c>
      <c r="D915" s="1575" t="s">
        <v>835</v>
      </c>
      <c r="E915" s="1616"/>
      <c r="F915" s="1626"/>
      <c r="G915" s="1618"/>
      <c r="H915" s="1618">
        <f t="shared" si="303"/>
        <v>0</v>
      </c>
      <c r="I915" s="1618"/>
      <c r="J915" s="1618">
        <f t="shared" si="304"/>
        <v>0</v>
      </c>
      <c r="K915" s="1618"/>
      <c r="L915" s="1618">
        <f t="shared" si="288"/>
        <v>0</v>
      </c>
      <c r="M915" s="1618"/>
      <c r="N915" s="1618">
        <f t="shared" si="296"/>
        <v>0</v>
      </c>
      <c r="O915" s="1618"/>
      <c r="P915" s="1618">
        <f t="shared" si="297"/>
        <v>0</v>
      </c>
      <c r="Q915" s="1618"/>
      <c r="R915" s="1618">
        <f t="shared" si="298"/>
        <v>0</v>
      </c>
      <c r="S915" s="1618"/>
      <c r="T915" s="1618">
        <f t="shared" si="299"/>
        <v>0</v>
      </c>
      <c r="U915" s="1618">
        <f>'EX Water'!H76</f>
        <v>220</v>
      </c>
      <c r="V915" s="1618">
        <f t="shared" si="300"/>
        <v>18015.8</v>
      </c>
      <c r="W915" s="1619" t="e">
        <f>U915+S915+O915+M915+#REF!+K915+I915+G915+Q915</f>
        <v>#REF!</v>
      </c>
      <c r="X915" s="1618"/>
      <c r="Y915" s="1619" t="e">
        <f t="shared" si="301"/>
        <v>#REF!</v>
      </c>
      <c r="Z915" s="1618" t="e">
        <f t="shared" si="302"/>
        <v>#REF!</v>
      </c>
      <c r="AA915" s="675"/>
      <c r="AB915" s="673"/>
    </row>
    <row r="916" spans="1:28" s="301" customFormat="1" ht="40.5" customHeight="1">
      <c r="A916" s="1675"/>
      <c r="B916" s="1577"/>
      <c r="C916" s="1574"/>
      <c r="D916" s="1575"/>
      <c r="E916" s="1616"/>
      <c r="F916" s="1626"/>
      <c r="G916" s="1618"/>
      <c r="H916" s="1618">
        <f t="shared" si="303"/>
        <v>0</v>
      </c>
      <c r="I916" s="1618"/>
      <c r="J916" s="1618">
        <f t="shared" si="304"/>
        <v>0</v>
      </c>
      <c r="K916" s="1618"/>
      <c r="L916" s="1618">
        <f t="shared" si="288"/>
        <v>0</v>
      </c>
      <c r="M916" s="1618"/>
      <c r="N916" s="1618">
        <f t="shared" si="296"/>
        <v>0</v>
      </c>
      <c r="O916" s="1618"/>
      <c r="P916" s="1618">
        <f t="shared" si="297"/>
        <v>0</v>
      </c>
      <c r="Q916" s="1618"/>
      <c r="R916" s="1618">
        <f t="shared" si="298"/>
        <v>0</v>
      </c>
      <c r="S916" s="1618"/>
      <c r="T916" s="1618">
        <f t="shared" si="299"/>
        <v>0</v>
      </c>
      <c r="U916" s="1618"/>
      <c r="V916" s="1618">
        <f t="shared" si="300"/>
        <v>0</v>
      </c>
      <c r="W916" s="1619" t="e">
        <f>U916+S916+O916+M916+#REF!+K916+I916+G916+Q916</f>
        <v>#REF!</v>
      </c>
      <c r="X916" s="1618"/>
      <c r="Y916" s="1619" t="e">
        <f t="shared" si="301"/>
        <v>#REF!</v>
      </c>
      <c r="Z916" s="1618" t="e">
        <f t="shared" si="302"/>
        <v>#REF!</v>
      </c>
      <c r="AA916" s="675"/>
      <c r="AB916" s="673"/>
    </row>
    <row r="917" spans="1:28" s="301" customFormat="1" ht="40.5" customHeight="1">
      <c r="A917" s="1675"/>
      <c r="B917" s="1583" t="s">
        <v>6368</v>
      </c>
      <c r="C917" s="1584"/>
      <c r="D917" s="1578"/>
      <c r="E917" s="1616"/>
      <c r="F917" s="1626"/>
      <c r="G917" s="1618"/>
      <c r="H917" s="1618">
        <f t="shared" si="303"/>
        <v>0</v>
      </c>
      <c r="I917" s="1618"/>
      <c r="J917" s="1618">
        <f t="shared" si="304"/>
        <v>0</v>
      </c>
      <c r="K917" s="1618"/>
      <c r="L917" s="1618">
        <f t="shared" si="288"/>
        <v>0</v>
      </c>
      <c r="M917" s="1618"/>
      <c r="N917" s="1618">
        <f t="shared" si="296"/>
        <v>0</v>
      </c>
      <c r="O917" s="1618"/>
      <c r="P917" s="1618">
        <f t="shared" si="297"/>
        <v>0</v>
      </c>
      <c r="Q917" s="1618"/>
      <c r="R917" s="1618">
        <f t="shared" si="298"/>
        <v>0</v>
      </c>
      <c r="S917" s="1618"/>
      <c r="T917" s="1618">
        <f t="shared" si="299"/>
        <v>0</v>
      </c>
      <c r="U917" s="1618"/>
      <c r="V917" s="1618">
        <f t="shared" si="300"/>
        <v>0</v>
      </c>
      <c r="W917" s="1619" t="e">
        <f>U917+S917+O917+M917+#REF!+K917+I917+G917+Q917</f>
        <v>#REF!</v>
      </c>
      <c r="X917" s="1618"/>
      <c r="Y917" s="1619" t="e">
        <f t="shared" si="301"/>
        <v>#REF!</v>
      </c>
      <c r="Z917" s="1618" t="e">
        <f t="shared" si="302"/>
        <v>#REF!</v>
      </c>
      <c r="AA917" s="675"/>
      <c r="AB917" s="673"/>
    </row>
    <row r="918" spans="1:28" s="301" customFormat="1" ht="75" customHeight="1">
      <c r="A918" s="1675"/>
      <c r="B918" s="1577" t="s">
        <v>6369</v>
      </c>
      <c r="C918" s="1585">
        <v>3000</v>
      </c>
      <c r="D918" s="1585" t="s">
        <v>1418</v>
      </c>
      <c r="E918" s="1616"/>
      <c r="F918" s="1626"/>
      <c r="G918" s="1618"/>
      <c r="H918" s="1618">
        <f t="shared" si="303"/>
        <v>0</v>
      </c>
      <c r="I918" s="1618"/>
      <c r="J918" s="1618">
        <f t="shared" si="304"/>
        <v>0</v>
      </c>
      <c r="K918" s="1618"/>
      <c r="L918" s="1618">
        <f t="shared" si="288"/>
        <v>0</v>
      </c>
      <c r="M918" s="1618"/>
      <c r="N918" s="1618">
        <f t="shared" si="296"/>
        <v>0</v>
      </c>
      <c r="O918" s="1618"/>
      <c r="P918" s="1618">
        <f t="shared" si="297"/>
        <v>0</v>
      </c>
      <c r="Q918" s="1618"/>
      <c r="R918" s="1618">
        <f t="shared" si="298"/>
        <v>0</v>
      </c>
      <c r="S918" s="1618"/>
      <c r="T918" s="1618">
        <f t="shared" si="299"/>
        <v>0</v>
      </c>
      <c r="U918" s="1618">
        <f>'EX Water'!H79</f>
        <v>1</v>
      </c>
      <c r="V918" s="1618">
        <f t="shared" si="300"/>
        <v>3000</v>
      </c>
      <c r="W918" s="1619" t="e">
        <f>U918+S918+O918+M918+#REF!+K918+I918+G918+Q918</f>
        <v>#REF!</v>
      </c>
      <c r="X918" s="1618"/>
      <c r="Y918" s="1619" t="e">
        <f t="shared" si="301"/>
        <v>#REF!</v>
      </c>
      <c r="Z918" s="1618" t="e">
        <f t="shared" si="302"/>
        <v>#REF!</v>
      </c>
      <c r="AA918" s="675"/>
      <c r="AB918" s="673"/>
    </row>
    <row r="919" spans="1:28" s="301" customFormat="1" ht="75" customHeight="1">
      <c r="A919" s="1675"/>
      <c r="B919" s="1577" t="s">
        <v>6370</v>
      </c>
      <c r="C919" s="1585"/>
      <c r="D919" s="1585"/>
      <c r="E919" s="1616"/>
      <c r="F919" s="1626"/>
      <c r="G919" s="1618"/>
      <c r="H919" s="1618">
        <f t="shared" si="303"/>
        <v>0</v>
      </c>
      <c r="I919" s="1618"/>
      <c r="J919" s="1618">
        <f t="shared" si="304"/>
        <v>0</v>
      </c>
      <c r="K919" s="1618"/>
      <c r="L919" s="1618">
        <f t="shared" si="288"/>
        <v>0</v>
      </c>
      <c r="M919" s="1618"/>
      <c r="N919" s="1618">
        <f t="shared" si="296"/>
        <v>0</v>
      </c>
      <c r="O919" s="1618"/>
      <c r="P919" s="1618">
        <f t="shared" si="297"/>
        <v>0</v>
      </c>
      <c r="Q919" s="1618"/>
      <c r="R919" s="1618">
        <f t="shared" si="298"/>
        <v>0</v>
      </c>
      <c r="S919" s="1618"/>
      <c r="T919" s="1618">
        <f t="shared" si="299"/>
        <v>0</v>
      </c>
      <c r="U919" s="1618"/>
      <c r="V919" s="1618">
        <f t="shared" si="300"/>
        <v>0</v>
      </c>
      <c r="W919" s="1619" t="e">
        <f>U919+S919+O919+M919+#REF!+K919+I919+G919+Q919</f>
        <v>#REF!</v>
      </c>
      <c r="X919" s="1618"/>
      <c r="Y919" s="1619" t="e">
        <f t="shared" si="301"/>
        <v>#REF!</v>
      </c>
      <c r="Z919" s="1618" t="e">
        <f t="shared" si="302"/>
        <v>#REF!</v>
      </c>
      <c r="AA919" s="675"/>
      <c r="AB919" s="673"/>
    </row>
    <row r="920" spans="1:28" s="301" customFormat="1" ht="40.5" customHeight="1">
      <c r="A920" s="1675"/>
      <c r="B920" s="1578" t="s">
        <v>6371</v>
      </c>
      <c r="C920" s="1585">
        <v>1092</v>
      </c>
      <c r="D920" s="1585" t="s">
        <v>1418</v>
      </c>
      <c r="E920" s="1616"/>
      <c r="F920" s="1626"/>
      <c r="G920" s="1618"/>
      <c r="H920" s="1618">
        <f t="shared" si="303"/>
        <v>0</v>
      </c>
      <c r="I920" s="1618"/>
      <c r="J920" s="1618">
        <f t="shared" si="304"/>
        <v>0</v>
      </c>
      <c r="K920" s="1618"/>
      <c r="L920" s="1618">
        <f t="shared" si="288"/>
        <v>0</v>
      </c>
      <c r="M920" s="1618"/>
      <c r="N920" s="1618">
        <f t="shared" si="296"/>
        <v>0</v>
      </c>
      <c r="O920" s="1618"/>
      <c r="P920" s="1618">
        <f t="shared" si="297"/>
        <v>0</v>
      </c>
      <c r="Q920" s="1618"/>
      <c r="R920" s="1618">
        <f t="shared" si="298"/>
        <v>0</v>
      </c>
      <c r="S920" s="1618"/>
      <c r="T920" s="1618">
        <f t="shared" si="299"/>
        <v>0</v>
      </c>
      <c r="U920" s="1618">
        <f>'EX Water'!H86</f>
        <v>47</v>
      </c>
      <c r="V920" s="1618">
        <f t="shared" si="300"/>
        <v>51324</v>
      </c>
      <c r="W920" s="1619" t="e">
        <f>U920+S920+O920+M920+#REF!+K920+I920+G920+Q920</f>
        <v>#REF!</v>
      </c>
      <c r="X920" s="1618"/>
      <c r="Y920" s="1619" t="e">
        <f t="shared" si="301"/>
        <v>#REF!</v>
      </c>
      <c r="Z920" s="1618" t="e">
        <f t="shared" si="302"/>
        <v>#REF!</v>
      </c>
      <c r="AA920" s="675"/>
      <c r="AB920" s="673"/>
    </row>
    <row r="921" spans="1:28" s="301" customFormat="1" ht="40.5" customHeight="1">
      <c r="A921" s="1675"/>
      <c r="B921" s="1578" t="s">
        <v>6305</v>
      </c>
      <c r="C921" s="1585">
        <v>693</v>
      </c>
      <c r="D921" s="1585" t="s">
        <v>1418</v>
      </c>
      <c r="E921" s="1616"/>
      <c r="F921" s="1626"/>
      <c r="G921" s="1618"/>
      <c r="H921" s="1618">
        <f t="shared" si="303"/>
        <v>0</v>
      </c>
      <c r="I921" s="1618"/>
      <c r="J921" s="1618">
        <f t="shared" si="304"/>
        <v>0</v>
      </c>
      <c r="K921" s="1618"/>
      <c r="L921" s="1618">
        <f t="shared" si="288"/>
        <v>0</v>
      </c>
      <c r="M921" s="1618"/>
      <c r="N921" s="1618">
        <f t="shared" si="296"/>
        <v>0</v>
      </c>
      <c r="O921" s="1618"/>
      <c r="P921" s="1618">
        <f t="shared" si="297"/>
        <v>0</v>
      </c>
      <c r="Q921" s="1618"/>
      <c r="R921" s="1618">
        <f t="shared" si="298"/>
        <v>0</v>
      </c>
      <c r="S921" s="1618"/>
      <c r="T921" s="1618">
        <f t="shared" si="299"/>
        <v>0</v>
      </c>
      <c r="U921" s="1618">
        <f>'EX Water'!H102</f>
        <v>116</v>
      </c>
      <c r="V921" s="1618">
        <f t="shared" si="300"/>
        <v>80388</v>
      </c>
      <c r="W921" s="1619" t="e">
        <f>U921+S921+O921+M921+#REF!+K921+I921+G921+Q921</f>
        <v>#REF!</v>
      </c>
      <c r="X921" s="1618"/>
      <c r="Y921" s="1619" t="e">
        <f t="shared" si="301"/>
        <v>#REF!</v>
      </c>
      <c r="Z921" s="1618" t="e">
        <f t="shared" si="302"/>
        <v>#REF!</v>
      </c>
      <c r="AA921" s="675"/>
      <c r="AB921" s="673"/>
    </row>
    <row r="922" spans="1:28" s="301" customFormat="1" ht="39" customHeight="1">
      <c r="A922" s="1675"/>
      <c r="B922" s="1578"/>
      <c r="C922" s="1585"/>
      <c r="D922" s="1585"/>
      <c r="E922" s="1616"/>
      <c r="F922" s="1626"/>
      <c r="G922" s="1618"/>
      <c r="H922" s="1618">
        <f t="shared" si="303"/>
        <v>0</v>
      </c>
      <c r="I922" s="1618"/>
      <c r="J922" s="1618">
        <f t="shared" si="304"/>
        <v>0</v>
      </c>
      <c r="K922" s="1618"/>
      <c r="L922" s="1618">
        <f t="shared" si="288"/>
        <v>0</v>
      </c>
      <c r="M922" s="1618"/>
      <c r="N922" s="1618">
        <f t="shared" si="296"/>
        <v>0</v>
      </c>
      <c r="O922" s="1618"/>
      <c r="P922" s="1618">
        <f t="shared" si="297"/>
        <v>0</v>
      </c>
      <c r="Q922" s="1618"/>
      <c r="R922" s="1618">
        <f t="shared" si="298"/>
        <v>0</v>
      </c>
      <c r="S922" s="1618"/>
      <c r="T922" s="1618">
        <f t="shared" si="299"/>
        <v>0</v>
      </c>
      <c r="U922" s="1618"/>
      <c r="V922" s="1618">
        <f t="shared" si="300"/>
        <v>0</v>
      </c>
      <c r="W922" s="1619" t="e">
        <f>U922+S922+O922+M922+#REF!+K922+I922+G922+Q922</f>
        <v>#REF!</v>
      </c>
      <c r="X922" s="1618"/>
      <c r="Y922" s="1619" t="e">
        <f t="shared" si="301"/>
        <v>#REF!</v>
      </c>
      <c r="Z922" s="1618" t="e">
        <f t="shared" si="302"/>
        <v>#REF!</v>
      </c>
      <c r="AA922" s="675"/>
      <c r="AB922" s="673"/>
    </row>
    <row r="923" spans="1:28" s="301" customFormat="1" ht="126" customHeight="1">
      <c r="A923" s="1675"/>
      <c r="B923" s="1918" t="s">
        <v>6372</v>
      </c>
      <c r="C923" s="1586">
        <f>'[8]2IN1'!$H$52</f>
        <v>25056</v>
      </c>
      <c r="D923" s="1586" t="s">
        <v>1418</v>
      </c>
      <c r="E923" s="1616"/>
      <c r="F923" s="1626"/>
      <c r="G923" s="1618"/>
      <c r="H923" s="1618">
        <f t="shared" si="303"/>
        <v>0</v>
      </c>
      <c r="I923" s="1618"/>
      <c r="J923" s="1618">
        <f t="shared" si="304"/>
        <v>0</v>
      </c>
      <c r="K923" s="1618"/>
      <c r="L923" s="1618">
        <f t="shared" si="288"/>
        <v>0</v>
      </c>
      <c r="M923" s="1618"/>
      <c r="N923" s="1618">
        <f t="shared" si="296"/>
        <v>0</v>
      </c>
      <c r="O923" s="1618"/>
      <c r="P923" s="1618">
        <f t="shared" si="297"/>
        <v>0</v>
      </c>
      <c r="Q923" s="1618"/>
      <c r="R923" s="1618">
        <f t="shared" si="298"/>
        <v>0</v>
      </c>
      <c r="S923" s="1618">
        <f>'UG Cable'!H7</f>
        <v>1</v>
      </c>
      <c r="T923" s="1618">
        <f t="shared" si="299"/>
        <v>25056</v>
      </c>
      <c r="U923" s="1618"/>
      <c r="V923" s="1618">
        <f t="shared" si="300"/>
        <v>0</v>
      </c>
      <c r="W923" s="1619" t="e">
        <f>U923+S923+O923+M923+#REF!+K923+I923+G923+Q923</f>
        <v>#REF!</v>
      </c>
      <c r="X923" s="1618"/>
      <c r="Y923" s="1619" t="e">
        <f t="shared" si="301"/>
        <v>#REF!</v>
      </c>
      <c r="Z923" s="1618" t="e">
        <f t="shared" si="302"/>
        <v>#REF!</v>
      </c>
      <c r="AA923" s="675"/>
      <c r="AB923" s="673"/>
    </row>
    <row r="924" spans="1:28" s="301" customFormat="1" ht="108" customHeight="1">
      <c r="A924" s="1675"/>
      <c r="B924" s="1918"/>
      <c r="C924" s="1587"/>
      <c r="D924" s="1587"/>
      <c r="E924" s="1616"/>
      <c r="F924" s="1626"/>
      <c r="G924" s="1618"/>
      <c r="H924" s="1618">
        <f t="shared" si="303"/>
        <v>0</v>
      </c>
      <c r="I924" s="1618"/>
      <c r="J924" s="1618">
        <f t="shared" si="304"/>
        <v>0</v>
      </c>
      <c r="K924" s="1618"/>
      <c r="L924" s="1618">
        <f t="shared" si="288"/>
        <v>0</v>
      </c>
      <c r="M924" s="1618"/>
      <c r="N924" s="1618">
        <f t="shared" si="296"/>
        <v>0</v>
      </c>
      <c r="O924" s="1618"/>
      <c r="P924" s="1618">
        <f t="shared" si="297"/>
        <v>0</v>
      </c>
      <c r="Q924" s="1618"/>
      <c r="R924" s="1618">
        <f t="shared" si="298"/>
        <v>0</v>
      </c>
      <c r="S924" s="1618"/>
      <c r="T924" s="1618">
        <f t="shared" si="299"/>
        <v>0</v>
      </c>
      <c r="U924" s="1618"/>
      <c r="V924" s="1618">
        <f t="shared" si="300"/>
        <v>0</v>
      </c>
      <c r="W924" s="1619" t="e">
        <f>U924+S924+O924+M924+#REF!+K924+I924+G924+Q924</f>
        <v>#REF!</v>
      </c>
      <c r="X924" s="1618"/>
      <c r="Y924" s="1619" t="e">
        <f t="shared" si="301"/>
        <v>#REF!</v>
      </c>
      <c r="Z924" s="1618" t="e">
        <f t="shared" si="302"/>
        <v>#REF!</v>
      </c>
      <c r="AA924" s="675"/>
      <c r="AB924" s="673"/>
    </row>
    <row r="925" spans="1:28" s="301" customFormat="1" ht="139.5" customHeight="1">
      <c r="A925" s="1675"/>
      <c r="B925" s="1588" t="s">
        <v>6320</v>
      </c>
      <c r="C925" s="1586"/>
      <c r="D925" s="1586"/>
      <c r="E925" s="1616"/>
      <c r="F925" s="1626"/>
      <c r="G925" s="1618"/>
      <c r="H925" s="1618">
        <f t="shared" si="303"/>
        <v>0</v>
      </c>
      <c r="I925" s="1618"/>
      <c r="J925" s="1618">
        <f t="shared" si="304"/>
        <v>0</v>
      </c>
      <c r="K925" s="1618"/>
      <c r="L925" s="1618">
        <f t="shared" si="288"/>
        <v>0</v>
      </c>
      <c r="M925" s="1618"/>
      <c r="N925" s="1618">
        <f t="shared" si="296"/>
        <v>0</v>
      </c>
      <c r="O925" s="1618"/>
      <c r="P925" s="1618">
        <f t="shared" si="297"/>
        <v>0</v>
      </c>
      <c r="Q925" s="1618"/>
      <c r="R925" s="1618">
        <f t="shared" si="298"/>
        <v>0</v>
      </c>
      <c r="S925" s="1618"/>
      <c r="T925" s="1618">
        <f t="shared" si="299"/>
        <v>0</v>
      </c>
      <c r="U925" s="1618"/>
      <c r="V925" s="1618">
        <f t="shared" si="300"/>
        <v>0</v>
      </c>
      <c r="W925" s="1619" t="e">
        <f>U925+S925+O925+M925+#REF!+K925+I925+G925+Q925</f>
        <v>#REF!</v>
      </c>
      <c r="X925" s="1618"/>
      <c r="Y925" s="1619" t="e">
        <f t="shared" si="301"/>
        <v>#REF!</v>
      </c>
      <c r="Z925" s="1618" t="e">
        <f t="shared" si="302"/>
        <v>#REF!</v>
      </c>
      <c r="AA925" s="675"/>
      <c r="AB925" s="673"/>
    </row>
    <row r="926" spans="1:28" s="301" customFormat="1" ht="40.5" customHeight="1">
      <c r="A926" s="1675"/>
      <c r="B926" s="1919" t="s">
        <v>6374</v>
      </c>
      <c r="C926" s="1586">
        <v>241.6</v>
      </c>
      <c r="D926" s="1586" t="s">
        <v>835</v>
      </c>
      <c r="E926" s="1616"/>
      <c r="F926" s="1626"/>
      <c r="G926" s="1618"/>
      <c r="H926" s="1618">
        <f t="shared" si="303"/>
        <v>0</v>
      </c>
      <c r="I926" s="1618"/>
      <c r="J926" s="1618">
        <f t="shared" si="304"/>
        <v>0</v>
      </c>
      <c r="K926" s="1618"/>
      <c r="L926" s="1618">
        <f t="shared" si="288"/>
        <v>0</v>
      </c>
      <c r="M926" s="1618"/>
      <c r="N926" s="1618">
        <f t="shared" si="296"/>
        <v>0</v>
      </c>
      <c r="O926" s="1618"/>
      <c r="P926" s="1618">
        <f t="shared" si="297"/>
        <v>0</v>
      </c>
      <c r="Q926" s="1618"/>
      <c r="R926" s="1618">
        <f t="shared" si="298"/>
        <v>0</v>
      </c>
      <c r="S926" s="1618">
        <f>'UG Cable'!H14</f>
        <v>138.5</v>
      </c>
      <c r="T926" s="1618">
        <f t="shared" si="299"/>
        <v>33461.599999999999</v>
      </c>
      <c r="U926" s="1618"/>
      <c r="V926" s="1618">
        <f t="shared" si="300"/>
        <v>0</v>
      </c>
      <c r="W926" s="1619" t="e">
        <f>U926+S926+O926+M926+#REF!+K926+I926+G926+Q926</f>
        <v>#REF!</v>
      </c>
      <c r="X926" s="1618"/>
      <c r="Y926" s="1619" t="e">
        <f t="shared" si="301"/>
        <v>#REF!</v>
      </c>
      <c r="Z926" s="1618" t="e">
        <f t="shared" si="302"/>
        <v>#REF!</v>
      </c>
      <c r="AA926" s="675"/>
      <c r="AB926" s="673"/>
    </row>
    <row r="927" spans="1:28" s="301" customFormat="1" ht="75" customHeight="1">
      <c r="A927" s="1675"/>
      <c r="B927" s="1919"/>
      <c r="C927" s="1587"/>
      <c r="D927" s="1587" t="s">
        <v>6373</v>
      </c>
      <c r="E927" s="1616"/>
      <c r="F927" s="1626"/>
      <c r="G927" s="1618"/>
      <c r="H927" s="1618">
        <f t="shared" si="303"/>
        <v>0</v>
      </c>
      <c r="I927" s="1618"/>
      <c r="J927" s="1618">
        <f t="shared" si="304"/>
        <v>0</v>
      </c>
      <c r="K927" s="1618"/>
      <c r="L927" s="1618">
        <f t="shared" si="288"/>
        <v>0</v>
      </c>
      <c r="M927" s="1618"/>
      <c r="N927" s="1618">
        <f t="shared" si="296"/>
        <v>0</v>
      </c>
      <c r="O927" s="1618"/>
      <c r="P927" s="1618">
        <f t="shared" si="297"/>
        <v>0</v>
      </c>
      <c r="Q927" s="1618"/>
      <c r="R927" s="1618">
        <f t="shared" si="298"/>
        <v>0</v>
      </c>
      <c r="S927" s="1618"/>
      <c r="T927" s="1618">
        <f t="shared" si="299"/>
        <v>0</v>
      </c>
      <c r="U927" s="1618"/>
      <c r="V927" s="1618">
        <f t="shared" si="300"/>
        <v>0</v>
      </c>
      <c r="W927" s="1619" t="e">
        <f>U927+S927+O927+M927+#REF!+K927+I927+G927+Q927</f>
        <v>#REF!</v>
      </c>
      <c r="X927" s="1618"/>
      <c r="Y927" s="1619" t="e">
        <f t="shared" si="301"/>
        <v>#REF!</v>
      </c>
      <c r="Z927" s="1618" t="e">
        <f t="shared" si="302"/>
        <v>#REF!</v>
      </c>
      <c r="AA927" s="675"/>
      <c r="AB927" s="673"/>
    </row>
    <row r="928" spans="1:28" s="301" customFormat="1" ht="40.5" customHeight="1">
      <c r="A928" s="1675"/>
      <c r="B928" s="1589"/>
      <c r="C928" s="1587"/>
      <c r="D928" s="1586"/>
      <c r="E928" s="1616"/>
      <c r="F928" s="1626"/>
      <c r="G928" s="1618"/>
      <c r="H928" s="1618">
        <f t="shared" si="303"/>
        <v>0</v>
      </c>
      <c r="I928" s="1618"/>
      <c r="J928" s="1618">
        <f t="shared" si="304"/>
        <v>0</v>
      </c>
      <c r="K928" s="1618"/>
      <c r="L928" s="1618">
        <f t="shared" si="288"/>
        <v>0</v>
      </c>
      <c r="M928" s="1618"/>
      <c r="N928" s="1618">
        <f t="shared" si="296"/>
        <v>0</v>
      </c>
      <c r="O928" s="1618"/>
      <c r="P928" s="1618">
        <f t="shared" si="297"/>
        <v>0</v>
      </c>
      <c r="Q928" s="1618"/>
      <c r="R928" s="1618">
        <f t="shared" si="298"/>
        <v>0</v>
      </c>
      <c r="S928" s="1618"/>
      <c r="T928" s="1618">
        <f t="shared" si="299"/>
        <v>0</v>
      </c>
      <c r="U928" s="1618"/>
      <c r="V928" s="1618">
        <f t="shared" si="300"/>
        <v>0</v>
      </c>
      <c r="W928" s="1619" t="e">
        <f>U928+S928+O928+M928+#REF!+K928+I928+G928+Q928</f>
        <v>#REF!</v>
      </c>
      <c r="X928" s="1618"/>
      <c r="Y928" s="1619" t="e">
        <f t="shared" si="301"/>
        <v>#REF!</v>
      </c>
      <c r="Z928" s="1618" t="e">
        <f t="shared" si="302"/>
        <v>#REF!</v>
      </c>
      <c r="AA928" s="675"/>
      <c r="AB928" s="673"/>
    </row>
    <row r="929" spans="1:28" s="301" customFormat="1" ht="33" customHeight="1">
      <c r="A929" s="1675"/>
      <c r="B929" s="1920" t="s">
        <v>6325</v>
      </c>
      <c r="C929" s="1586">
        <v>61.1</v>
      </c>
      <c r="D929" s="1586" t="s">
        <v>1418</v>
      </c>
      <c r="E929" s="1616"/>
      <c r="F929" s="1626"/>
      <c r="G929" s="1618"/>
      <c r="H929" s="1618">
        <f t="shared" si="303"/>
        <v>0</v>
      </c>
      <c r="I929" s="1618"/>
      <c r="J929" s="1618">
        <f t="shared" si="304"/>
        <v>0</v>
      </c>
      <c r="K929" s="1618"/>
      <c r="L929" s="1618">
        <f t="shared" si="288"/>
        <v>0</v>
      </c>
      <c r="M929" s="1618"/>
      <c r="N929" s="1618">
        <f t="shared" si="296"/>
        <v>0</v>
      </c>
      <c r="O929" s="1618"/>
      <c r="P929" s="1618">
        <f t="shared" si="297"/>
        <v>0</v>
      </c>
      <c r="Q929" s="1618"/>
      <c r="R929" s="1618">
        <f t="shared" si="298"/>
        <v>0</v>
      </c>
      <c r="S929" s="1618">
        <f>'UG Cable'!H17</f>
        <v>2</v>
      </c>
      <c r="T929" s="1618">
        <f t="shared" si="299"/>
        <v>122.2</v>
      </c>
      <c r="U929" s="1618"/>
      <c r="V929" s="1618">
        <f t="shared" si="300"/>
        <v>0</v>
      </c>
      <c r="W929" s="1619" t="e">
        <f>U929+S929+O929+M929+#REF!+K929+I929+G929+Q929</f>
        <v>#REF!</v>
      </c>
      <c r="X929" s="1618"/>
      <c r="Y929" s="1619" t="e">
        <f t="shared" si="301"/>
        <v>#REF!</v>
      </c>
      <c r="Z929" s="1618" t="e">
        <f t="shared" si="302"/>
        <v>#REF!</v>
      </c>
      <c r="AA929" s="675"/>
      <c r="AB929" s="673"/>
    </row>
    <row r="930" spans="1:28" s="301" customFormat="1" ht="75" customHeight="1">
      <c r="A930" s="1675"/>
      <c r="B930" s="1920"/>
      <c r="C930" s="1587"/>
      <c r="D930" s="1587" t="s">
        <v>6375</v>
      </c>
      <c r="E930" s="1616"/>
      <c r="F930" s="1626"/>
      <c r="G930" s="1618"/>
      <c r="H930" s="1618">
        <f t="shared" si="303"/>
        <v>0</v>
      </c>
      <c r="I930" s="1618"/>
      <c r="J930" s="1618">
        <f t="shared" si="304"/>
        <v>0</v>
      </c>
      <c r="K930" s="1618"/>
      <c r="L930" s="1618">
        <f t="shared" ref="L930:L958" si="305">K930*C930</f>
        <v>0</v>
      </c>
      <c r="M930" s="1618"/>
      <c r="N930" s="1618">
        <f t="shared" si="296"/>
        <v>0</v>
      </c>
      <c r="O930" s="1618"/>
      <c r="P930" s="1618">
        <f t="shared" si="297"/>
        <v>0</v>
      </c>
      <c r="Q930" s="1618"/>
      <c r="R930" s="1618">
        <f t="shared" si="298"/>
        <v>0</v>
      </c>
      <c r="S930" s="1618"/>
      <c r="T930" s="1618">
        <f t="shared" si="299"/>
        <v>0</v>
      </c>
      <c r="U930" s="1618"/>
      <c r="V930" s="1618">
        <f t="shared" si="300"/>
        <v>0</v>
      </c>
      <c r="W930" s="1619" t="e">
        <f>U930+S930+O930+M930+#REF!+K930+I930+G930+Q930</f>
        <v>#REF!</v>
      </c>
      <c r="X930" s="1618"/>
      <c r="Y930" s="1619" t="e">
        <f t="shared" si="301"/>
        <v>#REF!</v>
      </c>
      <c r="Z930" s="1618" t="e">
        <f t="shared" si="302"/>
        <v>#REF!</v>
      </c>
      <c r="AA930" s="675"/>
      <c r="AB930" s="673"/>
    </row>
    <row r="931" spans="1:28" s="301" customFormat="1">
      <c r="A931" s="1675"/>
      <c r="B931" s="1590"/>
      <c r="C931" s="1587"/>
      <c r="D931" s="1586"/>
      <c r="E931" s="1616"/>
      <c r="F931" s="1626">
        <f t="shared" si="280"/>
        <v>0</v>
      </c>
      <c r="G931" s="1618"/>
      <c r="H931" s="1618">
        <f t="shared" si="303"/>
        <v>0</v>
      </c>
      <c r="I931" s="1618"/>
      <c r="J931" s="1618">
        <f t="shared" si="304"/>
        <v>0</v>
      </c>
      <c r="K931" s="1618"/>
      <c r="L931" s="1618">
        <f t="shared" si="305"/>
        <v>0</v>
      </c>
      <c r="M931" s="1618"/>
      <c r="N931" s="1618">
        <f t="shared" si="296"/>
        <v>0</v>
      </c>
      <c r="O931" s="1618"/>
      <c r="P931" s="1618">
        <f t="shared" si="297"/>
        <v>0</v>
      </c>
      <c r="Q931" s="1618"/>
      <c r="R931" s="1618">
        <f t="shared" si="298"/>
        <v>0</v>
      </c>
      <c r="S931" s="1618"/>
      <c r="T931" s="1618">
        <f t="shared" si="299"/>
        <v>0</v>
      </c>
      <c r="U931" s="1618"/>
      <c r="V931" s="1618">
        <f t="shared" si="300"/>
        <v>0</v>
      </c>
      <c r="W931" s="1619" t="e">
        <f>U931+S931+O931+M931+#REF!+K931+I931+G931+Q931</f>
        <v>#REF!</v>
      </c>
      <c r="X931" s="1618" t="e">
        <f t="shared" ref="X931:X958" si="306">W931*C931</f>
        <v>#REF!</v>
      </c>
      <c r="Y931" s="1619" t="e">
        <f t="shared" si="301"/>
        <v>#REF!</v>
      </c>
      <c r="Z931" s="1618" t="e">
        <f t="shared" si="302"/>
        <v>#REF!</v>
      </c>
      <c r="AA931" s="675"/>
      <c r="AB931" s="673"/>
    </row>
    <row r="932" spans="1:28" s="301" customFormat="1" ht="121.5">
      <c r="A932" s="1675"/>
      <c r="B932" s="1591" t="s">
        <v>3665</v>
      </c>
      <c r="C932" s="1586">
        <v>457.07</v>
      </c>
      <c r="D932" s="1586" t="s">
        <v>835</v>
      </c>
      <c r="E932" s="1618"/>
      <c r="F932" s="1626">
        <f t="shared" si="280"/>
        <v>0</v>
      </c>
      <c r="G932" s="1618"/>
      <c r="H932" s="1618">
        <f t="shared" si="303"/>
        <v>0</v>
      </c>
      <c r="I932" s="1618"/>
      <c r="J932" s="1618">
        <f t="shared" si="304"/>
        <v>0</v>
      </c>
      <c r="K932" s="1618"/>
      <c r="L932" s="1618">
        <f t="shared" si="305"/>
        <v>0</v>
      </c>
      <c r="M932" s="1618"/>
      <c r="N932" s="1618">
        <f t="shared" ref="N932:N958" si="307">M932*C932</f>
        <v>0</v>
      </c>
      <c r="O932" s="1618"/>
      <c r="P932" s="1618">
        <f t="shared" ref="P932:P958" si="308">O932*C932</f>
        <v>0</v>
      </c>
      <c r="Q932" s="1618"/>
      <c r="R932" s="1618">
        <f t="shared" ref="R932:R958" si="309">Q932*C932</f>
        <v>0</v>
      </c>
      <c r="S932" s="1618">
        <f>'UG Cable'!H23</f>
        <v>25</v>
      </c>
      <c r="T932" s="1618">
        <f t="shared" ref="T932:T958" si="310">S932*C932</f>
        <v>11426.75</v>
      </c>
      <c r="U932" s="1618"/>
      <c r="V932" s="1618">
        <f t="shared" ref="V932:V958" si="311">U932*C932</f>
        <v>0</v>
      </c>
      <c r="W932" s="1619" t="e">
        <f>U932+S932+O932+M932+#REF!+K932+I932+G932+Q932</f>
        <v>#REF!</v>
      </c>
      <c r="X932" s="1618" t="e">
        <f t="shared" si="306"/>
        <v>#REF!</v>
      </c>
      <c r="Y932" s="1619" t="e">
        <f t="shared" ref="Y932:Y957" si="312">W932+E932</f>
        <v>#REF!</v>
      </c>
      <c r="Z932" s="1618" t="e">
        <f t="shared" ref="Z932:Z958" si="313">Y932*C932</f>
        <v>#REF!</v>
      </c>
      <c r="AA932" s="675"/>
      <c r="AB932" s="673"/>
    </row>
    <row r="933" spans="1:28" s="301" customFormat="1">
      <c r="A933" s="1675"/>
      <c r="B933" s="1591"/>
      <c r="C933" s="1586"/>
      <c r="D933" s="1586"/>
      <c r="E933" s="1618"/>
      <c r="F933" s="1626">
        <f t="shared" si="280"/>
        <v>0</v>
      </c>
      <c r="G933" s="1618"/>
      <c r="H933" s="1618">
        <f t="shared" si="303"/>
        <v>0</v>
      </c>
      <c r="I933" s="1618"/>
      <c r="J933" s="1618">
        <f t="shared" si="304"/>
        <v>0</v>
      </c>
      <c r="K933" s="1618"/>
      <c r="L933" s="1618">
        <f t="shared" si="305"/>
        <v>0</v>
      </c>
      <c r="M933" s="1618"/>
      <c r="N933" s="1618">
        <f t="shared" si="307"/>
        <v>0</v>
      </c>
      <c r="O933" s="1618"/>
      <c r="P933" s="1618">
        <f t="shared" si="308"/>
        <v>0</v>
      </c>
      <c r="Q933" s="1618"/>
      <c r="R933" s="1618">
        <f t="shared" si="309"/>
        <v>0</v>
      </c>
      <c r="S933" s="1618"/>
      <c r="T933" s="1618">
        <f t="shared" si="310"/>
        <v>0</v>
      </c>
      <c r="U933" s="1618"/>
      <c r="V933" s="1618">
        <f t="shared" si="311"/>
        <v>0</v>
      </c>
      <c r="W933" s="1619" t="e">
        <f>U933+S933+O933+M933+#REF!+K933+I933+G933+Q933</f>
        <v>#REF!</v>
      </c>
      <c r="X933" s="1618" t="e">
        <f t="shared" si="306"/>
        <v>#REF!</v>
      </c>
      <c r="Y933" s="1619" t="e">
        <f t="shared" si="312"/>
        <v>#REF!</v>
      </c>
      <c r="Z933" s="1618" t="e">
        <f t="shared" si="313"/>
        <v>#REF!</v>
      </c>
      <c r="AA933" s="675"/>
      <c r="AB933" s="673"/>
    </row>
    <row r="934" spans="1:28" s="301" customFormat="1">
      <c r="A934" s="1675"/>
      <c r="B934" s="1923" t="s">
        <v>6389</v>
      </c>
      <c r="C934" s="1586">
        <f>C1028</f>
        <v>245.46</v>
      </c>
      <c r="D934" s="1924" t="s">
        <v>835</v>
      </c>
      <c r="E934" s="1645"/>
      <c r="F934" s="1626">
        <f t="shared" si="280"/>
        <v>0</v>
      </c>
      <c r="G934" s="1618"/>
      <c r="H934" s="1618">
        <f t="shared" si="303"/>
        <v>0</v>
      </c>
      <c r="I934" s="1618"/>
      <c r="J934" s="1618">
        <f t="shared" si="304"/>
        <v>0</v>
      </c>
      <c r="K934" s="1618"/>
      <c r="L934" s="1618">
        <f t="shared" si="305"/>
        <v>0</v>
      </c>
      <c r="M934" s="1618"/>
      <c r="N934" s="1618">
        <f t="shared" si="307"/>
        <v>0</v>
      </c>
      <c r="O934" s="1618"/>
      <c r="P934" s="1618">
        <f t="shared" si="308"/>
        <v>0</v>
      </c>
      <c r="Q934" s="1618"/>
      <c r="R934" s="1618">
        <f t="shared" si="309"/>
        <v>0</v>
      </c>
      <c r="S934" s="1618">
        <f>'UG Cable'!H28</f>
        <v>130</v>
      </c>
      <c r="T934" s="1618">
        <f t="shared" si="310"/>
        <v>31909.8</v>
      </c>
      <c r="U934" s="1618"/>
      <c r="V934" s="1618">
        <f t="shared" si="311"/>
        <v>0</v>
      </c>
      <c r="W934" s="1619" t="e">
        <f>U934+S934+O934+M934+#REF!+K934+I934+G934+Q934</f>
        <v>#REF!</v>
      </c>
      <c r="X934" s="1618" t="e">
        <f t="shared" si="306"/>
        <v>#REF!</v>
      </c>
      <c r="Y934" s="1619" t="e">
        <f t="shared" si="312"/>
        <v>#REF!</v>
      </c>
      <c r="Z934" s="1618" t="e">
        <f t="shared" si="313"/>
        <v>#REF!</v>
      </c>
      <c r="AA934" s="675"/>
      <c r="AB934" s="673"/>
    </row>
    <row r="935" spans="1:28" s="301" customFormat="1" ht="48" customHeight="1">
      <c r="A935" s="1675"/>
      <c r="B935" s="1923"/>
      <c r="C935" s="1587"/>
      <c r="D935" s="1924"/>
      <c r="E935" s="1618"/>
      <c r="F935" s="1626">
        <f t="shared" si="280"/>
        <v>0</v>
      </c>
      <c r="G935" s="1618"/>
      <c r="H935" s="1618">
        <f t="shared" si="303"/>
        <v>0</v>
      </c>
      <c r="I935" s="1618"/>
      <c r="J935" s="1618">
        <f t="shared" si="304"/>
        <v>0</v>
      </c>
      <c r="K935" s="1618"/>
      <c r="L935" s="1618">
        <f t="shared" si="305"/>
        <v>0</v>
      </c>
      <c r="M935" s="1618"/>
      <c r="N935" s="1618">
        <f t="shared" si="307"/>
        <v>0</v>
      </c>
      <c r="O935" s="1618"/>
      <c r="P935" s="1618">
        <f t="shared" si="308"/>
        <v>0</v>
      </c>
      <c r="Q935" s="1618"/>
      <c r="R935" s="1618">
        <f t="shared" si="309"/>
        <v>0</v>
      </c>
      <c r="S935" s="1618"/>
      <c r="T935" s="1618">
        <f t="shared" si="310"/>
        <v>0</v>
      </c>
      <c r="U935" s="1618"/>
      <c r="V935" s="1618">
        <f t="shared" si="311"/>
        <v>0</v>
      </c>
      <c r="W935" s="1619" t="e">
        <f>U935+S935+O935+M935+#REF!+K935+I935+G935+Q935</f>
        <v>#REF!</v>
      </c>
      <c r="X935" s="1618" t="e">
        <f t="shared" si="306"/>
        <v>#REF!</v>
      </c>
      <c r="Y935" s="1619" t="e">
        <f t="shared" si="312"/>
        <v>#REF!</v>
      </c>
      <c r="Z935" s="1618" t="e">
        <f t="shared" si="313"/>
        <v>#REF!</v>
      </c>
      <c r="AA935" s="675"/>
      <c r="AB935" s="673"/>
    </row>
    <row r="936" spans="1:28" s="301" customFormat="1">
      <c r="A936" s="1675"/>
      <c r="B936" s="1592"/>
      <c r="C936" s="1587"/>
      <c r="D936" s="1587"/>
      <c r="E936" s="1618"/>
      <c r="F936" s="1626">
        <f t="shared" si="280"/>
        <v>0</v>
      </c>
      <c r="G936" s="1618"/>
      <c r="H936" s="1618">
        <f t="shared" si="303"/>
        <v>0</v>
      </c>
      <c r="I936" s="1618"/>
      <c r="J936" s="1618">
        <f t="shared" si="304"/>
        <v>0</v>
      </c>
      <c r="K936" s="1618"/>
      <c r="L936" s="1618">
        <f t="shared" si="305"/>
        <v>0</v>
      </c>
      <c r="M936" s="1618"/>
      <c r="N936" s="1618">
        <f t="shared" si="307"/>
        <v>0</v>
      </c>
      <c r="O936" s="1618"/>
      <c r="P936" s="1618">
        <f t="shared" si="308"/>
        <v>0</v>
      </c>
      <c r="Q936" s="1618"/>
      <c r="R936" s="1618">
        <f t="shared" si="309"/>
        <v>0</v>
      </c>
      <c r="S936" s="1618"/>
      <c r="T936" s="1618">
        <f t="shared" si="310"/>
        <v>0</v>
      </c>
      <c r="U936" s="1618"/>
      <c r="V936" s="1618">
        <f t="shared" si="311"/>
        <v>0</v>
      </c>
      <c r="W936" s="1619" t="e">
        <f>U936+S936+O936+M936+#REF!+K936+I936+G936+Q936</f>
        <v>#REF!</v>
      </c>
      <c r="X936" s="1618" t="e">
        <f t="shared" si="306"/>
        <v>#REF!</v>
      </c>
      <c r="Y936" s="1619" t="e">
        <f t="shared" si="312"/>
        <v>#REF!</v>
      </c>
      <c r="Z936" s="1618" t="e">
        <f t="shared" si="313"/>
        <v>#REF!</v>
      </c>
      <c r="AA936" s="675"/>
      <c r="AB936" s="673"/>
    </row>
    <row r="937" spans="1:28" s="301" customFormat="1">
      <c r="A937" s="1675"/>
      <c r="B937" s="1923" t="s">
        <v>6388</v>
      </c>
      <c r="C937" s="1586">
        <f>C1029</f>
        <v>150.69</v>
      </c>
      <c r="D937" s="1925" t="s">
        <v>835</v>
      </c>
      <c r="E937" s="1618"/>
      <c r="F937" s="1626">
        <f t="shared" si="280"/>
        <v>0</v>
      </c>
      <c r="G937" s="1618"/>
      <c r="H937" s="1618">
        <f t="shared" si="303"/>
        <v>0</v>
      </c>
      <c r="I937" s="1618"/>
      <c r="J937" s="1618">
        <f t="shared" si="304"/>
        <v>0</v>
      </c>
      <c r="K937" s="1618"/>
      <c r="L937" s="1618">
        <f t="shared" si="305"/>
        <v>0</v>
      </c>
      <c r="M937" s="1618"/>
      <c r="N937" s="1618">
        <f t="shared" si="307"/>
        <v>0</v>
      </c>
      <c r="O937" s="1618"/>
      <c r="P937" s="1618">
        <f t="shared" si="308"/>
        <v>0</v>
      </c>
      <c r="Q937" s="1618"/>
      <c r="R937" s="1618">
        <f t="shared" si="309"/>
        <v>0</v>
      </c>
      <c r="S937" s="1618">
        <f>'UG Cable'!H32</f>
        <v>17</v>
      </c>
      <c r="T937" s="1618">
        <f t="shared" si="310"/>
        <v>2561.73</v>
      </c>
      <c r="U937" s="1618"/>
      <c r="V937" s="1618">
        <f t="shared" si="311"/>
        <v>0</v>
      </c>
      <c r="W937" s="1619" t="e">
        <f>U937+S937+O937+M937+#REF!+K937+I937+G937+Q937</f>
        <v>#REF!</v>
      </c>
      <c r="X937" s="1618" t="e">
        <f t="shared" si="306"/>
        <v>#REF!</v>
      </c>
      <c r="Y937" s="1619" t="e">
        <f t="shared" si="312"/>
        <v>#REF!</v>
      </c>
      <c r="Z937" s="1618" t="e">
        <f t="shared" si="313"/>
        <v>#REF!</v>
      </c>
      <c r="AA937" s="675"/>
      <c r="AB937" s="673"/>
    </row>
    <row r="938" spans="1:28" s="301" customFormat="1" ht="51" customHeight="1">
      <c r="A938" s="1675"/>
      <c r="B938" s="1923"/>
      <c r="C938" s="1587"/>
      <c r="D938" s="1925"/>
      <c r="E938" s="1618"/>
      <c r="F938" s="1626">
        <f t="shared" si="280"/>
        <v>0</v>
      </c>
      <c r="G938" s="1618"/>
      <c r="H938" s="1618">
        <f t="shared" si="303"/>
        <v>0</v>
      </c>
      <c r="I938" s="1618"/>
      <c r="J938" s="1618">
        <f t="shared" si="304"/>
        <v>0</v>
      </c>
      <c r="K938" s="1618"/>
      <c r="L938" s="1618">
        <f t="shared" si="305"/>
        <v>0</v>
      </c>
      <c r="M938" s="1618"/>
      <c r="N938" s="1618">
        <f t="shared" si="307"/>
        <v>0</v>
      </c>
      <c r="O938" s="1618"/>
      <c r="P938" s="1618">
        <f t="shared" si="308"/>
        <v>0</v>
      </c>
      <c r="Q938" s="1618"/>
      <c r="R938" s="1618">
        <f t="shared" si="309"/>
        <v>0</v>
      </c>
      <c r="S938" s="1618"/>
      <c r="T938" s="1618">
        <f t="shared" si="310"/>
        <v>0</v>
      </c>
      <c r="U938" s="1618"/>
      <c r="V938" s="1618">
        <f t="shared" si="311"/>
        <v>0</v>
      </c>
      <c r="W938" s="1619" t="e">
        <f>U938+S938+O938+M938+#REF!+K938+I938+G938+Q938</f>
        <v>#REF!</v>
      </c>
      <c r="X938" s="1618" t="e">
        <f t="shared" si="306"/>
        <v>#REF!</v>
      </c>
      <c r="Y938" s="1619" t="e">
        <f t="shared" si="312"/>
        <v>#REF!</v>
      </c>
      <c r="Z938" s="1618" t="e">
        <f t="shared" si="313"/>
        <v>#REF!</v>
      </c>
      <c r="AA938" s="675"/>
      <c r="AB938" s="673"/>
    </row>
    <row r="939" spans="1:28" s="301" customFormat="1">
      <c r="A939" s="1675"/>
      <c r="B939" s="1587"/>
      <c r="C939" s="1587"/>
      <c r="D939" s="1586"/>
      <c r="E939" s="1618"/>
      <c r="F939" s="1626">
        <f t="shared" si="280"/>
        <v>0</v>
      </c>
      <c r="G939" s="1618"/>
      <c r="H939" s="1618">
        <f t="shared" si="303"/>
        <v>0</v>
      </c>
      <c r="I939" s="1618"/>
      <c r="J939" s="1618">
        <f t="shared" si="304"/>
        <v>0</v>
      </c>
      <c r="K939" s="1618"/>
      <c r="L939" s="1618">
        <f t="shared" si="305"/>
        <v>0</v>
      </c>
      <c r="M939" s="1618"/>
      <c r="N939" s="1618">
        <f t="shared" si="307"/>
        <v>0</v>
      </c>
      <c r="O939" s="1618"/>
      <c r="P939" s="1618">
        <f t="shared" si="308"/>
        <v>0</v>
      </c>
      <c r="Q939" s="1618"/>
      <c r="R939" s="1618">
        <f t="shared" si="309"/>
        <v>0</v>
      </c>
      <c r="S939" s="1618"/>
      <c r="T939" s="1618">
        <f t="shared" si="310"/>
        <v>0</v>
      </c>
      <c r="U939" s="1618"/>
      <c r="V939" s="1618">
        <f t="shared" si="311"/>
        <v>0</v>
      </c>
      <c r="W939" s="1619" t="e">
        <f>U939+S939+O939+M939+#REF!+K939+I939+G939+Q939</f>
        <v>#REF!</v>
      </c>
      <c r="X939" s="1618" t="e">
        <f t="shared" si="306"/>
        <v>#REF!</v>
      </c>
      <c r="Y939" s="1619" t="e">
        <f t="shared" si="312"/>
        <v>#REF!</v>
      </c>
      <c r="Z939" s="1618" t="e">
        <f t="shared" si="313"/>
        <v>#REF!</v>
      </c>
      <c r="AA939" s="675"/>
      <c r="AB939" s="673"/>
    </row>
    <row r="940" spans="1:28" s="301" customFormat="1">
      <c r="A940" s="1675"/>
      <c r="B940" s="1923" t="s">
        <v>6377</v>
      </c>
      <c r="C940" s="1586">
        <v>209</v>
      </c>
      <c r="D940" s="1586" t="s">
        <v>835</v>
      </c>
      <c r="E940" s="1626"/>
      <c r="F940" s="1626">
        <f t="shared" si="280"/>
        <v>0</v>
      </c>
      <c r="G940" s="1616"/>
      <c r="H940" s="1618">
        <f t="shared" si="303"/>
        <v>0</v>
      </c>
      <c r="I940" s="1616"/>
      <c r="J940" s="1618">
        <f t="shared" si="304"/>
        <v>0</v>
      </c>
      <c r="K940" s="1618"/>
      <c r="L940" s="1618">
        <f t="shared" si="305"/>
        <v>0</v>
      </c>
      <c r="M940" s="1618"/>
      <c r="N940" s="1618">
        <f t="shared" si="307"/>
        <v>0</v>
      </c>
      <c r="O940" s="1618"/>
      <c r="P940" s="1618">
        <f t="shared" si="308"/>
        <v>0</v>
      </c>
      <c r="Q940" s="1618"/>
      <c r="R940" s="1618">
        <f t="shared" si="309"/>
        <v>0</v>
      </c>
      <c r="S940" s="1618">
        <f>'UG Cable'!H37</f>
        <v>142</v>
      </c>
      <c r="T940" s="1618">
        <f t="shared" si="310"/>
        <v>29678</v>
      </c>
      <c r="U940" s="1616"/>
      <c r="V940" s="1618">
        <f t="shared" si="311"/>
        <v>0</v>
      </c>
      <c r="W940" s="1619" t="e">
        <f>U940+S940+O940+M940+#REF!+K940+I940+G940+Q940</f>
        <v>#REF!</v>
      </c>
      <c r="X940" s="1618" t="e">
        <f t="shared" si="306"/>
        <v>#REF!</v>
      </c>
      <c r="Y940" s="1619" t="e">
        <f t="shared" si="312"/>
        <v>#REF!</v>
      </c>
      <c r="Z940" s="1618" t="e">
        <f t="shared" si="313"/>
        <v>#REF!</v>
      </c>
      <c r="AA940" s="675"/>
      <c r="AB940" s="674"/>
    </row>
    <row r="941" spans="1:28" s="301" customFormat="1" ht="60.75">
      <c r="A941" s="1675"/>
      <c r="B941" s="1923"/>
      <c r="C941" s="1665"/>
      <c r="D941" s="1587" t="s">
        <v>6376</v>
      </c>
      <c r="E941" s="1626"/>
      <c r="F941" s="1626">
        <f t="shared" si="280"/>
        <v>0</v>
      </c>
      <c r="G941" s="1616"/>
      <c r="H941" s="1618">
        <f t="shared" si="303"/>
        <v>0</v>
      </c>
      <c r="I941" s="1616"/>
      <c r="J941" s="1618">
        <f t="shared" si="304"/>
        <v>0</v>
      </c>
      <c r="K941" s="1618"/>
      <c r="L941" s="1618">
        <f t="shared" si="305"/>
        <v>0</v>
      </c>
      <c r="M941" s="1618"/>
      <c r="N941" s="1618">
        <f t="shared" si="307"/>
        <v>0</v>
      </c>
      <c r="O941" s="1618"/>
      <c r="P941" s="1618">
        <f t="shared" si="308"/>
        <v>0</v>
      </c>
      <c r="Q941" s="1618"/>
      <c r="R941" s="1618">
        <f t="shared" si="309"/>
        <v>0</v>
      </c>
      <c r="S941" s="1618"/>
      <c r="T941" s="1618">
        <f t="shared" si="310"/>
        <v>0</v>
      </c>
      <c r="U941" s="1616"/>
      <c r="V941" s="1618">
        <f t="shared" si="311"/>
        <v>0</v>
      </c>
      <c r="W941" s="1619" t="e">
        <f>U941+S941+O941+M941+#REF!+K941+I941+G941+Q941</f>
        <v>#REF!</v>
      </c>
      <c r="X941" s="1618" t="e">
        <f t="shared" si="306"/>
        <v>#REF!</v>
      </c>
      <c r="Y941" s="1619" t="e">
        <f t="shared" si="312"/>
        <v>#REF!</v>
      </c>
      <c r="Z941" s="1618" t="e">
        <f t="shared" si="313"/>
        <v>#REF!</v>
      </c>
      <c r="AA941" s="675"/>
      <c r="AB941" s="674"/>
    </row>
    <row r="942" spans="1:28" s="301" customFormat="1">
      <c r="A942" s="1675"/>
      <c r="B942" s="1587"/>
      <c r="C942" s="1587"/>
      <c r="D942" s="1586"/>
      <c r="E942" s="1721"/>
      <c r="F942" s="1626">
        <f t="shared" si="280"/>
        <v>0</v>
      </c>
      <c r="G942" s="1618"/>
      <c r="H942" s="1618">
        <f t="shared" si="303"/>
        <v>0</v>
      </c>
      <c r="I942" s="1618"/>
      <c r="J942" s="1618">
        <f t="shared" si="304"/>
        <v>0</v>
      </c>
      <c r="K942" s="1618"/>
      <c r="L942" s="1618">
        <f t="shared" si="305"/>
        <v>0</v>
      </c>
      <c r="M942" s="1618"/>
      <c r="N942" s="1618">
        <f t="shared" si="307"/>
        <v>0</v>
      </c>
      <c r="O942" s="1618"/>
      <c r="P942" s="1618">
        <f t="shared" si="308"/>
        <v>0</v>
      </c>
      <c r="Q942" s="1618"/>
      <c r="R942" s="1618">
        <f t="shared" si="309"/>
        <v>0</v>
      </c>
      <c r="S942" s="1618"/>
      <c r="T942" s="1618">
        <f t="shared" si="310"/>
        <v>0</v>
      </c>
      <c r="U942" s="1618"/>
      <c r="V942" s="1618">
        <f t="shared" si="311"/>
        <v>0</v>
      </c>
      <c r="W942" s="1619" t="e">
        <f>U942+S942+O942+M942+#REF!+K942+I942+G942+Q942</f>
        <v>#REF!</v>
      </c>
      <c r="X942" s="1618" t="e">
        <f t="shared" si="306"/>
        <v>#REF!</v>
      </c>
      <c r="Y942" s="1619" t="e">
        <f t="shared" si="312"/>
        <v>#REF!</v>
      </c>
      <c r="Z942" s="1618" t="e">
        <f t="shared" si="313"/>
        <v>#REF!</v>
      </c>
      <c r="AA942" s="675"/>
      <c r="AB942" s="673"/>
    </row>
    <row r="943" spans="1:28" s="301" customFormat="1" ht="40.5">
      <c r="A943" s="1675"/>
      <c r="B943" s="1593" t="s">
        <v>6378</v>
      </c>
      <c r="C943" s="1665"/>
      <c r="D943" s="1587" t="s">
        <v>6379</v>
      </c>
      <c r="E943" s="1722"/>
      <c r="F943" s="1626">
        <f t="shared" si="280"/>
        <v>0</v>
      </c>
      <c r="G943" s="1618"/>
      <c r="H943" s="1618">
        <f t="shared" si="303"/>
        <v>0</v>
      </c>
      <c r="I943" s="1618"/>
      <c r="J943" s="1618">
        <f t="shared" si="304"/>
        <v>0</v>
      </c>
      <c r="K943" s="1618"/>
      <c r="L943" s="1618">
        <f t="shared" si="305"/>
        <v>0</v>
      </c>
      <c r="M943" s="1618"/>
      <c r="N943" s="1618">
        <f t="shared" si="307"/>
        <v>0</v>
      </c>
      <c r="O943" s="1618"/>
      <c r="P943" s="1618">
        <f t="shared" si="308"/>
        <v>0</v>
      </c>
      <c r="Q943" s="1618"/>
      <c r="R943" s="1618">
        <f t="shared" si="309"/>
        <v>0</v>
      </c>
      <c r="S943" s="1618"/>
      <c r="T943" s="1618">
        <f t="shared" si="310"/>
        <v>0</v>
      </c>
      <c r="U943" s="1618"/>
      <c r="V943" s="1618">
        <f t="shared" si="311"/>
        <v>0</v>
      </c>
      <c r="W943" s="1619" t="e">
        <f>U943+S943+O943+M943+#REF!+K943+I943+G943+Q943</f>
        <v>#REF!</v>
      </c>
      <c r="X943" s="1618" t="e">
        <f t="shared" si="306"/>
        <v>#REF!</v>
      </c>
      <c r="Y943" s="1619" t="e">
        <f t="shared" si="312"/>
        <v>#REF!</v>
      </c>
      <c r="Z943" s="1618" t="e">
        <f t="shared" si="313"/>
        <v>#REF!</v>
      </c>
      <c r="AA943" s="675"/>
      <c r="AB943" s="673"/>
    </row>
    <row r="944" spans="1:28" s="301" customFormat="1">
      <c r="A944" s="1675"/>
      <c r="B944" s="1594" t="s">
        <v>6380</v>
      </c>
      <c r="C944" s="1586">
        <v>116.3</v>
      </c>
      <c r="D944" s="1586" t="s">
        <v>1418</v>
      </c>
      <c r="E944" s="1722"/>
      <c r="F944" s="1626">
        <f t="shared" si="280"/>
        <v>0</v>
      </c>
      <c r="G944" s="1618"/>
      <c r="H944" s="1618">
        <f t="shared" si="303"/>
        <v>0</v>
      </c>
      <c r="I944" s="1618"/>
      <c r="J944" s="1618">
        <f t="shared" si="304"/>
        <v>0</v>
      </c>
      <c r="K944" s="1618"/>
      <c r="L944" s="1618">
        <f t="shared" si="305"/>
        <v>0</v>
      </c>
      <c r="M944" s="1618"/>
      <c r="N944" s="1618">
        <f t="shared" si="307"/>
        <v>0</v>
      </c>
      <c r="O944" s="1618"/>
      <c r="P944" s="1618">
        <f t="shared" si="308"/>
        <v>0</v>
      </c>
      <c r="Q944" s="1618"/>
      <c r="R944" s="1618">
        <f t="shared" si="309"/>
        <v>0</v>
      </c>
      <c r="S944" s="1618">
        <f>'UG Cable'!H40</f>
        <v>10</v>
      </c>
      <c r="T944" s="1618">
        <f t="shared" si="310"/>
        <v>1163</v>
      </c>
      <c r="U944" s="1618"/>
      <c r="V944" s="1618">
        <f t="shared" si="311"/>
        <v>0</v>
      </c>
      <c r="W944" s="1619" t="e">
        <f>U944+S944+O944+M944+#REF!+K944+I944+G944+Q944</f>
        <v>#REF!</v>
      </c>
      <c r="X944" s="1618" t="e">
        <f t="shared" si="306"/>
        <v>#REF!</v>
      </c>
      <c r="Y944" s="1619" t="e">
        <f t="shared" si="312"/>
        <v>#REF!</v>
      </c>
      <c r="Z944" s="1618" t="e">
        <f t="shared" si="313"/>
        <v>#REF!</v>
      </c>
      <c r="AA944" s="675"/>
      <c r="AB944" s="673"/>
    </row>
    <row r="945" spans="1:36" s="301" customFormat="1">
      <c r="A945" s="1675"/>
      <c r="B945" s="1594" t="s">
        <v>6381</v>
      </c>
      <c r="C945" s="1586">
        <v>69.8</v>
      </c>
      <c r="D945" s="1586" t="s">
        <v>1418</v>
      </c>
      <c r="E945" s="1722"/>
      <c r="F945" s="1626">
        <f t="shared" si="280"/>
        <v>0</v>
      </c>
      <c r="G945" s="1618"/>
      <c r="H945" s="1618">
        <f t="shared" si="303"/>
        <v>0</v>
      </c>
      <c r="I945" s="1618"/>
      <c r="J945" s="1618">
        <f t="shared" si="304"/>
        <v>0</v>
      </c>
      <c r="K945" s="1618"/>
      <c r="L945" s="1618">
        <f t="shared" si="305"/>
        <v>0</v>
      </c>
      <c r="M945" s="1618"/>
      <c r="N945" s="1618">
        <f t="shared" si="307"/>
        <v>0</v>
      </c>
      <c r="O945" s="1618"/>
      <c r="P945" s="1618">
        <f t="shared" si="308"/>
        <v>0</v>
      </c>
      <c r="Q945" s="1618"/>
      <c r="R945" s="1618">
        <f t="shared" si="309"/>
        <v>0</v>
      </c>
      <c r="S945" s="1618">
        <f>'UG Cable'!H42</f>
        <v>20</v>
      </c>
      <c r="T945" s="1618">
        <f t="shared" si="310"/>
        <v>1396</v>
      </c>
      <c r="U945" s="1618"/>
      <c r="V945" s="1618">
        <f t="shared" si="311"/>
        <v>0</v>
      </c>
      <c r="W945" s="1619" t="e">
        <f>U945+S945+O945+M945+#REF!+K945+I945+G945+Q945</f>
        <v>#REF!</v>
      </c>
      <c r="X945" s="1618" t="e">
        <f t="shared" si="306"/>
        <v>#REF!</v>
      </c>
      <c r="Y945" s="1619" t="e">
        <f t="shared" si="312"/>
        <v>#REF!</v>
      </c>
      <c r="Z945" s="1618" t="e">
        <f t="shared" si="313"/>
        <v>#REF!</v>
      </c>
      <c r="AA945" s="675"/>
      <c r="AB945" s="673"/>
    </row>
    <row r="946" spans="1:36" s="301" customFormat="1">
      <c r="A946" s="1675"/>
      <c r="B946" s="1594"/>
      <c r="C946" s="1586"/>
      <c r="D946" s="1586"/>
      <c r="E946" s="1626"/>
      <c r="F946" s="1626">
        <f t="shared" si="280"/>
        <v>0</v>
      </c>
      <c r="G946" s="1618"/>
      <c r="H946" s="1618">
        <f t="shared" si="303"/>
        <v>0</v>
      </c>
      <c r="I946" s="1618"/>
      <c r="J946" s="1618">
        <f t="shared" si="304"/>
        <v>0</v>
      </c>
      <c r="K946" s="1618"/>
      <c r="L946" s="1618">
        <f t="shared" si="305"/>
        <v>0</v>
      </c>
      <c r="M946" s="1618"/>
      <c r="N946" s="1618">
        <f t="shared" si="307"/>
        <v>0</v>
      </c>
      <c r="O946" s="1618"/>
      <c r="P946" s="1618">
        <f t="shared" si="308"/>
        <v>0</v>
      </c>
      <c r="Q946" s="1618"/>
      <c r="R946" s="1618">
        <f t="shared" si="309"/>
        <v>0</v>
      </c>
      <c r="S946" s="1618"/>
      <c r="T946" s="1618">
        <f t="shared" si="310"/>
        <v>0</v>
      </c>
      <c r="U946" s="1618"/>
      <c r="V946" s="1618">
        <f t="shared" si="311"/>
        <v>0</v>
      </c>
      <c r="W946" s="1619" t="e">
        <f>U946+S946+O946+M946+#REF!+K946+I946+G946+Q946</f>
        <v>#REF!</v>
      </c>
      <c r="X946" s="1618" t="e">
        <f t="shared" si="306"/>
        <v>#REF!</v>
      </c>
      <c r="Y946" s="1619" t="e">
        <f t="shared" si="312"/>
        <v>#REF!</v>
      </c>
      <c r="Z946" s="1618" t="e">
        <f t="shared" si="313"/>
        <v>#REF!</v>
      </c>
      <c r="AA946" s="675"/>
      <c r="AB946" s="673"/>
    </row>
    <row r="947" spans="1:36" s="301" customFormat="1" ht="81">
      <c r="A947" s="1675"/>
      <c r="B947" s="1591" t="s">
        <v>6341</v>
      </c>
      <c r="C947" s="1586">
        <v>3590</v>
      </c>
      <c r="D947" s="1587" t="s">
        <v>6382</v>
      </c>
      <c r="E947" s="1617"/>
      <c r="F947" s="1626">
        <f t="shared" si="280"/>
        <v>0</v>
      </c>
      <c r="G947" s="1618"/>
      <c r="H947" s="1618">
        <f t="shared" si="303"/>
        <v>0</v>
      </c>
      <c r="I947" s="1618"/>
      <c r="J947" s="1618">
        <f t="shared" si="304"/>
        <v>0</v>
      </c>
      <c r="K947" s="1618"/>
      <c r="L947" s="1618">
        <f t="shared" si="305"/>
        <v>0</v>
      </c>
      <c r="M947" s="1618"/>
      <c r="N947" s="1618">
        <f t="shared" si="307"/>
        <v>0</v>
      </c>
      <c r="O947" s="1618"/>
      <c r="P947" s="1618">
        <f t="shared" si="308"/>
        <v>0</v>
      </c>
      <c r="Q947" s="1618"/>
      <c r="R947" s="1618">
        <f t="shared" si="309"/>
        <v>0</v>
      </c>
      <c r="S947" s="1618">
        <f>'UG Cable'!H45</f>
        <v>2</v>
      </c>
      <c r="T947" s="1618">
        <f t="shared" si="310"/>
        <v>7180</v>
      </c>
      <c r="U947" s="1618"/>
      <c r="V947" s="1618">
        <f t="shared" si="311"/>
        <v>0</v>
      </c>
      <c r="W947" s="1619" t="e">
        <f>U947+S947+O947+M947+#REF!+K947+I947+G947+Q947</f>
        <v>#REF!</v>
      </c>
      <c r="X947" s="1618" t="e">
        <f t="shared" si="306"/>
        <v>#REF!</v>
      </c>
      <c r="Y947" s="1619" t="e">
        <f t="shared" si="312"/>
        <v>#REF!</v>
      </c>
      <c r="Z947" s="1618" t="e">
        <f t="shared" si="313"/>
        <v>#REF!</v>
      </c>
      <c r="AA947" s="675"/>
      <c r="AB947" s="673"/>
    </row>
    <row r="948" spans="1:36" s="301" customFormat="1">
      <c r="A948" s="1675"/>
      <c r="B948" s="1591"/>
      <c r="C948" s="1586"/>
      <c r="D948" s="1587"/>
      <c r="E948" s="1722"/>
      <c r="F948" s="1626">
        <f t="shared" si="280"/>
        <v>0</v>
      </c>
      <c r="G948" s="1618"/>
      <c r="H948" s="1618">
        <f t="shared" si="303"/>
        <v>0</v>
      </c>
      <c r="I948" s="1618"/>
      <c r="J948" s="1618">
        <f t="shared" si="304"/>
        <v>0</v>
      </c>
      <c r="K948" s="1618"/>
      <c r="L948" s="1618">
        <f t="shared" si="305"/>
        <v>0</v>
      </c>
      <c r="M948" s="1618"/>
      <c r="N948" s="1618">
        <f t="shared" si="307"/>
        <v>0</v>
      </c>
      <c r="O948" s="1618"/>
      <c r="P948" s="1618">
        <f t="shared" si="308"/>
        <v>0</v>
      </c>
      <c r="Q948" s="1618"/>
      <c r="R948" s="1618">
        <f t="shared" si="309"/>
        <v>0</v>
      </c>
      <c r="S948" s="1618"/>
      <c r="T948" s="1618">
        <f t="shared" si="310"/>
        <v>0</v>
      </c>
      <c r="U948" s="1618"/>
      <c r="V948" s="1618">
        <f t="shared" si="311"/>
        <v>0</v>
      </c>
      <c r="W948" s="1619" t="e">
        <f>U948+S948+O948+M948+#REF!+K948+I948+G948+Q948</f>
        <v>#REF!</v>
      </c>
      <c r="X948" s="1618" t="e">
        <f t="shared" si="306"/>
        <v>#REF!</v>
      </c>
      <c r="Y948" s="1619" t="e">
        <f t="shared" si="312"/>
        <v>#REF!</v>
      </c>
      <c r="Z948" s="1618" t="e">
        <f t="shared" si="313"/>
        <v>#REF!</v>
      </c>
      <c r="AA948" s="675"/>
      <c r="AB948" s="673"/>
    </row>
    <row r="949" spans="1:36" s="301" customFormat="1">
      <c r="A949" s="1675"/>
      <c r="B949" s="1595" t="s">
        <v>6342</v>
      </c>
      <c r="C949" s="1586">
        <f>C947</f>
        <v>3590</v>
      </c>
      <c r="D949" s="1586" t="s">
        <v>1418</v>
      </c>
      <c r="E949" s="1721"/>
      <c r="F949" s="1626">
        <f t="shared" si="280"/>
        <v>0</v>
      </c>
      <c r="G949" s="1618"/>
      <c r="H949" s="1618">
        <f t="shared" si="303"/>
        <v>0</v>
      </c>
      <c r="I949" s="1618"/>
      <c r="J949" s="1618">
        <f t="shared" si="304"/>
        <v>0</v>
      </c>
      <c r="K949" s="1618"/>
      <c r="L949" s="1618">
        <f t="shared" si="305"/>
        <v>0</v>
      </c>
      <c r="M949" s="1618"/>
      <c r="N949" s="1618">
        <f t="shared" si="307"/>
        <v>0</v>
      </c>
      <c r="O949" s="1618"/>
      <c r="P949" s="1618">
        <f t="shared" si="308"/>
        <v>0</v>
      </c>
      <c r="Q949" s="1618"/>
      <c r="R949" s="1618">
        <f t="shared" si="309"/>
        <v>0</v>
      </c>
      <c r="S949" s="1618">
        <f>'UG Cable'!H48</f>
        <v>2</v>
      </c>
      <c r="T949" s="1618">
        <f t="shared" si="310"/>
        <v>7180</v>
      </c>
      <c r="U949" s="1618"/>
      <c r="V949" s="1618">
        <f t="shared" si="311"/>
        <v>0</v>
      </c>
      <c r="W949" s="1619" t="e">
        <f>U949+S949+O949+M949+#REF!+K949+I949+G949+Q949</f>
        <v>#REF!</v>
      </c>
      <c r="X949" s="1618" t="e">
        <f t="shared" si="306"/>
        <v>#REF!</v>
      </c>
      <c r="Y949" s="1619" t="e">
        <f t="shared" si="312"/>
        <v>#REF!</v>
      </c>
      <c r="Z949" s="1618" t="e">
        <f t="shared" si="313"/>
        <v>#REF!</v>
      </c>
      <c r="AA949" s="675"/>
      <c r="AB949" s="673"/>
    </row>
    <row r="950" spans="1:36" s="301" customFormat="1">
      <c r="A950" s="1675"/>
      <c r="B950" s="1595"/>
      <c r="C950" s="1586"/>
      <c r="D950" s="1586"/>
      <c r="E950" s="1626"/>
      <c r="F950" s="1626">
        <f t="shared" si="280"/>
        <v>0</v>
      </c>
      <c r="G950" s="1616"/>
      <c r="H950" s="1618">
        <f t="shared" si="303"/>
        <v>0</v>
      </c>
      <c r="I950" s="1616"/>
      <c r="J950" s="1618">
        <f t="shared" si="304"/>
        <v>0</v>
      </c>
      <c r="K950" s="1618"/>
      <c r="L950" s="1618">
        <f t="shared" si="305"/>
        <v>0</v>
      </c>
      <c r="M950" s="1618"/>
      <c r="N950" s="1618">
        <f t="shared" si="307"/>
        <v>0</v>
      </c>
      <c r="O950" s="1618"/>
      <c r="P950" s="1618">
        <f t="shared" si="308"/>
        <v>0</v>
      </c>
      <c r="Q950" s="1618"/>
      <c r="R950" s="1618">
        <f t="shared" si="309"/>
        <v>0</v>
      </c>
      <c r="S950" s="1618"/>
      <c r="T950" s="1618">
        <f t="shared" si="310"/>
        <v>0</v>
      </c>
      <c r="U950" s="1616"/>
      <c r="V950" s="1618">
        <f t="shared" si="311"/>
        <v>0</v>
      </c>
      <c r="W950" s="1619" t="e">
        <f>U950+S950+O950+M950+#REF!+K950+I950+G950+Q950</f>
        <v>#REF!</v>
      </c>
      <c r="X950" s="1618" t="e">
        <f t="shared" si="306"/>
        <v>#REF!</v>
      </c>
      <c r="Y950" s="1619" t="e">
        <f t="shared" si="312"/>
        <v>#REF!</v>
      </c>
      <c r="Z950" s="1618" t="e">
        <f t="shared" si="313"/>
        <v>#REF!</v>
      </c>
      <c r="AA950" s="675"/>
      <c r="AB950" s="674"/>
    </row>
    <row r="951" spans="1:36" s="301" customFormat="1">
      <c r="A951" s="1675"/>
      <c r="B951" s="1595" t="s">
        <v>6343</v>
      </c>
      <c r="C951" s="1586">
        <v>2743</v>
      </c>
      <c r="D951" s="1586" t="s">
        <v>1418</v>
      </c>
      <c r="E951" s="1626"/>
      <c r="F951" s="1626">
        <f t="shared" si="280"/>
        <v>0</v>
      </c>
      <c r="G951" s="1616"/>
      <c r="H951" s="1618">
        <f t="shared" si="303"/>
        <v>0</v>
      </c>
      <c r="I951" s="1616"/>
      <c r="J951" s="1618">
        <f t="shared" si="304"/>
        <v>0</v>
      </c>
      <c r="K951" s="1618"/>
      <c r="L951" s="1618">
        <f t="shared" si="305"/>
        <v>0</v>
      </c>
      <c r="M951" s="1618"/>
      <c r="N951" s="1618">
        <f t="shared" si="307"/>
        <v>0</v>
      </c>
      <c r="O951" s="1618"/>
      <c r="P951" s="1618">
        <f t="shared" si="308"/>
        <v>0</v>
      </c>
      <c r="Q951" s="1618"/>
      <c r="R951" s="1618">
        <f t="shared" si="309"/>
        <v>0</v>
      </c>
      <c r="S951" s="1618">
        <f>'UG Cable'!H51</f>
        <v>2</v>
      </c>
      <c r="T951" s="1618">
        <f t="shared" si="310"/>
        <v>5486</v>
      </c>
      <c r="U951" s="1616"/>
      <c r="V951" s="1618">
        <f t="shared" si="311"/>
        <v>0</v>
      </c>
      <c r="W951" s="1619" t="e">
        <f>U951+S951+O951+M951+#REF!+K951+I951+G951+Q951</f>
        <v>#REF!</v>
      </c>
      <c r="X951" s="1618" t="e">
        <f t="shared" si="306"/>
        <v>#REF!</v>
      </c>
      <c r="Y951" s="1619" t="e">
        <f t="shared" si="312"/>
        <v>#REF!</v>
      </c>
      <c r="Z951" s="1618" t="e">
        <f t="shared" si="313"/>
        <v>#REF!</v>
      </c>
      <c r="AA951" s="675"/>
      <c r="AB951" s="674"/>
    </row>
    <row r="952" spans="1:36" s="301" customFormat="1">
      <c r="A952" s="1675"/>
      <c r="B952" s="1595"/>
      <c r="C952" s="1586"/>
      <c r="D952" s="1586"/>
      <c r="E952" s="1617"/>
      <c r="F952" s="1626">
        <f t="shared" si="280"/>
        <v>0</v>
      </c>
      <c r="G952" s="1616"/>
      <c r="H952" s="1618">
        <f t="shared" si="303"/>
        <v>0</v>
      </c>
      <c r="I952" s="1616"/>
      <c r="J952" s="1618">
        <f t="shared" si="304"/>
        <v>0</v>
      </c>
      <c r="K952" s="1618"/>
      <c r="L952" s="1618">
        <f t="shared" si="305"/>
        <v>0</v>
      </c>
      <c r="M952" s="1618"/>
      <c r="N952" s="1618">
        <f t="shared" si="307"/>
        <v>0</v>
      </c>
      <c r="O952" s="1618"/>
      <c r="P952" s="1618">
        <f t="shared" si="308"/>
        <v>0</v>
      </c>
      <c r="Q952" s="1618"/>
      <c r="R952" s="1618">
        <f t="shared" si="309"/>
        <v>0</v>
      </c>
      <c r="S952" s="1618"/>
      <c r="T952" s="1618">
        <f t="shared" si="310"/>
        <v>0</v>
      </c>
      <c r="U952" s="1616"/>
      <c r="V952" s="1618">
        <f t="shared" si="311"/>
        <v>0</v>
      </c>
      <c r="W952" s="1619" t="e">
        <f>U952+S952+O952+M952+#REF!+K952+I952+G952+Q952</f>
        <v>#REF!</v>
      </c>
      <c r="X952" s="1618" t="e">
        <f t="shared" si="306"/>
        <v>#REF!</v>
      </c>
      <c r="Y952" s="1619" t="e">
        <f t="shared" si="312"/>
        <v>#REF!</v>
      </c>
      <c r="Z952" s="1618" t="e">
        <f t="shared" si="313"/>
        <v>#REF!</v>
      </c>
      <c r="AA952" s="675"/>
      <c r="AB952" s="674"/>
    </row>
    <row r="953" spans="1:36" s="301" customFormat="1" ht="39" customHeight="1">
      <c r="A953" s="1675"/>
      <c r="B953" s="1595" t="s">
        <v>6344</v>
      </c>
      <c r="C953" s="1586">
        <v>374</v>
      </c>
      <c r="D953" s="1586" t="s">
        <v>1418</v>
      </c>
      <c r="E953" s="1626"/>
      <c r="F953" s="1626">
        <f t="shared" si="280"/>
        <v>0</v>
      </c>
      <c r="G953" s="1618"/>
      <c r="H953" s="1618">
        <f t="shared" si="303"/>
        <v>0</v>
      </c>
      <c r="I953" s="1618"/>
      <c r="J953" s="1618">
        <f t="shared" si="304"/>
        <v>0</v>
      </c>
      <c r="K953" s="1618"/>
      <c r="L953" s="1618">
        <f t="shared" si="305"/>
        <v>0</v>
      </c>
      <c r="M953" s="1618"/>
      <c r="N953" s="1618">
        <f t="shared" si="307"/>
        <v>0</v>
      </c>
      <c r="O953" s="1618"/>
      <c r="P953" s="1618">
        <f t="shared" si="308"/>
        <v>0</v>
      </c>
      <c r="Q953" s="1618"/>
      <c r="R953" s="1618">
        <f t="shared" si="309"/>
        <v>0</v>
      </c>
      <c r="S953" s="1618">
        <f>'UG Cable'!H54</f>
        <v>12</v>
      </c>
      <c r="T953" s="1618">
        <f t="shared" si="310"/>
        <v>4488</v>
      </c>
      <c r="U953" s="1618"/>
      <c r="V953" s="1618">
        <f t="shared" si="311"/>
        <v>0</v>
      </c>
      <c r="W953" s="1619" t="e">
        <f>U953+S953+O953+M953+#REF!+K953+I953+G953+Q953</f>
        <v>#REF!</v>
      </c>
      <c r="X953" s="1618" t="e">
        <f t="shared" si="306"/>
        <v>#REF!</v>
      </c>
      <c r="Y953" s="1619" t="e">
        <f t="shared" si="312"/>
        <v>#REF!</v>
      </c>
      <c r="Z953" s="1618" t="e">
        <f t="shared" si="313"/>
        <v>#REF!</v>
      </c>
      <c r="AA953" s="675"/>
      <c r="AB953" s="673"/>
    </row>
    <row r="954" spans="1:36" s="301" customFormat="1">
      <c r="A954" s="1675"/>
      <c r="B954" s="1595"/>
      <c r="C954" s="1586"/>
      <c r="D954" s="1586"/>
      <c r="E954" s="1617"/>
      <c r="F954" s="1626">
        <f t="shared" si="280"/>
        <v>0</v>
      </c>
      <c r="G954" s="1616"/>
      <c r="H954" s="1618">
        <f t="shared" si="303"/>
        <v>0</v>
      </c>
      <c r="I954" s="1616"/>
      <c r="J954" s="1618">
        <f t="shared" si="304"/>
        <v>0</v>
      </c>
      <c r="K954" s="1618"/>
      <c r="L954" s="1618">
        <f t="shared" si="305"/>
        <v>0</v>
      </c>
      <c r="M954" s="1618"/>
      <c r="N954" s="1618">
        <f t="shared" si="307"/>
        <v>0</v>
      </c>
      <c r="O954" s="1618"/>
      <c r="P954" s="1618">
        <f t="shared" si="308"/>
        <v>0</v>
      </c>
      <c r="Q954" s="1618"/>
      <c r="R954" s="1618">
        <f t="shared" si="309"/>
        <v>0</v>
      </c>
      <c r="S954" s="1618"/>
      <c r="T954" s="1618">
        <f t="shared" si="310"/>
        <v>0</v>
      </c>
      <c r="U954" s="1616"/>
      <c r="V954" s="1618">
        <f t="shared" si="311"/>
        <v>0</v>
      </c>
      <c r="W954" s="1619" t="e">
        <f>U954+S954+O954+M954+#REF!+K954+I954+G954+Q954</f>
        <v>#REF!</v>
      </c>
      <c r="X954" s="1618" t="e">
        <f t="shared" si="306"/>
        <v>#REF!</v>
      </c>
      <c r="Y954" s="1619" t="e">
        <f t="shared" si="312"/>
        <v>#REF!</v>
      </c>
      <c r="Z954" s="1618" t="e">
        <f t="shared" si="313"/>
        <v>#REF!</v>
      </c>
      <c r="AA954" s="675"/>
      <c r="AB954" s="674"/>
    </row>
    <row r="955" spans="1:36" s="301" customFormat="1">
      <c r="A955" s="1675"/>
      <c r="B955" s="1596" t="s">
        <v>3573</v>
      </c>
      <c r="C955" s="1586">
        <v>2083.67</v>
      </c>
      <c r="D955" s="1586" t="s">
        <v>1418</v>
      </c>
      <c r="E955" s="1626"/>
      <c r="F955" s="1626">
        <f t="shared" si="280"/>
        <v>0</v>
      </c>
      <c r="G955" s="1616"/>
      <c r="H955" s="1618">
        <f t="shared" si="303"/>
        <v>0</v>
      </c>
      <c r="I955" s="1616"/>
      <c r="J955" s="1618">
        <f t="shared" si="304"/>
        <v>0</v>
      </c>
      <c r="K955" s="1618"/>
      <c r="L955" s="1618">
        <f t="shared" si="305"/>
        <v>0</v>
      </c>
      <c r="M955" s="1618"/>
      <c r="N955" s="1618">
        <f t="shared" si="307"/>
        <v>0</v>
      </c>
      <c r="O955" s="1618"/>
      <c r="P955" s="1618">
        <f t="shared" si="308"/>
        <v>0</v>
      </c>
      <c r="Q955" s="1618"/>
      <c r="R955" s="1618">
        <f t="shared" si="309"/>
        <v>0</v>
      </c>
      <c r="S955" s="1618">
        <f>'UG Cable'!H57</f>
        <v>1</v>
      </c>
      <c r="T955" s="1618">
        <f t="shared" si="310"/>
        <v>2083.67</v>
      </c>
      <c r="U955" s="1616"/>
      <c r="V955" s="1618">
        <f t="shared" si="311"/>
        <v>0</v>
      </c>
      <c r="W955" s="1619" t="e">
        <f>U955+S955+O955+M955+#REF!+K955+I955+G955+Q955</f>
        <v>#REF!</v>
      </c>
      <c r="X955" s="1618" t="e">
        <f t="shared" si="306"/>
        <v>#REF!</v>
      </c>
      <c r="Y955" s="1619" t="e">
        <f t="shared" si="312"/>
        <v>#REF!</v>
      </c>
      <c r="Z955" s="1618" t="e">
        <f t="shared" si="313"/>
        <v>#REF!</v>
      </c>
      <c r="AA955" s="675"/>
      <c r="AB955" s="674"/>
    </row>
    <row r="956" spans="1:36" s="301" customFormat="1">
      <c r="A956" s="1675"/>
      <c r="B956" s="1596"/>
      <c r="C956" s="1586"/>
      <c r="D956" s="1586"/>
      <c r="E956" s="1626"/>
      <c r="F956" s="1626">
        <f t="shared" si="280"/>
        <v>0</v>
      </c>
      <c r="G956" s="1616"/>
      <c r="H956" s="1618">
        <f t="shared" si="303"/>
        <v>0</v>
      </c>
      <c r="I956" s="1616"/>
      <c r="J956" s="1618">
        <f t="shared" si="304"/>
        <v>0</v>
      </c>
      <c r="K956" s="1618"/>
      <c r="L956" s="1618">
        <f t="shared" si="305"/>
        <v>0</v>
      </c>
      <c r="M956" s="1618"/>
      <c r="N956" s="1618">
        <f t="shared" si="307"/>
        <v>0</v>
      </c>
      <c r="O956" s="1618"/>
      <c r="P956" s="1618">
        <f t="shared" si="308"/>
        <v>0</v>
      </c>
      <c r="Q956" s="1618"/>
      <c r="R956" s="1618">
        <f t="shared" si="309"/>
        <v>0</v>
      </c>
      <c r="S956" s="1618"/>
      <c r="T956" s="1618">
        <f t="shared" si="310"/>
        <v>0</v>
      </c>
      <c r="U956" s="1616"/>
      <c r="V956" s="1618">
        <f t="shared" si="311"/>
        <v>0</v>
      </c>
      <c r="W956" s="1619" t="e">
        <f>U956+S956+O956+M956+#REF!+K956+I956+G956+Q956</f>
        <v>#REF!</v>
      </c>
      <c r="X956" s="1618" t="e">
        <f t="shared" si="306"/>
        <v>#REF!</v>
      </c>
      <c r="Y956" s="1619" t="e">
        <f t="shared" si="312"/>
        <v>#REF!</v>
      </c>
      <c r="Z956" s="1618" t="e">
        <f t="shared" si="313"/>
        <v>#REF!</v>
      </c>
      <c r="AA956" s="675"/>
      <c r="AB956" s="674"/>
    </row>
    <row r="957" spans="1:36" s="301" customFormat="1" ht="60.75">
      <c r="A957" s="1675"/>
      <c r="B957" s="1597" t="s">
        <v>6383</v>
      </c>
      <c r="C957" s="1586">
        <v>885</v>
      </c>
      <c r="D957" s="1587" t="s">
        <v>6384</v>
      </c>
      <c r="E957" s="1626"/>
      <c r="F957" s="1626">
        <f t="shared" si="280"/>
        <v>0</v>
      </c>
      <c r="G957" s="1616"/>
      <c r="H957" s="1618">
        <f t="shared" si="303"/>
        <v>0</v>
      </c>
      <c r="I957" s="1616"/>
      <c r="J957" s="1618">
        <f t="shared" si="304"/>
        <v>0</v>
      </c>
      <c r="K957" s="1618"/>
      <c r="L957" s="1618">
        <f t="shared" si="305"/>
        <v>0</v>
      </c>
      <c r="M957" s="1618"/>
      <c r="N957" s="1618">
        <f t="shared" si="307"/>
        <v>0</v>
      </c>
      <c r="O957" s="1618"/>
      <c r="P957" s="1618">
        <f t="shared" si="308"/>
        <v>0</v>
      </c>
      <c r="Q957" s="1618"/>
      <c r="R957" s="1618">
        <f t="shared" si="309"/>
        <v>0</v>
      </c>
      <c r="S957" s="1618">
        <f>'UG Cable'!H62</f>
        <v>6</v>
      </c>
      <c r="T957" s="1618">
        <f t="shared" si="310"/>
        <v>5310</v>
      </c>
      <c r="U957" s="1616"/>
      <c r="V957" s="1618">
        <f t="shared" si="311"/>
        <v>0</v>
      </c>
      <c r="W957" s="1619" t="e">
        <f>U957+S957+O957+M957+#REF!+K957+I957+G957+Q957</f>
        <v>#REF!</v>
      </c>
      <c r="X957" s="1618" t="e">
        <f t="shared" si="306"/>
        <v>#REF!</v>
      </c>
      <c r="Y957" s="1619" t="e">
        <f t="shared" si="312"/>
        <v>#REF!</v>
      </c>
      <c r="Z957" s="1618" t="e">
        <f t="shared" si="313"/>
        <v>#REF!</v>
      </c>
      <c r="AA957" s="675"/>
      <c r="AB957" s="674"/>
    </row>
    <row r="958" spans="1:36" s="301" customFormat="1">
      <c r="A958" s="1675"/>
      <c r="B958" s="1209"/>
      <c r="C958" s="1723"/>
      <c r="D958" s="1724"/>
      <c r="E958" s="1626"/>
      <c r="F958" s="1626">
        <f t="shared" ref="F958:F964" si="314">E958*C958</f>
        <v>0</v>
      </c>
      <c r="G958" s="1618"/>
      <c r="H958" s="1618"/>
      <c r="I958" s="1618"/>
      <c r="J958" s="1618">
        <f t="shared" si="304"/>
        <v>0</v>
      </c>
      <c r="K958" s="1618"/>
      <c r="L958" s="1618">
        <f t="shared" si="305"/>
        <v>0</v>
      </c>
      <c r="M958" s="1618"/>
      <c r="N958" s="1618">
        <f t="shared" si="307"/>
        <v>0</v>
      </c>
      <c r="O958" s="1618"/>
      <c r="P958" s="1618">
        <f t="shared" si="308"/>
        <v>0</v>
      </c>
      <c r="Q958" s="1618"/>
      <c r="R958" s="1618">
        <f t="shared" si="309"/>
        <v>0</v>
      </c>
      <c r="S958" s="1618"/>
      <c r="T958" s="1618">
        <f t="shared" si="310"/>
        <v>0</v>
      </c>
      <c r="U958" s="1618"/>
      <c r="V958" s="1618">
        <f t="shared" si="311"/>
        <v>0</v>
      </c>
      <c r="W958" s="1619" t="e">
        <f>U958+S958+O958+M958+#REF!+K958+I958+G958+Q958</f>
        <v>#REF!</v>
      </c>
      <c r="X958" s="1618" t="e">
        <f t="shared" si="306"/>
        <v>#REF!</v>
      </c>
      <c r="Y958" s="1619" t="e">
        <f>W958+E958+G958</f>
        <v>#REF!</v>
      </c>
      <c r="Z958" s="1618" t="e">
        <f t="shared" si="313"/>
        <v>#REF!</v>
      </c>
      <c r="AA958" s="675"/>
      <c r="AB958" s="673"/>
    </row>
    <row r="959" spans="1:36">
      <c r="A959" s="1655"/>
      <c r="B959" s="1210" t="s">
        <v>2270</v>
      </c>
      <c r="C959" s="1630">
        <f>ROUND(Data!K1203,2)</f>
        <v>0</v>
      </c>
      <c r="D959" s="1725"/>
      <c r="E959" s="1726"/>
      <c r="F959" s="1643">
        <f>SUBTOTAL(9,F6:F957)</f>
        <v>14984773.390000001</v>
      </c>
      <c r="G959" s="1727"/>
      <c r="H959" s="1728">
        <f>SUM(H7:H958)</f>
        <v>223386.48</v>
      </c>
      <c r="I959" s="1618"/>
      <c r="J959" s="1728">
        <f>SUM(J7:J958)</f>
        <v>372420.02</v>
      </c>
      <c r="K959" s="1728"/>
      <c r="L959" s="1728">
        <f>SUM(L7:L958)</f>
        <v>91594.25</v>
      </c>
      <c r="M959" s="1728"/>
      <c r="N959" s="1728">
        <f>SUM(N7:N958)</f>
        <v>858748.29</v>
      </c>
      <c r="O959" s="1728"/>
      <c r="P959" s="1728">
        <f>SUM(P7:P958)</f>
        <v>225970.33</v>
      </c>
      <c r="Q959" s="1728"/>
      <c r="R959" s="1728">
        <f>SUM(R7:R958)</f>
        <v>160982.6</v>
      </c>
      <c r="S959" s="1728"/>
      <c r="T959" s="1728">
        <f>SUM(T7:T958)</f>
        <v>169744.96</v>
      </c>
      <c r="U959" s="1727"/>
      <c r="V959" s="1728">
        <f>SUM(V7:V958)</f>
        <v>558121.80000000005</v>
      </c>
      <c r="W959" s="1619">
        <f t="shared" ref="W959:W990" si="315">I959+S959+U959</f>
        <v>0</v>
      </c>
      <c r="X959" s="1728" t="e">
        <f>SUM(X7:X958)</f>
        <v>#REF!</v>
      </c>
      <c r="Y959" s="1615" t="s">
        <v>2276</v>
      </c>
      <c r="Z959" s="1728" t="e">
        <f>SUM(Z7:Z958)</f>
        <v>#REF!</v>
      </c>
      <c r="AA959" s="681" t="e">
        <f>SUM(F959:V959)-Z959</f>
        <v>#REF!</v>
      </c>
      <c r="AB959" s="673"/>
      <c r="AD959" s="508"/>
      <c r="AE959" s="377"/>
      <c r="AF959" s="513"/>
      <c r="AG959" s="637"/>
      <c r="AH959" s="514" t="e">
        <f>AG959*#REF!</f>
        <v>#REF!</v>
      </c>
      <c r="AI959" s="626">
        <f>AG959+AE959</f>
        <v>0</v>
      </c>
      <c r="AJ959" s="377" t="e">
        <f>AI959*#REF!</f>
        <v>#REF!</v>
      </c>
    </row>
    <row r="960" spans="1:36" s="301" customFormat="1">
      <c r="A960" s="1729"/>
      <c r="B960" s="1730"/>
      <c r="C960" s="1731"/>
      <c r="D960" s="1732"/>
      <c r="E960" s="1733"/>
      <c r="F960" s="1626">
        <f t="shared" si="314"/>
        <v>0</v>
      </c>
      <c r="G960" s="1734"/>
      <c r="H960" s="1618">
        <f t="shared" ref="H960:H964" si="316">G960*C960</f>
        <v>0</v>
      </c>
      <c r="I960" s="1734"/>
      <c r="J960" s="1618">
        <f t="shared" ref="J960:J964" si="317">I960*C960</f>
        <v>0</v>
      </c>
      <c r="K960" s="1735"/>
      <c r="L960" s="1735"/>
      <c r="M960" s="1735"/>
      <c r="N960" s="1735"/>
      <c r="O960" s="1735"/>
      <c r="P960" s="1735"/>
      <c r="Q960" s="1735"/>
      <c r="R960" s="1735"/>
      <c r="S960" s="1735"/>
      <c r="T960" s="1618">
        <f t="shared" ref="T960:T991" si="318">S960*C960</f>
        <v>0</v>
      </c>
      <c r="U960" s="1734"/>
      <c r="V960" s="1618">
        <f t="shared" ref="V960:V991" si="319">U960*C960</f>
        <v>0</v>
      </c>
      <c r="W960" s="1619">
        <f t="shared" si="315"/>
        <v>0</v>
      </c>
      <c r="X960" s="1618">
        <f>W960*C960</f>
        <v>0</v>
      </c>
      <c r="Y960" s="1619">
        <f t="shared" ref="Y960:Y991" si="320">W960+E960+G960</f>
        <v>0</v>
      </c>
      <c r="Z960" s="1618">
        <f>Y960*C960</f>
        <v>0</v>
      </c>
      <c r="AA960" s="675"/>
      <c r="AB960" s="674"/>
    </row>
    <row r="961" spans="1:28" s="301" customFormat="1">
      <c r="A961" s="1729"/>
      <c r="B961" s="1736" t="s">
        <v>2075</v>
      </c>
      <c r="C961" s="1737"/>
      <c r="D961" s="1738" t="s">
        <v>1418</v>
      </c>
      <c r="E961" s="1739"/>
      <c r="F961" s="1626">
        <f t="shared" si="314"/>
        <v>0</v>
      </c>
      <c r="G961" s="1616"/>
      <c r="H961" s="1618">
        <f t="shared" si="316"/>
        <v>0</v>
      </c>
      <c r="I961" s="1616"/>
      <c r="J961" s="1618">
        <f t="shared" si="317"/>
        <v>0</v>
      </c>
      <c r="K961" s="1618"/>
      <c r="L961" s="1618"/>
      <c r="M961" s="1618"/>
      <c r="N961" s="1618"/>
      <c r="O961" s="1618"/>
      <c r="P961" s="1618"/>
      <c r="Q961" s="1618"/>
      <c r="R961" s="1618"/>
      <c r="S961" s="1618"/>
      <c r="T961" s="1618">
        <f t="shared" si="318"/>
        <v>0</v>
      </c>
      <c r="U961" s="1616"/>
      <c r="V961" s="1618">
        <f t="shared" si="319"/>
        <v>0</v>
      </c>
      <c r="W961" s="1619">
        <f t="shared" si="315"/>
        <v>0</v>
      </c>
      <c r="X961" s="1618">
        <f>W961*C961</f>
        <v>0</v>
      </c>
      <c r="Y961" s="1619">
        <f t="shared" si="320"/>
        <v>0</v>
      </c>
      <c r="Z961" s="1618">
        <f>Y961*C961</f>
        <v>0</v>
      </c>
      <c r="AA961" s="675"/>
      <c r="AB961" s="674"/>
    </row>
    <row r="962" spans="1:28" s="301" customFormat="1">
      <c r="A962" s="1729"/>
      <c r="B962" s="1736" t="s">
        <v>602</v>
      </c>
      <c r="C962" s="1737"/>
      <c r="D962" s="1738" t="s">
        <v>1418</v>
      </c>
      <c r="E962" s="1739"/>
      <c r="F962" s="1626">
        <f t="shared" si="314"/>
        <v>0</v>
      </c>
      <c r="G962" s="1616"/>
      <c r="H962" s="1618">
        <f t="shared" si="316"/>
        <v>0</v>
      </c>
      <c r="I962" s="1616"/>
      <c r="J962" s="1618">
        <f t="shared" si="317"/>
        <v>0</v>
      </c>
      <c r="K962" s="1618"/>
      <c r="L962" s="1618"/>
      <c r="M962" s="1618"/>
      <c r="N962" s="1618"/>
      <c r="O962" s="1618"/>
      <c r="P962" s="1618"/>
      <c r="Q962" s="1618"/>
      <c r="R962" s="1618"/>
      <c r="S962" s="1618"/>
      <c r="T962" s="1618">
        <f t="shared" si="318"/>
        <v>0</v>
      </c>
      <c r="U962" s="1616"/>
      <c r="V962" s="1618">
        <f t="shared" si="319"/>
        <v>0</v>
      </c>
      <c r="W962" s="1619">
        <f t="shared" si="315"/>
        <v>0</v>
      </c>
      <c r="X962" s="1618">
        <f>J959+T959+V959</f>
        <v>1100286.78</v>
      </c>
      <c r="Y962" s="1619">
        <f t="shared" si="320"/>
        <v>0</v>
      </c>
      <c r="Z962" s="1618">
        <f>SUM(F959:V959)</f>
        <v>17645742.120000001</v>
      </c>
      <c r="AA962" s="675"/>
      <c r="AB962" s="674"/>
    </row>
    <row r="963" spans="1:28" s="301" customFormat="1">
      <c r="A963" s="1729"/>
      <c r="B963" s="1736" t="s">
        <v>603</v>
      </c>
      <c r="C963" s="1737">
        <f>Data!K2489</f>
        <v>4366.33</v>
      </c>
      <c r="D963" s="1732" t="s">
        <v>2308</v>
      </c>
      <c r="E963" s="1733"/>
      <c r="F963" s="1626">
        <f t="shared" si="314"/>
        <v>0</v>
      </c>
      <c r="G963" s="1616"/>
      <c r="H963" s="1618">
        <f t="shared" si="316"/>
        <v>0</v>
      </c>
      <c r="I963" s="1616"/>
      <c r="J963" s="1618">
        <f t="shared" si="317"/>
        <v>0</v>
      </c>
      <c r="K963" s="1618"/>
      <c r="L963" s="1618"/>
      <c r="M963" s="1618"/>
      <c r="N963" s="1618"/>
      <c r="O963" s="1618"/>
      <c r="P963" s="1618"/>
      <c r="Q963" s="1618"/>
      <c r="R963" s="1618"/>
      <c r="S963" s="1618"/>
      <c r="T963" s="1618">
        <f t="shared" si="318"/>
        <v>0</v>
      </c>
      <c r="U963" s="1616"/>
      <c r="V963" s="1618">
        <f t="shared" si="319"/>
        <v>0</v>
      </c>
      <c r="W963" s="1619">
        <f t="shared" si="315"/>
        <v>0</v>
      </c>
      <c r="X963" s="1618" t="e">
        <f>X962-X959</f>
        <v>#REF!</v>
      </c>
      <c r="Y963" s="1619">
        <f t="shared" si="320"/>
        <v>0</v>
      </c>
      <c r="Z963" s="1618" t="e">
        <f>Z959-Z962</f>
        <v>#REF!</v>
      </c>
      <c r="AA963" s="675"/>
      <c r="AB963" s="674"/>
    </row>
    <row r="964" spans="1:28" s="301" customFormat="1">
      <c r="A964" s="1729"/>
      <c r="B964" s="1736" t="s">
        <v>1925</v>
      </c>
      <c r="C964" s="1737">
        <f>Data!K2512</f>
        <v>4626.8100000000004</v>
      </c>
      <c r="D964" s="1732" t="s">
        <v>2308</v>
      </c>
      <c r="E964" s="1733"/>
      <c r="F964" s="1626">
        <f t="shared" si="314"/>
        <v>0</v>
      </c>
      <c r="G964" s="1616"/>
      <c r="H964" s="1618">
        <f t="shared" si="316"/>
        <v>0</v>
      </c>
      <c r="I964" s="1616"/>
      <c r="J964" s="1618">
        <f t="shared" si="317"/>
        <v>0</v>
      </c>
      <c r="K964" s="1618"/>
      <c r="L964" s="1618"/>
      <c r="M964" s="1618"/>
      <c r="N964" s="1618"/>
      <c r="O964" s="1618"/>
      <c r="P964" s="1618"/>
      <c r="Q964" s="1618"/>
      <c r="R964" s="1618"/>
      <c r="S964" s="1618"/>
      <c r="T964" s="1618">
        <f t="shared" si="318"/>
        <v>0</v>
      </c>
      <c r="U964" s="1616"/>
      <c r="V964" s="1618">
        <f t="shared" si="319"/>
        <v>0</v>
      </c>
      <c r="W964" s="1619">
        <f t="shared" si="315"/>
        <v>0</v>
      </c>
      <c r="X964" s="1618">
        <f t="shared" ref="X964:X995" si="321">W964*C964</f>
        <v>0</v>
      </c>
      <c r="Y964" s="1619">
        <f t="shared" si="320"/>
        <v>0</v>
      </c>
      <c r="Z964" s="1618" t="e">
        <f>Z963-Z959</f>
        <v>#REF!</v>
      </c>
      <c r="AA964" s="675"/>
      <c r="AB964" s="674"/>
    </row>
    <row r="965" spans="1:28" s="301" customFormat="1">
      <c r="A965" s="1729"/>
      <c r="B965" s="1736" t="s">
        <v>2231</v>
      </c>
      <c r="C965" s="1737">
        <f>Data!R2577</f>
        <v>3984.57</v>
      </c>
      <c r="D965" s="1732" t="s">
        <v>2308</v>
      </c>
      <c r="E965" s="1733"/>
      <c r="F965" s="1626">
        <f t="shared" ref="F965:F1028" si="322">E965*C965</f>
        <v>0</v>
      </c>
      <c r="G965" s="1616"/>
      <c r="H965" s="1618">
        <f t="shared" ref="H965:H1028" si="323">G965*C965</f>
        <v>0</v>
      </c>
      <c r="I965" s="1616"/>
      <c r="J965" s="1618">
        <f t="shared" ref="J965:J1028" si="324">I965*C965</f>
        <v>0</v>
      </c>
      <c r="K965" s="1618"/>
      <c r="L965" s="1618"/>
      <c r="M965" s="1618"/>
      <c r="N965" s="1618"/>
      <c r="O965" s="1618"/>
      <c r="P965" s="1618"/>
      <c r="Q965" s="1618"/>
      <c r="R965" s="1618"/>
      <c r="S965" s="1618"/>
      <c r="T965" s="1618">
        <f t="shared" si="318"/>
        <v>0</v>
      </c>
      <c r="U965" s="1616"/>
      <c r="V965" s="1618">
        <f t="shared" si="319"/>
        <v>0</v>
      </c>
      <c r="W965" s="1619">
        <f t="shared" si="315"/>
        <v>0</v>
      </c>
      <c r="X965" s="1618">
        <f t="shared" si="321"/>
        <v>0</v>
      </c>
      <c r="Y965" s="1619">
        <f t="shared" si="320"/>
        <v>0</v>
      </c>
      <c r="Z965" s="1618">
        <f t="shared" ref="Z965:Z996" si="325">Y965*C965</f>
        <v>0</v>
      </c>
      <c r="AA965" s="675"/>
      <c r="AB965" s="674"/>
    </row>
    <row r="966" spans="1:28" s="301" customFormat="1">
      <c r="A966" s="1729"/>
      <c r="B966" s="1736" t="s">
        <v>2232</v>
      </c>
      <c r="C966" s="1737"/>
      <c r="D966" s="1732" t="s">
        <v>2308</v>
      </c>
      <c r="E966" s="1733"/>
      <c r="F966" s="1626">
        <f t="shared" si="322"/>
        <v>0</v>
      </c>
      <c r="G966" s="1616"/>
      <c r="H966" s="1618">
        <f t="shared" si="323"/>
        <v>0</v>
      </c>
      <c r="I966" s="1616"/>
      <c r="J966" s="1618">
        <f t="shared" si="324"/>
        <v>0</v>
      </c>
      <c r="K966" s="1618"/>
      <c r="L966" s="1618"/>
      <c r="M966" s="1618"/>
      <c r="N966" s="1618"/>
      <c r="O966" s="1618"/>
      <c r="P966" s="1618"/>
      <c r="Q966" s="1618"/>
      <c r="R966" s="1618"/>
      <c r="S966" s="1618"/>
      <c r="T966" s="1618">
        <f t="shared" si="318"/>
        <v>0</v>
      </c>
      <c r="U966" s="1616"/>
      <c r="V966" s="1618">
        <f t="shared" si="319"/>
        <v>0</v>
      </c>
      <c r="W966" s="1619">
        <f t="shared" si="315"/>
        <v>0</v>
      </c>
      <c r="X966" s="1618">
        <f t="shared" si="321"/>
        <v>0</v>
      </c>
      <c r="Y966" s="1619">
        <f t="shared" si="320"/>
        <v>0</v>
      </c>
      <c r="Z966" s="1618">
        <f t="shared" si="325"/>
        <v>0</v>
      </c>
      <c r="AA966" s="675"/>
      <c r="AB966" s="674"/>
    </row>
    <row r="967" spans="1:28" s="301" customFormat="1">
      <c r="A967" s="1729"/>
      <c r="B967" s="1736" t="s">
        <v>2884</v>
      </c>
      <c r="C967" s="1737"/>
      <c r="D967" s="1732" t="s">
        <v>2308</v>
      </c>
      <c r="E967" s="1733"/>
      <c r="F967" s="1626">
        <f t="shared" si="322"/>
        <v>0</v>
      </c>
      <c r="G967" s="1616"/>
      <c r="H967" s="1618">
        <f t="shared" si="323"/>
        <v>0</v>
      </c>
      <c r="I967" s="1616"/>
      <c r="J967" s="1618">
        <f t="shared" si="324"/>
        <v>0</v>
      </c>
      <c r="K967" s="1618"/>
      <c r="L967" s="1618"/>
      <c r="M967" s="1618"/>
      <c r="N967" s="1618"/>
      <c r="O967" s="1618"/>
      <c r="P967" s="1618"/>
      <c r="Q967" s="1618"/>
      <c r="R967" s="1618"/>
      <c r="S967" s="1618"/>
      <c r="T967" s="1618">
        <f t="shared" si="318"/>
        <v>0</v>
      </c>
      <c r="U967" s="1616"/>
      <c r="V967" s="1618">
        <f t="shared" si="319"/>
        <v>0</v>
      </c>
      <c r="W967" s="1619">
        <f t="shared" si="315"/>
        <v>0</v>
      </c>
      <c r="X967" s="1618">
        <f t="shared" si="321"/>
        <v>0</v>
      </c>
      <c r="Y967" s="1619">
        <f t="shared" si="320"/>
        <v>0</v>
      </c>
      <c r="Z967" s="1618">
        <f t="shared" si="325"/>
        <v>0</v>
      </c>
      <c r="AA967" s="675"/>
      <c r="AB967" s="674"/>
    </row>
    <row r="968" spans="1:28" s="301" customFormat="1" ht="45">
      <c r="A968" s="1729"/>
      <c r="B968" s="1736" t="s">
        <v>683</v>
      </c>
      <c r="C968" s="1737"/>
      <c r="D968" s="1732" t="s">
        <v>2308</v>
      </c>
      <c r="E968" s="1733"/>
      <c r="F968" s="1626">
        <f t="shared" si="322"/>
        <v>0</v>
      </c>
      <c r="G968" s="1616"/>
      <c r="H968" s="1618">
        <f t="shared" si="323"/>
        <v>0</v>
      </c>
      <c r="I968" s="1616"/>
      <c r="J968" s="1618">
        <f t="shared" si="324"/>
        <v>0</v>
      </c>
      <c r="K968" s="1618"/>
      <c r="L968" s="1618"/>
      <c r="M968" s="1618"/>
      <c r="N968" s="1618"/>
      <c r="O968" s="1618"/>
      <c r="P968" s="1618"/>
      <c r="Q968" s="1618"/>
      <c r="R968" s="1618"/>
      <c r="S968" s="1618"/>
      <c r="T968" s="1618">
        <f t="shared" si="318"/>
        <v>0</v>
      </c>
      <c r="U968" s="1616"/>
      <c r="V968" s="1618">
        <f t="shared" si="319"/>
        <v>0</v>
      </c>
      <c r="W968" s="1619">
        <f t="shared" si="315"/>
        <v>0</v>
      </c>
      <c r="X968" s="1618">
        <f t="shared" si="321"/>
        <v>0</v>
      </c>
      <c r="Y968" s="1619">
        <f t="shared" si="320"/>
        <v>0</v>
      </c>
      <c r="Z968" s="1618">
        <f t="shared" si="325"/>
        <v>0</v>
      </c>
      <c r="AA968" s="675"/>
      <c r="AB968" s="674"/>
    </row>
    <row r="969" spans="1:28" s="301" customFormat="1" ht="45">
      <c r="A969" s="1729"/>
      <c r="B969" s="1736" t="s">
        <v>685</v>
      </c>
      <c r="C969" s="1737"/>
      <c r="D969" s="1732" t="s">
        <v>2308</v>
      </c>
      <c r="E969" s="1733"/>
      <c r="F969" s="1626">
        <f t="shared" si="322"/>
        <v>0</v>
      </c>
      <c r="G969" s="1616"/>
      <c r="H969" s="1618">
        <f t="shared" si="323"/>
        <v>0</v>
      </c>
      <c r="I969" s="1616"/>
      <c r="J969" s="1618">
        <f t="shared" si="324"/>
        <v>0</v>
      </c>
      <c r="K969" s="1618"/>
      <c r="L969" s="1618"/>
      <c r="M969" s="1618"/>
      <c r="N969" s="1618"/>
      <c r="O969" s="1618"/>
      <c r="P969" s="1618"/>
      <c r="Q969" s="1618"/>
      <c r="R969" s="1618"/>
      <c r="S969" s="1618"/>
      <c r="T969" s="1618">
        <f t="shared" si="318"/>
        <v>0</v>
      </c>
      <c r="U969" s="1616"/>
      <c r="V969" s="1618">
        <f t="shared" si="319"/>
        <v>0</v>
      </c>
      <c r="W969" s="1619">
        <f t="shared" si="315"/>
        <v>0</v>
      </c>
      <c r="X969" s="1618">
        <f t="shared" si="321"/>
        <v>0</v>
      </c>
      <c r="Y969" s="1619">
        <f t="shared" si="320"/>
        <v>0</v>
      </c>
      <c r="Z969" s="1618">
        <f t="shared" si="325"/>
        <v>0</v>
      </c>
      <c r="AA969" s="675"/>
      <c r="AB969" s="674"/>
    </row>
    <row r="970" spans="1:28" s="301" customFormat="1">
      <c r="A970" s="1729"/>
      <c r="B970" s="1736" t="s">
        <v>604</v>
      </c>
      <c r="C970" s="1737">
        <f>8.2*1500</f>
        <v>12300</v>
      </c>
      <c r="D970" s="1732" t="s">
        <v>1418</v>
      </c>
      <c r="E970" s="1733"/>
      <c r="F970" s="1626">
        <f t="shared" si="322"/>
        <v>0</v>
      </c>
      <c r="G970" s="1616"/>
      <c r="H970" s="1618">
        <f t="shared" si="323"/>
        <v>0</v>
      </c>
      <c r="I970" s="1616"/>
      <c r="J970" s="1618">
        <f t="shared" si="324"/>
        <v>0</v>
      </c>
      <c r="K970" s="1618"/>
      <c r="L970" s="1618"/>
      <c r="M970" s="1618"/>
      <c r="N970" s="1618"/>
      <c r="O970" s="1618"/>
      <c r="P970" s="1618"/>
      <c r="Q970" s="1618"/>
      <c r="R970" s="1618"/>
      <c r="S970" s="1618"/>
      <c r="T970" s="1618">
        <f t="shared" si="318"/>
        <v>0</v>
      </c>
      <c r="U970" s="1616"/>
      <c r="V970" s="1618">
        <f t="shared" si="319"/>
        <v>0</v>
      </c>
      <c r="W970" s="1619">
        <f t="shared" si="315"/>
        <v>0</v>
      </c>
      <c r="X970" s="1618">
        <f t="shared" si="321"/>
        <v>0</v>
      </c>
      <c r="Y970" s="1619">
        <f t="shared" si="320"/>
        <v>0</v>
      </c>
      <c r="Z970" s="1618">
        <f t="shared" si="325"/>
        <v>0</v>
      </c>
      <c r="AA970" s="675"/>
      <c r="AB970" s="674"/>
    </row>
    <row r="971" spans="1:28" s="301" customFormat="1">
      <c r="A971" s="1729"/>
      <c r="B971" s="1736" t="s">
        <v>2497</v>
      </c>
      <c r="C971" s="1737">
        <f>Data!K2432</f>
        <v>1333.59</v>
      </c>
      <c r="D971" s="1732" t="s">
        <v>2308</v>
      </c>
      <c r="E971" s="1733"/>
      <c r="F971" s="1626">
        <f t="shared" si="322"/>
        <v>0</v>
      </c>
      <c r="G971" s="1616"/>
      <c r="H971" s="1618">
        <f t="shared" si="323"/>
        <v>0</v>
      </c>
      <c r="I971" s="1616"/>
      <c r="J971" s="1618">
        <f t="shared" si="324"/>
        <v>0</v>
      </c>
      <c r="K971" s="1618"/>
      <c r="L971" s="1618"/>
      <c r="M971" s="1618"/>
      <c r="N971" s="1618"/>
      <c r="O971" s="1618"/>
      <c r="P971" s="1618"/>
      <c r="Q971" s="1618"/>
      <c r="R971" s="1618"/>
      <c r="S971" s="1618"/>
      <c r="T971" s="1618">
        <f t="shared" si="318"/>
        <v>0</v>
      </c>
      <c r="U971" s="1616"/>
      <c r="V971" s="1618">
        <f t="shared" si="319"/>
        <v>0</v>
      </c>
      <c r="W971" s="1619">
        <f t="shared" si="315"/>
        <v>0</v>
      </c>
      <c r="X971" s="1618">
        <f t="shared" si="321"/>
        <v>0</v>
      </c>
      <c r="Y971" s="1619">
        <f t="shared" si="320"/>
        <v>0</v>
      </c>
      <c r="Z971" s="1618">
        <f t="shared" si="325"/>
        <v>0</v>
      </c>
      <c r="AA971" s="675"/>
      <c r="AB971" s="674"/>
    </row>
    <row r="972" spans="1:28" s="301" customFormat="1">
      <c r="A972" s="1729"/>
      <c r="B972" s="1736" t="s">
        <v>605</v>
      </c>
      <c r="C972" s="1737">
        <f>Data!R1227</f>
        <v>1354.89</v>
      </c>
      <c r="D972" s="1732" t="s">
        <v>2308</v>
      </c>
      <c r="E972" s="1733"/>
      <c r="F972" s="1626">
        <f t="shared" si="322"/>
        <v>0</v>
      </c>
      <c r="G972" s="1616"/>
      <c r="H972" s="1618">
        <f t="shared" si="323"/>
        <v>0</v>
      </c>
      <c r="I972" s="1616"/>
      <c r="J972" s="1618">
        <f t="shared" si="324"/>
        <v>0</v>
      </c>
      <c r="K972" s="1618"/>
      <c r="L972" s="1618"/>
      <c r="M972" s="1618"/>
      <c r="N972" s="1618"/>
      <c r="O972" s="1618"/>
      <c r="P972" s="1618"/>
      <c r="Q972" s="1618"/>
      <c r="R972" s="1618"/>
      <c r="S972" s="1618"/>
      <c r="T972" s="1618">
        <f t="shared" si="318"/>
        <v>0</v>
      </c>
      <c r="U972" s="1616"/>
      <c r="V972" s="1618">
        <f t="shared" si="319"/>
        <v>0</v>
      </c>
      <c r="W972" s="1619">
        <f t="shared" si="315"/>
        <v>0</v>
      </c>
      <c r="X972" s="1618">
        <f t="shared" si="321"/>
        <v>0</v>
      </c>
      <c r="Y972" s="1619">
        <f t="shared" si="320"/>
        <v>0</v>
      </c>
      <c r="Z972" s="1618">
        <f t="shared" si="325"/>
        <v>0</v>
      </c>
      <c r="AA972" s="675"/>
      <c r="AB972" s="674"/>
    </row>
    <row r="973" spans="1:28" s="301" customFormat="1">
      <c r="A973" s="1729"/>
      <c r="B973" s="1736" t="s">
        <v>952</v>
      </c>
      <c r="C973" s="1737">
        <f>Data!R1269</f>
        <v>1150.01</v>
      </c>
      <c r="D973" s="1732" t="s">
        <v>2308</v>
      </c>
      <c r="E973" s="1733"/>
      <c r="F973" s="1626">
        <f t="shared" si="322"/>
        <v>0</v>
      </c>
      <c r="G973" s="1616"/>
      <c r="H973" s="1618">
        <f t="shared" si="323"/>
        <v>0</v>
      </c>
      <c r="I973" s="1616"/>
      <c r="J973" s="1618">
        <f t="shared" si="324"/>
        <v>0</v>
      </c>
      <c r="K973" s="1618"/>
      <c r="L973" s="1618"/>
      <c r="M973" s="1618"/>
      <c r="N973" s="1618"/>
      <c r="O973" s="1618"/>
      <c r="P973" s="1618"/>
      <c r="Q973" s="1618"/>
      <c r="R973" s="1618"/>
      <c r="S973" s="1618"/>
      <c r="T973" s="1618">
        <f t="shared" si="318"/>
        <v>0</v>
      </c>
      <c r="U973" s="1616"/>
      <c r="V973" s="1618">
        <f t="shared" si="319"/>
        <v>0</v>
      </c>
      <c r="W973" s="1619">
        <f t="shared" si="315"/>
        <v>0</v>
      </c>
      <c r="X973" s="1618">
        <f t="shared" si="321"/>
        <v>0</v>
      </c>
      <c r="Y973" s="1619">
        <f t="shared" si="320"/>
        <v>0</v>
      </c>
      <c r="Z973" s="1618">
        <f t="shared" si="325"/>
        <v>0</v>
      </c>
      <c r="AA973" s="675"/>
      <c r="AB973" s="674"/>
    </row>
    <row r="974" spans="1:28" s="301" customFormat="1">
      <c r="A974" s="1729"/>
      <c r="B974" s="1736" t="s">
        <v>1187</v>
      </c>
      <c r="C974" s="1737">
        <f>Data!R2439</f>
        <v>1506.84</v>
      </c>
      <c r="D974" s="1732" t="s">
        <v>2308</v>
      </c>
      <c r="E974" s="1733"/>
      <c r="F974" s="1626">
        <f t="shared" si="322"/>
        <v>0</v>
      </c>
      <c r="G974" s="1616"/>
      <c r="H974" s="1618">
        <f t="shared" si="323"/>
        <v>0</v>
      </c>
      <c r="I974" s="1616"/>
      <c r="J974" s="1618">
        <f t="shared" si="324"/>
        <v>0</v>
      </c>
      <c r="K974" s="1618"/>
      <c r="L974" s="1618"/>
      <c r="M974" s="1618"/>
      <c r="N974" s="1618"/>
      <c r="O974" s="1618"/>
      <c r="P974" s="1618"/>
      <c r="Q974" s="1618"/>
      <c r="R974" s="1618"/>
      <c r="S974" s="1618"/>
      <c r="T974" s="1618">
        <f t="shared" si="318"/>
        <v>0</v>
      </c>
      <c r="U974" s="1616"/>
      <c r="V974" s="1618">
        <f t="shared" si="319"/>
        <v>0</v>
      </c>
      <c r="W974" s="1619">
        <f t="shared" si="315"/>
        <v>0</v>
      </c>
      <c r="X974" s="1618">
        <f t="shared" si="321"/>
        <v>0</v>
      </c>
      <c r="Y974" s="1619">
        <f t="shared" si="320"/>
        <v>0</v>
      </c>
      <c r="Z974" s="1618">
        <f t="shared" si="325"/>
        <v>0</v>
      </c>
      <c r="AA974" s="675"/>
      <c r="AB974" s="674"/>
    </row>
    <row r="975" spans="1:28" s="301" customFormat="1">
      <c r="A975" s="1729"/>
      <c r="B975" s="1736" t="s">
        <v>3133</v>
      </c>
      <c r="C975" s="1737">
        <f>Data!AD1254</f>
        <v>1491.71</v>
      </c>
      <c r="D975" s="1732" t="s">
        <v>2308</v>
      </c>
      <c r="E975" s="1733"/>
      <c r="F975" s="1626">
        <f t="shared" si="322"/>
        <v>0</v>
      </c>
      <c r="G975" s="1616"/>
      <c r="H975" s="1618">
        <f t="shared" si="323"/>
        <v>0</v>
      </c>
      <c r="I975" s="1616"/>
      <c r="J975" s="1618">
        <f t="shared" si="324"/>
        <v>0</v>
      </c>
      <c r="K975" s="1618"/>
      <c r="L975" s="1618"/>
      <c r="M975" s="1618"/>
      <c r="N975" s="1618"/>
      <c r="O975" s="1618"/>
      <c r="P975" s="1618"/>
      <c r="Q975" s="1618"/>
      <c r="R975" s="1618"/>
      <c r="S975" s="1618"/>
      <c r="T975" s="1618">
        <f t="shared" si="318"/>
        <v>0</v>
      </c>
      <c r="U975" s="1616"/>
      <c r="V975" s="1618">
        <f t="shared" si="319"/>
        <v>0</v>
      </c>
      <c r="W975" s="1619">
        <f t="shared" si="315"/>
        <v>0</v>
      </c>
      <c r="X975" s="1618">
        <f t="shared" si="321"/>
        <v>0</v>
      </c>
      <c r="Y975" s="1619">
        <f t="shared" si="320"/>
        <v>0</v>
      </c>
      <c r="Z975" s="1618">
        <f t="shared" si="325"/>
        <v>0</v>
      </c>
      <c r="AA975" s="675"/>
      <c r="AB975" s="674"/>
    </row>
    <row r="976" spans="1:28" s="301" customFormat="1">
      <c r="A976" s="1729"/>
      <c r="B976" s="1740" t="s">
        <v>2229</v>
      </c>
      <c r="C976" s="1731">
        <f>Data!K1439</f>
        <v>244.59</v>
      </c>
      <c r="D976" s="1732" t="s">
        <v>2308</v>
      </c>
      <c r="E976" s="1733"/>
      <c r="F976" s="1626">
        <f t="shared" si="322"/>
        <v>0</v>
      </c>
      <c r="G976" s="1616"/>
      <c r="H976" s="1618">
        <f t="shared" si="323"/>
        <v>0</v>
      </c>
      <c r="I976" s="1616"/>
      <c r="J976" s="1618">
        <f t="shared" si="324"/>
        <v>0</v>
      </c>
      <c r="K976" s="1618"/>
      <c r="L976" s="1618"/>
      <c r="M976" s="1618"/>
      <c r="N976" s="1618"/>
      <c r="O976" s="1618"/>
      <c r="P976" s="1618"/>
      <c r="Q976" s="1618"/>
      <c r="R976" s="1618"/>
      <c r="S976" s="1618"/>
      <c r="T976" s="1618">
        <f t="shared" si="318"/>
        <v>0</v>
      </c>
      <c r="U976" s="1616"/>
      <c r="V976" s="1618">
        <f t="shared" si="319"/>
        <v>0</v>
      </c>
      <c r="W976" s="1619">
        <f t="shared" si="315"/>
        <v>0</v>
      </c>
      <c r="X976" s="1618">
        <f t="shared" si="321"/>
        <v>0</v>
      </c>
      <c r="Y976" s="1619">
        <f t="shared" si="320"/>
        <v>0</v>
      </c>
      <c r="Z976" s="1618">
        <f t="shared" si="325"/>
        <v>0</v>
      </c>
      <c r="AA976" s="675"/>
      <c r="AB976" s="674"/>
    </row>
    <row r="977" spans="1:28" s="301" customFormat="1">
      <c r="A977" s="1729"/>
      <c r="B977" s="1740" t="s">
        <v>2230</v>
      </c>
      <c r="C977" s="1731">
        <f>5000*8.2</f>
        <v>41000</v>
      </c>
      <c r="D977" s="1732" t="s">
        <v>1418</v>
      </c>
      <c r="E977" s="1733"/>
      <c r="F977" s="1626">
        <f t="shared" si="322"/>
        <v>0</v>
      </c>
      <c r="G977" s="1616"/>
      <c r="H977" s="1618">
        <f t="shared" si="323"/>
        <v>0</v>
      </c>
      <c r="I977" s="1616"/>
      <c r="J977" s="1618">
        <f t="shared" si="324"/>
        <v>0</v>
      </c>
      <c r="K977" s="1618"/>
      <c r="L977" s="1618"/>
      <c r="M977" s="1618"/>
      <c r="N977" s="1618"/>
      <c r="O977" s="1618"/>
      <c r="P977" s="1618"/>
      <c r="Q977" s="1618"/>
      <c r="R977" s="1618"/>
      <c r="S977" s="1618"/>
      <c r="T977" s="1618">
        <f t="shared" si="318"/>
        <v>0</v>
      </c>
      <c r="U977" s="1616"/>
      <c r="V977" s="1618">
        <f t="shared" si="319"/>
        <v>0</v>
      </c>
      <c r="W977" s="1619">
        <f t="shared" si="315"/>
        <v>0</v>
      </c>
      <c r="X977" s="1618">
        <f t="shared" si="321"/>
        <v>0</v>
      </c>
      <c r="Y977" s="1619">
        <f t="shared" si="320"/>
        <v>0</v>
      </c>
      <c r="Z977" s="1618">
        <f t="shared" si="325"/>
        <v>0</v>
      </c>
      <c r="AA977" s="675"/>
      <c r="AB977" s="674"/>
    </row>
    <row r="978" spans="1:28" s="301" customFormat="1">
      <c r="A978" s="1729"/>
      <c r="B978" s="1740" t="str">
        <f>Data!O2623</f>
        <v>T.W DOOR SHUTTER TWO LEAVES(1200 X 2100 mm ) with Brass Fittings</v>
      </c>
      <c r="C978" s="1731">
        <f>Data!R2651</f>
        <v>6199.77</v>
      </c>
      <c r="D978" s="1732" t="s">
        <v>2308</v>
      </c>
      <c r="E978" s="1733"/>
      <c r="F978" s="1626">
        <f t="shared" si="322"/>
        <v>0</v>
      </c>
      <c r="G978" s="1616"/>
      <c r="H978" s="1618">
        <f t="shared" si="323"/>
        <v>0</v>
      </c>
      <c r="I978" s="1616"/>
      <c r="J978" s="1618">
        <f t="shared" si="324"/>
        <v>0</v>
      </c>
      <c r="K978" s="1618"/>
      <c r="L978" s="1618"/>
      <c r="M978" s="1618"/>
      <c r="N978" s="1618"/>
      <c r="O978" s="1618"/>
      <c r="P978" s="1618"/>
      <c r="Q978" s="1618"/>
      <c r="R978" s="1618"/>
      <c r="S978" s="1618"/>
      <c r="T978" s="1618">
        <f t="shared" si="318"/>
        <v>0</v>
      </c>
      <c r="U978" s="1616"/>
      <c r="V978" s="1618">
        <f t="shared" si="319"/>
        <v>0</v>
      </c>
      <c r="W978" s="1619">
        <f t="shared" si="315"/>
        <v>0</v>
      </c>
      <c r="X978" s="1618">
        <f t="shared" si="321"/>
        <v>0</v>
      </c>
      <c r="Y978" s="1619">
        <f t="shared" si="320"/>
        <v>0</v>
      </c>
      <c r="Z978" s="1618">
        <f t="shared" si="325"/>
        <v>0</v>
      </c>
      <c r="AA978" s="675"/>
      <c r="AB978" s="674"/>
    </row>
    <row r="979" spans="1:28" s="301" customFormat="1">
      <c r="A979" s="1729"/>
      <c r="B979" s="1740" t="s">
        <v>1766</v>
      </c>
      <c r="C979" s="1731">
        <f>Data!R1121</f>
        <v>5040.1899999999996</v>
      </c>
      <c r="D979" s="1732" t="s">
        <v>2308</v>
      </c>
      <c r="E979" s="1733"/>
      <c r="F979" s="1626">
        <f t="shared" si="322"/>
        <v>0</v>
      </c>
      <c r="G979" s="1616"/>
      <c r="H979" s="1618">
        <f t="shared" si="323"/>
        <v>0</v>
      </c>
      <c r="I979" s="1616"/>
      <c r="J979" s="1618">
        <f t="shared" si="324"/>
        <v>0</v>
      </c>
      <c r="K979" s="1618"/>
      <c r="L979" s="1618"/>
      <c r="M979" s="1618"/>
      <c r="N979" s="1618"/>
      <c r="O979" s="1618"/>
      <c r="P979" s="1618"/>
      <c r="Q979" s="1618"/>
      <c r="R979" s="1618"/>
      <c r="S979" s="1618"/>
      <c r="T979" s="1618">
        <f t="shared" si="318"/>
        <v>0</v>
      </c>
      <c r="U979" s="1616"/>
      <c r="V979" s="1618">
        <f t="shared" si="319"/>
        <v>0</v>
      </c>
      <c r="W979" s="1619">
        <f t="shared" si="315"/>
        <v>0</v>
      </c>
      <c r="X979" s="1618">
        <f t="shared" si="321"/>
        <v>0</v>
      </c>
      <c r="Y979" s="1619">
        <f t="shared" si="320"/>
        <v>0</v>
      </c>
      <c r="Z979" s="1618">
        <f t="shared" si="325"/>
        <v>0</v>
      </c>
      <c r="AA979" s="675"/>
      <c r="AB979" s="674"/>
    </row>
    <row r="980" spans="1:28" s="301" customFormat="1">
      <c r="A980" s="1729"/>
      <c r="B980" s="1740" t="s">
        <v>3374</v>
      </c>
      <c r="C980" s="1731">
        <f>Data!R3200</f>
        <v>6182.41</v>
      </c>
      <c r="D980" s="1732" t="s">
        <v>2308</v>
      </c>
      <c r="E980" s="1733"/>
      <c r="F980" s="1626">
        <f t="shared" si="322"/>
        <v>0</v>
      </c>
      <c r="G980" s="1616"/>
      <c r="H980" s="1618">
        <f t="shared" si="323"/>
        <v>0</v>
      </c>
      <c r="I980" s="1616"/>
      <c r="J980" s="1618">
        <f t="shared" si="324"/>
        <v>0</v>
      </c>
      <c r="K980" s="1618"/>
      <c r="L980" s="1618"/>
      <c r="M980" s="1618"/>
      <c r="N980" s="1618"/>
      <c r="O980" s="1618"/>
      <c r="P980" s="1618"/>
      <c r="Q980" s="1618"/>
      <c r="R980" s="1618"/>
      <c r="S980" s="1618"/>
      <c r="T980" s="1618">
        <f t="shared" si="318"/>
        <v>0</v>
      </c>
      <c r="U980" s="1616"/>
      <c r="V980" s="1618">
        <f t="shared" si="319"/>
        <v>0</v>
      </c>
      <c r="W980" s="1619">
        <f t="shared" si="315"/>
        <v>0</v>
      </c>
      <c r="X980" s="1618">
        <f t="shared" si="321"/>
        <v>0</v>
      </c>
      <c r="Y980" s="1619">
        <f t="shared" si="320"/>
        <v>0</v>
      </c>
      <c r="Z980" s="1618">
        <f t="shared" si="325"/>
        <v>0</v>
      </c>
      <c r="AA980" s="675"/>
      <c r="AB980" s="674"/>
    </row>
    <row r="981" spans="1:28" s="301" customFormat="1">
      <c r="A981" s="1729"/>
      <c r="B981" s="1740" t="s">
        <v>3375</v>
      </c>
      <c r="C981" s="1731">
        <f>Data!R3269</f>
        <v>6164.11</v>
      </c>
      <c r="D981" s="1732" t="s">
        <v>2308</v>
      </c>
      <c r="E981" s="1733"/>
      <c r="F981" s="1626">
        <f t="shared" si="322"/>
        <v>0</v>
      </c>
      <c r="G981" s="1616"/>
      <c r="H981" s="1618">
        <f t="shared" si="323"/>
        <v>0</v>
      </c>
      <c r="I981" s="1616"/>
      <c r="J981" s="1618">
        <f t="shared" si="324"/>
        <v>0</v>
      </c>
      <c r="K981" s="1618"/>
      <c r="L981" s="1618"/>
      <c r="M981" s="1618"/>
      <c r="N981" s="1618"/>
      <c r="O981" s="1618"/>
      <c r="P981" s="1618"/>
      <c r="Q981" s="1618"/>
      <c r="R981" s="1618"/>
      <c r="S981" s="1618"/>
      <c r="T981" s="1618">
        <f t="shared" si="318"/>
        <v>0</v>
      </c>
      <c r="U981" s="1616"/>
      <c r="V981" s="1618">
        <f t="shared" si="319"/>
        <v>0</v>
      </c>
      <c r="W981" s="1619">
        <f t="shared" si="315"/>
        <v>0</v>
      </c>
      <c r="X981" s="1618">
        <f t="shared" si="321"/>
        <v>0</v>
      </c>
      <c r="Y981" s="1619">
        <f t="shared" si="320"/>
        <v>0</v>
      </c>
      <c r="Z981" s="1618">
        <f t="shared" si="325"/>
        <v>0</v>
      </c>
      <c r="AA981" s="675"/>
      <c r="AB981" s="674"/>
    </row>
    <row r="982" spans="1:28" s="301" customFormat="1">
      <c r="A982" s="1729"/>
      <c r="B982" s="1740" t="s">
        <v>3376</v>
      </c>
      <c r="C982" s="1731">
        <f>Data!K3328</f>
        <v>4845.1099999999997</v>
      </c>
      <c r="D982" s="1732" t="s">
        <v>2308</v>
      </c>
      <c r="E982" s="1733"/>
      <c r="F982" s="1626">
        <f t="shared" si="322"/>
        <v>0</v>
      </c>
      <c r="G982" s="1616"/>
      <c r="H982" s="1618">
        <f t="shared" si="323"/>
        <v>0</v>
      </c>
      <c r="I982" s="1616"/>
      <c r="J982" s="1618">
        <f t="shared" si="324"/>
        <v>0</v>
      </c>
      <c r="K982" s="1618"/>
      <c r="L982" s="1618"/>
      <c r="M982" s="1618"/>
      <c r="N982" s="1618"/>
      <c r="O982" s="1618"/>
      <c r="P982" s="1618"/>
      <c r="Q982" s="1618"/>
      <c r="R982" s="1618"/>
      <c r="S982" s="1618"/>
      <c r="T982" s="1618">
        <f t="shared" si="318"/>
        <v>0</v>
      </c>
      <c r="U982" s="1616"/>
      <c r="V982" s="1618">
        <f t="shared" si="319"/>
        <v>0</v>
      </c>
      <c r="W982" s="1619">
        <f t="shared" si="315"/>
        <v>0</v>
      </c>
      <c r="X982" s="1618">
        <f t="shared" si="321"/>
        <v>0</v>
      </c>
      <c r="Y982" s="1619">
        <f t="shared" si="320"/>
        <v>0</v>
      </c>
      <c r="Z982" s="1618">
        <f t="shared" si="325"/>
        <v>0</v>
      </c>
      <c r="AA982" s="675"/>
      <c r="AB982" s="674"/>
    </row>
    <row r="983" spans="1:28" s="301" customFormat="1" ht="67.5">
      <c r="A983" s="1729"/>
      <c r="B983" s="1741" t="s">
        <v>6397</v>
      </c>
      <c r="C983" s="1731">
        <f>Data!R3336</f>
        <v>5004.07</v>
      </c>
      <c r="D983" s="1732" t="s">
        <v>2308</v>
      </c>
      <c r="E983" s="1733"/>
      <c r="F983" s="1626">
        <f t="shared" si="322"/>
        <v>0</v>
      </c>
      <c r="G983" s="1616"/>
      <c r="H983" s="1618">
        <f t="shared" si="323"/>
        <v>0</v>
      </c>
      <c r="I983" s="1616"/>
      <c r="J983" s="1618">
        <f t="shared" si="324"/>
        <v>0</v>
      </c>
      <c r="K983" s="1618"/>
      <c r="L983" s="1618"/>
      <c r="M983" s="1618"/>
      <c r="N983" s="1618"/>
      <c r="O983" s="1618"/>
      <c r="P983" s="1618"/>
      <c r="Q983" s="1618"/>
      <c r="R983" s="1618"/>
      <c r="S983" s="1618"/>
      <c r="T983" s="1618">
        <f t="shared" si="318"/>
        <v>0</v>
      </c>
      <c r="U983" s="1616"/>
      <c r="V983" s="1618">
        <f t="shared" si="319"/>
        <v>0</v>
      </c>
      <c r="W983" s="1619">
        <f t="shared" si="315"/>
        <v>0</v>
      </c>
      <c r="X983" s="1618">
        <f t="shared" si="321"/>
        <v>0</v>
      </c>
      <c r="Y983" s="1619">
        <f t="shared" si="320"/>
        <v>0</v>
      </c>
      <c r="Z983" s="1618">
        <f t="shared" si="325"/>
        <v>0</v>
      </c>
      <c r="AA983" s="675"/>
      <c r="AB983" s="674"/>
    </row>
    <row r="984" spans="1:28" s="301" customFormat="1" ht="67.5">
      <c r="A984" s="1729"/>
      <c r="B984" s="1741" t="s">
        <v>6398</v>
      </c>
      <c r="C984" s="1731">
        <f>Data!R3449</f>
        <v>5854.27</v>
      </c>
      <c r="D984" s="1732" t="s">
        <v>2308</v>
      </c>
      <c r="E984" s="1733"/>
      <c r="F984" s="1626">
        <f t="shared" si="322"/>
        <v>0</v>
      </c>
      <c r="G984" s="1616"/>
      <c r="H984" s="1618">
        <f t="shared" si="323"/>
        <v>0</v>
      </c>
      <c r="I984" s="1616"/>
      <c r="J984" s="1618">
        <f t="shared" si="324"/>
        <v>0</v>
      </c>
      <c r="K984" s="1618"/>
      <c r="L984" s="1618"/>
      <c r="M984" s="1618"/>
      <c r="N984" s="1618"/>
      <c r="O984" s="1618"/>
      <c r="P984" s="1618"/>
      <c r="Q984" s="1618"/>
      <c r="R984" s="1618"/>
      <c r="S984" s="1618"/>
      <c r="T984" s="1618">
        <f t="shared" si="318"/>
        <v>0</v>
      </c>
      <c r="U984" s="1616"/>
      <c r="V984" s="1618">
        <f t="shared" si="319"/>
        <v>0</v>
      </c>
      <c r="W984" s="1619">
        <f t="shared" si="315"/>
        <v>0</v>
      </c>
      <c r="X984" s="1618">
        <f t="shared" si="321"/>
        <v>0</v>
      </c>
      <c r="Y984" s="1619">
        <f t="shared" si="320"/>
        <v>0</v>
      </c>
      <c r="Z984" s="1618">
        <f t="shared" si="325"/>
        <v>0</v>
      </c>
      <c r="AA984" s="675"/>
      <c r="AB984" s="674"/>
    </row>
    <row r="985" spans="1:28" s="301" customFormat="1" ht="45">
      <c r="A985" s="1729"/>
      <c r="B985" s="1736" t="s">
        <v>4008</v>
      </c>
      <c r="C985" s="1731">
        <f>Data!K3431</f>
        <v>5051.6899999999996</v>
      </c>
      <c r="D985" s="1732" t="s">
        <v>2308</v>
      </c>
      <c r="E985" s="1733"/>
      <c r="F985" s="1626">
        <f t="shared" si="322"/>
        <v>0</v>
      </c>
      <c r="G985" s="1616"/>
      <c r="H985" s="1618">
        <f t="shared" si="323"/>
        <v>0</v>
      </c>
      <c r="I985" s="1616"/>
      <c r="J985" s="1618">
        <f t="shared" si="324"/>
        <v>0</v>
      </c>
      <c r="K985" s="1618"/>
      <c r="L985" s="1618"/>
      <c r="M985" s="1618"/>
      <c r="N985" s="1618"/>
      <c r="O985" s="1618"/>
      <c r="P985" s="1618"/>
      <c r="Q985" s="1618"/>
      <c r="R985" s="1618"/>
      <c r="S985" s="1618"/>
      <c r="T985" s="1618">
        <f t="shared" si="318"/>
        <v>0</v>
      </c>
      <c r="U985" s="1616"/>
      <c r="V985" s="1618">
        <f t="shared" si="319"/>
        <v>0</v>
      </c>
      <c r="W985" s="1619">
        <f t="shared" si="315"/>
        <v>0</v>
      </c>
      <c r="X985" s="1618">
        <f t="shared" si="321"/>
        <v>0</v>
      </c>
      <c r="Y985" s="1619">
        <f t="shared" si="320"/>
        <v>0</v>
      </c>
      <c r="Z985" s="1618">
        <f t="shared" si="325"/>
        <v>0</v>
      </c>
      <c r="AA985" s="675"/>
      <c r="AB985" s="674"/>
    </row>
    <row r="986" spans="1:28" s="301" customFormat="1">
      <c r="A986" s="1729"/>
      <c r="B986" s="1740" t="s">
        <v>3377</v>
      </c>
      <c r="C986" s="1731">
        <f>Data!R3371</f>
        <v>5584.61</v>
      </c>
      <c r="D986" s="1732" t="s">
        <v>2308</v>
      </c>
      <c r="E986" s="1733"/>
      <c r="F986" s="1626">
        <f t="shared" si="322"/>
        <v>0</v>
      </c>
      <c r="G986" s="1616"/>
      <c r="H986" s="1618">
        <f t="shared" si="323"/>
        <v>0</v>
      </c>
      <c r="I986" s="1616"/>
      <c r="J986" s="1618">
        <f t="shared" si="324"/>
        <v>0</v>
      </c>
      <c r="K986" s="1618"/>
      <c r="L986" s="1618"/>
      <c r="M986" s="1618"/>
      <c r="N986" s="1618"/>
      <c r="O986" s="1618"/>
      <c r="P986" s="1618"/>
      <c r="Q986" s="1618"/>
      <c r="R986" s="1618"/>
      <c r="S986" s="1618"/>
      <c r="T986" s="1618">
        <f t="shared" si="318"/>
        <v>0</v>
      </c>
      <c r="U986" s="1616"/>
      <c r="V986" s="1618">
        <f t="shared" si="319"/>
        <v>0</v>
      </c>
      <c r="W986" s="1619">
        <f t="shared" si="315"/>
        <v>0</v>
      </c>
      <c r="X986" s="1618">
        <f t="shared" si="321"/>
        <v>0</v>
      </c>
      <c r="Y986" s="1619">
        <f t="shared" si="320"/>
        <v>0</v>
      </c>
      <c r="Z986" s="1618">
        <f t="shared" si="325"/>
        <v>0</v>
      </c>
      <c r="AA986" s="675"/>
      <c r="AB986" s="674"/>
    </row>
    <row r="987" spans="1:28" s="301" customFormat="1">
      <c r="A987" s="1729"/>
      <c r="B987" s="1740" t="s">
        <v>3378</v>
      </c>
      <c r="C987" s="1731">
        <f>Data!R3405</f>
        <v>4897.2299999999996</v>
      </c>
      <c r="D987" s="1732" t="s">
        <v>2308</v>
      </c>
      <c r="E987" s="1733"/>
      <c r="F987" s="1626">
        <f t="shared" si="322"/>
        <v>0</v>
      </c>
      <c r="G987" s="1616"/>
      <c r="H987" s="1618">
        <f t="shared" si="323"/>
        <v>0</v>
      </c>
      <c r="I987" s="1616"/>
      <c r="J987" s="1618">
        <f t="shared" si="324"/>
        <v>0</v>
      </c>
      <c r="K987" s="1618"/>
      <c r="L987" s="1618"/>
      <c r="M987" s="1618"/>
      <c r="N987" s="1618"/>
      <c r="O987" s="1618"/>
      <c r="P987" s="1618"/>
      <c r="Q987" s="1618"/>
      <c r="R987" s="1618"/>
      <c r="S987" s="1618"/>
      <c r="T987" s="1618">
        <f t="shared" si="318"/>
        <v>0</v>
      </c>
      <c r="U987" s="1616"/>
      <c r="V987" s="1618">
        <f t="shared" si="319"/>
        <v>0</v>
      </c>
      <c r="W987" s="1619">
        <f t="shared" si="315"/>
        <v>0</v>
      </c>
      <c r="X987" s="1618">
        <f t="shared" si="321"/>
        <v>0</v>
      </c>
      <c r="Y987" s="1619">
        <f t="shared" si="320"/>
        <v>0</v>
      </c>
      <c r="Z987" s="1618">
        <f t="shared" si="325"/>
        <v>0</v>
      </c>
      <c r="AA987" s="675"/>
      <c r="AB987" s="674"/>
    </row>
    <row r="988" spans="1:28" s="301" customFormat="1">
      <c r="A988" s="1729"/>
      <c r="B988" s="1740" t="s">
        <v>3379</v>
      </c>
      <c r="C988" s="1731">
        <f>Data!R3302</f>
        <v>5445.16</v>
      </c>
      <c r="D988" s="1732" t="s">
        <v>2308</v>
      </c>
      <c r="E988" s="1733"/>
      <c r="F988" s="1626">
        <f t="shared" si="322"/>
        <v>0</v>
      </c>
      <c r="G988" s="1616"/>
      <c r="H988" s="1618">
        <f t="shared" si="323"/>
        <v>0</v>
      </c>
      <c r="I988" s="1616"/>
      <c r="J988" s="1618">
        <f t="shared" si="324"/>
        <v>0</v>
      </c>
      <c r="K988" s="1618"/>
      <c r="L988" s="1618"/>
      <c r="M988" s="1618"/>
      <c r="N988" s="1618"/>
      <c r="O988" s="1618"/>
      <c r="P988" s="1618"/>
      <c r="Q988" s="1618"/>
      <c r="R988" s="1618"/>
      <c r="S988" s="1618"/>
      <c r="T988" s="1618">
        <f t="shared" si="318"/>
        <v>0</v>
      </c>
      <c r="U988" s="1616"/>
      <c r="V988" s="1618">
        <f t="shared" si="319"/>
        <v>0</v>
      </c>
      <c r="W988" s="1619">
        <f t="shared" si="315"/>
        <v>0</v>
      </c>
      <c r="X988" s="1618">
        <f t="shared" si="321"/>
        <v>0</v>
      </c>
      <c r="Y988" s="1619">
        <f t="shared" si="320"/>
        <v>0</v>
      </c>
      <c r="Z988" s="1618">
        <f t="shared" si="325"/>
        <v>0</v>
      </c>
      <c r="AA988" s="675"/>
      <c r="AB988" s="674"/>
    </row>
    <row r="989" spans="1:28" s="301" customFormat="1">
      <c r="A989" s="1729"/>
      <c r="B989" s="1740" t="s">
        <v>3380</v>
      </c>
      <c r="C989" s="1731">
        <f>Data!R3336</f>
        <v>5004.07</v>
      </c>
      <c r="D989" s="1732" t="s">
        <v>2308</v>
      </c>
      <c r="E989" s="1733"/>
      <c r="F989" s="1626">
        <f t="shared" si="322"/>
        <v>0</v>
      </c>
      <c r="G989" s="1616"/>
      <c r="H989" s="1618">
        <f t="shared" si="323"/>
        <v>0</v>
      </c>
      <c r="I989" s="1616"/>
      <c r="J989" s="1618">
        <f t="shared" si="324"/>
        <v>0</v>
      </c>
      <c r="K989" s="1618"/>
      <c r="L989" s="1618"/>
      <c r="M989" s="1618"/>
      <c r="N989" s="1618"/>
      <c r="O989" s="1618"/>
      <c r="P989" s="1618"/>
      <c r="Q989" s="1618"/>
      <c r="R989" s="1618"/>
      <c r="S989" s="1618"/>
      <c r="T989" s="1618">
        <f t="shared" si="318"/>
        <v>0</v>
      </c>
      <c r="U989" s="1616"/>
      <c r="V989" s="1618">
        <f t="shared" si="319"/>
        <v>0</v>
      </c>
      <c r="W989" s="1619">
        <f t="shared" si="315"/>
        <v>0</v>
      </c>
      <c r="X989" s="1618">
        <f t="shared" si="321"/>
        <v>0</v>
      </c>
      <c r="Y989" s="1619">
        <f t="shared" si="320"/>
        <v>0</v>
      </c>
      <c r="Z989" s="1618">
        <f t="shared" si="325"/>
        <v>0</v>
      </c>
      <c r="AA989" s="675"/>
      <c r="AB989" s="674"/>
    </row>
    <row r="990" spans="1:28" s="301" customFormat="1">
      <c r="A990" s="1729"/>
      <c r="B990" s="1740" t="s">
        <v>3125</v>
      </c>
      <c r="C990" s="1731">
        <f>Elec.Data!K3481</f>
        <v>1242.21</v>
      </c>
      <c r="D990" s="1732" t="s">
        <v>1418</v>
      </c>
      <c r="E990" s="1733"/>
      <c r="F990" s="1626">
        <f t="shared" si="322"/>
        <v>0</v>
      </c>
      <c r="G990" s="1616"/>
      <c r="H990" s="1618">
        <f t="shared" si="323"/>
        <v>0</v>
      </c>
      <c r="I990" s="1616"/>
      <c r="J990" s="1618">
        <f t="shared" si="324"/>
        <v>0</v>
      </c>
      <c r="K990" s="1618"/>
      <c r="L990" s="1618"/>
      <c r="M990" s="1618"/>
      <c r="N990" s="1618"/>
      <c r="O990" s="1618"/>
      <c r="P990" s="1618"/>
      <c r="Q990" s="1618"/>
      <c r="R990" s="1618"/>
      <c r="S990" s="1618"/>
      <c r="T990" s="1618">
        <f t="shared" si="318"/>
        <v>0</v>
      </c>
      <c r="U990" s="1616"/>
      <c r="V990" s="1618">
        <f t="shared" si="319"/>
        <v>0</v>
      </c>
      <c r="W990" s="1619">
        <f t="shared" si="315"/>
        <v>0</v>
      </c>
      <c r="X990" s="1618">
        <f t="shared" si="321"/>
        <v>0</v>
      </c>
      <c r="Y990" s="1619">
        <f t="shared" si="320"/>
        <v>0</v>
      </c>
      <c r="Z990" s="1618">
        <f t="shared" si="325"/>
        <v>0</v>
      </c>
      <c r="AA990" s="675"/>
      <c r="AB990" s="674"/>
    </row>
    <row r="991" spans="1:28" s="301" customFormat="1">
      <c r="A991" s="1729"/>
      <c r="B991" s="1740" t="s">
        <v>3126</v>
      </c>
      <c r="C991" s="1731">
        <f>Elec.Data!K3547</f>
        <v>165</v>
      </c>
      <c r="D991" s="1732" t="s">
        <v>835</v>
      </c>
      <c r="E991" s="1733"/>
      <c r="F991" s="1626">
        <f t="shared" si="322"/>
        <v>0</v>
      </c>
      <c r="G991" s="1616"/>
      <c r="H991" s="1618">
        <f t="shared" si="323"/>
        <v>0</v>
      </c>
      <c r="I991" s="1616"/>
      <c r="J991" s="1618">
        <f t="shared" si="324"/>
        <v>0</v>
      </c>
      <c r="K991" s="1618"/>
      <c r="L991" s="1618"/>
      <c r="M991" s="1618"/>
      <c r="N991" s="1618"/>
      <c r="O991" s="1618"/>
      <c r="P991" s="1618"/>
      <c r="Q991" s="1618"/>
      <c r="R991" s="1618"/>
      <c r="S991" s="1618"/>
      <c r="T991" s="1618">
        <f t="shared" si="318"/>
        <v>0</v>
      </c>
      <c r="U991" s="1616"/>
      <c r="V991" s="1618">
        <f t="shared" si="319"/>
        <v>0</v>
      </c>
      <c r="W991" s="1619">
        <f t="shared" ref="W991:W1022" si="326">I991+S991+U991</f>
        <v>0</v>
      </c>
      <c r="X991" s="1618">
        <f t="shared" si="321"/>
        <v>0</v>
      </c>
      <c r="Y991" s="1619">
        <f t="shared" si="320"/>
        <v>0</v>
      </c>
      <c r="Z991" s="1618">
        <f t="shared" si="325"/>
        <v>0</v>
      </c>
      <c r="AA991" s="675"/>
      <c r="AB991" s="674"/>
    </row>
    <row r="992" spans="1:28" s="301" customFormat="1">
      <c r="A992" s="1729"/>
      <c r="B992" s="1742" t="s">
        <v>2530</v>
      </c>
      <c r="C992" s="1731">
        <f>Elec.Data!K3468</f>
        <v>2971.6</v>
      </c>
      <c r="D992" s="1732" t="s">
        <v>1418</v>
      </c>
      <c r="E992" s="1733"/>
      <c r="F992" s="1626">
        <f t="shared" si="322"/>
        <v>0</v>
      </c>
      <c r="G992" s="1616"/>
      <c r="H992" s="1618">
        <f t="shared" si="323"/>
        <v>0</v>
      </c>
      <c r="I992" s="1616"/>
      <c r="J992" s="1618">
        <f t="shared" si="324"/>
        <v>0</v>
      </c>
      <c r="K992" s="1618"/>
      <c r="L992" s="1618"/>
      <c r="M992" s="1618"/>
      <c r="N992" s="1618"/>
      <c r="O992" s="1618"/>
      <c r="P992" s="1618"/>
      <c r="Q992" s="1618"/>
      <c r="R992" s="1618"/>
      <c r="S992" s="1618"/>
      <c r="T992" s="1618">
        <f t="shared" ref="T992:T1023" si="327">S992*C992</f>
        <v>0</v>
      </c>
      <c r="U992" s="1616"/>
      <c r="V992" s="1618">
        <f t="shared" ref="V992:V1023" si="328">U992*C992</f>
        <v>0</v>
      </c>
      <c r="W992" s="1619">
        <f t="shared" si="326"/>
        <v>0</v>
      </c>
      <c r="X992" s="1618">
        <f t="shared" si="321"/>
        <v>0</v>
      </c>
      <c r="Y992" s="1619">
        <f t="shared" ref="Y992:Y1023" si="329">W992+E992+G992</f>
        <v>0</v>
      </c>
      <c r="Z992" s="1618">
        <f t="shared" si="325"/>
        <v>0</v>
      </c>
      <c r="AA992" s="675"/>
      <c r="AB992" s="674"/>
    </row>
    <row r="993" spans="1:28" s="301" customFormat="1">
      <c r="A993" s="1729"/>
      <c r="B993" s="1740" t="s">
        <v>3129</v>
      </c>
      <c r="C993" s="1731">
        <f>Data!K2978</f>
        <v>2779.39</v>
      </c>
      <c r="D993" s="1732" t="s">
        <v>2308</v>
      </c>
      <c r="E993" s="1733"/>
      <c r="F993" s="1626">
        <f t="shared" si="322"/>
        <v>0</v>
      </c>
      <c r="G993" s="1616"/>
      <c r="H993" s="1618">
        <f t="shared" si="323"/>
        <v>0</v>
      </c>
      <c r="I993" s="1616"/>
      <c r="J993" s="1618">
        <f t="shared" si="324"/>
        <v>0</v>
      </c>
      <c r="K993" s="1618"/>
      <c r="L993" s="1618"/>
      <c r="M993" s="1618"/>
      <c r="N993" s="1618"/>
      <c r="O993" s="1618"/>
      <c r="P993" s="1618"/>
      <c r="Q993" s="1618"/>
      <c r="R993" s="1618"/>
      <c r="S993" s="1618"/>
      <c r="T993" s="1618">
        <f t="shared" si="327"/>
        <v>0</v>
      </c>
      <c r="U993" s="1616"/>
      <c r="V993" s="1618">
        <f t="shared" si="328"/>
        <v>0</v>
      </c>
      <c r="W993" s="1619">
        <f t="shared" si="326"/>
        <v>0</v>
      </c>
      <c r="X993" s="1618">
        <f t="shared" si="321"/>
        <v>0</v>
      </c>
      <c r="Y993" s="1619">
        <f t="shared" si="329"/>
        <v>0</v>
      </c>
      <c r="Z993" s="1618">
        <f t="shared" si="325"/>
        <v>0</v>
      </c>
      <c r="AA993" s="675"/>
      <c r="AB993" s="674"/>
    </row>
    <row r="994" spans="1:28" s="301" customFormat="1">
      <c r="A994" s="1729"/>
      <c r="B994" s="1740" t="s">
        <v>3127</v>
      </c>
      <c r="C994" s="1731">
        <f>Data!K2842</f>
        <v>2736.83</v>
      </c>
      <c r="D994" s="1732" t="s">
        <v>2308</v>
      </c>
      <c r="E994" s="1733"/>
      <c r="F994" s="1626">
        <f t="shared" si="322"/>
        <v>0</v>
      </c>
      <c r="G994" s="1616"/>
      <c r="H994" s="1618">
        <f t="shared" si="323"/>
        <v>0</v>
      </c>
      <c r="I994" s="1616"/>
      <c r="J994" s="1618">
        <f t="shared" si="324"/>
        <v>0</v>
      </c>
      <c r="K994" s="1618"/>
      <c r="L994" s="1618"/>
      <c r="M994" s="1618"/>
      <c r="N994" s="1618"/>
      <c r="O994" s="1618"/>
      <c r="P994" s="1618"/>
      <c r="Q994" s="1618"/>
      <c r="R994" s="1618"/>
      <c r="S994" s="1618"/>
      <c r="T994" s="1618">
        <f t="shared" si="327"/>
        <v>0</v>
      </c>
      <c r="U994" s="1616"/>
      <c r="V994" s="1618">
        <f t="shared" si="328"/>
        <v>0</v>
      </c>
      <c r="W994" s="1619">
        <f t="shared" si="326"/>
        <v>0</v>
      </c>
      <c r="X994" s="1618">
        <f t="shared" si="321"/>
        <v>0</v>
      </c>
      <c r="Y994" s="1619">
        <f t="shared" si="329"/>
        <v>0</v>
      </c>
      <c r="Z994" s="1618">
        <f t="shared" si="325"/>
        <v>0</v>
      </c>
      <c r="AA994" s="675"/>
      <c r="AB994" s="674"/>
    </row>
    <row r="995" spans="1:28" s="301" customFormat="1">
      <c r="A995" s="1729"/>
      <c r="B995" s="1740" t="s">
        <v>3128</v>
      </c>
      <c r="C995" s="1731">
        <f>Data!R2985</f>
        <v>2663.24</v>
      </c>
      <c r="D995" s="1732" t="s">
        <v>2308</v>
      </c>
      <c r="E995" s="1733"/>
      <c r="F995" s="1626">
        <f t="shared" si="322"/>
        <v>0</v>
      </c>
      <c r="G995" s="1616"/>
      <c r="H995" s="1618">
        <f t="shared" si="323"/>
        <v>0</v>
      </c>
      <c r="I995" s="1616"/>
      <c r="J995" s="1618">
        <f t="shared" si="324"/>
        <v>0</v>
      </c>
      <c r="K995" s="1618"/>
      <c r="L995" s="1618"/>
      <c r="M995" s="1618"/>
      <c r="N995" s="1618"/>
      <c r="O995" s="1618"/>
      <c r="P995" s="1618"/>
      <c r="Q995" s="1618"/>
      <c r="R995" s="1618"/>
      <c r="S995" s="1618"/>
      <c r="T995" s="1618">
        <f t="shared" si="327"/>
        <v>0</v>
      </c>
      <c r="U995" s="1616"/>
      <c r="V995" s="1618">
        <f t="shared" si="328"/>
        <v>0</v>
      </c>
      <c r="W995" s="1619">
        <f t="shared" si="326"/>
        <v>0</v>
      </c>
      <c r="X995" s="1618">
        <f t="shared" si="321"/>
        <v>0</v>
      </c>
      <c r="Y995" s="1619">
        <f t="shared" si="329"/>
        <v>0</v>
      </c>
      <c r="Z995" s="1618">
        <f t="shared" si="325"/>
        <v>0</v>
      </c>
      <c r="AA995" s="675"/>
      <c r="AB995" s="674"/>
    </row>
    <row r="996" spans="1:28" s="301" customFormat="1">
      <c r="A996" s="1729"/>
      <c r="B996" s="1740" t="s">
        <v>3130</v>
      </c>
      <c r="C996" s="1731">
        <f>Data!K3082</f>
        <v>2886.76</v>
      </c>
      <c r="D996" s="1732" t="s">
        <v>2308</v>
      </c>
      <c r="E996" s="1733"/>
      <c r="F996" s="1626">
        <f t="shared" si="322"/>
        <v>0</v>
      </c>
      <c r="G996" s="1616"/>
      <c r="H996" s="1618">
        <f t="shared" si="323"/>
        <v>0</v>
      </c>
      <c r="I996" s="1616"/>
      <c r="J996" s="1618">
        <f t="shared" si="324"/>
        <v>0</v>
      </c>
      <c r="K996" s="1618"/>
      <c r="L996" s="1618"/>
      <c r="M996" s="1618"/>
      <c r="N996" s="1618"/>
      <c r="O996" s="1618"/>
      <c r="P996" s="1618"/>
      <c r="Q996" s="1618"/>
      <c r="R996" s="1618"/>
      <c r="S996" s="1618"/>
      <c r="T996" s="1618">
        <f t="shared" si="327"/>
        <v>0</v>
      </c>
      <c r="U996" s="1616"/>
      <c r="V996" s="1618">
        <f t="shared" si="328"/>
        <v>0</v>
      </c>
      <c r="W996" s="1619">
        <f t="shared" si="326"/>
        <v>0</v>
      </c>
      <c r="X996" s="1618">
        <f t="shared" ref="X996:X1027" si="330">W996*C996</f>
        <v>0</v>
      </c>
      <c r="Y996" s="1619">
        <f t="shared" si="329"/>
        <v>0</v>
      </c>
      <c r="Z996" s="1618">
        <f t="shared" si="325"/>
        <v>0</v>
      </c>
      <c r="AA996" s="675"/>
      <c r="AB996" s="674"/>
    </row>
    <row r="997" spans="1:28" s="301" customFormat="1">
      <c r="A997" s="1729"/>
      <c r="B997" s="1740" t="s">
        <v>3131</v>
      </c>
      <c r="C997" s="1731">
        <f>Data!K3063</f>
        <v>3009.55</v>
      </c>
      <c r="D997" s="1732" t="s">
        <v>2308</v>
      </c>
      <c r="E997" s="1733"/>
      <c r="F997" s="1626">
        <f t="shared" si="322"/>
        <v>0</v>
      </c>
      <c r="G997" s="1616"/>
      <c r="H997" s="1618">
        <f t="shared" si="323"/>
        <v>0</v>
      </c>
      <c r="I997" s="1616"/>
      <c r="J997" s="1618">
        <f t="shared" si="324"/>
        <v>0</v>
      </c>
      <c r="K997" s="1618"/>
      <c r="L997" s="1618"/>
      <c r="M997" s="1618"/>
      <c r="N997" s="1618"/>
      <c r="O997" s="1618"/>
      <c r="P997" s="1618"/>
      <c r="Q997" s="1618"/>
      <c r="R997" s="1618"/>
      <c r="S997" s="1618"/>
      <c r="T997" s="1618">
        <f t="shared" si="327"/>
        <v>0</v>
      </c>
      <c r="U997" s="1616"/>
      <c r="V997" s="1618">
        <f t="shared" si="328"/>
        <v>0</v>
      </c>
      <c r="W997" s="1619">
        <f t="shared" si="326"/>
        <v>0</v>
      </c>
      <c r="X997" s="1618">
        <f t="shared" si="330"/>
        <v>0</v>
      </c>
      <c r="Y997" s="1619">
        <f t="shared" si="329"/>
        <v>0</v>
      </c>
      <c r="Z997" s="1618">
        <f t="shared" ref="Z997:Z1028" si="331">Y997*C997</f>
        <v>0</v>
      </c>
      <c r="AA997" s="675"/>
      <c r="AB997" s="674"/>
    </row>
    <row r="998" spans="1:28" s="301" customFormat="1">
      <c r="A998" s="1729"/>
      <c r="B998" s="1740" t="s">
        <v>3132</v>
      </c>
      <c r="C998" s="1731">
        <f>Data!R3070</f>
        <v>2831.92</v>
      </c>
      <c r="D998" s="1732" t="s">
        <v>2308</v>
      </c>
      <c r="E998" s="1733"/>
      <c r="F998" s="1626">
        <f t="shared" si="322"/>
        <v>0</v>
      </c>
      <c r="G998" s="1616"/>
      <c r="H998" s="1618">
        <f t="shared" si="323"/>
        <v>0</v>
      </c>
      <c r="I998" s="1616"/>
      <c r="J998" s="1618">
        <f t="shared" si="324"/>
        <v>0</v>
      </c>
      <c r="K998" s="1618"/>
      <c r="L998" s="1618"/>
      <c r="M998" s="1618"/>
      <c r="N998" s="1618"/>
      <c r="O998" s="1618"/>
      <c r="P998" s="1618"/>
      <c r="Q998" s="1618"/>
      <c r="R998" s="1618"/>
      <c r="S998" s="1618"/>
      <c r="T998" s="1618">
        <f t="shared" si="327"/>
        <v>0</v>
      </c>
      <c r="U998" s="1616"/>
      <c r="V998" s="1618">
        <f t="shared" si="328"/>
        <v>0</v>
      </c>
      <c r="W998" s="1619">
        <f t="shared" si="326"/>
        <v>0</v>
      </c>
      <c r="X998" s="1618">
        <f t="shared" si="330"/>
        <v>0</v>
      </c>
      <c r="Y998" s="1619">
        <f t="shared" si="329"/>
        <v>0</v>
      </c>
      <c r="Z998" s="1618">
        <f t="shared" si="331"/>
        <v>0</v>
      </c>
      <c r="AA998" s="675"/>
      <c r="AB998" s="674"/>
    </row>
    <row r="999" spans="1:28" s="301" customFormat="1" ht="45">
      <c r="A999" s="1729"/>
      <c r="B999" s="1743" t="s">
        <v>569</v>
      </c>
      <c r="C999" s="1731">
        <f>Data!K2874</f>
        <v>2124.06</v>
      </c>
      <c r="D999" s="1732" t="s">
        <v>2308</v>
      </c>
      <c r="E999" s="1733"/>
      <c r="F999" s="1626">
        <f t="shared" si="322"/>
        <v>0</v>
      </c>
      <c r="G999" s="1616"/>
      <c r="H999" s="1618">
        <f t="shared" si="323"/>
        <v>0</v>
      </c>
      <c r="I999" s="1616"/>
      <c r="J999" s="1618">
        <f t="shared" si="324"/>
        <v>0</v>
      </c>
      <c r="K999" s="1618"/>
      <c r="L999" s="1618"/>
      <c r="M999" s="1618"/>
      <c r="N999" s="1618"/>
      <c r="O999" s="1618"/>
      <c r="P999" s="1618"/>
      <c r="Q999" s="1618"/>
      <c r="R999" s="1618"/>
      <c r="S999" s="1618"/>
      <c r="T999" s="1618">
        <f t="shared" si="327"/>
        <v>0</v>
      </c>
      <c r="U999" s="1616"/>
      <c r="V999" s="1618">
        <f t="shared" si="328"/>
        <v>0</v>
      </c>
      <c r="W999" s="1619">
        <f t="shared" si="326"/>
        <v>0</v>
      </c>
      <c r="X999" s="1618">
        <f t="shared" si="330"/>
        <v>0</v>
      </c>
      <c r="Y999" s="1619">
        <f t="shared" si="329"/>
        <v>0</v>
      </c>
      <c r="Z999" s="1618">
        <f t="shared" si="331"/>
        <v>0</v>
      </c>
      <c r="AA999" s="675"/>
      <c r="AB999" s="674"/>
    </row>
    <row r="1000" spans="1:28" s="301" customFormat="1">
      <c r="A1000" s="1729"/>
      <c r="B1000" s="1740" t="s">
        <v>2891</v>
      </c>
      <c r="C1000" s="1731">
        <f>Data!K1151</f>
        <v>109.86</v>
      </c>
      <c r="D1000" s="1732"/>
      <c r="E1000" s="1733"/>
      <c r="F1000" s="1626">
        <f t="shared" si="322"/>
        <v>0</v>
      </c>
      <c r="G1000" s="1616"/>
      <c r="H1000" s="1618">
        <f t="shared" si="323"/>
        <v>0</v>
      </c>
      <c r="I1000" s="1616"/>
      <c r="J1000" s="1618">
        <f t="shared" si="324"/>
        <v>0</v>
      </c>
      <c r="K1000" s="1618"/>
      <c r="L1000" s="1618"/>
      <c r="M1000" s="1618"/>
      <c r="N1000" s="1618"/>
      <c r="O1000" s="1618"/>
      <c r="P1000" s="1618"/>
      <c r="Q1000" s="1618"/>
      <c r="R1000" s="1618"/>
      <c r="S1000" s="1618"/>
      <c r="T1000" s="1618">
        <f t="shared" si="327"/>
        <v>0</v>
      </c>
      <c r="U1000" s="1616"/>
      <c r="V1000" s="1618">
        <f t="shared" si="328"/>
        <v>0</v>
      </c>
      <c r="W1000" s="1619">
        <f t="shared" si="326"/>
        <v>0</v>
      </c>
      <c r="X1000" s="1618">
        <f t="shared" si="330"/>
        <v>0</v>
      </c>
      <c r="Y1000" s="1619">
        <f t="shared" si="329"/>
        <v>0</v>
      </c>
      <c r="Z1000" s="1618">
        <f t="shared" si="331"/>
        <v>0</v>
      </c>
      <c r="AA1000" s="675"/>
      <c r="AB1000" s="674"/>
    </row>
    <row r="1001" spans="1:28" s="301" customFormat="1">
      <c r="A1001" s="1729"/>
      <c r="B1001" s="1740" t="s">
        <v>2892</v>
      </c>
      <c r="C1001" s="1731">
        <f>Data!K1164</f>
        <v>172.13</v>
      </c>
      <c r="D1001" s="1732"/>
      <c r="E1001" s="1733"/>
      <c r="F1001" s="1626">
        <f t="shared" si="322"/>
        <v>0</v>
      </c>
      <c r="G1001" s="1616"/>
      <c r="H1001" s="1618">
        <f t="shared" si="323"/>
        <v>0</v>
      </c>
      <c r="I1001" s="1616"/>
      <c r="J1001" s="1618">
        <f t="shared" si="324"/>
        <v>0</v>
      </c>
      <c r="K1001" s="1618"/>
      <c r="L1001" s="1618"/>
      <c r="M1001" s="1618"/>
      <c r="N1001" s="1618"/>
      <c r="O1001" s="1618"/>
      <c r="P1001" s="1618"/>
      <c r="Q1001" s="1618"/>
      <c r="R1001" s="1618"/>
      <c r="S1001" s="1618"/>
      <c r="T1001" s="1618">
        <f t="shared" si="327"/>
        <v>0</v>
      </c>
      <c r="U1001" s="1616"/>
      <c r="V1001" s="1618">
        <f t="shared" si="328"/>
        <v>0</v>
      </c>
      <c r="W1001" s="1619">
        <f t="shared" si="326"/>
        <v>0</v>
      </c>
      <c r="X1001" s="1618">
        <f t="shared" si="330"/>
        <v>0</v>
      </c>
      <c r="Y1001" s="1619">
        <f t="shared" si="329"/>
        <v>0</v>
      </c>
      <c r="Z1001" s="1618">
        <f t="shared" si="331"/>
        <v>0</v>
      </c>
      <c r="AA1001" s="675"/>
      <c r="AB1001" s="674"/>
    </row>
    <row r="1002" spans="1:28" s="301" customFormat="1">
      <c r="A1002" s="1729"/>
      <c r="B1002" s="1740" t="s">
        <v>1700</v>
      </c>
      <c r="C1002" s="1731">
        <f>Data!K2445</f>
        <v>683.34</v>
      </c>
      <c r="D1002" s="1732"/>
      <c r="E1002" s="1733"/>
      <c r="F1002" s="1626">
        <f t="shared" si="322"/>
        <v>0</v>
      </c>
      <c r="G1002" s="1616"/>
      <c r="H1002" s="1618">
        <f t="shared" si="323"/>
        <v>0</v>
      </c>
      <c r="I1002" s="1616"/>
      <c r="J1002" s="1618">
        <f t="shared" si="324"/>
        <v>0</v>
      </c>
      <c r="K1002" s="1618"/>
      <c r="L1002" s="1618"/>
      <c r="M1002" s="1618"/>
      <c r="N1002" s="1618"/>
      <c r="O1002" s="1618"/>
      <c r="P1002" s="1618"/>
      <c r="Q1002" s="1618"/>
      <c r="R1002" s="1618"/>
      <c r="S1002" s="1618"/>
      <c r="T1002" s="1618">
        <f t="shared" si="327"/>
        <v>0</v>
      </c>
      <c r="U1002" s="1616"/>
      <c r="V1002" s="1618">
        <f t="shared" si="328"/>
        <v>0</v>
      </c>
      <c r="W1002" s="1619">
        <f t="shared" si="326"/>
        <v>0</v>
      </c>
      <c r="X1002" s="1618">
        <f t="shared" si="330"/>
        <v>0</v>
      </c>
      <c r="Y1002" s="1619">
        <f t="shared" si="329"/>
        <v>0</v>
      </c>
      <c r="Z1002" s="1618">
        <f t="shared" si="331"/>
        <v>0</v>
      </c>
      <c r="AA1002" s="675"/>
      <c r="AB1002" s="674"/>
    </row>
    <row r="1003" spans="1:28" s="301" customFormat="1">
      <c r="A1003" s="1729"/>
      <c r="B1003" s="1740" t="s">
        <v>1701</v>
      </c>
      <c r="C1003" s="1731">
        <f>Data!K2795</f>
        <v>1512.21</v>
      </c>
      <c r="D1003" s="1732"/>
      <c r="E1003" s="1733"/>
      <c r="F1003" s="1626">
        <f t="shared" si="322"/>
        <v>0</v>
      </c>
      <c r="G1003" s="1616"/>
      <c r="H1003" s="1618">
        <f t="shared" si="323"/>
        <v>0</v>
      </c>
      <c r="I1003" s="1616"/>
      <c r="J1003" s="1618">
        <f t="shared" si="324"/>
        <v>0</v>
      </c>
      <c r="K1003" s="1618"/>
      <c r="L1003" s="1618"/>
      <c r="M1003" s="1618"/>
      <c r="N1003" s="1618"/>
      <c r="O1003" s="1618"/>
      <c r="P1003" s="1618"/>
      <c r="Q1003" s="1618"/>
      <c r="R1003" s="1618"/>
      <c r="S1003" s="1618"/>
      <c r="T1003" s="1618">
        <f t="shared" si="327"/>
        <v>0</v>
      </c>
      <c r="U1003" s="1616"/>
      <c r="V1003" s="1618">
        <f t="shared" si="328"/>
        <v>0</v>
      </c>
      <c r="W1003" s="1619">
        <f t="shared" si="326"/>
        <v>0</v>
      </c>
      <c r="X1003" s="1618">
        <f t="shared" si="330"/>
        <v>0</v>
      </c>
      <c r="Y1003" s="1619">
        <f t="shared" si="329"/>
        <v>0</v>
      </c>
      <c r="Z1003" s="1618">
        <f t="shared" si="331"/>
        <v>0</v>
      </c>
      <c r="AA1003" s="675"/>
      <c r="AB1003" s="674"/>
    </row>
    <row r="1004" spans="1:28" s="301" customFormat="1" ht="67.5">
      <c r="A1004" s="1729"/>
      <c r="B1004" s="1743" t="s">
        <v>6399</v>
      </c>
      <c r="C1004" s="1731">
        <f>Elec.Data!K3011</f>
        <v>2424.33</v>
      </c>
      <c r="D1004" s="1732"/>
      <c r="E1004" s="1733"/>
      <c r="F1004" s="1626">
        <f t="shared" si="322"/>
        <v>0</v>
      </c>
      <c r="G1004" s="1616"/>
      <c r="H1004" s="1618">
        <f t="shared" si="323"/>
        <v>0</v>
      </c>
      <c r="I1004" s="1616"/>
      <c r="J1004" s="1618">
        <f t="shared" si="324"/>
        <v>0</v>
      </c>
      <c r="K1004" s="1618"/>
      <c r="L1004" s="1618"/>
      <c r="M1004" s="1618"/>
      <c r="N1004" s="1618"/>
      <c r="O1004" s="1618"/>
      <c r="P1004" s="1618"/>
      <c r="Q1004" s="1618"/>
      <c r="R1004" s="1618"/>
      <c r="S1004" s="1618"/>
      <c r="T1004" s="1618">
        <f t="shared" si="327"/>
        <v>0</v>
      </c>
      <c r="U1004" s="1616"/>
      <c r="V1004" s="1618">
        <f t="shared" si="328"/>
        <v>0</v>
      </c>
      <c r="W1004" s="1619">
        <f t="shared" si="326"/>
        <v>0</v>
      </c>
      <c r="X1004" s="1618">
        <f t="shared" si="330"/>
        <v>0</v>
      </c>
      <c r="Y1004" s="1619">
        <f t="shared" si="329"/>
        <v>0</v>
      </c>
      <c r="Z1004" s="1618">
        <f t="shared" si="331"/>
        <v>0</v>
      </c>
      <c r="AA1004" s="675"/>
      <c r="AB1004" s="674"/>
    </row>
    <row r="1005" spans="1:28" s="301" customFormat="1" ht="67.5">
      <c r="A1005" s="1729"/>
      <c r="B1005" s="1743" t="s">
        <v>6400</v>
      </c>
      <c r="C1005" s="1731">
        <f>Elec.Data!K3023</f>
        <v>2425.48</v>
      </c>
      <c r="D1005" s="1732"/>
      <c r="E1005" s="1733"/>
      <c r="F1005" s="1626">
        <f t="shared" si="322"/>
        <v>0</v>
      </c>
      <c r="G1005" s="1616"/>
      <c r="H1005" s="1618">
        <f t="shared" si="323"/>
        <v>0</v>
      </c>
      <c r="I1005" s="1616"/>
      <c r="J1005" s="1618">
        <f t="shared" si="324"/>
        <v>0</v>
      </c>
      <c r="K1005" s="1618"/>
      <c r="L1005" s="1618"/>
      <c r="M1005" s="1618"/>
      <c r="N1005" s="1618"/>
      <c r="O1005" s="1618"/>
      <c r="P1005" s="1618"/>
      <c r="Q1005" s="1618"/>
      <c r="R1005" s="1618"/>
      <c r="S1005" s="1618"/>
      <c r="T1005" s="1618">
        <f t="shared" si="327"/>
        <v>0</v>
      </c>
      <c r="U1005" s="1616"/>
      <c r="V1005" s="1618">
        <f t="shared" si="328"/>
        <v>0</v>
      </c>
      <c r="W1005" s="1619">
        <f t="shared" si="326"/>
        <v>0</v>
      </c>
      <c r="X1005" s="1618">
        <f t="shared" si="330"/>
        <v>0</v>
      </c>
      <c r="Y1005" s="1619">
        <f t="shared" si="329"/>
        <v>0</v>
      </c>
      <c r="Z1005" s="1618">
        <f t="shared" si="331"/>
        <v>0</v>
      </c>
      <c r="AA1005" s="675"/>
      <c r="AB1005" s="674"/>
    </row>
    <row r="1006" spans="1:28" s="301" customFormat="1" ht="45">
      <c r="A1006" s="1729"/>
      <c r="B1006" s="1743" t="s">
        <v>6401</v>
      </c>
      <c r="C1006" s="1731">
        <f>Elec.Data!K3044</f>
        <v>2491.5500000000002</v>
      </c>
      <c r="D1006" s="1732"/>
      <c r="E1006" s="1733"/>
      <c r="F1006" s="1626">
        <f t="shared" si="322"/>
        <v>0</v>
      </c>
      <c r="G1006" s="1616"/>
      <c r="H1006" s="1618">
        <f t="shared" si="323"/>
        <v>0</v>
      </c>
      <c r="I1006" s="1616"/>
      <c r="J1006" s="1618">
        <f t="shared" si="324"/>
        <v>0</v>
      </c>
      <c r="K1006" s="1618"/>
      <c r="L1006" s="1618"/>
      <c r="M1006" s="1618"/>
      <c r="N1006" s="1618"/>
      <c r="O1006" s="1618"/>
      <c r="P1006" s="1618"/>
      <c r="Q1006" s="1618"/>
      <c r="R1006" s="1618"/>
      <c r="S1006" s="1618"/>
      <c r="T1006" s="1618">
        <f t="shared" si="327"/>
        <v>0</v>
      </c>
      <c r="U1006" s="1616"/>
      <c r="V1006" s="1618">
        <f t="shared" si="328"/>
        <v>0</v>
      </c>
      <c r="W1006" s="1619">
        <f t="shared" si="326"/>
        <v>0</v>
      </c>
      <c r="X1006" s="1618">
        <f t="shared" si="330"/>
        <v>0</v>
      </c>
      <c r="Y1006" s="1619">
        <f t="shared" si="329"/>
        <v>0</v>
      </c>
      <c r="Z1006" s="1618">
        <f t="shared" si="331"/>
        <v>0</v>
      </c>
      <c r="AA1006" s="675"/>
      <c r="AB1006" s="674"/>
    </row>
    <row r="1007" spans="1:28" s="301" customFormat="1" ht="45">
      <c r="A1007" s="1729"/>
      <c r="B1007" s="1743" t="s">
        <v>6402</v>
      </c>
      <c r="C1007" s="1731">
        <f>Elec.Data!K3063</f>
        <v>4553.51</v>
      </c>
      <c r="D1007" s="1732"/>
      <c r="E1007" s="1733"/>
      <c r="F1007" s="1626">
        <f t="shared" si="322"/>
        <v>0</v>
      </c>
      <c r="G1007" s="1616"/>
      <c r="H1007" s="1618">
        <f t="shared" si="323"/>
        <v>0</v>
      </c>
      <c r="I1007" s="1616"/>
      <c r="J1007" s="1618">
        <f t="shared" si="324"/>
        <v>0</v>
      </c>
      <c r="K1007" s="1618"/>
      <c r="L1007" s="1618"/>
      <c r="M1007" s="1618"/>
      <c r="N1007" s="1618"/>
      <c r="O1007" s="1618"/>
      <c r="P1007" s="1618"/>
      <c r="Q1007" s="1618"/>
      <c r="R1007" s="1618"/>
      <c r="S1007" s="1618"/>
      <c r="T1007" s="1618">
        <f t="shared" si="327"/>
        <v>0</v>
      </c>
      <c r="U1007" s="1616"/>
      <c r="V1007" s="1618">
        <f t="shared" si="328"/>
        <v>0</v>
      </c>
      <c r="W1007" s="1619">
        <f t="shared" si="326"/>
        <v>0</v>
      </c>
      <c r="X1007" s="1618">
        <f t="shared" si="330"/>
        <v>0</v>
      </c>
      <c r="Y1007" s="1619">
        <f t="shared" si="329"/>
        <v>0</v>
      </c>
      <c r="Z1007" s="1618">
        <f t="shared" si="331"/>
        <v>0</v>
      </c>
      <c r="AA1007" s="675"/>
      <c r="AB1007" s="674"/>
    </row>
    <row r="1008" spans="1:28" s="301" customFormat="1">
      <c r="A1008" s="1729"/>
      <c r="B1008" s="1743" t="s">
        <v>2421</v>
      </c>
      <c r="C1008" s="1731">
        <f>Elec.Data!K3092</f>
        <v>209.78</v>
      </c>
      <c r="D1008" s="1732"/>
      <c r="E1008" s="1733"/>
      <c r="F1008" s="1626">
        <f t="shared" si="322"/>
        <v>0</v>
      </c>
      <c r="G1008" s="1616"/>
      <c r="H1008" s="1618">
        <f t="shared" si="323"/>
        <v>0</v>
      </c>
      <c r="I1008" s="1616"/>
      <c r="J1008" s="1618">
        <f t="shared" si="324"/>
        <v>0</v>
      </c>
      <c r="K1008" s="1618"/>
      <c r="L1008" s="1618"/>
      <c r="M1008" s="1618"/>
      <c r="N1008" s="1618"/>
      <c r="O1008" s="1618"/>
      <c r="P1008" s="1618"/>
      <c r="Q1008" s="1618"/>
      <c r="R1008" s="1618"/>
      <c r="S1008" s="1618"/>
      <c r="T1008" s="1618">
        <f t="shared" si="327"/>
        <v>0</v>
      </c>
      <c r="U1008" s="1616"/>
      <c r="V1008" s="1618">
        <f t="shared" si="328"/>
        <v>0</v>
      </c>
      <c r="W1008" s="1619">
        <f t="shared" si="326"/>
        <v>0</v>
      </c>
      <c r="X1008" s="1618">
        <f t="shared" si="330"/>
        <v>0</v>
      </c>
      <c r="Y1008" s="1619">
        <f t="shared" si="329"/>
        <v>0</v>
      </c>
      <c r="Z1008" s="1618">
        <f t="shared" si="331"/>
        <v>0</v>
      </c>
      <c r="AA1008" s="675"/>
      <c r="AB1008" s="674"/>
    </row>
    <row r="1009" spans="1:28" s="301" customFormat="1">
      <c r="A1009" s="1729"/>
      <c r="B1009" s="1743" t="s">
        <v>3002</v>
      </c>
      <c r="C1009" s="1731">
        <f>Elec.Data!K3105</f>
        <v>246.68</v>
      </c>
      <c r="D1009" s="1732"/>
      <c r="E1009" s="1733"/>
      <c r="F1009" s="1626">
        <f t="shared" si="322"/>
        <v>0</v>
      </c>
      <c r="G1009" s="1616"/>
      <c r="H1009" s="1618">
        <f t="shared" si="323"/>
        <v>0</v>
      </c>
      <c r="I1009" s="1616"/>
      <c r="J1009" s="1618">
        <f t="shared" si="324"/>
        <v>0</v>
      </c>
      <c r="K1009" s="1618"/>
      <c r="L1009" s="1618"/>
      <c r="M1009" s="1618"/>
      <c r="N1009" s="1618"/>
      <c r="O1009" s="1618"/>
      <c r="P1009" s="1618"/>
      <c r="Q1009" s="1618"/>
      <c r="R1009" s="1618"/>
      <c r="S1009" s="1618"/>
      <c r="T1009" s="1618">
        <f t="shared" si="327"/>
        <v>0</v>
      </c>
      <c r="U1009" s="1616"/>
      <c r="V1009" s="1618">
        <f t="shared" si="328"/>
        <v>0</v>
      </c>
      <c r="W1009" s="1619">
        <f t="shared" si="326"/>
        <v>0</v>
      </c>
      <c r="X1009" s="1618">
        <f t="shared" si="330"/>
        <v>0</v>
      </c>
      <c r="Y1009" s="1619">
        <f t="shared" si="329"/>
        <v>0</v>
      </c>
      <c r="Z1009" s="1618">
        <f t="shared" si="331"/>
        <v>0</v>
      </c>
      <c r="AA1009" s="675"/>
      <c r="AB1009" s="674"/>
    </row>
    <row r="1010" spans="1:28" s="301" customFormat="1">
      <c r="A1010" s="1729"/>
      <c r="B1010" s="1743" t="s">
        <v>2361</v>
      </c>
      <c r="C1010" s="1731">
        <f>Elec.Data!K3119</f>
        <v>368.57</v>
      </c>
      <c r="D1010" s="1732"/>
      <c r="E1010" s="1733"/>
      <c r="F1010" s="1626">
        <f t="shared" si="322"/>
        <v>0</v>
      </c>
      <c r="G1010" s="1616"/>
      <c r="H1010" s="1618">
        <f t="shared" si="323"/>
        <v>0</v>
      </c>
      <c r="I1010" s="1616"/>
      <c r="J1010" s="1618">
        <f t="shared" si="324"/>
        <v>0</v>
      </c>
      <c r="K1010" s="1618"/>
      <c r="L1010" s="1618"/>
      <c r="M1010" s="1618"/>
      <c r="N1010" s="1618"/>
      <c r="O1010" s="1618"/>
      <c r="P1010" s="1618"/>
      <c r="Q1010" s="1618"/>
      <c r="R1010" s="1618"/>
      <c r="S1010" s="1618"/>
      <c r="T1010" s="1618">
        <f t="shared" si="327"/>
        <v>0</v>
      </c>
      <c r="U1010" s="1616"/>
      <c r="V1010" s="1618">
        <f t="shared" si="328"/>
        <v>0</v>
      </c>
      <c r="W1010" s="1619">
        <f t="shared" si="326"/>
        <v>0</v>
      </c>
      <c r="X1010" s="1618">
        <f t="shared" si="330"/>
        <v>0</v>
      </c>
      <c r="Y1010" s="1619">
        <f t="shared" si="329"/>
        <v>0</v>
      </c>
      <c r="Z1010" s="1618">
        <f t="shared" si="331"/>
        <v>0</v>
      </c>
      <c r="AA1010" s="675"/>
      <c r="AB1010" s="674"/>
    </row>
    <row r="1011" spans="1:28" s="301" customFormat="1" ht="67.5">
      <c r="A1011" s="1729"/>
      <c r="B1011" s="1743" t="s">
        <v>2803</v>
      </c>
      <c r="C1011" s="1731">
        <f>Elec.Data!K3173</f>
        <v>1308</v>
      </c>
      <c r="D1011" s="1732"/>
      <c r="E1011" s="1733"/>
      <c r="F1011" s="1626">
        <f t="shared" si="322"/>
        <v>0</v>
      </c>
      <c r="G1011" s="1616"/>
      <c r="H1011" s="1618">
        <f t="shared" si="323"/>
        <v>0</v>
      </c>
      <c r="I1011" s="1616"/>
      <c r="J1011" s="1618">
        <f t="shared" si="324"/>
        <v>0</v>
      </c>
      <c r="K1011" s="1618"/>
      <c r="L1011" s="1618"/>
      <c r="M1011" s="1618"/>
      <c r="N1011" s="1618"/>
      <c r="O1011" s="1618"/>
      <c r="P1011" s="1618"/>
      <c r="Q1011" s="1618"/>
      <c r="R1011" s="1618"/>
      <c r="S1011" s="1618"/>
      <c r="T1011" s="1618">
        <f t="shared" si="327"/>
        <v>0</v>
      </c>
      <c r="U1011" s="1616"/>
      <c r="V1011" s="1618">
        <f t="shared" si="328"/>
        <v>0</v>
      </c>
      <c r="W1011" s="1619">
        <f t="shared" si="326"/>
        <v>0</v>
      </c>
      <c r="X1011" s="1618">
        <f t="shared" si="330"/>
        <v>0</v>
      </c>
      <c r="Y1011" s="1619">
        <f t="shared" si="329"/>
        <v>0</v>
      </c>
      <c r="Z1011" s="1618">
        <f t="shared" si="331"/>
        <v>0</v>
      </c>
      <c r="AA1011" s="675"/>
      <c r="AB1011" s="674"/>
    </row>
    <row r="1012" spans="1:28" s="301" customFormat="1" ht="90">
      <c r="A1012" s="1729"/>
      <c r="B1012" s="1743" t="s">
        <v>2431</v>
      </c>
      <c r="C1012" s="1731">
        <f>Elec.Data!K3184</f>
        <v>999</v>
      </c>
      <c r="D1012" s="1732"/>
      <c r="E1012" s="1733"/>
      <c r="F1012" s="1626">
        <f t="shared" si="322"/>
        <v>0</v>
      </c>
      <c r="G1012" s="1616"/>
      <c r="H1012" s="1618">
        <f t="shared" si="323"/>
        <v>0</v>
      </c>
      <c r="I1012" s="1616"/>
      <c r="J1012" s="1618">
        <f t="shared" si="324"/>
        <v>0</v>
      </c>
      <c r="K1012" s="1618"/>
      <c r="L1012" s="1618"/>
      <c r="M1012" s="1618"/>
      <c r="N1012" s="1618"/>
      <c r="O1012" s="1618"/>
      <c r="P1012" s="1618"/>
      <c r="Q1012" s="1618"/>
      <c r="R1012" s="1618"/>
      <c r="S1012" s="1618"/>
      <c r="T1012" s="1618">
        <f t="shared" si="327"/>
        <v>0</v>
      </c>
      <c r="U1012" s="1616"/>
      <c r="V1012" s="1618">
        <f t="shared" si="328"/>
        <v>0</v>
      </c>
      <c r="W1012" s="1619">
        <f t="shared" si="326"/>
        <v>0</v>
      </c>
      <c r="X1012" s="1618">
        <f t="shared" si="330"/>
        <v>0</v>
      </c>
      <c r="Y1012" s="1619">
        <f t="shared" si="329"/>
        <v>0</v>
      </c>
      <c r="Z1012" s="1618">
        <f t="shared" si="331"/>
        <v>0</v>
      </c>
      <c r="AA1012" s="675"/>
      <c r="AB1012" s="674"/>
    </row>
    <row r="1013" spans="1:28" s="301" customFormat="1" ht="67.5">
      <c r="A1013" s="1729"/>
      <c r="B1013" s="1743" t="s">
        <v>3475</v>
      </c>
      <c r="C1013" s="1731">
        <f>Elec.Data!K3195</f>
        <v>1660</v>
      </c>
      <c r="D1013" s="1732"/>
      <c r="E1013" s="1733"/>
      <c r="F1013" s="1626">
        <f t="shared" si="322"/>
        <v>0</v>
      </c>
      <c r="G1013" s="1616"/>
      <c r="H1013" s="1618">
        <f t="shared" si="323"/>
        <v>0</v>
      </c>
      <c r="I1013" s="1616"/>
      <c r="J1013" s="1618">
        <f t="shared" si="324"/>
        <v>0</v>
      </c>
      <c r="K1013" s="1618"/>
      <c r="L1013" s="1618"/>
      <c r="M1013" s="1618"/>
      <c r="N1013" s="1618"/>
      <c r="O1013" s="1618"/>
      <c r="P1013" s="1618"/>
      <c r="Q1013" s="1618"/>
      <c r="R1013" s="1618"/>
      <c r="S1013" s="1618"/>
      <c r="T1013" s="1618">
        <f t="shared" si="327"/>
        <v>0</v>
      </c>
      <c r="U1013" s="1616"/>
      <c r="V1013" s="1618">
        <f t="shared" si="328"/>
        <v>0</v>
      </c>
      <c r="W1013" s="1619">
        <f t="shared" si="326"/>
        <v>0</v>
      </c>
      <c r="X1013" s="1618">
        <f t="shared" si="330"/>
        <v>0</v>
      </c>
      <c r="Y1013" s="1619">
        <f t="shared" si="329"/>
        <v>0</v>
      </c>
      <c r="Z1013" s="1618">
        <f t="shared" si="331"/>
        <v>0</v>
      </c>
      <c r="AA1013" s="675"/>
      <c r="AB1013" s="674"/>
    </row>
    <row r="1014" spans="1:28" s="301" customFormat="1" ht="67.5">
      <c r="A1014" s="1729"/>
      <c r="B1014" s="1743" t="s">
        <v>2315</v>
      </c>
      <c r="C1014" s="1731">
        <f>Elec.Data!K3210</f>
        <v>2084</v>
      </c>
      <c r="D1014" s="1732"/>
      <c r="E1014" s="1733"/>
      <c r="F1014" s="1626">
        <f t="shared" si="322"/>
        <v>0</v>
      </c>
      <c r="G1014" s="1616"/>
      <c r="H1014" s="1618">
        <f t="shared" si="323"/>
        <v>0</v>
      </c>
      <c r="I1014" s="1616"/>
      <c r="J1014" s="1618">
        <f t="shared" si="324"/>
        <v>0</v>
      </c>
      <c r="K1014" s="1618"/>
      <c r="L1014" s="1618"/>
      <c r="M1014" s="1618"/>
      <c r="N1014" s="1618"/>
      <c r="O1014" s="1618"/>
      <c r="P1014" s="1618"/>
      <c r="Q1014" s="1618"/>
      <c r="R1014" s="1618"/>
      <c r="S1014" s="1618"/>
      <c r="T1014" s="1618">
        <f t="shared" si="327"/>
        <v>0</v>
      </c>
      <c r="U1014" s="1616"/>
      <c r="V1014" s="1618">
        <f t="shared" si="328"/>
        <v>0</v>
      </c>
      <c r="W1014" s="1619">
        <f t="shared" si="326"/>
        <v>0</v>
      </c>
      <c r="X1014" s="1618">
        <f t="shared" si="330"/>
        <v>0</v>
      </c>
      <c r="Y1014" s="1619">
        <f t="shared" si="329"/>
        <v>0</v>
      </c>
      <c r="Z1014" s="1618">
        <f t="shared" si="331"/>
        <v>0</v>
      </c>
      <c r="AA1014" s="675"/>
      <c r="AB1014" s="674"/>
    </row>
    <row r="1015" spans="1:28" s="301" customFormat="1" ht="90">
      <c r="A1015" s="1729"/>
      <c r="B1015" s="1743" t="s">
        <v>2616</v>
      </c>
      <c r="C1015" s="1731">
        <f>Elec.Data!K3233</f>
        <v>4116.8500000000004</v>
      </c>
      <c r="D1015" s="1732"/>
      <c r="E1015" s="1733"/>
      <c r="F1015" s="1626">
        <f t="shared" si="322"/>
        <v>0</v>
      </c>
      <c r="G1015" s="1616"/>
      <c r="H1015" s="1618">
        <f t="shared" si="323"/>
        <v>0</v>
      </c>
      <c r="I1015" s="1616"/>
      <c r="J1015" s="1618">
        <f t="shared" si="324"/>
        <v>0</v>
      </c>
      <c r="K1015" s="1618"/>
      <c r="L1015" s="1618"/>
      <c r="M1015" s="1618"/>
      <c r="N1015" s="1618"/>
      <c r="O1015" s="1618"/>
      <c r="P1015" s="1618"/>
      <c r="Q1015" s="1618"/>
      <c r="R1015" s="1618"/>
      <c r="S1015" s="1618"/>
      <c r="T1015" s="1618">
        <f t="shared" si="327"/>
        <v>0</v>
      </c>
      <c r="U1015" s="1616"/>
      <c r="V1015" s="1618">
        <f t="shared" si="328"/>
        <v>0</v>
      </c>
      <c r="W1015" s="1619">
        <f t="shared" si="326"/>
        <v>0</v>
      </c>
      <c r="X1015" s="1618">
        <f t="shared" si="330"/>
        <v>0</v>
      </c>
      <c r="Y1015" s="1619">
        <f t="shared" si="329"/>
        <v>0</v>
      </c>
      <c r="Z1015" s="1618">
        <f t="shared" si="331"/>
        <v>0</v>
      </c>
      <c r="AA1015" s="675"/>
      <c r="AB1015" s="674"/>
    </row>
    <row r="1016" spans="1:28" s="301" customFormat="1" ht="67.5">
      <c r="A1016" s="1729"/>
      <c r="B1016" s="1743" t="s">
        <v>3180</v>
      </c>
      <c r="C1016" s="1731">
        <f>Elec.Data!K3221</f>
        <v>3342.85</v>
      </c>
      <c r="D1016" s="1732"/>
      <c r="E1016" s="1733"/>
      <c r="F1016" s="1626">
        <f t="shared" si="322"/>
        <v>0</v>
      </c>
      <c r="G1016" s="1616"/>
      <c r="H1016" s="1618">
        <f t="shared" si="323"/>
        <v>0</v>
      </c>
      <c r="I1016" s="1616"/>
      <c r="J1016" s="1618">
        <f t="shared" si="324"/>
        <v>0</v>
      </c>
      <c r="K1016" s="1618"/>
      <c r="L1016" s="1618"/>
      <c r="M1016" s="1618"/>
      <c r="N1016" s="1618"/>
      <c r="O1016" s="1618"/>
      <c r="P1016" s="1618"/>
      <c r="Q1016" s="1618"/>
      <c r="R1016" s="1618"/>
      <c r="S1016" s="1618"/>
      <c r="T1016" s="1618">
        <f t="shared" si="327"/>
        <v>0</v>
      </c>
      <c r="U1016" s="1616"/>
      <c r="V1016" s="1618">
        <f t="shared" si="328"/>
        <v>0</v>
      </c>
      <c r="W1016" s="1619">
        <f t="shared" si="326"/>
        <v>0</v>
      </c>
      <c r="X1016" s="1618">
        <f t="shared" si="330"/>
        <v>0</v>
      </c>
      <c r="Y1016" s="1619">
        <f t="shared" si="329"/>
        <v>0</v>
      </c>
      <c r="Z1016" s="1618">
        <f t="shared" si="331"/>
        <v>0</v>
      </c>
      <c r="AA1016" s="675"/>
      <c r="AB1016" s="674"/>
    </row>
    <row r="1017" spans="1:28" s="301" customFormat="1" ht="45">
      <c r="A1017" s="1729"/>
      <c r="B1017" s="1743" t="s">
        <v>3395</v>
      </c>
      <c r="C1017" s="1731">
        <f>Elec.Data!K3244</f>
        <v>276.51</v>
      </c>
      <c r="D1017" s="1732"/>
      <c r="E1017" s="1733"/>
      <c r="F1017" s="1626">
        <f t="shared" si="322"/>
        <v>0</v>
      </c>
      <c r="G1017" s="1616"/>
      <c r="H1017" s="1618">
        <f t="shared" si="323"/>
        <v>0</v>
      </c>
      <c r="I1017" s="1616"/>
      <c r="J1017" s="1618">
        <f t="shared" si="324"/>
        <v>0</v>
      </c>
      <c r="K1017" s="1618"/>
      <c r="L1017" s="1618"/>
      <c r="M1017" s="1618"/>
      <c r="N1017" s="1618"/>
      <c r="O1017" s="1618"/>
      <c r="P1017" s="1618"/>
      <c r="Q1017" s="1618"/>
      <c r="R1017" s="1618"/>
      <c r="S1017" s="1618"/>
      <c r="T1017" s="1618">
        <f t="shared" si="327"/>
        <v>0</v>
      </c>
      <c r="U1017" s="1616"/>
      <c r="V1017" s="1618">
        <f t="shared" si="328"/>
        <v>0</v>
      </c>
      <c r="W1017" s="1619">
        <f t="shared" si="326"/>
        <v>0</v>
      </c>
      <c r="X1017" s="1618">
        <f t="shared" si="330"/>
        <v>0</v>
      </c>
      <c r="Y1017" s="1619">
        <f t="shared" si="329"/>
        <v>0</v>
      </c>
      <c r="Z1017" s="1618">
        <f t="shared" si="331"/>
        <v>0</v>
      </c>
      <c r="AA1017" s="675"/>
      <c r="AB1017" s="674"/>
    </row>
    <row r="1018" spans="1:28" s="301" customFormat="1" ht="45">
      <c r="A1018" s="1729"/>
      <c r="B1018" s="1743" t="s">
        <v>3414</v>
      </c>
      <c r="C1018" s="1731">
        <f>Elec.Data!K3262</f>
        <v>464.92</v>
      </c>
      <c r="D1018" s="1732"/>
      <c r="E1018" s="1733"/>
      <c r="F1018" s="1626">
        <f t="shared" si="322"/>
        <v>0</v>
      </c>
      <c r="G1018" s="1616"/>
      <c r="H1018" s="1618">
        <f t="shared" si="323"/>
        <v>0</v>
      </c>
      <c r="I1018" s="1616"/>
      <c r="J1018" s="1618">
        <f t="shared" si="324"/>
        <v>0</v>
      </c>
      <c r="K1018" s="1618"/>
      <c r="L1018" s="1618"/>
      <c r="M1018" s="1618"/>
      <c r="N1018" s="1618"/>
      <c r="O1018" s="1618"/>
      <c r="P1018" s="1618"/>
      <c r="Q1018" s="1618"/>
      <c r="R1018" s="1618"/>
      <c r="S1018" s="1618"/>
      <c r="T1018" s="1618">
        <f t="shared" si="327"/>
        <v>0</v>
      </c>
      <c r="U1018" s="1616"/>
      <c r="V1018" s="1618">
        <f t="shared" si="328"/>
        <v>0</v>
      </c>
      <c r="W1018" s="1619">
        <f t="shared" si="326"/>
        <v>0</v>
      </c>
      <c r="X1018" s="1618">
        <f t="shared" si="330"/>
        <v>0</v>
      </c>
      <c r="Y1018" s="1619">
        <f t="shared" si="329"/>
        <v>0</v>
      </c>
      <c r="Z1018" s="1618">
        <f t="shared" si="331"/>
        <v>0</v>
      </c>
      <c r="AA1018" s="675"/>
      <c r="AB1018" s="674"/>
    </row>
    <row r="1019" spans="1:28" s="301" customFormat="1" ht="45">
      <c r="A1019" s="1729"/>
      <c r="B1019" s="1743" t="s">
        <v>2317</v>
      </c>
      <c r="C1019" s="1731">
        <f>Elec.Data!K3333</f>
        <v>361.01</v>
      </c>
      <c r="D1019" s="1732"/>
      <c r="E1019" s="1733"/>
      <c r="F1019" s="1626">
        <f t="shared" si="322"/>
        <v>0</v>
      </c>
      <c r="G1019" s="1616"/>
      <c r="H1019" s="1618">
        <f t="shared" si="323"/>
        <v>0</v>
      </c>
      <c r="I1019" s="1616"/>
      <c r="J1019" s="1618">
        <f t="shared" si="324"/>
        <v>0</v>
      </c>
      <c r="K1019" s="1618"/>
      <c r="L1019" s="1618"/>
      <c r="M1019" s="1618"/>
      <c r="N1019" s="1618"/>
      <c r="O1019" s="1618"/>
      <c r="P1019" s="1618"/>
      <c r="Q1019" s="1618"/>
      <c r="R1019" s="1618"/>
      <c r="S1019" s="1618"/>
      <c r="T1019" s="1618">
        <f t="shared" si="327"/>
        <v>0</v>
      </c>
      <c r="U1019" s="1616"/>
      <c r="V1019" s="1618">
        <f t="shared" si="328"/>
        <v>0</v>
      </c>
      <c r="W1019" s="1619">
        <f t="shared" si="326"/>
        <v>0</v>
      </c>
      <c r="X1019" s="1618">
        <f t="shared" si="330"/>
        <v>0</v>
      </c>
      <c r="Y1019" s="1619">
        <f t="shared" si="329"/>
        <v>0</v>
      </c>
      <c r="Z1019" s="1618">
        <f t="shared" si="331"/>
        <v>0</v>
      </c>
      <c r="AA1019" s="675"/>
      <c r="AB1019" s="674"/>
    </row>
    <row r="1020" spans="1:28" s="301" customFormat="1" ht="45">
      <c r="A1020" s="1729"/>
      <c r="B1020" s="1743" t="s">
        <v>2318</v>
      </c>
      <c r="C1020" s="1731">
        <f>Elec.Data!K3348</f>
        <v>713.6</v>
      </c>
      <c r="D1020" s="1732"/>
      <c r="E1020" s="1733"/>
      <c r="F1020" s="1626">
        <f t="shared" si="322"/>
        <v>0</v>
      </c>
      <c r="G1020" s="1616"/>
      <c r="H1020" s="1618">
        <f t="shared" si="323"/>
        <v>0</v>
      </c>
      <c r="I1020" s="1616"/>
      <c r="J1020" s="1618">
        <f t="shared" si="324"/>
        <v>0</v>
      </c>
      <c r="K1020" s="1618"/>
      <c r="L1020" s="1618"/>
      <c r="M1020" s="1618"/>
      <c r="N1020" s="1618"/>
      <c r="O1020" s="1618"/>
      <c r="P1020" s="1618"/>
      <c r="Q1020" s="1618"/>
      <c r="R1020" s="1618"/>
      <c r="S1020" s="1618"/>
      <c r="T1020" s="1618">
        <f t="shared" si="327"/>
        <v>0</v>
      </c>
      <c r="U1020" s="1616"/>
      <c r="V1020" s="1618">
        <f t="shared" si="328"/>
        <v>0</v>
      </c>
      <c r="W1020" s="1619">
        <f t="shared" si="326"/>
        <v>0</v>
      </c>
      <c r="X1020" s="1618">
        <f t="shared" si="330"/>
        <v>0</v>
      </c>
      <c r="Y1020" s="1619">
        <f t="shared" si="329"/>
        <v>0</v>
      </c>
      <c r="Z1020" s="1618">
        <f t="shared" si="331"/>
        <v>0</v>
      </c>
      <c r="AA1020" s="675"/>
      <c r="AB1020" s="674"/>
    </row>
    <row r="1021" spans="1:28" s="301" customFormat="1" ht="45">
      <c r="A1021" s="1729"/>
      <c r="B1021" s="1743" t="s">
        <v>2319</v>
      </c>
      <c r="C1021" s="1731">
        <f>Elec.Data!K3366</f>
        <v>449.93</v>
      </c>
      <c r="D1021" s="1732"/>
      <c r="E1021" s="1733"/>
      <c r="F1021" s="1626">
        <f t="shared" si="322"/>
        <v>0</v>
      </c>
      <c r="G1021" s="1616"/>
      <c r="H1021" s="1618">
        <f t="shared" si="323"/>
        <v>0</v>
      </c>
      <c r="I1021" s="1616"/>
      <c r="J1021" s="1618">
        <f t="shared" si="324"/>
        <v>0</v>
      </c>
      <c r="K1021" s="1618"/>
      <c r="L1021" s="1618"/>
      <c r="M1021" s="1618"/>
      <c r="N1021" s="1618"/>
      <c r="O1021" s="1618"/>
      <c r="P1021" s="1618"/>
      <c r="Q1021" s="1618"/>
      <c r="R1021" s="1618"/>
      <c r="S1021" s="1618"/>
      <c r="T1021" s="1618">
        <f t="shared" si="327"/>
        <v>0</v>
      </c>
      <c r="U1021" s="1616"/>
      <c r="V1021" s="1618">
        <f t="shared" si="328"/>
        <v>0</v>
      </c>
      <c r="W1021" s="1619">
        <f t="shared" si="326"/>
        <v>0</v>
      </c>
      <c r="X1021" s="1618">
        <f t="shared" si="330"/>
        <v>0</v>
      </c>
      <c r="Y1021" s="1619">
        <f t="shared" si="329"/>
        <v>0</v>
      </c>
      <c r="Z1021" s="1618">
        <f t="shared" si="331"/>
        <v>0</v>
      </c>
      <c r="AA1021" s="675"/>
      <c r="AB1021" s="674"/>
    </row>
    <row r="1022" spans="1:28" s="301" customFormat="1" ht="45">
      <c r="A1022" s="1729"/>
      <c r="B1022" s="1743" t="s">
        <v>2320</v>
      </c>
      <c r="C1022" s="1731">
        <f>Elec.Data!K3379</f>
        <v>727.6</v>
      </c>
      <c r="D1022" s="1732"/>
      <c r="E1022" s="1733"/>
      <c r="F1022" s="1626">
        <f t="shared" si="322"/>
        <v>0</v>
      </c>
      <c r="G1022" s="1616"/>
      <c r="H1022" s="1618">
        <f t="shared" si="323"/>
        <v>0</v>
      </c>
      <c r="I1022" s="1616"/>
      <c r="J1022" s="1618">
        <f t="shared" si="324"/>
        <v>0</v>
      </c>
      <c r="K1022" s="1618"/>
      <c r="L1022" s="1618"/>
      <c r="M1022" s="1618"/>
      <c r="N1022" s="1618"/>
      <c r="O1022" s="1618"/>
      <c r="P1022" s="1618"/>
      <c r="Q1022" s="1618"/>
      <c r="R1022" s="1618"/>
      <c r="S1022" s="1618"/>
      <c r="T1022" s="1618">
        <f t="shared" si="327"/>
        <v>0</v>
      </c>
      <c r="U1022" s="1616"/>
      <c r="V1022" s="1618">
        <f t="shared" si="328"/>
        <v>0</v>
      </c>
      <c r="W1022" s="1619">
        <f t="shared" si="326"/>
        <v>0</v>
      </c>
      <c r="X1022" s="1618">
        <f t="shared" si="330"/>
        <v>0</v>
      </c>
      <c r="Y1022" s="1619">
        <f t="shared" si="329"/>
        <v>0</v>
      </c>
      <c r="Z1022" s="1618">
        <f t="shared" si="331"/>
        <v>0</v>
      </c>
      <c r="AA1022" s="675"/>
      <c r="AB1022" s="674"/>
    </row>
    <row r="1023" spans="1:28" s="301" customFormat="1">
      <c r="A1023" s="1729"/>
      <c r="B1023" s="1743" t="s">
        <v>2439</v>
      </c>
      <c r="C1023" s="1731">
        <f>Elec.Data!K3384</f>
        <v>1754</v>
      </c>
      <c r="D1023" s="1732"/>
      <c r="E1023" s="1733"/>
      <c r="F1023" s="1626">
        <f t="shared" si="322"/>
        <v>0</v>
      </c>
      <c r="G1023" s="1616"/>
      <c r="H1023" s="1618">
        <f t="shared" si="323"/>
        <v>0</v>
      </c>
      <c r="I1023" s="1616"/>
      <c r="J1023" s="1618">
        <f t="shared" si="324"/>
        <v>0</v>
      </c>
      <c r="K1023" s="1618"/>
      <c r="L1023" s="1618"/>
      <c r="M1023" s="1618"/>
      <c r="N1023" s="1618"/>
      <c r="O1023" s="1618"/>
      <c r="P1023" s="1618"/>
      <c r="Q1023" s="1618"/>
      <c r="R1023" s="1618"/>
      <c r="S1023" s="1618"/>
      <c r="T1023" s="1618">
        <f t="shared" si="327"/>
        <v>0</v>
      </c>
      <c r="U1023" s="1616"/>
      <c r="V1023" s="1618">
        <f t="shared" si="328"/>
        <v>0</v>
      </c>
      <c r="W1023" s="1619">
        <f t="shared" ref="W1023:W1054" si="332">I1023+S1023+U1023</f>
        <v>0</v>
      </c>
      <c r="X1023" s="1618">
        <f t="shared" si="330"/>
        <v>0</v>
      </c>
      <c r="Y1023" s="1619">
        <f t="shared" si="329"/>
        <v>0</v>
      </c>
      <c r="Z1023" s="1618">
        <f t="shared" si="331"/>
        <v>0</v>
      </c>
      <c r="AA1023" s="675"/>
      <c r="AB1023" s="674"/>
    </row>
    <row r="1024" spans="1:28" s="301" customFormat="1">
      <c r="A1024" s="1729"/>
      <c r="B1024" s="1743" t="s">
        <v>2427</v>
      </c>
      <c r="C1024" s="1731">
        <f>Elec.Data!K3389</f>
        <v>1858</v>
      </c>
      <c r="D1024" s="1732"/>
      <c r="E1024" s="1733"/>
      <c r="F1024" s="1626">
        <f t="shared" si="322"/>
        <v>0</v>
      </c>
      <c r="G1024" s="1616"/>
      <c r="H1024" s="1618">
        <f t="shared" si="323"/>
        <v>0</v>
      </c>
      <c r="I1024" s="1616"/>
      <c r="J1024" s="1618">
        <f t="shared" si="324"/>
        <v>0</v>
      </c>
      <c r="K1024" s="1618"/>
      <c r="L1024" s="1618"/>
      <c r="M1024" s="1618"/>
      <c r="N1024" s="1618"/>
      <c r="O1024" s="1618"/>
      <c r="P1024" s="1618"/>
      <c r="Q1024" s="1618"/>
      <c r="R1024" s="1618"/>
      <c r="S1024" s="1618"/>
      <c r="T1024" s="1618">
        <f t="shared" ref="T1024:T1055" si="333">S1024*C1024</f>
        <v>0</v>
      </c>
      <c r="U1024" s="1616"/>
      <c r="V1024" s="1618">
        <f t="shared" ref="V1024:V1055" si="334">U1024*C1024</f>
        <v>0</v>
      </c>
      <c r="W1024" s="1619">
        <f t="shared" si="332"/>
        <v>0</v>
      </c>
      <c r="X1024" s="1618">
        <f t="shared" si="330"/>
        <v>0</v>
      </c>
      <c r="Y1024" s="1619">
        <f t="shared" ref="Y1024:Y1055" si="335">W1024+E1024+G1024</f>
        <v>0</v>
      </c>
      <c r="Z1024" s="1618">
        <f t="shared" si="331"/>
        <v>0</v>
      </c>
      <c r="AA1024" s="675"/>
      <c r="AB1024" s="674"/>
    </row>
    <row r="1025" spans="1:28" s="301" customFormat="1" ht="45">
      <c r="A1025" s="1729"/>
      <c r="B1025" s="1743" t="s">
        <v>6403</v>
      </c>
      <c r="C1025" s="1731">
        <f>Elec.Data!K3501</f>
        <v>142.29</v>
      </c>
      <c r="D1025" s="1732"/>
      <c r="E1025" s="1733"/>
      <c r="F1025" s="1626">
        <f t="shared" si="322"/>
        <v>0</v>
      </c>
      <c r="G1025" s="1616"/>
      <c r="H1025" s="1618">
        <f t="shared" si="323"/>
        <v>0</v>
      </c>
      <c r="I1025" s="1616"/>
      <c r="J1025" s="1618">
        <f t="shared" si="324"/>
        <v>0</v>
      </c>
      <c r="K1025" s="1618"/>
      <c r="L1025" s="1618"/>
      <c r="M1025" s="1618"/>
      <c r="N1025" s="1618"/>
      <c r="O1025" s="1618"/>
      <c r="P1025" s="1618"/>
      <c r="Q1025" s="1618"/>
      <c r="R1025" s="1618"/>
      <c r="S1025" s="1618"/>
      <c r="T1025" s="1618">
        <f t="shared" si="333"/>
        <v>0</v>
      </c>
      <c r="U1025" s="1616"/>
      <c r="V1025" s="1618">
        <f t="shared" si="334"/>
        <v>0</v>
      </c>
      <c r="W1025" s="1619">
        <f t="shared" si="332"/>
        <v>0</v>
      </c>
      <c r="X1025" s="1618">
        <f t="shared" si="330"/>
        <v>0</v>
      </c>
      <c r="Y1025" s="1619">
        <f t="shared" si="335"/>
        <v>0</v>
      </c>
      <c r="Z1025" s="1618">
        <f t="shared" si="331"/>
        <v>0</v>
      </c>
      <c r="AA1025" s="675"/>
      <c r="AB1025" s="674"/>
    </row>
    <row r="1026" spans="1:28" s="301" customFormat="1" ht="45">
      <c r="A1026" s="1729"/>
      <c r="B1026" s="1743" t="s">
        <v>6404</v>
      </c>
      <c r="C1026" s="1731">
        <f>Elec.Data!K3539</f>
        <v>250.43</v>
      </c>
      <c r="D1026" s="1732"/>
      <c r="E1026" s="1733"/>
      <c r="F1026" s="1626">
        <f t="shared" si="322"/>
        <v>0</v>
      </c>
      <c r="G1026" s="1616"/>
      <c r="H1026" s="1618">
        <f t="shared" si="323"/>
        <v>0</v>
      </c>
      <c r="I1026" s="1616"/>
      <c r="J1026" s="1618">
        <f t="shared" si="324"/>
        <v>0</v>
      </c>
      <c r="K1026" s="1618"/>
      <c r="L1026" s="1618"/>
      <c r="M1026" s="1618"/>
      <c r="N1026" s="1618"/>
      <c r="O1026" s="1618"/>
      <c r="P1026" s="1618"/>
      <c r="Q1026" s="1618"/>
      <c r="R1026" s="1618"/>
      <c r="S1026" s="1618"/>
      <c r="T1026" s="1618">
        <f t="shared" si="333"/>
        <v>0</v>
      </c>
      <c r="U1026" s="1616"/>
      <c r="V1026" s="1618">
        <f t="shared" si="334"/>
        <v>0</v>
      </c>
      <c r="W1026" s="1619">
        <f t="shared" si="332"/>
        <v>0</v>
      </c>
      <c r="X1026" s="1618">
        <f t="shared" si="330"/>
        <v>0</v>
      </c>
      <c r="Y1026" s="1619">
        <f t="shared" si="335"/>
        <v>0</v>
      </c>
      <c r="Z1026" s="1618">
        <f t="shared" si="331"/>
        <v>0</v>
      </c>
      <c r="AA1026" s="675"/>
      <c r="AB1026" s="674"/>
    </row>
    <row r="1027" spans="1:28" s="301" customFormat="1">
      <c r="A1027" s="1729"/>
      <c r="B1027" s="1743" t="s">
        <v>2321</v>
      </c>
      <c r="C1027" s="1731">
        <f>Elec.Data!K3547</f>
        <v>165</v>
      </c>
      <c r="D1027" s="1732"/>
      <c r="E1027" s="1733"/>
      <c r="F1027" s="1626">
        <f t="shared" si="322"/>
        <v>0</v>
      </c>
      <c r="G1027" s="1616"/>
      <c r="H1027" s="1618">
        <f t="shared" si="323"/>
        <v>0</v>
      </c>
      <c r="I1027" s="1616"/>
      <c r="J1027" s="1618">
        <f t="shared" si="324"/>
        <v>0</v>
      </c>
      <c r="K1027" s="1618"/>
      <c r="L1027" s="1618"/>
      <c r="M1027" s="1618"/>
      <c r="N1027" s="1618"/>
      <c r="O1027" s="1618"/>
      <c r="P1027" s="1618"/>
      <c r="Q1027" s="1618"/>
      <c r="R1027" s="1618"/>
      <c r="S1027" s="1618"/>
      <c r="T1027" s="1618">
        <f t="shared" si="333"/>
        <v>0</v>
      </c>
      <c r="U1027" s="1616"/>
      <c r="V1027" s="1618">
        <f t="shared" si="334"/>
        <v>0</v>
      </c>
      <c r="W1027" s="1619">
        <f t="shared" si="332"/>
        <v>0</v>
      </c>
      <c r="X1027" s="1618">
        <f t="shared" si="330"/>
        <v>0</v>
      </c>
      <c r="Y1027" s="1619">
        <f t="shared" si="335"/>
        <v>0</v>
      </c>
      <c r="Z1027" s="1618">
        <f t="shared" si="331"/>
        <v>0</v>
      </c>
      <c r="AA1027" s="675"/>
      <c r="AB1027" s="674"/>
    </row>
    <row r="1028" spans="1:28" s="301" customFormat="1">
      <c r="A1028" s="1729"/>
      <c r="B1028" s="1743" t="s">
        <v>2334</v>
      </c>
      <c r="C1028" s="1731">
        <f>Elec.Data!K3567</f>
        <v>245.46</v>
      </c>
      <c r="D1028" s="1732"/>
      <c r="E1028" s="1733"/>
      <c r="F1028" s="1626">
        <f t="shared" si="322"/>
        <v>0</v>
      </c>
      <c r="G1028" s="1616"/>
      <c r="H1028" s="1618">
        <f t="shared" si="323"/>
        <v>0</v>
      </c>
      <c r="I1028" s="1616"/>
      <c r="J1028" s="1618">
        <f t="shared" si="324"/>
        <v>0</v>
      </c>
      <c r="K1028" s="1618"/>
      <c r="L1028" s="1618"/>
      <c r="M1028" s="1618"/>
      <c r="N1028" s="1618"/>
      <c r="O1028" s="1618"/>
      <c r="P1028" s="1618"/>
      <c r="Q1028" s="1618"/>
      <c r="R1028" s="1618"/>
      <c r="S1028" s="1618"/>
      <c r="T1028" s="1618">
        <f t="shared" si="333"/>
        <v>0</v>
      </c>
      <c r="U1028" s="1616"/>
      <c r="V1028" s="1618">
        <f t="shared" si="334"/>
        <v>0</v>
      </c>
      <c r="W1028" s="1619">
        <f t="shared" si="332"/>
        <v>0</v>
      </c>
      <c r="X1028" s="1618">
        <f t="shared" ref="X1028:X1059" si="336">W1028*C1028</f>
        <v>0</v>
      </c>
      <c r="Y1028" s="1619">
        <f t="shared" si="335"/>
        <v>0</v>
      </c>
      <c r="Z1028" s="1618">
        <f t="shared" si="331"/>
        <v>0</v>
      </c>
      <c r="AA1028" s="675"/>
      <c r="AB1028" s="674"/>
    </row>
    <row r="1029" spans="1:28" s="301" customFormat="1">
      <c r="A1029" s="1729"/>
      <c r="B1029" s="1743" t="s">
        <v>3363</v>
      </c>
      <c r="C1029" s="1731">
        <f>Elec.Data!K3584</f>
        <v>150.69</v>
      </c>
      <c r="D1029" s="1732"/>
      <c r="E1029" s="1733"/>
      <c r="F1029" s="1626">
        <f t="shared" ref="F1029:F1088" si="337">E1029*C1029</f>
        <v>0</v>
      </c>
      <c r="G1029" s="1616"/>
      <c r="H1029" s="1618">
        <f t="shared" ref="H1029:H1080" si="338">G1029*C1029</f>
        <v>0</v>
      </c>
      <c r="I1029" s="1616"/>
      <c r="J1029" s="1618">
        <f t="shared" ref="J1029:J1088" si="339">I1029*C1029</f>
        <v>0</v>
      </c>
      <c r="K1029" s="1618"/>
      <c r="L1029" s="1618"/>
      <c r="M1029" s="1618"/>
      <c r="N1029" s="1618"/>
      <c r="O1029" s="1618"/>
      <c r="P1029" s="1618"/>
      <c r="Q1029" s="1618"/>
      <c r="R1029" s="1618"/>
      <c r="S1029" s="1618"/>
      <c r="T1029" s="1618">
        <f t="shared" si="333"/>
        <v>0</v>
      </c>
      <c r="U1029" s="1616"/>
      <c r="V1029" s="1618">
        <f t="shared" si="334"/>
        <v>0</v>
      </c>
      <c r="W1029" s="1619">
        <f t="shared" si="332"/>
        <v>0</v>
      </c>
      <c r="X1029" s="1618">
        <f t="shared" si="336"/>
        <v>0</v>
      </c>
      <c r="Y1029" s="1619">
        <f t="shared" si="335"/>
        <v>0</v>
      </c>
      <c r="Z1029" s="1618">
        <f t="shared" ref="Z1029:Z1060" si="340">Y1029*C1029</f>
        <v>0</v>
      </c>
      <c r="AA1029" s="675"/>
      <c r="AB1029" s="674"/>
    </row>
    <row r="1030" spans="1:28" s="301" customFormat="1">
      <c r="A1030" s="1729"/>
      <c r="B1030" s="1743" t="s">
        <v>2857</v>
      </c>
      <c r="C1030" s="1731">
        <f>Elec.Data!K3619</f>
        <v>2092</v>
      </c>
      <c r="D1030" s="1732"/>
      <c r="E1030" s="1733"/>
      <c r="F1030" s="1626">
        <f t="shared" si="337"/>
        <v>0</v>
      </c>
      <c r="G1030" s="1616"/>
      <c r="H1030" s="1618">
        <f t="shared" si="338"/>
        <v>0</v>
      </c>
      <c r="I1030" s="1616"/>
      <c r="J1030" s="1618">
        <f t="shared" si="339"/>
        <v>0</v>
      </c>
      <c r="K1030" s="1618"/>
      <c r="L1030" s="1618"/>
      <c r="M1030" s="1618"/>
      <c r="N1030" s="1618"/>
      <c r="O1030" s="1618"/>
      <c r="P1030" s="1618"/>
      <c r="Q1030" s="1618"/>
      <c r="R1030" s="1618"/>
      <c r="S1030" s="1618"/>
      <c r="T1030" s="1618">
        <f t="shared" si="333"/>
        <v>0</v>
      </c>
      <c r="U1030" s="1616"/>
      <c r="V1030" s="1618">
        <f t="shared" si="334"/>
        <v>0</v>
      </c>
      <c r="W1030" s="1619">
        <f t="shared" si="332"/>
        <v>0</v>
      </c>
      <c r="X1030" s="1618">
        <f t="shared" si="336"/>
        <v>0</v>
      </c>
      <c r="Y1030" s="1619">
        <f t="shared" si="335"/>
        <v>0</v>
      </c>
      <c r="Z1030" s="1618">
        <f t="shared" si="340"/>
        <v>0</v>
      </c>
      <c r="AA1030" s="675"/>
      <c r="AB1030" s="674"/>
    </row>
    <row r="1031" spans="1:28" s="301" customFormat="1" ht="112.5">
      <c r="A1031" s="1729"/>
      <c r="B1031" s="1743" t="s">
        <v>3137</v>
      </c>
      <c r="C1031" s="1731">
        <f>Elec.Data!K3650</f>
        <v>2207</v>
      </c>
      <c r="D1031" s="1732"/>
      <c r="E1031" s="1733"/>
      <c r="F1031" s="1626">
        <f t="shared" si="337"/>
        <v>0</v>
      </c>
      <c r="G1031" s="1616"/>
      <c r="H1031" s="1618">
        <f t="shared" si="338"/>
        <v>0</v>
      </c>
      <c r="I1031" s="1616"/>
      <c r="J1031" s="1618">
        <f t="shared" si="339"/>
        <v>0</v>
      </c>
      <c r="K1031" s="1618"/>
      <c r="L1031" s="1618"/>
      <c r="M1031" s="1618"/>
      <c r="N1031" s="1618"/>
      <c r="O1031" s="1618"/>
      <c r="P1031" s="1618"/>
      <c r="Q1031" s="1618"/>
      <c r="R1031" s="1618"/>
      <c r="S1031" s="1618"/>
      <c r="T1031" s="1618">
        <f t="shared" si="333"/>
        <v>0</v>
      </c>
      <c r="U1031" s="1616"/>
      <c r="V1031" s="1618">
        <f t="shared" si="334"/>
        <v>0</v>
      </c>
      <c r="W1031" s="1619">
        <f t="shared" si="332"/>
        <v>0</v>
      </c>
      <c r="X1031" s="1618">
        <f t="shared" si="336"/>
        <v>0</v>
      </c>
      <c r="Y1031" s="1619">
        <f t="shared" si="335"/>
        <v>0</v>
      </c>
      <c r="Z1031" s="1618">
        <f t="shared" si="340"/>
        <v>0</v>
      </c>
      <c r="AA1031" s="675"/>
      <c r="AB1031" s="674"/>
    </row>
    <row r="1032" spans="1:28" s="301" customFormat="1" ht="45">
      <c r="A1032" s="1729"/>
      <c r="B1032" s="1744" t="s">
        <v>1126</v>
      </c>
      <c r="C1032" s="1731">
        <f>Elec.Data!K3676</f>
        <v>5044.38</v>
      </c>
      <c r="D1032" s="1732"/>
      <c r="E1032" s="1733"/>
      <c r="F1032" s="1626">
        <f t="shared" si="337"/>
        <v>0</v>
      </c>
      <c r="G1032" s="1616"/>
      <c r="H1032" s="1618">
        <f t="shared" si="338"/>
        <v>0</v>
      </c>
      <c r="I1032" s="1616"/>
      <c r="J1032" s="1618">
        <f t="shared" si="339"/>
        <v>0</v>
      </c>
      <c r="K1032" s="1618"/>
      <c r="L1032" s="1618"/>
      <c r="M1032" s="1618"/>
      <c r="N1032" s="1618"/>
      <c r="O1032" s="1618"/>
      <c r="P1032" s="1618"/>
      <c r="Q1032" s="1618"/>
      <c r="R1032" s="1618"/>
      <c r="S1032" s="1618"/>
      <c r="T1032" s="1618">
        <f t="shared" si="333"/>
        <v>0</v>
      </c>
      <c r="U1032" s="1616"/>
      <c r="V1032" s="1618">
        <f t="shared" si="334"/>
        <v>0</v>
      </c>
      <c r="W1032" s="1619">
        <f t="shared" si="332"/>
        <v>0</v>
      </c>
      <c r="X1032" s="1618">
        <f t="shared" si="336"/>
        <v>0</v>
      </c>
      <c r="Y1032" s="1619">
        <f t="shared" si="335"/>
        <v>0</v>
      </c>
      <c r="Z1032" s="1618">
        <f t="shared" si="340"/>
        <v>0</v>
      </c>
      <c r="AA1032" s="675"/>
      <c r="AB1032" s="674"/>
    </row>
    <row r="1033" spans="1:28" s="301" customFormat="1" ht="45">
      <c r="A1033" s="1729"/>
      <c r="B1033" s="1744" t="s">
        <v>2322</v>
      </c>
      <c r="C1033" s="1731">
        <f>Elec.Data!K3695</f>
        <v>89.94</v>
      </c>
      <c r="D1033" s="1732"/>
      <c r="E1033" s="1733"/>
      <c r="F1033" s="1626">
        <f t="shared" si="337"/>
        <v>0</v>
      </c>
      <c r="G1033" s="1616"/>
      <c r="H1033" s="1618">
        <f t="shared" si="338"/>
        <v>0</v>
      </c>
      <c r="I1033" s="1616"/>
      <c r="J1033" s="1618">
        <f t="shared" si="339"/>
        <v>0</v>
      </c>
      <c r="K1033" s="1618"/>
      <c r="L1033" s="1618"/>
      <c r="M1033" s="1618"/>
      <c r="N1033" s="1618"/>
      <c r="O1033" s="1618"/>
      <c r="P1033" s="1618"/>
      <c r="Q1033" s="1618"/>
      <c r="R1033" s="1618"/>
      <c r="S1033" s="1618"/>
      <c r="T1033" s="1618">
        <f t="shared" si="333"/>
        <v>0</v>
      </c>
      <c r="U1033" s="1616"/>
      <c r="V1033" s="1618">
        <f t="shared" si="334"/>
        <v>0</v>
      </c>
      <c r="W1033" s="1619">
        <f t="shared" si="332"/>
        <v>0</v>
      </c>
      <c r="X1033" s="1618">
        <f t="shared" si="336"/>
        <v>0</v>
      </c>
      <c r="Y1033" s="1619">
        <f t="shared" si="335"/>
        <v>0</v>
      </c>
      <c r="Z1033" s="1618">
        <f t="shared" si="340"/>
        <v>0</v>
      </c>
      <c r="AA1033" s="675"/>
      <c r="AB1033" s="674"/>
    </row>
    <row r="1034" spans="1:28" s="301" customFormat="1">
      <c r="A1034" s="1729"/>
      <c r="B1034" s="1744" t="s">
        <v>2661</v>
      </c>
      <c r="C1034" s="1731">
        <f>Elec.Data!K3702</f>
        <v>54</v>
      </c>
      <c r="D1034" s="1732"/>
      <c r="E1034" s="1733"/>
      <c r="F1034" s="1626">
        <f t="shared" si="337"/>
        <v>0</v>
      </c>
      <c r="G1034" s="1616"/>
      <c r="H1034" s="1618">
        <f t="shared" si="338"/>
        <v>0</v>
      </c>
      <c r="I1034" s="1616"/>
      <c r="J1034" s="1618">
        <f t="shared" si="339"/>
        <v>0</v>
      </c>
      <c r="K1034" s="1618"/>
      <c r="L1034" s="1618"/>
      <c r="M1034" s="1618"/>
      <c r="N1034" s="1618"/>
      <c r="O1034" s="1618"/>
      <c r="P1034" s="1618"/>
      <c r="Q1034" s="1618"/>
      <c r="R1034" s="1618"/>
      <c r="S1034" s="1618"/>
      <c r="T1034" s="1618">
        <f t="shared" si="333"/>
        <v>0</v>
      </c>
      <c r="U1034" s="1616"/>
      <c r="V1034" s="1618">
        <f t="shared" si="334"/>
        <v>0</v>
      </c>
      <c r="W1034" s="1619">
        <f t="shared" si="332"/>
        <v>0</v>
      </c>
      <c r="X1034" s="1618">
        <f t="shared" si="336"/>
        <v>0</v>
      </c>
      <c r="Y1034" s="1619">
        <f t="shared" si="335"/>
        <v>0</v>
      </c>
      <c r="Z1034" s="1618">
        <f t="shared" si="340"/>
        <v>0</v>
      </c>
      <c r="AA1034" s="675"/>
      <c r="AB1034" s="674"/>
    </row>
    <row r="1035" spans="1:28" s="301" customFormat="1" ht="67.5">
      <c r="A1035" s="1729"/>
      <c r="B1035" s="1744" t="s">
        <v>2323</v>
      </c>
      <c r="C1035" s="1731">
        <f>Elec.Data!K3727</f>
        <v>6840.4</v>
      </c>
      <c r="D1035" s="1732"/>
      <c r="E1035" s="1733"/>
      <c r="F1035" s="1626">
        <f t="shared" si="337"/>
        <v>0</v>
      </c>
      <c r="G1035" s="1616"/>
      <c r="H1035" s="1618">
        <f t="shared" si="338"/>
        <v>0</v>
      </c>
      <c r="I1035" s="1616"/>
      <c r="J1035" s="1618">
        <f t="shared" si="339"/>
        <v>0</v>
      </c>
      <c r="K1035" s="1618"/>
      <c r="L1035" s="1618"/>
      <c r="M1035" s="1618"/>
      <c r="N1035" s="1618"/>
      <c r="O1035" s="1618"/>
      <c r="P1035" s="1618"/>
      <c r="Q1035" s="1618"/>
      <c r="R1035" s="1618"/>
      <c r="S1035" s="1618"/>
      <c r="T1035" s="1618">
        <f t="shared" si="333"/>
        <v>0</v>
      </c>
      <c r="U1035" s="1616"/>
      <c r="V1035" s="1618">
        <f t="shared" si="334"/>
        <v>0</v>
      </c>
      <c r="W1035" s="1619">
        <f t="shared" si="332"/>
        <v>0</v>
      </c>
      <c r="X1035" s="1618">
        <f t="shared" si="336"/>
        <v>0</v>
      </c>
      <c r="Y1035" s="1619">
        <f t="shared" si="335"/>
        <v>0</v>
      </c>
      <c r="Z1035" s="1618">
        <f t="shared" si="340"/>
        <v>0</v>
      </c>
      <c r="AA1035" s="675"/>
      <c r="AB1035" s="674"/>
    </row>
    <row r="1036" spans="1:28" s="301" customFormat="1">
      <c r="A1036" s="1729"/>
      <c r="B1036" s="1744" t="s">
        <v>2464</v>
      </c>
      <c r="C1036" s="1731">
        <f>Elec.Data!K3774</f>
        <v>582.49</v>
      </c>
      <c r="D1036" s="1732"/>
      <c r="E1036" s="1733"/>
      <c r="F1036" s="1626">
        <f t="shared" si="337"/>
        <v>0</v>
      </c>
      <c r="G1036" s="1616"/>
      <c r="H1036" s="1618">
        <f t="shared" si="338"/>
        <v>0</v>
      </c>
      <c r="I1036" s="1616"/>
      <c r="J1036" s="1618">
        <f t="shared" si="339"/>
        <v>0</v>
      </c>
      <c r="K1036" s="1618"/>
      <c r="L1036" s="1618"/>
      <c r="M1036" s="1618"/>
      <c r="N1036" s="1618"/>
      <c r="O1036" s="1618"/>
      <c r="P1036" s="1618"/>
      <c r="Q1036" s="1618"/>
      <c r="R1036" s="1618"/>
      <c r="S1036" s="1618"/>
      <c r="T1036" s="1618">
        <f t="shared" si="333"/>
        <v>0</v>
      </c>
      <c r="U1036" s="1616"/>
      <c r="V1036" s="1618">
        <f t="shared" si="334"/>
        <v>0</v>
      </c>
      <c r="W1036" s="1619">
        <f t="shared" si="332"/>
        <v>0</v>
      </c>
      <c r="X1036" s="1618">
        <f t="shared" si="336"/>
        <v>0</v>
      </c>
      <c r="Y1036" s="1619">
        <f t="shared" si="335"/>
        <v>0</v>
      </c>
      <c r="Z1036" s="1618">
        <f t="shared" si="340"/>
        <v>0</v>
      </c>
      <c r="AA1036" s="675"/>
      <c r="AB1036" s="674"/>
    </row>
    <row r="1037" spans="1:28" s="301" customFormat="1" ht="45">
      <c r="A1037" s="1729"/>
      <c r="B1037" s="1745" t="s">
        <v>6405</v>
      </c>
      <c r="C1037" s="1731">
        <f>Elec.Data!K3824</f>
        <v>830.01</v>
      </c>
      <c r="D1037" s="1732"/>
      <c r="E1037" s="1733"/>
      <c r="F1037" s="1626">
        <f t="shared" si="337"/>
        <v>0</v>
      </c>
      <c r="G1037" s="1616"/>
      <c r="H1037" s="1618">
        <f t="shared" si="338"/>
        <v>0</v>
      </c>
      <c r="I1037" s="1616"/>
      <c r="J1037" s="1618">
        <f t="shared" si="339"/>
        <v>0</v>
      </c>
      <c r="K1037" s="1618"/>
      <c r="L1037" s="1618"/>
      <c r="M1037" s="1618"/>
      <c r="N1037" s="1618"/>
      <c r="O1037" s="1618"/>
      <c r="P1037" s="1618"/>
      <c r="Q1037" s="1618"/>
      <c r="R1037" s="1618"/>
      <c r="S1037" s="1618"/>
      <c r="T1037" s="1618">
        <f t="shared" si="333"/>
        <v>0</v>
      </c>
      <c r="U1037" s="1616"/>
      <c r="V1037" s="1618">
        <f t="shared" si="334"/>
        <v>0</v>
      </c>
      <c r="W1037" s="1619">
        <f t="shared" si="332"/>
        <v>0</v>
      </c>
      <c r="X1037" s="1618">
        <f t="shared" si="336"/>
        <v>0</v>
      </c>
      <c r="Y1037" s="1619">
        <f t="shared" si="335"/>
        <v>0</v>
      </c>
      <c r="Z1037" s="1618">
        <f t="shared" si="340"/>
        <v>0</v>
      </c>
      <c r="AA1037" s="675"/>
      <c r="AB1037" s="674"/>
    </row>
    <row r="1038" spans="1:28" s="301" customFormat="1" ht="45">
      <c r="A1038" s="1729"/>
      <c r="B1038" s="1744" t="s">
        <v>6406</v>
      </c>
      <c r="C1038" s="1731">
        <f>Elec.Data!K3850</f>
        <v>833.16</v>
      </c>
      <c r="D1038" s="1732"/>
      <c r="E1038" s="1733"/>
      <c r="F1038" s="1626">
        <f t="shared" si="337"/>
        <v>0</v>
      </c>
      <c r="G1038" s="1616"/>
      <c r="H1038" s="1618">
        <f t="shared" si="338"/>
        <v>0</v>
      </c>
      <c r="I1038" s="1616"/>
      <c r="J1038" s="1618">
        <f t="shared" si="339"/>
        <v>0</v>
      </c>
      <c r="K1038" s="1618"/>
      <c r="L1038" s="1618"/>
      <c r="M1038" s="1618"/>
      <c r="N1038" s="1618"/>
      <c r="O1038" s="1618"/>
      <c r="P1038" s="1618"/>
      <c r="Q1038" s="1618"/>
      <c r="R1038" s="1618"/>
      <c r="S1038" s="1618"/>
      <c r="T1038" s="1618">
        <f t="shared" si="333"/>
        <v>0</v>
      </c>
      <c r="U1038" s="1616"/>
      <c r="V1038" s="1618">
        <f t="shared" si="334"/>
        <v>0</v>
      </c>
      <c r="W1038" s="1619">
        <f t="shared" si="332"/>
        <v>0</v>
      </c>
      <c r="X1038" s="1618">
        <f t="shared" si="336"/>
        <v>0</v>
      </c>
      <c r="Y1038" s="1619">
        <f t="shared" si="335"/>
        <v>0</v>
      </c>
      <c r="Z1038" s="1618">
        <f t="shared" si="340"/>
        <v>0</v>
      </c>
      <c r="AA1038" s="675"/>
      <c r="AB1038" s="674"/>
    </row>
    <row r="1039" spans="1:28" s="301" customFormat="1" ht="67.5">
      <c r="A1039" s="1729"/>
      <c r="B1039" s="1745" t="s">
        <v>6407</v>
      </c>
      <c r="C1039" s="1731">
        <f>Elec.Data!K3866</f>
        <v>871.29</v>
      </c>
      <c r="D1039" s="1732"/>
      <c r="E1039" s="1733"/>
      <c r="F1039" s="1626">
        <f t="shared" si="337"/>
        <v>0</v>
      </c>
      <c r="G1039" s="1616"/>
      <c r="H1039" s="1618">
        <f t="shared" si="338"/>
        <v>0</v>
      </c>
      <c r="I1039" s="1616"/>
      <c r="J1039" s="1618">
        <f t="shared" si="339"/>
        <v>0</v>
      </c>
      <c r="K1039" s="1618"/>
      <c r="L1039" s="1618"/>
      <c r="M1039" s="1618"/>
      <c r="N1039" s="1618"/>
      <c r="O1039" s="1618"/>
      <c r="P1039" s="1618"/>
      <c r="Q1039" s="1618"/>
      <c r="R1039" s="1618"/>
      <c r="S1039" s="1618"/>
      <c r="T1039" s="1618">
        <f t="shared" si="333"/>
        <v>0</v>
      </c>
      <c r="U1039" s="1616"/>
      <c r="V1039" s="1618">
        <f t="shared" si="334"/>
        <v>0</v>
      </c>
      <c r="W1039" s="1619">
        <f t="shared" si="332"/>
        <v>0</v>
      </c>
      <c r="X1039" s="1618">
        <f t="shared" si="336"/>
        <v>0</v>
      </c>
      <c r="Y1039" s="1619">
        <f t="shared" si="335"/>
        <v>0</v>
      </c>
      <c r="Z1039" s="1618">
        <f t="shared" si="340"/>
        <v>0</v>
      </c>
      <c r="AA1039" s="675"/>
      <c r="AB1039" s="674"/>
    </row>
    <row r="1040" spans="1:28" s="301" customFormat="1" ht="45">
      <c r="A1040" s="1729"/>
      <c r="B1040" s="1745" t="s">
        <v>6408</v>
      </c>
      <c r="C1040" s="1731">
        <f>Elec.Data!K3888</f>
        <v>917.36</v>
      </c>
      <c r="D1040" s="1732"/>
      <c r="E1040" s="1733"/>
      <c r="F1040" s="1626">
        <f t="shared" si="337"/>
        <v>0</v>
      </c>
      <c r="G1040" s="1616"/>
      <c r="H1040" s="1618">
        <f t="shared" si="338"/>
        <v>0</v>
      </c>
      <c r="I1040" s="1616"/>
      <c r="J1040" s="1618">
        <f t="shared" si="339"/>
        <v>0</v>
      </c>
      <c r="K1040" s="1618"/>
      <c r="L1040" s="1618"/>
      <c r="M1040" s="1618"/>
      <c r="N1040" s="1618"/>
      <c r="O1040" s="1618"/>
      <c r="P1040" s="1618"/>
      <c r="Q1040" s="1618"/>
      <c r="R1040" s="1618"/>
      <c r="S1040" s="1618"/>
      <c r="T1040" s="1618">
        <f t="shared" si="333"/>
        <v>0</v>
      </c>
      <c r="U1040" s="1616"/>
      <c r="V1040" s="1618">
        <f t="shared" si="334"/>
        <v>0</v>
      </c>
      <c r="W1040" s="1619">
        <f t="shared" si="332"/>
        <v>0</v>
      </c>
      <c r="X1040" s="1618">
        <f t="shared" si="336"/>
        <v>0</v>
      </c>
      <c r="Y1040" s="1619">
        <f t="shared" si="335"/>
        <v>0</v>
      </c>
      <c r="Z1040" s="1618">
        <f t="shared" si="340"/>
        <v>0</v>
      </c>
      <c r="AA1040" s="675"/>
      <c r="AB1040" s="674"/>
    </row>
    <row r="1041" spans="1:28" s="301" customFormat="1" ht="67.5">
      <c r="A1041" s="1729"/>
      <c r="B1041" s="1745" t="s">
        <v>6409</v>
      </c>
      <c r="C1041" s="1731">
        <f>Elec.Data!K3908</f>
        <v>1963.89</v>
      </c>
      <c r="D1041" s="1732"/>
      <c r="E1041" s="1733"/>
      <c r="F1041" s="1626">
        <f t="shared" si="337"/>
        <v>0</v>
      </c>
      <c r="G1041" s="1733"/>
      <c r="H1041" s="1618">
        <f t="shared" si="338"/>
        <v>0</v>
      </c>
      <c r="I1041" s="1616"/>
      <c r="J1041" s="1618">
        <f t="shared" si="339"/>
        <v>0</v>
      </c>
      <c r="K1041" s="1618"/>
      <c r="L1041" s="1618"/>
      <c r="M1041" s="1618"/>
      <c r="N1041" s="1618"/>
      <c r="O1041" s="1618"/>
      <c r="P1041" s="1618"/>
      <c r="Q1041" s="1618"/>
      <c r="R1041" s="1618"/>
      <c r="S1041" s="1618"/>
      <c r="T1041" s="1618">
        <f t="shared" si="333"/>
        <v>0</v>
      </c>
      <c r="U1041" s="1616"/>
      <c r="V1041" s="1618">
        <f t="shared" si="334"/>
        <v>0</v>
      </c>
      <c r="W1041" s="1619">
        <f t="shared" si="332"/>
        <v>0</v>
      </c>
      <c r="X1041" s="1618">
        <f t="shared" si="336"/>
        <v>0</v>
      </c>
      <c r="Y1041" s="1619">
        <f t="shared" si="335"/>
        <v>0</v>
      </c>
      <c r="Z1041" s="1618">
        <f t="shared" si="340"/>
        <v>0</v>
      </c>
      <c r="AA1041" s="675"/>
      <c r="AB1041" s="674"/>
    </row>
    <row r="1042" spans="1:28" s="301" customFormat="1" ht="45">
      <c r="A1042" s="1729"/>
      <c r="B1042" s="1745" t="s">
        <v>6410</v>
      </c>
      <c r="C1042" s="1731">
        <f>Elec.Data!K3927</f>
        <v>638.45000000000005</v>
      </c>
      <c r="D1042" s="1732"/>
      <c r="E1042" s="1733"/>
      <c r="F1042" s="1626">
        <f t="shared" si="337"/>
        <v>0</v>
      </c>
      <c r="G1042" s="1733"/>
      <c r="H1042" s="1618">
        <f t="shared" si="338"/>
        <v>0</v>
      </c>
      <c r="I1042" s="1616"/>
      <c r="J1042" s="1618">
        <f t="shared" si="339"/>
        <v>0</v>
      </c>
      <c r="K1042" s="1618"/>
      <c r="L1042" s="1618"/>
      <c r="M1042" s="1618"/>
      <c r="N1042" s="1618"/>
      <c r="O1042" s="1618"/>
      <c r="P1042" s="1618"/>
      <c r="Q1042" s="1618"/>
      <c r="R1042" s="1618"/>
      <c r="S1042" s="1618"/>
      <c r="T1042" s="1618">
        <f t="shared" si="333"/>
        <v>0</v>
      </c>
      <c r="U1042" s="1616"/>
      <c r="V1042" s="1618">
        <f t="shared" si="334"/>
        <v>0</v>
      </c>
      <c r="W1042" s="1619">
        <f t="shared" si="332"/>
        <v>0</v>
      </c>
      <c r="X1042" s="1618">
        <f t="shared" si="336"/>
        <v>0</v>
      </c>
      <c r="Y1042" s="1619">
        <f t="shared" si="335"/>
        <v>0</v>
      </c>
      <c r="Z1042" s="1618">
        <f t="shared" si="340"/>
        <v>0</v>
      </c>
      <c r="AA1042" s="675"/>
      <c r="AB1042" s="674"/>
    </row>
    <row r="1043" spans="1:28" s="301" customFormat="1" ht="45">
      <c r="A1043" s="1729"/>
      <c r="B1043" s="1745" t="s">
        <v>6411</v>
      </c>
      <c r="C1043" s="1731">
        <f>Elec.Data!K3951</f>
        <v>119.23</v>
      </c>
      <c r="D1043" s="1732"/>
      <c r="E1043" s="1733"/>
      <c r="F1043" s="1626">
        <f t="shared" si="337"/>
        <v>0</v>
      </c>
      <c r="G1043" s="1733"/>
      <c r="H1043" s="1618">
        <f t="shared" si="338"/>
        <v>0</v>
      </c>
      <c r="I1043" s="1616"/>
      <c r="J1043" s="1618">
        <f t="shared" si="339"/>
        <v>0</v>
      </c>
      <c r="K1043" s="1618"/>
      <c r="L1043" s="1618"/>
      <c r="M1043" s="1618"/>
      <c r="N1043" s="1618"/>
      <c r="O1043" s="1618"/>
      <c r="P1043" s="1618"/>
      <c r="Q1043" s="1618"/>
      <c r="R1043" s="1618"/>
      <c r="S1043" s="1618"/>
      <c r="T1043" s="1618">
        <f t="shared" si="333"/>
        <v>0</v>
      </c>
      <c r="U1043" s="1616"/>
      <c r="V1043" s="1618">
        <f t="shared" si="334"/>
        <v>0</v>
      </c>
      <c r="W1043" s="1619">
        <f t="shared" si="332"/>
        <v>0</v>
      </c>
      <c r="X1043" s="1618">
        <f t="shared" si="336"/>
        <v>0</v>
      </c>
      <c r="Y1043" s="1619">
        <f t="shared" si="335"/>
        <v>0</v>
      </c>
      <c r="Z1043" s="1618">
        <f t="shared" si="340"/>
        <v>0</v>
      </c>
      <c r="AA1043" s="675"/>
      <c r="AB1043" s="674"/>
    </row>
    <row r="1044" spans="1:28" s="301" customFormat="1" ht="45">
      <c r="A1044" s="1729"/>
      <c r="B1044" s="1744" t="s">
        <v>6412</v>
      </c>
      <c r="C1044" s="1731">
        <f>Elec.Data!K3962</f>
        <v>136.43</v>
      </c>
      <c r="D1044" s="1732"/>
      <c r="E1044" s="1733"/>
      <c r="F1044" s="1626">
        <f t="shared" si="337"/>
        <v>0</v>
      </c>
      <c r="G1044" s="1733"/>
      <c r="H1044" s="1618">
        <f t="shared" si="338"/>
        <v>0</v>
      </c>
      <c r="I1044" s="1616"/>
      <c r="J1044" s="1618">
        <f t="shared" si="339"/>
        <v>0</v>
      </c>
      <c r="K1044" s="1618"/>
      <c r="L1044" s="1618"/>
      <c r="M1044" s="1618"/>
      <c r="N1044" s="1618"/>
      <c r="O1044" s="1618"/>
      <c r="P1044" s="1618"/>
      <c r="Q1044" s="1618"/>
      <c r="R1044" s="1618"/>
      <c r="S1044" s="1618"/>
      <c r="T1044" s="1618">
        <f t="shared" si="333"/>
        <v>0</v>
      </c>
      <c r="U1044" s="1616"/>
      <c r="V1044" s="1618">
        <f t="shared" si="334"/>
        <v>0</v>
      </c>
      <c r="W1044" s="1619">
        <f t="shared" si="332"/>
        <v>0</v>
      </c>
      <c r="X1044" s="1618">
        <f t="shared" si="336"/>
        <v>0</v>
      </c>
      <c r="Y1044" s="1619">
        <f t="shared" si="335"/>
        <v>0</v>
      </c>
      <c r="Z1044" s="1618">
        <f t="shared" si="340"/>
        <v>0</v>
      </c>
      <c r="AA1044" s="675"/>
      <c r="AB1044" s="674"/>
    </row>
    <row r="1045" spans="1:28" s="301" customFormat="1">
      <c r="A1045" s="1729"/>
      <c r="B1045" s="1744" t="s">
        <v>2939</v>
      </c>
      <c r="C1045" s="1731">
        <f>Data!R381</f>
        <v>19.96</v>
      </c>
      <c r="D1045" s="1732"/>
      <c r="E1045" s="1733"/>
      <c r="F1045" s="1626">
        <f t="shared" si="337"/>
        <v>0</v>
      </c>
      <c r="G1045" s="1733"/>
      <c r="H1045" s="1618">
        <f t="shared" si="338"/>
        <v>0</v>
      </c>
      <c r="I1045" s="1616"/>
      <c r="J1045" s="1618">
        <f t="shared" si="339"/>
        <v>0</v>
      </c>
      <c r="K1045" s="1618"/>
      <c r="L1045" s="1618"/>
      <c r="M1045" s="1618"/>
      <c r="N1045" s="1618"/>
      <c r="O1045" s="1618"/>
      <c r="P1045" s="1618"/>
      <c r="Q1045" s="1618"/>
      <c r="R1045" s="1618"/>
      <c r="S1045" s="1618"/>
      <c r="T1045" s="1618">
        <f t="shared" si="333"/>
        <v>0</v>
      </c>
      <c r="U1045" s="1616"/>
      <c r="V1045" s="1618">
        <f t="shared" si="334"/>
        <v>0</v>
      </c>
      <c r="W1045" s="1619">
        <f t="shared" si="332"/>
        <v>0</v>
      </c>
      <c r="X1045" s="1618">
        <f t="shared" si="336"/>
        <v>0</v>
      </c>
      <c r="Y1045" s="1619">
        <f t="shared" si="335"/>
        <v>0</v>
      </c>
      <c r="Z1045" s="1618">
        <f t="shared" si="340"/>
        <v>0</v>
      </c>
      <c r="AA1045" s="675"/>
      <c r="AB1045" s="674"/>
    </row>
    <row r="1046" spans="1:28" s="301" customFormat="1">
      <c r="A1046" s="1729"/>
      <c r="B1046" s="1744" t="s">
        <v>557</v>
      </c>
      <c r="C1046" s="1731">
        <f>C1045+C1048</f>
        <v>23.79</v>
      </c>
      <c r="D1046" s="1732"/>
      <c r="E1046" s="1733"/>
      <c r="F1046" s="1626">
        <f t="shared" si="337"/>
        <v>0</v>
      </c>
      <c r="G1046" s="1733"/>
      <c r="H1046" s="1618">
        <f t="shared" si="338"/>
        <v>0</v>
      </c>
      <c r="I1046" s="1616"/>
      <c r="J1046" s="1618">
        <f t="shared" si="339"/>
        <v>0</v>
      </c>
      <c r="K1046" s="1618"/>
      <c r="L1046" s="1618"/>
      <c r="M1046" s="1618"/>
      <c r="N1046" s="1618"/>
      <c r="O1046" s="1618"/>
      <c r="P1046" s="1618"/>
      <c r="Q1046" s="1618"/>
      <c r="R1046" s="1618"/>
      <c r="S1046" s="1618"/>
      <c r="T1046" s="1618">
        <f t="shared" si="333"/>
        <v>0</v>
      </c>
      <c r="U1046" s="1616"/>
      <c r="V1046" s="1618">
        <f t="shared" si="334"/>
        <v>0</v>
      </c>
      <c r="W1046" s="1619">
        <f t="shared" si="332"/>
        <v>0</v>
      </c>
      <c r="X1046" s="1618">
        <f t="shared" si="336"/>
        <v>0</v>
      </c>
      <c r="Y1046" s="1619">
        <f t="shared" si="335"/>
        <v>0</v>
      </c>
      <c r="Z1046" s="1618">
        <f t="shared" si="340"/>
        <v>0</v>
      </c>
      <c r="AA1046" s="675"/>
      <c r="AB1046" s="674"/>
    </row>
    <row r="1047" spans="1:28" s="301" customFormat="1">
      <c r="A1047" s="1729"/>
      <c r="B1047" s="1744" t="s">
        <v>2934</v>
      </c>
      <c r="C1047" s="1731">
        <f>Data!R395</f>
        <v>29.07</v>
      </c>
      <c r="D1047" s="1732"/>
      <c r="E1047" s="1733"/>
      <c r="F1047" s="1626">
        <f t="shared" si="337"/>
        <v>0</v>
      </c>
      <c r="G1047" s="1733"/>
      <c r="H1047" s="1618">
        <f t="shared" si="338"/>
        <v>0</v>
      </c>
      <c r="I1047" s="1616"/>
      <c r="J1047" s="1618">
        <f t="shared" si="339"/>
        <v>0</v>
      </c>
      <c r="K1047" s="1618"/>
      <c r="L1047" s="1618"/>
      <c r="M1047" s="1618"/>
      <c r="N1047" s="1618"/>
      <c r="O1047" s="1618"/>
      <c r="P1047" s="1618"/>
      <c r="Q1047" s="1618"/>
      <c r="R1047" s="1618"/>
      <c r="S1047" s="1618"/>
      <c r="T1047" s="1618">
        <f t="shared" si="333"/>
        <v>0</v>
      </c>
      <c r="U1047" s="1616"/>
      <c r="V1047" s="1618">
        <f t="shared" si="334"/>
        <v>0</v>
      </c>
      <c r="W1047" s="1619">
        <f t="shared" si="332"/>
        <v>0</v>
      </c>
      <c r="X1047" s="1618">
        <f t="shared" si="336"/>
        <v>0</v>
      </c>
      <c r="Y1047" s="1619">
        <f t="shared" si="335"/>
        <v>0</v>
      </c>
      <c r="Z1047" s="1618">
        <f t="shared" si="340"/>
        <v>0</v>
      </c>
      <c r="AA1047" s="675"/>
      <c r="AB1047" s="674"/>
    </row>
    <row r="1048" spans="1:28" s="301" customFormat="1">
      <c r="A1048" s="1729"/>
      <c r="B1048" s="1744" t="s">
        <v>2940</v>
      </c>
      <c r="C1048" s="1731">
        <f>Data!I3169</f>
        <v>3.83</v>
      </c>
      <c r="D1048" s="1732"/>
      <c r="E1048" s="1733"/>
      <c r="F1048" s="1626">
        <f t="shared" si="337"/>
        <v>0</v>
      </c>
      <c r="G1048" s="1733"/>
      <c r="H1048" s="1618">
        <f t="shared" si="338"/>
        <v>0</v>
      </c>
      <c r="I1048" s="1616"/>
      <c r="J1048" s="1618">
        <f t="shared" si="339"/>
        <v>0</v>
      </c>
      <c r="K1048" s="1618"/>
      <c r="L1048" s="1618"/>
      <c r="M1048" s="1618"/>
      <c r="N1048" s="1618"/>
      <c r="O1048" s="1618"/>
      <c r="P1048" s="1618"/>
      <c r="Q1048" s="1618"/>
      <c r="R1048" s="1618"/>
      <c r="S1048" s="1618"/>
      <c r="T1048" s="1618">
        <f t="shared" si="333"/>
        <v>0</v>
      </c>
      <c r="U1048" s="1616"/>
      <c r="V1048" s="1618">
        <f t="shared" si="334"/>
        <v>0</v>
      </c>
      <c r="W1048" s="1619">
        <f t="shared" si="332"/>
        <v>0</v>
      </c>
      <c r="X1048" s="1618">
        <f t="shared" si="336"/>
        <v>0</v>
      </c>
      <c r="Y1048" s="1619">
        <f t="shared" si="335"/>
        <v>0</v>
      </c>
      <c r="Z1048" s="1618">
        <f t="shared" si="340"/>
        <v>0</v>
      </c>
      <c r="AA1048" s="675"/>
      <c r="AB1048" s="674"/>
    </row>
    <row r="1049" spans="1:28" s="301" customFormat="1">
      <c r="A1049" s="1729"/>
      <c r="B1049" s="1744" t="s">
        <v>2941</v>
      </c>
      <c r="C1049" s="1731">
        <f>Data!I3195</f>
        <v>8.3000000000000007</v>
      </c>
      <c r="D1049" s="1732"/>
      <c r="E1049" s="1733"/>
      <c r="F1049" s="1626">
        <f t="shared" si="337"/>
        <v>0</v>
      </c>
      <c r="G1049" s="1733"/>
      <c r="H1049" s="1618">
        <f t="shared" si="338"/>
        <v>0</v>
      </c>
      <c r="I1049" s="1616"/>
      <c r="J1049" s="1618">
        <f t="shared" si="339"/>
        <v>0</v>
      </c>
      <c r="K1049" s="1618"/>
      <c r="L1049" s="1618"/>
      <c r="M1049" s="1618"/>
      <c r="N1049" s="1618"/>
      <c r="O1049" s="1618"/>
      <c r="P1049" s="1618"/>
      <c r="Q1049" s="1618"/>
      <c r="R1049" s="1618"/>
      <c r="S1049" s="1618"/>
      <c r="T1049" s="1618">
        <f t="shared" si="333"/>
        <v>0</v>
      </c>
      <c r="U1049" s="1616"/>
      <c r="V1049" s="1618">
        <f t="shared" si="334"/>
        <v>0</v>
      </c>
      <c r="W1049" s="1619">
        <f t="shared" si="332"/>
        <v>0</v>
      </c>
      <c r="X1049" s="1618">
        <f t="shared" si="336"/>
        <v>0</v>
      </c>
      <c r="Y1049" s="1619">
        <f t="shared" si="335"/>
        <v>0</v>
      </c>
      <c r="Z1049" s="1618">
        <f t="shared" si="340"/>
        <v>0</v>
      </c>
      <c r="AA1049" s="675"/>
      <c r="AB1049" s="674"/>
    </row>
    <row r="1050" spans="1:28" s="301" customFormat="1">
      <c r="A1050" s="1729"/>
      <c r="B1050" s="1744" t="s">
        <v>2942</v>
      </c>
      <c r="C1050" s="1731">
        <f>Data!I3209</f>
        <v>8.93</v>
      </c>
      <c r="D1050" s="1732"/>
      <c r="E1050" s="1733"/>
      <c r="F1050" s="1626">
        <f t="shared" si="337"/>
        <v>0</v>
      </c>
      <c r="G1050" s="1733"/>
      <c r="H1050" s="1618">
        <f t="shared" si="338"/>
        <v>0</v>
      </c>
      <c r="I1050" s="1616"/>
      <c r="J1050" s="1618">
        <f t="shared" si="339"/>
        <v>0</v>
      </c>
      <c r="K1050" s="1618"/>
      <c r="L1050" s="1618"/>
      <c r="M1050" s="1618"/>
      <c r="N1050" s="1618"/>
      <c r="O1050" s="1618"/>
      <c r="P1050" s="1618"/>
      <c r="Q1050" s="1618"/>
      <c r="R1050" s="1618"/>
      <c r="S1050" s="1618"/>
      <c r="T1050" s="1618">
        <f t="shared" si="333"/>
        <v>0</v>
      </c>
      <c r="U1050" s="1616"/>
      <c r="V1050" s="1618">
        <f t="shared" si="334"/>
        <v>0</v>
      </c>
      <c r="W1050" s="1619">
        <f t="shared" si="332"/>
        <v>0</v>
      </c>
      <c r="X1050" s="1618">
        <f t="shared" si="336"/>
        <v>0</v>
      </c>
      <c r="Y1050" s="1619">
        <f t="shared" si="335"/>
        <v>0</v>
      </c>
      <c r="Z1050" s="1618">
        <f t="shared" si="340"/>
        <v>0</v>
      </c>
      <c r="AA1050" s="675"/>
      <c r="AB1050" s="674"/>
    </row>
    <row r="1051" spans="1:28" s="301" customFormat="1">
      <c r="A1051" s="1729"/>
      <c r="B1051" s="1744" t="s">
        <v>2932</v>
      </c>
      <c r="C1051" s="1731">
        <f>Data!K3185</f>
        <v>62.57</v>
      </c>
      <c r="D1051" s="1732"/>
      <c r="E1051" s="1733"/>
      <c r="F1051" s="1626">
        <f t="shared" si="337"/>
        <v>0</v>
      </c>
      <c r="G1051" s="1733"/>
      <c r="H1051" s="1618">
        <f t="shared" si="338"/>
        <v>0</v>
      </c>
      <c r="I1051" s="1616"/>
      <c r="J1051" s="1618">
        <f t="shared" si="339"/>
        <v>0</v>
      </c>
      <c r="K1051" s="1618"/>
      <c r="L1051" s="1618"/>
      <c r="M1051" s="1618"/>
      <c r="N1051" s="1618"/>
      <c r="O1051" s="1618"/>
      <c r="P1051" s="1618"/>
      <c r="Q1051" s="1618"/>
      <c r="R1051" s="1618"/>
      <c r="S1051" s="1618"/>
      <c r="T1051" s="1618">
        <f t="shared" si="333"/>
        <v>0</v>
      </c>
      <c r="U1051" s="1616"/>
      <c r="V1051" s="1618">
        <f t="shared" si="334"/>
        <v>0</v>
      </c>
      <c r="W1051" s="1619">
        <f t="shared" si="332"/>
        <v>0</v>
      </c>
      <c r="X1051" s="1618">
        <f t="shared" si="336"/>
        <v>0</v>
      </c>
      <c r="Y1051" s="1619">
        <f t="shared" si="335"/>
        <v>0</v>
      </c>
      <c r="Z1051" s="1618">
        <f t="shared" si="340"/>
        <v>0</v>
      </c>
      <c r="AA1051" s="675"/>
      <c r="AB1051" s="674"/>
    </row>
    <row r="1052" spans="1:28" s="301" customFormat="1">
      <c r="A1052" s="1729"/>
      <c r="B1052" s="1744" t="s">
        <v>2933</v>
      </c>
      <c r="C1052" s="1731">
        <f>Data!K3172</f>
        <v>119.34</v>
      </c>
      <c r="D1052" s="1732"/>
      <c r="E1052" s="1733"/>
      <c r="F1052" s="1626">
        <f t="shared" si="337"/>
        <v>0</v>
      </c>
      <c r="G1052" s="1733"/>
      <c r="H1052" s="1618">
        <f t="shared" si="338"/>
        <v>0</v>
      </c>
      <c r="I1052" s="1616"/>
      <c r="J1052" s="1618">
        <f t="shared" si="339"/>
        <v>0</v>
      </c>
      <c r="K1052" s="1618"/>
      <c r="L1052" s="1618"/>
      <c r="M1052" s="1618"/>
      <c r="N1052" s="1618"/>
      <c r="O1052" s="1618"/>
      <c r="P1052" s="1618"/>
      <c r="Q1052" s="1618"/>
      <c r="R1052" s="1618"/>
      <c r="S1052" s="1618"/>
      <c r="T1052" s="1618">
        <f t="shared" si="333"/>
        <v>0</v>
      </c>
      <c r="U1052" s="1616"/>
      <c r="V1052" s="1618">
        <f t="shared" si="334"/>
        <v>0</v>
      </c>
      <c r="W1052" s="1619">
        <f t="shared" si="332"/>
        <v>0</v>
      </c>
      <c r="X1052" s="1618">
        <f t="shared" si="336"/>
        <v>0</v>
      </c>
      <c r="Y1052" s="1619">
        <f t="shared" si="335"/>
        <v>0</v>
      </c>
      <c r="Z1052" s="1618">
        <f t="shared" si="340"/>
        <v>0</v>
      </c>
      <c r="AA1052" s="675"/>
      <c r="AB1052" s="674"/>
    </row>
    <row r="1053" spans="1:28" s="301" customFormat="1">
      <c r="A1053" s="1729"/>
      <c r="B1053" s="1729" t="s">
        <v>2935</v>
      </c>
      <c r="C1053" s="1731">
        <f>Data!K3199</f>
        <v>81.760000000000005</v>
      </c>
      <c r="D1053" s="1732"/>
      <c r="E1053" s="1733"/>
      <c r="F1053" s="1626">
        <f t="shared" si="337"/>
        <v>0</v>
      </c>
      <c r="G1053" s="1733"/>
      <c r="H1053" s="1618">
        <f t="shared" si="338"/>
        <v>0</v>
      </c>
      <c r="I1053" s="1616"/>
      <c r="J1053" s="1618">
        <f t="shared" si="339"/>
        <v>0</v>
      </c>
      <c r="K1053" s="1618"/>
      <c r="L1053" s="1618"/>
      <c r="M1053" s="1618"/>
      <c r="N1053" s="1618"/>
      <c r="O1053" s="1618"/>
      <c r="P1053" s="1618"/>
      <c r="Q1053" s="1618"/>
      <c r="R1053" s="1618"/>
      <c r="S1053" s="1618"/>
      <c r="T1053" s="1618">
        <f t="shared" si="333"/>
        <v>0</v>
      </c>
      <c r="U1053" s="1616"/>
      <c r="V1053" s="1618">
        <f t="shared" si="334"/>
        <v>0</v>
      </c>
      <c r="W1053" s="1619">
        <f t="shared" si="332"/>
        <v>0</v>
      </c>
      <c r="X1053" s="1618">
        <f t="shared" si="336"/>
        <v>0</v>
      </c>
      <c r="Y1053" s="1619">
        <f t="shared" si="335"/>
        <v>0</v>
      </c>
      <c r="Z1053" s="1618">
        <f t="shared" si="340"/>
        <v>0</v>
      </c>
      <c r="AA1053" s="675"/>
      <c r="AB1053" s="674"/>
    </row>
    <row r="1054" spans="1:28" s="301" customFormat="1">
      <c r="A1054" s="1682"/>
      <c r="B1054" s="1682" t="s">
        <v>2937</v>
      </c>
      <c r="C1054" s="1746">
        <f>Data!K3244</f>
        <v>126.77</v>
      </c>
      <c r="D1054" s="1732"/>
      <c r="E1054" s="1733"/>
      <c r="F1054" s="1626">
        <f t="shared" si="337"/>
        <v>0</v>
      </c>
      <c r="G1054" s="1733"/>
      <c r="H1054" s="1618">
        <f t="shared" si="338"/>
        <v>0</v>
      </c>
      <c r="I1054" s="1616"/>
      <c r="J1054" s="1618">
        <f t="shared" si="339"/>
        <v>0</v>
      </c>
      <c r="K1054" s="1618"/>
      <c r="L1054" s="1618"/>
      <c r="M1054" s="1618"/>
      <c r="N1054" s="1618"/>
      <c r="O1054" s="1618"/>
      <c r="P1054" s="1618"/>
      <c r="Q1054" s="1618"/>
      <c r="R1054" s="1618"/>
      <c r="S1054" s="1618"/>
      <c r="T1054" s="1618">
        <f t="shared" si="333"/>
        <v>0</v>
      </c>
      <c r="U1054" s="1616"/>
      <c r="V1054" s="1618">
        <f t="shared" si="334"/>
        <v>0</v>
      </c>
      <c r="W1054" s="1619">
        <f t="shared" si="332"/>
        <v>0</v>
      </c>
      <c r="X1054" s="1618">
        <f t="shared" si="336"/>
        <v>0</v>
      </c>
      <c r="Y1054" s="1619">
        <f t="shared" si="335"/>
        <v>0</v>
      </c>
      <c r="Z1054" s="1618">
        <f t="shared" si="340"/>
        <v>0</v>
      </c>
      <c r="AA1054" s="675"/>
      <c r="AB1054" s="674"/>
    </row>
    <row r="1055" spans="1:28" s="301" customFormat="1">
      <c r="A1055" s="1682"/>
      <c r="B1055" s="1682" t="s">
        <v>2936</v>
      </c>
      <c r="C1055" s="1746">
        <f>Data!K3213</f>
        <v>88.9</v>
      </c>
      <c r="D1055" s="1732"/>
      <c r="E1055" s="1733"/>
      <c r="F1055" s="1626">
        <f t="shared" si="337"/>
        <v>0</v>
      </c>
      <c r="G1055" s="1733"/>
      <c r="H1055" s="1618">
        <f t="shared" si="338"/>
        <v>0</v>
      </c>
      <c r="I1055" s="1616"/>
      <c r="J1055" s="1618">
        <f t="shared" si="339"/>
        <v>0</v>
      </c>
      <c r="K1055" s="1618"/>
      <c r="L1055" s="1618"/>
      <c r="M1055" s="1618"/>
      <c r="N1055" s="1618"/>
      <c r="O1055" s="1618"/>
      <c r="P1055" s="1618"/>
      <c r="Q1055" s="1618"/>
      <c r="R1055" s="1618"/>
      <c r="S1055" s="1618"/>
      <c r="T1055" s="1618">
        <f t="shared" si="333"/>
        <v>0</v>
      </c>
      <c r="U1055" s="1616"/>
      <c r="V1055" s="1618">
        <f t="shared" si="334"/>
        <v>0</v>
      </c>
      <c r="W1055" s="1619">
        <f t="shared" ref="W1055:W1082" si="341">I1055+S1055+U1055</f>
        <v>0</v>
      </c>
      <c r="X1055" s="1618">
        <f t="shared" si="336"/>
        <v>0</v>
      </c>
      <c r="Y1055" s="1619">
        <f t="shared" si="335"/>
        <v>0</v>
      </c>
      <c r="Z1055" s="1618">
        <f t="shared" si="340"/>
        <v>0</v>
      </c>
      <c r="AA1055" s="675"/>
      <c r="AB1055" s="674"/>
    </row>
    <row r="1056" spans="1:28" s="301" customFormat="1">
      <c r="A1056" s="1682"/>
      <c r="B1056" s="1682" t="s">
        <v>3844</v>
      </c>
      <c r="C1056" s="1746">
        <f>Data!K3228</f>
        <v>144.68</v>
      </c>
      <c r="D1056" s="1732"/>
      <c r="E1056" s="1733"/>
      <c r="F1056" s="1626">
        <f t="shared" si="337"/>
        <v>0</v>
      </c>
      <c r="G1056" s="1733"/>
      <c r="H1056" s="1618">
        <f t="shared" si="338"/>
        <v>0</v>
      </c>
      <c r="I1056" s="1616"/>
      <c r="J1056" s="1618">
        <f t="shared" si="339"/>
        <v>0</v>
      </c>
      <c r="K1056" s="1618"/>
      <c r="L1056" s="1618"/>
      <c r="M1056" s="1618"/>
      <c r="N1056" s="1618"/>
      <c r="O1056" s="1618"/>
      <c r="P1056" s="1618"/>
      <c r="Q1056" s="1618"/>
      <c r="R1056" s="1618"/>
      <c r="S1056" s="1618"/>
      <c r="T1056" s="1618">
        <f t="shared" ref="T1056:T1084" si="342">S1056*C1056</f>
        <v>0</v>
      </c>
      <c r="U1056" s="1616"/>
      <c r="V1056" s="1618">
        <f t="shared" ref="V1056:V1087" si="343">U1056*C1056</f>
        <v>0</v>
      </c>
      <c r="W1056" s="1619">
        <f t="shared" si="341"/>
        <v>0</v>
      </c>
      <c r="X1056" s="1618">
        <f t="shared" si="336"/>
        <v>0</v>
      </c>
      <c r="Y1056" s="1619">
        <f t="shared" ref="Y1056:Y1082" si="344">W1056+E1056+G1056</f>
        <v>0</v>
      </c>
      <c r="Z1056" s="1618">
        <f t="shared" si="340"/>
        <v>0</v>
      </c>
      <c r="AA1056" s="675"/>
      <c r="AB1056" s="674"/>
    </row>
    <row r="1057" spans="1:28" s="301" customFormat="1">
      <c r="A1057" s="1682"/>
      <c r="B1057" s="1682" t="s">
        <v>2938</v>
      </c>
      <c r="C1057" s="1746">
        <f>Data!K3272</f>
        <v>81.59</v>
      </c>
      <c r="D1057" s="1732"/>
      <c r="E1057" s="1733"/>
      <c r="F1057" s="1626">
        <f t="shared" si="337"/>
        <v>0</v>
      </c>
      <c r="G1057" s="1733"/>
      <c r="H1057" s="1618">
        <f t="shared" si="338"/>
        <v>0</v>
      </c>
      <c r="I1057" s="1616"/>
      <c r="J1057" s="1618">
        <f t="shared" si="339"/>
        <v>0</v>
      </c>
      <c r="K1057" s="1618"/>
      <c r="L1057" s="1618"/>
      <c r="M1057" s="1618"/>
      <c r="N1057" s="1618"/>
      <c r="O1057" s="1618"/>
      <c r="P1057" s="1618"/>
      <c r="Q1057" s="1618"/>
      <c r="R1057" s="1618"/>
      <c r="S1057" s="1618"/>
      <c r="T1057" s="1618">
        <f t="shared" si="342"/>
        <v>0</v>
      </c>
      <c r="U1057" s="1616"/>
      <c r="V1057" s="1618">
        <f t="shared" si="343"/>
        <v>0</v>
      </c>
      <c r="W1057" s="1619">
        <f t="shared" si="341"/>
        <v>0</v>
      </c>
      <c r="X1057" s="1618">
        <f t="shared" si="336"/>
        <v>0</v>
      </c>
      <c r="Y1057" s="1619">
        <f t="shared" si="344"/>
        <v>0</v>
      </c>
      <c r="Z1057" s="1618">
        <f t="shared" si="340"/>
        <v>0</v>
      </c>
      <c r="AA1057" s="675"/>
      <c r="AB1057" s="674"/>
    </row>
    <row r="1058" spans="1:28" s="301" customFormat="1">
      <c r="A1058" s="1682"/>
      <c r="B1058" s="1682" t="str">
        <f>Data!H3361</f>
        <v>Plastic Emulsion PAINT one coat for old wall</v>
      </c>
      <c r="C1058" s="1746">
        <f>Data!K3368</f>
        <v>75.569999999999993</v>
      </c>
      <c r="D1058" s="1732"/>
      <c r="E1058" s="1733"/>
      <c r="F1058" s="1626">
        <f t="shared" si="337"/>
        <v>0</v>
      </c>
      <c r="G1058" s="1733"/>
      <c r="H1058" s="1618">
        <f t="shared" si="338"/>
        <v>0</v>
      </c>
      <c r="I1058" s="1616"/>
      <c r="J1058" s="1618">
        <f t="shared" si="339"/>
        <v>0</v>
      </c>
      <c r="K1058" s="1618"/>
      <c r="L1058" s="1618"/>
      <c r="M1058" s="1618"/>
      <c r="N1058" s="1618"/>
      <c r="O1058" s="1618"/>
      <c r="P1058" s="1618"/>
      <c r="Q1058" s="1618"/>
      <c r="R1058" s="1618"/>
      <c r="S1058" s="1618"/>
      <c r="T1058" s="1618">
        <f t="shared" si="342"/>
        <v>0</v>
      </c>
      <c r="U1058" s="1616"/>
      <c r="V1058" s="1618">
        <f t="shared" si="343"/>
        <v>0</v>
      </c>
      <c r="W1058" s="1619">
        <f t="shared" si="341"/>
        <v>0</v>
      </c>
      <c r="X1058" s="1618">
        <f t="shared" si="336"/>
        <v>0</v>
      </c>
      <c r="Y1058" s="1619">
        <f t="shared" si="344"/>
        <v>0</v>
      </c>
      <c r="Z1058" s="1618">
        <f t="shared" si="340"/>
        <v>0</v>
      </c>
      <c r="AA1058" s="675"/>
      <c r="AB1058" s="674"/>
    </row>
    <row r="1059" spans="1:28" s="301" customFormat="1">
      <c r="A1059" s="1682"/>
      <c r="B1059" s="1682" t="str">
        <f>Data!H3348</f>
        <v>Plastic Emulsion PAINT two coat for old wall</v>
      </c>
      <c r="C1059" s="1746">
        <f>Data!K3355</f>
        <v>148.44</v>
      </c>
      <c r="D1059" s="1732"/>
      <c r="E1059" s="1733"/>
      <c r="F1059" s="1626">
        <f t="shared" si="337"/>
        <v>0</v>
      </c>
      <c r="G1059" s="1733"/>
      <c r="H1059" s="1618">
        <f t="shared" si="338"/>
        <v>0</v>
      </c>
      <c r="I1059" s="1616"/>
      <c r="J1059" s="1618">
        <f t="shared" si="339"/>
        <v>0</v>
      </c>
      <c r="K1059" s="1618"/>
      <c r="L1059" s="1618"/>
      <c r="M1059" s="1618"/>
      <c r="N1059" s="1618"/>
      <c r="O1059" s="1618"/>
      <c r="P1059" s="1618"/>
      <c r="Q1059" s="1618"/>
      <c r="R1059" s="1618"/>
      <c r="S1059" s="1618"/>
      <c r="T1059" s="1618">
        <f t="shared" si="342"/>
        <v>0</v>
      </c>
      <c r="U1059" s="1616"/>
      <c r="V1059" s="1618">
        <f t="shared" si="343"/>
        <v>0</v>
      </c>
      <c r="W1059" s="1619">
        <f t="shared" si="341"/>
        <v>0</v>
      </c>
      <c r="X1059" s="1618">
        <f t="shared" si="336"/>
        <v>0</v>
      </c>
      <c r="Y1059" s="1619">
        <f t="shared" si="344"/>
        <v>0</v>
      </c>
      <c r="Z1059" s="1618">
        <f t="shared" si="340"/>
        <v>0</v>
      </c>
      <c r="AA1059" s="675"/>
      <c r="AB1059" s="674"/>
    </row>
    <row r="1060" spans="1:28" s="301" customFormat="1">
      <c r="A1060" s="1747"/>
      <c r="B1060" s="1682"/>
      <c r="C1060" s="1746"/>
      <c r="D1060" s="1732"/>
      <c r="E1060" s="1733"/>
      <c r="F1060" s="1626">
        <f t="shared" si="337"/>
        <v>0</v>
      </c>
      <c r="G1060" s="1733"/>
      <c r="H1060" s="1618">
        <f t="shared" si="338"/>
        <v>0</v>
      </c>
      <c r="I1060" s="1616"/>
      <c r="J1060" s="1618">
        <f t="shared" si="339"/>
        <v>0</v>
      </c>
      <c r="K1060" s="1618"/>
      <c r="L1060" s="1618"/>
      <c r="M1060" s="1618"/>
      <c r="N1060" s="1618"/>
      <c r="O1060" s="1618"/>
      <c r="P1060" s="1618"/>
      <c r="Q1060" s="1618"/>
      <c r="R1060" s="1618"/>
      <c r="S1060" s="1618"/>
      <c r="T1060" s="1618">
        <f t="shared" si="342"/>
        <v>0</v>
      </c>
      <c r="U1060" s="1616"/>
      <c r="V1060" s="1618">
        <f t="shared" si="343"/>
        <v>0</v>
      </c>
      <c r="W1060" s="1619">
        <f t="shared" si="341"/>
        <v>0</v>
      </c>
      <c r="X1060" s="1618">
        <f t="shared" ref="X1060:X1068" si="345">W1060*C1060</f>
        <v>0</v>
      </c>
      <c r="Y1060" s="1619">
        <f t="shared" si="344"/>
        <v>0</v>
      </c>
      <c r="Z1060" s="1618">
        <f t="shared" si="340"/>
        <v>0</v>
      </c>
      <c r="AA1060" s="675"/>
      <c r="AB1060" s="674"/>
    </row>
    <row r="1061" spans="1:28" s="301" customFormat="1">
      <c r="A1061" s="1747"/>
      <c r="B1061" s="1682"/>
      <c r="C1061" s="1746"/>
      <c r="D1061" s="1732"/>
      <c r="E1061" s="1733"/>
      <c r="F1061" s="1626">
        <f t="shared" si="337"/>
        <v>0</v>
      </c>
      <c r="G1061" s="1733"/>
      <c r="H1061" s="1618">
        <f t="shared" si="338"/>
        <v>0</v>
      </c>
      <c r="I1061" s="1616"/>
      <c r="J1061" s="1618">
        <f t="shared" si="339"/>
        <v>0</v>
      </c>
      <c r="K1061" s="1618"/>
      <c r="L1061" s="1618"/>
      <c r="M1061" s="1618"/>
      <c r="N1061" s="1618"/>
      <c r="O1061" s="1618"/>
      <c r="P1061" s="1618"/>
      <c r="Q1061" s="1618"/>
      <c r="R1061" s="1618"/>
      <c r="S1061" s="1618"/>
      <c r="T1061" s="1618">
        <f t="shared" si="342"/>
        <v>0</v>
      </c>
      <c r="U1061" s="1616"/>
      <c r="V1061" s="1618">
        <f t="shared" si="343"/>
        <v>0</v>
      </c>
      <c r="W1061" s="1619">
        <f t="shared" si="341"/>
        <v>0</v>
      </c>
      <c r="X1061" s="1618">
        <f t="shared" si="345"/>
        <v>0</v>
      </c>
      <c r="Y1061" s="1619">
        <f t="shared" si="344"/>
        <v>0</v>
      </c>
      <c r="Z1061" s="1618">
        <f t="shared" ref="Z1061:Z1069" si="346">Y1061*C1061</f>
        <v>0</v>
      </c>
      <c r="AA1061" s="675"/>
      <c r="AB1061" s="674"/>
    </row>
    <row r="1062" spans="1:28" s="301" customFormat="1">
      <c r="A1062" s="1747"/>
      <c r="B1062" s="1682"/>
      <c r="C1062" s="1746"/>
      <c r="D1062" s="1732"/>
      <c r="E1062" s="1733"/>
      <c r="F1062" s="1626">
        <f t="shared" si="337"/>
        <v>0</v>
      </c>
      <c r="G1062" s="1733"/>
      <c r="H1062" s="1618">
        <f t="shared" si="338"/>
        <v>0</v>
      </c>
      <c r="I1062" s="1616"/>
      <c r="J1062" s="1618">
        <f t="shared" si="339"/>
        <v>0</v>
      </c>
      <c r="K1062" s="1618"/>
      <c r="L1062" s="1618"/>
      <c r="M1062" s="1618"/>
      <c r="N1062" s="1618"/>
      <c r="O1062" s="1618"/>
      <c r="P1062" s="1618"/>
      <c r="Q1062" s="1618"/>
      <c r="R1062" s="1618"/>
      <c r="S1062" s="1618"/>
      <c r="T1062" s="1618">
        <f t="shared" si="342"/>
        <v>0</v>
      </c>
      <c r="U1062" s="1616"/>
      <c r="V1062" s="1618">
        <f t="shared" si="343"/>
        <v>0</v>
      </c>
      <c r="W1062" s="1619">
        <f t="shared" si="341"/>
        <v>0</v>
      </c>
      <c r="X1062" s="1618">
        <f t="shared" si="345"/>
        <v>0</v>
      </c>
      <c r="Y1062" s="1619">
        <f t="shared" si="344"/>
        <v>0</v>
      </c>
      <c r="Z1062" s="1618">
        <f t="shared" si="346"/>
        <v>0</v>
      </c>
      <c r="AA1062" s="675"/>
      <c r="AB1062" s="674"/>
    </row>
    <row r="1063" spans="1:28" s="301" customFormat="1">
      <c r="A1063" s="1747"/>
      <c r="B1063" s="1682"/>
      <c r="C1063" s="1746"/>
      <c r="D1063" s="1732"/>
      <c r="E1063" s="1733"/>
      <c r="F1063" s="1626">
        <f t="shared" si="337"/>
        <v>0</v>
      </c>
      <c r="G1063" s="1733"/>
      <c r="H1063" s="1618">
        <f t="shared" si="338"/>
        <v>0</v>
      </c>
      <c r="I1063" s="1616"/>
      <c r="J1063" s="1618">
        <f t="shared" si="339"/>
        <v>0</v>
      </c>
      <c r="K1063" s="1618"/>
      <c r="L1063" s="1618"/>
      <c r="M1063" s="1618"/>
      <c r="N1063" s="1618"/>
      <c r="O1063" s="1618"/>
      <c r="P1063" s="1618"/>
      <c r="Q1063" s="1618"/>
      <c r="R1063" s="1618"/>
      <c r="S1063" s="1618"/>
      <c r="T1063" s="1618">
        <f t="shared" si="342"/>
        <v>0</v>
      </c>
      <c r="U1063" s="1616"/>
      <c r="V1063" s="1618">
        <f t="shared" si="343"/>
        <v>0</v>
      </c>
      <c r="W1063" s="1619">
        <f t="shared" si="341"/>
        <v>0</v>
      </c>
      <c r="X1063" s="1618">
        <f t="shared" si="345"/>
        <v>0</v>
      </c>
      <c r="Y1063" s="1619">
        <f t="shared" si="344"/>
        <v>0</v>
      </c>
      <c r="Z1063" s="1618">
        <f t="shared" si="346"/>
        <v>0</v>
      </c>
      <c r="AA1063" s="675"/>
      <c r="AB1063" s="674"/>
    </row>
    <row r="1064" spans="1:28" s="301" customFormat="1">
      <c r="A1064" s="1747"/>
      <c r="B1064" s="1682"/>
      <c r="C1064" s="1746"/>
      <c r="D1064" s="1732"/>
      <c r="E1064" s="1733"/>
      <c r="F1064" s="1626">
        <f t="shared" si="337"/>
        <v>0</v>
      </c>
      <c r="G1064" s="1733"/>
      <c r="H1064" s="1618">
        <f t="shared" si="338"/>
        <v>0</v>
      </c>
      <c r="I1064" s="1616"/>
      <c r="J1064" s="1618">
        <f t="shared" si="339"/>
        <v>0</v>
      </c>
      <c r="K1064" s="1618"/>
      <c r="L1064" s="1618"/>
      <c r="M1064" s="1618"/>
      <c r="N1064" s="1618"/>
      <c r="O1064" s="1618"/>
      <c r="P1064" s="1618"/>
      <c r="Q1064" s="1618"/>
      <c r="R1064" s="1618"/>
      <c r="S1064" s="1618"/>
      <c r="T1064" s="1618">
        <f t="shared" si="342"/>
        <v>0</v>
      </c>
      <c r="U1064" s="1616"/>
      <c r="V1064" s="1618">
        <f t="shared" si="343"/>
        <v>0</v>
      </c>
      <c r="W1064" s="1619">
        <f t="shared" si="341"/>
        <v>0</v>
      </c>
      <c r="X1064" s="1618">
        <f t="shared" si="345"/>
        <v>0</v>
      </c>
      <c r="Y1064" s="1619">
        <f t="shared" si="344"/>
        <v>0</v>
      </c>
      <c r="Z1064" s="1618">
        <f t="shared" si="346"/>
        <v>0</v>
      </c>
      <c r="AA1064" s="675"/>
      <c r="AB1064" s="674"/>
    </row>
    <row r="1065" spans="1:28" s="301" customFormat="1">
      <c r="A1065" s="1747"/>
      <c r="B1065" s="1682"/>
      <c r="C1065" s="1746"/>
      <c r="D1065" s="1732"/>
      <c r="E1065" s="1733"/>
      <c r="F1065" s="1626">
        <f t="shared" si="337"/>
        <v>0</v>
      </c>
      <c r="G1065" s="1733"/>
      <c r="H1065" s="1618">
        <f t="shared" si="338"/>
        <v>0</v>
      </c>
      <c r="I1065" s="1616"/>
      <c r="J1065" s="1618">
        <f t="shared" si="339"/>
        <v>0</v>
      </c>
      <c r="K1065" s="1618"/>
      <c r="L1065" s="1618"/>
      <c r="M1065" s="1618"/>
      <c r="N1065" s="1618"/>
      <c r="O1065" s="1618"/>
      <c r="P1065" s="1618"/>
      <c r="Q1065" s="1618"/>
      <c r="R1065" s="1618"/>
      <c r="S1065" s="1618"/>
      <c r="T1065" s="1618">
        <f t="shared" si="342"/>
        <v>0</v>
      </c>
      <c r="U1065" s="1616"/>
      <c r="V1065" s="1618">
        <f t="shared" si="343"/>
        <v>0</v>
      </c>
      <c r="W1065" s="1619">
        <f t="shared" si="341"/>
        <v>0</v>
      </c>
      <c r="X1065" s="1618">
        <f t="shared" si="345"/>
        <v>0</v>
      </c>
      <c r="Y1065" s="1619">
        <f t="shared" si="344"/>
        <v>0</v>
      </c>
      <c r="Z1065" s="1618">
        <f t="shared" si="346"/>
        <v>0</v>
      </c>
      <c r="AA1065" s="675"/>
      <c r="AB1065" s="674"/>
    </row>
    <row r="1066" spans="1:28" s="301" customFormat="1">
      <c r="A1066" s="1747"/>
      <c r="B1066" s="1682"/>
      <c r="C1066" s="1746"/>
      <c r="D1066" s="1732"/>
      <c r="E1066" s="1733"/>
      <c r="F1066" s="1626">
        <f t="shared" si="337"/>
        <v>0</v>
      </c>
      <c r="G1066" s="1733"/>
      <c r="H1066" s="1618">
        <f t="shared" si="338"/>
        <v>0</v>
      </c>
      <c r="I1066" s="1616"/>
      <c r="J1066" s="1618">
        <f t="shared" si="339"/>
        <v>0</v>
      </c>
      <c r="K1066" s="1618"/>
      <c r="L1066" s="1618"/>
      <c r="M1066" s="1618"/>
      <c r="N1066" s="1618"/>
      <c r="O1066" s="1618"/>
      <c r="P1066" s="1618"/>
      <c r="Q1066" s="1618"/>
      <c r="R1066" s="1618"/>
      <c r="S1066" s="1618"/>
      <c r="T1066" s="1618">
        <f t="shared" si="342"/>
        <v>0</v>
      </c>
      <c r="U1066" s="1616"/>
      <c r="V1066" s="1618">
        <f t="shared" si="343"/>
        <v>0</v>
      </c>
      <c r="W1066" s="1619">
        <f t="shared" si="341"/>
        <v>0</v>
      </c>
      <c r="X1066" s="1618">
        <f t="shared" si="345"/>
        <v>0</v>
      </c>
      <c r="Y1066" s="1619">
        <f t="shared" si="344"/>
        <v>0</v>
      </c>
      <c r="Z1066" s="1618">
        <f t="shared" si="346"/>
        <v>0</v>
      </c>
      <c r="AA1066" s="675"/>
      <c r="AB1066" s="674"/>
    </row>
    <row r="1067" spans="1:28" s="301" customFormat="1">
      <c r="A1067" s="1747"/>
      <c r="B1067" s="1682"/>
      <c r="C1067" s="1746"/>
      <c r="D1067" s="1732"/>
      <c r="E1067" s="1733"/>
      <c r="F1067" s="1626">
        <f t="shared" si="337"/>
        <v>0</v>
      </c>
      <c r="G1067" s="1733"/>
      <c r="H1067" s="1618">
        <f t="shared" si="338"/>
        <v>0</v>
      </c>
      <c r="I1067" s="1616"/>
      <c r="J1067" s="1618">
        <f t="shared" si="339"/>
        <v>0</v>
      </c>
      <c r="K1067" s="1618"/>
      <c r="L1067" s="1618"/>
      <c r="M1067" s="1618"/>
      <c r="N1067" s="1618"/>
      <c r="O1067" s="1618"/>
      <c r="P1067" s="1618"/>
      <c r="Q1067" s="1618"/>
      <c r="R1067" s="1618"/>
      <c r="S1067" s="1618"/>
      <c r="T1067" s="1618">
        <f t="shared" si="342"/>
        <v>0</v>
      </c>
      <c r="U1067" s="1616"/>
      <c r="V1067" s="1618">
        <f t="shared" si="343"/>
        <v>0</v>
      </c>
      <c r="W1067" s="1619">
        <f t="shared" si="341"/>
        <v>0</v>
      </c>
      <c r="X1067" s="1618">
        <f t="shared" si="345"/>
        <v>0</v>
      </c>
      <c r="Y1067" s="1619">
        <f t="shared" si="344"/>
        <v>0</v>
      </c>
      <c r="Z1067" s="1618">
        <f t="shared" si="346"/>
        <v>0</v>
      </c>
      <c r="AA1067" s="675"/>
      <c r="AB1067" s="674"/>
    </row>
    <row r="1068" spans="1:28">
      <c r="E1068" s="1750"/>
      <c r="G1068" s="1750"/>
      <c r="H1068" s="1618">
        <f t="shared" si="338"/>
        <v>0</v>
      </c>
      <c r="I1068" s="1618"/>
      <c r="J1068" s="1618">
        <f t="shared" si="339"/>
        <v>0</v>
      </c>
      <c r="K1068" s="1618"/>
      <c r="L1068" s="1618"/>
      <c r="M1068" s="1618"/>
      <c r="N1068" s="1618"/>
      <c r="O1068" s="1618"/>
      <c r="P1068" s="1618"/>
      <c r="Q1068" s="1618"/>
      <c r="R1068" s="1618"/>
      <c r="S1068" s="1618"/>
      <c r="T1068" s="1618">
        <f t="shared" si="342"/>
        <v>0</v>
      </c>
      <c r="U1068" s="1618"/>
      <c r="V1068" s="1618">
        <f t="shared" si="343"/>
        <v>0</v>
      </c>
      <c r="W1068" s="1619">
        <f t="shared" si="341"/>
        <v>0</v>
      </c>
      <c r="X1068" s="1618">
        <f t="shared" si="345"/>
        <v>0</v>
      </c>
      <c r="Y1068" s="1619">
        <f t="shared" si="344"/>
        <v>0</v>
      </c>
      <c r="Z1068" s="1618">
        <f t="shared" si="346"/>
        <v>0</v>
      </c>
      <c r="AA1068" s="673"/>
      <c r="AB1068" s="673"/>
    </row>
    <row r="1069" spans="1:28">
      <c r="E1069" s="1750"/>
      <c r="F1069" s="1626">
        <f t="shared" si="337"/>
        <v>0</v>
      </c>
      <c r="G1069" s="1750"/>
      <c r="H1069" s="1618">
        <f t="shared" si="338"/>
        <v>0</v>
      </c>
      <c r="I1069" s="1618"/>
      <c r="J1069" s="1618">
        <f t="shared" si="339"/>
        <v>0</v>
      </c>
      <c r="K1069" s="1618"/>
      <c r="L1069" s="1618"/>
      <c r="M1069" s="1618"/>
      <c r="N1069" s="1618"/>
      <c r="O1069" s="1618"/>
      <c r="P1069" s="1618"/>
      <c r="Q1069" s="1618"/>
      <c r="R1069" s="1618"/>
      <c r="S1069" s="1618"/>
      <c r="T1069" s="1618">
        <f t="shared" si="342"/>
        <v>0</v>
      </c>
      <c r="U1069" s="1618"/>
      <c r="V1069" s="1618">
        <f t="shared" si="343"/>
        <v>0</v>
      </c>
      <c r="W1069" s="1619">
        <f t="shared" si="341"/>
        <v>0</v>
      </c>
      <c r="X1069" s="1618"/>
      <c r="Y1069" s="1619">
        <f t="shared" si="344"/>
        <v>0</v>
      </c>
      <c r="Z1069" s="1618">
        <f t="shared" si="346"/>
        <v>0</v>
      </c>
      <c r="AA1069" s="673"/>
      <c r="AB1069" s="673"/>
    </row>
    <row r="1070" spans="1:28">
      <c r="E1070" s="1750"/>
      <c r="F1070" s="1626">
        <f t="shared" si="337"/>
        <v>0</v>
      </c>
      <c r="G1070" s="1750"/>
      <c r="H1070" s="1618">
        <f t="shared" si="338"/>
        <v>0</v>
      </c>
      <c r="I1070" s="1618"/>
      <c r="J1070" s="1618">
        <f t="shared" si="339"/>
        <v>0</v>
      </c>
      <c r="K1070" s="1618"/>
      <c r="L1070" s="1618"/>
      <c r="M1070" s="1618"/>
      <c r="N1070" s="1618"/>
      <c r="O1070" s="1618"/>
      <c r="P1070" s="1618"/>
      <c r="Q1070" s="1618"/>
      <c r="R1070" s="1618"/>
      <c r="S1070" s="1618"/>
      <c r="T1070" s="1618">
        <f t="shared" si="342"/>
        <v>0</v>
      </c>
      <c r="U1070" s="1618"/>
      <c r="V1070" s="1618">
        <f t="shared" si="343"/>
        <v>0</v>
      </c>
      <c r="W1070" s="1619">
        <f t="shared" si="341"/>
        <v>0</v>
      </c>
      <c r="X1070" s="1618">
        <f>V959+T959+J959</f>
        <v>1100286.78</v>
      </c>
      <c r="Y1070" s="1619">
        <f t="shared" si="344"/>
        <v>0</v>
      </c>
      <c r="Z1070" s="1618" t="e">
        <f>X959+H959+#REF!</f>
        <v>#REF!</v>
      </c>
      <c r="AA1070" s="673"/>
      <c r="AB1070" s="673"/>
    </row>
    <row r="1071" spans="1:28">
      <c r="E1071" s="1750"/>
      <c r="F1071" s="1626">
        <f t="shared" si="337"/>
        <v>0</v>
      </c>
      <c r="G1071" s="1750"/>
      <c r="H1071" s="1618">
        <f t="shared" si="338"/>
        <v>0</v>
      </c>
      <c r="I1071" s="1618"/>
      <c r="J1071" s="1618">
        <f t="shared" si="339"/>
        <v>0</v>
      </c>
      <c r="K1071" s="1618"/>
      <c r="L1071" s="1618"/>
      <c r="M1071" s="1618"/>
      <c r="N1071" s="1618"/>
      <c r="O1071" s="1618"/>
      <c r="P1071" s="1618"/>
      <c r="Q1071" s="1618"/>
      <c r="R1071" s="1618"/>
      <c r="S1071" s="1618"/>
      <c r="T1071" s="1618">
        <f t="shared" si="342"/>
        <v>0</v>
      </c>
      <c r="U1071" s="1618"/>
      <c r="V1071" s="1618">
        <f t="shared" si="343"/>
        <v>0</v>
      </c>
      <c r="W1071" s="1619">
        <f t="shared" si="341"/>
        <v>0</v>
      </c>
      <c r="X1071" s="1618" t="e">
        <f>X959-X1070</f>
        <v>#REF!</v>
      </c>
      <c r="Y1071" s="1619">
        <f t="shared" si="344"/>
        <v>0</v>
      </c>
      <c r="Z1071" s="1618" t="e">
        <f>Z959-Z1070</f>
        <v>#REF!</v>
      </c>
      <c r="AA1071" s="673"/>
      <c r="AB1071" s="673"/>
    </row>
    <row r="1072" spans="1:28">
      <c r="E1072" s="1750"/>
      <c r="F1072" s="1626">
        <f t="shared" si="337"/>
        <v>0</v>
      </c>
      <c r="G1072" s="1750"/>
      <c r="H1072" s="1618">
        <f t="shared" si="338"/>
        <v>0</v>
      </c>
      <c r="I1072" s="1618"/>
      <c r="J1072" s="1618">
        <f t="shared" si="339"/>
        <v>0</v>
      </c>
      <c r="K1072" s="1618"/>
      <c r="L1072" s="1618"/>
      <c r="M1072" s="1618"/>
      <c r="N1072" s="1618"/>
      <c r="O1072" s="1618"/>
      <c r="P1072" s="1618"/>
      <c r="Q1072" s="1618"/>
      <c r="R1072" s="1618"/>
      <c r="S1072" s="1618"/>
      <c r="T1072" s="1618">
        <f t="shared" si="342"/>
        <v>0</v>
      </c>
      <c r="U1072" s="1618"/>
      <c r="V1072" s="1618">
        <f t="shared" si="343"/>
        <v>0</v>
      </c>
      <c r="W1072" s="1619">
        <f t="shared" si="341"/>
        <v>0</v>
      </c>
      <c r="X1072" s="1618">
        <f t="shared" ref="X1072:X1082" si="347">W1072*C1072</f>
        <v>0</v>
      </c>
      <c r="Y1072" s="1619">
        <f t="shared" si="344"/>
        <v>0</v>
      </c>
      <c r="Z1072" s="1618">
        <f t="shared" ref="Z1072:Z1082" si="348">Y1072*C1072</f>
        <v>0</v>
      </c>
      <c r="AA1072" s="673"/>
      <c r="AB1072" s="673"/>
    </row>
    <row r="1073" spans="3:28">
      <c r="E1073" s="1750"/>
      <c r="F1073" s="1626">
        <f t="shared" si="337"/>
        <v>0</v>
      </c>
      <c r="G1073" s="1750"/>
      <c r="H1073" s="1618">
        <f t="shared" si="338"/>
        <v>0</v>
      </c>
      <c r="I1073" s="1618"/>
      <c r="J1073" s="1618">
        <f t="shared" si="339"/>
        <v>0</v>
      </c>
      <c r="K1073" s="1618"/>
      <c r="L1073" s="1618"/>
      <c r="M1073" s="1618"/>
      <c r="N1073" s="1618"/>
      <c r="O1073" s="1618"/>
      <c r="P1073" s="1618"/>
      <c r="Q1073" s="1618"/>
      <c r="R1073" s="1618"/>
      <c r="S1073" s="1618"/>
      <c r="T1073" s="1618">
        <f t="shared" si="342"/>
        <v>0</v>
      </c>
      <c r="U1073" s="1618"/>
      <c r="V1073" s="1618">
        <f t="shared" si="343"/>
        <v>0</v>
      </c>
      <c r="W1073" s="1619">
        <f t="shared" si="341"/>
        <v>0</v>
      </c>
      <c r="X1073" s="1618">
        <f t="shared" si="347"/>
        <v>0</v>
      </c>
      <c r="Y1073" s="1619">
        <f t="shared" si="344"/>
        <v>0</v>
      </c>
      <c r="Z1073" s="1618">
        <f t="shared" si="348"/>
        <v>0</v>
      </c>
      <c r="AA1073" s="673"/>
      <c r="AB1073" s="673"/>
    </row>
    <row r="1074" spans="3:28">
      <c r="E1074" s="1750"/>
      <c r="F1074" s="1626">
        <f t="shared" si="337"/>
        <v>0</v>
      </c>
      <c r="G1074" s="1750"/>
      <c r="H1074" s="1618">
        <f t="shared" si="338"/>
        <v>0</v>
      </c>
      <c r="I1074" s="1618"/>
      <c r="J1074" s="1618">
        <f t="shared" si="339"/>
        <v>0</v>
      </c>
      <c r="K1074" s="1618"/>
      <c r="L1074" s="1618"/>
      <c r="M1074" s="1618"/>
      <c r="N1074" s="1618"/>
      <c r="O1074" s="1618"/>
      <c r="P1074" s="1618"/>
      <c r="Q1074" s="1618"/>
      <c r="R1074" s="1618"/>
      <c r="S1074" s="1618"/>
      <c r="T1074" s="1618">
        <f t="shared" si="342"/>
        <v>0</v>
      </c>
      <c r="U1074" s="1618"/>
      <c r="V1074" s="1618">
        <f t="shared" si="343"/>
        <v>0</v>
      </c>
      <c r="W1074" s="1619">
        <f t="shared" si="341"/>
        <v>0</v>
      </c>
      <c r="X1074" s="1618">
        <f t="shared" si="347"/>
        <v>0</v>
      </c>
      <c r="Y1074" s="1619">
        <f t="shared" si="344"/>
        <v>0</v>
      </c>
      <c r="Z1074" s="1618">
        <f t="shared" si="348"/>
        <v>0</v>
      </c>
      <c r="AA1074" s="673"/>
      <c r="AB1074" s="673"/>
    </row>
    <row r="1075" spans="3:28">
      <c r="E1075" s="1750"/>
      <c r="G1075" s="1750"/>
      <c r="H1075" s="1618">
        <f t="shared" si="338"/>
        <v>0</v>
      </c>
      <c r="I1075" s="1618"/>
      <c r="J1075" s="1618">
        <f t="shared" si="339"/>
        <v>0</v>
      </c>
      <c r="K1075" s="1618"/>
      <c r="L1075" s="1618"/>
      <c r="M1075" s="1618"/>
      <c r="N1075" s="1618"/>
      <c r="O1075" s="1618"/>
      <c r="P1075" s="1618"/>
      <c r="Q1075" s="1618"/>
      <c r="R1075" s="1618"/>
      <c r="S1075" s="1618"/>
      <c r="T1075" s="1618">
        <f t="shared" si="342"/>
        <v>0</v>
      </c>
      <c r="U1075" s="1618"/>
      <c r="V1075" s="1618">
        <f t="shared" si="343"/>
        <v>0</v>
      </c>
      <c r="W1075" s="1619">
        <f t="shared" si="341"/>
        <v>0</v>
      </c>
      <c r="X1075" s="1618">
        <f t="shared" si="347"/>
        <v>0</v>
      </c>
      <c r="Y1075" s="1619">
        <f t="shared" si="344"/>
        <v>0</v>
      </c>
      <c r="Z1075" s="1618">
        <f t="shared" si="348"/>
        <v>0</v>
      </c>
      <c r="AA1075" s="673"/>
      <c r="AB1075" s="673"/>
    </row>
    <row r="1076" spans="3:28">
      <c r="E1076" s="1750"/>
      <c r="F1076" s="1626">
        <f t="shared" si="337"/>
        <v>0</v>
      </c>
      <c r="G1076" s="1750"/>
      <c r="H1076" s="1618">
        <f t="shared" si="338"/>
        <v>0</v>
      </c>
      <c r="I1076" s="1618"/>
      <c r="J1076" s="1618">
        <f t="shared" si="339"/>
        <v>0</v>
      </c>
      <c r="K1076" s="1618"/>
      <c r="L1076" s="1618"/>
      <c r="M1076" s="1618"/>
      <c r="N1076" s="1618"/>
      <c r="O1076" s="1618"/>
      <c r="P1076" s="1618"/>
      <c r="Q1076" s="1618"/>
      <c r="R1076" s="1618"/>
      <c r="S1076" s="1618"/>
      <c r="T1076" s="1618">
        <f t="shared" si="342"/>
        <v>0</v>
      </c>
      <c r="U1076" s="1618"/>
      <c r="V1076" s="1618">
        <f t="shared" si="343"/>
        <v>0</v>
      </c>
      <c r="W1076" s="1619">
        <f t="shared" si="341"/>
        <v>0</v>
      </c>
      <c r="X1076" s="1618">
        <f t="shared" si="347"/>
        <v>0</v>
      </c>
      <c r="Y1076" s="1619">
        <f t="shared" si="344"/>
        <v>0</v>
      </c>
      <c r="Z1076" s="1618">
        <f t="shared" si="348"/>
        <v>0</v>
      </c>
      <c r="AA1076" s="673"/>
      <c r="AB1076" s="673"/>
    </row>
    <row r="1077" spans="3:28">
      <c r="E1077" s="1750"/>
      <c r="F1077" s="1626">
        <f t="shared" si="337"/>
        <v>0</v>
      </c>
      <c r="G1077" s="1750"/>
      <c r="H1077" s="1618">
        <f t="shared" si="338"/>
        <v>0</v>
      </c>
      <c r="I1077" s="1618"/>
      <c r="J1077" s="1618">
        <f t="shared" si="339"/>
        <v>0</v>
      </c>
      <c r="K1077" s="1618"/>
      <c r="L1077" s="1618"/>
      <c r="M1077" s="1618"/>
      <c r="N1077" s="1618"/>
      <c r="O1077" s="1618"/>
      <c r="P1077" s="1618"/>
      <c r="Q1077" s="1618"/>
      <c r="R1077" s="1618"/>
      <c r="S1077" s="1618"/>
      <c r="T1077" s="1618">
        <f t="shared" si="342"/>
        <v>0</v>
      </c>
      <c r="U1077" s="1618"/>
      <c r="V1077" s="1618">
        <f t="shared" si="343"/>
        <v>0</v>
      </c>
      <c r="W1077" s="1619">
        <f t="shared" si="341"/>
        <v>0</v>
      </c>
      <c r="X1077" s="1618">
        <f t="shared" si="347"/>
        <v>0</v>
      </c>
      <c r="Y1077" s="1619">
        <f t="shared" si="344"/>
        <v>0</v>
      </c>
      <c r="Z1077" s="1618">
        <f t="shared" si="348"/>
        <v>0</v>
      </c>
      <c r="AA1077" s="673"/>
      <c r="AB1077" s="673"/>
    </row>
    <row r="1078" spans="3:28">
      <c r="E1078" s="1750"/>
      <c r="F1078" s="1626">
        <f t="shared" si="337"/>
        <v>0</v>
      </c>
      <c r="G1078" s="1750"/>
      <c r="H1078" s="1618">
        <f t="shared" si="338"/>
        <v>0</v>
      </c>
      <c r="I1078" s="1618"/>
      <c r="J1078" s="1618">
        <f t="shared" si="339"/>
        <v>0</v>
      </c>
      <c r="K1078" s="1618"/>
      <c r="L1078" s="1618"/>
      <c r="M1078" s="1618"/>
      <c r="N1078" s="1618"/>
      <c r="O1078" s="1618"/>
      <c r="P1078" s="1618"/>
      <c r="Q1078" s="1618"/>
      <c r="R1078" s="1618"/>
      <c r="S1078" s="1618"/>
      <c r="T1078" s="1618">
        <f t="shared" si="342"/>
        <v>0</v>
      </c>
      <c r="U1078" s="1618"/>
      <c r="V1078" s="1618">
        <f t="shared" si="343"/>
        <v>0</v>
      </c>
      <c r="W1078" s="1619">
        <f t="shared" si="341"/>
        <v>0</v>
      </c>
      <c r="X1078" s="1618">
        <f t="shared" si="347"/>
        <v>0</v>
      </c>
      <c r="Y1078" s="1619">
        <f t="shared" si="344"/>
        <v>0</v>
      </c>
      <c r="Z1078" s="1618">
        <f t="shared" si="348"/>
        <v>0</v>
      </c>
      <c r="AA1078" s="673"/>
      <c r="AB1078" s="673"/>
    </row>
    <row r="1079" spans="3:28">
      <c r="E1079" s="1750"/>
      <c r="F1079" s="1626">
        <f t="shared" si="337"/>
        <v>0</v>
      </c>
      <c r="G1079" s="1750"/>
      <c r="H1079" s="1618">
        <f t="shared" si="338"/>
        <v>0</v>
      </c>
      <c r="I1079" s="1618"/>
      <c r="J1079" s="1618">
        <f t="shared" si="339"/>
        <v>0</v>
      </c>
      <c r="K1079" s="1618"/>
      <c r="L1079" s="1618"/>
      <c r="M1079" s="1618"/>
      <c r="N1079" s="1618"/>
      <c r="O1079" s="1618"/>
      <c r="P1079" s="1618"/>
      <c r="Q1079" s="1618"/>
      <c r="R1079" s="1618"/>
      <c r="S1079" s="1618"/>
      <c r="T1079" s="1618">
        <f t="shared" si="342"/>
        <v>0</v>
      </c>
      <c r="U1079" s="1618"/>
      <c r="V1079" s="1618">
        <f t="shared" si="343"/>
        <v>0</v>
      </c>
      <c r="W1079" s="1619">
        <f t="shared" si="341"/>
        <v>0</v>
      </c>
      <c r="X1079" s="1618">
        <f t="shared" si="347"/>
        <v>0</v>
      </c>
      <c r="Y1079" s="1619">
        <f t="shared" si="344"/>
        <v>0</v>
      </c>
      <c r="Z1079" s="1618">
        <f t="shared" si="348"/>
        <v>0</v>
      </c>
      <c r="AA1079" s="673"/>
      <c r="AB1079" s="673"/>
    </row>
    <row r="1080" spans="3:28">
      <c r="C1080" s="1211"/>
      <c r="D1080" s="1211"/>
      <c r="E1080" s="1751"/>
      <c r="F1080" s="1626">
        <f t="shared" si="337"/>
        <v>0</v>
      </c>
      <c r="G1080" s="1751"/>
      <c r="H1080" s="1618">
        <f t="shared" si="338"/>
        <v>0</v>
      </c>
      <c r="I1080" s="1618"/>
      <c r="J1080" s="1618">
        <f t="shared" si="339"/>
        <v>0</v>
      </c>
      <c r="K1080" s="1618"/>
      <c r="L1080" s="1618"/>
      <c r="M1080" s="1618"/>
      <c r="N1080" s="1618"/>
      <c r="O1080" s="1618"/>
      <c r="P1080" s="1618"/>
      <c r="Q1080" s="1618"/>
      <c r="R1080" s="1618"/>
      <c r="S1080" s="1618"/>
      <c r="T1080" s="1618">
        <f t="shared" si="342"/>
        <v>0</v>
      </c>
      <c r="U1080" s="1618"/>
      <c r="V1080" s="1618">
        <f t="shared" si="343"/>
        <v>0</v>
      </c>
      <c r="W1080" s="1619">
        <f t="shared" si="341"/>
        <v>0</v>
      </c>
      <c r="X1080" s="1618">
        <f t="shared" si="347"/>
        <v>0</v>
      </c>
      <c r="Y1080" s="1619">
        <f t="shared" si="344"/>
        <v>0</v>
      </c>
      <c r="Z1080" s="1618">
        <f t="shared" si="348"/>
        <v>0</v>
      </c>
      <c r="AA1080" s="681"/>
      <c r="AB1080" s="673"/>
    </row>
    <row r="1081" spans="3:28">
      <c r="C1081" s="1211"/>
      <c r="D1081" s="1211"/>
      <c r="E1081" s="1751"/>
      <c r="F1081" s="1626">
        <f t="shared" si="337"/>
        <v>0</v>
      </c>
      <c r="G1081" s="1751"/>
      <c r="H1081" s="1618"/>
      <c r="I1081" s="1618"/>
      <c r="J1081" s="1618">
        <f t="shared" si="339"/>
        <v>0</v>
      </c>
      <c r="K1081" s="1618"/>
      <c r="L1081" s="1618"/>
      <c r="M1081" s="1618"/>
      <c r="N1081" s="1618"/>
      <c r="O1081" s="1618"/>
      <c r="P1081" s="1618"/>
      <c r="Q1081" s="1618"/>
      <c r="R1081" s="1618"/>
      <c r="S1081" s="1618"/>
      <c r="T1081" s="1618">
        <f t="shared" si="342"/>
        <v>0</v>
      </c>
      <c r="U1081" s="1618"/>
      <c r="V1081" s="1618">
        <f t="shared" si="343"/>
        <v>0</v>
      </c>
      <c r="W1081" s="1619">
        <f t="shared" si="341"/>
        <v>0</v>
      </c>
      <c r="X1081" s="1618">
        <f t="shared" si="347"/>
        <v>0</v>
      </c>
      <c r="Y1081" s="1619">
        <f t="shared" si="344"/>
        <v>0</v>
      </c>
      <c r="Z1081" s="1618">
        <f t="shared" si="348"/>
        <v>0</v>
      </c>
      <c r="AA1081" s="681"/>
      <c r="AB1081" s="673"/>
    </row>
    <row r="1082" spans="3:28">
      <c r="C1082" s="1211"/>
      <c r="D1082" s="1211"/>
      <c r="E1082" s="1751"/>
      <c r="F1082" s="1626">
        <f t="shared" si="337"/>
        <v>0</v>
      </c>
      <c r="G1082" s="1751"/>
      <c r="H1082" s="1618"/>
      <c r="I1082" s="1618"/>
      <c r="J1082" s="1618">
        <f t="shared" si="339"/>
        <v>0</v>
      </c>
      <c r="K1082" s="1618"/>
      <c r="L1082" s="1618"/>
      <c r="M1082" s="1618"/>
      <c r="N1082" s="1618"/>
      <c r="O1082" s="1618"/>
      <c r="P1082" s="1618"/>
      <c r="Q1082" s="1618"/>
      <c r="R1082" s="1618"/>
      <c r="S1082" s="1618"/>
      <c r="T1082" s="1618">
        <f t="shared" si="342"/>
        <v>0</v>
      </c>
      <c r="U1082" s="1618"/>
      <c r="V1082" s="1618">
        <f t="shared" si="343"/>
        <v>0</v>
      </c>
      <c r="W1082" s="1619">
        <f t="shared" si="341"/>
        <v>0</v>
      </c>
      <c r="X1082" s="1618">
        <f t="shared" si="347"/>
        <v>0</v>
      </c>
      <c r="Y1082" s="1619">
        <f t="shared" si="344"/>
        <v>0</v>
      </c>
      <c r="Z1082" s="1618">
        <f t="shared" si="348"/>
        <v>0</v>
      </c>
      <c r="AA1082" s="681"/>
      <c r="AB1082" s="673"/>
    </row>
    <row r="1083" spans="3:28">
      <c r="C1083" s="1211"/>
      <c r="D1083" s="1211"/>
      <c r="E1083" s="1751"/>
      <c r="F1083" s="1626">
        <f t="shared" si="337"/>
        <v>0</v>
      </c>
      <c r="G1083" s="1751"/>
      <c r="H1083" s="1618"/>
      <c r="I1083" s="1618"/>
      <c r="J1083" s="1618">
        <f t="shared" si="339"/>
        <v>0</v>
      </c>
      <c r="K1083" s="1618"/>
      <c r="L1083" s="1618"/>
      <c r="M1083" s="1618"/>
      <c r="N1083" s="1618"/>
      <c r="O1083" s="1618"/>
      <c r="P1083" s="1618"/>
      <c r="Q1083" s="1618"/>
      <c r="R1083" s="1618"/>
      <c r="S1083" s="1618"/>
      <c r="T1083" s="1618">
        <f t="shared" si="342"/>
        <v>0</v>
      </c>
      <c r="U1083" s="1618"/>
      <c r="V1083" s="1618">
        <f t="shared" si="343"/>
        <v>0</v>
      </c>
      <c r="W1083" s="1619"/>
      <c r="X1083" s="1618"/>
      <c r="Y1083" s="1619"/>
      <c r="Z1083" s="1618"/>
      <c r="AA1083" s="681"/>
      <c r="AB1083" s="673"/>
    </row>
    <row r="1084" spans="3:28">
      <c r="C1084" s="1211"/>
      <c r="D1084" s="1211"/>
      <c r="E1084" s="1751"/>
      <c r="F1084" s="1626">
        <f t="shared" si="337"/>
        <v>0</v>
      </c>
      <c r="G1084" s="1751"/>
      <c r="H1084" s="1618"/>
      <c r="I1084" s="1618"/>
      <c r="J1084" s="1618">
        <f t="shared" si="339"/>
        <v>0</v>
      </c>
      <c r="K1084" s="1618"/>
      <c r="L1084" s="1618"/>
      <c r="M1084" s="1618"/>
      <c r="N1084" s="1618"/>
      <c r="O1084" s="1618"/>
      <c r="P1084" s="1618"/>
      <c r="Q1084" s="1618"/>
      <c r="R1084" s="1618"/>
      <c r="S1084" s="1618"/>
      <c r="T1084" s="1618">
        <f t="shared" si="342"/>
        <v>0</v>
      </c>
      <c r="U1084" s="1618"/>
      <c r="V1084" s="1618">
        <f t="shared" si="343"/>
        <v>0</v>
      </c>
      <c r="W1084" s="1619"/>
      <c r="X1084" s="1618"/>
      <c r="Y1084" s="1619"/>
      <c r="Z1084" s="1618"/>
      <c r="AA1084" s="681"/>
      <c r="AB1084" s="673"/>
    </row>
    <row r="1085" spans="3:28">
      <c r="C1085" s="1211"/>
      <c r="D1085" s="1211"/>
      <c r="E1085" s="1751"/>
      <c r="F1085" s="1626">
        <f t="shared" si="337"/>
        <v>0</v>
      </c>
      <c r="G1085" s="1751"/>
      <c r="H1085" s="1618"/>
      <c r="I1085" s="1618"/>
      <c r="J1085" s="1618">
        <f t="shared" si="339"/>
        <v>0</v>
      </c>
      <c r="K1085" s="1618"/>
      <c r="L1085" s="1618"/>
      <c r="M1085" s="1618"/>
      <c r="N1085" s="1618"/>
      <c r="O1085" s="1618"/>
      <c r="P1085" s="1618"/>
      <c r="Q1085" s="1618"/>
      <c r="R1085" s="1618"/>
      <c r="S1085" s="1618"/>
      <c r="T1085" s="1618"/>
      <c r="U1085" s="1618"/>
      <c r="V1085" s="1618">
        <f t="shared" si="343"/>
        <v>0</v>
      </c>
      <c r="W1085" s="1619"/>
      <c r="X1085" s="1618"/>
      <c r="Y1085" s="1618"/>
      <c r="Z1085" s="1618"/>
      <c r="AA1085" s="681"/>
      <c r="AB1085" s="673"/>
    </row>
    <row r="1086" spans="3:28">
      <c r="C1086" s="1211"/>
      <c r="D1086" s="1211"/>
      <c r="E1086" s="1751"/>
      <c r="F1086" s="1626">
        <f t="shared" si="337"/>
        <v>0</v>
      </c>
      <c r="G1086" s="1751"/>
      <c r="H1086" s="1618"/>
      <c r="I1086" s="1618"/>
      <c r="J1086" s="1618">
        <f t="shared" si="339"/>
        <v>0</v>
      </c>
      <c r="K1086" s="1618"/>
      <c r="L1086" s="1618"/>
      <c r="M1086" s="1618"/>
      <c r="N1086" s="1618"/>
      <c r="O1086" s="1618"/>
      <c r="P1086" s="1618"/>
      <c r="Q1086" s="1618"/>
      <c r="R1086" s="1618"/>
      <c r="S1086" s="1618"/>
      <c r="T1086" s="1618"/>
      <c r="U1086" s="1618"/>
      <c r="V1086" s="1618">
        <f t="shared" si="343"/>
        <v>0</v>
      </c>
      <c r="W1086" s="1619"/>
      <c r="X1086" s="1618"/>
      <c r="Y1086" s="1618"/>
      <c r="Z1086" s="1618"/>
      <c r="AA1086" s="681"/>
      <c r="AB1086" s="673"/>
    </row>
    <row r="1087" spans="3:28">
      <c r="C1087" s="1211"/>
      <c r="D1087" s="1211"/>
      <c r="E1087" s="1751"/>
      <c r="F1087" s="1626">
        <f t="shared" si="337"/>
        <v>0</v>
      </c>
      <c r="G1087" s="1751"/>
      <c r="H1087" s="1618"/>
      <c r="I1087" s="1618"/>
      <c r="J1087" s="1618">
        <f t="shared" si="339"/>
        <v>0</v>
      </c>
      <c r="K1087" s="1618"/>
      <c r="L1087" s="1618"/>
      <c r="M1087" s="1618"/>
      <c r="N1087" s="1618"/>
      <c r="O1087" s="1618"/>
      <c r="P1087" s="1618"/>
      <c r="Q1087" s="1618"/>
      <c r="R1087" s="1618"/>
      <c r="S1087" s="1618"/>
      <c r="T1087" s="1618"/>
      <c r="U1087" s="1618"/>
      <c r="V1087" s="1618">
        <f t="shared" si="343"/>
        <v>0</v>
      </c>
      <c r="W1087" s="1619"/>
      <c r="X1087" s="1618"/>
      <c r="Y1087" s="1618"/>
      <c r="Z1087" s="1618"/>
      <c r="AA1087" s="681"/>
      <c r="AB1087" s="673"/>
    </row>
    <row r="1088" spans="3:28">
      <c r="C1088" s="1211"/>
      <c r="D1088" s="1211"/>
      <c r="E1088" s="1751"/>
      <c r="F1088" s="1626">
        <f t="shared" si="337"/>
        <v>0</v>
      </c>
      <c r="G1088" s="1751"/>
      <c r="H1088" s="1618"/>
      <c r="I1088" s="1618"/>
      <c r="J1088" s="1618">
        <f t="shared" si="339"/>
        <v>0</v>
      </c>
      <c r="K1088" s="1618"/>
      <c r="L1088" s="1618"/>
      <c r="M1088" s="1618"/>
      <c r="N1088" s="1618"/>
      <c r="O1088" s="1618"/>
      <c r="P1088" s="1618"/>
      <c r="Q1088" s="1618"/>
      <c r="R1088" s="1618"/>
      <c r="S1088" s="1618"/>
      <c r="T1088" s="1618"/>
      <c r="U1088" s="1618"/>
      <c r="V1088" s="1618">
        <f t="shared" ref="V1088:V1090" si="349">U1088*C1088</f>
        <v>0</v>
      </c>
      <c r="W1088" s="1619"/>
      <c r="X1088" s="1618"/>
      <c r="Y1088" s="1618"/>
      <c r="Z1088" s="1618"/>
      <c r="AA1088" s="681"/>
      <c r="AB1088" s="673"/>
    </row>
    <row r="1089" spans="3:28">
      <c r="C1089" s="1211"/>
      <c r="D1089" s="1211"/>
      <c r="E1089" s="1211"/>
      <c r="G1089" s="1211"/>
      <c r="H1089" s="1618"/>
      <c r="I1089" s="1618"/>
      <c r="J1089" s="1625"/>
      <c r="K1089" s="1625"/>
      <c r="L1089" s="1625"/>
      <c r="M1089" s="1625"/>
      <c r="N1089" s="1625"/>
      <c r="O1089" s="1625"/>
      <c r="P1089" s="1625"/>
      <c r="Q1089" s="1625"/>
      <c r="R1089" s="1625"/>
      <c r="S1089" s="1625"/>
      <c r="T1089" s="1625"/>
      <c r="U1089" s="1625"/>
      <c r="V1089" s="1618">
        <f t="shared" si="349"/>
        <v>0</v>
      </c>
      <c r="W1089" s="1752"/>
      <c r="X1089" s="1625"/>
      <c r="Y1089" s="1618"/>
      <c r="Z1089" s="1618"/>
      <c r="AA1089" s="322"/>
    </row>
    <row r="1090" spans="3:28">
      <c r="C1090" s="1211"/>
      <c r="D1090" s="1211"/>
      <c r="E1090" s="1211"/>
      <c r="F1090" s="1626"/>
      <c r="G1090" s="1211"/>
      <c r="H1090" s="1618"/>
      <c r="I1090" s="1618"/>
      <c r="J1090" s="1625"/>
      <c r="K1090" s="1625"/>
      <c r="L1090" s="1625"/>
      <c r="M1090" s="1625"/>
      <c r="N1090" s="1625"/>
      <c r="O1090" s="1625"/>
      <c r="P1090" s="1625"/>
      <c r="Q1090" s="1625"/>
      <c r="R1090" s="1625"/>
      <c r="S1090" s="1625"/>
      <c r="T1090" s="1625"/>
      <c r="U1090" s="1625"/>
      <c r="V1090" s="1618">
        <f t="shared" si="349"/>
        <v>0</v>
      </c>
      <c r="W1090" s="1752"/>
      <c r="X1090" s="1625"/>
      <c r="Y1090" s="1618"/>
      <c r="Z1090" s="1618"/>
      <c r="AA1090" s="322"/>
    </row>
    <row r="1091" spans="3:28">
      <c r="C1091" s="1211"/>
      <c r="D1091" s="1211"/>
      <c r="E1091" s="1211"/>
      <c r="F1091" s="1211"/>
      <c r="G1091" s="1211"/>
      <c r="H1091" s="1618"/>
      <c r="I1091" s="1753"/>
      <c r="J1091" s="1625"/>
      <c r="K1091" s="1754"/>
      <c r="L1091" s="1754"/>
      <c r="M1091" s="1754"/>
      <c r="N1091" s="1754"/>
      <c r="O1091" s="1754"/>
      <c r="P1091" s="1754"/>
      <c r="Q1091" s="1754"/>
      <c r="R1091" s="1754"/>
      <c r="S1091" s="1754"/>
      <c r="T1091" s="1754"/>
      <c r="U1091" s="1754"/>
      <c r="V1091" s="1754"/>
      <c r="W1091" s="1755"/>
      <c r="X1091" s="1754"/>
      <c r="Y1091" s="1211"/>
      <c r="Z1091" s="1211"/>
      <c r="AA1091" s="322"/>
    </row>
    <row r="1092" spans="3:28">
      <c r="C1092" s="1211"/>
      <c r="D1092" s="1211"/>
      <c r="E1092" s="1211"/>
      <c r="F1092" s="1211"/>
      <c r="G1092" s="1211"/>
      <c r="H1092" s="1618"/>
      <c r="I1092" s="1753"/>
      <c r="J1092" s="1625"/>
      <c r="K1092" s="1754"/>
      <c r="L1092" s="1754"/>
      <c r="M1092" s="1754"/>
      <c r="N1092" s="1754"/>
      <c r="O1092" s="1754"/>
      <c r="P1092" s="1754"/>
      <c r="Q1092" s="1754"/>
      <c r="R1092" s="1754"/>
      <c r="S1092" s="1754"/>
      <c r="T1092" s="1754"/>
      <c r="U1092" s="1754"/>
      <c r="V1092" s="1754"/>
      <c r="W1092" s="1755"/>
      <c r="X1092" s="1754"/>
      <c r="Y1092" s="1211"/>
      <c r="Z1092" s="1211"/>
      <c r="AA1092" s="322"/>
      <c r="AB1092" s="322"/>
    </row>
    <row r="1093" spans="3:28">
      <c r="C1093" s="1211"/>
      <c r="D1093" s="1211"/>
      <c r="E1093" s="1211"/>
      <c r="F1093" s="1211"/>
      <c r="G1093" s="1211"/>
      <c r="H1093" s="1211"/>
      <c r="I1093" s="1753"/>
      <c r="J1093" s="1211"/>
      <c r="K1093" s="1211"/>
      <c r="L1093" s="1211"/>
      <c r="M1093" s="1211"/>
      <c r="N1093" s="1211"/>
      <c r="O1093" s="1211"/>
      <c r="P1093" s="1211"/>
      <c r="Q1093" s="1211"/>
      <c r="R1093" s="1211"/>
      <c r="S1093" s="1211"/>
      <c r="T1093" s="1211"/>
      <c r="U1093" s="1211"/>
      <c r="V1093" s="1211"/>
      <c r="W1093" s="1756"/>
      <c r="X1093" s="1211"/>
      <c r="Y1093" s="1211"/>
      <c r="Z1093" s="1211"/>
      <c r="AA1093" s="322"/>
      <c r="AB1093" s="322"/>
    </row>
    <row r="1094" spans="3:28">
      <c r="C1094" s="1211"/>
      <c r="D1094" s="1211"/>
      <c r="E1094" s="1211"/>
      <c r="F1094" s="1211"/>
      <c r="G1094" s="1211"/>
      <c r="H1094" s="1211"/>
      <c r="I1094" s="1753"/>
      <c r="J1094" s="1211"/>
      <c r="K1094" s="1211"/>
      <c r="L1094" s="1211"/>
      <c r="M1094" s="1211"/>
      <c r="N1094" s="1211"/>
      <c r="O1094" s="1211"/>
      <c r="P1094" s="1211"/>
      <c r="Q1094" s="1211"/>
      <c r="R1094" s="1211"/>
      <c r="S1094" s="1211"/>
      <c r="T1094" s="1211"/>
      <c r="U1094" s="1211"/>
      <c r="V1094" s="1211"/>
      <c r="W1094" s="1756"/>
      <c r="X1094" s="1211"/>
      <c r="Y1094" s="1211"/>
      <c r="Z1094" s="1211"/>
      <c r="AA1094" s="322"/>
      <c r="AB1094" s="322"/>
    </row>
    <row r="1095" spans="3:28">
      <c r="C1095" s="1211"/>
      <c r="D1095" s="1211"/>
      <c r="E1095" s="1211"/>
      <c r="F1095" s="1211"/>
      <c r="G1095" s="1211"/>
      <c r="H1095" s="1211"/>
      <c r="I1095" s="1753"/>
      <c r="J1095" s="1211"/>
      <c r="K1095" s="1211"/>
      <c r="L1095" s="1211"/>
      <c r="M1095" s="1211"/>
      <c r="N1095" s="1211"/>
      <c r="O1095" s="1211"/>
      <c r="P1095" s="1211"/>
      <c r="Q1095" s="1211"/>
      <c r="R1095" s="1211"/>
      <c r="S1095" s="1211"/>
      <c r="T1095" s="1211"/>
      <c r="U1095" s="1211"/>
      <c r="V1095" s="1211"/>
      <c r="W1095" s="1756"/>
      <c r="X1095" s="1211"/>
      <c r="Y1095" s="1211"/>
      <c r="Z1095" s="1211"/>
      <c r="AA1095" s="322"/>
      <c r="AB1095" s="322"/>
    </row>
    <row r="1096" spans="3:28">
      <c r="C1096" s="1211"/>
      <c r="D1096" s="1211"/>
      <c r="E1096" s="1211"/>
      <c r="F1096" s="1211"/>
      <c r="G1096" s="1211"/>
      <c r="H1096" s="1211"/>
      <c r="I1096" s="1753"/>
      <c r="J1096" s="1211"/>
      <c r="K1096" s="1211"/>
      <c r="L1096" s="1211"/>
      <c r="M1096" s="1211"/>
      <c r="N1096" s="1211"/>
      <c r="O1096" s="1211"/>
      <c r="P1096" s="1211"/>
      <c r="Q1096" s="1211"/>
      <c r="R1096" s="1211"/>
      <c r="S1096" s="1211"/>
      <c r="T1096" s="1211"/>
      <c r="U1096" s="1211"/>
      <c r="V1096" s="1211"/>
      <c r="W1096" s="1756"/>
      <c r="X1096" s="1211"/>
      <c r="Y1096" s="1211"/>
      <c r="Z1096" s="1211"/>
      <c r="AA1096" s="322"/>
      <c r="AB1096" s="322"/>
    </row>
    <row r="1097" spans="3:28">
      <c r="C1097" s="1211"/>
      <c r="D1097" s="1211"/>
      <c r="E1097" s="1211"/>
      <c r="F1097" s="1211"/>
      <c r="G1097" s="1211"/>
      <c r="H1097" s="1211"/>
      <c r="I1097" s="1753"/>
      <c r="J1097" s="1211"/>
      <c r="K1097" s="1211"/>
      <c r="L1097" s="1211"/>
      <c r="M1097" s="1211"/>
      <c r="N1097" s="1211"/>
      <c r="O1097" s="1211"/>
      <c r="P1097" s="1211"/>
      <c r="Q1097" s="1211"/>
      <c r="R1097" s="1211"/>
      <c r="S1097" s="1211"/>
      <c r="T1097" s="1211"/>
      <c r="U1097" s="1211"/>
      <c r="V1097" s="1211"/>
      <c r="W1097" s="1756"/>
      <c r="X1097" s="1211"/>
      <c r="Y1097" s="1211"/>
      <c r="Z1097" s="1211"/>
      <c r="AA1097" s="322"/>
      <c r="AB1097" s="322"/>
    </row>
    <row r="1098" spans="3:28">
      <c r="C1098" s="1211"/>
      <c r="D1098" s="1211"/>
      <c r="E1098" s="1211"/>
      <c r="F1098" s="1211"/>
      <c r="G1098" s="1211"/>
      <c r="H1098" s="1211"/>
      <c r="I1098" s="1753"/>
      <c r="J1098" s="1211"/>
      <c r="K1098" s="1211"/>
      <c r="L1098" s="1211"/>
      <c r="M1098" s="1211"/>
      <c r="N1098" s="1211"/>
      <c r="O1098" s="1211"/>
      <c r="P1098" s="1211"/>
      <c r="Q1098" s="1211"/>
      <c r="R1098" s="1211"/>
      <c r="S1098" s="1211"/>
      <c r="T1098" s="1211"/>
      <c r="U1098" s="1211"/>
      <c r="V1098" s="1211"/>
      <c r="W1098" s="1756"/>
      <c r="X1098" s="1211"/>
      <c r="Y1098" s="1211"/>
      <c r="Z1098" s="1211"/>
      <c r="AA1098" s="322"/>
      <c r="AB1098" s="322"/>
    </row>
  </sheetData>
  <autoFilter ref="A5:AJ1067">
    <filterColumn colId="10"/>
    <filterColumn colId="11"/>
    <filterColumn colId="12"/>
    <filterColumn colId="13"/>
    <filterColumn colId="14"/>
    <filterColumn colId="15"/>
    <filterColumn colId="16"/>
    <filterColumn colId="17"/>
    <filterColumn colId="24">
      <customFilters and="1">
        <customFilter operator="notEqual" val=" "/>
      </customFilters>
    </filterColumn>
  </autoFilter>
  <mergeCells count="26">
    <mergeCell ref="A1:Z1"/>
    <mergeCell ref="A3:A4"/>
    <mergeCell ref="B3:B4"/>
    <mergeCell ref="C3:C4"/>
    <mergeCell ref="D3:D4"/>
    <mergeCell ref="I3:J3"/>
    <mergeCell ref="W3:X3"/>
    <mergeCell ref="S3:T3"/>
    <mergeCell ref="U3:V3"/>
    <mergeCell ref="K3:L3"/>
    <mergeCell ref="M3:N3"/>
    <mergeCell ref="O3:P3"/>
    <mergeCell ref="Q3:R3"/>
    <mergeCell ref="A2:Z2"/>
    <mergeCell ref="Y3:Y4"/>
    <mergeCell ref="Z3:Z4"/>
    <mergeCell ref="B940:B941"/>
    <mergeCell ref="B934:B935"/>
    <mergeCell ref="D934:D935"/>
    <mergeCell ref="B937:B938"/>
    <mergeCell ref="D937:D938"/>
    <mergeCell ref="B923:B924"/>
    <mergeCell ref="B926:B927"/>
    <mergeCell ref="B929:B930"/>
    <mergeCell ref="E3:F3"/>
    <mergeCell ref="G3:H3"/>
  </mergeCells>
  <printOptions horizontalCentered="1"/>
  <pageMargins left="0.23622047244094499" right="0.196850393700787" top="0.66929133858267698" bottom="0.55118110236220497" header="0.27559055118110198" footer="0.27559055118110198"/>
  <pageSetup paperSize="8" scale="33" orientation="landscape" r:id="rId1"/>
  <headerFooter alignWithMargins="0">
    <oddHeader>&amp;R&amp;P</oddHeader>
  </headerFooter>
  <drawing r:id="rId2"/>
</worksheet>
</file>

<file path=xl/worksheets/sheet15.xml><?xml version="1.0" encoding="utf-8"?>
<worksheet xmlns="http://schemas.openxmlformats.org/spreadsheetml/2006/main" xmlns:r="http://schemas.openxmlformats.org/officeDocument/2006/relationships">
  <sheetPr>
    <tabColor rgb="FFFFFF00"/>
  </sheetPr>
  <dimension ref="A1:J41"/>
  <sheetViews>
    <sheetView topLeftCell="A61" workbookViewId="0">
      <selection activeCell="F38" sqref="F38"/>
    </sheetView>
  </sheetViews>
  <sheetFormatPr defaultRowHeight="15"/>
  <cols>
    <col min="1" max="1" width="4.109375" style="1800" customWidth="1"/>
    <col min="2" max="2" width="26.6640625" style="1800" customWidth="1"/>
    <col min="3" max="3" width="5.21875" style="1818" customWidth="1"/>
    <col min="4" max="4" width="5.6640625" style="1818" customWidth="1"/>
    <col min="5" max="5" width="5.77734375" style="1818" customWidth="1"/>
    <col min="6" max="6" width="8.88671875" style="1818"/>
    <col min="7" max="7" width="6.33203125" style="1818" customWidth="1"/>
    <col min="8" max="8" width="8.88671875" style="1819" customWidth="1"/>
    <col min="9" max="9" width="0.109375" style="1800" customWidth="1"/>
    <col min="10" max="10" width="8.88671875" style="1800" hidden="1" customWidth="1"/>
    <col min="11" max="16384" width="8.88671875" style="1800"/>
  </cols>
  <sheetData>
    <row r="1" spans="1:10" ht="51.75" customHeight="1">
      <c r="A1" s="1934" t="str">
        <f>[9]OHT!A4</f>
        <v>Name of work : Construction of Fire and Rescue service station building with development works at Kadamalaikundu in Theni District.</v>
      </c>
      <c r="B1" s="1935"/>
      <c r="C1" s="1935"/>
      <c r="D1" s="1935"/>
      <c r="E1" s="1935"/>
      <c r="F1" s="1935"/>
      <c r="G1" s="1935"/>
      <c r="H1" s="1935"/>
      <c r="I1" s="1935"/>
      <c r="J1" s="1936"/>
    </row>
    <row r="2" spans="1:10" ht="15.75">
      <c r="A2" s="1937" t="s">
        <v>6219</v>
      </c>
      <c r="B2" s="1937"/>
      <c r="C2" s="1937"/>
      <c r="D2" s="1937"/>
      <c r="E2" s="1937"/>
      <c r="F2" s="1937"/>
      <c r="G2" s="1937"/>
      <c r="H2" s="1937"/>
      <c r="I2" s="1937"/>
      <c r="J2" s="1937"/>
    </row>
    <row r="3" spans="1:10" ht="15.75">
      <c r="A3" s="1937" t="s">
        <v>6220</v>
      </c>
      <c r="B3" s="1937"/>
      <c r="C3" s="1937"/>
      <c r="D3" s="1937"/>
      <c r="E3" s="1937"/>
      <c r="F3" s="1937"/>
      <c r="G3" s="1937"/>
      <c r="H3" s="1937"/>
      <c r="I3" s="1937"/>
      <c r="J3" s="1937"/>
    </row>
    <row r="4" spans="1:10" ht="18.75">
      <c r="A4" s="1801"/>
      <c r="B4" s="1938" t="s">
        <v>6221</v>
      </c>
      <c r="C4" s="1938"/>
      <c r="D4" s="1938"/>
      <c r="E4" s="1938"/>
      <c r="F4" s="1938"/>
      <c r="G4" s="1938"/>
      <c r="H4" s="1802"/>
      <c r="I4" s="1803"/>
      <c r="J4" s="1804"/>
    </row>
    <row r="5" spans="1:10">
      <c r="A5" s="1805" t="s">
        <v>6204</v>
      </c>
      <c r="B5" s="1805" t="s">
        <v>1802</v>
      </c>
      <c r="C5" s="1939" t="s">
        <v>1452</v>
      </c>
      <c r="D5" s="1939"/>
      <c r="E5" s="1806" t="s">
        <v>6205</v>
      </c>
      <c r="F5" s="1806" t="s">
        <v>3249</v>
      </c>
      <c r="G5" s="1806" t="s">
        <v>6206</v>
      </c>
      <c r="H5" s="1807" t="s">
        <v>6207</v>
      </c>
    </row>
    <row r="6" spans="1:10">
      <c r="A6" s="1808"/>
      <c r="B6" s="1808" t="s">
        <v>6222</v>
      </c>
      <c r="C6" s="1809"/>
      <c r="D6" s="1809"/>
      <c r="E6" s="1809"/>
      <c r="F6" s="1809"/>
      <c r="G6" s="1809"/>
      <c r="H6" s="1810"/>
    </row>
    <row r="7" spans="1:10">
      <c r="A7" s="1808"/>
      <c r="B7" s="1808" t="s">
        <v>6223</v>
      </c>
      <c r="C7" s="1809"/>
      <c r="D7" s="1809"/>
      <c r="E7" s="1809"/>
      <c r="F7" s="1809"/>
      <c r="G7" s="1809"/>
      <c r="H7" s="1810"/>
    </row>
    <row r="8" spans="1:10">
      <c r="A8" s="1808"/>
      <c r="B8" s="1808"/>
      <c r="C8" s="1809"/>
      <c r="D8" s="1809"/>
      <c r="E8" s="1809"/>
      <c r="F8" s="1809"/>
      <c r="G8" s="1809"/>
      <c r="H8" s="1810"/>
    </row>
    <row r="9" spans="1:10">
      <c r="A9" s="1811">
        <v>1.5</v>
      </c>
      <c r="B9" s="1812" t="s">
        <v>6208</v>
      </c>
      <c r="C9" s="1813"/>
      <c r="D9" s="1813"/>
      <c r="E9" s="1813"/>
      <c r="F9" s="1813"/>
      <c r="G9" s="1813"/>
      <c r="H9" s="1814"/>
    </row>
    <row r="10" spans="1:10">
      <c r="A10" s="1811"/>
      <c r="B10" s="1815" t="s">
        <v>6224</v>
      </c>
      <c r="C10" s="1813">
        <v>1</v>
      </c>
      <c r="D10" s="1813">
        <v>1</v>
      </c>
      <c r="E10" s="1814">
        <v>72.400000000000006</v>
      </c>
      <c r="F10" s="1814">
        <v>4.5</v>
      </c>
      <c r="G10" s="1813">
        <v>0.38</v>
      </c>
      <c r="H10" s="1814">
        <f>PRODUCT(C10:G10)</f>
        <v>123.8</v>
      </c>
    </row>
    <row r="11" spans="1:10">
      <c r="A11" s="1811"/>
      <c r="B11" s="1811" t="s">
        <v>6225</v>
      </c>
      <c r="C11" s="1813">
        <v>1</v>
      </c>
      <c r="D11" s="1813">
        <v>1</v>
      </c>
      <c r="E11" s="1814">
        <v>16.5</v>
      </c>
      <c r="F11" s="1814">
        <v>10</v>
      </c>
      <c r="G11" s="1813">
        <v>0.38</v>
      </c>
      <c r="H11" s="1814">
        <f t="shared" ref="H11:H33" si="0">PRODUCT(C11:G11)</f>
        <v>62.7</v>
      </c>
    </row>
    <row r="12" spans="1:10">
      <c r="A12" s="1811"/>
      <c r="B12" s="1811"/>
      <c r="C12" s="1813"/>
      <c r="D12" s="1813"/>
      <c r="E12" s="1813"/>
      <c r="F12" s="1813"/>
      <c r="G12" s="1813"/>
      <c r="H12" s="1814">
        <f>+SUM(H10:H11)</f>
        <v>186.5</v>
      </c>
    </row>
    <row r="13" spans="1:10">
      <c r="A13" s="1811"/>
      <c r="B13" s="1811"/>
      <c r="C13" s="1813"/>
      <c r="D13" s="1813"/>
      <c r="E13" s="1813"/>
      <c r="F13" s="1813" t="s">
        <v>4322</v>
      </c>
      <c r="G13" s="1813" t="s">
        <v>2176</v>
      </c>
      <c r="H13" s="1810">
        <f>ROUNDUP(H12,1)</f>
        <v>186.5</v>
      </c>
    </row>
    <row r="14" spans="1:10" ht="30">
      <c r="A14" s="1808">
        <v>2</v>
      </c>
      <c r="B14" s="1812" t="s">
        <v>6226</v>
      </c>
      <c r="C14" s="1813"/>
      <c r="D14" s="1813"/>
      <c r="E14" s="1813"/>
      <c r="F14" s="1813"/>
      <c r="G14" s="1813"/>
      <c r="H14" s="1814"/>
    </row>
    <row r="15" spans="1:10">
      <c r="A15" s="1811"/>
      <c r="B15" s="1815" t="s">
        <v>6224</v>
      </c>
      <c r="C15" s="1813">
        <v>1</v>
      </c>
      <c r="D15" s="1813">
        <v>1</v>
      </c>
      <c r="E15" s="1814">
        <v>72.400000000000006</v>
      </c>
      <c r="F15" s="1814">
        <v>4.5</v>
      </c>
      <c r="G15" s="1813">
        <v>0.15</v>
      </c>
      <c r="H15" s="1814">
        <f t="shared" si="0"/>
        <v>48.87</v>
      </c>
    </row>
    <row r="16" spans="1:10">
      <c r="A16" s="1811"/>
      <c r="B16" s="1811" t="s">
        <v>6225</v>
      </c>
      <c r="C16" s="1813">
        <v>1</v>
      </c>
      <c r="D16" s="1813">
        <v>1</v>
      </c>
      <c r="E16" s="1814">
        <v>16.5</v>
      </c>
      <c r="F16" s="1814">
        <v>10</v>
      </c>
      <c r="G16" s="1813">
        <v>0.15</v>
      </c>
      <c r="H16" s="1814">
        <f t="shared" si="0"/>
        <v>24.75</v>
      </c>
    </row>
    <row r="17" spans="1:8">
      <c r="A17" s="1811"/>
      <c r="B17" s="1811"/>
      <c r="C17" s="1813"/>
      <c r="D17" s="1813"/>
      <c r="E17" s="1813"/>
      <c r="F17" s="1813"/>
      <c r="G17" s="1813"/>
      <c r="H17" s="1814">
        <f>+SUM(H15:H16)</f>
        <v>73.62</v>
      </c>
    </row>
    <row r="18" spans="1:8">
      <c r="A18" s="1811"/>
      <c r="B18" s="1811"/>
      <c r="C18" s="1813"/>
      <c r="D18" s="1813"/>
      <c r="E18" s="1813"/>
      <c r="F18" s="1813" t="s">
        <v>4322</v>
      </c>
      <c r="G18" s="1813" t="s">
        <v>2176</v>
      </c>
      <c r="H18" s="1810">
        <f>ROUNDUP(H17,1)</f>
        <v>73.7</v>
      </c>
    </row>
    <row r="19" spans="1:8">
      <c r="A19" s="1811"/>
      <c r="B19" s="1811"/>
      <c r="C19" s="1813"/>
      <c r="D19" s="1813"/>
      <c r="E19" s="1813"/>
      <c r="F19" s="1813"/>
      <c r="G19" s="1813"/>
      <c r="H19" s="1814"/>
    </row>
    <row r="20" spans="1:8">
      <c r="A20" s="1808">
        <v>3</v>
      </c>
      <c r="B20" s="1812" t="s">
        <v>6227</v>
      </c>
      <c r="C20" s="1813"/>
      <c r="D20" s="1813"/>
      <c r="E20" s="1813"/>
      <c r="F20" s="1813"/>
      <c r="G20" s="1813"/>
      <c r="H20" s="1814"/>
    </row>
    <row r="21" spans="1:8">
      <c r="A21" s="1811"/>
      <c r="B21" s="1815" t="s">
        <v>6224</v>
      </c>
      <c r="C21" s="1813">
        <v>1</v>
      </c>
      <c r="D21" s="1813">
        <v>1</v>
      </c>
      <c r="E21" s="1814">
        <v>72.400000000000006</v>
      </c>
      <c r="F21" s="1814">
        <v>4.5</v>
      </c>
      <c r="G21" s="1813">
        <v>0.15</v>
      </c>
      <c r="H21" s="1814">
        <f t="shared" ref="H21:H22" si="1">PRODUCT(C21:G21)</f>
        <v>48.87</v>
      </c>
    </row>
    <row r="22" spans="1:8">
      <c r="A22" s="1811"/>
      <c r="B22" s="1811" t="s">
        <v>6225</v>
      </c>
      <c r="C22" s="1813">
        <v>1</v>
      </c>
      <c r="D22" s="1813">
        <v>1</v>
      </c>
      <c r="E22" s="1814">
        <v>16.5</v>
      </c>
      <c r="F22" s="1814">
        <v>10</v>
      </c>
      <c r="G22" s="1813">
        <v>0.15</v>
      </c>
      <c r="H22" s="1814">
        <f t="shared" si="1"/>
        <v>24.75</v>
      </c>
    </row>
    <row r="23" spans="1:8">
      <c r="A23" s="1811"/>
      <c r="B23" s="1811"/>
      <c r="C23" s="1813"/>
      <c r="D23" s="1813"/>
      <c r="E23" s="1813"/>
      <c r="F23" s="1813"/>
      <c r="G23" s="1813"/>
      <c r="H23" s="1814">
        <f>+SUM(H21:H22)</f>
        <v>73.62</v>
      </c>
    </row>
    <row r="24" spans="1:8">
      <c r="A24" s="1811"/>
      <c r="B24" s="1811"/>
      <c r="C24" s="1813"/>
      <c r="D24" s="1813"/>
      <c r="E24" s="1813"/>
      <c r="F24" s="1813" t="s">
        <v>4322</v>
      </c>
      <c r="G24" s="1813" t="s">
        <v>2176</v>
      </c>
      <c r="H24" s="1810">
        <f>ROUNDUP(H23,1)</f>
        <v>73.7</v>
      </c>
    </row>
    <row r="25" spans="1:8">
      <c r="A25" s="1811"/>
      <c r="B25" s="1811"/>
      <c r="C25" s="1813"/>
      <c r="D25" s="1813"/>
      <c r="E25" s="1813"/>
      <c r="F25" s="1813"/>
      <c r="G25" s="1813"/>
      <c r="H25" s="1810"/>
    </row>
    <row r="26" spans="1:8" ht="75">
      <c r="A26" s="1808">
        <v>4</v>
      </c>
      <c r="B26" s="1812" t="s">
        <v>6228</v>
      </c>
      <c r="C26" s="1813"/>
      <c r="D26" s="1813"/>
      <c r="E26" s="1813"/>
      <c r="F26" s="1813"/>
      <c r="G26" s="1813"/>
      <c r="H26" s="1814"/>
    </row>
    <row r="27" spans="1:8">
      <c r="A27" s="1811"/>
      <c r="B27" s="1815" t="s">
        <v>6224</v>
      </c>
      <c r="C27" s="1813">
        <v>1</v>
      </c>
      <c r="D27" s="1813">
        <v>1</v>
      </c>
      <c r="E27" s="1814">
        <v>72.400000000000006</v>
      </c>
      <c r="F27" s="1814">
        <v>4.5</v>
      </c>
      <c r="G27" s="1813"/>
      <c r="H27" s="1814">
        <f t="shared" si="0"/>
        <v>325.8</v>
      </c>
    </row>
    <row r="28" spans="1:8">
      <c r="A28" s="1811"/>
      <c r="B28" s="1811" t="s">
        <v>6225</v>
      </c>
      <c r="C28" s="1813">
        <v>1</v>
      </c>
      <c r="D28" s="1813">
        <v>1</v>
      </c>
      <c r="E28" s="1814">
        <v>16.5</v>
      </c>
      <c r="F28" s="1814">
        <v>10</v>
      </c>
      <c r="G28" s="1813"/>
      <c r="H28" s="1814">
        <f t="shared" si="0"/>
        <v>165</v>
      </c>
    </row>
    <row r="29" spans="1:8">
      <c r="A29" s="1811"/>
      <c r="B29" s="1811"/>
      <c r="C29" s="1813"/>
      <c r="D29" s="1813"/>
      <c r="E29" s="1813"/>
      <c r="F29" s="1813"/>
      <c r="G29" s="1813"/>
      <c r="H29" s="1814">
        <f>+SUM(H27:H28)</f>
        <v>490.8</v>
      </c>
    </row>
    <row r="30" spans="1:8">
      <c r="A30" s="1811"/>
      <c r="B30" s="1811"/>
      <c r="C30" s="1813"/>
      <c r="D30" s="1813"/>
      <c r="E30" s="1813"/>
      <c r="F30" s="1813" t="s">
        <v>4322</v>
      </c>
      <c r="G30" s="1813" t="s">
        <v>2308</v>
      </c>
      <c r="H30" s="1810">
        <f>ROUNDUP(H29,1)</f>
        <v>490.8</v>
      </c>
    </row>
    <row r="31" spans="1:8">
      <c r="A31" s="1808">
        <v>50.2</v>
      </c>
      <c r="B31" s="1808" t="s">
        <v>6229</v>
      </c>
      <c r="C31" s="1813"/>
      <c r="D31" s="1813"/>
      <c r="E31" s="1813"/>
      <c r="F31" s="1813"/>
      <c r="G31" s="1813"/>
      <c r="H31" s="1814"/>
    </row>
    <row r="32" spans="1:8">
      <c r="A32" s="1811"/>
      <c r="B32" s="1815" t="s">
        <v>6224</v>
      </c>
      <c r="C32" s="1813">
        <v>1</v>
      </c>
      <c r="D32" s="1813">
        <v>2</v>
      </c>
      <c r="E32" s="1814">
        <v>72.400000000000006</v>
      </c>
      <c r="F32" s="1813"/>
      <c r="G32" s="1813"/>
      <c r="H32" s="1814">
        <f t="shared" si="0"/>
        <v>144.80000000000001</v>
      </c>
    </row>
    <row r="33" spans="1:8">
      <c r="A33" s="1811"/>
      <c r="B33" s="1811" t="s">
        <v>6225</v>
      </c>
      <c r="C33" s="1813">
        <v>1</v>
      </c>
      <c r="D33" s="1813">
        <v>1</v>
      </c>
      <c r="E33" s="1814">
        <v>20</v>
      </c>
      <c r="F33" s="1813"/>
      <c r="G33" s="1813"/>
      <c r="H33" s="1814">
        <f t="shared" si="0"/>
        <v>20</v>
      </c>
    </row>
    <row r="34" spans="1:8">
      <c r="A34" s="1811"/>
      <c r="B34" s="1811"/>
      <c r="C34" s="1813"/>
      <c r="D34" s="1813"/>
      <c r="E34" s="1813"/>
      <c r="F34" s="1813"/>
      <c r="G34" s="1813"/>
      <c r="H34" s="1816">
        <f>+SUM(H32:H33)</f>
        <v>164.8</v>
      </c>
    </row>
    <row r="35" spans="1:8">
      <c r="A35" s="1811"/>
      <c r="B35" s="1811"/>
      <c r="C35" s="1813"/>
      <c r="D35" s="1813"/>
      <c r="E35" s="1813"/>
      <c r="F35" s="1813" t="s">
        <v>4322</v>
      </c>
      <c r="G35" s="1813" t="s">
        <v>835</v>
      </c>
      <c r="H35" s="1810">
        <f>ROUNDUP(H34,1)</f>
        <v>164.8</v>
      </c>
    </row>
    <row r="36" spans="1:8" ht="30">
      <c r="A36" s="1811">
        <v>41</v>
      </c>
      <c r="B36" s="1817" t="s">
        <v>6230</v>
      </c>
      <c r="C36" s="1813"/>
      <c r="D36" s="1813"/>
      <c r="E36" s="1813"/>
      <c r="F36" s="1813"/>
      <c r="G36" s="1813"/>
      <c r="H36" s="1814"/>
    </row>
    <row r="37" spans="1:8">
      <c r="A37" s="1811"/>
      <c r="B37" s="1817" t="s">
        <v>6231</v>
      </c>
      <c r="C37" s="1813"/>
      <c r="D37" s="1813"/>
      <c r="E37" s="1813"/>
      <c r="F37" s="1813"/>
      <c r="G37" s="1813"/>
      <c r="H37" s="1814"/>
    </row>
    <row r="38" spans="1:8">
      <c r="A38" s="1811"/>
      <c r="B38" s="1815" t="s">
        <v>6224</v>
      </c>
      <c r="C38" s="1813">
        <v>1</v>
      </c>
      <c r="D38" s="1813">
        <v>2</v>
      </c>
      <c r="E38" s="1814">
        <v>72.400000000000006</v>
      </c>
      <c r="F38" s="1813"/>
      <c r="G38" s="1813">
        <v>0.45</v>
      </c>
      <c r="H38" s="1814">
        <f t="shared" ref="H38:H39" si="2">PRODUCT(C38:G38)</f>
        <v>65.16</v>
      </c>
    </row>
    <row r="39" spans="1:8">
      <c r="A39" s="1811"/>
      <c r="B39" s="1811" t="s">
        <v>6225</v>
      </c>
      <c r="C39" s="1813">
        <v>1</v>
      </c>
      <c r="D39" s="1813">
        <v>1</v>
      </c>
      <c r="E39" s="1814">
        <v>20</v>
      </c>
      <c r="F39" s="1813"/>
      <c r="G39" s="1813">
        <v>0.45</v>
      </c>
      <c r="H39" s="1814">
        <f t="shared" si="2"/>
        <v>9</v>
      </c>
    </row>
    <row r="40" spans="1:8">
      <c r="A40" s="1811"/>
      <c r="B40" s="1811"/>
      <c r="C40" s="1813"/>
      <c r="D40" s="1813"/>
      <c r="E40" s="1813"/>
      <c r="F40" s="1813"/>
      <c r="G40" s="1813"/>
      <c r="H40" s="1814">
        <f>+SUM(H38:H39)</f>
        <v>74.16</v>
      </c>
    </row>
    <row r="41" spans="1:8">
      <c r="A41" s="1811"/>
      <c r="B41" s="1811"/>
      <c r="C41" s="1813"/>
      <c r="D41" s="1813"/>
      <c r="E41" s="1813"/>
      <c r="F41" s="1813" t="s">
        <v>4322</v>
      </c>
      <c r="G41" s="1813" t="s">
        <v>2308</v>
      </c>
      <c r="H41" s="1810">
        <f>ROUNDUP(H40,1)</f>
        <v>74.2</v>
      </c>
    </row>
  </sheetData>
  <mergeCells count="5">
    <mergeCell ref="A1:J1"/>
    <mergeCell ref="A2:J2"/>
    <mergeCell ref="A3:J3"/>
    <mergeCell ref="B4:G4"/>
    <mergeCell ref="C5:D5"/>
  </mergeCells>
  <pageMargins left="0.7" right="0.7" top="0.75" bottom="0.75" header="0.3" footer="0.3"/>
  <pageSetup paperSize="9" orientation="portrait" horizontalDpi="1200" verticalDpi="0" r:id="rId1"/>
</worksheet>
</file>

<file path=xl/worksheets/sheet16.xml><?xml version="1.0" encoding="utf-8"?>
<worksheet xmlns="http://schemas.openxmlformats.org/spreadsheetml/2006/main" xmlns:r="http://schemas.openxmlformats.org/officeDocument/2006/relationships">
  <sheetPr>
    <tabColor rgb="FFFFC000"/>
  </sheetPr>
  <dimension ref="A1:H130"/>
  <sheetViews>
    <sheetView view="pageBreakPreview" topLeftCell="A64" zoomScale="60" workbookViewId="0">
      <selection activeCell="E125" sqref="E125"/>
    </sheetView>
  </sheetViews>
  <sheetFormatPr defaultRowHeight="15.75"/>
  <cols>
    <col min="1" max="1" width="6.33203125" customWidth="1"/>
    <col min="2" max="2" width="25.5546875" customWidth="1"/>
  </cols>
  <sheetData>
    <row r="1" spans="1:8">
      <c r="A1" s="1942" t="s">
        <v>4042</v>
      </c>
      <c r="B1" s="1942"/>
      <c r="C1" s="1942"/>
      <c r="D1" s="1942"/>
      <c r="E1" s="1942"/>
      <c r="F1" s="1942"/>
      <c r="G1" s="1942"/>
      <c r="H1" s="1942"/>
    </row>
    <row r="2" spans="1:8">
      <c r="A2" s="1942" t="s">
        <v>6006</v>
      </c>
      <c r="B2" s="1942"/>
      <c r="C2" s="1942"/>
      <c r="D2" s="1942"/>
      <c r="E2" s="1942"/>
      <c r="F2" s="1942"/>
      <c r="G2" s="1942"/>
      <c r="H2" s="1942"/>
    </row>
    <row r="3" spans="1:8">
      <c r="A3" s="1943" t="s">
        <v>6007</v>
      </c>
      <c r="B3" s="1943"/>
      <c r="C3" s="1943"/>
      <c r="D3" s="1943"/>
      <c r="E3" s="1943"/>
      <c r="F3" s="1943"/>
      <c r="G3" s="1943"/>
      <c r="H3" s="1943"/>
    </row>
    <row r="4" spans="1:8">
      <c r="A4" s="1403"/>
      <c r="B4" s="1404"/>
      <c r="C4" s="1403"/>
      <c r="D4" s="1403"/>
      <c r="E4" s="1403"/>
      <c r="F4" s="1403"/>
      <c r="G4" s="1403"/>
      <c r="H4" s="1403"/>
    </row>
    <row r="5" spans="1:8">
      <c r="A5" s="1944" t="str">
        <f>'[10]main detail'!A1</f>
        <v>Name of work : Construction of Fire and Rescue service station building with development works at Kadamalaikundu in Theni District.</v>
      </c>
      <c r="B5" s="1944"/>
      <c r="C5" s="1944"/>
      <c r="D5" s="1944"/>
      <c r="E5" s="1944"/>
      <c r="F5" s="1944"/>
      <c r="G5" s="1944"/>
      <c r="H5" s="1944"/>
    </row>
    <row r="6" spans="1:8">
      <c r="A6" s="1405"/>
      <c r="B6" s="1406"/>
      <c r="C6" s="1407"/>
      <c r="D6" s="1407"/>
      <c r="E6" s="1405"/>
      <c r="F6" s="1405"/>
      <c r="G6" s="1405"/>
      <c r="H6" s="1405"/>
    </row>
    <row r="7" spans="1:8" ht="31.5">
      <c r="A7" s="1408" t="s">
        <v>6008</v>
      </c>
      <c r="B7" s="1403" t="s">
        <v>6009</v>
      </c>
      <c r="C7" s="1945" t="s">
        <v>1452</v>
      </c>
      <c r="D7" s="1945"/>
      <c r="E7" s="1403" t="s">
        <v>6010</v>
      </c>
      <c r="F7" s="1403" t="s">
        <v>6011</v>
      </c>
      <c r="G7" s="1403" t="s">
        <v>6012</v>
      </c>
      <c r="H7" s="1403" t="s">
        <v>1055</v>
      </c>
    </row>
    <row r="8" spans="1:8" ht="31.5">
      <c r="A8" s="1409">
        <v>1.5</v>
      </c>
      <c r="B8" s="1410" t="s">
        <v>6013</v>
      </c>
      <c r="C8" s="1411"/>
      <c r="D8" s="1412"/>
      <c r="E8" s="1413"/>
      <c r="F8" s="1413"/>
      <c r="G8" s="1413"/>
      <c r="H8" s="1413"/>
    </row>
    <row r="9" spans="1:8">
      <c r="A9" s="1409"/>
      <c r="B9" s="1410" t="s">
        <v>6014</v>
      </c>
      <c r="C9" s="1411"/>
      <c r="D9" s="1412"/>
      <c r="E9" s="1413"/>
      <c r="F9" s="1413"/>
      <c r="G9" s="1413"/>
      <c r="H9" s="1413"/>
    </row>
    <row r="10" spans="1:8">
      <c r="A10" s="1409"/>
      <c r="B10" s="1410" t="s">
        <v>6015</v>
      </c>
      <c r="C10" s="1411"/>
      <c r="D10" s="1412"/>
      <c r="E10" s="1413"/>
      <c r="F10" s="1413"/>
      <c r="G10" s="1413"/>
      <c r="H10" s="1413"/>
    </row>
    <row r="11" spans="1:8">
      <c r="A11" s="1414"/>
      <c r="B11" s="1415" t="s">
        <v>6016</v>
      </c>
      <c r="C11" s="1416">
        <v>1</v>
      </c>
      <c r="D11" s="1416">
        <v>1</v>
      </c>
      <c r="E11" s="1414">
        <v>5.75</v>
      </c>
      <c r="F11" s="1414">
        <v>2.5</v>
      </c>
      <c r="G11" s="1414">
        <v>2</v>
      </c>
      <c r="H11" s="1414">
        <f>PRODUCT(C11:G11)</f>
        <v>28.75</v>
      </c>
    </row>
    <row r="12" spans="1:8">
      <c r="A12" s="1414"/>
      <c r="B12" s="1415" t="s">
        <v>6017</v>
      </c>
      <c r="C12" s="1416">
        <v>1</v>
      </c>
      <c r="D12" s="1416">
        <v>2</v>
      </c>
      <c r="E12" s="1414">
        <v>1.2</v>
      </c>
      <c r="F12" s="1414">
        <v>1.2</v>
      </c>
      <c r="G12" s="1414">
        <v>1</v>
      </c>
      <c r="H12" s="1414">
        <f t="shared" ref="H12:H13" si="0">PRODUCT(C12:G12)</f>
        <v>2.88</v>
      </c>
    </row>
    <row r="13" spans="1:8">
      <c r="A13" s="1414"/>
      <c r="B13" s="1415" t="s">
        <v>6018</v>
      </c>
      <c r="C13" s="1416">
        <v>1</v>
      </c>
      <c r="D13" s="1416">
        <v>2</v>
      </c>
      <c r="E13" s="1414">
        <v>5</v>
      </c>
      <c r="F13" s="1414">
        <v>1</v>
      </c>
      <c r="G13" s="1414">
        <v>1</v>
      </c>
      <c r="H13" s="1414">
        <f t="shared" si="0"/>
        <v>10</v>
      </c>
    </row>
    <row r="14" spans="1:8">
      <c r="A14" s="1405"/>
      <c r="B14" s="1406" t="s">
        <v>15</v>
      </c>
      <c r="C14" s="1407"/>
      <c r="D14" s="1407"/>
      <c r="E14" s="1405"/>
      <c r="F14" s="1405"/>
      <c r="G14" s="1405"/>
      <c r="H14" s="1405">
        <f>SUM(H11:H13)</f>
        <v>41.63</v>
      </c>
    </row>
    <row r="15" spans="1:8" ht="16.5">
      <c r="A15" s="1405"/>
      <c r="B15" s="1406"/>
      <c r="C15" s="1407"/>
      <c r="D15" s="1407"/>
      <c r="E15" s="1405"/>
      <c r="F15" s="1403"/>
      <c r="G15" s="1245" t="s">
        <v>2176</v>
      </c>
      <c r="H15" s="1225">
        <f>ROUNDUP(H14,1)</f>
        <v>41.7</v>
      </c>
    </row>
    <row r="16" spans="1:8">
      <c r="A16" s="1409"/>
      <c r="B16" s="1410" t="s">
        <v>6019</v>
      </c>
      <c r="C16" s="1411"/>
      <c r="D16" s="1412"/>
      <c r="E16" s="1413"/>
      <c r="F16" s="1413"/>
      <c r="G16" s="1413"/>
      <c r="H16" s="1413"/>
    </row>
    <row r="17" spans="1:8">
      <c r="A17" s="1409"/>
      <c r="B17" s="1410" t="s">
        <v>6020</v>
      </c>
      <c r="C17" s="1411"/>
      <c r="D17" s="1412"/>
      <c r="E17" s="1413"/>
      <c r="F17" s="1413"/>
      <c r="G17" s="1413"/>
      <c r="H17" s="1413"/>
    </row>
    <row r="18" spans="1:8">
      <c r="A18" s="1414"/>
      <c r="B18" s="1415" t="s">
        <v>6016</v>
      </c>
      <c r="C18" s="1416">
        <v>1</v>
      </c>
      <c r="D18" s="1416">
        <v>1</v>
      </c>
      <c r="E18" s="1414">
        <v>5.75</v>
      </c>
      <c r="F18" s="1414">
        <v>2.5</v>
      </c>
      <c r="G18" s="1414">
        <v>0.3</v>
      </c>
      <c r="H18" s="1414">
        <f>PRODUCT(C18:G18)</f>
        <v>4.3099999999999996</v>
      </c>
    </row>
    <row r="19" spans="1:8">
      <c r="A19" s="1414"/>
      <c r="B19" s="1415"/>
      <c r="C19" s="1416"/>
      <c r="D19" s="1416"/>
      <c r="E19" s="1414"/>
      <c r="F19" s="1414"/>
      <c r="G19" s="1414"/>
      <c r="H19" s="1414">
        <f>H18</f>
        <v>4.3099999999999996</v>
      </c>
    </row>
    <row r="20" spans="1:8">
      <c r="A20" s="1414"/>
      <c r="B20" s="1415"/>
      <c r="C20" s="1416"/>
      <c r="D20" s="1416"/>
      <c r="E20" s="1414"/>
      <c r="F20" s="1414"/>
      <c r="G20" s="1417"/>
      <c r="H20" s="1417">
        <f>SUM(H19:H19)</f>
        <v>4.3099999999999996</v>
      </c>
    </row>
    <row r="21" spans="1:8" ht="16.5">
      <c r="A21" s="1414"/>
      <c r="B21" s="1415"/>
      <c r="C21" s="1416"/>
      <c r="D21" s="1416"/>
      <c r="E21" s="1414"/>
      <c r="F21" s="1414"/>
      <c r="G21" s="1245" t="s">
        <v>2176</v>
      </c>
      <c r="H21" s="1225">
        <f>ROUNDUP(H20,1)</f>
        <v>4.4000000000000004</v>
      </c>
    </row>
    <row r="22" spans="1:8">
      <c r="A22" s="1413"/>
      <c r="B22" s="1410"/>
      <c r="C22" s="1411"/>
      <c r="D22" s="1412"/>
      <c r="E22" s="1413"/>
      <c r="F22" s="1413"/>
      <c r="G22" s="1418"/>
      <c r="H22" s="1413"/>
    </row>
    <row r="23" spans="1:8">
      <c r="A23" s="1413">
        <v>2.1</v>
      </c>
      <c r="B23" s="1419" t="s">
        <v>6021</v>
      </c>
      <c r="C23" s="1412"/>
      <c r="D23" s="1412"/>
      <c r="E23" s="1413"/>
      <c r="F23" s="1418"/>
      <c r="G23" s="1418"/>
      <c r="H23" s="1418"/>
    </row>
    <row r="24" spans="1:8">
      <c r="A24" s="1414"/>
      <c r="B24" s="1415" t="s">
        <v>6022</v>
      </c>
      <c r="C24" s="1416">
        <v>1</v>
      </c>
      <c r="D24" s="1416">
        <v>2</v>
      </c>
      <c r="E24" s="1414">
        <v>5</v>
      </c>
      <c r="F24" s="1414">
        <v>1</v>
      </c>
      <c r="G24" s="1414">
        <v>0.2</v>
      </c>
      <c r="H24" s="1413">
        <f>PRODUCT(E24:G24)</f>
        <v>1</v>
      </c>
    </row>
    <row r="25" spans="1:8">
      <c r="A25" s="1409"/>
      <c r="B25" s="1410"/>
      <c r="C25" s="1412"/>
      <c r="D25" s="1412"/>
      <c r="E25" s="1413"/>
      <c r="F25" s="1413"/>
      <c r="G25" s="1418" t="s">
        <v>2176</v>
      </c>
      <c r="H25" s="1225">
        <f>ROUNDUP(H24,1)</f>
        <v>1</v>
      </c>
    </row>
    <row r="26" spans="1:8">
      <c r="A26" s="1409"/>
      <c r="B26" s="1410"/>
      <c r="C26" s="1411"/>
      <c r="D26" s="1412"/>
      <c r="E26" s="1413"/>
      <c r="F26" s="1413"/>
      <c r="G26" s="1413"/>
      <c r="H26" s="1413"/>
    </row>
    <row r="27" spans="1:8" ht="31.5">
      <c r="A27" s="1413">
        <v>2.6</v>
      </c>
      <c r="B27" s="1419" t="s">
        <v>2017</v>
      </c>
      <c r="C27" s="1412"/>
      <c r="D27" s="1412"/>
      <c r="E27" s="1413"/>
      <c r="F27" s="1413"/>
      <c r="G27" s="1413"/>
      <c r="H27" s="1418"/>
    </row>
    <row r="28" spans="1:8">
      <c r="A28" s="1414"/>
      <c r="B28" s="1410" t="s">
        <v>6023</v>
      </c>
      <c r="C28" s="1416">
        <v>1</v>
      </c>
      <c r="D28" s="1416">
        <v>2</v>
      </c>
      <c r="E28" s="1414">
        <v>5</v>
      </c>
      <c r="F28" s="1414">
        <v>1</v>
      </c>
      <c r="G28" s="1414">
        <v>0.6</v>
      </c>
      <c r="H28" s="1414">
        <f>PRODUCT(C28:G28)</f>
        <v>6</v>
      </c>
    </row>
    <row r="29" spans="1:8">
      <c r="A29" s="1405"/>
      <c r="B29" s="1406"/>
      <c r="C29" s="1407"/>
      <c r="D29" s="1407"/>
      <c r="E29" s="1405"/>
      <c r="F29" s="1405"/>
      <c r="G29" s="1405"/>
      <c r="H29" s="1403">
        <f>SUM(H28:H28)</f>
        <v>6</v>
      </c>
    </row>
    <row r="30" spans="1:8">
      <c r="A30" s="1409"/>
      <c r="B30" s="1419"/>
      <c r="C30" s="1412"/>
      <c r="D30" s="1412"/>
      <c r="E30" s="1413"/>
      <c r="F30" s="1418" t="s">
        <v>4322</v>
      </c>
      <c r="G30" s="1418">
        <f>+H29</f>
        <v>6</v>
      </c>
      <c r="H30" s="1418" t="s">
        <v>2176</v>
      </c>
    </row>
    <row r="31" spans="1:8" ht="31.5">
      <c r="A31" s="1420">
        <v>2.7</v>
      </c>
      <c r="B31" s="1419" t="s">
        <v>362</v>
      </c>
      <c r="C31" s="1412"/>
      <c r="D31" s="1412"/>
      <c r="E31" s="1413"/>
      <c r="F31" s="1413"/>
      <c r="G31" s="1413"/>
      <c r="H31" s="1413"/>
    </row>
    <row r="32" spans="1:8">
      <c r="A32" s="1414"/>
      <c r="B32" s="1410" t="s">
        <v>6023</v>
      </c>
      <c r="C32" s="1416">
        <v>1</v>
      </c>
      <c r="D32" s="1416">
        <v>2</v>
      </c>
      <c r="E32" s="1414">
        <v>5</v>
      </c>
      <c r="F32" s="1414">
        <v>1</v>
      </c>
      <c r="G32" s="1414">
        <v>0.2</v>
      </c>
      <c r="H32" s="1414">
        <f>PRODUCT(C32:G32)</f>
        <v>2</v>
      </c>
    </row>
    <row r="33" spans="1:8">
      <c r="A33" s="1405"/>
      <c r="B33" s="1406"/>
      <c r="C33" s="1407"/>
      <c r="D33" s="1407"/>
      <c r="E33" s="1405"/>
      <c r="F33" s="1405"/>
      <c r="G33" s="1405"/>
      <c r="H33" s="1403">
        <f>SUM(H32:H32)</f>
        <v>2</v>
      </c>
    </row>
    <row r="34" spans="1:8">
      <c r="A34" s="1409"/>
      <c r="B34" s="1419"/>
      <c r="C34" s="1412"/>
      <c r="D34" s="1412"/>
      <c r="E34" s="1413"/>
      <c r="F34" s="1418" t="s">
        <v>4322</v>
      </c>
      <c r="G34" s="1418">
        <f>+H33</f>
        <v>2</v>
      </c>
      <c r="H34" s="1418" t="s">
        <v>2176</v>
      </c>
    </row>
    <row r="35" spans="1:8" ht="31.5">
      <c r="A35" s="1409">
        <v>3.1</v>
      </c>
      <c r="B35" s="1419" t="s">
        <v>6024</v>
      </c>
      <c r="C35" s="1412"/>
      <c r="D35" s="1412"/>
      <c r="E35" s="1413"/>
      <c r="F35" s="1413"/>
      <c r="G35" s="1413"/>
      <c r="H35" s="1413"/>
    </row>
    <row r="36" spans="1:8">
      <c r="A36" s="1409"/>
      <c r="B36" s="1410" t="s">
        <v>6023</v>
      </c>
      <c r="C36" s="1411"/>
      <c r="D36" s="1412"/>
      <c r="E36" s="1413"/>
      <c r="F36" s="1413"/>
      <c r="G36" s="1413"/>
      <c r="H36" s="1413"/>
    </row>
    <row r="37" spans="1:8">
      <c r="A37" s="1414"/>
      <c r="B37" s="1415" t="s">
        <v>6017</v>
      </c>
      <c r="C37" s="1416">
        <v>1</v>
      </c>
      <c r="D37" s="1416">
        <v>2</v>
      </c>
      <c r="E37" s="1414">
        <v>1.2</v>
      </c>
      <c r="F37" s="1414">
        <v>1.2</v>
      </c>
      <c r="G37" s="1414">
        <v>0.1</v>
      </c>
      <c r="H37" s="1414">
        <f>PRODUCT(C37:G37)</f>
        <v>0.28999999999999998</v>
      </c>
    </row>
    <row r="38" spans="1:8">
      <c r="A38" s="1409"/>
      <c r="B38" s="1419"/>
      <c r="C38" s="1412"/>
      <c r="D38" s="1412"/>
      <c r="E38" s="1413"/>
      <c r="F38" s="1413"/>
      <c r="G38" s="1418" t="s">
        <v>5423</v>
      </c>
      <c r="H38" s="1225">
        <f>ROUNDUP(H37,1)</f>
        <v>0.3</v>
      </c>
    </row>
    <row r="39" spans="1:8">
      <c r="A39" s="1409"/>
      <c r="B39" s="1419"/>
      <c r="C39" s="1412"/>
      <c r="D39" s="1412"/>
      <c r="E39" s="1413"/>
      <c r="F39" s="1413"/>
      <c r="G39" s="1413"/>
      <c r="H39" s="1413"/>
    </row>
    <row r="40" spans="1:8">
      <c r="A40" s="1409">
        <v>3.2</v>
      </c>
      <c r="B40" s="1419" t="s">
        <v>6025</v>
      </c>
      <c r="C40" s="1412"/>
      <c r="D40" s="1412"/>
      <c r="E40" s="1413"/>
      <c r="F40" s="1413"/>
      <c r="G40" s="1413"/>
      <c r="H40" s="1413"/>
    </row>
    <row r="41" spans="1:8">
      <c r="A41" s="1409"/>
      <c r="B41" s="1415" t="s">
        <v>6016</v>
      </c>
      <c r="C41" s="1416">
        <v>1</v>
      </c>
      <c r="D41" s="1416">
        <v>1</v>
      </c>
      <c r="E41" s="1414">
        <v>5.75</v>
      </c>
      <c r="F41" s="1414">
        <v>2.5</v>
      </c>
      <c r="G41" s="1414">
        <v>0.23</v>
      </c>
      <c r="H41" s="1413">
        <f>PRODUCT(C41:G41)</f>
        <v>3.31</v>
      </c>
    </row>
    <row r="42" spans="1:8">
      <c r="A42" s="1409"/>
      <c r="B42" s="1419"/>
      <c r="C42" s="1412"/>
      <c r="D42" s="1412"/>
      <c r="E42" s="1413"/>
      <c r="F42" s="1413"/>
      <c r="G42" s="1413" t="s">
        <v>2176</v>
      </c>
      <c r="H42" s="1225">
        <f>ROUNDUP(H41,1)</f>
        <v>3.4</v>
      </c>
    </row>
    <row r="43" spans="1:8">
      <c r="A43" s="1409"/>
      <c r="B43" s="1419"/>
      <c r="C43" s="1412"/>
      <c r="D43" s="1412"/>
      <c r="E43" s="1413"/>
      <c r="F43" s="1413"/>
      <c r="G43" s="1413"/>
      <c r="H43" s="1413"/>
    </row>
    <row r="44" spans="1:8" ht="63">
      <c r="A44" s="1413">
        <v>6.5</v>
      </c>
      <c r="B44" s="1419" t="s">
        <v>6026</v>
      </c>
      <c r="C44" s="1412"/>
      <c r="D44" s="1412"/>
      <c r="E44" s="1413"/>
      <c r="F44" s="1418"/>
      <c r="G44" s="1418"/>
      <c r="H44" s="1418"/>
    </row>
    <row r="45" spans="1:8">
      <c r="A45" s="1414"/>
      <c r="B45" s="1415" t="s">
        <v>3637</v>
      </c>
      <c r="C45" s="1416"/>
      <c r="D45" s="1416"/>
      <c r="E45" s="1414"/>
      <c r="F45" s="1414"/>
      <c r="G45" s="1414"/>
      <c r="H45" s="1414"/>
    </row>
    <row r="46" spans="1:8">
      <c r="A46" s="1414"/>
      <c r="B46" s="1415" t="s">
        <v>6027</v>
      </c>
      <c r="C46" s="1416"/>
      <c r="D46" s="1416"/>
      <c r="E46" s="1414"/>
      <c r="F46" s="1414"/>
      <c r="G46" s="1414"/>
      <c r="H46" s="1414"/>
    </row>
    <row r="47" spans="1:8">
      <c r="A47" s="1414"/>
      <c r="B47" s="1415" t="s">
        <v>6028</v>
      </c>
      <c r="C47" s="1416">
        <v>1</v>
      </c>
      <c r="D47" s="1416">
        <v>1</v>
      </c>
      <c r="E47" s="1414">
        <v>14.3</v>
      </c>
      <c r="F47" s="1414">
        <v>0.45</v>
      </c>
      <c r="G47" s="1414">
        <v>0.45</v>
      </c>
      <c r="H47" s="1414">
        <f>PRODUCT(C47:G47)</f>
        <v>2.9</v>
      </c>
    </row>
    <row r="48" spans="1:8">
      <c r="A48" s="1414"/>
      <c r="B48" s="1415" t="s">
        <v>6029</v>
      </c>
      <c r="C48" s="1416">
        <v>1</v>
      </c>
      <c r="D48" s="1416">
        <v>1</v>
      </c>
      <c r="E48" s="1414">
        <v>13.86</v>
      </c>
      <c r="F48" s="1414">
        <v>0.34</v>
      </c>
      <c r="G48" s="1414">
        <v>0.45</v>
      </c>
      <c r="H48" s="1414">
        <f t="shared" ref="H48:H51" si="1">PRODUCT(C48:G48)</f>
        <v>2.12</v>
      </c>
    </row>
    <row r="49" spans="1:8">
      <c r="A49" s="1414"/>
      <c r="B49" s="1415" t="s">
        <v>6030</v>
      </c>
      <c r="C49" s="1416">
        <v>1</v>
      </c>
      <c r="D49" s="1416">
        <v>1</v>
      </c>
      <c r="E49" s="1414">
        <v>13.42</v>
      </c>
      <c r="F49" s="1414">
        <v>0.23</v>
      </c>
      <c r="G49" s="1414">
        <v>0.9</v>
      </c>
      <c r="H49" s="1414">
        <f t="shared" si="1"/>
        <v>2.78</v>
      </c>
    </row>
    <row r="50" spans="1:8">
      <c r="A50" s="1414"/>
      <c r="B50" s="1415" t="s">
        <v>6017</v>
      </c>
      <c r="C50" s="1416">
        <v>1</v>
      </c>
      <c r="D50" s="1416">
        <v>2</v>
      </c>
      <c r="E50" s="1414">
        <v>3.32</v>
      </c>
      <c r="F50" s="1414">
        <v>0.23</v>
      </c>
      <c r="G50" s="1414">
        <v>0.6</v>
      </c>
      <c r="H50" s="1414">
        <f t="shared" si="1"/>
        <v>0.92</v>
      </c>
    </row>
    <row r="51" spans="1:8">
      <c r="A51" s="1413"/>
      <c r="B51" s="1419" t="s">
        <v>6031</v>
      </c>
      <c r="C51" s="1412">
        <v>1</v>
      </c>
      <c r="D51" s="1412">
        <v>2</v>
      </c>
      <c r="E51" s="1413">
        <v>3</v>
      </c>
      <c r="F51" s="1413">
        <v>0.23</v>
      </c>
      <c r="G51" s="1413">
        <v>1.2</v>
      </c>
      <c r="H51" s="1414">
        <f t="shared" si="1"/>
        <v>1.66</v>
      </c>
    </row>
    <row r="52" spans="1:8">
      <c r="A52" s="1405"/>
      <c r="B52" s="1406" t="s">
        <v>15</v>
      </c>
      <c r="C52" s="1407"/>
      <c r="D52" s="1407"/>
      <c r="E52" s="1405"/>
      <c r="F52" s="1405"/>
      <c r="G52" s="1405"/>
      <c r="H52" s="1405">
        <f>SUM(H47:H51)</f>
        <v>10.38</v>
      </c>
    </row>
    <row r="53" spans="1:8" ht="16.5">
      <c r="A53" s="1405"/>
      <c r="B53" s="1406"/>
      <c r="C53" s="1407"/>
      <c r="D53" s="1407"/>
      <c r="E53" s="1405"/>
      <c r="F53" s="1405"/>
      <c r="G53" s="1245" t="s">
        <v>2176</v>
      </c>
      <c r="H53" s="1225">
        <f>ROUNDUP(H52,1)</f>
        <v>10.4</v>
      </c>
    </row>
    <row r="54" spans="1:8">
      <c r="A54" s="1409"/>
      <c r="B54" s="1419"/>
      <c r="C54" s="1412"/>
      <c r="D54" s="1412"/>
      <c r="E54" s="1413"/>
      <c r="F54" s="1418"/>
      <c r="G54" s="1418"/>
      <c r="H54" s="1418"/>
    </row>
    <row r="55" spans="1:8" ht="31.5">
      <c r="A55" s="1413">
        <v>4.0999999999999996</v>
      </c>
      <c r="B55" s="1419" t="s">
        <v>5953</v>
      </c>
      <c r="C55" s="1412"/>
      <c r="D55" s="1412"/>
      <c r="E55" s="1413"/>
      <c r="F55" s="1413"/>
      <c r="G55" s="1413"/>
      <c r="H55" s="1413"/>
    </row>
    <row r="56" spans="1:8">
      <c r="A56" s="1413"/>
      <c r="B56" s="1419" t="s">
        <v>6032</v>
      </c>
      <c r="C56" s="1412">
        <v>1</v>
      </c>
      <c r="D56" s="1412">
        <v>1</v>
      </c>
      <c r="E56" s="1413">
        <v>4.96</v>
      </c>
      <c r="F56" s="1413">
        <v>1.96</v>
      </c>
      <c r="G56" s="1421">
        <v>0.15</v>
      </c>
      <c r="H56" s="1413">
        <f>PRODUCT(C56:G56)</f>
        <v>1.46</v>
      </c>
    </row>
    <row r="57" spans="1:8">
      <c r="A57" s="1413"/>
      <c r="B57" s="1419" t="s">
        <v>6033</v>
      </c>
      <c r="C57" s="1412">
        <v>1</v>
      </c>
      <c r="D57" s="1412">
        <v>-2</v>
      </c>
      <c r="E57" s="1413">
        <v>0.6</v>
      </c>
      <c r="F57" s="1413">
        <v>0.6</v>
      </c>
      <c r="G57" s="1413">
        <v>0.15</v>
      </c>
      <c r="H57" s="1413">
        <f>PRODUCT(C57:G57)</f>
        <v>-0.11</v>
      </c>
    </row>
    <row r="58" spans="1:8">
      <c r="A58" s="1414"/>
      <c r="B58" s="1415" t="s">
        <v>6034</v>
      </c>
      <c r="C58" s="1416">
        <v>1</v>
      </c>
      <c r="D58" s="1416">
        <v>1</v>
      </c>
      <c r="E58" s="1414">
        <v>1.96</v>
      </c>
      <c r="F58" s="1414">
        <v>0.23</v>
      </c>
      <c r="G58" s="1414">
        <v>0.23</v>
      </c>
      <c r="H58" s="1414">
        <v>0.09</v>
      </c>
    </row>
    <row r="59" spans="1:8">
      <c r="A59" s="1405"/>
      <c r="B59" s="1406" t="s">
        <v>15</v>
      </c>
      <c r="C59" s="1407"/>
      <c r="D59" s="1407"/>
      <c r="E59" s="1405"/>
      <c r="F59" s="1405"/>
      <c r="G59" s="1405"/>
      <c r="H59" s="1405">
        <f>SUM(H56:H58)</f>
        <v>1.44</v>
      </c>
    </row>
    <row r="60" spans="1:8" ht="16.5">
      <c r="A60" s="1409"/>
      <c r="B60" s="1419"/>
      <c r="C60" s="1412"/>
      <c r="D60" s="1412"/>
      <c r="E60" s="1413"/>
      <c r="F60" s="1418"/>
      <c r="G60" s="1245" t="s">
        <v>2176</v>
      </c>
      <c r="H60" s="1225">
        <f>ROUNDUP(H59,1)</f>
        <v>1.5</v>
      </c>
    </row>
    <row r="61" spans="1:8" ht="31.5">
      <c r="A61" s="1413">
        <v>18.100000000000001</v>
      </c>
      <c r="B61" s="1419" t="s">
        <v>6035</v>
      </c>
      <c r="C61" s="1412"/>
      <c r="D61" s="1412"/>
      <c r="E61" s="1413"/>
      <c r="F61" s="1418"/>
      <c r="G61" s="1418"/>
      <c r="H61" s="1418"/>
    </row>
    <row r="62" spans="1:8" ht="63">
      <c r="A62" s="1413"/>
      <c r="B62" s="1419" t="s">
        <v>1093</v>
      </c>
      <c r="C62" s="1412"/>
      <c r="D62" s="1412"/>
      <c r="E62" s="1413"/>
      <c r="F62" s="1418"/>
      <c r="G62" s="1418"/>
      <c r="H62" s="1418"/>
    </row>
    <row r="63" spans="1:8">
      <c r="A63" s="1413"/>
      <c r="B63" s="1419" t="s">
        <v>6036</v>
      </c>
      <c r="C63" s="1412">
        <v>1</v>
      </c>
      <c r="D63" s="1412">
        <v>1</v>
      </c>
      <c r="E63" s="1413">
        <v>4.75</v>
      </c>
      <c r="F63" s="1413">
        <v>1.5</v>
      </c>
      <c r="G63" s="1418"/>
      <c r="H63" s="1413">
        <f t="shared" ref="H63:H67" si="2">PRODUCT(C63:G63)</f>
        <v>7.13</v>
      </c>
    </row>
    <row r="64" spans="1:8">
      <c r="A64" s="1413"/>
      <c r="B64" s="1419" t="s">
        <v>6037</v>
      </c>
      <c r="C64" s="1412">
        <v>1</v>
      </c>
      <c r="D64" s="1412">
        <v>1</v>
      </c>
      <c r="E64" s="1413">
        <v>13.84</v>
      </c>
      <c r="F64" s="1418"/>
      <c r="G64" s="1413">
        <v>0.15</v>
      </c>
      <c r="H64" s="1413">
        <f t="shared" si="2"/>
        <v>2.08</v>
      </c>
    </row>
    <row r="65" spans="1:8">
      <c r="A65" s="1413"/>
      <c r="B65" s="1419" t="s">
        <v>6033</v>
      </c>
      <c r="C65" s="1412">
        <v>1</v>
      </c>
      <c r="D65" s="1412">
        <v>-2</v>
      </c>
      <c r="E65" s="1413">
        <v>0.6</v>
      </c>
      <c r="F65" s="1413">
        <v>0.6</v>
      </c>
      <c r="G65" s="1418"/>
      <c r="H65" s="1413">
        <f t="shared" si="2"/>
        <v>-0.72</v>
      </c>
    </row>
    <row r="66" spans="1:8">
      <c r="A66" s="1413"/>
      <c r="B66" s="1419" t="s">
        <v>6038</v>
      </c>
      <c r="C66" s="1412">
        <v>1</v>
      </c>
      <c r="D66" s="1412">
        <v>2</v>
      </c>
      <c r="E66" s="1413">
        <f>0.6*4</f>
        <v>2.4</v>
      </c>
      <c r="F66" s="1413"/>
      <c r="G66" s="1413">
        <v>0.15</v>
      </c>
      <c r="H66" s="1413">
        <f t="shared" si="2"/>
        <v>0.72</v>
      </c>
    </row>
    <row r="67" spans="1:8">
      <c r="A67" s="1413"/>
      <c r="B67" s="1419" t="s">
        <v>6039</v>
      </c>
      <c r="C67" s="1412">
        <v>1</v>
      </c>
      <c r="D67" s="1412">
        <v>1</v>
      </c>
      <c r="E67" s="1413">
        <v>3</v>
      </c>
      <c r="F67" s="1418"/>
      <c r="G67" s="1413">
        <f>0.23+0.3+0.3</f>
        <v>0.83</v>
      </c>
      <c r="H67" s="1413">
        <f t="shared" si="2"/>
        <v>2.4900000000000002</v>
      </c>
    </row>
    <row r="68" spans="1:8">
      <c r="A68" s="1405"/>
      <c r="B68" s="1406"/>
      <c r="C68" s="1407"/>
      <c r="D68" s="1407"/>
      <c r="E68" s="1405"/>
      <c r="F68" s="1405"/>
      <c r="G68" s="1405"/>
      <c r="H68" s="1403">
        <f>SUM(H63:H67)</f>
        <v>11.7</v>
      </c>
    </row>
    <row r="69" spans="1:8" ht="16.5">
      <c r="A69" s="1405"/>
      <c r="B69" s="1406"/>
      <c r="C69" s="1407"/>
      <c r="D69" s="1407"/>
      <c r="E69" s="1405"/>
      <c r="F69" s="1405"/>
      <c r="G69" s="1245" t="s">
        <v>2308</v>
      </c>
      <c r="H69" s="1225">
        <f>ROUNDUP(H68,1)</f>
        <v>11.7</v>
      </c>
    </row>
    <row r="70" spans="1:8">
      <c r="A70" s="1405"/>
      <c r="B70" s="1406"/>
      <c r="C70" s="1407"/>
      <c r="D70" s="1407"/>
      <c r="E70" s="1405"/>
      <c r="F70" s="1405"/>
      <c r="G70" s="1405"/>
      <c r="H70" s="1403"/>
    </row>
    <row r="71" spans="1:8" ht="31.5">
      <c r="A71" s="1413">
        <v>53.4</v>
      </c>
      <c r="B71" s="1419" t="s">
        <v>71</v>
      </c>
      <c r="C71" s="1412">
        <v>1</v>
      </c>
      <c r="D71" s="1412">
        <v>2</v>
      </c>
      <c r="E71" s="1413"/>
      <c r="F71" s="1418"/>
      <c r="G71" s="1418"/>
      <c r="H71" s="1413">
        <f>PRODUCT(C71:G71)</f>
        <v>2</v>
      </c>
    </row>
    <row r="72" spans="1:8">
      <c r="A72" s="1413"/>
      <c r="B72" s="1419"/>
      <c r="C72" s="1412"/>
      <c r="D72" s="1412"/>
      <c r="E72" s="1413"/>
      <c r="F72" s="1418" t="s">
        <v>4322</v>
      </c>
      <c r="G72" s="1418">
        <f>+H71</f>
        <v>2</v>
      </c>
      <c r="H72" s="1418" t="s">
        <v>1452</v>
      </c>
    </row>
    <row r="73" spans="1:8" ht="47.25">
      <c r="A73" s="1413" t="s">
        <v>1146</v>
      </c>
      <c r="B73" s="1419" t="s">
        <v>6040</v>
      </c>
      <c r="C73" s="1412"/>
      <c r="D73" s="1412"/>
      <c r="E73" s="1413"/>
      <c r="F73" s="1413"/>
      <c r="G73" s="1422"/>
      <c r="H73" s="1413"/>
    </row>
    <row r="74" spans="1:8">
      <c r="A74" s="1413"/>
      <c r="B74" s="1419" t="s">
        <v>6041</v>
      </c>
      <c r="C74" s="1412">
        <v>1</v>
      </c>
      <c r="D74" s="1412">
        <v>2</v>
      </c>
      <c r="E74" s="1413">
        <v>0.75</v>
      </c>
      <c r="F74" s="1413">
        <v>0.75</v>
      </c>
      <c r="G74" s="1418"/>
      <c r="H74" s="1413">
        <f>PRODUCT(C74:G74)</f>
        <v>1.1299999999999999</v>
      </c>
    </row>
    <row r="75" spans="1:8">
      <c r="A75" s="1405"/>
      <c r="B75" s="1406"/>
      <c r="C75" s="1407"/>
      <c r="D75" s="1407"/>
      <c r="E75" s="1405"/>
      <c r="F75" s="1405"/>
      <c r="G75" s="1405"/>
      <c r="H75" s="1403">
        <f>+SUM(H74:H74)</f>
        <v>1.1299999999999999</v>
      </c>
    </row>
    <row r="76" spans="1:8">
      <c r="A76" s="1409"/>
      <c r="B76" s="1419"/>
      <c r="C76" s="1412"/>
      <c r="D76" s="1412"/>
      <c r="E76" s="1413"/>
      <c r="F76" s="1418"/>
      <c r="G76" s="1418" t="s">
        <v>2308</v>
      </c>
      <c r="H76" s="1225">
        <f>ROUNDUP(H75,1)</f>
        <v>1.2</v>
      </c>
    </row>
    <row r="77" spans="1:8">
      <c r="A77" s="1413">
        <v>28</v>
      </c>
      <c r="B77" s="1419" t="s">
        <v>6042</v>
      </c>
      <c r="C77" s="1412"/>
      <c r="D77" s="1412"/>
      <c r="E77" s="1413"/>
      <c r="F77" s="1413"/>
      <c r="G77" s="1413"/>
      <c r="H77" s="1413"/>
    </row>
    <row r="78" spans="1:8">
      <c r="A78" s="1414"/>
      <c r="B78" s="1410" t="s">
        <v>6043</v>
      </c>
      <c r="C78" s="1416">
        <v>1</v>
      </c>
      <c r="D78" s="1416">
        <v>2</v>
      </c>
      <c r="E78" s="1414">
        <v>0.6</v>
      </c>
      <c r="F78" s="1414">
        <v>0.6</v>
      </c>
      <c r="G78" s="1414" t="s">
        <v>1609</v>
      </c>
      <c r="H78" s="1413">
        <f>PRODUCT(C78:G78)</f>
        <v>0.72</v>
      </c>
    </row>
    <row r="79" spans="1:8">
      <c r="A79" s="1413"/>
      <c r="B79" s="1419" t="s">
        <v>6044</v>
      </c>
      <c r="C79" s="1412">
        <v>1</v>
      </c>
      <c r="D79" s="1412">
        <v>1</v>
      </c>
      <c r="E79" s="1413">
        <f>+E56</f>
        <v>4.96</v>
      </c>
      <c r="F79" s="1413">
        <f>+F56</f>
        <v>1.96</v>
      </c>
      <c r="G79" s="1413"/>
      <c r="H79" s="1413">
        <f>PRODUCT(C79:G79)</f>
        <v>9.7200000000000006</v>
      </c>
    </row>
    <row r="80" spans="1:8">
      <c r="A80" s="1413"/>
      <c r="B80" s="1419" t="s">
        <v>6045</v>
      </c>
      <c r="C80" s="1412">
        <v>1</v>
      </c>
      <c r="D80" s="1412">
        <v>-2</v>
      </c>
      <c r="E80" s="1413">
        <v>0.6</v>
      </c>
      <c r="F80" s="1413">
        <v>0.6</v>
      </c>
      <c r="G80" s="1418"/>
      <c r="H80" s="1413">
        <f>PRODUCT(C80:G80)</f>
        <v>-0.72</v>
      </c>
    </row>
    <row r="81" spans="1:8">
      <c r="A81" s="1405"/>
      <c r="B81" s="1406"/>
      <c r="C81" s="1407"/>
      <c r="D81" s="1407"/>
      <c r="E81" s="1405"/>
      <c r="F81" s="1405"/>
      <c r="G81" s="1405"/>
      <c r="H81" s="1405">
        <f>SUM(H78:H80)</f>
        <v>9.7200000000000006</v>
      </c>
    </row>
    <row r="82" spans="1:8">
      <c r="A82" s="1405"/>
      <c r="B82" s="1406"/>
      <c r="C82" s="1407"/>
      <c r="D82" s="1407"/>
      <c r="E82" s="1405"/>
      <c r="F82" s="1405"/>
      <c r="G82" s="1403" t="s">
        <v>2308</v>
      </c>
      <c r="H82" s="1225">
        <f>ROUNDUP(H81,1)</f>
        <v>9.8000000000000007</v>
      </c>
    </row>
    <row r="83" spans="1:8">
      <c r="A83" s="1409">
        <v>33</v>
      </c>
      <c r="B83" s="1419" t="s">
        <v>6046</v>
      </c>
      <c r="C83" s="1412"/>
      <c r="D83" s="1412"/>
      <c r="E83" s="1413"/>
      <c r="F83" s="1413"/>
      <c r="G83" s="1413"/>
      <c r="H83" s="1413"/>
    </row>
    <row r="84" spans="1:8">
      <c r="A84" s="1414"/>
      <c r="B84" s="1415" t="s">
        <v>6047</v>
      </c>
      <c r="C84" s="1416"/>
      <c r="D84" s="1416"/>
      <c r="E84" s="1414"/>
      <c r="F84" s="1414"/>
      <c r="G84" s="1414"/>
      <c r="H84" s="1414"/>
    </row>
    <row r="85" spans="1:8">
      <c r="A85" s="1414"/>
      <c r="B85" s="1415" t="s">
        <v>6028</v>
      </c>
      <c r="C85" s="1416">
        <v>1</v>
      </c>
      <c r="D85" s="1416">
        <v>1</v>
      </c>
      <c r="E85" s="1414">
        <v>16.100000000000001</v>
      </c>
      <c r="F85" s="1414" t="s">
        <v>1609</v>
      </c>
      <c r="G85" s="1414">
        <v>0.75</v>
      </c>
      <c r="H85" s="1414">
        <v>9.4499999999999993</v>
      </c>
    </row>
    <row r="86" spans="1:8">
      <c r="A86" s="1414"/>
      <c r="B86" s="1415" t="s">
        <v>6029</v>
      </c>
      <c r="C86" s="1416">
        <v>1</v>
      </c>
      <c r="D86" s="1416">
        <v>1</v>
      </c>
      <c r="E86" s="1414">
        <v>15.22</v>
      </c>
      <c r="F86" s="1414" t="s">
        <v>1609</v>
      </c>
      <c r="G86" s="1414">
        <v>0.9</v>
      </c>
      <c r="H86" s="1414">
        <v>10.55</v>
      </c>
    </row>
    <row r="87" spans="1:8">
      <c r="A87" s="1414"/>
      <c r="B87" s="1415" t="s">
        <v>6030</v>
      </c>
      <c r="C87" s="1416">
        <v>1</v>
      </c>
      <c r="D87" s="1416">
        <v>1</v>
      </c>
      <c r="E87" s="1414">
        <v>13.84</v>
      </c>
      <c r="F87" s="1414" t="s">
        <v>1609</v>
      </c>
      <c r="G87" s="1414">
        <v>0.7</v>
      </c>
      <c r="H87" s="1414">
        <v>7.59</v>
      </c>
    </row>
    <row r="88" spans="1:8">
      <c r="A88" s="1414"/>
      <c r="B88" s="1415" t="s">
        <v>6048</v>
      </c>
      <c r="C88" s="1416">
        <v>1</v>
      </c>
      <c r="D88" s="1416">
        <v>1</v>
      </c>
      <c r="E88" s="1414">
        <v>16.100000000000001</v>
      </c>
      <c r="F88" s="1414">
        <v>0.11</v>
      </c>
      <c r="G88" s="1414" t="s">
        <v>1609</v>
      </c>
      <c r="H88" s="1414">
        <v>1.39</v>
      </c>
    </row>
    <row r="89" spans="1:8">
      <c r="A89" s="1414"/>
      <c r="B89" s="1415" t="s">
        <v>6049</v>
      </c>
      <c r="C89" s="1416">
        <v>1</v>
      </c>
      <c r="D89" s="1416">
        <v>1</v>
      </c>
      <c r="E89" s="1414">
        <v>15.22</v>
      </c>
      <c r="F89" s="1414">
        <v>0.11</v>
      </c>
      <c r="G89" s="1414" t="s">
        <v>1609</v>
      </c>
      <c r="H89" s="1414">
        <v>1.29</v>
      </c>
    </row>
    <row r="90" spans="1:8">
      <c r="A90" s="1414"/>
      <c r="B90" s="1415" t="s">
        <v>6043</v>
      </c>
      <c r="C90" s="1416">
        <v>1</v>
      </c>
      <c r="D90" s="1416">
        <v>7</v>
      </c>
      <c r="E90" s="1414">
        <v>4.24</v>
      </c>
      <c r="F90" s="1414" t="s">
        <v>1609</v>
      </c>
      <c r="G90" s="1414">
        <v>0.6</v>
      </c>
      <c r="H90" s="1414">
        <v>17.809999999999999</v>
      </c>
    </row>
    <row r="91" spans="1:8">
      <c r="A91" s="1414"/>
      <c r="B91" s="1415"/>
      <c r="C91" s="1416"/>
      <c r="D91" s="1416"/>
      <c r="E91" s="1414"/>
      <c r="F91" s="1414"/>
      <c r="G91" s="1414"/>
      <c r="H91" s="1414">
        <f>SUM(H85:H90)</f>
        <v>48.08</v>
      </c>
    </row>
    <row r="92" spans="1:8">
      <c r="A92" s="1414"/>
      <c r="B92" s="1415"/>
      <c r="C92" s="1416"/>
      <c r="D92" s="1416"/>
      <c r="E92" s="1414"/>
      <c r="F92" s="1414"/>
      <c r="G92" s="1417" t="s">
        <v>2308</v>
      </c>
      <c r="H92" s="1225">
        <f>ROUNDUP(H91,1)</f>
        <v>48.1</v>
      </c>
    </row>
    <row r="93" spans="1:8">
      <c r="A93" s="1405"/>
      <c r="B93" s="1406"/>
      <c r="C93" s="1407"/>
      <c r="D93" s="1407"/>
      <c r="E93" s="1405"/>
      <c r="F93" s="1405"/>
      <c r="G93" s="1405"/>
      <c r="H93" s="1405"/>
    </row>
    <row r="94" spans="1:8">
      <c r="A94" s="1409">
        <v>34</v>
      </c>
      <c r="B94" s="1419" t="s">
        <v>6050</v>
      </c>
      <c r="C94" s="1412"/>
      <c r="D94" s="1412"/>
      <c r="E94" s="1413"/>
      <c r="F94" s="1413"/>
      <c r="G94" s="1413"/>
      <c r="H94" s="1418"/>
    </row>
    <row r="95" spans="1:8">
      <c r="A95" s="1414"/>
      <c r="B95" s="1415" t="s">
        <v>6051</v>
      </c>
      <c r="C95" s="1416">
        <v>1</v>
      </c>
      <c r="D95" s="1416">
        <v>1</v>
      </c>
      <c r="E95" s="1414">
        <v>12.5</v>
      </c>
      <c r="F95" s="1414" t="s">
        <v>1609</v>
      </c>
      <c r="G95" s="1414">
        <v>2.35</v>
      </c>
      <c r="H95" s="1414">
        <v>21.15</v>
      </c>
    </row>
    <row r="96" spans="1:8">
      <c r="A96" s="1414"/>
      <c r="B96" s="1415" t="s">
        <v>6052</v>
      </c>
      <c r="C96" s="1416">
        <v>1</v>
      </c>
      <c r="D96" s="1416">
        <v>2</v>
      </c>
      <c r="E96" s="1414">
        <v>1.5</v>
      </c>
      <c r="F96" s="1414" t="s">
        <v>1609</v>
      </c>
      <c r="G96" s="1414">
        <v>2</v>
      </c>
      <c r="H96" s="1414">
        <v>6</v>
      </c>
    </row>
    <row r="97" spans="1:8">
      <c r="A97" s="1414"/>
      <c r="B97" s="1415" t="s">
        <v>6052</v>
      </c>
      <c r="C97" s="1416">
        <v>1</v>
      </c>
      <c r="D97" s="1416">
        <v>2</v>
      </c>
      <c r="E97" s="1414">
        <v>1.5</v>
      </c>
      <c r="F97" s="1414" t="s">
        <v>1609</v>
      </c>
      <c r="G97" s="1414">
        <v>1</v>
      </c>
      <c r="H97" s="1414">
        <v>3</v>
      </c>
    </row>
    <row r="98" spans="1:8">
      <c r="A98" s="1414"/>
      <c r="B98" s="1415" t="s">
        <v>6053</v>
      </c>
      <c r="C98" s="1416">
        <v>1</v>
      </c>
      <c r="D98" s="1416">
        <v>2</v>
      </c>
      <c r="E98" s="1414">
        <v>1.5</v>
      </c>
      <c r="F98" s="1414">
        <v>0.115</v>
      </c>
      <c r="G98" s="1414" t="s">
        <v>1609</v>
      </c>
      <c r="H98" s="1414">
        <v>0.35</v>
      </c>
    </row>
    <row r="99" spans="1:8">
      <c r="A99" s="1409"/>
      <c r="B99" s="1419" t="s">
        <v>6054</v>
      </c>
      <c r="C99" s="1412">
        <v>1</v>
      </c>
      <c r="D99" s="1412">
        <v>1</v>
      </c>
      <c r="E99" s="1413">
        <v>4.75</v>
      </c>
      <c r="F99" s="1413">
        <v>1.5</v>
      </c>
      <c r="G99" s="1422"/>
      <c r="H99" s="1413">
        <f t="shared" ref="H99:H100" si="3">PRODUCT(C99:G99)</f>
        <v>7.13</v>
      </c>
    </row>
    <row r="100" spans="1:8">
      <c r="A100" s="1409"/>
      <c r="B100" s="1419" t="s">
        <v>6055</v>
      </c>
      <c r="C100" s="1412">
        <v>1</v>
      </c>
      <c r="D100" s="1412">
        <v>2</v>
      </c>
      <c r="E100" s="1413">
        <v>0.6</v>
      </c>
      <c r="F100" s="1413">
        <v>0.6</v>
      </c>
      <c r="G100" s="1413"/>
      <c r="H100" s="1413">
        <f t="shared" si="3"/>
        <v>0.72</v>
      </c>
    </row>
    <row r="101" spans="1:8">
      <c r="A101" s="1409"/>
      <c r="B101" s="1419"/>
      <c r="C101" s="1412"/>
      <c r="D101" s="1412"/>
      <c r="E101" s="1413"/>
      <c r="F101" s="1413"/>
      <c r="G101" s="1413"/>
      <c r="H101" s="1413">
        <f>SUM(H95:H100)</f>
        <v>38.35</v>
      </c>
    </row>
    <row r="102" spans="1:8">
      <c r="A102" s="1409"/>
      <c r="B102" s="1419"/>
      <c r="C102" s="1412"/>
      <c r="D102" s="1412"/>
      <c r="E102" s="1413"/>
      <c r="F102" s="1413"/>
      <c r="G102" s="1418" t="s">
        <v>5423</v>
      </c>
      <c r="H102" s="1418">
        <f>H101</f>
        <v>38.35</v>
      </c>
    </row>
    <row r="103" spans="1:8">
      <c r="A103" s="1405"/>
      <c r="B103" s="1406"/>
      <c r="C103" s="1407"/>
      <c r="D103" s="1407"/>
      <c r="E103" s="1405"/>
      <c r="F103" s="1405"/>
      <c r="G103" s="1405"/>
      <c r="H103" s="1405"/>
    </row>
    <row r="104" spans="1:8" ht="31.5">
      <c r="A104" s="1409">
        <v>58.5</v>
      </c>
      <c r="B104" s="1419" t="s">
        <v>6056</v>
      </c>
      <c r="C104" s="1412"/>
      <c r="D104" s="1412"/>
      <c r="E104" s="1413"/>
      <c r="F104" s="1413"/>
      <c r="G104" s="1413"/>
      <c r="H104" s="1413"/>
    </row>
    <row r="105" spans="1:8">
      <c r="A105" s="1409"/>
      <c r="B105" s="1419" t="s">
        <v>5982</v>
      </c>
      <c r="C105" s="1412">
        <v>1</v>
      </c>
      <c r="D105" s="1412">
        <v>1</v>
      </c>
      <c r="E105" s="1413"/>
      <c r="F105" s="1413"/>
      <c r="G105" s="1413"/>
      <c r="H105" s="1413">
        <f>PRODUCT(C105:G105)</f>
        <v>1</v>
      </c>
    </row>
    <row r="106" spans="1:8">
      <c r="A106" s="1409"/>
      <c r="B106" s="1419"/>
      <c r="C106" s="1412"/>
      <c r="D106" s="1412"/>
      <c r="E106" s="1413"/>
      <c r="F106" s="1418" t="s">
        <v>4322</v>
      </c>
      <c r="G106" s="1418">
        <f>+H105</f>
        <v>1</v>
      </c>
      <c r="H106" s="1418" t="s">
        <v>1414</v>
      </c>
    </row>
    <row r="107" spans="1:8" ht="31.5">
      <c r="A107" s="1409">
        <v>43.1</v>
      </c>
      <c r="B107" s="1419" t="s">
        <v>6057</v>
      </c>
      <c r="C107" s="1412"/>
      <c r="D107" s="1412"/>
      <c r="E107" s="1413"/>
      <c r="F107" s="1413"/>
      <c r="G107" s="1413"/>
      <c r="H107" s="1413"/>
    </row>
    <row r="108" spans="1:8">
      <c r="A108" s="1409"/>
      <c r="B108" s="1419" t="s">
        <v>6058</v>
      </c>
      <c r="C108" s="1940" t="str">
        <f>+G60</f>
        <v>Cum</v>
      </c>
      <c r="D108" s="1940"/>
      <c r="E108" s="1413">
        <f>H60</f>
        <v>1.5</v>
      </c>
      <c r="F108" s="1413"/>
      <c r="G108" s="1413">
        <f>E108</f>
        <v>1.5</v>
      </c>
      <c r="H108" s="1413"/>
    </row>
    <row r="109" spans="1:8">
      <c r="A109" s="1409"/>
      <c r="B109" s="1419" t="s">
        <v>6059</v>
      </c>
      <c r="C109" s="1940" t="str">
        <f>+G76</f>
        <v>Sqm</v>
      </c>
      <c r="D109" s="1940"/>
      <c r="E109" s="1413">
        <f>H76</f>
        <v>1.2</v>
      </c>
      <c r="F109" s="1413">
        <v>0.04</v>
      </c>
      <c r="G109" s="1413">
        <f>E109*F109</f>
        <v>0.05</v>
      </c>
      <c r="H109" s="1413"/>
    </row>
    <row r="110" spans="1:8">
      <c r="A110" s="1409"/>
      <c r="B110" s="1419"/>
      <c r="C110" s="1412"/>
      <c r="D110" s="1412"/>
      <c r="E110" s="1941" t="s">
        <v>2270</v>
      </c>
      <c r="F110" s="1941"/>
      <c r="G110" s="1413">
        <f>SUM(G108:G109)</f>
        <v>1.55</v>
      </c>
      <c r="H110" s="1413" t="s">
        <v>2176</v>
      </c>
    </row>
    <row r="111" spans="1:8" ht="18.75">
      <c r="A111" s="1409"/>
      <c r="B111" s="1419"/>
      <c r="C111" s="1940">
        <f>G110</f>
        <v>1.55</v>
      </c>
      <c r="D111" s="1940"/>
      <c r="E111" s="1413" t="s">
        <v>5404</v>
      </c>
      <c r="F111" s="1413">
        <v>120</v>
      </c>
      <c r="G111" s="1413" t="s">
        <v>6060</v>
      </c>
      <c r="H111" s="1413">
        <f>F111*C111</f>
        <v>186</v>
      </c>
    </row>
    <row r="112" spans="1:8">
      <c r="A112" s="1409"/>
      <c r="B112" s="1419"/>
      <c r="C112" s="1412"/>
      <c r="D112" s="1412"/>
      <c r="E112" s="1413"/>
      <c r="F112" s="1418" t="s">
        <v>4322</v>
      </c>
      <c r="G112" s="1423">
        <f>H111/1000</f>
        <v>0.186</v>
      </c>
      <c r="H112" s="1418" t="s">
        <v>530</v>
      </c>
    </row>
    <row r="113" spans="1:8">
      <c r="A113" s="1409">
        <v>61.1</v>
      </c>
      <c r="B113" s="1419" t="s">
        <v>6061</v>
      </c>
      <c r="C113" s="1412"/>
      <c r="D113" s="1412"/>
      <c r="E113" s="1413"/>
      <c r="F113" s="1413"/>
      <c r="G113" s="1413"/>
      <c r="H113" s="1413"/>
    </row>
    <row r="114" spans="1:8">
      <c r="A114" s="1409"/>
      <c r="B114" s="1419" t="s">
        <v>6062</v>
      </c>
      <c r="C114" s="1412"/>
      <c r="D114" s="1412"/>
      <c r="E114" s="1413"/>
      <c r="F114" s="1413"/>
      <c r="G114" s="1413"/>
      <c r="H114" s="1413"/>
    </row>
    <row r="115" spans="1:8">
      <c r="A115" s="1409"/>
      <c r="B115" s="1419" t="s">
        <v>6063</v>
      </c>
      <c r="C115" s="1412">
        <v>1</v>
      </c>
      <c r="D115" s="1412">
        <v>6</v>
      </c>
      <c r="E115" s="1413">
        <v>4</v>
      </c>
      <c r="F115" s="1413"/>
      <c r="G115" s="1413"/>
      <c r="H115" s="1413">
        <f>PRODUCT(C115:G115)</f>
        <v>24</v>
      </c>
    </row>
    <row r="116" spans="1:8">
      <c r="A116" s="1409"/>
      <c r="B116" s="1419" t="s">
        <v>6063</v>
      </c>
      <c r="C116" s="1412">
        <v>1</v>
      </c>
      <c r="D116" s="1412">
        <v>1</v>
      </c>
      <c r="E116" s="1413">
        <v>30</v>
      </c>
      <c r="F116" s="1413"/>
      <c r="G116" s="1413"/>
      <c r="H116" s="1413">
        <f>PRODUCT(C116:G116)</f>
        <v>30</v>
      </c>
    </row>
    <row r="117" spans="1:8">
      <c r="A117" s="1409"/>
      <c r="B117" s="1419" t="s">
        <v>6063</v>
      </c>
      <c r="C117" s="1412">
        <v>1</v>
      </c>
      <c r="D117" s="1412">
        <v>1</v>
      </c>
      <c r="E117" s="1413">
        <v>3</v>
      </c>
      <c r="F117" s="1413"/>
      <c r="G117" s="1413"/>
      <c r="H117" s="1413">
        <f>PRODUCT(C117:G117)</f>
        <v>3</v>
      </c>
    </row>
    <row r="118" spans="1:8">
      <c r="A118" s="1409"/>
      <c r="B118" s="1419" t="s">
        <v>6063</v>
      </c>
      <c r="C118" s="1412">
        <v>1</v>
      </c>
      <c r="D118" s="1412">
        <v>1</v>
      </c>
      <c r="E118" s="1413">
        <v>20</v>
      </c>
      <c r="F118" s="1413"/>
      <c r="G118" s="1413"/>
      <c r="H118" s="1413">
        <f>PRODUCT(C118:G118)</f>
        <v>20</v>
      </c>
    </row>
    <row r="119" spans="1:8">
      <c r="A119" s="1405"/>
      <c r="B119" s="1406" t="s">
        <v>15</v>
      </c>
      <c r="C119" s="1407"/>
      <c r="D119" s="1407"/>
      <c r="E119" s="1405"/>
      <c r="F119" s="1405"/>
      <c r="G119" s="1405"/>
      <c r="H119" s="1405">
        <f>I120-I119</f>
        <v>0</v>
      </c>
    </row>
    <row r="120" spans="1:8">
      <c r="A120" s="1405"/>
      <c r="B120" s="1406"/>
      <c r="C120" s="1407"/>
      <c r="D120" s="1407"/>
      <c r="E120" s="1405"/>
      <c r="F120" s="1405"/>
      <c r="G120" s="1405"/>
      <c r="H120" s="1403">
        <f>SUM(H115:H119)</f>
        <v>77</v>
      </c>
    </row>
    <row r="121" spans="1:8">
      <c r="A121" s="1409"/>
      <c r="B121" s="1419"/>
      <c r="C121" s="1412"/>
      <c r="D121" s="1412"/>
      <c r="E121" s="1413"/>
      <c r="F121" s="1418" t="s">
        <v>4322</v>
      </c>
      <c r="G121" s="1418">
        <f>+H120</f>
        <v>77</v>
      </c>
      <c r="H121" s="1418" t="s">
        <v>835</v>
      </c>
    </row>
    <row r="122" spans="1:8">
      <c r="A122" s="1409"/>
      <c r="B122" s="1419" t="s">
        <v>6064</v>
      </c>
      <c r="C122" s="1412"/>
      <c r="D122" s="1412"/>
      <c r="E122" s="1413"/>
      <c r="F122" s="1418"/>
      <c r="G122" s="1418"/>
      <c r="H122" s="1418"/>
    </row>
    <row r="123" spans="1:8">
      <c r="A123" s="1414"/>
      <c r="B123" s="1410" t="s">
        <v>6023</v>
      </c>
      <c r="C123" s="1416">
        <v>1</v>
      </c>
      <c r="D123" s="1416">
        <v>1</v>
      </c>
      <c r="E123" s="1414">
        <v>9</v>
      </c>
      <c r="F123" s="1414" t="s">
        <v>1609</v>
      </c>
      <c r="G123" s="1414" t="s">
        <v>1609</v>
      </c>
      <c r="H123" s="1414">
        <v>9</v>
      </c>
    </row>
    <row r="124" spans="1:8" ht="31.5">
      <c r="A124" s="1409"/>
      <c r="B124" s="1419" t="s">
        <v>6065</v>
      </c>
      <c r="C124" s="1412">
        <v>1</v>
      </c>
      <c r="D124" s="1412">
        <v>1</v>
      </c>
      <c r="E124" s="1413">
        <v>10</v>
      </c>
      <c r="F124" s="1413"/>
      <c r="G124" s="1413"/>
      <c r="H124" s="1413">
        <f>PRODUCT(C124:G124)</f>
        <v>10</v>
      </c>
    </row>
    <row r="125" spans="1:8">
      <c r="A125" s="1409"/>
      <c r="B125" s="1419" t="s">
        <v>6066</v>
      </c>
      <c r="C125" s="1412">
        <v>1</v>
      </c>
      <c r="D125" s="1412">
        <v>1</v>
      </c>
      <c r="E125" s="1413">
        <v>10</v>
      </c>
      <c r="F125" s="1413"/>
      <c r="G125" s="1413"/>
      <c r="H125" s="1413">
        <f>PRODUCT(C125:G125)</f>
        <v>10</v>
      </c>
    </row>
    <row r="126" spans="1:8">
      <c r="A126" s="1409"/>
      <c r="B126" s="1419"/>
      <c r="C126" s="1412"/>
      <c r="D126" s="1412"/>
      <c r="E126" s="1413"/>
      <c r="F126" s="1413"/>
      <c r="G126" s="1413"/>
      <c r="H126" s="1418">
        <f>SUM(H123:H125)</f>
        <v>29</v>
      </c>
    </row>
    <row r="127" spans="1:8">
      <c r="A127" s="1409"/>
      <c r="B127" s="1419"/>
      <c r="C127" s="1412"/>
      <c r="D127" s="1412"/>
      <c r="E127" s="1413"/>
      <c r="F127" s="1418" t="s">
        <v>4322</v>
      </c>
      <c r="G127" s="1418">
        <f>+H126</f>
        <v>29</v>
      </c>
      <c r="H127" s="1418" t="s">
        <v>835</v>
      </c>
    </row>
    <row r="128" spans="1:8">
      <c r="A128" s="1405"/>
      <c r="B128" s="1406"/>
      <c r="C128" s="1407"/>
      <c r="D128" s="1407"/>
      <c r="E128" s="1405"/>
      <c r="F128" s="1405"/>
      <c r="G128" s="1405"/>
      <c r="H128" s="1405"/>
    </row>
    <row r="129" spans="1:8">
      <c r="A129" s="1405"/>
      <c r="B129" s="1406"/>
      <c r="C129" s="1407"/>
      <c r="D129" s="1407"/>
      <c r="E129" s="1405"/>
      <c r="F129" s="1405"/>
      <c r="G129" s="1405"/>
      <c r="H129" s="1405"/>
    </row>
    <row r="130" spans="1:8">
      <c r="A130" s="1405"/>
      <c r="B130" s="1406"/>
      <c r="C130" s="1407"/>
      <c r="D130" s="1407"/>
      <c r="E130" s="1405"/>
      <c r="F130" s="1405"/>
      <c r="G130" s="1405"/>
      <c r="H130" s="1405"/>
    </row>
  </sheetData>
  <mergeCells count="9">
    <mergeCell ref="C109:D109"/>
    <mergeCell ref="E110:F110"/>
    <mergeCell ref="C111:D111"/>
    <mergeCell ref="A1:H1"/>
    <mergeCell ref="A2:H2"/>
    <mergeCell ref="A3:H3"/>
    <mergeCell ref="A5:H5"/>
    <mergeCell ref="C7:D7"/>
    <mergeCell ref="C108:D108"/>
  </mergeCells>
  <pageMargins left="0.7" right="0.7" top="0.75" bottom="0.75" header="0.3" footer="0.3"/>
  <pageSetup paperSize="9" scale="77" orientation="portrait" horizontalDpi="300" verticalDpi="0" r:id="rId1"/>
</worksheet>
</file>

<file path=xl/worksheets/sheet17.xml><?xml version="1.0" encoding="utf-8"?>
<worksheet xmlns="http://schemas.openxmlformats.org/spreadsheetml/2006/main" xmlns:r="http://schemas.openxmlformats.org/officeDocument/2006/relationships">
  <sheetPr>
    <tabColor rgb="FFFFC000"/>
  </sheetPr>
  <dimension ref="A1:I92"/>
  <sheetViews>
    <sheetView view="pageBreakPreview" topLeftCell="A34" zoomScale="85" zoomScaleSheetLayoutView="85" workbookViewId="0">
      <selection activeCell="E125" sqref="E125"/>
    </sheetView>
  </sheetViews>
  <sheetFormatPr defaultRowHeight="15.75"/>
  <cols>
    <col min="2" max="2" width="30" customWidth="1"/>
    <col min="3" max="3" width="6" customWidth="1"/>
    <col min="4" max="4" width="4.33203125" customWidth="1"/>
    <col min="6" max="6" width="11.6640625" customWidth="1"/>
    <col min="9" max="9" width="5.88671875" customWidth="1"/>
  </cols>
  <sheetData>
    <row r="1" spans="1:9">
      <c r="A1" s="1947" t="s">
        <v>6067</v>
      </c>
      <c r="B1" s="1948"/>
      <c r="C1" s="1948"/>
      <c r="D1" s="1948"/>
      <c r="E1" s="1948"/>
      <c r="F1" s="1948"/>
      <c r="G1" s="1948"/>
      <c r="H1" s="1948"/>
      <c r="I1" s="1948"/>
    </row>
    <row r="2" spans="1:9">
      <c r="A2" s="1949" t="s">
        <v>6068</v>
      </c>
      <c r="B2" s="1950"/>
      <c r="C2" s="1950"/>
      <c r="D2" s="1950"/>
      <c r="E2" s="1950"/>
      <c r="F2" s="1950"/>
      <c r="G2" s="1950"/>
      <c r="H2" s="1950"/>
      <c r="I2" s="1950"/>
    </row>
    <row r="3" spans="1:9">
      <c r="A3" s="1424" t="s">
        <v>6069</v>
      </c>
      <c r="B3" s="1424" t="s">
        <v>6009</v>
      </c>
      <c r="C3" s="1951" t="s">
        <v>1452</v>
      </c>
      <c r="D3" s="1952"/>
      <c r="E3" s="1424" t="s">
        <v>5399</v>
      </c>
      <c r="F3" s="1424" t="s">
        <v>1577</v>
      </c>
      <c r="G3" s="1425" t="s">
        <v>5384</v>
      </c>
      <c r="H3" s="1953" t="s">
        <v>1611</v>
      </c>
      <c r="I3" s="1953"/>
    </row>
    <row r="4" spans="1:9" ht="30">
      <c r="A4" s="1426">
        <v>1.5</v>
      </c>
      <c r="B4" s="1427" t="s">
        <v>6070</v>
      </c>
      <c r="C4" s="1428"/>
      <c r="D4" s="1428"/>
      <c r="E4" s="1428"/>
      <c r="F4" s="1428"/>
      <c r="G4" s="1428"/>
      <c r="H4" s="1429"/>
      <c r="I4" s="1430"/>
    </row>
    <row r="5" spans="1:9">
      <c r="A5" s="1428"/>
      <c r="B5" s="1431" t="s">
        <v>6071</v>
      </c>
      <c r="C5" s="1432"/>
      <c r="D5" s="1432"/>
      <c r="E5" s="1432"/>
      <c r="F5" s="1432"/>
      <c r="G5" s="1432"/>
      <c r="H5" s="1433"/>
      <c r="I5" s="1430"/>
    </row>
    <row r="6" spans="1:9">
      <c r="A6" s="1428"/>
      <c r="B6" s="1428" t="s">
        <v>6072</v>
      </c>
      <c r="C6" s="1432">
        <v>1</v>
      </c>
      <c r="D6" s="1432">
        <v>1</v>
      </c>
      <c r="E6" s="1432" t="s">
        <v>6073</v>
      </c>
      <c r="F6" s="1432" t="s">
        <v>6074</v>
      </c>
      <c r="G6" s="1434">
        <v>2</v>
      </c>
      <c r="H6" s="1435">
        <v>53.91</v>
      </c>
      <c r="I6" s="1430"/>
    </row>
    <row r="7" spans="1:9" ht="18">
      <c r="A7" s="1431"/>
      <c r="B7" s="1431"/>
      <c r="C7" s="1436"/>
      <c r="D7" s="1436"/>
      <c r="E7" s="1436"/>
      <c r="F7" s="1436"/>
      <c r="G7" s="1436" t="s">
        <v>4322</v>
      </c>
      <c r="H7" s="1437">
        <f>ROUNDDOWN(H6,1)</f>
        <v>53.9</v>
      </c>
      <c r="I7" s="1438" t="s">
        <v>6075</v>
      </c>
    </row>
    <row r="8" spans="1:9">
      <c r="A8" s="1428"/>
      <c r="B8" s="1431" t="s">
        <v>6076</v>
      </c>
      <c r="C8" s="1432"/>
      <c r="D8" s="1432"/>
      <c r="E8" s="1432"/>
      <c r="F8" s="1432"/>
      <c r="G8" s="1432"/>
      <c r="H8" s="1439"/>
      <c r="I8" s="1430"/>
    </row>
    <row r="9" spans="1:9">
      <c r="A9" s="1428"/>
      <c r="B9" s="1428" t="s">
        <v>6072</v>
      </c>
      <c r="C9" s="1432">
        <v>1</v>
      </c>
      <c r="D9" s="1432">
        <v>1</v>
      </c>
      <c r="E9" s="1432" t="s">
        <v>6073</v>
      </c>
      <c r="F9" s="1432" t="s">
        <v>6074</v>
      </c>
      <c r="G9" s="1434">
        <v>0.45</v>
      </c>
      <c r="H9" s="1433">
        <v>12.13</v>
      </c>
      <c r="I9" s="1430"/>
    </row>
    <row r="10" spans="1:9" ht="18">
      <c r="A10" s="1431"/>
      <c r="B10" s="1431"/>
      <c r="C10" s="1436"/>
      <c r="D10" s="1436"/>
      <c r="E10" s="1436"/>
      <c r="F10" s="1436"/>
      <c r="G10" s="1436" t="s">
        <v>4322</v>
      </c>
      <c r="H10" s="1437">
        <f>ROUNDDOWN(H9,1)</f>
        <v>12.1</v>
      </c>
      <c r="I10" s="1438" t="s">
        <v>6075</v>
      </c>
    </row>
    <row r="11" spans="1:9" ht="30.75">
      <c r="A11" s="1426">
        <v>3.1</v>
      </c>
      <c r="B11" s="1440" t="s">
        <v>6077</v>
      </c>
      <c r="C11" s="1432"/>
      <c r="D11" s="1432"/>
      <c r="E11" s="1432"/>
      <c r="F11" s="1432"/>
      <c r="G11" s="1432"/>
      <c r="H11" s="1439"/>
      <c r="I11" s="1430"/>
    </row>
    <row r="12" spans="1:9">
      <c r="A12" s="1428"/>
      <c r="B12" s="1428" t="s">
        <v>6078</v>
      </c>
      <c r="C12" s="1432">
        <v>1</v>
      </c>
      <c r="D12" s="1432">
        <v>1</v>
      </c>
      <c r="E12" s="1432" t="s">
        <v>6073</v>
      </c>
      <c r="F12" s="1432" t="s">
        <v>6074</v>
      </c>
      <c r="G12" s="1432">
        <v>0.1</v>
      </c>
      <c r="H12" s="1437">
        <v>2.7</v>
      </c>
      <c r="I12" s="1430"/>
    </row>
    <row r="13" spans="1:9" ht="18">
      <c r="A13" s="1431"/>
      <c r="B13" s="1431"/>
      <c r="C13" s="1436"/>
      <c r="D13" s="1436"/>
      <c r="E13" s="1436"/>
      <c r="F13" s="1436"/>
      <c r="G13" s="1436" t="s">
        <v>4322</v>
      </c>
      <c r="H13" s="1437">
        <f>ROUNDDOWN(H12,1)</f>
        <v>2.7</v>
      </c>
      <c r="I13" s="1438" t="s">
        <v>6075</v>
      </c>
    </row>
    <row r="14" spans="1:9" ht="45">
      <c r="A14" s="1426">
        <v>4.2</v>
      </c>
      <c r="B14" s="1427" t="s">
        <v>6079</v>
      </c>
      <c r="C14" s="1432"/>
      <c r="D14" s="1432"/>
      <c r="E14" s="1432"/>
      <c r="F14" s="1432"/>
      <c r="G14" s="1432"/>
      <c r="H14" s="1433"/>
      <c r="I14" s="1430"/>
    </row>
    <row r="15" spans="1:9">
      <c r="A15" s="1428"/>
      <c r="B15" s="1428" t="s">
        <v>6080</v>
      </c>
      <c r="C15" s="1432">
        <v>1</v>
      </c>
      <c r="D15" s="1432">
        <v>1</v>
      </c>
      <c r="E15" s="1432" t="s">
        <v>6073</v>
      </c>
      <c r="F15" s="1432" t="s">
        <v>6074</v>
      </c>
      <c r="G15" s="1432">
        <v>0.25</v>
      </c>
      <c r="H15" s="1433">
        <v>6.74</v>
      </c>
      <c r="I15" s="1430"/>
    </row>
    <row r="16" spans="1:9">
      <c r="A16" s="1428"/>
      <c r="B16" s="1428" t="s">
        <v>6081</v>
      </c>
      <c r="C16" s="1432">
        <v>1</v>
      </c>
      <c r="D16" s="1432">
        <v>1</v>
      </c>
      <c r="E16" s="1432" t="s">
        <v>6082</v>
      </c>
      <c r="F16" s="1432">
        <v>4.4800000000000004</v>
      </c>
      <c r="G16" s="1432" t="s">
        <v>6083</v>
      </c>
      <c r="H16" s="1433">
        <v>3.17</v>
      </c>
      <c r="I16" s="1430"/>
    </row>
    <row r="17" spans="1:9">
      <c r="A17" s="1428"/>
      <c r="B17" s="1428" t="s">
        <v>6081</v>
      </c>
      <c r="C17" s="1432">
        <v>1</v>
      </c>
      <c r="D17" s="1432">
        <v>1</v>
      </c>
      <c r="E17" s="1432" t="s">
        <v>6082</v>
      </c>
      <c r="F17" s="1432">
        <v>4.55</v>
      </c>
      <c r="G17" s="1432" t="s">
        <v>6084</v>
      </c>
      <c r="H17" s="1433">
        <v>3.86</v>
      </c>
      <c r="I17" s="1430"/>
    </row>
    <row r="18" spans="1:9">
      <c r="A18" s="1428"/>
      <c r="B18" s="1428" t="s">
        <v>6085</v>
      </c>
      <c r="C18" s="1432">
        <v>1</v>
      </c>
      <c r="D18" s="1432">
        <v>1</v>
      </c>
      <c r="E18" s="1432" t="s">
        <v>6073</v>
      </c>
      <c r="F18" s="1432" t="s">
        <v>6086</v>
      </c>
      <c r="G18" s="1432">
        <v>0.15</v>
      </c>
      <c r="H18" s="1433">
        <v>2.9</v>
      </c>
      <c r="I18" s="1430"/>
    </row>
    <row r="19" spans="1:9">
      <c r="A19" s="1428"/>
      <c r="B19" s="1428" t="s">
        <v>6087</v>
      </c>
      <c r="C19" s="1432">
        <v>1</v>
      </c>
      <c r="D19" s="1432">
        <v>-1</v>
      </c>
      <c r="E19" s="1432">
        <v>0.6</v>
      </c>
      <c r="F19" s="1432">
        <v>0.6</v>
      </c>
      <c r="G19" s="1432">
        <v>0.1</v>
      </c>
      <c r="H19" s="1435">
        <f>PRODUCT(C19:G19)</f>
        <v>-0.04</v>
      </c>
      <c r="I19" s="1430"/>
    </row>
    <row r="20" spans="1:9">
      <c r="A20" s="1428"/>
      <c r="B20" s="1428"/>
      <c r="C20" s="1432"/>
      <c r="D20" s="1432"/>
      <c r="E20" s="1432"/>
      <c r="F20" s="1432"/>
      <c r="G20" s="1436"/>
      <c r="H20" s="1437">
        <f>SUM(H15:H19)</f>
        <v>16.63</v>
      </c>
      <c r="I20" s="1430"/>
    </row>
    <row r="21" spans="1:9" ht="18">
      <c r="A21" s="1428"/>
      <c r="B21" s="1440"/>
      <c r="C21" s="1432"/>
      <c r="D21" s="1432"/>
      <c r="E21" s="1432"/>
      <c r="F21" s="1432"/>
      <c r="G21" s="1436" t="s">
        <v>4322</v>
      </c>
      <c r="H21" s="1437">
        <f>ROUNDDOWN(H20,1)</f>
        <v>16.600000000000001</v>
      </c>
      <c r="I21" s="1438" t="s">
        <v>6075</v>
      </c>
    </row>
    <row r="22" spans="1:9" ht="30.75">
      <c r="A22" s="1426">
        <v>10.5</v>
      </c>
      <c r="B22" s="1440" t="s">
        <v>6088</v>
      </c>
      <c r="C22" s="1432"/>
      <c r="D22" s="1432"/>
      <c r="E22" s="1432"/>
      <c r="F22" s="1432"/>
      <c r="G22" s="1432"/>
      <c r="H22" s="1433"/>
      <c r="I22" s="1430"/>
    </row>
    <row r="23" spans="1:9">
      <c r="A23" s="1428"/>
      <c r="B23" s="1428" t="s">
        <v>6089</v>
      </c>
      <c r="C23" s="1432">
        <v>1</v>
      </c>
      <c r="D23" s="1432">
        <v>1</v>
      </c>
      <c r="E23" s="1432">
        <v>3.14</v>
      </c>
      <c r="F23" s="1432">
        <v>4.12</v>
      </c>
      <c r="G23" s="1432">
        <v>0.9</v>
      </c>
      <c r="H23" s="1435">
        <f>G23*F23*E23*D23*C23</f>
        <v>11.64</v>
      </c>
      <c r="I23" s="1430"/>
    </row>
    <row r="24" spans="1:9">
      <c r="A24" s="1428"/>
      <c r="B24" s="1428" t="s">
        <v>6090</v>
      </c>
      <c r="C24" s="1432">
        <v>1</v>
      </c>
      <c r="D24" s="1432">
        <v>1</v>
      </c>
      <c r="E24" s="1432">
        <v>3.14</v>
      </c>
      <c r="F24" s="1432">
        <v>4.33</v>
      </c>
      <c r="G24" s="1432">
        <v>1.8</v>
      </c>
      <c r="H24" s="1435">
        <f>G24*F24*E24*D24*C24</f>
        <v>24.47</v>
      </c>
      <c r="I24" s="1430"/>
    </row>
    <row r="25" spans="1:9">
      <c r="A25" s="1428"/>
      <c r="B25" s="1428" t="s">
        <v>6091</v>
      </c>
      <c r="C25" s="1432">
        <v>1</v>
      </c>
      <c r="D25" s="1432">
        <v>1</v>
      </c>
      <c r="E25" s="1432">
        <v>3.14</v>
      </c>
      <c r="F25" s="1432">
        <v>4.8499999999999996</v>
      </c>
      <c r="G25" s="1432">
        <v>2.7</v>
      </c>
      <c r="H25" s="1435">
        <f>G25*F25*E25*D25*C25</f>
        <v>41.12</v>
      </c>
      <c r="I25" s="1430"/>
    </row>
    <row r="26" spans="1:9">
      <c r="A26" s="1428"/>
      <c r="B26" s="1428"/>
      <c r="C26" s="1432"/>
      <c r="D26" s="1432"/>
      <c r="E26" s="1432"/>
      <c r="F26" s="1432"/>
      <c r="G26" s="1432"/>
      <c r="H26" s="1437">
        <f>SUM(H23:H25)</f>
        <v>77.23</v>
      </c>
      <c r="I26" s="1430"/>
    </row>
    <row r="27" spans="1:9" ht="18">
      <c r="A27" s="1428"/>
      <c r="B27" s="1428"/>
      <c r="C27" s="1432"/>
      <c r="D27" s="1432"/>
      <c r="E27" s="1432"/>
      <c r="F27" s="1432"/>
      <c r="G27" s="1436" t="s">
        <v>4322</v>
      </c>
      <c r="H27" s="1437">
        <f>ROUNDDOWN(H26,1)</f>
        <v>77.2</v>
      </c>
      <c r="I27" s="1438" t="s">
        <v>6092</v>
      </c>
    </row>
    <row r="28" spans="1:9" ht="30">
      <c r="A28" s="1426">
        <v>33</v>
      </c>
      <c r="B28" s="1427" t="s">
        <v>6093</v>
      </c>
      <c r="C28" s="1432"/>
      <c r="D28" s="1432"/>
      <c r="E28" s="1432"/>
      <c r="F28" s="1432"/>
      <c r="G28" s="1432"/>
      <c r="H28" s="1433"/>
      <c r="I28" s="1430"/>
    </row>
    <row r="29" spans="1:9">
      <c r="A29" s="1428"/>
      <c r="B29" s="1428" t="s">
        <v>6091</v>
      </c>
      <c r="C29" s="1432">
        <v>1</v>
      </c>
      <c r="D29" s="1432">
        <v>1</v>
      </c>
      <c r="E29" s="1432">
        <v>3.14</v>
      </c>
      <c r="F29" s="1432">
        <v>4.96</v>
      </c>
      <c r="G29" s="1432">
        <v>2.7</v>
      </c>
      <c r="H29" s="1435">
        <f>G29*F29*E29*D29*C29</f>
        <v>42.05</v>
      </c>
      <c r="I29" s="1430"/>
    </row>
    <row r="30" spans="1:9" ht="18">
      <c r="A30" s="1428"/>
      <c r="B30" s="1428"/>
      <c r="C30" s="1432"/>
      <c r="D30" s="1432"/>
      <c r="E30" s="1432"/>
      <c r="F30" s="1432"/>
      <c r="G30" s="1436" t="s">
        <v>4322</v>
      </c>
      <c r="H30" s="1437">
        <f>ROUNDDOWN(H29,1)</f>
        <v>42</v>
      </c>
      <c r="I30" s="1438" t="s">
        <v>6092</v>
      </c>
    </row>
    <row r="31" spans="1:9" ht="30">
      <c r="A31" s="1426">
        <v>35.1</v>
      </c>
      <c r="B31" s="1427" t="s">
        <v>6094</v>
      </c>
      <c r="C31" s="1432"/>
      <c r="D31" s="1432"/>
      <c r="E31" s="1432"/>
      <c r="F31" s="1432"/>
      <c r="G31" s="1436"/>
      <c r="H31" s="1439"/>
      <c r="I31" s="1430"/>
    </row>
    <row r="32" spans="1:9">
      <c r="A32" s="1428"/>
      <c r="B32" s="1428" t="s">
        <v>6089</v>
      </c>
      <c r="C32" s="1432">
        <v>1</v>
      </c>
      <c r="D32" s="1432">
        <v>1</v>
      </c>
      <c r="E32" s="1432">
        <v>3.14</v>
      </c>
      <c r="F32" s="1441">
        <v>4</v>
      </c>
      <c r="G32" s="1432">
        <v>0.9</v>
      </c>
      <c r="H32" s="1435">
        <f t="shared" ref="H32:H33" si="0">G32*F32*E32*D32*C32</f>
        <v>11.3</v>
      </c>
      <c r="I32" s="1430"/>
    </row>
    <row r="33" spans="1:9">
      <c r="A33" s="1428"/>
      <c r="B33" s="1428" t="s">
        <v>6090</v>
      </c>
      <c r="C33" s="1432">
        <v>1</v>
      </c>
      <c r="D33" s="1432">
        <v>1</v>
      </c>
      <c r="E33" s="1432">
        <v>3.14</v>
      </c>
      <c r="F33" s="1432">
        <v>4.22</v>
      </c>
      <c r="G33" s="1432">
        <v>1.8</v>
      </c>
      <c r="H33" s="1435">
        <f t="shared" si="0"/>
        <v>23.85</v>
      </c>
      <c r="I33" s="1430"/>
    </row>
    <row r="34" spans="1:9">
      <c r="A34" s="1428"/>
      <c r="B34" s="1428"/>
      <c r="C34" s="1432"/>
      <c r="D34" s="1432"/>
      <c r="E34" s="1432"/>
      <c r="F34" s="1432"/>
      <c r="G34" s="1432"/>
      <c r="H34" s="1435">
        <f>SUM(H32:H33)</f>
        <v>35.15</v>
      </c>
      <c r="I34" s="1430"/>
    </row>
    <row r="35" spans="1:9" ht="18">
      <c r="A35" s="1428"/>
      <c r="B35" s="1440"/>
      <c r="C35" s="1432"/>
      <c r="D35" s="1432"/>
      <c r="E35" s="1432"/>
      <c r="F35" s="1432"/>
      <c r="G35" s="1436" t="s">
        <v>4322</v>
      </c>
      <c r="H35" s="1437">
        <f>ROUNDDOWN(H34,1)</f>
        <v>35.1</v>
      </c>
      <c r="I35" s="1438" t="s">
        <v>6092</v>
      </c>
    </row>
    <row r="36" spans="1:9">
      <c r="A36" s="1426">
        <v>18.100000000000001</v>
      </c>
      <c r="B36" s="1440" t="s">
        <v>6095</v>
      </c>
      <c r="C36" s="1432"/>
      <c r="D36" s="1432"/>
      <c r="E36" s="1432"/>
      <c r="F36" s="1432"/>
      <c r="G36" s="1436"/>
      <c r="H36" s="1439"/>
      <c r="I36" s="1430"/>
    </row>
    <row r="37" spans="1:9">
      <c r="A37" s="1428"/>
      <c r="B37" s="1442" t="s">
        <v>6096</v>
      </c>
      <c r="C37" s="1432"/>
      <c r="D37" s="1432"/>
      <c r="E37" s="1946"/>
      <c r="F37" s="1946"/>
      <c r="G37" s="1432"/>
      <c r="H37" s="1433"/>
      <c r="I37" s="1430"/>
    </row>
    <row r="38" spans="1:9">
      <c r="A38" s="1428"/>
      <c r="B38" s="1428" t="s">
        <v>6097</v>
      </c>
      <c r="C38" s="1432">
        <v>1</v>
      </c>
      <c r="D38" s="1432">
        <v>1</v>
      </c>
      <c r="E38" s="1946" t="s">
        <v>6098</v>
      </c>
      <c r="F38" s="1946"/>
      <c r="G38" s="1432"/>
      <c r="H38" s="1433">
        <v>19.309999999999999</v>
      </c>
      <c r="I38" s="1430"/>
    </row>
    <row r="39" spans="1:9">
      <c r="A39" s="1428"/>
      <c r="B39" s="1428" t="s">
        <v>6099</v>
      </c>
      <c r="C39" s="1432">
        <v>1</v>
      </c>
      <c r="D39" s="1432">
        <v>1</v>
      </c>
      <c r="E39" s="1432">
        <v>0.6</v>
      </c>
      <c r="F39" s="1432">
        <v>0.6</v>
      </c>
      <c r="G39" s="1432"/>
      <c r="H39" s="1433">
        <v>-0.36</v>
      </c>
      <c r="I39" s="1430"/>
    </row>
    <row r="40" spans="1:9">
      <c r="A40" s="1428"/>
      <c r="B40" s="1428" t="s">
        <v>6100</v>
      </c>
      <c r="C40" s="1432">
        <v>1</v>
      </c>
      <c r="D40" s="1432">
        <v>1</v>
      </c>
      <c r="E40" s="1432">
        <v>2.4</v>
      </c>
      <c r="F40" s="1432"/>
      <c r="G40" s="1432">
        <v>0.15</v>
      </c>
      <c r="H40" s="1433">
        <v>0.36</v>
      </c>
      <c r="I40" s="1430"/>
    </row>
    <row r="41" spans="1:9">
      <c r="A41" s="1428"/>
      <c r="B41" s="1428"/>
      <c r="C41" s="1432"/>
      <c r="D41" s="1432"/>
      <c r="E41" s="1432"/>
      <c r="F41" s="1432"/>
      <c r="G41" s="1432"/>
      <c r="H41" s="1439">
        <f>SUM(H38:H40)</f>
        <v>19.309999999999999</v>
      </c>
      <c r="I41" s="1430"/>
    </row>
    <row r="42" spans="1:9" ht="18">
      <c r="A42" s="1428"/>
      <c r="B42" s="1428"/>
      <c r="C42" s="1432"/>
      <c r="D42" s="1432"/>
      <c r="E42" s="1432"/>
      <c r="F42" s="1432"/>
      <c r="G42" s="1436" t="s">
        <v>4322</v>
      </c>
      <c r="H42" s="1437">
        <f>ROUNDDOWN(H41,1)</f>
        <v>19.3</v>
      </c>
      <c r="I42" s="1438" t="s">
        <v>6092</v>
      </c>
    </row>
    <row r="43" spans="1:9">
      <c r="A43" s="1428"/>
      <c r="B43" s="1428" t="s">
        <v>6101</v>
      </c>
      <c r="C43" s="1432"/>
      <c r="D43" s="1432"/>
      <c r="E43" s="1432"/>
      <c r="F43" s="1432"/>
      <c r="G43" s="1432"/>
      <c r="H43" s="1433"/>
      <c r="I43" s="1430"/>
    </row>
    <row r="44" spans="1:9">
      <c r="A44" s="1428"/>
      <c r="B44" s="1428" t="s">
        <v>6102</v>
      </c>
      <c r="C44" s="1432">
        <v>1</v>
      </c>
      <c r="D44" s="1432">
        <v>1</v>
      </c>
      <c r="E44" s="1946" t="s">
        <v>6103</v>
      </c>
      <c r="F44" s="1946"/>
      <c r="G44" s="1432">
        <v>0.15</v>
      </c>
      <c r="H44" s="1433">
        <v>2.34</v>
      </c>
      <c r="I44" s="1430"/>
    </row>
    <row r="45" spans="1:9" ht="18">
      <c r="A45" s="1428"/>
      <c r="B45" s="1428"/>
      <c r="C45" s="1432"/>
      <c r="D45" s="1432"/>
      <c r="E45" s="1432"/>
      <c r="F45" s="1432"/>
      <c r="G45" s="1436" t="s">
        <v>4322</v>
      </c>
      <c r="H45" s="1437">
        <f>ROUNDDOWN(H44,1)</f>
        <v>2.2999999999999998</v>
      </c>
      <c r="I45" s="1438" t="s">
        <v>6092</v>
      </c>
    </row>
    <row r="46" spans="1:9">
      <c r="A46" s="1428"/>
      <c r="B46" s="1428"/>
      <c r="C46" s="1432"/>
      <c r="D46" s="1432"/>
      <c r="E46" s="1432"/>
      <c r="F46" s="1432"/>
      <c r="G46" s="1432"/>
      <c r="H46" s="1433"/>
      <c r="I46" s="1430"/>
    </row>
    <row r="47" spans="1:9">
      <c r="A47" s="1428">
        <v>53.4</v>
      </c>
      <c r="B47" s="1428" t="s">
        <v>6104</v>
      </c>
      <c r="C47" s="1432">
        <v>1</v>
      </c>
      <c r="D47" s="1432">
        <v>1</v>
      </c>
      <c r="E47" s="1432">
        <v>1</v>
      </c>
      <c r="F47" s="1432"/>
      <c r="G47" s="1432"/>
      <c r="H47" s="1439">
        <v>1</v>
      </c>
      <c r="I47" s="1430" t="s">
        <v>1414</v>
      </c>
    </row>
    <row r="48" spans="1:9">
      <c r="A48" s="1428"/>
      <c r="B48" s="1428"/>
      <c r="C48" s="1432"/>
      <c r="D48" s="1432"/>
      <c r="E48" s="1432"/>
      <c r="F48" s="1432"/>
      <c r="G48" s="1432"/>
      <c r="H48" s="1439"/>
      <c r="I48" s="1430"/>
    </row>
    <row r="49" spans="1:9">
      <c r="A49" s="1428">
        <v>53.3</v>
      </c>
      <c r="B49" s="1428" t="s">
        <v>6105</v>
      </c>
      <c r="C49" s="1432"/>
      <c r="D49" s="1432"/>
      <c r="E49" s="1432"/>
      <c r="F49" s="1432"/>
      <c r="G49" s="1432"/>
      <c r="H49" s="1439"/>
      <c r="I49" s="1430"/>
    </row>
    <row r="50" spans="1:9">
      <c r="A50" s="1428"/>
      <c r="B50" s="1428" t="s">
        <v>6106</v>
      </c>
      <c r="C50" s="1432">
        <v>1</v>
      </c>
      <c r="D50" s="1432">
        <v>1</v>
      </c>
      <c r="E50" s="1432">
        <v>5</v>
      </c>
      <c r="F50" s="1432"/>
      <c r="G50" s="1432"/>
      <c r="H50" s="1439">
        <v>5</v>
      </c>
      <c r="I50" s="1430" t="s">
        <v>1452</v>
      </c>
    </row>
    <row r="51" spans="1:9">
      <c r="A51" s="1428"/>
      <c r="B51" s="1428"/>
      <c r="C51" s="1432"/>
      <c r="D51" s="1432"/>
      <c r="E51" s="1432"/>
      <c r="F51" s="1432"/>
      <c r="G51" s="1432"/>
      <c r="H51" s="1439"/>
      <c r="I51" s="1430"/>
    </row>
    <row r="52" spans="1:9" ht="30">
      <c r="A52" s="1426">
        <v>43.1</v>
      </c>
      <c r="B52" s="1427" t="s">
        <v>6107</v>
      </c>
      <c r="C52" s="1432"/>
      <c r="D52" s="1432"/>
      <c r="E52" s="1432"/>
      <c r="F52" s="1442"/>
      <c r="G52" s="1432"/>
      <c r="H52" s="1432"/>
      <c r="I52" s="1430"/>
    </row>
    <row r="53" spans="1:9" hidden="1">
      <c r="A53" s="1428"/>
      <c r="B53" s="1431" t="s">
        <v>6108</v>
      </c>
      <c r="C53" s="1432"/>
      <c r="D53" s="1432"/>
      <c r="E53" s="1432"/>
      <c r="F53" s="1432"/>
      <c r="G53" s="1432"/>
      <c r="H53" s="1432"/>
      <c r="I53" s="1428"/>
    </row>
    <row r="54" spans="1:9" hidden="1">
      <c r="A54" s="1428"/>
      <c r="B54" s="1428" t="s">
        <v>6109</v>
      </c>
      <c r="C54" s="1432">
        <v>2</v>
      </c>
      <c r="D54" s="1432">
        <v>2</v>
      </c>
      <c r="E54" s="1432">
        <v>2</v>
      </c>
      <c r="F54" s="1434">
        <v>4.95</v>
      </c>
      <c r="G54" s="1443">
        <f t="shared" ref="G54:G65" si="1">C54*D54*E54*F54</f>
        <v>39.6</v>
      </c>
      <c r="H54" s="1428"/>
      <c r="I54" s="1428"/>
    </row>
    <row r="55" spans="1:9" hidden="1">
      <c r="A55" s="1428"/>
      <c r="B55" s="1428"/>
      <c r="C55" s="1432">
        <v>2</v>
      </c>
      <c r="D55" s="1432">
        <v>2</v>
      </c>
      <c r="E55" s="1432">
        <v>2</v>
      </c>
      <c r="F55" s="1434">
        <v>4.8</v>
      </c>
      <c r="G55" s="1443">
        <f t="shared" si="1"/>
        <v>38.4</v>
      </c>
      <c r="H55" s="1428"/>
      <c r="I55" s="1428"/>
    </row>
    <row r="56" spans="1:9" hidden="1">
      <c r="A56" s="1428"/>
      <c r="B56" s="1428"/>
      <c r="C56" s="1432">
        <v>2</v>
      </c>
      <c r="D56" s="1432">
        <v>2</v>
      </c>
      <c r="E56" s="1432">
        <v>2</v>
      </c>
      <c r="F56" s="1434">
        <v>4.2</v>
      </c>
      <c r="G56" s="1443">
        <f t="shared" si="1"/>
        <v>33.6</v>
      </c>
      <c r="H56" s="1428"/>
      <c r="I56" s="1428"/>
    </row>
    <row r="57" spans="1:9" hidden="1">
      <c r="A57" s="1428"/>
      <c r="B57" s="1428"/>
      <c r="C57" s="1432">
        <v>2</v>
      </c>
      <c r="D57" s="1432">
        <v>2</v>
      </c>
      <c r="E57" s="1432">
        <v>2</v>
      </c>
      <c r="F57" s="1434">
        <v>3.9</v>
      </c>
      <c r="G57" s="1443">
        <f t="shared" si="1"/>
        <v>31.2</v>
      </c>
      <c r="H57" s="1428"/>
      <c r="I57" s="1428"/>
    </row>
    <row r="58" spans="1:9" hidden="1">
      <c r="A58" s="1428"/>
      <c r="B58" s="1428"/>
      <c r="C58" s="1432">
        <v>2</v>
      </c>
      <c r="D58" s="1432">
        <v>2</v>
      </c>
      <c r="E58" s="1432">
        <v>2</v>
      </c>
      <c r="F58" s="1434">
        <v>3.7</v>
      </c>
      <c r="G58" s="1443">
        <f t="shared" si="1"/>
        <v>29.6</v>
      </c>
      <c r="H58" s="1428"/>
      <c r="I58" s="1428"/>
    </row>
    <row r="59" spans="1:9" hidden="1">
      <c r="A59" s="1428"/>
      <c r="B59" s="1428"/>
      <c r="C59" s="1432">
        <v>2</v>
      </c>
      <c r="D59" s="1432">
        <v>2</v>
      </c>
      <c r="E59" s="1432">
        <v>2</v>
      </c>
      <c r="F59" s="1434">
        <v>3.5</v>
      </c>
      <c r="G59" s="1443">
        <f t="shared" si="1"/>
        <v>28</v>
      </c>
      <c r="H59" s="1428"/>
      <c r="I59" s="1428"/>
    </row>
    <row r="60" spans="1:9" hidden="1">
      <c r="A60" s="1428"/>
      <c r="B60" s="1428"/>
      <c r="C60" s="1432">
        <v>2</v>
      </c>
      <c r="D60" s="1432">
        <v>2</v>
      </c>
      <c r="E60" s="1432">
        <v>2</v>
      </c>
      <c r="F60" s="1434">
        <v>3.2</v>
      </c>
      <c r="G60" s="1443">
        <f t="shared" si="1"/>
        <v>25.6</v>
      </c>
      <c r="H60" s="1428"/>
      <c r="I60" s="1428"/>
    </row>
    <row r="61" spans="1:9" hidden="1">
      <c r="A61" s="1428"/>
      <c r="B61" s="1428"/>
      <c r="C61" s="1432">
        <v>2</v>
      </c>
      <c r="D61" s="1432">
        <v>2</v>
      </c>
      <c r="E61" s="1432">
        <v>2</v>
      </c>
      <c r="F61" s="1434">
        <v>3</v>
      </c>
      <c r="G61" s="1443">
        <f t="shared" si="1"/>
        <v>24</v>
      </c>
      <c r="H61" s="1428"/>
      <c r="I61" s="1428"/>
    </row>
    <row r="62" spans="1:9" hidden="1">
      <c r="A62" s="1428"/>
      <c r="B62" s="1428"/>
      <c r="C62" s="1432">
        <v>2</v>
      </c>
      <c r="D62" s="1432">
        <v>2</v>
      </c>
      <c r="E62" s="1432">
        <v>2</v>
      </c>
      <c r="F62" s="1434">
        <v>2.8</v>
      </c>
      <c r="G62" s="1443">
        <f t="shared" si="1"/>
        <v>22.4</v>
      </c>
      <c r="H62" s="1428"/>
      <c r="I62" s="1428"/>
    </row>
    <row r="63" spans="1:9" hidden="1">
      <c r="A63" s="1428"/>
      <c r="B63" s="1428"/>
      <c r="C63" s="1432">
        <v>2</v>
      </c>
      <c r="D63" s="1432">
        <v>2</v>
      </c>
      <c r="E63" s="1432">
        <v>2</v>
      </c>
      <c r="F63" s="1434">
        <v>2.5</v>
      </c>
      <c r="G63" s="1443">
        <f t="shared" si="1"/>
        <v>20</v>
      </c>
      <c r="H63" s="1428"/>
      <c r="I63" s="1428"/>
    </row>
    <row r="64" spans="1:9" hidden="1">
      <c r="A64" s="1428"/>
      <c r="B64" s="1428"/>
      <c r="C64" s="1432">
        <v>2</v>
      </c>
      <c r="D64" s="1432">
        <v>2</v>
      </c>
      <c r="E64" s="1432">
        <v>2</v>
      </c>
      <c r="F64" s="1434">
        <v>2.25</v>
      </c>
      <c r="G64" s="1443">
        <f t="shared" si="1"/>
        <v>18</v>
      </c>
      <c r="H64" s="1428"/>
      <c r="I64" s="1428"/>
    </row>
    <row r="65" spans="1:9" hidden="1">
      <c r="A65" s="1428"/>
      <c r="B65" s="1428" t="s">
        <v>6110</v>
      </c>
      <c r="C65" s="1432">
        <v>1</v>
      </c>
      <c r="D65" s="1432">
        <v>1</v>
      </c>
      <c r="E65" s="1432">
        <v>10</v>
      </c>
      <c r="F65" s="1432">
        <v>0.5</v>
      </c>
      <c r="G65" s="1443">
        <f t="shared" si="1"/>
        <v>5</v>
      </c>
      <c r="H65" s="1428"/>
      <c r="I65" s="1428"/>
    </row>
    <row r="66" spans="1:9" hidden="1">
      <c r="A66" s="1428"/>
      <c r="B66" s="1428" t="s">
        <v>6111</v>
      </c>
      <c r="C66" s="1432">
        <v>1</v>
      </c>
      <c r="D66" s="1432">
        <v>1</v>
      </c>
      <c r="E66" s="1432">
        <v>80</v>
      </c>
      <c r="F66" s="1432">
        <v>2.6</v>
      </c>
      <c r="G66" s="1428"/>
      <c r="H66" s="1444">
        <f t="shared" ref="H66" si="2">C66*D66*E66*F66</f>
        <v>208</v>
      </c>
      <c r="I66" s="1428"/>
    </row>
    <row r="67" spans="1:9" hidden="1">
      <c r="A67" s="1428"/>
      <c r="B67" s="1428" t="s">
        <v>6112</v>
      </c>
      <c r="C67" s="1432">
        <v>1</v>
      </c>
      <c r="D67" s="1432">
        <v>1</v>
      </c>
      <c r="E67" s="1432">
        <v>80</v>
      </c>
      <c r="F67" s="1432">
        <v>4.25</v>
      </c>
      <c r="G67" s="1428"/>
      <c r="H67" s="1444">
        <f>C67*D67*E67*F67</f>
        <v>340</v>
      </c>
      <c r="I67" s="1428"/>
    </row>
    <row r="68" spans="1:9" hidden="1">
      <c r="A68" s="1428"/>
      <c r="B68" s="1428" t="s">
        <v>6113</v>
      </c>
      <c r="C68" s="1432">
        <v>1</v>
      </c>
      <c r="D68" s="1432">
        <v>8</v>
      </c>
      <c r="E68" s="1432">
        <v>3.14</v>
      </c>
      <c r="F68" s="1432">
        <v>3.23</v>
      </c>
      <c r="G68" s="1444">
        <f>C68*D68*E68*F68</f>
        <v>81.14</v>
      </c>
      <c r="H68" s="1428"/>
      <c r="I68" s="1428"/>
    </row>
    <row r="69" spans="1:9" hidden="1">
      <c r="A69" s="1428"/>
      <c r="B69" s="1428" t="s">
        <v>6114</v>
      </c>
      <c r="C69" s="1432">
        <v>1</v>
      </c>
      <c r="D69" s="1432">
        <v>23</v>
      </c>
      <c r="E69" s="1432">
        <v>3.14</v>
      </c>
      <c r="F69" s="1432">
        <v>3.7</v>
      </c>
      <c r="G69" s="1444">
        <f>C69*D69*E69*F69</f>
        <v>267.20999999999998</v>
      </c>
      <c r="H69" s="1428"/>
      <c r="I69" s="1428"/>
    </row>
    <row r="70" spans="1:9" hidden="1">
      <c r="A70" s="1428"/>
      <c r="B70" s="1431" t="s">
        <v>6115</v>
      </c>
      <c r="C70" s="1428"/>
      <c r="D70" s="1428"/>
      <c r="E70" s="1428"/>
      <c r="F70" s="1428"/>
      <c r="G70" s="1444"/>
      <c r="H70" s="1428"/>
      <c r="I70" s="1428"/>
    </row>
    <row r="71" spans="1:9" hidden="1">
      <c r="A71" s="1428"/>
      <c r="B71" s="1428" t="s">
        <v>6116</v>
      </c>
      <c r="C71" s="1432">
        <v>1</v>
      </c>
      <c r="D71" s="1432">
        <v>2</v>
      </c>
      <c r="E71" s="1432">
        <v>2</v>
      </c>
      <c r="F71" s="1441">
        <v>4</v>
      </c>
      <c r="G71" s="1444">
        <f t="shared" ref="G71:G83" si="3">C71*D71*E71*F71</f>
        <v>16</v>
      </c>
      <c r="H71" s="1428"/>
      <c r="I71" s="1428"/>
    </row>
    <row r="72" spans="1:9" hidden="1">
      <c r="A72" s="1428"/>
      <c r="B72" s="1428"/>
      <c r="C72" s="1432">
        <v>1</v>
      </c>
      <c r="D72" s="1432">
        <v>2</v>
      </c>
      <c r="E72" s="1432">
        <v>2</v>
      </c>
      <c r="F72" s="1441">
        <v>3.8</v>
      </c>
      <c r="G72" s="1444">
        <f t="shared" si="3"/>
        <v>15.2</v>
      </c>
      <c r="H72" s="1428"/>
      <c r="I72" s="1428"/>
    </row>
    <row r="73" spans="1:9" hidden="1">
      <c r="A73" s="1428"/>
      <c r="B73" s="1428"/>
      <c r="C73" s="1432">
        <v>1</v>
      </c>
      <c r="D73" s="1432">
        <v>2</v>
      </c>
      <c r="E73" s="1432">
        <v>2</v>
      </c>
      <c r="F73" s="1441">
        <v>3.6</v>
      </c>
      <c r="G73" s="1444">
        <f t="shared" si="3"/>
        <v>14.4</v>
      </c>
      <c r="H73" s="1428"/>
      <c r="I73" s="1428"/>
    </row>
    <row r="74" spans="1:9" hidden="1">
      <c r="A74" s="1428"/>
      <c r="B74" s="1428"/>
      <c r="C74" s="1432">
        <v>1</v>
      </c>
      <c r="D74" s="1432">
        <v>2</v>
      </c>
      <c r="E74" s="1432">
        <v>2</v>
      </c>
      <c r="F74" s="1441">
        <v>3.4</v>
      </c>
      <c r="G74" s="1444">
        <f t="shared" si="3"/>
        <v>13.6</v>
      </c>
      <c r="H74" s="1428"/>
      <c r="I74" s="1428"/>
    </row>
    <row r="75" spans="1:9" hidden="1">
      <c r="A75" s="1428"/>
      <c r="B75" s="1428"/>
      <c r="C75" s="1432">
        <v>1</v>
      </c>
      <c r="D75" s="1432">
        <v>2</v>
      </c>
      <c r="E75" s="1432">
        <v>2</v>
      </c>
      <c r="F75" s="1441">
        <v>3.2</v>
      </c>
      <c r="G75" s="1444">
        <f t="shared" si="3"/>
        <v>12.8</v>
      </c>
      <c r="H75" s="1428"/>
      <c r="I75" s="1428"/>
    </row>
    <row r="76" spans="1:9" hidden="1">
      <c r="A76" s="1428"/>
      <c r="B76" s="1428"/>
      <c r="C76" s="1432">
        <v>1</v>
      </c>
      <c r="D76" s="1432">
        <v>2</v>
      </c>
      <c r="E76" s="1432">
        <v>2</v>
      </c>
      <c r="F76" s="1441">
        <v>3</v>
      </c>
      <c r="G76" s="1444">
        <f t="shared" si="3"/>
        <v>12</v>
      </c>
      <c r="H76" s="1428"/>
      <c r="I76" s="1428"/>
    </row>
    <row r="77" spans="1:9" hidden="1">
      <c r="A77" s="1428"/>
      <c r="B77" s="1428"/>
      <c r="C77" s="1432">
        <v>1</v>
      </c>
      <c r="D77" s="1432">
        <v>2</v>
      </c>
      <c r="E77" s="1432">
        <v>2</v>
      </c>
      <c r="F77" s="1441">
        <v>2.8</v>
      </c>
      <c r="G77" s="1444">
        <f t="shared" si="3"/>
        <v>11.2</v>
      </c>
      <c r="H77" s="1428"/>
      <c r="I77" s="1428"/>
    </row>
    <row r="78" spans="1:9" hidden="1">
      <c r="A78" s="1428"/>
      <c r="B78" s="1428"/>
      <c r="C78" s="1432">
        <v>1</v>
      </c>
      <c r="D78" s="1432">
        <v>2</v>
      </c>
      <c r="E78" s="1432">
        <v>2</v>
      </c>
      <c r="F78" s="1441">
        <v>2.6</v>
      </c>
      <c r="G78" s="1444">
        <f t="shared" si="3"/>
        <v>10.4</v>
      </c>
      <c r="H78" s="1428"/>
      <c r="I78" s="1428"/>
    </row>
    <row r="79" spans="1:9" hidden="1">
      <c r="A79" s="1428"/>
      <c r="B79" s="1428"/>
      <c r="C79" s="1432">
        <v>1</v>
      </c>
      <c r="D79" s="1432">
        <v>2</v>
      </c>
      <c r="E79" s="1432">
        <v>2</v>
      </c>
      <c r="F79" s="1441">
        <v>2.4</v>
      </c>
      <c r="G79" s="1444">
        <f t="shared" si="3"/>
        <v>9.6</v>
      </c>
      <c r="H79" s="1428"/>
      <c r="I79" s="1428"/>
    </row>
    <row r="80" spans="1:9" hidden="1">
      <c r="A80" s="1428"/>
      <c r="B80" s="1428"/>
      <c r="C80" s="1432">
        <v>1</v>
      </c>
      <c r="D80" s="1432">
        <v>2</v>
      </c>
      <c r="E80" s="1432">
        <v>2</v>
      </c>
      <c r="F80" s="1441">
        <v>2.2000000000000002</v>
      </c>
      <c r="G80" s="1444">
        <f t="shared" si="3"/>
        <v>8.8000000000000007</v>
      </c>
      <c r="H80" s="1428"/>
      <c r="I80" s="1428"/>
    </row>
    <row r="81" spans="1:9" hidden="1">
      <c r="A81" s="1428"/>
      <c r="B81" s="1428"/>
      <c r="C81" s="1432">
        <v>1</v>
      </c>
      <c r="D81" s="1432">
        <v>2</v>
      </c>
      <c r="E81" s="1432">
        <v>2</v>
      </c>
      <c r="F81" s="1441">
        <v>2</v>
      </c>
      <c r="G81" s="1444">
        <f t="shared" si="3"/>
        <v>8</v>
      </c>
      <c r="H81" s="1428"/>
      <c r="I81" s="1428"/>
    </row>
    <row r="82" spans="1:9" hidden="1">
      <c r="A82" s="1428"/>
      <c r="B82" s="1428"/>
      <c r="C82" s="1432">
        <v>1</v>
      </c>
      <c r="D82" s="1432">
        <v>2</v>
      </c>
      <c r="E82" s="1432">
        <v>2</v>
      </c>
      <c r="F82" s="1441">
        <v>1.8</v>
      </c>
      <c r="G82" s="1444">
        <f t="shared" si="3"/>
        <v>7.2</v>
      </c>
      <c r="H82" s="1428"/>
      <c r="I82" s="1428"/>
    </row>
    <row r="83" spans="1:9" hidden="1">
      <c r="A83" s="1428"/>
      <c r="B83" s="1428"/>
      <c r="C83" s="1432">
        <v>1</v>
      </c>
      <c r="D83" s="1432">
        <v>2</v>
      </c>
      <c r="E83" s="1432">
        <v>2</v>
      </c>
      <c r="F83" s="1441">
        <v>1.6</v>
      </c>
      <c r="G83" s="1444">
        <f t="shared" si="3"/>
        <v>6.4</v>
      </c>
      <c r="H83" s="1428"/>
      <c r="I83" s="1428"/>
    </row>
    <row r="84" spans="1:9" hidden="1">
      <c r="A84" s="1428"/>
      <c r="B84" s="1428"/>
      <c r="C84" s="1428"/>
      <c r="D84" s="1428"/>
      <c r="E84" s="1428"/>
      <c r="F84" s="1428"/>
      <c r="G84" s="1445">
        <f>+SUM(G54:G83)</f>
        <v>809.35</v>
      </c>
      <c r="H84" s="1445">
        <f>+SUM(H54:H83)</f>
        <v>548</v>
      </c>
      <c r="I84" s="1428"/>
    </row>
    <row r="85" spans="1:9" hidden="1">
      <c r="A85" s="1428"/>
      <c r="B85" s="1428"/>
      <c r="C85" s="1428"/>
      <c r="D85" s="1428"/>
      <c r="E85" s="1428" t="s">
        <v>6117</v>
      </c>
      <c r="F85" s="1428"/>
      <c r="G85" s="1428">
        <v>0.39500000000000002</v>
      </c>
      <c r="H85" s="1428">
        <v>0.61699999999999999</v>
      </c>
      <c r="I85" s="1428"/>
    </row>
    <row r="86" spans="1:9" hidden="1">
      <c r="A86" s="1428"/>
      <c r="B86" s="1428"/>
      <c r="C86" s="1428"/>
      <c r="D86" s="1428"/>
      <c r="E86" s="1428"/>
      <c r="F86" s="1428"/>
      <c r="G86" s="1444">
        <f>G84*G85</f>
        <v>319.69</v>
      </c>
      <c r="H86" s="1444">
        <f>H84*H85</f>
        <v>338.12</v>
      </c>
      <c r="I86" s="1428"/>
    </row>
    <row r="87" spans="1:9" hidden="1">
      <c r="A87" s="1428"/>
      <c r="B87" s="1428"/>
      <c r="C87" s="1428"/>
      <c r="D87" s="1428"/>
      <c r="E87" s="1428"/>
      <c r="F87" s="1428" t="s">
        <v>6118</v>
      </c>
      <c r="G87" s="1444">
        <f>G86+H86</f>
        <v>657.81</v>
      </c>
      <c r="H87" s="1428"/>
      <c r="I87" s="1428"/>
    </row>
    <row r="88" spans="1:9">
      <c r="A88" s="1428"/>
      <c r="B88" s="1428" t="s">
        <v>6119</v>
      </c>
      <c r="C88" s="1428"/>
      <c r="D88" s="1428"/>
      <c r="E88" s="1444">
        <f>H21</f>
        <v>16.600000000000001</v>
      </c>
      <c r="F88" s="1428">
        <v>100</v>
      </c>
      <c r="G88" s="1444"/>
      <c r="H88" s="1435">
        <f>PRODUCT(C88:G88)</f>
        <v>1660</v>
      </c>
      <c r="I88" s="1428"/>
    </row>
    <row r="89" spans="1:9">
      <c r="A89" s="1428"/>
      <c r="B89" s="1428"/>
      <c r="C89" s="1428"/>
      <c r="D89" s="1428"/>
      <c r="E89" s="1428"/>
      <c r="F89" s="1428" t="s">
        <v>6120</v>
      </c>
      <c r="G89" s="1446">
        <f>H88/1000</f>
        <v>1.66</v>
      </c>
      <c r="H89" s="1428"/>
      <c r="I89" s="1428"/>
    </row>
    <row r="90" spans="1:9">
      <c r="A90" s="1428"/>
      <c r="B90" s="1428"/>
      <c r="C90" s="1428"/>
      <c r="D90" s="1428"/>
      <c r="E90" s="1428"/>
      <c r="F90" s="1428"/>
      <c r="G90" s="1428"/>
      <c r="H90" s="1428"/>
      <c r="I90" s="1428"/>
    </row>
    <row r="91" spans="1:9">
      <c r="A91" s="1428"/>
      <c r="B91" s="1428"/>
      <c r="C91" s="1428"/>
      <c r="D91" s="1428"/>
      <c r="E91" s="1428"/>
      <c r="F91" s="1428"/>
      <c r="G91" s="1428"/>
      <c r="H91" s="1428"/>
      <c r="I91" s="1428"/>
    </row>
    <row r="92" spans="1:9">
      <c r="A92" s="1428"/>
      <c r="B92" s="1428"/>
      <c r="C92" s="1428"/>
      <c r="D92" s="1428"/>
      <c r="E92" s="1428"/>
      <c r="F92" s="1428"/>
      <c r="G92" s="1428"/>
      <c r="H92" s="1428"/>
      <c r="I92" s="1428"/>
    </row>
  </sheetData>
  <mergeCells count="7">
    <mergeCell ref="E44:F44"/>
    <mergeCell ref="A1:I1"/>
    <mergeCell ref="A2:I2"/>
    <mergeCell ref="C3:D3"/>
    <mergeCell ref="H3:I3"/>
    <mergeCell ref="E37:F37"/>
    <mergeCell ref="E38:F38"/>
  </mergeCells>
  <pageMargins left="0.7" right="0.7" top="0.75" bottom="0.75" header="0.3" footer="0.3"/>
  <pageSetup paperSize="9" scale="78" orientation="portrait" horizontalDpi="300" verticalDpi="0" r:id="rId1"/>
</worksheet>
</file>

<file path=xl/worksheets/sheet18.xml><?xml version="1.0" encoding="utf-8"?>
<worksheet xmlns="http://schemas.openxmlformats.org/spreadsheetml/2006/main" xmlns:r="http://schemas.openxmlformats.org/officeDocument/2006/relationships">
  <sheetPr>
    <tabColor rgb="FFFFC000"/>
  </sheetPr>
  <dimension ref="A1:I48"/>
  <sheetViews>
    <sheetView view="pageBreakPreview" topLeftCell="A34" zoomScaleSheetLayoutView="100" workbookViewId="0">
      <selection activeCell="E125" sqref="E125"/>
    </sheetView>
  </sheetViews>
  <sheetFormatPr defaultRowHeight="15.75"/>
  <cols>
    <col min="1" max="1" width="5" customWidth="1"/>
    <col min="2" max="2" width="29.44140625" customWidth="1"/>
    <col min="3" max="5" width="4.5546875" customWidth="1"/>
  </cols>
  <sheetData>
    <row r="1" spans="1:9" ht="42" customHeight="1">
      <c r="A1" s="1954" t="str">
        <f>'[10]septic tank'!A2:H2</f>
        <v>MADURAI DIVISION</v>
      </c>
      <c r="B1" s="1954"/>
      <c r="C1" s="1954"/>
      <c r="D1" s="1954"/>
      <c r="E1" s="1954"/>
      <c r="F1" s="1954"/>
      <c r="G1" s="1954"/>
      <c r="H1" s="1954"/>
      <c r="I1" s="1954"/>
    </row>
    <row r="2" spans="1:9" ht="31.5">
      <c r="A2" s="1447" t="s">
        <v>6008</v>
      </c>
      <c r="B2" s="1448" t="s">
        <v>6009</v>
      </c>
      <c r="C2" s="1955" t="s">
        <v>1452</v>
      </c>
      <c r="D2" s="1955"/>
      <c r="E2" s="1955"/>
      <c r="F2" s="1448" t="s">
        <v>6010</v>
      </c>
      <c r="G2" s="1448" t="s">
        <v>6011</v>
      </c>
      <c r="H2" s="1448" t="s">
        <v>6012</v>
      </c>
      <c r="I2" s="1448" t="s">
        <v>1055</v>
      </c>
    </row>
    <row r="3" spans="1:9" ht="31.5">
      <c r="A3" s="1449">
        <v>1.1000000000000001</v>
      </c>
      <c r="B3" s="1410" t="s">
        <v>6121</v>
      </c>
      <c r="C3" s="1411"/>
      <c r="D3" s="1411"/>
      <c r="E3" s="1450"/>
      <c r="F3" s="1451"/>
      <c r="G3" s="1451"/>
      <c r="H3" s="1451"/>
      <c r="I3" s="1451"/>
    </row>
    <row r="4" spans="1:9">
      <c r="A4" s="1451"/>
      <c r="B4" s="1410" t="s">
        <v>2003</v>
      </c>
      <c r="C4" s="1411"/>
      <c r="D4" s="1411"/>
      <c r="E4" s="1450"/>
      <c r="F4" s="1451"/>
      <c r="G4" s="1451"/>
      <c r="H4" s="1451"/>
      <c r="I4" s="1451"/>
    </row>
    <row r="5" spans="1:9">
      <c r="A5" s="1451"/>
      <c r="B5" s="1452" t="s">
        <v>6122</v>
      </c>
      <c r="C5" s="1411"/>
      <c r="D5" s="1411"/>
      <c r="E5" s="1450"/>
      <c r="F5" s="1451"/>
      <c r="G5" s="1451"/>
      <c r="H5" s="1451"/>
      <c r="I5" s="1451"/>
    </row>
    <row r="6" spans="1:9">
      <c r="A6" s="1451"/>
      <c r="B6" s="1419" t="s">
        <v>6123</v>
      </c>
      <c r="C6" s="1453">
        <v>1</v>
      </c>
      <c r="D6" s="1453" t="s">
        <v>5404</v>
      </c>
      <c r="E6" s="1450">
        <v>1</v>
      </c>
      <c r="F6" s="1454">
        <v>92.56</v>
      </c>
      <c r="G6" s="1454">
        <v>0.3</v>
      </c>
      <c r="H6" s="1454">
        <v>0.45</v>
      </c>
      <c r="I6" s="1455">
        <f>ROUND(PRODUCT(C6:H6),2)</f>
        <v>12.5</v>
      </c>
    </row>
    <row r="7" spans="1:9">
      <c r="A7" s="1451"/>
      <c r="B7" s="1419" t="s">
        <v>6124</v>
      </c>
      <c r="C7" s="1453">
        <v>-1</v>
      </c>
      <c r="D7" s="1453"/>
      <c r="E7" s="1450">
        <v>1</v>
      </c>
      <c r="F7" s="1454">
        <v>11.2</v>
      </c>
      <c r="G7" s="1454">
        <v>0.3</v>
      </c>
      <c r="H7" s="1454">
        <v>0.45</v>
      </c>
      <c r="I7" s="1455">
        <f>ROUND(PRODUCT(C7:H7),2)</f>
        <v>-1.51</v>
      </c>
    </row>
    <row r="8" spans="1:9">
      <c r="A8" s="1451"/>
      <c r="B8" s="1419"/>
      <c r="C8" s="1453"/>
      <c r="D8" s="1453"/>
      <c r="E8" s="1450"/>
      <c r="F8" s="1454"/>
      <c r="G8" s="1454"/>
      <c r="H8" s="1454"/>
      <c r="I8" s="1455">
        <f>SUM(I6:I7)</f>
        <v>10.99</v>
      </c>
    </row>
    <row r="9" spans="1:9" ht="16.5">
      <c r="A9" s="1456"/>
      <c r="B9" s="1457"/>
      <c r="C9" s="1458"/>
      <c r="D9" s="1458"/>
      <c r="E9" s="1458"/>
      <c r="F9" s="1456"/>
      <c r="G9" s="1456"/>
      <c r="H9" s="1245" t="s">
        <v>2176</v>
      </c>
      <c r="I9" s="1225">
        <f>ROUNDUP(I8,1)</f>
        <v>11</v>
      </c>
    </row>
    <row r="10" spans="1:9">
      <c r="A10" s="1456"/>
      <c r="B10" s="1457"/>
      <c r="C10" s="1458"/>
      <c r="D10" s="1458"/>
      <c r="E10" s="1458"/>
      <c r="F10" s="1456"/>
      <c r="G10" s="1456"/>
      <c r="H10" s="1456"/>
      <c r="I10" s="1456"/>
    </row>
    <row r="11" spans="1:9">
      <c r="A11" s="1449">
        <v>2.1</v>
      </c>
      <c r="B11" s="1410" t="s">
        <v>6125</v>
      </c>
      <c r="C11" s="1453"/>
      <c r="D11" s="1453"/>
      <c r="E11" s="1450"/>
      <c r="F11" s="1454"/>
      <c r="G11" s="1454"/>
      <c r="H11" s="1454"/>
      <c r="I11" s="1454"/>
    </row>
    <row r="12" spans="1:9">
      <c r="A12" s="1451"/>
      <c r="B12" s="1452" t="str">
        <f>B5</f>
        <v>For Fire service Station</v>
      </c>
      <c r="C12" s="1411"/>
      <c r="D12" s="1411"/>
      <c r="E12" s="1450"/>
      <c r="F12" s="1451"/>
      <c r="G12" s="1451"/>
      <c r="H12" s="1451"/>
      <c r="I12" s="1451"/>
    </row>
    <row r="13" spans="1:9">
      <c r="A13" s="1451"/>
      <c r="B13" s="1419" t="s">
        <v>6123</v>
      </c>
      <c r="C13" s="1453">
        <v>1</v>
      </c>
      <c r="D13" s="1453" t="s">
        <v>5404</v>
      </c>
      <c r="E13" s="1450">
        <v>1</v>
      </c>
      <c r="F13" s="1454">
        <v>92.56</v>
      </c>
      <c r="G13" s="1454">
        <v>0.49</v>
      </c>
      <c r="H13" s="1454">
        <v>0.1</v>
      </c>
      <c r="I13" s="1455">
        <f>ROUND(PRODUCT(C13:H13),2)</f>
        <v>4.54</v>
      </c>
    </row>
    <row r="14" spans="1:9">
      <c r="A14" s="1451"/>
      <c r="B14" s="1419" t="s">
        <v>6124</v>
      </c>
      <c r="C14" s="1453">
        <v>-1</v>
      </c>
      <c r="D14" s="1453"/>
      <c r="E14" s="1450">
        <v>1</v>
      </c>
      <c r="F14" s="1454">
        <v>11.2</v>
      </c>
      <c r="G14" s="1454">
        <v>0.49</v>
      </c>
      <c r="H14" s="1454">
        <v>0.1</v>
      </c>
      <c r="I14" s="1455">
        <f>ROUND(PRODUCT(C14:H14),2)</f>
        <v>-0.55000000000000004</v>
      </c>
    </row>
    <row r="15" spans="1:9">
      <c r="A15" s="1451"/>
      <c r="B15" s="1419"/>
      <c r="C15" s="1453"/>
      <c r="D15" s="1453"/>
      <c r="E15" s="1450"/>
      <c r="F15" s="1454"/>
      <c r="G15" s="1454"/>
      <c r="H15" s="1454"/>
      <c r="I15" s="1455">
        <f>SUM(I13:I14)</f>
        <v>3.99</v>
      </c>
    </row>
    <row r="16" spans="1:9" ht="16.5">
      <c r="A16" s="1451"/>
      <c r="B16" s="1419"/>
      <c r="C16" s="1453"/>
      <c r="D16" s="1453"/>
      <c r="E16" s="1450"/>
      <c r="F16" s="1454"/>
      <c r="G16" s="1454"/>
      <c r="H16" s="1245" t="s">
        <v>2176</v>
      </c>
      <c r="I16" s="1225">
        <f>ROUNDUP(I15,1)</f>
        <v>4</v>
      </c>
    </row>
    <row r="17" spans="1:9">
      <c r="A17" s="1451"/>
      <c r="B17" s="1419"/>
      <c r="C17" s="1453"/>
      <c r="D17" s="1453"/>
      <c r="E17" s="1450"/>
      <c r="F17" s="1454"/>
      <c r="G17" s="1454"/>
      <c r="H17" s="1454"/>
      <c r="I17" s="1455"/>
    </row>
    <row r="18" spans="1:9" ht="31.5">
      <c r="A18" s="1449">
        <v>3.1</v>
      </c>
      <c r="B18" s="1410" t="s">
        <v>6126</v>
      </c>
      <c r="C18" s="1453"/>
      <c r="D18" s="1453"/>
      <c r="E18" s="1459"/>
      <c r="F18" s="1454"/>
      <c r="G18" s="1454"/>
      <c r="H18" s="1454"/>
      <c r="I18" s="1460"/>
    </row>
    <row r="19" spans="1:9">
      <c r="A19" s="1451"/>
      <c r="B19" s="1452" t="str">
        <f>B12</f>
        <v>For Fire service Station</v>
      </c>
      <c r="C19" s="1411"/>
      <c r="D19" s="1411"/>
      <c r="E19" s="1450"/>
      <c r="F19" s="1451"/>
      <c r="G19" s="1451"/>
      <c r="H19" s="1451"/>
      <c r="I19" s="1451"/>
    </row>
    <row r="20" spans="1:9">
      <c r="A20" s="1451"/>
      <c r="B20" s="1419" t="s">
        <v>6123</v>
      </c>
      <c r="C20" s="1453">
        <v>1</v>
      </c>
      <c r="D20" s="1453" t="s">
        <v>5404</v>
      </c>
      <c r="E20" s="1450">
        <v>1</v>
      </c>
      <c r="F20" s="1454">
        <f>F13</f>
        <v>92.56</v>
      </c>
      <c r="G20" s="1454">
        <v>0.3</v>
      </c>
      <c r="H20" s="1454">
        <v>0.1</v>
      </c>
      <c r="I20" s="1455">
        <f>ROUND(PRODUCT(C20:H20),2)</f>
        <v>2.78</v>
      </c>
    </row>
    <row r="21" spans="1:9">
      <c r="A21" s="1451"/>
      <c r="B21" s="1419" t="s">
        <v>6124</v>
      </c>
      <c r="C21" s="1453">
        <v>-1</v>
      </c>
      <c r="D21" s="1453"/>
      <c r="E21" s="1450">
        <v>1</v>
      </c>
      <c r="F21" s="1454">
        <v>11.2</v>
      </c>
      <c r="G21" s="1454">
        <v>0.3</v>
      </c>
      <c r="H21" s="1454">
        <v>0.1</v>
      </c>
      <c r="I21" s="1455">
        <f>ROUND(PRODUCT(C21:H21),2)</f>
        <v>-0.34</v>
      </c>
    </row>
    <row r="22" spans="1:9">
      <c r="A22" s="1451"/>
      <c r="B22" s="1419"/>
      <c r="C22" s="1453"/>
      <c r="D22" s="1453"/>
      <c r="E22" s="1450"/>
      <c r="F22" s="1454"/>
      <c r="G22" s="1454"/>
      <c r="H22" s="1454"/>
      <c r="I22" s="1455">
        <f>SUM(I20:I21)</f>
        <v>2.44</v>
      </c>
    </row>
    <row r="23" spans="1:9" ht="16.5">
      <c r="A23" s="1451"/>
      <c r="B23" s="1419"/>
      <c r="C23" s="1453"/>
      <c r="D23" s="1453"/>
      <c r="E23" s="1450"/>
      <c r="F23" s="1454"/>
      <c r="G23" s="1454"/>
      <c r="H23" s="1245" t="s">
        <v>2176</v>
      </c>
      <c r="I23" s="1225">
        <f>ROUNDUP(I22,1)</f>
        <v>2.5</v>
      </c>
    </row>
    <row r="24" spans="1:9">
      <c r="A24" s="1451"/>
      <c r="B24" s="1419"/>
      <c r="C24" s="1453"/>
      <c r="D24" s="1453"/>
      <c r="E24" s="1450"/>
      <c r="F24" s="1454"/>
      <c r="G24" s="1454"/>
      <c r="H24" s="1454"/>
      <c r="I24" s="1455"/>
    </row>
    <row r="25" spans="1:9" ht="47.25">
      <c r="A25" s="1449">
        <v>6.5</v>
      </c>
      <c r="B25" s="1410" t="s">
        <v>6127</v>
      </c>
      <c r="C25" s="1461"/>
      <c r="D25" s="1461"/>
      <c r="E25" s="1450"/>
      <c r="F25" s="1454"/>
      <c r="G25" s="1454"/>
      <c r="H25" s="1462"/>
      <c r="I25" s="1454"/>
    </row>
    <row r="26" spans="1:9">
      <c r="A26" s="1451"/>
      <c r="B26" s="1452" t="str">
        <f>B19</f>
        <v>For Fire service Station</v>
      </c>
      <c r="C26" s="1411"/>
      <c r="D26" s="1411"/>
      <c r="E26" s="1450"/>
      <c r="F26" s="1451"/>
      <c r="G26" s="1451"/>
      <c r="H26" s="1451"/>
      <c r="I26" s="1451"/>
    </row>
    <row r="27" spans="1:9">
      <c r="A27" s="1451"/>
      <c r="B27" s="1419" t="s">
        <v>6123</v>
      </c>
      <c r="C27" s="1453">
        <v>1</v>
      </c>
      <c r="D27" s="1453" t="s">
        <v>5404</v>
      </c>
      <c r="E27" s="1450">
        <v>35</v>
      </c>
      <c r="F27" s="1454">
        <v>0.23</v>
      </c>
      <c r="G27" s="1454">
        <v>0.23</v>
      </c>
      <c r="H27" s="1454">
        <v>0.6</v>
      </c>
      <c r="I27" s="1455">
        <f>ROUND(PRODUCT(C27:H27),2)</f>
        <v>1.1100000000000001</v>
      </c>
    </row>
    <row r="28" spans="1:9" ht="16.5">
      <c r="A28" s="1456"/>
      <c r="B28" s="1457"/>
      <c r="C28" s="1458"/>
      <c r="D28" s="1458"/>
      <c r="E28" s="1458"/>
      <c r="F28" s="1456"/>
      <c r="G28" s="1456"/>
      <c r="H28" s="1245" t="s">
        <v>2176</v>
      </c>
      <c r="I28" s="1225">
        <f>ROUNDUP(I27,1)</f>
        <v>1.2</v>
      </c>
    </row>
    <row r="29" spans="1:9">
      <c r="A29" s="1456"/>
      <c r="B29" s="1457"/>
      <c r="C29" s="1458"/>
      <c r="D29" s="1458"/>
      <c r="E29" s="1458"/>
      <c r="F29" s="1456"/>
      <c r="G29" s="1448"/>
      <c r="H29" s="1448"/>
      <c r="I29" s="1448"/>
    </row>
    <row r="30" spans="1:9" ht="63">
      <c r="A30" s="1449">
        <v>10.5</v>
      </c>
      <c r="B30" s="1410" t="s">
        <v>6128</v>
      </c>
      <c r="C30" s="1461"/>
      <c r="D30" s="1461"/>
      <c r="E30" s="1450"/>
      <c r="F30" s="1454"/>
      <c r="G30" s="1454"/>
      <c r="H30" s="1462"/>
      <c r="I30" s="1454"/>
    </row>
    <row r="31" spans="1:9">
      <c r="A31" s="1451"/>
      <c r="B31" s="1452" t="str">
        <f>B26</f>
        <v>For Fire service Station</v>
      </c>
      <c r="C31" s="1411"/>
      <c r="D31" s="1411"/>
      <c r="E31" s="1450"/>
      <c r="F31" s="1451"/>
      <c r="G31" s="1451"/>
      <c r="H31" s="1451"/>
      <c r="I31" s="1451"/>
    </row>
    <row r="32" spans="1:9">
      <c r="A32" s="1451"/>
      <c r="B32" s="1419" t="s">
        <v>6123</v>
      </c>
      <c r="C32" s="1453">
        <v>1</v>
      </c>
      <c r="D32" s="1453" t="s">
        <v>5404</v>
      </c>
      <c r="E32" s="1450">
        <v>1</v>
      </c>
      <c r="F32" s="1454">
        <v>92.56</v>
      </c>
      <c r="G32" s="1454"/>
      <c r="H32" s="1454">
        <v>0.6</v>
      </c>
      <c r="I32" s="1455">
        <f>ROUND(PRODUCT(C32:H32),2)</f>
        <v>55.54</v>
      </c>
    </row>
    <row r="33" spans="1:9">
      <c r="A33" s="1451"/>
      <c r="B33" s="1419" t="s">
        <v>6124</v>
      </c>
      <c r="C33" s="1453">
        <v>-1</v>
      </c>
      <c r="D33" s="1453"/>
      <c r="E33" s="1450">
        <v>1</v>
      </c>
      <c r="F33" s="1454">
        <v>11.2</v>
      </c>
      <c r="G33" s="1454"/>
      <c r="H33" s="1454">
        <v>0.6</v>
      </c>
      <c r="I33" s="1455">
        <f>ROUND(PRODUCT(C33:H33),2)</f>
        <v>-6.72</v>
      </c>
    </row>
    <row r="34" spans="1:9">
      <c r="A34" s="1451"/>
      <c r="B34" s="1419"/>
      <c r="C34" s="1453"/>
      <c r="D34" s="1453"/>
      <c r="E34" s="1450"/>
      <c r="F34" s="1454"/>
      <c r="G34" s="1454"/>
      <c r="H34" s="1462"/>
      <c r="I34" s="1455">
        <f>SUM(I32:I33)</f>
        <v>48.82</v>
      </c>
    </row>
    <row r="35" spans="1:9" ht="16.5">
      <c r="A35" s="1463"/>
      <c r="B35" s="1419"/>
      <c r="C35" s="1453"/>
      <c r="D35" s="1453"/>
      <c r="E35" s="1450"/>
      <c r="F35" s="1464"/>
      <c r="G35" s="1454"/>
      <c r="H35" s="1245" t="s">
        <v>2308</v>
      </c>
      <c r="I35" s="1225">
        <f>ROUNDUP(I34,1)</f>
        <v>48.9</v>
      </c>
    </row>
    <row r="36" spans="1:9">
      <c r="A36" s="1465">
        <v>33</v>
      </c>
      <c r="B36" s="1419" t="s">
        <v>6046</v>
      </c>
      <c r="C36" s="1454"/>
      <c r="D36" s="1454"/>
      <c r="E36" s="1454"/>
      <c r="F36" s="1454"/>
      <c r="G36" s="1454"/>
      <c r="H36" s="1454"/>
      <c r="I36" s="1454"/>
    </row>
    <row r="37" spans="1:9">
      <c r="A37" s="1451"/>
      <c r="B37" s="1452" t="str">
        <f>B31</f>
        <v>For Fire service Station</v>
      </c>
      <c r="C37" s="1411"/>
      <c r="D37" s="1411"/>
      <c r="E37" s="1450"/>
      <c r="F37" s="1451"/>
      <c r="G37" s="1451"/>
      <c r="H37" s="1451"/>
      <c r="I37" s="1451"/>
    </row>
    <row r="38" spans="1:9">
      <c r="A38" s="1451"/>
      <c r="B38" s="1419" t="s">
        <v>6123</v>
      </c>
      <c r="C38" s="1453">
        <v>1</v>
      </c>
      <c r="D38" s="1453" t="s">
        <v>5404</v>
      </c>
      <c r="E38" s="1450">
        <v>1</v>
      </c>
      <c r="F38" s="1454">
        <v>93</v>
      </c>
      <c r="G38" s="1454"/>
      <c r="H38" s="1454">
        <v>0.6</v>
      </c>
      <c r="I38" s="1455">
        <f>ROUND(PRODUCT(C38:H38),2)</f>
        <v>55.8</v>
      </c>
    </row>
    <row r="39" spans="1:9">
      <c r="A39" s="1451"/>
      <c r="B39" s="1419" t="s">
        <v>6124</v>
      </c>
      <c r="C39" s="1453">
        <v>-1</v>
      </c>
      <c r="D39" s="1453"/>
      <c r="E39" s="1450">
        <v>1</v>
      </c>
      <c r="F39" s="1454">
        <v>11.2</v>
      </c>
      <c r="G39" s="1454"/>
      <c r="H39" s="1454">
        <v>0.6</v>
      </c>
      <c r="I39" s="1455">
        <f>ROUND(PRODUCT(C39:H39),2)</f>
        <v>-6.72</v>
      </c>
    </row>
    <row r="40" spans="1:9">
      <c r="A40" s="1451"/>
      <c r="B40" s="1419"/>
      <c r="C40" s="1453"/>
      <c r="D40" s="1453"/>
      <c r="E40" s="1450"/>
      <c r="F40" s="1454"/>
      <c r="G40" s="1454"/>
      <c r="H40" s="1454"/>
      <c r="I40" s="1455">
        <f>SUM(I38:I39)</f>
        <v>49.08</v>
      </c>
    </row>
    <row r="41" spans="1:9" ht="16.5">
      <c r="A41" s="1451"/>
      <c r="B41" s="1419"/>
      <c r="C41" s="1453"/>
      <c r="D41" s="1453"/>
      <c r="E41" s="1450"/>
      <c r="F41" s="1454"/>
      <c r="G41" s="1454"/>
      <c r="H41" s="1245" t="s">
        <v>2308</v>
      </c>
      <c r="I41" s="1225">
        <f>ROUNDUP(I40,1)</f>
        <v>49.1</v>
      </c>
    </row>
    <row r="42" spans="1:9">
      <c r="A42" s="1456"/>
      <c r="B42" s="1457"/>
      <c r="C42" s="1458"/>
      <c r="D42" s="1458"/>
      <c r="E42" s="1458"/>
      <c r="F42" s="1456"/>
      <c r="G42" s="1448"/>
      <c r="H42" s="1448"/>
      <c r="I42" s="1448"/>
    </row>
    <row r="43" spans="1:9" ht="31.5">
      <c r="A43" s="1449">
        <v>50.6</v>
      </c>
      <c r="B43" s="1410" t="s">
        <v>1095</v>
      </c>
      <c r="C43" s="1454"/>
      <c r="D43" s="1454"/>
      <c r="E43" s="1454"/>
      <c r="F43" s="1454"/>
      <c r="G43" s="1454"/>
      <c r="H43" s="1454"/>
      <c r="I43" s="1454"/>
    </row>
    <row r="44" spans="1:9">
      <c r="A44" s="1451"/>
      <c r="B44" s="1452" t="str">
        <f>B37</f>
        <v>For Fire service Station</v>
      </c>
      <c r="C44" s="1411"/>
      <c r="D44" s="1411"/>
      <c r="E44" s="1450"/>
      <c r="F44" s="1451"/>
      <c r="G44" s="1451"/>
      <c r="H44" s="1451"/>
      <c r="I44" s="1451"/>
    </row>
    <row r="45" spans="1:9">
      <c r="A45" s="1451"/>
      <c r="B45" s="1419" t="s">
        <v>6123</v>
      </c>
      <c r="C45" s="1453">
        <v>1</v>
      </c>
      <c r="D45" s="1453" t="s">
        <v>5404</v>
      </c>
      <c r="E45" s="1450">
        <v>1</v>
      </c>
      <c r="F45" s="1454">
        <v>90.38</v>
      </c>
      <c r="G45" s="1454">
        <v>0.6</v>
      </c>
      <c r="H45" s="1454"/>
      <c r="I45" s="1455">
        <f>ROUND(PRODUCT(C45:H45),2)</f>
        <v>54.23</v>
      </c>
    </row>
    <row r="46" spans="1:9">
      <c r="A46" s="1451"/>
      <c r="B46" s="1419" t="s">
        <v>6124</v>
      </c>
      <c r="C46" s="1453">
        <v>-1</v>
      </c>
      <c r="D46" s="1453"/>
      <c r="E46" s="1450">
        <v>1</v>
      </c>
      <c r="F46" s="1454">
        <v>11.2</v>
      </c>
      <c r="G46" s="1454">
        <v>0.6</v>
      </c>
      <c r="H46" s="1454"/>
      <c r="I46" s="1455">
        <f>ROUND(PRODUCT(C46:H46),2)</f>
        <v>-6.72</v>
      </c>
    </row>
    <row r="47" spans="1:9">
      <c r="A47" s="1451"/>
      <c r="B47" s="1419"/>
      <c r="C47" s="1453"/>
      <c r="D47" s="1453"/>
      <c r="E47" s="1450"/>
      <c r="F47" s="1454"/>
      <c r="G47" s="1454"/>
      <c r="H47" s="1454"/>
      <c r="I47" s="1455">
        <f>SUM(I45:I46)</f>
        <v>47.51</v>
      </c>
    </row>
    <row r="48" spans="1:9" ht="16.5">
      <c r="A48" s="1449"/>
      <c r="B48" s="1466"/>
      <c r="C48" s="1453"/>
      <c r="D48" s="1453"/>
      <c r="E48" s="1450"/>
      <c r="F48" s="1454"/>
      <c r="G48" s="1464"/>
      <c r="H48" s="1245" t="s">
        <v>2308</v>
      </c>
      <c r="I48" s="1225">
        <f>ROUNDUP(I47,1)</f>
        <v>47.6</v>
      </c>
    </row>
  </sheetData>
  <mergeCells count="2">
    <mergeCell ref="A1:I1"/>
    <mergeCell ref="C2:E2"/>
  </mergeCells>
  <pageMargins left="0.7" right="0.7" top="0.75" bottom="0.75" header="0.3" footer="0.3"/>
  <pageSetup paperSize="9" scale="87" orientation="portrait" horizontalDpi="300" verticalDpi="0" r:id="rId1"/>
</worksheet>
</file>

<file path=xl/worksheets/sheet19.xml><?xml version="1.0" encoding="utf-8"?>
<worksheet xmlns="http://schemas.openxmlformats.org/spreadsheetml/2006/main" xmlns:r="http://schemas.openxmlformats.org/officeDocument/2006/relationships">
  <sheetPr>
    <tabColor rgb="FFFFC000"/>
  </sheetPr>
  <dimension ref="A1:I123"/>
  <sheetViews>
    <sheetView view="pageBreakPreview" topLeftCell="A112" zoomScaleSheetLayoutView="100" workbookViewId="0">
      <selection activeCell="E125" sqref="E125"/>
    </sheetView>
  </sheetViews>
  <sheetFormatPr defaultRowHeight="15.75"/>
  <cols>
    <col min="1" max="1" width="5.33203125" customWidth="1"/>
    <col min="2" max="2" width="28.33203125" customWidth="1"/>
    <col min="3" max="4" width="4.77734375" customWidth="1"/>
    <col min="9" max="9" width="10" customWidth="1"/>
  </cols>
  <sheetData>
    <row r="1" spans="1:9" ht="18.75">
      <c r="A1" s="1956" t="s">
        <v>6129</v>
      </c>
      <c r="B1" s="1957"/>
      <c r="C1" s="1957"/>
      <c r="D1" s="1957"/>
      <c r="E1" s="1957"/>
      <c r="F1" s="1957"/>
      <c r="G1" s="1957"/>
      <c r="H1" s="1957"/>
      <c r="I1" s="1958"/>
    </row>
    <row r="2" spans="1:9">
      <c r="A2" s="1959" t="s">
        <v>6130</v>
      </c>
      <c r="B2" s="1960"/>
      <c r="C2" s="1960"/>
      <c r="D2" s="1960"/>
      <c r="E2" s="1960"/>
      <c r="F2" s="1960"/>
      <c r="G2" s="1960"/>
      <c r="H2" s="1960"/>
      <c r="I2" s="1961"/>
    </row>
    <row r="3" spans="1:9">
      <c r="A3" s="1467" t="s">
        <v>700</v>
      </c>
      <c r="B3" s="1467" t="s">
        <v>6131</v>
      </c>
      <c r="C3" s="1959" t="s">
        <v>1898</v>
      </c>
      <c r="D3" s="1961"/>
      <c r="E3" s="1467" t="s">
        <v>5399</v>
      </c>
      <c r="F3" s="1467" t="s">
        <v>1577</v>
      </c>
      <c r="G3" s="1467" t="s">
        <v>5384</v>
      </c>
      <c r="H3" s="1468"/>
      <c r="I3" s="1467" t="s">
        <v>6132</v>
      </c>
    </row>
    <row r="4" spans="1:9" ht="37.5">
      <c r="A4" s="1341">
        <v>1.1000000000000001</v>
      </c>
      <c r="B4" s="1469" t="s">
        <v>6133</v>
      </c>
      <c r="C4" s="1345"/>
      <c r="D4" s="1345"/>
      <c r="E4" s="1345"/>
      <c r="F4" s="1345"/>
      <c r="G4" s="1345"/>
      <c r="H4" s="1345"/>
      <c r="I4" s="1345"/>
    </row>
    <row r="5" spans="1:9" ht="18.75">
      <c r="A5" s="1341"/>
      <c r="B5" s="1469" t="s">
        <v>6134</v>
      </c>
      <c r="C5" s="1345"/>
      <c r="D5" s="1345"/>
      <c r="E5" s="1345"/>
      <c r="F5" s="1345"/>
      <c r="G5" s="1345"/>
      <c r="H5" s="1345"/>
      <c r="I5" s="1345"/>
    </row>
    <row r="6" spans="1:9" ht="18.75">
      <c r="A6" s="1345"/>
      <c r="B6" s="1345" t="s">
        <v>6135</v>
      </c>
      <c r="C6" s="1470">
        <v>1</v>
      </c>
      <c r="D6" s="1470">
        <v>22</v>
      </c>
      <c r="E6" s="1471">
        <v>0.9</v>
      </c>
      <c r="F6" s="1471">
        <v>0.9</v>
      </c>
      <c r="G6" s="1471">
        <v>0.9</v>
      </c>
      <c r="H6" s="1471"/>
      <c r="I6" s="1471">
        <f>PRODUCT(C6:H6)</f>
        <v>16.04</v>
      </c>
    </row>
    <row r="7" spans="1:9" ht="18.75">
      <c r="A7" s="1345"/>
      <c r="B7" s="1345" t="s">
        <v>6136</v>
      </c>
      <c r="C7" s="1470">
        <v>1</v>
      </c>
      <c r="D7" s="1470">
        <v>14</v>
      </c>
      <c r="E7" s="1471">
        <v>0.9</v>
      </c>
      <c r="F7" s="1471">
        <v>0.9</v>
      </c>
      <c r="G7" s="1471">
        <v>0.9</v>
      </c>
      <c r="H7" s="1471"/>
      <c r="I7" s="1471">
        <f t="shared" ref="I7:I11" si="0">PRODUCT(C7:H7)</f>
        <v>10.210000000000001</v>
      </c>
    </row>
    <row r="8" spans="1:9" ht="18.75">
      <c r="A8" s="1345"/>
      <c r="B8" s="1345" t="s">
        <v>6137</v>
      </c>
      <c r="C8" s="1470">
        <v>1</v>
      </c>
      <c r="D8" s="1470">
        <v>29</v>
      </c>
      <c r="E8" s="1471">
        <v>0.9</v>
      </c>
      <c r="F8" s="1471">
        <v>0.9</v>
      </c>
      <c r="G8" s="1471">
        <v>0.9</v>
      </c>
      <c r="H8" s="1471"/>
      <c r="I8" s="1471">
        <f t="shared" si="0"/>
        <v>21.14</v>
      </c>
    </row>
    <row r="9" spans="1:9" ht="18.75">
      <c r="A9" s="1345"/>
      <c r="B9" s="1345" t="s">
        <v>6138</v>
      </c>
      <c r="C9" s="1470">
        <v>1</v>
      </c>
      <c r="D9" s="1470">
        <v>20</v>
      </c>
      <c r="E9" s="1471">
        <v>0.9</v>
      </c>
      <c r="F9" s="1471">
        <v>0.9</v>
      </c>
      <c r="G9" s="1471">
        <v>0.9</v>
      </c>
      <c r="H9" s="1471"/>
      <c r="I9" s="1471">
        <f t="shared" si="0"/>
        <v>14.58</v>
      </c>
    </row>
    <row r="10" spans="1:9" ht="18.75">
      <c r="A10" s="1345"/>
      <c r="B10" s="1345" t="s">
        <v>6139</v>
      </c>
      <c r="C10" s="1470">
        <v>4</v>
      </c>
      <c r="D10" s="1470">
        <v>2</v>
      </c>
      <c r="E10" s="1471">
        <v>0.9</v>
      </c>
      <c r="F10" s="1471">
        <v>0.9</v>
      </c>
      <c r="G10" s="1471">
        <v>0.9</v>
      </c>
      <c r="H10" s="1471"/>
      <c r="I10" s="1471">
        <f t="shared" si="0"/>
        <v>5.83</v>
      </c>
    </row>
    <row r="11" spans="1:9" ht="18.75">
      <c r="A11" s="1345"/>
      <c r="B11" s="1345" t="s">
        <v>6140</v>
      </c>
      <c r="C11" s="1470">
        <v>1</v>
      </c>
      <c r="D11" s="1470">
        <v>1</v>
      </c>
      <c r="E11" s="1470">
        <v>199.8</v>
      </c>
      <c r="F11" s="1471">
        <v>0.38</v>
      </c>
      <c r="G11" s="1471">
        <v>0.4</v>
      </c>
      <c r="H11" s="1471"/>
      <c r="I11" s="1471">
        <f t="shared" si="0"/>
        <v>30.37</v>
      </c>
    </row>
    <row r="12" spans="1:9" ht="16.5">
      <c r="A12" s="1467"/>
      <c r="B12" s="1467"/>
      <c r="C12" s="1472"/>
      <c r="D12" s="1473"/>
      <c r="E12" s="1473"/>
      <c r="F12" s="1467"/>
      <c r="G12" s="1467"/>
      <c r="H12" s="1467" t="s">
        <v>6141</v>
      </c>
      <c r="I12" s="1474">
        <f>SUM(I6:I11)</f>
        <v>98.17</v>
      </c>
    </row>
    <row r="13" spans="1:9" ht="16.5">
      <c r="A13" s="1467"/>
      <c r="B13" s="1467"/>
      <c r="C13" s="1472"/>
      <c r="D13" s="1473"/>
      <c r="E13" s="1473"/>
      <c r="F13" s="1467"/>
      <c r="G13" s="1467" t="s">
        <v>4322</v>
      </c>
      <c r="H13" s="1467" t="s">
        <v>6141</v>
      </c>
      <c r="I13" s="1474">
        <f>ROUNDUP(I12,1)</f>
        <v>98.2</v>
      </c>
    </row>
    <row r="14" spans="1:9" ht="37.5">
      <c r="A14" s="1341">
        <v>3.1</v>
      </c>
      <c r="B14" s="1469" t="s">
        <v>6142</v>
      </c>
      <c r="C14" s="1470"/>
      <c r="D14" s="1470"/>
      <c r="E14" s="1470"/>
      <c r="F14" s="1471"/>
      <c r="G14" s="1471"/>
      <c r="H14" s="1471"/>
      <c r="I14" s="1475"/>
    </row>
    <row r="15" spans="1:9" ht="18.75">
      <c r="A15" s="1341"/>
      <c r="B15" s="1345" t="s">
        <v>6135</v>
      </c>
      <c r="C15" s="1470">
        <v>1</v>
      </c>
      <c r="D15" s="1470">
        <v>22</v>
      </c>
      <c r="E15" s="1471">
        <v>0.9</v>
      </c>
      <c r="F15" s="1471">
        <v>0.9</v>
      </c>
      <c r="G15" s="1471">
        <v>0.1</v>
      </c>
      <c r="H15" s="1471"/>
      <c r="I15" s="1471">
        <f>PRODUCT(C15:H15)</f>
        <v>1.78</v>
      </c>
    </row>
    <row r="16" spans="1:9" ht="18.75">
      <c r="A16" s="1341"/>
      <c r="B16" s="1345" t="s">
        <v>6136</v>
      </c>
      <c r="C16" s="1470">
        <v>1</v>
      </c>
      <c r="D16" s="1470">
        <v>14</v>
      </c>
      <c r="E16" s="1471">
        <v>0.9</v>
      </c>
      <c r="F16" s="1471">
        <v>0.9</v>
      </c>
      <c r="G16" s="1471">
        <v>0.1</v>
      </c>
      <c r="H16" s="1471"/>
      <c r="I16" s="1471">
        <f t="shared" ref="I16:I21" si="1">PRODUCT(C16:H16)</f>
        <v>1.1299999999999999</v>
      </c>
    </row>
    <row r="17" spans="1:9" ht="18.75">
      <c r="A17" s="1341"/>
      <c r="B17" s="1345" t="s">
        <v>6137</v>
      </c>
      <c r="C17" s="1470">
        <v>1</v>
      </c>
      <c r="D17" s="1470">
        <v>29</v>
      </c>
      <c r="E17" s="1471">
        <v>0.9</v>
      </c>
      <c r="F17" s="1471">
        <v>0.9</v>
      </c>
      <c r="G17" s="1471">
        <v>0.1</v>
      </c>
      <c r="H17" s="1471"/>
      <c r="I17" s="1471">
        <f t="shared" si="1"/>
        <v>2.35</v>
      </c>
    </row>
    <row r="18" spans="1:9" ht="18.75">
      <c r="A18" s="1341"/>
      <c r="B18" s="1345" t="s">
        <v>6138</v>
      </c>
      <c r="C18" s="1470">
        <v>1</v>
      </c>
      <c r="D18" s="1470">
        <v>20</v>
      </c>
      <c r="E18" s="1471">
        <v>0.9</v>
      </c>
      <c r="F18" s="1471">
        <v>0.9</v>
      </c>
      <c r="G18" s="1471">
        <v>0.1</v>
      </c>
      <c r="H18" s="1471"/>
      <c r="I18" s="1471">
        <f t="shared" si="1"/>
        <v>1.62</v>
      </c>
    </row>
    <row r="19" spans="1:9" ht="18.75">
      <c r="A19" s="1341"/>
      <c r="B19" s="1345" t="s">
        <v>6139</v>
      </c>
      <c r="C19" s="1470">
        <v>4</v>
      </c>
      <c r="D19" s="1470">
        <v>2</v>
      </c>
      <c r="E19" s="1471">
        <v>0.9</v>
      </c>
      <c r="F19" s="1471">
        <v>0.9</v>
      </c>
      <c r="G19" s="1471">
        <v>0.1</v>
      </c>
      <c r="H19" s="1471"/>
      <c r="I19" s="1471">
        <f t="shared" si="1"/>
        <v>0.65</v>
      </c>
    </row>
    <row r="20" spans="1:9" ht="18.75">
      <c r="A20" s="1341"/>
      <c r="B20" s="1345" t="s">
        <v>6140</v>
      </c>
      <c r="C20" s="1470">
        <v>1</v>
      </c>
      <c r="D20" s="1470">
        <v>1</v>
      </c>
      <c r="E20" s="1471">
        <v>199.8</v>
      </c>
      <c r="F20" s="1471">
        <v>0.38</v>
      </c>
      <c r="G20" s="1471">
        <v>0.1</v>
      </c>
      <c r="H20" s="1471"/>
      <c r="I20" s="1471">
        <f t="shared" si="1"/>
        <v>7.59</v>
      </c>
    </row>
    <row r="21" spans="1:9" ht="18.75">
      <c r="A21" s="1345"/>
      <c r="B21" s="1345" t="s">
        <v>5438</v>
      </c>
      <c r="C21" s="1470">
        <v>-1</v>
      </c>
      <c r="D21" s="1470">
        <f>85+8</f>
        <v>93</v>
      </c>
      <c r="E21" s="1470">
        <v>0.23</v>
      </c>
      <c r="F21" s="1471">
        <v>0.23</v>
      </c>
      <c r="G21" s="1471">
        <v>0.1</v>
      </c>
      <c r="H21" s="1471"/>
      <c r="I21" s="1471">
        <f t="shared" si="1"/>
        <v>-0.49</v>
      </c>
    </row>
    <row r="22" spans="1:9" ht="18.75">
      <c r="A22" s="1345"/>
      <c r="B22" s="1345"/>
      <c r="C22" s="1470"/>
      <c r="D22" s="1470"/>
      <c r="E22" s="1470"/>
      <c r="F22" s="1471"/>
      <c r="G22" s="1471"/>
      <c r="H22" s="1467" t="s">
        <v>6141</v>
      </c>
      <c r="I22" s="1475">
        <f>+SUM(I15:I21)</f>
        <v>14.63</v>
      </c>
    </row>
    <row r="23" spans="1:9" ht="18.75">
      <c r="A23" s="1345"/>
      <c r="B23" s="1345"/>
      <c r="C23" s="1470"/>
      <c r="D23" s="1470"/>
      <c r="E23" s="1470"/>
      <c r="F23" s="1471"/>
      <c r="G23" s="1471" t="s">
        <v>4322</v>
      </c>
      <c r="H23" s="1467" t="s">
        <v>6141</v>
      </c>
      <c r="I23" s="1474">
        <f>ROUNDUP(I22,1)</f>
        <v>14.7</v>
      </c>
    </row>
    <row r="24" spans="1:9" ht="37.5">
      <c r="A24" s="1341" t="s">
        <v>4095</v>
      </c>
      <c r="B24" s="1469" t="s">
        <v>4076</v>
      </c>
      <c r="C24" s="1470"/>
      <c r="D24" s="1470"/>
      <c r="E24" s="1470"/>
      <c r="F24" s="1471"/>
      <c r="G24" s="1471"/>
      <c r="H24" s="1476"/>
      <c r="I24" s="1475"/>
    </row>
    <row r="25" spans="1:9" ht="18.75">
      <c r="A25" s="1341"/>
      <c r="B25" s="1469" t="s">
        <v>6143</v>
      </c>
      <c r="C25" s="1470"/>
      <c r="D25" s="1470"/>
      <c r="E25" s="1470"/>
      <c r="F25" s="1471"/>
      <c r="G25" s="1471"/>
      <c r="H25" s="1476"/>
      <c r="I25" s="1475"/>
    </row>
    <row r="26" spans="1:9" ht="18.75">
      <c r="A26" s="1341"/>
      <c r="B26" s="1477" t="s">
        <v>6144</v>
      </c>
      <c r="C26" s="1470">
        <v>1</v>
      </c>
      <c r="D26" s="1470">
        <v>93</v>
      </c>
      <c r="E26" s="1471">
        <v>0.75</v>
      </c>
      <c r="F26" s="1471">
        <v>0.75</v>
      </c>
      <c r="G26" s="1471">
        <v>0.3</v>
      </c>
      <c r="H26" s="1476"/>
      <c r="I26" s="1471">
        <f>PRODUCT(C26:H26)</f>
        <v>15.69</v>
      </c>
    </row>
    <row r="27" spans="1:9" ht="18.75">
      <c r="A27" s="1341"/>
      <c r="B27" s="1477" t="s">
        <v>6145</v>
      </c>
      <c r="C27" s="1470">
        <v>1</v>
      </c>
      <c r="D27" s="1470">
        <v>91</v>
      </c>
      <c r="E27" s="1471">
        <v>0.23</v>
      </c>
      <c r="F27" s="1471">
        <v>0.23</v>
      </c>
      <c r="G27" s="1471">
        <v>0.56999999999999995</v>
      </c>
      <c r="H27" s="1476"/>
      <c r="I27" s="1471">
        <f>PRODUCT(C27:H27)</f>
        <v>2.74</v>
      </c>
    </row>
    <row r="28" spans="1:9" ht="18.75">
      <c r="A28" s="1341"/>
      <c r="B28" s="1477" t="s">
        <v>6146</v>
      </c>
      <c r="C28" s="1470">
        <v>1</v>
      </c>
      <c r="D28" s="1470">
        <v>2</v>
      </c>
      <c r="E28" s="1471">
        <v>0.23</v>
      </c>
      <c r="F28" s="1471">
        <v>0.3</v>
      </c>
      <c r="G28" s="1471">
        <v>0.56999999999999995</v>
      </c>
      <c r="H28" s="1476"/>
      <c r="I28" s="1478">
        <f>PRODUCT(C28:H28)</f>
        <v>0.08</v>
      </c>
    </row>
    <row r="29" spans="1:9" ht="18.75">
      <c r="A29" s="1345"/>
      <c r="B29" s="1345" t="s">
        <v>6147</v>
      </c>
      <c r="C29" s="1470">
        <v>1</v>
      </c>
      <c r="D29" s="1470">
        <v>1</v>
      </c>
      <c r="E29" s="1470">
        <v>199.8</v>
      </c>
      <c r="F29" s="1471">
        <v>0.23</v>
      </c>
      <c r="G29" s="1471">
        <v>0.23</v>
      </c>
      <c r="H29" s="1471"/>
      <c r="I29" s="1471">
        <f t="shared" ref="I29:I60" si="2">PRODUCT(C29:H29)</f>
        <v>10.57</v>
      </c>
    </row>
    <row r="30" spans="1:9" ht="18.75">
      <c r="A30" s="1345"/>
      <c r="B30" s="1345" t="s">
        <v>5438</v>
      </c>
      <c r="C30" s="1470">
        <v>-1</v>
      </c>
      <c r="D30" s="1470">
        <v>93</v>
      </c>
      <c r="E30" s="1470">
        <v>0.23</v>
      </c>
      <c r="F30" s="1471">
        <v>0.23</v>
      </c>
      <c r="G30" s="1471">
        <v>0.23</v>
      </c>
      <c r="H30" s="1471"/>
      <c r="I30" s="1471">
        <f t="shared" si="2"/>
        <v>-1.1299999999999999</v>
      </c>
    </row>
    <row r="31" spans="1:9" ht="18.75">
      <c r="A31" s="1345"/>
      <c r="B31" s="1345"/>
      <c r="C31" s="1470"/>
      <c r="D31" s="1470"/>
      <c r="E31" s="1470"/>
      <c r="F31" s="1471"/>
      <c r="G31" s="1471"/>
      <c r="H31" s="1467" t="s">
        <v>6141</v>
      </c>
      <c r="I31" s="1475">
        <f>+SUM(I26:I30)</f>
        <v>27.95</v>
      </c>
    </row>
    <row r="32" spans="1:9" ht="18.75">
      <c r="A32" s="1345"/>
      <c r="B32" s="1345"/>
      <c r="C32" s="1470"/>
      <c r="D32" s="1470"/>
      <c r="E32" s="1470"/>
      <c r="F32" s="1471"/>
      <c r="G32" s="1471" t="s">
        <v>4322</v>
      </c>
      <c r="H32" s="1467" t="s">
        <v>6141</v>
      </c>
      <c r="I32" s="1474">
        <f>ROUNDUP(I31,1)</f>
        <v>28</v>
      </c>
    </row>
    <row r="33" spans="1:9" ht="37.5">
      <c r="A33" s="1479">
        <v>6.5</v>
      </c>
      <c r="B33" s="1469" t="s">
        <v>6148</v>
      </c>
      <c r="C33" s="1470"/>
      <c r="D33" s="1470"/>
      <c r="E33" s="1470"/>
      <c r="F33" s="1471"/>
      <c r="G33" s="1471"/>
      <c r="H33" s="1476"/>
      <c r="I33" s="1471"/>
    </row>
    <row r="34" spans="1:9" ht="18.75">
      <c r="A34" s="1479"/>
      <c r="B34" s="1477" t="s">
        <v>5446</v>
      </c>
      <c r="C34" s="1470">
        <v>1</v>
      </c>
      <c r="D34" s="1470">
        <v>1</v>
      </c>
      <c r="E34" s="1470">
        <v>199.8</v>
      </c>
      <c r="F34" s="1471">
        <v>0.23</v>
      </c>
      <c r="G34" s="1471">
        <v>0.12</v>
      </c>
      <c r="H34" s="1470"/>
      <c r="I34" s="1471">
        <f t="shared" si="2"/>
        <v>5.51</v>
      </c>
    </row>
    <row r="35" spans="1:9" ht="18.75">
      <c r="A35" s="1345"/>
      <c r="B35" s="1345"/>
      <c r="C35" s="1470"/>
      <c r="D35" s="1470"/>
      <c r="E35" s="1470"/>
      <c r="F35" s="1471"/>
      <c r="G35" s="1471"/>
      <c r="H35" s="1467" t="s">
        <v>6141</v>
      </c>
      <c r="I35" s="1475">
        <f>I34</f>
        <v>5.51</v>
      </c>
    </row>
    <row r="36" spans="1:9" ht="18.75">
      <c r="A36" s="1345"/>
      <c r="B36" s="1345"/>
      <c r="C36" s="1470"/>
      <c r="D36" s="1470"/>
      <c r="E36" s="1470"/>
      <c r="F36" s="1471"/>
      <c r="G36" s="1471" t="s">
        <v>4322</v>
      </c>
      <c r="H36" s="1467" t="s">
        <v>6141</v>
      </c>
      <c r="I36" s="1474">
        <f>ROUNDUP(I35,1)</f>
        <v>5.6</v>
      </c>
    </row>
    <row r="37" spans="1:9" ht="37.5">
      <c r="A37" s="1341">
        <v>8.1</v>
      </c>
      <c r="B37" s="1469" t="s">
        <v>6149</v>
      </c>
      <c r="C37" s="1470"/>
      <c r="D37" s="1470"/>
      <c r="E37" s="1470"/>
      <c r="F37" s="1471"/>
      <c r="G37" s="1471"/>
      <c r="H37" s="1476"/>
      <c r="I37" s="1471"/>
    </row>
    <row r="38" spans="1:9" ht="18.75">
      <c r="A38" s="1345"/>
      <c r="B38" s="1345" t="s">
        <v>6150</v>
      </c>
      <c r="C38" s="1470"/>
      <c r="D38" s="1470"/>
      <c r="E38" s="1470"/>
      <c r="F38" s="1471"/>
      <c r="G38" s="1471"/>
      <c r="H38" s="1471"/>
      <c r="I38" s="1471"/>
    </row>
    <row r="39" spans="1:9" ht="18.75">
      <c r="A39" s="1345"/>
      <c r="B39" s="1345" t="s">
        <v>6151</v>
      </c>
      <c r="C39" s="1470">
        <v>1</v>
      </c>
      <c r="D39" s="1470">
        <v>2</v>
      </c>
      <c r="E39" s="1471">
        <v>0.23</v>
      </c>
      <c r="F39" s="1471">
        <v>0.3</v>
      </c>
      <c r="G39" s="1471">
        <v>1.5</v>
      </c>
      <c r="H39" s="1480"/>
      <c r="I39" s="1471">
        <f>PRODUCT(C39:G39)</f>
        <v>0.21</v>
      </c>
    </row>
    <row r="40" spans="1:9" ht="37.5">
      <c r="A40" s="1345"/>
      <c r="B40" s="1481" t="s">
        <v>6152</v>
      </c>
      <c r="C40" s="1470">
        <v>1</v>
      </c>
      <c r="D40" s="1470">
        <v>1</v>
      </c>
      <c r="E40" s="1470">
        <v>199.8</v>
      </c>
      <c r="F40" s="1471">
        <v>0.23</v>
      </c>
      <c r="G40" s="1471">
        <v>0.1</v>
      </c>
      <c r="H40" s="1470"/>
      <c r="I40" s="1471">
        <f t="shared" ref="I40" si="3">PRODUCT(C40:H40)</f>
        <v>4.5999999999999996</v>
      </c>
    </row>
    <row r="41" spans="1:9" ht="18.75">
      <c r="A41" s="1345"/>
      <c r="B41" s="1345"/>
      <c r="C41" s="1470"/>
      <c r="D41" s="1470"/>
      <c r="E41" s="1471"/>
      <c r="F41" s="1471"/>
      <c r="G41" s="1471"/>
      <c r="H41" s="1467" t="s">
        <v>6141</v>
      </c>
      <c r="I41" s="1475">
        <f>+SUM(I39:I40)</f>
        <v>4.8099999999999996</v>
      </c>
    </row>
    <row r="42" spans="1:9" ht="18.75">
      <c r="A42" s="1345"/>
      <c r="B42" s="1345"/>
      <c r="C42" s="1470"/>
      <c r="D42" s="1470"/>
      <c r="E42" s="1471"/>
      <c r="F42" s="1471"/>
      <c r="G42" s="1471" t="s">
        <v>4322</v>
      </c>
      <c r="H42" s="1467" t="s">
        <v>6141</v>
      </c>
      <c r="I42" s="1482">
        <f>ROUNDUP(I41,1)</f>
        <v>4.9000000000000004</v>
      </c>
    </row>
    <row r="43" spans="1:9" ht="18.75">
      <c r="A43" s="1341">
        <v>9.5</v>
      </c>
      <c r="B43" s="1469" t="s">
        <v>6153</v>
      </c>
      <c r="C43" s="1470"/>
      <c r="D43" s="1470"/>
      <c r="E43" s="1470"/>
      <c r="F43" s="1471"/>
      <c r="G43" s="1471"/>
      <c r="H43" s="1476"/>
      <c r="I43" s="1471"/>
    </row>
    <row r="44" spans="1:9" ht="18.75">
      <c r="A44" s="1345"/>
      <c r="B44" s="1345" t="s">
        <v>6150</v>
      </c>
      <c r="C44" s="1470"/>
      <c r="D44" s="1470"/>
      <c r="E44" s="1470"/>
      <c r="F44" s="1471"/>
      <c r="G44" s="1471"/>
      <c r="H44" s="1471"/>
      <c r="I44" s="1471"/>
    </row>
    <row r="45" spans="1:9" ht="18.75">
      <c r="A45" s="1345"/>
      <c r="B45" s="1345" t="s">
        <v>6154</v>
      </c>
      <c r="C45" s="1470">
        <v>1</v>
      </c>
      <c r="D45" s="1470">
        <v>22</v>
      </c>
      <c r="E45" s="1470"/>
      <c r="F45" s="1471">
        <v>0.8</v>
      </c>
      <c r="G45" s="1471">
        <v>0.23</v>
      </c>
      <c r="H45" s="1471">
        <v>1.42</v>
      </c>
      <c r="I45" s="1471">
        <f>PRODUCT(C45:H45)</f>
        <v>5.75</v>
      </c>
    </row>
    <row r="46" spans="1:9" ht="18.75">
      <c r="A46" s="1345"/>
      <c r="B46" s="1345" t="s">
        <v>6154</v>
      </c>
      <c r="C46" s="1470">
        <v>2</v>
      </c>
      <c r="D46" s="1470">
        <v>22</v>
      </c>
      <c r="E46" s="1470"/>
      <c r="F46" s="1471">
        <v>0.23</v>
      </c>
      <c r="G46" s="1471">
        <v>0.23</v>
      </c>
      <c r="H46" s="1471">
        <v>1.1000000000000001</v>
      </c>
      <c r="I46" s="1471">
        <f>PRODUCT(C46:H46)</f>
        <v>2.56</v>
      </c>
    </row>
    <row r="47" spans="1:9" ht="18.75">
      <c r="A47" s="1345"/>
      <c r="B47" s="1481" t="s">
        <v>6155</v>
      </c>
      <c r="C47" s="1483">
        <v>-1</v>
      </c>
      <c r="D47" s="1483">
        <v>22</v>
      </c>
      <c r="E47" s="1470"/>
      <c r="F47" s="1962" t="s">
        <v>6156</v>
      </c>
      <c r="G47" s="1963"/>
      <c r="H47" s="1484">
        <v>0.23</v>
      </c>
      <c r="I47" s="1484">
        <v>-0.06</v>
      </c>
    </row>
    <row r="48" spans="1:9" ht="18.75">
      <c r="A48" s="1345"/>
      <c r="B48" s="1481" t="s">
        <v>6157</v>
      </c>
      <c r="C48" s="1483">
        <v>-1</v>
      </c>
      <c r="D48" s="1483">
        <v>22</v>
      </c>
      <c r="E48" s="1470"/>
      <c r="F48" s="1485">
        <v>0.34</v>
      </c>
      <c r="G48" s="1486">
        <v>0.23</v>
      </c>
      <c r="H48" s="1484">
        <v>0.83</v>
      </c>
      <c r="I48" s="1484">
        <f>PRODUCT(D48:H48)</f>
        <v>1.43</v>
      </c>
    </row>
    <row r="49" spans="1:9" ht="18.75">
      <c r="A49" s="1345"/>
      <c r="B49" s="1345" t="s">
        <v>6158</v>
      </c>
      <c r="C49" s="1470">
        <v>1</v>
      </c>
      <c r="D49" s="1470">
        <f>63+8</f>
        <v>71</v>
      </c>
      <c r="E49" s="1470"/>
      <c r="F49" s="1471">
        <v>0.23</v>
      </c>
      <c r="G49" s="1471">
        <v>0.23</v>
      </c>
      <c r="H49" s="1471">
        <v>1.5</v>
      </c>
      <c r="I49" s="1471">
        <f t="shared" si="2"/>
        <v>5.63</v>
      </c>
    </row>
    <row r="50" spans="1:9" ht="18.75">
      <c r="A50" s="1345"/>
      <c r="B50" s="1345"/>
      <c r="C50" s="1470"/>
      <c r="D50" s="1470"/>
      <c r="E50" s="1470"/>
      <c r="F50" s="1471"/>
      <c r="G50" s="1471"/>
      <c r="H50" s="1467" t="s">
        <v>6141</v>
      </c>
      <c r="I50" s="1475">
        <f>SUM(I45:I49)</f>
        <v>15.31</v>
      </c>
    </row>
    <row r="51" spans="1:9" ht="18.75">
      <c r="A51" s="1345"/>
      <c r="B51" s="1345"/>
      <c r="C51" s="1470"/>
      <c r="D51" s="1470"/>
      <c r="E51" s="1470"/>
      <c r="F51" s="1471"/>
      <c r="G51" s="1471" t="s">
        <v>4322</v>
      </c>
      <c r="H51" s="1467" t="s">
        <v>6141</v>
      </c>
      <c r="I51" s="1474">
        <f>ROUNDUP(I50,1)</f>
        <v>15.4</v>
      </c>
    </row>
    <row r="52" spans="1:9" ht="37.5">
      <c r="A52" s="1341">
        <v>10.5</v>
      </c>
      <c r="B52" s="1469" t="s">
        <v>6159</v>
      </c>
      <c r="C52" s="1470"/>
      <c r="D52" s="1470"/>
      <c r="E52" s="1470"/>
      <c r="F52" s="1471"/>
      <c r="G52" s="1471"/>
      <c r="H52" s="1476"/>
      <c r="I52" s="1471"/>
    </row>
    <row r="53" spans="1:9" ht="18.75">
      <c r="A53" s="1345"/>
      <c r="B53" s="1345" t="s">
        <v>6160</v>
      </c>
      <c r="C53" s="1470"/>
      <c r="D53" s="1470"/>
      <c r="E53" s="1470"/>
      <c r="F53" s="1471"/>
      <c r="G53" s="1471"/>
      <c r="H53" s="1471"/>
      <c r="I53" s="1471"/>
    </row>
    <row r="54" spans="1:9" ht="18.75">
      <c r="A54" s="1345"/>
      <c r="B54" s="1345" t="s">
        <v>6135</v>
      </c>
      <c r="C54" s="1470">
        <v>1</v>
      </c>
      <c r="D54" s="1470">
        <v>1</v>
      </c>
      <c r="E54" s="1470"/>
      <c r="F54" s="1471">
        <v>51</v>
      </c>
      <c r="G54" s="1471"/>
      <c r="H54" s="1471">
        <v>1.1000000000000001</v>
      </c>
      <c r="I54" s="1471">
        <f t="shared" si="2"/>
        <v>56.1</v>
      </c>
    </row>
    <row r="55" spans="1:9" ht="18.75">
      <c r="A55" s="1345"/>
      <c r="B55" s="1345" t="s">
        <v>6136</v>
      </c>
      <c r="C55" s="1470">
        <v>1</v>
      </c>
      <c r="D55" s="1470">
        <v>1</v>
      </c>
      <c r="E55" s="1470"/>
      <c r="F55" s="1471">
        <v>33.200000000000003</v>
      </c>
      <c r="G55" s="1471"/>
      <c r="H55" s="1471">
        <v>1.1000000000000001</v>
      </c>
      <c r="I55" s="1471">
        <f t="shared" si="2"/>
        <v>36.520000000000003</v>
      </c>
    </row>
    <row r="56" spans="1:9" ht="18.75">
      <c r="A56" s="1345"/>
      <c r="B56" s="1345" t="s">
        <v>6137</v>
      </c>
      <c r="C56" s="1470">
        <v>1</v>
      </c>
      <c r="D56" s="1470">
        <v>1</v>
      </c>
      <c r="E56" s="1470"/>
      <c r="F56" s="1471">
        <v>68.2</v>
      </c>
      <c r="G56" s="1471"/>
      <c r="H56" s="1471">
        <v>1.1000000000000001</v>
      </c>
      <c r="I56" s="1471">
        <f t="shared" si="2"/>
        <v>75.02</v>
      </c>
    </row>
    <row r="57" spans="1:9" ht="18.75">
      <c r="A57" s="1345"/>
      <c r="B57" s="1345" t="s">
        <v>6138</v>
      </c>
      <c r="C57" s="1470">
        <v>1</v>
      </c>
      <c r="D57" s="1470">
        <v>1</v>
      </c>
      <c r="E57" s="1470"/>
      <c r="F57" s="1471">
        <v>47.4</v>
      </c>
      <c r="G57" s="1471"/>
      <c r="H57" s="1471">
        <v>1.1000000000000001</v>
      </c>
      <c r="I57" s="1471">
        <f t="shared" si="2"/>
        <v>52.14</v>
      </c>
    </row>
    <row r="58" spans="1:9" ht="18.75">
      <c r="A58" s="1345"/>
      <c r="B58" s="1345" t="s">
        <v>6161</v>
      </c>
      <c r="C58" s="1470">
        <v>-1</v>
      </c>
      <c r="D58" s="1470">
        <v>71</v>
      </c>
      <c r="E58" s="1470"/>
      <c r="F58" s="1471">
        <v>0.23</v>
      </c>
      <c r="G58" s="1471"/>
      <c r="H58" s="1471">
        <v>1.1000000000000001</v>
      </c>
      <c r="I58" s="1471">
        <f t="shared" si="2"/>
        <v>-17.96</v>
      </c>
    </row>
    <row r="59" spans="1:9" ht="18.75">
      <c r="A59" s="1345"/>
      <c r="B59" s="1345" t="s">
        <v>6162</v>
      </c>
      <c r="C59" s="1483">
        <v>-1</v>
      </c>
      <c r="D59" s="1483">
        <v>22</v>
      </c>
      <c r="E59" s="1470"/>
      <c r="F59" s="1962" t="s">
        <v>6156</v>
      </c>
      <c r="G59" s="1963"/>
      <c r="H59" s="1484"/>
      <c r="I59" s="1484">
        <v>-0.25</v>
      </c>
    </row>
    <row r="60" spans="1:9" ht="18.75">
      <c r="A60" s="1345"/>
      <c r="B60" s="1345" t="s">
        <v>6163</v>
      </c>
      <c r="C60" s="1470">
        <v>-1</v>
      </c>
      <c r="D60" s="1470">
        <v>1</v>
      </c>
      <c r="E60" s="1470"/>
      <c r="F60" s="1471">
        <v>6</v>
      </c>
      <c r="G60" s="1471"/>
      <c r="H60" s="1471">
        <v>1.1000000000000001</v>
      </c>
      <c r="I60" s="1471">
        <f t="shared" si="2"/>
        <v>-6.6</v>
      </c>
    </row>
    <row r="61" spans="1:9" ht="18.75">
      <c r="A61" s="1345"/>
      <c r="B61" s="1345"/>
      <c r="C61" s="1470"/>
      <c r="D61" s="1470"/>
      <c r="E61" s="1470"/>
      <c r="F61" s="1471"/>
      <c r="G61" s="1471"/>
      <c r="H61" s="1467" t="s">
        <v>6164</v>
      </c>
      <c r="I61" s="1475">
        <f>SUM(I54:I60)</f>
        <v>194.97</v>
      </c>
    </row>
    <row r="62" spans="1:9" ht="18.75">
      <c r="A62" s="1345"/>
      <c r="B62" s="1345"/>
      <c r="C62" s="1470"/>
      <c r="D62" s="1470"/>
      <c r="E62" s="1470"/>
      <c r="F62" s="1471"/>
      <c r="G62" s="1471" t="s">
        <v>4322</v>
      </c>
      <c r="H62" s="1467" t="s">
        <v>6164</v>
      </c>
      <c r="I62" s="1474">
        <f>ROUNDUP(I61,1)</f>
        <v>195</v>
      </c>
    </row>
    <row r="63" spans="1:9" ht="37.5">
      <c r="A63" s="1341">
        <v>33</v>
      </c>
      <c r="B63" s="1469" t="s">
        <v>6165</v>
      </c>
      <c r="C63" s="1470"/>
      <c r="D63" s="1470"/>
      <c r="E63" s="1470"/>
      <c r="F63" s="1471"/>
      <c r="G63" s="1471"/>
      <c r="H63" s="1476"/>
      <c r="I63" s="1471"/>
    </row>
    <row r="64" spans="1:9" ht="18.75">
      <c r="A64" s="1487"/>
      <c r="B64" s="1481" t="s">
        <v>6166</v>
      </c>
      <c r="C64" s="1483">
        <v>2</v>
      </c>
      <c r="D64" s="1483">
        <v>1</v>
      </c>
      <c r="E64" s="1488"/>
      <c r="F64" s="1484">
        <v>199.8</v>
      </c>
      <c r="G64" s="1484"/>
      <c r="H64" s="1484">
        <v>1.43</v>
      </c>
      <c r="I64" s="1484">
        <f t="shared" ref="I64:I73" si="4">PRODUCT(C64:H64)</f>
        <v>571.42999999999995</v>
      </c>
    </row>
    <row r="65" spans="1:9" ht="18.75">
      <c r="A65" s="1487"/>
      <c r="B65" s="1481" t="s">
        <v>6167</v>
      </c>
      <c r="C65" s="1483">
        <v>1</v>
      </c>
      <c r="D65" s="1483">
        <v>1</v>
      </c>
      <c r="E65" s="1488"/>
      <c r="F65" s="1484">
        <v>199.8</v>
      </c>
      <c r="G65" s="1484">
        <v>0.23</v>
      </c>
      <c r="H65" s="1484"/>
      <c r="I65" s="1484">
        <f t="shared" si="4"/>
        <v>45.95</v>
      </c>
    </row>
    <row r="66" spans="1:9" ht="18.75">
      <c r="A66" s="1487"/>
      <c r="B66" s="1481" t="s">
        <v>6168</v>
      </c>
      <c r="C66" s="1483">
        <v>1</v>
      </c>
      <c r="D66" s="1483">
        <v>22</v>
      </c>
      <c r="E66" s="1488"/>
      <c r="F66" s="1484">
        <v>0.12</v>
      </c>
      <c r="G66" s="1484"/>
      <c r="H66" s="1484">
        <v>1.1000000000000001</v>
      </c>
      <c r="I66" s="1484">
        <f t="shared" si="4"/>
        <v>2.9</v>
      </c>
    </row>
    <row r="67" spans="1:9" ht="37.5">
      <c r="A67" s="1487"/>
      <c r="B67" s="1481" t="s">
        <v>6169</v>
      </c>
      <c r="C67" s="1483">
        <v>1</v>
      </c>
      <c r="D67" s="1483">
        <v>22</v>
      </c>
      <c r="E67" s="1488"/>
      <c r="F67" s="1484">
        <v>2.06</v>
      </c>
      <c r="G67" s="1484"/>
      <c r="H67" s="1484">
        <v>0.3</v>
      </c>
      <c r="I67" s="1484">
        <f t="shared" si="4"/>
        <v>13.6</v>
      </c>
    </row>
    <row r="68" spans="1:9" ht="37.5">
      <c r="A68" s="1487"/>
      <c r="B68" s="1481" t="s">
        <v>6170</v>
      </c>
      <c r="C68" s="1483">
        <v>1</v>
      </c>
      <c r="D68" s="1483">
        <v>22</v>
      </c>
      <c r="E68" s="1488"/>
      <c r="F68" s="1484">
        <v>2.5499999999999998</v>
      </c>
      <c r="G68" s="1484">
        <v>0.12</v>
      </c>
      <c r="H68" s="1484"/>
      <c r="I68" s="1484">
        <f t="shared" si="4"/>
        <v>6.73</v>
      </c>
    </row>
    <row r="69" spans="1:9" ht="18.75">
      <c r="A69" s="1487"/>
      <c r="B69" s="1481" t="s">
        <v>6171</v>
      </c>
      <c r="C69" s="1483">
        <v>-1</v>
      </c>
      <c r="D69" s="1483">
        <v>2</v>
      </c>
      <c r="E69" s="1488"/>
      <c r="F69" s="1484">
        <v>5.0999999999999996</v>
      </c>
      <c r="G69" s="1484"/>
      <c r="H69" s="1484">
        <v>1.55</v>
      </c>
      <c r="I69" s="1484">
        <f t="shared" si="4"/>
        <v>-15.81</v>
      </c>
    </row>
    <row r="70" spans="1:9" ht="18.75">
      <c r="A70" s="1487"/>
      <c r="B70" s="1481" t="s">
        <v>6172</v>
      </c>
      <c r="C70" s="1483">
        <v>1</v>
      </c>
      <c r="D70" s="1483">
        <v>2</v>
      </c>
      <c r="E70" s="1488"/>
      <c r="F70" s="1484">
        <v>1.06</v>
      </c>
      <c r="G70" s="1484">
        <v>2.5499999999999998</v>
      </c>
      <c r="H70" s="1484"/>
      <c r="I70" s="1484">
        <f t="shared" si="4"/>
        <v>5.41</v>
      </c>
    </row>
    <row r="71" spans="1:9" ht="18.75">
      <c r="A71" s="1487"/>
      <c r="B71" s="1481" t="s">
        <v>6173</v>
      </c>
      <c r="C71" s="1483">
        <v>1</v>
      </c>
      <c r="D71" s="1483">
        <v>2</v>
      </c>
      <c r="E71" s="1488"/>
      <c r="F71" s="1484">
        <v>0.3</v>
      </c>
      <c r="G71" s="1484"/>
      <c r="H71" s="1484">
        <v>0.23</v>
      </c>
      <c r="I71" s="1484">
        <f t="shared" si="4"/>
        <v>0.14000000000000001</v>
      </c>
    </row>
    <row r="72" spans="1:9" ht="18.75">
      <c r="A72" s="1487"/>
      <c r="B72" s="1481" t="s">
        <v>6174</v>
      </c>
      <c r="C72" s="1483">
        <v>71</v>
      </c>
      <c r="D72" s="1483">
        <v>2</v>
      </c>
      <c r="E72" s="1488"/>
      <c r="F72" s="1484">
        <v>0.11</v>
      </c>
      <c r="G72" s="1484"/>
      <c r="H72" s="1484">
        <v>1.55</v>
      </c>
      <c r="I72" s="1484">
        <f t="shared" si="4"/>
        <v>24.21</v>
      </c>
    </row>
    <row r="73" spans="1:9" ht="18.75">
      <c r="A73" s="1487"/>
      <c r="B73" s="1481" t="s">
        <v>6175</v>
      </c>
      <c r="C73" s="1483">
        <v>71</v>
      </c>
      <c r="D73" s="1483">
        <v>1</v>
      </c>
      <c r="E73" s="1488"/>
      <c r="F73" s="1484">
        <v>0.23</v>
      </c>
      <c r="G73" s="1484"/>
      <c r="H73" s="1484">
        <v>0.11</v>
      </c>
      <c r="I73" s="1484">
        <f t="shared" si="4"/>
        <v>1.8</v>
      </c>
    </row>
    <row r="74" spans="1:9" ht="18.75">
      <c r="A74" s="1345"/>
      <c r="B74" s="1345"/>
      <c r="C74" s="1470"/>
      <c r="D74" s="1470"/>
      <c r="E74" s="1470"/>
      <c r="F74" s="1470"/>
      <c r="G74" s="1470"/>
      <c r="H74" s="1467" t="s">
        <v>6164</v>
      </c>
      <c r="I74" s="1475">
        <f>SUM(I64:I73)</f>
        <v>656.36</v>
      </c>
    </row>
    <row r="75" spans="1:9" ht="18.75">
      <c r="A75" s="1345"/>
      <c r="B75" s="1345"/>
      <c r="C75" s="1470"/>
      <c r="D75" s="1470"/>
      <c r="E75" s="1470"/>
      <c r="F75" s="1470"/>
      <c r="G75" s="1470" t="s">
        <v>4322</v>
      </c>
      <c r="H75" s="1467" t="s">
        <v>6164</v>
      </c>
      <c r="I75" s="1474">
        <f>ROUNDUP(I74,1)</f>
        <v>656.4</v>
      </c>
    </row>
    <row r="76" spans="1:9" ht="18.75">
      <c r="A76" s="1345">
        <v>36</v>
      </c>
      <c r="B76" s="1345" t="s">
        <v>6176</v>
      </c>
      <c r="C76" s="1470"/>
      <c r="D76" s="1470"/>
      <c r="E76" s="1470"/>
      <c r="F76" s="1470"/>
      <c r="G76" s="1470"/>
      <c r="H76" s="1476"/>
      <c r="I76" s="1475"/>
    </row>
    <row r="77" spans="1:9" ht="18.75">
      <c r="A77" s="1345"/>
      <c r="B77" s="1345" t="s">
        <v>6177</v>
      </c>
      <c r="C77" s="1470"/>
      <c r="D77" s="1470"/>
      <c r="E77" s="1470"/>
      <c r="F77" s="1470"/>
      <c r="G77" s="1470"/>
      <c r="H77" s="1471"/>
      <c r="I77" s="1471"/>
    </row>
    <row r="78" spans="1:9" ht="18.75">
      <c r="A78" s="1345"/>
      <c r="B78" s="1345" t="s">
        <v>6178</v>
      </c>
      <c r="C78" s="1470">
        <v>1</v>
      </c>
      <c r="D78" s="1470">
        <v>1</v>
      </c>
      <c r="E78" s="1470"/>
      <c r="F78" s="1471">
        <f>199.8-6</f>
        <v>193.8</v>
      </c>
      <c r="G78" s="1470"/>
      <c r="H78" s="1471"/>
      <c r="I78" s="1475">
        <f t="shared" ref="I78" si="5">PRODUCT(C78:H78)</f>
        <v>193.8</v>
      </c>
    </row>
    <row r="79" spans="1:9" ht="18.75">
      <c r="A79" s="1345"/>
      <c r="B79" s="1345" t="s">
        <v>6179</v>
      </c>
      <c r="C79" s="1470"/>
      <c r="D79" s="1470"/>
      <c r="E79" s="1470"/>
      <c r="F79" s="1470"/>
      <c r="G79" s="1470"/>
      <c r="H79" s="1476"/>
      <c r="I79" s="1475"/>
    </row>
    <row r="80" spans="1:9" ht="18.75">
      <c r="A80" s="1345"/>
      <c r="B80" s="1345" t="s">
        <v>5446</v>
      </c>
      <c r="C80" s="1470">
        <v>1</v>
      </c>
      <c r="D80" s="1470">
        <v>1</v>
      </c>
      <c r="E80" s="1470"/>
      <c r="F80" s="1471">
        <f>F78</f>
        <v>193.8</v>
      </c>
      <c r="G80" s="1470"/>
      <c r="H80" s="1471"/>
      <c r="I80" s="1475">
        <f t="shared" ref="I80" si="6">PRODUCT(C80:H80)</f>
        <v>193.8</v>
      </c>
    </row>
    <row r="81" spans="1:9" ht="18.75">
      <c r="A81" s="1345"/>
      <c r="B81" s="1345"/>
      <c r="C81" s="1470"/>
      <c r="D81" s="1470"/>
      <c r="E81" s="1470"/>
      <c r="F81" s="1470"/>
      <c r="G81" s="1470"/>
      <c r="H81" s="1475"/>
      <c r="I81" s="1475"/>
    </row>
    <row r="82" spans="1:9" ht="75">
      <c r="A82" s="1345">
        <v>796</v>
      </c>
      <c r="B82" s="1477" t="s">
        <v>6180</v>
      </c>
      <c r="C82" s="1470"/>
      <c r="D82" s="1470"/>
      <c r="E82" s="1470"/>
      <c r="F82" s="1470"/>
      <c r="G82" s="1470"/>
      <c r="H82" s="1476"/>
      <c r="I82" s="1475"/>
    </row>
    <row r="83" spans="1:9" ht="18.75">
      <c r="A83" s="1345"/>
      <c r="B83" s="1345" t="s">
        <v>6181</v>
      </c>
      <c r="C83" s="1470"/>
      <c r="D83" s="1470"/>
      <c r="E83" s="1470"/>
      <c r="F83" s="1470"/>
      <c r="G83" s="1470"/>
      <c r="H83" s="1467" t="s">
        <v>6164</v>
      </c>
      <c r="I83" s="1475">
        <f>I75</f>
        <v>656.4</v>
      </c>
    </row>
    <row r="84" spans="1:9" ht="18.75">
      <c r="A84" s="1345"/>
      <c r="B84" s="1345"/>
      <c r="C84" s="1470"/>
      <c r="D84" s="1470"/>
      <c r="E84" s="1470"/>
      <c r="F84" s="1470"/>
      <c r="G84" s="1470"/>
      <c r="H84" s="1475"/>
      <c r="I84" s="1475"/>
    </row>
    <row r="85" spans="1:9" ht="18.75">
      <c r="A85" s="1345"/>
      <c r="B85" s="1345"/>
      <c r="C85" s="1470"/>
      <c r="D85" s="1470"/>
      <c r="E85" s="1470"/>
      <c r="F85" s="1470"/>
      <c r="G85" s="1470"/>
      <c r="H85" s="1475"/>
      <c r="I85" s="1475"/>
    </row>
    <row r="86" spans="1:9" ht="18.75">
      <c r="A86" s="1345">
        <v>39</v>
      </c>
      <c r="B86" s="1345" t="s">
        <v>6182</v>
      </c>
      <c r="C86" s="1470"/>
      <c r="D86" s="1470"/>
      <c r="E86" s="1470"/>
      <c r="F86" s="1470"/>
      <c r="G86" s="1470"/>
      <c r="H86" s="1476"/>
      <c r="I86" s="1475"/>
    </row>
    <row r="87" spans="1:9" ht="18.75">
      <c r="A87" s="1345"/>
      <c r="B87" s="1345" t="s">
        <v>6183</v>
      </c>
      <c r="C87" s="1470">
        <v>1</v>
      </c>
      <c r="D87" s="1470">
        <v>1</v>
      </c>
      <c r="E87" s="1470"/>
      <c r="F87" s="1471">
        <v>6</v>
      </c>
      <c r="G87" s="1471">
        <v>1.5</v>
      </c>
      <c r="H87" s="1470"/>
      <c r="I87" s="1471">
        <f t="shared" ref="I87" si="7">PRODUCT(C87:H87)</f>
        <v>9</v>
      </c>
    </row>
    <row r="88" spans="1:9" ht="18.75">
      <c r="A88" s="1345"/>
      <c r="B88" s="1345"/>
      <c r="C88" s="1470"/>
      <c r="D88" s="1470"/>
      <c r="E88" s="1470"/>
      <c r="F88" s="1470"/>
      <c r="G88" s="1470" t="s">
        <v>6184</v>
      </c>
      <c r="H88" s="1470"/>
      <c r="I88" s="1475">
        <f>I87*45</f>
        <v>405</v>
      </c>
    </row>
    <row r="89" spans="1:9" ht="18.75">
      <c r="A89" s="1345"/>
      <c r="B89" s="1345"/>
      <c r="C89" s="1470"/>
      <c r="D89" s="1470"/>
      <c r="E89" s="1470"/>
      <c r="F89" s="1470"/>
      <c r="G89" s="1470"/>
      <c r="H89" s="1476" t="s">
        <v>922</v>
      </c>
      <c r="I89" s="1475">
        <f>I88</f>
        <v>405</v>
      </c>
    </row>
    <row r="90" spans="1:9" ht="18.75">
      <c r="A90" s="1345">
        <v>41</v>
      </c>
      <c r="B90" s="1345" t="s">
        <v>6185</v>
      </c>
      <c r="C90" s="1470"/>
      <c r="D90" s="1470"/>
      <c r="E90" s="1470"/>
      <c r="F90" s="1470"/>
      <c r="G90" s="1470"/>
      <c r="H90" s="1470"/>
      <c r="I90" s="1471"/>
    </row>
    <row r="91" spans="1:9" ht="18.75">
      <c r="A91" s="1345"/>
      <c r="B91" s="1345" t="s">
        <v>6183</v>
      </c>
      <c r="C91" s="1470">
        <v>1</v>
      </c>
      <c r="D91" s="1470">
        <v>1</v>
      </c>
      <c r="E91" s="1471"/>
      <c r="F91" s="1471">
        <v>6</v>
      </c>
      <c r="G91" s="1471">
        <v>1</v>
      </c>
      <c r="H91" s="1470">
        <v>1.5</v>
      </c>
      <c r="I91" s="1471">
        <f t="shared" ref="I91" si="8">PRODUCT(C91:H91)</f>
        <v>9</v>
      </c>
    </row>
    <row r="92" spans="1:9" ht="18.75">
      <c r="A92" s="1345"/>
      <c r="B92" s="1345"/>
      <c r="C92" s="1470"/>
      <c r="D92" s="1470"/>
      <c r="E92" s="1470"/>
      <c r="F92" s="1470"/>
      <c r="G92" s="1470"/>
      <c r="H92" s="1467" t="s">
        <v>6164</v>
      </c>
      <c r="I92" s="1475">
        <f>I91</f>
        <v>9</v>
      </c>
    </row>
    <row r="93" spans="1:9" ht="18.75">
      <c r="A93" s="1345">
        <v>18.100000000000001</v>
      </c>
      <c r="B93" s="1345" t="s">
        <v>6186</v>
      </c>
      <c r="C93" s="1470"/>
      <c r="D93" s="1470"/>
      <c r="E93" s="1470"/>
      <c r="F93" s="1470"/>
      <c r="G93" s="1470"/>
      <c r="H93" s="1470"/>
      <c r="I93" s="1471"/>
    </row>
    <row r="94" spans="1:9" ht="18.75">
      <c r="A94" s="1345"/>
      <c r="B94" s="1345" t="s">
        <v>5428</v>
      </c>
      <c r="C94" s="1489"/>
      <c r="D94" s="1489"/>
      <c r="E94" s="1489"/>
      <c r="F94" s="1489"/>
      <c r="G94" s="1470"/>
      <c r="H94" s="1470"/>
      <c r="I94" s="1471"/>
    </row>
    <row r="95" spans="1:9" ht="18.75">
      <c r="A95" s="1345"/>
      <c r="B95" s="1345" t="s">
        <v>6187</v>
      </c>
      <c r="C95" s="1342">
        <v>1</v>
      </c>
      <c r="D95" s="1342">
        <v>93</v>
      </c>
      <c r="E95" s="1344">
        <v>3.2</v>
      </c>
      <c r="F95" s="1345"/>
      <c r="G95" s="1471">
        <v>0.3</v>
      </c>
      <c r="H95" s="1470"/>
      <c r="I95" s="1471">
        <f t="shared" ref="I95:I97" si="9">PRODUCT(C95:H95)</f>
        <v>89.28</v>
      </c>
    </row>
    <row r="96" spans="1:9" ht="18.75">
      <c r="A96" s="1345"/>
      <c r="B96" s="1345" t="s">
        <v>6188</v>
      </c>
      <c r="C96" s="1470">
        <v>1</v>
      </c>
      <c r="D96" s="1470">
        <v>2</v>
      </c>
      <c r="E96" s="1342">
        <v>199.8</v>
      </c>
      <c r="F96" s="1471"/>
      <c r="G96" s="1471">
        <v>0.23</v>
      </c>
      <c r="H96" s="1470"/>
      <c r="I96" s="1471">
        <f t="shared" si="9"/>
        <v>91.91</v>
      </c>
    </row>
    <row r="97" spans="1:9" ht="18.75">
      <c r="A97" s="1345"/>
      <c r="B97" s="1345" t="s">
        <v>5438</v>
      </c>
      <c r="C97" s="1470">
        <v>-2</v>
      </c>
      <c r="D97" s="1470">
        <v>93</v>
      </c>
      <c r="E97" s="1342">
        <v>0.23</v>
      </c>
      <c r="F97" s="1471"/>
      <c r="G97" s="1471">
        <v>0.3</v>
      </c>
      <c r="H97" s="1470"/>
      <c r="I97" s="1471">
        <f t="shared" si="9"/>
        <v>-12.83</v>
      </c>
    </row>
    <row r="98" spans="1:9" ht="18.75">
      <c r="A98" s="1345"/>
      <c r="B98" s="1345"/>
      <c r="C98" s="1470"/>
      <c r="D98" s="1470"/>
      <c r="E98" s="1470"/>
      <c r="F98" s="1470"/>
      <c r="G98" s="1470"/>
      <c r="H98" s="1467" t="s">
        <v>6164</v>
      </c>
      <c r="I98" s="1475">
        <f>+SUM(I95:I97)</f>
        <v>168.36</v>
      </c>
    </row>
    <row r="99" spans="1:9" ht="18.75">
      <c r="A99" s="1345"/>
      <c r="B99" s="1345"/>
      <c r="C99" s="1470"/>
      <c r="D99" s="1470"/>
      <c r="E99" s="1470"/>
      <c r="F99" s="1470"/>
      <c r="G99" s="1470" t="s">
        <v>4322</v>
      </c>
      <c r="H99" s="1467" t="s">
        <v>6164</v>
      </c>
      <c r="I99" s="1474">
        <f>ROUNDUP(I98,1)</f>
        <v>168.4</v>
      </c>
    </row>
    <row r="100" spans="1:9" ht="18.75">
      <c r="A100" s="1345"/>
      <c r="B100" s="1345" t="s">
        <v>6189</v>
      </c>
      <c r="C100" s="1470"/>
      <c r="D100" s="1470"/>
      <c r="E100" s="1470"/>
      <c r="F100" s="1470"/>
      <c r="G100" s="1470"/>
      <c r="H100" s="1476"/>
      <c r="I100" s="1475"/>
    </row>
    <row r="101" spans="1:9" ht="18.75">
      <c r="A101" s="1345"/>
      <c r="B101" s="1345" t="s">
        <v>6145</v>
      </c>
      <c r="C101" s="1470">
        <v>1</v>
      </c>
      <c r="D101" s="1470">
        <v>91</v>
      </c>
      <c r="E101" s="1470">
        <v>0.92</v>
      </c>
      <c r="F101" s="1471"/>
      <c r="G101" s="1471">
        <v>0.56999999999999995</v>
      </c>
      <c r="H101" s="1470"/>
      <c r="I101" s="1471">
        <f t="shared" ref="I101:I104" si="10">PRODUCT(C101:H101)</f>
        <v>47.72</v>
      </c>
    </row>
    <row r="102" spans="1:9" ht="18.75">
      <c r="A102" s="1345"/>
      <c r="B102" s="1345"/>
      <c r="C102" s="1470">
        <v>1</v>
      </c>
      <c r="D102" s="1470">
        <v>2</v>
      </c>
      <c r="E102" s="1470">
        <v>1.06</v>
      </c>
      <c r="F102" s="1471"/>
      <c r="G102" s="1471">
        <v>0.56999999999999995</v>
      </c>
      <c r="H102" s="1470"/>
      <c r="I102" s="1471">
        <f t="shared" si="10"/>
        <v>1.21</v>
      </c>
    </row>
    <row r="103" spans="1:9" ht="37.5">
      <c r="A103" s="1345"/>
      <c r="B103" s="1481" t="s">
        <v>6152</v>
      </c>
      <c r="C103" s="1470">
        <v>1</v>
      </c>
      <c r="D103" s="1470">
        <v>2</v>
      </c>
      <c r="E103" s="1470">
        <v>199.8</v>
      </c>
      <c r="F103" s="1471"/>
      <c r="G103" s="1471">
        <v>0.1</v>
      </c>
      <c r="H103" s="1470"/>
      <c r="I103" s="1471">
        <f t="shared" si="10"/>
        <v>39.96</v>
      </c>
    </row>
    <row r="104" spans="1:9" ht="18.75">
      <c r="A104" s="1345"/>
      <c r="B104" s="1345" t="s">
        <v>6190</v>
      </c>
      <c r="C104" s="1470">
        <v>1</v>
      </c>
      <c r="D104" s="1470">
        <v>2</v>
      </c>
      <c r="E104" s="1470">
        <v>1.06</v>
      </c>
      <c r="F104" s="1471"/>
      <c r="G104" s="1471">
        <v>1.5</v>
      </c>
      <c r="H104" s="1470"/>
      <c r="I104" s="1471">
        <f t="shared" si="10"/>
        <v>3.18</v>
      </c>
    </row>
    <row r="105" spans="1:9" ht="18.75">
      <c r="A105" s="1345"/>
      <c r="B105" s="1477"/>
      <c r="C105" s="1470"/>
      <c r="D105" s="1470"/>
      <c r="E105" s="1470"/>
      <c r="F105" s="1471"/>
      <c r="G105" s="1471"/>
      <c r="H105" s="1467" t="s">
        <v>6164</v>
      </c>
      <c r="I105" s="1475">
        <f>+SUM(I101:I104)</f>
        <v>92.07</v>
      </c>
    </row>
    <row r="106" spans="1:9" ht="18.75">
      <c r="A106" s="1345"/>
      <c r="B106" s="1345"/>
      <c r="C106" s="1470"/>
      <c r="D106" s="1470"/>
      <c r="E106" s="1470"/>
      <c r="F106" s="1471"/>
      <c r="G106" s="1471" t="s">
        <v>4322</v>
      </c>
      <c r="H106" s="1467" t="s">
        <v>6164</v>
      </c>
      <c r="I106" s="1474">
        <f>ROUNDUP(I105,1)</f>
        <v>92.1</v>
      </c>
    </row>
    <row r="107" spans="1:9" ht="18.75">
      <c r="A107" s="1345">
        <v>43</v>
      </c>
      <c r="B107" s="1345" t="s">
        <v>6191</v>
      </c>
      <c r="C107" s="1470"/>
      <c r="D107" s="1470"/>
      <c r="E107" s="1470"/>
      <c r="F107" s="1470"/>
      <c r="G107" s="1470"/>
      <c r="H107" s="1470"/>
      <c r="I107" s="1470"/>
    </row>
    <row r="108" spans="1:9" ht="18.75">
      <c r="A108" s="1345"/>
      <c r="B108" s="1345"/>
      <c r="C108" s="1470"/>
      <c r="D108" s="1470"/>
      <c r="E108" s="1468"/>
      <c r="F108" s="1476" t="s">
        <v>5399</v>
      </c>
      <c r="G108" s="1470" t="s">
        <v>6192</v>
      </c>
      <c r="H108" s="1476" t="s">
        <v>6193</v>
      </c>
      <c r="I108" s="1476" t="s">
        <v>6194</v>
      </c>
    </row>
    <row r="109" spans="1:9" ht="18.75">
      <c r="A109" s="1345"/>
      <c r="B109" s="1345" t="s">
        <v>6195</v>
      </c>
      <c r="C109" s="1470">
        <v>2</v>
      </c>
      <c r="D109" s="1490">
        <v>6</v>
      </c>
      <c r="E109" s="1470">
        <v>93</v>
      </c>
      <c r="F109" s="1471">
        <v>1.05</v>
      </c>
      <c r="G109" s="1470"/>
      <c r="H109" s="1471">
        <f>C109*D109*E109*F109</f>
        <v>1171.8</v>
      </c>
      <c r="I109" s="1470"/>
    </row>
    <row r="110" spans="1:9" ht="18.75">
      <c r="A110" s="1345"/>
      <c r="B110" s="1345" t="s">
        <v>6196</v>
      </c>
      <c r="C110" s="1470">
        <v>1</v>
      </c>
      <c r="D110" s="1490">
        <v>6</v>
      </c>
      <c r="E110" s="1470">
        <v>91</v>
      </c>
      <c r="F110" s="1471">
        <v>1.6</v>
      </c>
      <c r="G110" s="1470"/>
      <c r="H110" s="1471"/>
      <c r="I110" s="1471">
        <f>C110*D110*E110*F110</f>
        <v>873.6</v>
      </c>
    </row>
    <row r="111" spans="1:9" ht="18.75">
      <c r="A111" s="1345"/>
      <c r="B111" s="1345" t="s">
        <v>6197</v>
      </c>
      <c r="C111" s="1470">
        <v>1</v>
      </c>
      <c r="D111" s="1490">
        <v>6</v>
      </c>
      <c r="E111" s="1470">
        <v>2</v>
      </c>
      <c r="F111" s="1471">
        <v>3.25</v>
      </c>
      <c r="G111" s="1471"/>
      <c r="H111" s="1471"/>
      <c r="I111" s="1471">
        <f>C111*D111*E111*F111</f>
        <v>39</v>
      </c>
    </row>
    <row r="112" spans="1:9" ht="18.75">
      <c r="A112" s="1491"/>
      <c r="B112" s="1477" t="s">
        <v>6198</v>
      </c>
      <c r="C112" s="1470">
        <v>1</v>
      </c>
      <c r="D112" s="1490">
        <v>7</v>
      </c>
      <c r="E112" s="1470">
        <v>91</v>
      </c>
      <c r="F112" s="1471">
        <v>0.82</v>
      </c>
      <c r="G112" s="1471">
        <f>F112*E112*D112*C112</f>
        <v>522.34</v>
      </c>
      <c r="H112" s="1471"/>
      <c r="I112" s="1471"/>
    </row>
    <row r="113" spans="1:9" ht="18.75">
      <c r="A113" s="1480"/>
      <c r="B113" s="1345" t="s">
        <v>6199</v>
      </c>
      <c r="C113" s="1470">
        <v>1</v>
      </c>
      <c r="D113" s="1490">
        <v>15</v>
      </c>
      <c r="E113" s="1470">
        <v>2</v>
      </c>
      <c r="F113" s="1471">
        <v>0.96</v>
      </c>
      <c r="G113" s="1471">
        <f>F113*E113*D113*C113</f>
        <v>28.8</v>
      </c>
      <c r="H113" s="1471"/>
      <c r="I113" s="1471"/>
    </row>
    <row r="114" spans="1:9" ht="18.75">
      <c r="A114" s="1480"/>
      <c r="B114" s="1345" t="s">
        <v>6200</v>
      </c>
      <c r="C114" s="1470">
        <v>1</v>
      </c>
      <c r="D114" s="1470">
        <v>3</v>
      </c>
      <c r="E114" s="1471"/>
      <c r="F114" s="1470">
        <v>199.8</v>
      </c>
      <c r="G114" s="1471"/>
      <c r="H114" s="1471"/>
      <c r="I114" s="1471">
        <f>F114*D114*C114</f>
        <v>599.4</v>
      </c>
    </row>
    <row r="115" spans="1:9" ht="18.75">
      <c r="A115" s="1480"/>
      <c r="B115" s="1345" t="s">
        <v>6201</v>
      </c>
      <c r="C115" s="1470">
        <v>1</v>
      </c>
      <c r="D115" s="1470">
        <v>2</v>
      </c>
      <c r="E115" s="1471"/>
      <c r="F115" s="1470">
        <v>200.1</v>
      </c>
      <c r="G115" s="1471"/>
      <c r="H115" s="1471"/>
      <c r="I115" s="1471">
        <f>F115*D115*C115</f>
        <v>400.2</v>
      </c>
    </row>
    <row r="116" spans="1:9" ht="18.75">
      <c r="A116" s="1480"/>
      <c r="B116" s="1345" t="s">
        <v>6202</v>
      </c>
      <c r="C116" s="1470">
        <v>1</v>
      </c>
      <c r="D116" s="1470">
        <v>1176</v>
      </c>
      <c r="E116" s="1471"/>
      <c r="F116" s="1470">
        <v>0.96</v>
      </c>
      <c r="G116" s="1471">
        <f>F116*D116*C116</f>
        <v>1128.96</v>
      </c>
      <c r="H116" s="1471"/>
      <c r="I116" s="1470"/>
    </row>
    <row r="117" spans="1:9" ht="18.75">
      <c r="A117" s="1480"/>
      <c r="B117" s="1477"/>
      <c r="C117" s="1470"/>
      <c r="D117" s="1470"/>
      <c r="E117" s="1471"/>
      <c r="F117" s="1470"/>
      <c r="G117" s="1475">
        <f>+SUM(G109:G116)</f>
        <v>1680.1</v>
      </c>
      <c r="H117" s="1475">
        <f>+SUM(H109:H116)</f>
        <v>1171.8</v>
      </c>
      <c r="I117" s="1475">
        <f>+SUM(I109:I116)</f>
        <v>1912.2</v>
      </c>
    </row>
    <row r="118" spans="1:9" ht="18.75">
      <c r="A118" s="1480"/>
      <c r="B118" s="1345"/>
      <c r="C118" s="1470"/>
      <c r="D118" s="1470"/>
      <c r="E118" s="1471"/>
      <c r="F118" s="1492" t="s">
        <v>5404</v>
      </c>
      <c r="G118" s="1493">
        <v>0.39500000000000002</v>
      </c>
      <c r="H118" s="1493">
        <v>0.61699999999999999</v>
      </c>
      <c r="I118" s="1470">
        <v>0.88800000000000001</v>
      </c>
    </row>
    <row r="119" spans="1:9" ht="18.75">
      <c r="A119" s="1480"/>
      <c r="B119" s="1345"/>
      <c r="C119" s="1470"/>
      <c r="D119" s="1470"/>
      <c r="E119" s="1471"/>
      <c r="F119" s="1470"/>
      <c r="G119" s="1475">
        <f>G117*G118</f>
        <v>663.64</v>
      </c>
      <c r="H119" s="1475">
        <f>H117*H118</f>
        <v>723</v>
      </c>
      <c r="I119" s="1494">
        <f>I117*I118</f>
        <v>1698.0340000000001</v>
      </c>
    </row>
    <row r="120" spans="1:9" ht="18.75">
      <c r="A120" s="1480"/>
      <c r="B120" s="1345"/>
      <c r="C120" s="1470"/>
      <c r="D120" s="1470"/>
      <c r="E120" s="1471"/>
      <c r="F120" s="1470"/>
      <c r="G120" s="1470"/>
      <c r="H120" s="1470"/>
      <c r="I120" s="1471">
        <f>G119+H119+I119</f>
        <v>3084.67</v>
      </c>
    </row>
    <row r="121" spans="1:9" ht="18.75">
      <c r="A121" s="1480"/>
      <c r="B121" s="1345"/>
      <c r="C121" s="1470"/>
      <c r="D121" s="1470"/>
      <c r="E121" s="1471"/>
      <c r="F121" s="1470"/>
      <c r="G121" s="1494"/>
      <c r="H121" s="1494" t="s">
        <v>530</v>
      </c>
      <c r="I121" s="1494">
        <f>I120/1000</f>
        <v>3.085</v>
      </c>
    </row>
    <row r="122" spans="1:9" ht="18.75">
      <c r="A122" s="1480"/>
      <c r="B122" s="1345"/>
      <c r="C122" s="1470"/>
      <c r="D122" s="1470"/>
      <c r="E122" s="1470"/>
      <c r="F122" s="1470"/>
      <c r="G122" s="1470"/>
      <c r="H122" s="1470"/>
      <c r="I122" s="1493"/>
    </row>
    <row r="123" spans="1:9" ht="18.75">
      <c r="A123" s="1480"/>
      <c r="B123" s="1345"/>
      <c r="C123" s="1470"/>
      <c r="D123" s="1470"/>
      <c r="E123" s="1470"/>
      <c r="F123" s="1470"/>
      <c r="G123" s="1470"/>
      <c r="H123" s="1470"/>
      <c r="I123" s="1476"/>
    </row>
  </sheetData>
  <mergeCells count="5">
    <mergeCell ref="A1:I1"/>
    <mergeCell ref="A2:I2"/>
    <mergeCell ref="C3:D3"/>
    <mergeCell ref="F47:G47"/>
    <mergeCell ref="F59:G59"/>
  </mergeCells>
  <pageMargins left="0.7" right="0.7" top="0.75" bottom="0.75" header="0.3" footer="0.3"/>
  <pageSetup paperSize="9" scale="82" orientation="portrait" horizontalDpi="300" verticalDpi="0" r:id="rId1"/>
  <drawing r:id="rId2"/>
</worksheet>
</file>

<file path=xl/worksheets/sheet20.xml><?xml version="1.0" encoding="utf-8"?>
<worksheet xmlns="http://schemas.openxmlformats.org/spreadsheetml/2006/main" xmlns:r="http://schemas.openxmlformats.org/officeDocument/2006/relationships">
  <sheetPr>
    <tabColor rgb="FFFFFF00"/>
  </sheetPr>
  <dimension ref="A1:H43"/>
  <sheetViews>
    <sheetView view="pageBreakPreview" topLeftCell="A34" zoomScale="130" zoomScaleSheetLayoutView="130" workbookViewId="0">
      <selection activeCell="E125" sqref="E125"/>
    </sheetView>
  </sheetViews>
  <sheetFormatPr defaultRowHeight="15.75"/>
  <cols>
    <col min="1" max="1" width="6" customWidth="1"/>
    <col min="2" max="2" width="23.44140625" customWidth="1"/>
    <col min="3" max="4" width="4.77734375" customWidth="1"/>
    <col min="5" max="7" width="6.44140625" customWidth="1"/>
  </cols>
  <sheetData>
    <row r="1" spans="1:8">
      <c r="A1" s="1942" t="s">
        <v>4042</v>
      </c>
      <c r="B1" s="1942"/>
      <c r="C1" s="1942"/>
      <c r="D1" s="1942"/>
      <c r="E1" s="1942"/>
      <c r="F1" s="1942"/>
      <c r="G1" s="1942"/>
      <c r="H1" s="1942"/>
    </row>
    <row r="2" spans="1:8">
      <c r="A2" s="1942" t="s">
        <v>6006</v>
      </c>
      <c r="B2" s="1942"/>
      <c r="C2" s="1942"/>
      <c r="D2" s="1942"/>
      <c r="E2" s="1942"/>
      <c r="F2" s="1942"/>
      <c r="G2" s="1942"/>
      <c r="H2" s="1942"/>
    </row>
    <row r="3" spans="1:8">
      <c r="A3" s="1468"/>
      <c r="B3" s="1468"/>
      <c r="C3" s="1468"/>
      <c r="D3" s="1468"/>
      <c r="E3" s="1468"/>
      <c r="F3" s="1468"/>
      <c r="G3" s="1468"/>
      <c r="H3" s="1468"/>
    </row>
    <row r="4" spans="1:8" ht="18.75">
      <c r="A4" s="1468"/>
      <c r="B4" s="1964" t="s">
        <v>6203</v>
      </c>
      <c r="C4" s="1964"/>
      <c r="D4" s="1964"/>
      <c r="E4" s="1964"/>
      <c r="F4" s="1964"/>
      <c r="G4" s="1964"/>
      <c r="H4" s="1468"/>
    </row>
    <row r="5" spans="1:8">
      <c r="A5" s="1495" t="s">
        <v>6204</v>
      </c>
      <c r="B5" s="1495" t="s">
        <v>1802</v>
      </c>
      <c r="C5" s="1965" t="s">
        <v>1452</v>
      </c>
      <c r="D5" s="1965"/>
      <c r="E5" s="1496" t="s">
        <v>6205</v>
      </c>
      <c r="F5" s="1496" t="s">
        <v>3249</v>
      </c>
      <c r="G5" s="1496" t="s">
        <v>6206</v>
      </c>
      <c r="H5" s="1497" t="s">
        <v>6207</v>
      </c>
    </row>
    <row r="6" spans="1:8" ht="30">
      <c r="A6" s="1480">
        <v>1.6</v>
      </c>
      <c r="B6" s="1498" t="s">
        <v>6208</v>
      </c>
      <c r="C6" s="1499"/>
      <c r="D6" s="1499"/>
      <c r="E6" s="1499"/>
      <c r="F6" s="1499"/>
      <c r="G6" s="1499"/>
      <c r="H6" s="1500"/>
    </row>
    <row r="7" spans="1:8" ht="30">
      <c r="A7" s="1480"/>
      <c r="B7" s="1501" t="s">
        <v>6209</v>
      </c>
      <c r="C7" s="1480">
        <v>1</v>
      </c>
      <c r="D7" s="1480">
        <v>1</v>
      </c>
      <c r="E7" s="1502">
        <v>27.4</v>
      </c>
      <c r="F7" s="1503">
        <v>0.75</v>
      </c>
      <c r="G7" s="1503">
        <v>0.45</v>
      </c>
      <c r="H7" s="1503">
        <f>PRODUCT(C7:G7)</f>
        <v>9.25</v>
      </c>
    </row>
    <row r="8" spans="1:8">
      <c r="A8" s="1480"/>
      <c r="B8" s="1480" t="s">
        <v>6210</v>
      </c>
      <c r="C8" s="1480">
        <v>1</v>
      </c>
      <c r="D8" s="1480">
        <v>1</v>
      </c>
      <c r="E8" s="1502">
        <v>10</v>
      </c>
      <c r="F8" s="1503">
        <v>0.75</v>
      </c>
      <c r="G8" s="1503">
        <v>0.45</v>
      </c>
      <c r="H8" s="1503">
        <f t="shared" ref="H8:H9" si="0">PRODUCT(C8:G8)</f>
        <v>3.38</v>
      </c>
    </row>
    <row r="9" spans="1:8">
      <c r="A9" s="1480"/>
      <c r="B9" s="1480" t="s">
        <v>6211</v>
      </c>
      <c r="C9" s="1480">
        <v>1</v>
      </c>
      <c r="D9" s="1480">
        <v>1</v>
      </c>
      <c r="E9" s="1502">
        <v>63.6</v>
      </c>
      <c r="F9" s="1503">
        <v>0.75</v>
      </c>
      <c r="G9" s="1503">
        <v>0.45</v>
      </c>
      <c r="H9" s="1503">
        <f t="shared" si="0"/>
        <v>21.47</v>
      </c>
    </row>
    <row r="10" spans="1:8">
      <c r="A10" s="1480"/>
      <c r="B10" s="1480"/>
      <c r="C10" s="1480"/>
      <c r="D10" s="1480"/>
      <c r="E10" s="1480"/>
      <c r="F10" s="1480"/>
      <c r="G10" s="1480"/>
      <c r="H10" s="1503">
        <f>+SUM(H7:H9)</f>
        <v>34.1</v>
      </c>
    </row>
    <row r="11" spans="1:8">
      <c r="A11" s="1480"/>
      <c r="B11" s="1480"/>
      <c r="C11" s="1480"/>
      <c r="D11" s="1480"/>
      <c r="E11" s="1480"/>
      <c r="F11" s="1480" t="s">
        <v>4322</v>
      </c>
      <c r="G11" s="1480" t="s">
        <v>2176</v>
      </c>
      <c r="H11" s="1504">
        <f>ROUNDUP(H10,1)</f>
        <v>34.1</v>
      </c>
    </row>
    <row r="12" spans="1:8" ht="30">
      <c r="A12" s="1480">
        <v>3.1</v>
      </c>
      <c r="B12" s="1498" t="s">
        <v>6212</v>
      </c>
      <c r="C12" s="1480"/>
      <c r="D12" s="1480"/>
      <c r="E12" s="1480"/>
      <c r="F12" s="1480"/>
      <c r="G12" s="1480"/>
      <c r="H12" s="1495"/>
    </row>
    <row r="13" spans="1:8" ht="30">
      <c r="A13" s="1480"/>
      <c r="B13" s="1501" t="s">
        <v>6209</v>
      </c>
      <c r="C13" s="1480">
        <v>1</v>
      </c>
      <c r="D13" s="1480">
        <v>1</v>
      </c>
      <c r="E13" s="1502">
        <v>27.4</v>
      </c>
      <c r="F13" s="1503">
        <v>0.75</v>
      </c>
      <c r="G13" s="1480">
        <v>0.15</v>
      </c>
      <c r="H13" s="1503">
        <f t="shared" ref="H13:H15" si="1">PRODUCT(C13:G13)</f>
        <v>3.08</v>
      </c>
    </row>
    <row r="14" spans="1:8">
      <c r="A14" s="1480"/>
      <c r="B14" s="1480" t="s">
        <v>6210</v>
      </c>
      <c r="C14" s="1480">
        <v>1</v>
      </c>
      <c r="D14" s="1480">
        <v>1</v>
      </c>
      <c r="E14" s="1502">
        <v>10</v>
      </c>
      <c r="F14" s="1503">
        <v>0.75</v>
      </c>
      <c r="G14" s="1480">
        <v>0.15</v>
      </c>
      <c r="H14" s="1503">
        <f t="shared" si="1"/>
        <v>1.1299999999999999</v>
      </c>
    </row>
    <row r="15" spans="1:8">
      <c r="A15" s="1480"/>
      <c r="B15" s="1480" t="s">
        <v>6211</v>
      </c>
      <c r="C15" s="1480">
        <v>1</v>
      </c>
      <c r="D15" s="1480">
        <v>1</v>
      </c>
      <c r="E15" s="1502">
        <v>63.6</v>
      </c>
      <c r="F15" s="1503">
        <v>0.75</v>
      </c>
      <c r="G15" s="1480">
        <v>0.15</v>
      </c>
      <c r="H15" s="1503">
        <f t="shared" si="1"/>
        <v>7.16</v>
      </c>
    </row>
    <row r="16" spans="1:8">
      <c r="A16" s="1480"/>
      <c r="B16" s="1480"/>
      <c r="C16" s="1480"/>
      <c r="D16" s="1480"/>
      <c r="E16" s="1480"/>
      <c r="F16" s="1480"/>
      <c r="G16" s="1480"/>
      <c r="H16" s="1503">
        <f>+SUM(H13:H15)</f>
        <v>11.37</v>
      </c>
    </row>
    <row r="17" spans="1:8">
      <c r="A17" s="1480"/>
      <c r="B17" s="1480"/>
      <c r="C17" s="1480"/>
      <c r="D17" s="1480"/>
      <c r="E17" s="1480"/>
      <c r="F17" s="1480" t="s">
        <v>4322</v>
      </c>
      <c r="G17" s="1480" t="s">
        <v>2176</v>
      </c>
      <c r="H17" s="1504">
        <f>ROUNDUP(H16,1)</f>
        <v>11.4</v>
      </c>
    </row>
    <row r="18" spans="1:8">
      <c r="A18" s="1480">
        <v>10.5</v>
      </c>
      <c r="B18" s="1495" t="s">
        <v>6213</v>
      </c>
      <c r="C18" s="1499"/>
      <c r="D18" s="1499"/>
      <c r="E18" s="1499"/>
      <c r="F18" s="1499"/>
      <c r="G18" s="1499"/>
      <c r="H18" s="1505"/>
    </row>
    <row r="19" spans="1:8" ht="30">
      <c r="A19" s="1480"/>
      <c r="B19" s="1501" t="s">
        <v>6209</v>
      </c>
      <c r="C19" s="1480">
        <v>1</v>
      </c>
      <c r="D19" s="1480">
        <v>1</v>
      </c>
      <c r="E19" s="1502">
        <v>27.4</v>
      </c>
      <c r="F19" s="1499"/>
      <c r="G19" s="1506">
        <v>0.6</v>
      </c>
      <c r="H19" s="1503">
        <f t="shared" ref="H19:H41" si="2">PRODUCT(C19:G19)</f>
        <v>16.440000000000001</v>
      </c>
    </row>
    <row r="20" spans="1:8">
      <c r="A20" s="1480"/>
      <c r="B20" s="1480" t="s">
        <v>6210</v>
      </c>
      <c r="C20" s="1480">
        <v>1</v>
      </c>
      <c r="D20" s="1480">
        <v>2</v>
      </c>
      <c r="E20" s="1502">
        <v>10</v>
      </c>
      <c r="F20" s="1499"/>
      <c r="G20" s="1506">
        <v>0.6</v>
      </c>
      <c r="H20" s="1503">
        <f t="shared" si="2"/>
        <v>12</v>
      </c>
    </row>
    <row r="21" spans="1:8">
      <c r="A21" s="1480"/>
      <c r="B21" s="1480" t="s">
        <v>6211</v>
      </c>
      <c r="C21" s="1480">
        <v>1</v>
      </c>
      <c r="D21" s="1480">
        <v>2</v>
      </c>
      <c r="E21" s="1502">
        <v>63.6</v>
      </c>
      <c r="F21" s="1499"/>
      <c r="G21" s="1506">
        <v>0.6</v>
      </c>
      <c r="H21" s="1503">
        <f t="shared" si="2"/>
        <v>76.319999999999993</v>
      </c>
    </row>
    <row r="22" spans="1:8">
      <c r="A22" s="1480"/>
      <c r="B22" s="1480"/>
      <c r="C22" s="1480"/>
      <c r="D22" s="1480"/>
      <c r="E22" s="1480"/>
      <c r="F22" s="1480"/>
      <c r="G22" s="1480"/>
      <c r="H22" s="1507">
        <f>+SUM(H19:H21)</f>
        <v>104.76</v>
      </c>
    </row>
    <row r="23" spans="1:8">
      <c r="A23" s="1480"/>
      <c r="B23" s="1480"/>
      <c r="C23" s="1480"/>
      <c r="D23" s="1480"/>
      <c r="E23" s="1480"/>
      <c r="F23" s="1480" t="s">
        <v>4322</v>
      </c>
      <c r="G23" s="1480" t="s">
        <v>2308</v>
      </c>
      <c r="H23" s="1504">
        <f>ROUNDUP(H22,1)</f>
        <v>104.8</v>
      </c>
    </row>
    <row r="24" spans="1:8">
      <c r="A24" s="1495">
        <v>33</v>
      </c>
      <c r="B24" s="1495" t="s">
        <v>6214</v>
      </c>
      <c r="C24" s="1480"/>
      <c r="D24" s="1480"/>
      <c r="E24" s="1480"/>
      <c r="F24" s="1480"/>
      <c r="G24" s="1480"/>
      <c r="H24" s="1480"/>
    </row>
    <row r="25" spans="1:8">
      <c r="A25" s="1495"/>
      <c r="B25" s="1495" t="s">
        <v>6215</v>
      </c>
      <c r="C25" s="1480"/>
      <c r="D25" s="1480"/>
      <c r="E25" s="1480"/>
      <c r="F25" s="1480"/>
      <c r="G25" s="1480"/>
      <c r="H25" s="1480"/>
    </row>
    <row r="26" spans="1:8" ht="30">
      <c r="A26" s="1495"/>
      <c r="B26" s="1501" t="s">
        <v>6209</v>
      </c>
      <c r="C26" s="1480">
        <v>1</v>
      </c>
      <c r="D26" s="1480">
        <v>1</v>
      </c>
      <c r="E26" s="1502">
        <v>27.4</v>
      </c>
      <c r="F26" s="1480"/>
      <c r="G26" s="1503">
        <v>0.83</v>
      </c>
      <c r="H26" s="1503">
        <f t="shared" ref="H26:H28" si="3">PRODUCT(C26:G26)</f>
        <v>22.74</v>
      </c>
    </row>
    <row r="27" spans="1:8">
      <c r="A27" s="1495"/>
      <c r="B27" s="1480" t="s">
        <v>6210</v>
      </c>
      <c r="C27" s="1480">
        <v>1</v>
      </c>
      <c r="D27" s="1480">
        <v>2</v>
      </c>
      <c r="E27" s="1502">
        <v>10</v>
      </c>
      <c r="F27" s="1480"/>
      <c r="G27" s="1503">
        <v>0.83</v>
      </c>
      <c r="H27" s="1503">
        <f t="shared" si="3"/>
        <v>16.600000000000001</v>
      </c>
    </row>
    <row r="28" spans="1:8">
      <c r="A28" s="1495"/>
      <c r="B28" s="1480" t="s">
        <v>6211</v>
      </c>
      <c r="C28" s="1480">
        <v>1</v>
      </c>
      <c r="D28" s="1480">
        <v>2</v>
      </c>
      <c r="E28" s="1502">
        <v>63.6</v>
      </c>
      <c r="F28" s="1480"/>
      <c r="G28" s="1503">
        <v>0.83</v>
      </c>
      <c r="H28" s="1503">
        <f t="shared" si="3"/>
        <v>105.58</v>
      </c>
    </row>
    <row r="29" spans="1:8">
      <c r="A29" s="1480"/>
      <c r="B29" s="1480"/>
      <c r="C29" s="1480"/>
      <c r="D29" s="1480"/>
      <c r="E29" s="1480"/>
      <c r="F29" s="1480"/>
      <c r="G29" s="1480"/>
      <c r="H29" s="1503">
        <f>+SUM(H26:H28)</f>
        <v>144.91999999999999</v>
      </c>
    </row>
    <row r="30" spans="1:8">
      <c r="A30" s="1480"/>
      <c r="B30" s="1480"/>
      <c r="C30" s="1480"/>
      <c r="D30" s="1480"/>
      <c r="E30" s="1480"/>
      <c r="F30" s="1480" t="s">
        <v>4322</v>
      </c>
      <c r="G30" s="1480" t="s">
        <v>2308</v>
      </c>
      <c r="H30" s="1504">
        <f>ROUNDUP(H29,1)</f>
        <v>145</v>
      </c>
    </row>
    <row r="31" spans="1:8" ht="30">
      <c r="A31" s="1480">
        <v>34</v>
      </c>
      <c r="B31" s="1498" t="s">
        <v>6216</v>
      </c>
      <c r="C31" s="1480"/>
      <c r="D31" s="1480"/>
      <c r="E31" s="1480"/>
      <c r="F31" s="1480"/>
      <c r="G31" s="1480"/>
      <c r="H31" s="1480"/>
    </row>
    <row r="32" spans="1:8">
      <c r="A32" s="1480"/>
      <c r="B32" s="1498" t="s">
        <v>6217</v>
      </c>
      <c r="C32" s="1480"/>
      <c r="D32" s="1480"/>
      <c r="E32" s="1480"/>
      <c r="F32" s="1480"/>
      <c r="G32" s="1480"/>
      <c r="H32" s="1480"/>
    </row>
    <row r="33" spans="1:8" ht="30">
      <c r="A33" s="1480"/>
      <c r="B33" s="1501" t="s">
        <v>6209</v>
      </c>
      <c r="C33" s="1480">
        <v>2</v>
      </c>
      <c r="D33" s="1480">
        <v>1</v>
      </c>
      <c r="E33" s="1502">
        <v>27.4</v>
      </c>
      <c r="F33" s="1480"/>
      <c r="G33" s="1503">
        <v>0.6</v>
      </c>
      <c r="H33" s="1503">
        <f t="shared" ref="H33:H35" si="4">PRODUCT(C33:G33)</f>
        <v>32.880000000000003</v>
      </c>
    </row>
    <row r="34" spans="1:8">
      <c r="A34" s="1480"/>
      <c r="B34" s="1480" t="s">
        <v>6210</v>
      </c>
      <c r="C34" s="1480">
        <v>2</v>
      </c>
      <c r="D34" s="1480">
        <v>2</v>
      </c>
      <c r="E34" s="1502">
        <v>10</v>
      </c>
      <c r="F34" s="1480"/>
      <c r="G34" s="1503">
        <v>0.6</v>
      </c>
      <c r="H34" s="1503">
        <f t="shared" si="4"/>
        <v>24</v>
      </c>
    </row>
    <row r="35" spans="1:8">
      <c r="A35" s="1480"/>
      <c r="B35" s="1480" t="s">
        <v>6211</v>
      </c>
      <c r="C35" s="1480">
        <v>2</v>
      </c>
      <c r="D35" s="1480">
        <v>2</v>
      </c>
      <c r="E35" s="1502">
        <v>63.6</v>
      </c>
      <c r="F35" s="1480"/>
      <c r="G35" s="1503">
        <v>0.6</v>
      </c>
      <c r="H35" s="1503">
        <f t="shared" si="4"/>
        <v>152.63999999999999</v>
      </c>
    </row>
    <row r="36" spans="1:8">
      <c r="A36" s="1480"/>
      <c r="B36" s="1480"/>
      <c r="C36" s="1480"/>
      <c r="D36" s="1480"/>
      <c r="E36" s="1480"/>
      <c r="F36" s="1480"/>
      <c r="G36" s="1480"/>
      <c r="H36" s="1503">
        <f>+SUM(H33:H35)</f>
        <v>209.52</v>
      </c>
    </row>
    <row r="37" spans="1:8">
      <c r="A37" s="1480"/>
      <c r="B37" s="1480"/>
      <c r="C37" s="1480"/>
      <c r="D37" s="1480"/>
      <c r="E37" s="1480"/>
      <c r="F37" s="1480" t="s">
        <v>4322</v>
      </c>
      <c r="G37" s="1480" t="s">
        <v>2308</v>
      </c>
      <c r="H37" s="1504">
        <f>ROUNDUP(H36,1)</f>
        <v>209.6</v>
      </c>
    </row>
    <row r="38" spans="1:8" ht="30">
      <c r="A38" s="1495">
        <v>28</v>
      </c>
      <c r="B38" s="1498" t="s">
        <v>6218</v>
      </c>
      <c r="C38" s="1480"/>
      <c r="D38" s="1480"/>
      <c r="E38" s="1480"/>
      <c r="F38" s="1480"/>
      <c r="G38" s="1480"/>
      <c r="H38" s="1480"/>
    </row>
    <row r="39" spans="1:8" ht="30">
      <c r="A39" s="1495"/>
      <c r="B39" s="1501" t="s">
        <v>6209</v>
      </c>
      <c r="C39" s="1480">
        <v>1</v>
      </c>
      <c r="D39" s="1480">
        <v>1</v>
      </c>
      <c r="E39" s="1502">
        <v>27.4</v>
      </c>
      <c r="F39" s="1480">
        <v>0.3</v>
      </c>
      <c r="G39" s="1480"/>
      <c r="H39" s="1503">
        <f t="shared" si="2"/>
        <v>8.2200000000000006</v>
      </c>
    </row>
    <row r="40" spans="1:8">
      <c r="A40" s="1495"/>
      <c r="B40" s="1480" t="s">
        <v>6210</v>
      </c>
      <c r="C40" s="1480">
        <v>1</v>
      </c>
      <c r="D40" s="1480">
        <v>1</v>
      </c>
      <c r="E40" s="1502">
        <v>10</v>
      </c>
      <c r="F40" s="1480">
        <v>0.3</v>
      </c>
      <c r="G40" s="1480"/>
      <c r="H40" s="1503">
        <f t="shared" si="2"/>
        <v>3</v>
      </c>
    </row>
    <row r="41" spans="1:8">
      <c r="A41" s="1495"/>
      <c r="B41" s="1480" t="s">
        <v>6211</v>
      </c>
      <c r="C41" s="1480">
        <v>1</v>
      </c>
      <c r="D41" s="1480">
        <v>1</v>
      </c>
      <c r="E41" s="1502">
        <v>63.6</v>
      </c>
      <c r="F41" s="1480">
        <v>0.3</v>
      </c>
      <c r="G41" s="1480"/>
      <c r="H41" s="1503">
        <f t="shared" si="2"/>
        <v>19.079999999999998</v>
      </c>
    </row>
    <row r="42" spans="1:8">
      <c r="A42" s="1480"/>
      <c r="B42" s="1480"/>
      <c r="C42" s="1480"/>
      <c r="D42" s="1480"/>
      <c r="E42" s="1480"/>
      <c r="F42" s="1480"/>
      <c r="G42" s="1480"/>
      <c r="H42" s="1507">
        <f>+SUM(H39:H41)</f>
        <v>30.3</v>
      </c>
    </row>
    <row r="43" spans="1:8">
      <c r="A43" s="1480"/>
      <c r="B43" s="1480"/>
      <c r="C43" s="1480"/>
      <c r="D43" s="1480"/>
      <c r="E43" s="1480"/>
      <c r="F43" s="1480" t="s">
        <v>4322</v>
      </c>
      <c r="G43" s="1480" t="s">
        <v>2308</v>
      </c>
      <c r="H43" s="1504">
        <f>ROUNDUP(H42,1)</f>
        <v>30.3</v>
      </c>
    </row>
  </sheetData>
  <mergeCells count="4">
    <mergeCell ref="A1:H1"/>
    <mergeCell ref="A2:H2"/>
    <mergeCell ref="B4:G4"/>
    <mergeCell ref="C5:D5"/>
  </mergeCells>
  <pageMargins left="0.7" right="0.7" top="0.75" bottom="0.75" header="0.3" footer="0.3"/>
  <pageSetup paperSize="9" orientation="portrait" horizontalDpi="300" verticalDpi="0" r:id="rId1"/>
</worksheet>
</file>

<file path=xl/worksheets/sheet21.xml><?xml version="1.0" encoding="utf-8"?>
<worksheet xmlns="http://schemas.openxmlformats.org/spreadsheetml/2006/main" xmlns:r="http://schemas.openxmlformats.org/officeDocument/2006/relationships">
  <sheetPr>
    <tabColor rgb="FFFFFF00"/>
  </sheetPr>
  <dimension ref="A1:H41"/>
  <sheetViews>
    <sheetView view="pageBreakPreview" topLeftCell="A10" zoomScaleSheetLayoutView="100" workbookViewId="0">
      <selection activeCell="E125" sqref="E125"/>
    </sheetView>
  </sheetViews>
  <sheetFormatPr defaultRowHeight="15.75"/>
  <cols>
    <col min="1" max="1" width="6.77734375" customWidth="1"/>
    <col min="2" max="2" width="24.88671875" customWidth="1"/>
  </cols>
  <sheetData>
    <row r="1" spans="1:8" ht="39.75" customHeight="1">
      <c r="A1" s="1934" t="str">
        <f>[10]OHT!A4</f>
        <v>Name of work : Construction of Fire and Rescue service station building with development works at Kadamalaikundu in Theni District.</v>
      </c>
      <c r="B1" s="1935"/>
      <c r="C1" s="1935"/>
      <c r="D1" s="1935"/>
      <c r="E1" s="1935"/>
      <c r="F1" s="1935"/>
      <c r="G1" s="1935"/>
      <c r="H1" s="1935"/>
    </row>
    <row r="2" spans="1:8">
      <c r="A2" s="1937" t="s">
        <v>6219</v>
      </c>
      <c r="B2" s="1937"/>
      <c r="C2" s="1937"/>
      <c r="D2" s="1937"/>
      <c r="E2" s="1937"/>
      <c r="F2" s="1937"/>
      <c r="G2" s="1937"/>
      <c r="H2" s="1937"/>
    </row>
    <row r="3" spans="1:8">
      <c r="A3" s="1937" t="s">
        <v>6220</v>
      </c>
      <c r="B3" s="1937"/>
      <c r="C3" s="1937"/>
      <c r="D3" s="1937"/>
      <c r="E3" s="1937"/>
      <c r="F3" s="1937"/>
      <c r="G3" s="1937"/>
      <c r="H3" s="1937"/>
    </row>
    <row r="4" spans="1:8" ht="18.75">
      <c r="A4" s="1508"/>
      <c r="B4" s="1964" t="s">
        <v>6221</v>
      </c>
      <c r="C4" s="1964"/>
      <c r="D4" s="1964"/>
      <c r="E4" s="1964"/>
      <c r="F4" s="1964"/>
      <c r="G4" s="1964"/>
      <c r="H4" s="1509"/>
    </row>
    <row r="5" spans="1:8">
      <c r="A5" s="1510" t="s">
        <v>6204</v>
      </c>
      <c r="B5" s="1510" t="s">
        <v>1802</v>
      </c>
      <c r="C5" s="1966" t="s">
        <v>1452</v>
      </c>
      <c r="D5" s="1966"/>
      <c r="E5" s="1511" t="s">
        <v>6205</v>
      </c>
      <c r="F5" s="1511" t="s">
        <v>3249</v>
      </c>
      <c r="G5" s="1511" t="s">
        <v>6206</v>
      </c>
      <c r="H5" s="1512" t="s">
        <v>6207</v>
      </c>
    </row>
    <row r="6" spans="1:8">
      <c r="A6" s="1495"/>
      <c r="B6" s="1495" t="s">
        <v>6222</v>
      </c>
      <c r="C6" s="1496"/>
      <c r="D6" s="1496"/>
      <c r="E6" s="1496"/>
      <c r="F6" s="1496"/>
      <c r="G6" s="1496"/>
      <c r="H6" s="1497"/>
    </row>
    <row r="7" spans="1:8">
      <c r="A7" s="1495"/>
      <c r="B7" s="1495" t="s">
        <v>6223</v>
      </c>
      <c r="C7" s="1496"/>
      <c r="D7" s="1496"/>
      <c r="E7" s="1496"/>
      <c r="F7" s="1496"/>
      <c r="G7" s="1496"/>
      <c r="H7" s="1497"/>
    </row>
    <row r="8" spans="1:8">
      <c r="A8" s="1495"/>
      <c r="B8" s="1495"/>
      <c r="C8" s="1496"/>
      <c r="D8" s="1496"/>
      <c r="E8" s="1496"/>
      <c r="F8" s="1496"/>
      <c r="G8" s="1496"/>
      <c r="H8" s="1497"/>
    </row>
    <row r="9" spans="1:8" ht="30">
      <c r="A9" s="1480">
        <v>1.5</v>
      </c>
      <c r="B9" s="1498" t="s">
        <v>6208</v>
      </c>
      <c r="C9" s="1499"/>
      <c r="D9" s="1499"/>
      <c r="E9" s="1499"/>
      <c r="F9" s="1499"/>
      <c r="G9" s="1499"/>
      <c r="H9" s="1500"/>
    </row>
    <row r="10" spans="1:8">
      <c r="A10" s="1480"/>
      <c r="B10" s="1501" t="s">
        <v>6224</v>
      </c>
      <c r="C10" s="1499">
        <v>1</v>
      </c>
      <c r="D10" s="1499">
        <v>1</v>
      </c>
      <c r="E10" s="1500">
        <v>63.6</v>
      </c>
      <c r="F10" s="1500">
        <v>7</v>
      </c>
      <c r="G10" s="1499">
        <v>0.38</v>
      </c>
      <c r="H10" s="1500">
        <f>PRODUCT(C10:G10)</f>
        <v>169.18</v>
      </c>
    </row>
    <row r="11" spans="1:8">
      <c r="A11" s="1480"/>
      <c r="B11" s="1480" t="s">
        <v>6225</v>
      </c>
      <c r="C11" s="1499">
        <v>1</v>
      </c>
      <c r="D11" s="1499">
        <v>1</v>
      </c>
      <c r="E11" s="1500">
        <v>16.5</v>
      </c>
      <c r="F11" s="1500">
        <v>10</v>
      </c>
      <c r="G11" s="1499">
        <v>0.38</v>
      </c>
      <c r="H11" s="1500">
        <f t="shared" ref="H11:H33" si="0">PRODUCT(C11:G11)</f>
        <v>62.7</v>
      </c>
    </row>
    <row r="12" spans="1:8">
      <c r="A12" s="1480"/>
      <c r="B12" s="1480"/>
      <c r="C12" s="1499"/>
      <c r="D12" s="1499"/>
      <c r="E12" s="1499"/>
      <c r="F12" s="1499"/>
      <c r="G12" s="1499"/>
      <c r="H12" s="1500">
        <f>+SUM(H10:H11)</f>
        <v>231.88</v>
      </c>
    </row>
    <row r="13" spans="1:8">
      <c r="A13" s="1480"/>
      <c r="B13" s="1480"/>
      <c r="C13" s="1499"/>
      <c r="D13" s="1499"/>
      <c r="E13" s="1499"/>
      <c r="F13" s="1499" t="s">
        <v>4322</v>
      </c>
      <c r="G13" s="1499" t="s">
        <v>2176</v>
      </c>
      <c r="H13" s="1497">
        <f>ROUNDUP(H12,1)</f>
        <v>231.9</v>
      </c>
    </row>
    <row r="14" spans="1:8" ht="30">
      <c r="A14" s="1495">
        <v>2</v>
      </c>
      <c r="B14" s="1498" t="s">
        <v>6226</v>
      </c>
      <c r="C14" s="1499"/>
      <c r="D14" s="1499"/>
      <c r="E14" s="1499"/>
      <c r="F14" s="1499"/>
      <c r="G14" s="1499"/>
      <c r="H14" s="1500"/>
    </row>
    <row r="15" spans="1:8">
      <c r="A15" s="1480"/>
      <c r="B15" s="1501" t="s">
        <v>6224</v>
      </c>
      <c r="C15" s="1499">
        <v>1</v>
      </c>
      <c r="D15" s="1499">
        <v>1</v>
      </c>
      <c r="E15" s="1500">
        <v>63.6</v>
      </c>
      <c r="F15" s="1500">
        <v>7</v>
      </c>
      <c r="G15" s="1499">
        <v>0.15</v>
      </c>
      <c r="H15" s="1500">
        <f t="shared" si="0"/>
        <v>66.78</v>
      </c>
    </row>
    <row r="16" spans="1:8">
      <c r="A16" s="1480"/>
      <c r="B16" s="1480" t="s">
        <v>6225</v>
      </c>
      <c r="C16" s="1499">
        <v>1</v>
      </c>
      <c r="D16" s="1499">
        <v>1</v>
      </c>
      <c r="E16" s="1500">
        <v>16.5</v>
      </c>
      <c r="F16" s="1500">
        <v>10</v>
      </c>
      <c r="G16" s="1499">
        <v>0.15</v>
      </c>
      <c r="H16" s="1500">
        <f t="shared" si="0"/>
        <v>24.75</v>
      </c>
    </row>
    <row r="17" spans="1:8">
      <c r="A17" s="1480"/>
      <c r="B17" s="1480"/>
      <c r="C17" s="1499"/>
      <c r="D17" s="1499"/>
      <c r="E17" s="1499"/>
      <c r="F17" s="1499"/>
      <c r="G17" s="1499"/>
      <c r="H17" s="1500">
        <f>+SUM(H15:H16)</f>
        <v>91.53</v>
      </c>
    </row>
    <row r="18" spans="1:8">
      <c r="A18" s="1480"/>
      <c r="B18" s="1480"/>
      <c r="C18" s="1499"/>
      <c r="D18" s="1499"/>
      <c r="E18" s="1499"/>
      <c r="F18" s="1499" t="s">
        <v>4322</v>
      </c>
      <c r="G18" s="1499" t="s">
        <v>2176</v>
      </c>
      <c r="H18" s="1497">
        <f>ROUNDUP(H17,1)</f>
        <v>91.6</v>
      </c>
    </row>
    <row r="19" spans="1:8">
      <c r="A19" s="1480"/>
      <c r="B19" s="1480"/>
      <c r="C19" s="1499"/>
      <c r="D19" s="1499"/>
      <c r="E19" s="1499"/>
      <c r="F19" s="1499"/>
      <c r="G19" s="1499"/>
      <c r="H19" s="1500"/>
    </row>
    <row r="20" spans="1:8" ht="30">
      <c r="A20" s="1495">
        <v>3</v>
      </c>
      <c r="B20" s="1498" t="s">
        <v>6227</v>
      </c>
      <c r="C20" s="1499"/>
      <c r="D20" s="1499"/>
      <c r="E20" s="1499"/>
      <c r="F20" s="1499"/>
      <c r="G20" s="1499"/>
      <c r="H20" s="1500"/>
    </row>
    <row r="21" spans="1:8">
      <c r="A21" s="1480"/>
      <c r="B21" s="1501" t="s">
        <v>6224</v>
      </c>
      <c r="C21" s="1499">
        <v>1</v>
      </c>
      <c r="D21" s="1499">
        <v>1</v>
      </c>
      <c r="E21" s="1500">
        <v>63.6</v>
      </c>
      <c r="F21" s="1500">
        <v>7</v>
      </c>
      <c r="G21" s="1499">
        <v>0.15</v>
      </c>
      <c r="H21" s="1500">
        <f t="shared" ref="H21:H22" si="1">PRODUCT(C21:G21)</f>
        <v>66.78</v>
      </c>
    </row>
    <row r="22" spans="1:8">
      <c r="A22" s="1480"/>
      <c r="B22" s="1480" t="s">
        <v>6225</v>
      </c>
      <c r="C22" s="1499">
        <v>1</v>
      </c>
      <c r="D22" s="1499">
        <v>1</v>
      </c>
      <c r="E22" s="1500">
        <v>16.5</v>
      </c>
      <c r="F22" s="1500">
        <v>10</v>
      </c>
      <c r="G22" s="1499">
        <v>0.15</v>
      </c>
      <c r="H22" s="1500">
        <f t="shared" si="1"/>
        <v>24.75</v>
      </c>
    </row>
    <row r="23" spans="1:8">
      <c r="A23" s="1480"/>
      <c r="B23" s="1480"/>
      <c r="C23" s="1499"/>
      <c r="D23" s="1499"/>
      <c r="E23" s="1499"/>
      <c r="F23" s="1499"/>
      <c r="G23" s="1499"/>
      <c r="H23" s="1500">
        <f>+SUM(H21:H22)</f>
        <v>91.53</v>
      </c>
    </row>
    <row r="24" spans="1:8">
      <c r="A24" s="1480"/>
      <c r="B24" s="1480"/>
      <c r="C24" s="1499"/>
      <c r="D24" s="1499"/>
      <c r="E24" s="1499"/>
      <c r="F24" s="1499" t="s">
        <v>4322</v>
      </c>
      <c r="G24" s="1499" t="s">
        <v>2176</v>
      </c>
      <c r="H24" s="1497">
        <f>ROUNDUP(H23,1)</f>
        <v>91.6</v>
      </c>
    </row>
    <row r="25" spans="1:8">
      <c r="A25" s="1480"/>
      <c r="B25" s="1480"/>
      <c r="C25" s="1499"/>
      <c r="D25" s="1499"/>
      <c r="E25" s="1499"/>
      <c r="F25" s="1499"/>
      <c r="G25" s="1499"/>
      <c r="H25" s="1497"/>
    </row>
    <row r="26" spans="1:8" ht="75">
      <c r="A26" s="1495">
        <v>4</v>
      </c>
      <c r="B26" s="1498" t="s">
        <v>6228</v>
      </c>
      <c r="C26" s="1499"/>
      <c r="D26" s="1499"/>
      <c r="E26" s="1499"/>
      <c r="F26" s="1499"/>
      <c r="G26" s="1499"/>
      <c r="H26" s="1500"/>
    </row>
    <row r="27" spans="1:8">
      <c r="A27" s="1480"/>
      <c r="B27" s="1501" t="s">
        <v>6224</v>
      </c>
      <c r="C27" s="1499">
        <v>1</v>
      </c>
      <c r="D27" s="1499">
        <v>1</v>
      </c>
      <c r="E27" s="1500">
        <v>63.6</v>
      </c>
      <c r="F27" s="1500">
        <v>7</v>
      </c>
      <c r="G27" s="1499"/>
      <c r="H27" s="1500">
        <f t="shared" si="0"/>
        <v>445.2</v>
      </c>
    </row>
    <row r="28" spans="1:8">
      <c r="A28" s="1480"/>
      <c r="B28" s="1480" t="s">
        <v>6225</v>
      </c>
      <c r="C28" s="1499">
        <v>1</v>
      </c>
      <c r="D28" s="1499">
        <v>1</v>
      </c>
      <c r="E28" s="1500">
        <v>16.5</v>
      </c>
      <c r="F28" s="1500">
        <v>10</v>
      </c>
      <c r="G28" s="1499"/>
      <c r="H28" s="1500">
        <f t="shared" si="0"/>
        <v>165</v>
      </c>
    </row>
    <row r="29" spans="1:8">
      <c r="A29" s="1480"/>
      <c r="B29" s="1480"/>
      <c r="C29" s="1499"/>
      <c r="D29" s="1499"/>
      <c r="E29" s="1499"/>
      <c r="F29" s="1499"/>
      <c r="G29" s="1499"/>
      <c r="H29" s="1500">
        <f>+SUM(H27:H28)</f>
        <v>610.20000000000005</v>
      </c>
    </row>
    <row r="30" spans="1:8">
      <c r="A30" s="1480"/>
      <c r="B30" s="1480"/>
      <c r="C30" s="1499"/>
      <c r="D30" s="1499"/>
      <c r="E30" s="1499"/>
      <c r="F30" s="1499" t="s">
        <v>4322</v>
      </c>
      <c r="G30" s="1499" t="s">
        <v>2308</v>
      </c>
      <c r="H30" s="1497">
        <f>ROUNDUP(H29,1)</f>
        <v>610.20000000000005</v>
      </c>
    </row>
    <row r="31" spans="1:8">
      <c r="A31" s="1495">
        <v>50.2</v>
      </c>
      <c r="B31" s="1495" t="s">
        <v>6229</v>
      </c>
      <c r="C31" s="1499"/>
      <c r="D31" s="1499"/>
      <c r="E31" s="1499"/>
      <c r="F31" s="1499"/>
      <c r="G31" s="1499"/>
      <c r="H31" s="1500"/>
    </row>
    <row r="32" spans="1:8">
      <c r="A32" s="1480"/>
      <c r="B32" s="1501" t="s">
        <v>6224</v>
      </c>
      <c r="C32" s="1499">
        <v>1</v>
      </c>
      <c r="D32" s="1499">
        <v>2</v>
      </c>
      <c r="E32" s="1500">
        <v>63.6</v>
      </c>
      <c r="F32" s="1499"/>
      <c r="G32" s="1499"/>
      <c r="H32" s="1500">
        <f t="shared" si="0"/>
        <v>127.2</v>
      </c>
    </row>
    <row r="33" spans="1:8">
      <c r="A33" s="1480"/>
      <c r="B33" s="1480" t="s">
        <v>6225</v>
      </c>
      <c r="C33" s="1499">
        <v>1</v>
      </c>
      <c r="D33" s="1499">
        <v>1</v>
      </c>
      <c r="E33" s="1500">
        <v>20</v>
      </c>
      <c r="F33" s="1499"/>
      <c r="G33" s="1499"/>
      <c r="H33" s="1500">
        <f t="shared" si="0"/>
        <v>20</v>
      </c>
    </row>
    <row r="34" spans="1:8">
      <c r="A34" s="1480"/>
      <c r="B34" s="1480"/>
      <c r="C34" s="1499"/>
      <c r="D34" s="1499"/>
      <c r="E34" s="1499"/>
      <c r="F34" s="1499"/>
      <c r="G34" s="1499"/>
      <c r="H34" s="1505">
        <f>+SUM(H32:H33)</f>
        <v>147.19999999999999</v>
      </c>
    </row>
    <row r="35" spans="1:8">
      <c r="A35" s="1480"/>
      <c r="B35" s="1480"/>
      <c r="C35" s="1499"/>
      <c r="D35" s="1499"/>
      <c r="E35" s="1499"/>
      <c r="F35" s="1499" t="s">
        <v>4322</v>
      </c>
      <c r="G35" s="1499" t="s">
        <v>835</v>
      </c>
      <c r="H35" s="1497">
        <f>ROUNDUP(H34,1)</f>
        <v>147.19999999999999</v>
      </c>
    </row>
    <row r="36" spans="1:8" ht="30">
      <c r="A36" s="1480">
        <v>41</v>
      </c>
      <c r="B36" s="1513" t="s">
        <v>6230</v>
      </c>
      <c r="C36" s="1499"/>
      <c r="D36" s="1499"/>
      <c r="E36" s="1499"/>
      <c r="F36" s="1499"/>
      <c r="G36" s="1499"/>
      <c r="H36" s="1500"/>
    </row>
    <row r="37" spans="1:8">
      <c r="A37" s="1480"/>
      <c r="B37" s="1513" t="s">
        <v>6231</v>
      </c>
      <c r="C37" s="1499"/>
      <c r="D37" s="1499"/>
      <c r="E37" s="1499"/>
      <c r="F37" s="1499"/>
      <c r="G37" s="1499"/>
      <c r="H37" s="1500"/>
    </row>
    <row r="38" spans="1:8">
      <c r="A38" s="1480"/>
      <c r="B38" s="1501" t="s">
        <v>6224</v>
      </c>
      <c r="C38" s="1499">
        <v>1</v>
      </c>
      <c r="D38" s="1499">
        <v>2</v>
      </c>
      <c r="E38" s="1500">
        <v>63.6</v>
      </c>
      <c r="F38" s="1499"/>
      <c r="G38" s="1499">
        <v>0.45</v>
      </c>
      <c r="H38" s="1500">
        <f t="shared" ref="H38:H39" si="2">PRODUCT(C38:G38)</f>
        <v>57.24</v>
      </c>
    </row>
    <row r="39" spans="1:8">
      <c r="A39" s="1480"/>
      <c r="B39" s="1480" t="s">
        <v>6225</v>
      </c>
      <c r="C39" s="1499">
        <v>1</v>
      </c>
      <c r="D39" s="1499">
        <v>1</v>
      </c>
      <c r="E39" s="1500">
        <v>20</v>
      </c>
      <c r="F39" s="1499"/>
      <c r="G39" s="1499">
        <v>0.45</v>
      </c>
      <c r="H39" s="1500">
        <f t="shared" si="2"/>
        <v>9</v>
      </c>
    </row>
    <row r="40" spans="1:8">
      <c r="A40" s="1480"/>
      <c r="B40" s="1480"/>
      <c r="C40" s="1499"/>
      <c r="D40" s="1499"/>
      <c r="E40" s="1499"/>
      <c r="F40" s="1499"/>
      <c r="G40" s="1499"/>
      <c r="H40" s="1500">
        <f>+SUM(H38:H39)</f>
        <v>66.239999999999995</v>
      </c>
    </row>
    <row r="41" spans="1:8">
      <c r="A41" s="1480"/>
      <c r="B41" s="1480"/>
      <c r="C41" s="1499"/>
      <c r="D41" s="1499"/>
      <c r="E41" s="1499"/>
      <c r="F41" s="1499" t="s">
        <v>4322</v>
      </c>
      <c r="G41" s="1499" t="s">
        <v>2308</v>
      </c>
      <c r="H41" s="1497">
        <f>ROUNDUP(H40,1)</f>
        <v>66.3</v>
      </c>
    </row>
  </sheetData>
  <mergeCells count="5">
    <mergeCell ref="A1:H1"/>
    <mergeCell ref="A2:H2"/>
    <mergeCell ref="A3:H3"/>
    <mergeCell ref="B4:G4"/>
    <mergeCell ref="C5:D5"/>
  </mergeCells>
  <pageMargins left="0.7" right="0.7" top="0.75" bottom="0.75" header="0.3" footer="0.3"/>
  <pageSetup paperSize="9" scale="86" orientation="portrait" horizontalDpi="300" verticalDpi="0" r:id="rId1"/>
</worksheet>
</file>

<file path=xl/worksheets/sheet22.xml><?xml version="1.0" encoding="utf-8"?>
<worksheet xmlns="http://schemas.openxmlformats.org/spreadsheetml/2006/main" xmlns:r="http://schemas.openxmlformats.org/officeDocument/2006/relationships">
  <sheetPr>
    <tabColor rgb="FFFFC000"/>
  </sheetPr>
  <dimension ref="A1:H50"/>
  <sheetViews>
    <sheetView view="pageBreakPreview" topLeftCell="A43" zoomScale="130" zoomScaleSheetLayoutView="130" workbookViewId="0">
      <selection activeCell="E125" sqref="E125"/>
    </sheetView>
  </sheetViews>
  <sheetFormatPr defaultRowHeight="15.75"/>
  <cols>
    <col min="1" max="1" width="6.77734375" style="699" customWidth="1"/>
    <col min="2" max="2" width="24.88671875" style="699" customWidth="1"/>
    <col min="3" max="4" width="5.6640625" style="699" customWidth="1"/>
    <col min="5" max="8" width="8.88671875" style="699"/>
  </cols>
  <sheetData>
    <row r="1" spans="1:8" ht="39.75" customHeight="1">
      <c r="A1" s="1967" t="str">
        <f>[10]OHT!A4</f>
        <v>Name of work : Construction of Fire and Rescue service station building with development works at Kadamalaikundu in Theni District.</v>
      </c>
      <c r="B1" s="1968"/>
      <c r="C1" s="1968"/>
      <c r="D1" s="1968"/>
      <c r="E1" s="1968"/>
      <c r="F1" s="1968"/>
      <c r="G1" s="1968"/>
      <c r="H1" s="1968"/>
    </row>
    <row r="2" spans="1:8">
      <c r="A2" s="1969" t="s">
        <v>6219</v>
      </c>
      <c r="B2" s="1969"/>
      <c r="C2" s="1969"/>
      <c r="D2" s="1969"/>
      <c r="E2" s="1969"/>
      <c r="F2" s="1969"/>
      <c r="G2" s="1969"/>
      <c r="H2" s="1969"/>
    </row>
    <row r="3" spans="1:8">
      <c r="A3" s="1969" t="s">
        <v>6418</v>
      </c>
      <c r="B3" s="1969"/>
      <c r="C3" s="1969"/>
      <c r="D3" s="1969"/>
      <c r="E3" s="1969"/>
      <c r="F3" s="1969"/>
      <c r="G3" s="1969"/>
      <c r="H3" s="1969"/>
    </row>
    <row r="4" spans="1:8" ht="18">
      <c r="A4" s="1770"/>
      <c r="B4" s="1970"/>
      <c r="C4" s="1970"/>
      <c r="D4" s="1970"/>
      <c r="E4" s="1970"/>
      <c r="F4" s="1970"/>
      <c r="G4" s="1970"/>
      <c r="H4" s="1771"/>
    </row>
    <row r="5" spans="1:8" ht="43.5">
      <c r="A5" s="1772">
        <v>1.5</v>
      </c>
      <c r="B5" s="1773" t="s">
        <v>6419</v>
      </c>
      <c r="C5" s="1772"/>
      <c r="D5" s="1772"/>
      <c r="E5" s="1772"/>
      <c r="F5" s="1772"/>
      <c r="G5" s="1772"/>
      <c r="H5" s="1774"/>
    </row>
    <row r="6" spans="1:8">
      <c r="A6" s="1775"/>
      <c r="B6" s="1776" t="s">
        <v>6420</v>
      </c>
      <c r="C6" s="1775">
        <v>1</v>
      </c>
      <c r="D6" s="1775">
        <v>1</v>
      </c>
      <c r="E6" s="1777">
        <v>7.2</v>
      </c>
      <c r="F6" s="1777">
        <v>2.4</v>
      </c>
      <c r="G6" s="1775">
        <v>0.9</v>
      </c>
      <c r="H6" s="1778">
        <f>PRODUCT(C6:G6)</f>
        <v>15.55</v>
      </c>
    </row>
    <row r="7" spans="1:8">
      <c r="A7" s="1772"/>
      <c r="B7" s="1774"/>
      <c r="C7" s="1772"/>
      <c r="D7" s="1772"/>
      <c r="E7" s="1779"/>
      <c r="F7" s="1779" t="s">
        <v>4322</v>
      </c>
      <c r="G7" s="1780">
        <f>ROUNDUP(H6,1)</f>
        <v>15.6</v>
      </c>
      <c r="H7" s="1781" t="s">
        <v>6441</v>
      </c>
    </row>
    <row r="8" spans="1:8">
      <c r="A8" s="1772">
        <v>3.1</v>
      </c>
      <c r="B8" s="1774" t="s">
        <v>6421</v>
      </c>
      <c r="C8" s="1772"/>
      <c r="D8" s="1772"/>
      <c r="E8" s="1772"/>
      <c r="F8" s="1772"/>
      <c r="G8" s="1772"/>
      <c r="H8" s="1774"/>
    </row>
    <row r="9" spans="1:8">
      <c r="A9" s="1775"/>
      <c r="B9" s="1776" t="s">
        <v>6420</v>
      </c>
      <c r="C9" s="1775">
        <v>1</v>
      </c>
      <c r="D9" s="1775">
        <v>1</v>
      </c>
      <c r="E9" s="1777">
        <v>7.2</v>
      </c>
      <c r="F9" s="1777">
        <v>2.4</v>
      </c>
      <c r="G9" s="1775">
        <v>0.15</v>
      </c>
      <c r="H9" s="1778">
        <f>PRODUCT(C9:G9)</f>
        <v>2.59</v>
      </c>
    </row>
    <row r="10" spans="1:8">
      <c r="A10" s="1772"/>
      <c r="B10" s="1774"/>
      <c r="C10" s="1772"/>
      <c r="D10" s="1772"/>
      <c r="E10" s="1779"/>
      <c r="F10" s="1779" t="s">
        <v>4322</v>
      </c>
      <c r="G10" s="1780">
        <f>ROUNDUP(H9,1)</f>
        <v>2.6</v>
      </c>
      <c r="H10" s="1781" t="s">
        <v>6441</v>
      </c>
    </row>
    <row r="11" spans="1:8" ht="29.25">
      <c r="A11" s="1772">
        <v>4.0999999999999996</v>
      </c>
      <c r="B11" s="1773" t="s">
        <v>6422</v>
      </c>
      <c r="C11" s="1772"/>
      <c r="D11" s="1772"/>
      <c r="E11" s="1772"/>
      <c r="F11" s="1772"/>
      <c r="G11" s="1772"/>
      <c r="H11" s="1774"/>
    </row>
    <row r="12" spans="1:8">
      <c r="A12" s="1775"/>
      <c r="B12" s="1776" t="s">
        <v>6423</v>
      </c>
      <c r="C12" s="1775">
        <v>1</v>
      </c>
      <c r="D12" s="1775">
        <v>1</v>
      </c>
      <c r="E12" s="1777">
        <v>7.2</v>
      </c>
      <c r="F12" s="1777">
        <v>1.5</v>
      </c>
      <c r="G12" s="1775">
        <v>0.25</v>
      </c>
      <c r="H12" s="1778">
        <f>PRODUCT(C12:G12)</f>
        <v>2.7</v>
      </c>
    </row>
    <row r="13" spans="1:8">
      <c r="A13" s="1772"/>
      <c r="B13" s="1774"/>
      <c r="C13" s="1772"/>
      <c r="D13" s="1772"/>
      <c r="E13" s="1779"/>
      <c r="F13" s="1779" t="s">
        <v>4322</v>
      </c>
      <c r="G13" s="1780">
        <f>ROUNDUP(H12,1)</f>
        <v>2.7</v>
      </c>
      <c r="H13" s="1781" t="s">
        <v>6441</v>
      </c>
    </row>
    <row r="14" spans="1:8">
      <c r="A14" s="1772">
        <v>5</v>
      </c>
      <c r="B14" s="1774" t="s">
        <v>6438</v>
      </c>
      <c r="C14" s="1772"/>
      <c r="D14" s="1772"/>
      <c r="E14" s="1772"/>
      <c r="F14" s="1772"/>
      <c r="G14" s="1772"/>
      <c r="H14" s="1774"/>
    </row>
    <row r="15" spans="1:8">
      <c r="A15" s="1775"/>
      <c r="B15" s="1776" t="s">
        <v>6424</v>
      </c>
      <c r="C15" s="1775">
        <v>1</v>
      </c>
      <c r="D15" s="1775">
        <v>2</v>
      </c>
      <c r="E15" s="1777">
        <v>7.2</v>
      </c>
      <c r="F15" s="1777">
        <v>0.6</v>
      </c>
      <c r="G15" s="1775">
        <v>0.45</v>
      </c>
      <c r="H15" s="1778">
        <f t="shared" ref="H15:H17" si="0">PRODUCT(C15:G15)</f>
        <v>3.89</v>
      </c>
    </row>
    <row r="16" spans="1:8">
      <c r="A16" s="1775"/>
      <c r="B16" s="1776" t="s">
        <v>6425</v>
      </c>
      <c r="C16" s="1775">
        <v>1</v>
      </c>
      <c r="D16" s="1775">
        <v>2</v>
      </c>
      <c r="E16" s="1777">
        <v>7.2</v>
      </c>
      <c r="F16" s="1777">
        <v>0.45</v>
      </c>
      <c r="G16" s="1775">
        <v>0.45</v>
      </c>
      <c r="H16" s="1778">
        <f t="shared" si="0"/>
        <v>2.92</v>
      </c>
    </row>
    <row r="17" spans="1:8">
      <c r="A17" s="1775"/>
      <c r="B17" s="1776" t="s">
        <v>6426</v>
      </c>
      <c r="C17" s="1775">
        <v>1</v>
      </c>
      <c r="D17" s="1775">
        <v>2</v>
      </c>
      <c r="E17" s="1777">
        <v>7.2</v>
      </c>
      <c r="F17" s="1777">
        <v>0.3</v>
      </c>
      <c r="G17" s="1775">
        <v>0.6</v>
      </c>
      <c r="H17" s="1778">
        <f t="shared" si="0"/>
        <v>2.59</v>
      </c>
    </row>
    <row r="18" spans="1:8">
      <c r="A18" s="1775"/>
      <c r="B18" s="1776"/>
      <c r="C18" s="1775"/>
      <c r="D18" s="1775"/>
      <c r="E18" s="1777"/>
      <c r="F18" s="1777"/>
      <c r="G18" s="1782"/>
      <c r="H18" s="1783">
        <f>SUM(H15:H17)</f>
        <v>9.4</v>
      </c>
    </row>
    <row r="19" spans="1:8">
      <c r="A19" s="1772"/>
      <c r="B19" s="1774"/>
      <c r="C19" s="1772"/>
      <c r="D19" s="1772"/>
      <c r="E19" s="1779"/>
      <c r="F19" s="1779" t="s">
        <v>4322</v>
      </c>
      <c r="G19" s="1780">
        <f>ROUNDUP(H18,1)</f>
        <v>9.4</v>
      </c>
      <c r="H19" s="1781" t="s">
        <v>6441</v>
      </c>
    </row>
    <row r="20" spans="1:8" ht="29.25">
      <c r="A20" s="1772">
        <v>6.5</v>
      </c>
      <c r="B20" s="1773" t="s">
        <v>6427</v>
      </c>
      <c r="C20" s="1772"/>
      <c r="D20" s="1772"/>
      <c r="E20" s="1772"/>
      <c r="F20" s="1772"/>
      <c r="G20" s="1772"/>
      <c r="H20" s="1774"/>
    </row>
    <row r="21" spans="1:8">
      <c r="A21" s="1775"/>
      <c r="B21" s="1776" t="s">
        <v>6428</v>
      </c>
      <c r="C21" s="1775">
        <v>1</v>
      </c>
      <c r="D21" s="1775">
        <v>2</v>
      </c>
      <c r="E21" s="1777">
        <v>1.5</v>
      </c>
      <c r="F21" s="1777">
        <v>0.23</v>
      </c>
      <c r="G21" s="1775">
        <v>0.9</v>
      </c>
      <c r="H21" s="1778">
        <f>PRODUCT(C21:G21)</f>
        <v>0.62</v>
      </c>
    </row>
    <row r="22" spans="1:8">
      <c r="A22" s="1772"/>
      <c r="B22" s="1774"/>
      <c r="C22" s="1772"/>
      <c r="D22" s="1772"/>
      <c r="E22" s="1779"/>
      <c r="F22" s="1779" t="s">
        <v>4322</v>
      </c>
      <c r="G22" s="1780">
        <f>ROUNDUP(H21,1)</f>
        <v>0.7</v>
      </c>
      <c r="H22" s="1781" t="s">
        <v>6441</v>
      </c>
    </row>
    <row r="23" spans="1:8" ht="29.25">
      <c r="A23" s="1772">
        <v>18.100000000000001</v>
      </c>
      <c r="B23" s="1773" t="s">
        <v>6429</v>
      </c>
      <c r="C23" s="1772"/>
      <c r="D23" s="1772"/>
      <c r="E23" s="1772"/>
      <c r="F23" s="1772"/>
      <c r="G23" s="1772"/>
      <c r="H23" s="1774"/>
    </row>
    <row r="24" spans="1:8" ht="43.5">
      <c r="A24" s="1772"/>
      <c r="B24" s="1773" t="s">
        <v>6430</v>
      </c>
      <c r="C24" s="1772"/>
      <c r="D24" s="1772"/>
      <c r="E24" s="1772"/>
      <c r="F24" s="1772"/>
      <c r="G24" s="1772"/>
      <c r="H24" s="1774"/>
    </row>
    <row r="25" spans="1:8">
      <c r="A25" s="1775"/>
      <c r="B25" s="1776" t="s">
        <v>6431</v>
      </c>
      <c r="C25" s="1775">
        <v>1</v>
      </c>
      <c r="D25" s="1775">
        <v>1</v>
      </c>
      <c r="E25" s="1777">
        <v>17.399999999999999</v>
      </c>
      <c r="F25" s="1777"/>
      <c r="G25" s="1777">
        <v>0.25</v>
      </c>
      <c r="H25" s="1778">
        <f>PRODUCT(C25:G25)</f>
        <v>4.3499999999999996</v>
      </c>
    </row>
    <row r="26" spans="1:8">
      <c r="A26" s="1775"/>
      <c r="B26" s="1776"/>
      <c r="C26" s="1775"/>
      <c r="D26" s="1775"/>
      <c r="E26" s="1777"/>
      <c r="F26" s="1777"/>
      <c r="G26" s="1784"/>
      <c r="H26" s="1783">
        <f>SUM(H25:H25)</f>
        <v>4.3499999999999996</v>
      </c>
    </row>
    <row r="27" spans="1:8">
      <c r="A27" s="1772"/>
      <c r="B27" s="1774"/>
      <c r="C27" s="1772"/>
      <c r="D27" s="1772"/>
      <c r="E27" s="1779"/>
      <c r="F27" s="1779" t="s">
        <v>4322</v>
      </c>
      <c r="G27" s="1780">
        <f>ROUNDUP(H26,1)</f>
        <v>4.4000000000000004</v>
      </c>
      <c r="H27" s="1781" t="s">
        <v>6441</v>
      </c>
    </row>
    <row r="28" spans="1:8" ht="72">
      <c r="A28" s="1772"/>
      <c r="B28" s="1773" t="s">
        <v>6432</v>
      </c>
      <c r="C28" s="1772"/>
      <c r="D28" s="1772"/>
      <c r="E28" s="1772"/>
      <c r="F28" s="1772"/>
      <c r="G28" s="1772"/>
      <c r="H28" s="1774"/>
    </row>
    <row r="29" spans="1:8">
      <c r="A29" s="1775"/>
      <c r="B29" s="1776" t="s">
        <v>4011</v>
      </c>
      <c r="C29" s="1775">
        <v>1</v>
      </c>
      <c r="D29" s="1775">
        <v>1</v>
      </c>
      <c r="E29" s="1777">
        <v>7.2</v>
      </c>
      <c r="F29" s="1777">
        <v>0.9</v>
      </c>
      <c r="G29" s="1777"/>
      <c r="H29" s="1778">
        <f>SUM(C29*D29*E29*F29)</f>
        <v>6.48</v>
      </c>
    </row>
    <row r="30" spans="1:8">
      <c r="A30" s="1772"/>
      <c r="B30" s="1774"/>
      <c r="C30" s="1772"/>
      <c r="D30" s="1772"/>
      <c r="E30" s="1779"/>
      <c r="F30" s="1779" t="s">
        <v>4322</v>
      </c>
      <c r="G30" s="1780">
        <f>ROUNDUP(H29,1)</f>
        <v>6.5</v>
      </c>
      <c r="H30" s="1781" t="s">
        <v>6441</v>
      </c>
    </row>
    <row r="31" spans="1:8">
      <c r="A31" s="1772"/>
      <c r="B31" s="1774" t="s">
        <v>6081</v>
      </c>
      <c r="C31" s="1772"/>
      <c r="D31" s="1772"/>
      <c r="E31" s="1779"/>
      <c r="F31" s="1779"/>
      <c r="G31" s="1785"/>
      <c r="H31" s="1781"/>
    </row>
    <row r="32" spans="1:8">
      <c r="A32" s="1772"/>
      <c r="B32" s="1774" t="s">
        <v>6439</v>
      </c>
      <c r="C32" s="1772">
        <v>2</v>
      </c>
      <c r="D32" s="1772">
        <v>2</v>
      </c>
      <c r="E32" s="1779">
        <v>7.2</v>
      </c>
      <c r="F32" s="1779"/>
      <c r="G32" s="1785">
        <v>1.5</v>
      </c>
      <c r="H32" s="1778">
        <f t="shared" ref="H32:H35" si="1">PRODUCT(C32:G32)</f>
        <v>43.2</v>
      </c>
    </row>
    <row r="33" spans="1:8">
      <c r="A33" s="1772"/>
      <c r="B33" s="1774" t="s">
        <v>6439</v>
      </c>
      <c r="C33" s="1772">
        <v>2</v>
      </c>
      <c r="D33" s="1772">
        <v>2</v>
      </c>
      <c r="E33" s="1779">
        <v>0.6</v>
      </c>
      <c r="F33" s="1779"/>
      <c r="G33" s="1785">
        <v>0.45</v>
      </c>
      <c r="H33" s="1778">
        <f t="shared" si="1"/>
        <v>1.08</v>
      </c>
    </row>
    <row r="34" spans="1:8">
      <c r="A34" s="1772"/>
      <c r="B34" s="1774" t="s">
        <v>6439</v>
      </c>
      <c r="C34" s="1772">
        <v>2</v>
      </c>
      <c r="D34" s="1772">
        <v>2</v>
      </c>
      <c r="E34" s="1779">
        <v>0.45</v>
      </c>
      <c r="F34" s="1779"/>
      <c r="G34" s="1785">
        <v>0.45</v>
      </c>
      <c r="H34" s="1778">
        <f t="shared" si="1"/>
        <v>0.81</v>
      </c>
    </row>
    <row r="35" spans="1:8">
      <c r="A35" s="1772"/>
      <c r="B35" s="1774"/>
      <c r="C35" s="1772">
        <v>2</v>
      </c>
      <c r="D35" s="1772">
        <v>2</v>
      </c>
      <c r="E35" s="1779">
        <v>0.3</v>
      </c>
      <c r="F35" s="1779"/>
      <c r="G35" s="1785">
        <v>0.6</v>
      </c>
      <c r="H35" s="1778">
        <f t="shared" si="1"/>
        <v>0.72</v>
      </c>
    </row>
    <row r="36" spans="1:8">
      <c r="A36" s="1772"/>
      <c r="B36" s="1774"/>
      <c r="C36" s="1772"/>
      <c r="D36" s="1772"/>
      <c r="E36" s="1779"/>
      <c r="F36" s="1779"/>
      <c r="G36" s="1785"/>
      <c r="H36" s="1786">
        <f>SUM(H32:H35)</f>
        <v>45.81</v>
      </c>
    </row>
    <row r="37" spans="1:8">
      <c r="A37" s="1772"/>
      <c r="B37" s="1774"/>
      <c r="C37" s="1772"/>
      <c r="D37" s="1772"/>
      <c r="E37" s="1779"/>
      <c r="F37" s="1779" t="s">
        <v>4322</v>
      </c>
      <c r="G37" s="1780">
        <f>ROUNDUP(H36,1)</f>
        <v>45.9</v>
      </c>
      <c r="H37" s="1781" t="s">
        <v>4616</v>
      </c>
    </row>
    <row r="38" spans="1:8">
      <c r="A38" s="1772">
        <v>33</v>
      </c>
      <c r="B38" s="1774" t="s">
        <v>6433</v>
      </c>
      <c r="C38" s="1772"/>
      <c r="D38" s="1772"/>
      <c r="E38" s="1772"/>
      <c r="F38" s="1772"/>
      <c r="G38" s="1772"/>
      <c r="H38" s="1774"/>
    </row>
    <row r="39" spans="1:8">
      <c r="A39" s="1775"/>
      <c r="B39" s="1776" t="s">
        <v>6428</v>
      </c>
      <c r="C39" s="1775">
        <v>2</v>
      </c>
      <c r="D39" s="1775">
        <v>2</v>
      </c>
      <c r="E39" s="1777">
        <v>1.5</v>
      </c>
      <c r="F39" s="1777"/>
      <c r="G39" s="1777">
        <v>0.9</v>
      </c>
      <c r="H39" s="1778">
        <f t="shared" ref="H39:H40" si="2">PRODUCT(C39:G39)</f>
        <v>5.4</v>
      </c>
    </row>
    <row r="40" spans="1:8">
      <c r="A40" s="1775"/>
      <c r="B40" s="1776" t="s">
        <v>6440</v>
      </c>
      <c r="C40" s="1775">
        <v>2</v>
      </c>
      <c r="D40" s="1775">
        <v>1</v>
      </c>
      <c r="E40" s="1777">
        <v>3.3</v>
      </c>
      <c r="F40" s="1777"/>
      <c r="G40" s="1784">
        <v>0.23</v>
      </c>
      <c r="H40" s="1778">
        <f t="shared" si="2"/>
        <v>1.52</v>
      </c>
    </row>
    <row r="41" spans="1:8">
      <c r="A41" s="1775"/>
      <c r="B41" s="1776"/>
      <c r="C41" s="1775"/>
      <c r="D41" s="1775"/>
      <c r="E41" s="1777"/>
      <c r="F41" s="1777"/>
      <c r="G41" s="1784"/>
      <c r="H41" s="1783">
        <f>SUM(H39:H39)</f>
        <v>5.4</v>
      </c>
    </row>
    <row r="42" spans="1:8">
      <c r="A42" s="1772"/>
      <c r="B42" s="1774"/>
      <c r="C42" s="1772"/>
      <c r="D42" s="1772"/>
      <c r="E42" s="1779"/>
      <c r="F42" s="1779" t="s">
        <v>4322</v>
      </c>
      <c r="G42" s="1780">
        <f>ROUNDUP(H41,1)</f>
        <v>5.4</v>
      </c>
      <c r="H42" s="1781" t="s">
        <v>4616</v>
      </c>
    </row>
    <row r="43" spans="1:8">
      <c r="A43" s="1772">
        <v>37.1</v>
      </c>
      <c r="B43" s="1773" t="s">
        <v>5795</v>
      </c>
      <c r="C43" s="1772"/>
      <c r="D43" s="1772"/>
      <c r="E43" s="1772"/>
      <c r="F43" s="1772"/>
      <c r="G43" s="1772"/>
      <c r="H43" s="1774"/>
    </row>
    <row r="44" spans="1:8">
      <c r="A44" s="1772"/>
      <c r="B44" s="1774"/>
      <c r="C44" s="1772"/>
      <c r="D44" s="1772"/>
      <c r="E44" s="1779"/>
      <c r="F44" s="1779" t="s">
        <v>4322</v>
      </c>
      <c r="G44" s="1780">
        <f>G42</f>
        <v>5.4</v>
      </c>
      <c r="H44" s="1781" t="s">
        <v>4616</v>
      </c>
    </row>
    <row r="45" spans="1:8" ht="43.5">
      <c r="A45" s="1772">
        <v>42.1</v>
      </c>
      <c r="B45" s="1773" t="s">
        <v>6434</v>
      </c>
      <c r="C45" s="1772"/>
      <c r="D45" s="1772"/>
      <c r="E45" s="1772"/>
      <c r="F45" s="1772"/>
      <c r="G45" s="1772"/>
      <c r="H45" s="1774"/>
    </row>
    <row r="46" spans="1:8">
      <c r="A46" s="1775"/>
      <c r="B46" s="1776" t="s">
        <v>6435</v>
      </c>
      <c r="C46" s="1782"/>
      <c r="D46" s="1787"/>
      <c r="E46" s="1788">
        <f>G13</f>
        <v>2.7</v>
      </c>
      <c r="F46" s="1787">
        <v>100</v>
      </c>
      <c r="G46" s="1787"/>
      <c r="H46" s="1778">
        <f t="shared" ref="H46" si="3">PRODUCT(C46:G46)</f>
        <v>270</v>
      </c>
    </row>
    <row r="47" spans="1:8">
      <c r="A47" s="1772"/>
      <c r="B47" s="1774"/>
      <c r="C47" s="1772"/>
      <c r="D47" s="1772"/>
      <c r="E47" s="1779"/>
      <c r="F47" s="1779"/>
      <c r="G47" s="1789">
        <f>H46/1000</f>
        <v>0.27</v>
      </c>
      <c r="H47" s="1781" t="s">
        <v>530</v>
      </c>
    </row>
    <row r="48" spans="1:8">
      <c r="A48" s="1772">
        <v>30</v>
      </c>
      <c r="B48" s="1774" t="s">
        <v>6436</v>
      </c>
      <c r="C48" s="1772"/>
      <c r="D48" s="1772"/>
      <c r="E48" s="1772"/>
      <c r="F48" s="1772"/>
      <c r="G48" s="1772"/>
      <c r="H48" s="1774"/>
    </row>
    <row r="49" spans="1:8">
      <c r="A49" s="1775"/>
      <c r="B49" s="1776" t="s">
        <v>6437</v>
      </c>
      <c r="C49" s="1775">
        <v>2</v>
      </c>
      <c r="D49" s="1775">
        <v>1</v>
      </c>
      <c r="E49" s="1777">
        <v>7.2</v>
      </c>
      <c r="F49" s="1777">
        <v>1.5</v>
      </c>
      <c r="G49" s="1777"/>
      <c r="H49" s="1778">
        <f>E49*F49</f>
        <v>10.8</v>
      </c>
    </row>
    <row r="50" spans="1:8">
      <c r="A50" s="1775"/>
      <c r="B50" s="1776"/>
      <c r="C50" s="1775"/>
      <c r="D50" s="1775"/>
      <c r="E50" s="1777"/>
      <c r="F50" s="1779" t="s">
        <v>4322</v>
      </c>
      <c r="G50" s="1780">
        <f>ROUNDUP(H49,1)</f>
        <v>10.8</v>
      </c>
      <c r="H50" s="1781" t="s">
        <v>4616</v>
      </c>
    </row>
  </sheetData>
  <mergeCells count="4">
    <mergeCell ref="A1:H1"/>
    <mergeCell ref="A2:H2"/>
    <mergeCell ref="A3:H3"/>
    <mergeCell ref="B4:G4"/>
  </mergeCells>
  <pageMargins left="0.7" right="0.7" top="0.75" bottom="0.75" header="0.3" footer="0.3"/>
  <pageSetup paperSize="9" scale="86" orientation="portrait" horizontalDpi="300" verticalDpi="0" r:id="rId1"/>
</worksheet>
</file>

<file path=xl/worksheets/sheet23.xml><?xml version="1.0" encoding="utf-8"?>
<worksheet xmlns="http://schemas.openxmlformats.org/spreadsheetml/2006/main" xmlns:r="http://schemas.openxmlformats.org/officeDocument/2006/relationships">
  <sheetPr>
    <tabColor rgb="FFFFC000"/>
  </sheetPr>
  <dimension ref="A1:H63"/>
  <sheetViews>
    <sheetView view="pageBreakPreview" zoomScale="60" workbookViewId="0">
      <selection activeCell="E125" sqref="E125"/>
    </sheetView>
  </sheetViews>
  <sheetFormatPr defaultRowHeight="15.75"/>
  <cols>
    <col min="1" max="1" width="7.21875" customWidth="1"/>
    <col min="2" max="2" width="40.6640625" customWidth="1"/>
  </cols>
  <sheetData>
    <row r="1" spans="1:8">
      <c r="A1" s="1971" t="s">
        <v>6232</v>
      </c>
      <c r="B1" s="1971"/>
      <c r="C1" s="1971"/>
      <c r="D1" s="1971"/>
      <c r="E1" s="1971"/>
      <c r="F1" s="1971"/>
      <c r="G1" s="1971"/>
      <c r="H1" s="1971"/>
    </row>
    <row r="2" spans="1:8" ht="52.5" customHeight="1">
      <c r="A2" s="1972" t="str">
        <f>'[10]Ex. WS'!A2:H2</f>
        <v>Name of work : Construction of Fire and Rescue service station building with development works at Kadamalaikundu in Theni District.</v>
      </c>
      <c r="B2" s="1972"/>
      <c r="C2" s="1972"/>
      <c r="D2" s="1972"/>
      <c r="E2" s="1972"/>
      <c r="F2" s="1972"/>
      <c r="G2" s="1972"/>
      <c r="H2" s="1972"/>
    </row>
    <row r="3" spans="1:8" ht="18">
      <c r="A3" s="1973" t="s">
        <v>6316</v>
      </c>
      <c r="B3" s="1973"/>
      <c r="C3" s="1973"/>
      <c r="D3" s="1973"/>
      <c r="E3" s="1973"/>
      <c r="F3" s="1973"/>
      <c r="G3" s="1973"/>
      <c r="H3" s="1973"/>
    </row>
    <row r="4" spans="1:8" ht="18">
      <c r="A4" s="1974" t="s">
        <v>6317</v>
      </c>
      <c r="B4" s="1975" t="s">
        <v>6318</v>
      </c>
      <c r="C4" s="1974" t="s">
        <v>1452</v>
      </c>
      <c r="D4" s="1974"/>
      <c r="E4" s="1974" t="s">
        <v>5398</v>
      </c>
      <c r="F4" s="1974"/>
      <c r="G4" s="1974"/>
      <c r="H4" s="1974" t="s">
        <v>1055</v>
      </c>
    </row>
    <row r="5" spans="1:8" ht="18">
      <c r="A5" s="1974"/>
      <c r="B5" s="1975"/>
      <c r="C5" s="1974"/>
      <c r="D5" s="1974"/>
      <c r="E5" s="1546" t="s">
        <v>5399</v>
      </c>
      <c r="F5" s="1546" t="s">
        <v>1577</v>
      </c>
      <c r="G5" s="1546" t="s">
        <v>5384</v>
      </c>
      <c r="H5" s="1974"/>
    </row>
    <row r="6" spans="1:8" ht="254.25" customHeight="1">
      <c r="A6" s="1547">
        <v>1</v>
      </c>
      <c r="B6" s="1598" t="s">
        <v>6387</v>
      </c>
      <c r="C6" s="1520"/>
      <c r="D6" s="1520"/>
      <c r="E6" s="1520"/>
      <c r="F6" s="1548"/>
      <c r="G6" s="1520"/>
      <c r="H6" s="1520"/>
    </row>
    <row r="7" spans="1:8">
      <c r="A7" s="1547"/>
      <c r="B7" s="1523" t="s">
        <v>6319</v>
      </c>
      <c r="C7" s="1549">
        <v>1</v>
      </c>
      <c r="D7" s="1549">
        <v>1</v>
      </c>
      <c r="E7" s="1550">
        <v>1</v>
      </c>
      <c r="F7" s="1550"/>
      <c r="G7" s="1551"/>
      <c r="H7" s="1551">
        <f>C7*D7*E7</f>
        <v>1</v>
      </c>
    </row>
    <row r="8" spans="1:8">
      <c r="A8" s="1547"/>
      <c r="B8" s="1523"/>
      <c r="C8" s="1549"/>
      <c r="D8" s="1549"/>
      <c r="E8" s="1550"/>
      <c r="F8" s="1550"/>
      <c r="G8" s="1551"/>
      <c r="H8" s="1551"/>
    </row>
    <row r="9" spans="1:8" ht="131.25">
      <c r="A9" s="1552">
        <v>3</v>
      </c>
      <c r="B9" s="1553" t="s">
        <v>6320</v>
      </c>
      <c r="C9" s="1554"/>
      <c r="D9" s="1554"/>
      <c r="E9" s="1555"/>
      <c r="F9" s="1555"/>
      <c r="G9" s="1556"/>
      <c r="H9" s="1556"/>
    </row>
    <row r="10" spans="1:8" ht="37.5">
      <c r="A10" s="1552"/>
      <c r="B10" s="1557" t="s">
        <v>6321</v>
      </c>
      <c r="C10" s="1554"/>
      <c r="D10" s="1554"/>
      <c r="E10" s="1555"/>
      <c r="F10" s="1555"/>
      <c r="G10" s="1556"/>
      <c r="H10" s="1556"/>
    </row>
    <row r="11" spans="1:8" ht="18.75">
      <c r="A11" s="1552"/>
      <c r="B11" s="1558" t="s">
        <v>6322</v>
      </c>
      <c r="C11" s="1554">
        <v>1</v>
      </c>
      <c r="D11" s="1554">
        <v>2</v>
      </c>
      <c r="E11" s="1555">
        <v>8.5</v>
      </c>
      <c r="F11" s="1555"/>
      <c r="G11" s="1556"/>
      <c r="H11" s="1555">
        <f>E11</f>
        <v>8.5</v>
      </c>
    </row>
    <row r="12" spans="1:8" ht="18.75">
      <c r="A12" s="1552"/>
      <c r="B12" s="1558" t="s">
        <v>6323</v>
      </c>
      <c r="C12" s="1554">
        <v>1</v>
      </c>
      <c r="D12" s="1554">
        <v>1</v>
      </c>
      <c r="E12" s="1555">
        <v>70</v>
      </c>
      <c r="F12" s="1555"/>
      <c r="G12" s="1556"/>
      <c r="H12" s="1555">
        <f>E12</f>
        <v>70</v>
      </c>
    </row>
    <row r="13" spans="1:8" ht="18.75">
      <c r="A13" s="1552"/>
      <c r="B13" s="1558" t="s">
        <v>6324</v>
      </c>
      <c r="C13" s="1554">
        <v>1</v>
      </c>
      <c r="D13" s="1554">
        <v>1</v>
      </c>
      <c r="E13" s="1555">
        <v>60</v>
      </c>
      <c r="F13" s="1555"/>
      <c r="G13" s="1556"/>
      <c r="H13" s="1555">
        <v>60</v>
      </c>
    </row>
    <row r="14" spans="1:8" ht="18.75">
      <c r="A14" s="1552"/>
      <c r="B14" s="1558"/>
      <c r="C14" s="1554"/>
      <c r="D14" s="1554"/>
      <c r="E14" s="1555"/>
      <c r="F14" s="1555"/>
      <c r="G14" s="1556"/>
      <c r="H14" s="1556">
        <f>+SUM(H11:H13)</f>
        <v>138.5</v>
      </c>
    </row>
    <row r="15" spans="1:8" ht="75">
      <c r="A15" s="1552">
        <v>5</v>
      </c>
      <c r="B15" s="1553" t="s">
        <v>6325</v>
      </c>
      <c r="C15" s="1554"/>
      <c r="D15" s="1554"/>
      <c r="E15" s="1555"/>
      <c r="F15" s="1555"/>
      <c r="G15" s="1555"/>
      <c r="H15" s="1556"/>
    </row>
    <row r="16" spans="1:8" ht="18.75">
      <c r="A16" s="1552"/>
      <c r="B16" s="1558" t="s">
        <v>6326</v>
      </c>
      <c r="C16" s="1554">
        <v>1</v>
      </c>
      <c r="D16" s="1554">
        <v>1</v>
      </c>
      <c r="E16" s="1555">
        <v>2</v>
      </c>
      <c r="F16" s="1555"/>
      <c r="G16" s="1555"/>
      <c r="H16" s="1555">
        <f>C16*D16*E16</f>
        <v>2</v>
      </c>
    </row>
    <row r="17" spans="1:8" ht="18.75">
      <c r="A17" s="1552"/>
      <c r="B17" s="1558"/>
      <c r="C17" s="1554"/>
      <c r="D17" s="1554"/>
      <c r="E17" s="1555"/>
      <c r="F17" s="1555"/>
      <c r="G17" s="1555"/>
      <c r="H17" s="1556">
        <f>SUM(H16:H16)</f>
        <v>2</v>
      </c>
    </row>
    <row r="18" spans="1:8" ht="168.75">
      <c r="A18" s="1552">
        <v>6</v>
      </c>
      <c r="B18" s="1553" t="s">
        <v>6327</v>
      </c>
      <c r="C18" s="1554"/>
      <c r="D18" s="1554"/>
      <c r="E18" s="1555"/>
      <c r="F18" s="1555"/>
      <c r="G18" s="1555"/>
      <c r="H18" s="1556"/>
    </row>
    <row r="19" spans="1:8" ht="18.75">
      <c r="A19" s="1552"/>
      <c r="B19" s="1558" t="s">
        <v>6328</v>
      </c>
      <c r="C19" s="1554">
        <v>1</v>
      </c>
      <c r="D19" s="1554">
        <v>1</v>
      </c>
      <c r="E19" s="1555">
        <v>1</v>
      </c>
      <c r="F19" s="1555"/>
      <c r="G19" s="1555"/>
      <c r="H19" s="1555">
        <f>C19*D19*E19</f>
        <v>1</v>
      </c>
    </row>
    <row r="20" spans="1:8" ht="18.75">
      <c r="A20" s="1552"/>
      <c r="B20" s="1558"/>
      <c r="C20" s="1554"/>
      <c r="D20" s="1554"/>
      <c r="E20" s="1555"/>
      <c r="F20" s="1555"/>
      <c r="G20" s="1555"/>
      <c r="H20" s="1556">
        <f>SUM(H19:H19)</f>
        <v>1</v>
      </c>
    </row>
    <row r="21" spans="1:8" ht="75">
      <c r="A21" s="1552">
        <v>7</v>
      </c>
      <c r="B21" s="1553" t="s">
        <v>6329</v>
      </c>
      <c r="C21" s="1554"/>
      <c r="D21" s="1554"/>
      <c r="E21" s="1555"/>
      <c r="F21" s="1555"/>
      <c r="G21" s="1556"/>
      <c r="H21" s="1556"/>
    </row>
    <row r="22" spans="1:8" ht="18.75">
      <c r="A22" s="1552"/>
      <c r="B22" s="1558" t="s">
        <v>6001</v>
      </c>
      <c r="C22" s="1554">
        <v>1</v>
      </c>
      <c r="D22" s="1554">
        <v>1</v>
      </c>
      <c r="E22" s="1555">
        <v>25</v>
      </c>
      <c r="F22" s="1555"/>
      <c r="G22" s="1555"/>
      <c r="H22" s="1555">
        <f>E22</f>
        <v>25</v>
      </c>
    </row>
    <row r="23" spans="1:8" ht="18.75">
      <c r="A23" s="1552"/>
      <c r="B23" s="1558"/>
      <c r="C23" s="1554"/>
      <c r="D23" s="1554"/>
      <c r="E23" s="1555"/>
      <c r="F23" s="1555"/>
      <c r="G23" s="1556"/>
      <c r="H23" s="1556">
        <f>H22</f>
        <v>25</v>
      </c>
    </row>
    <row r="24" spans="1:8" ht="18.75">
      <c r="A24" s="1552"/>
      <c r="B24" s="1558"/>
      <c r="C24" s="1554"/>
      <c r="D24" s="1554"/>
      <c r="E24" s="1555"/>
      <c r="F24" s="1555"/>
      <c r="G24" s="1555"/>
      <c r="H24" s="1556"/>
    </row>
    <row r="25" spans="1:8" ht="56.25">
      <c r="A25" s="1552">
        <v>8</v>
      </c>
      <c r="B25" s="1559" t="s">
        <v>6330</v>
      </c>
      <c r="C25" s="1560"/>
      <c r="D25" s="1554"/>
      <c r="E25" s="1555"/>
      <c r="F25" s="1555"/>
      <c r="G25" s="1555"/>
      <c r="H25" s="1555"/>
    </row>
    <row r="26" spans="1:8" ht="18.75">
      <c r="A26" s="1552"/>
      <c r="B26" s="1561" t="s">
        <v>6331</v>
      </c>
      <c r="C26" s="1562">
        <v>1</v>
      </c>
      <c r="D26" s="1562">
        <v>1</v>
      </c>
      <c r="E26" s="1563">
        <v>70</v>
      </c>
      <c r="F26" s="1555"/>
      <c r="G26" s="1556"/>
      <c r="H26" s="1555">
        <f>E26</f>
        <v>70</v>
      </c>
    </row>
    <row r="27" spans="1:8" ht="18.75">
      <c r="A27" s="1552"/>
      <c r="B27" s="1561" t="s">
        <v>6324</v>
      </c>
      <c r="C27" s="1562">
        <v>1</v>
      </c>
      <c r="D27" s="1562">
        <v>1</v>
      </c>
      <c r="E27" s="1563">
        <v>60</v>
      </c>
      <c r="F27" s="1555"/>
      <c r="G27" s="1556"/>
      <c r="H27" s="1555">
        <f>E27</f>
        <v>60</v>
      </c>
    </row>
    <row r="28" spans="1:8" ht="18.75">
      <c r="A28" s="1552"/>
      <c r="B28" s="1564"/>
      <c r="C28" s="1546"/>
      <c r="D28" s="1546"/>
      <c r="E28" s="1546"/>
      <c r="F28" s="1555"/>
      <c r="G28" s="1556"/>
      <c r="H28" s="1556">
        <f>+SUM(H26:H27)</f>
        <v>130</v>
      </c>
    </row>
    <row r="29" spans="1:8" ht="37.5">
      <c r="A29" s="1552">
        <v>9</v>
      </c>
      <c r="B29" s="1558" t="s">
        <v>6332</v>
      </c>
      <c r="C29" s="1554"/>
      <c r="D29" s="1554"/>
      <c r="E29" s="1555"/>
      <c r="F29" s="1555"/>
      <c r="G29" s="1555"/>
      <c r="H29" s="1555"/>
    </row>
    <row r="30" spans="1:8" ht="18.75">
      <c r="A30" s="1552"/>
      <c r="B30" s="1558" t="s">
        <v>6333</v>
      </c>
      <c r="C30" s="1554">
        <v>1</v>
      </c>
      <c r="D30" s="1554">
        <v>2</v>
      </c>
      <c r="E30" s="1555">
        <v>8.5</v>
      </c>
      <c r="F30" s="1555"/>
      <c r="G30" s="1556"/>
      <c r="H30" s="1555">
        <f>C30*D30*E30</f>
        <v>17</v>
      </c>
    </row>
    <row r="31" spans="1:8" ht="18.75">
      <c r="A31" s="1552"/>
      <c r="B31" s="1558"/>
      <c r="C31" s="1554"/>
      <c r="D31" s="1554"/>
      <c r="E31" s="1555"/>
      <c r="F31" s="1554"/>
      <c r="G31" s="1554"/>
      <c r="H31" s="1555">
        <f>SUM(H30:H30)</f>
        <v>17</v>
      </c>
    </row>
    <row r="32" spans="1:8" ht="18.75">
      <c r="A32" s="1552"/>
      <c r="B32" s="1558"/>
      <c r="C32" s="1554"/>
      <c r="D32" s="1554"/>
      <c r="E32" s="1555"/>
      <c r="F32" s="1555"/>
      <c r="G32" s="1556" t="s">
        <v>4322</v>
      </c>
      <c r="H32" s="1556">
        <f>ROUND(H31,0)</f>
        <v>17</v>
      </c>
    </row>
    <row r="33" spans="1:8" ht="37.5">
      <c r="A33" s="1552">
        <v>11</v>
      </c>
      <c r="B33" s="1558" t="s">
        <v>6334</v>
      </c>
      <c r="C33" s="1560"/>
      <c r="D33" s="1554"/>
      <c r="E33" s="1555"/>
      <c r="F33" s="1555"/>
      <c r="G33" s="1555"/>
      <c r="H33" s="1555"/>
    </row>
    <row r="34" spans="1:8" ht="18.75">
      <c r="A34" s="1552"/>
      <c r="B34" s="1558" t="s">
        <v>6335</v>
      </c>
      <c r="C34" s="1554">
        <v>1</v>
      </c>
      <c r="D34" s="1554">
        <v>1</v>
      </c>
      <c r="E34" s="1555">
        <v>70</v>
      </c>
      <c r="F34" s="1555"/>
      <c r="G34" s="1555"/>
      <c r="H34" s="1555">
        <f>C34*D34*E34</f>
        <v>70</v>
      </c>
    </row>
    <row r="35" spans="1:8" ht="18.75">
      <c r="A35" s="1552"/>
      <c r="B35" s="1558" t="s">
        <v>6336</v>
      </c>
      <c r="C35" s="1554">
        <v>1</v>
      </c>
      <c r="D35" s="1554">
        <v>2</v>
      </c>
      <c r="E35" s="1555">
        <v>6</v>
      </c>
      <c r="F35" s="1555"/>
      <c r="G35" s="1555"/>
      <c r="H35" s="1555">
        <f>C35*D35*E35</f>
        <v>12</v>
      </c>
    </row>
    <row r="36" spans="1:8" ht="18.75">
      <c r="A36" s="1552"/>
      <c r="B36" s="1558" t="s">
        <v>6337</v>
      </c>
      <c r="C36" s="1554">
        <v>1</v>
      </c>
      <c r="D36" s="1554">
        <v>1</v>
      </c>
      <c r="E36" s="1555">
        <v>60</v>
      </c>
      <c r="F36" s="1555"/>
      <c r="G36" s="1555"/>
      <c r="H36" s="1555">
        <f>C36*D36*E36</f>
        <v>60</v>
      </c>
    </row>
    <row r="37" spans="1:8" ht="18.75">
      <c r="A37" s="1552"/>
      <c r="B37" s="1558"/>
      <c r="C37" s="1554"/>
      <c r="D37" s="1554"/>
      <c r="E37" s="1555"/>
      <c r="F37" s="1555"/>
      <c r="G37" s="1556" t="s">
        <v>4322</v>
      </c>
      <c r="H37" s="1556">
        <f>SUM(H34:H36)</f>
        <v>142</v>
      </c>
    </row>
    <row r="38" spans="1:8" ht="37.5">
      <c r="A38" s="1552">
        <v>12</v>
      </c>
      <c r="B38" s="1558" t="s">
        <v>6338</v>
      </c>
      <c r="C38" s="1560"/>
      <c r="D38" s="1554"/>
      <c r="E38" s="1555"/>
      <c r="F38" s="1555"/>
      <c r="G38" s="1555"/>
      <c r="H38" s="1555"/>
    </row>
    <row r="39" spans="1:8" ht="18.75">
      <c r="A39" s="1552"/>
      <c r="B39" s="1558" t="s">
        <v>6339</v>
      </c>
      <c r="C39" s="1554"/>
      <c r="D39" s="1554"/>
      <c r="E39" s="1555"/>
      <c r="F39" s="1555"/>
      <c r="G39" s="1555"/>
      <c r="H39" s="1555"/>
    </row>
    <row r="40" spans="1:8" ht="18.75">
      <c r="A40" s="1552"/>
      <c r="B40" s="1558"/>
      <c r="C40" s="1554">
        <v>2</v>
      </c>
      <c r="D40" s="1554">
        <v>1</v>
      </c>
      <c r="E40" s="1555">
        <v>5</v>
      </c>
      <c r="F40" s="1555"/>
      <c r="G40" s="1555"/>
      <c r="H40" s="1556">
        <f>C40*D40*E40</f>
        <v>10</v>
      </c>
    </row>
    <row r="41" spans="1:8" ht="18.75">
      <c r="A41" s="1552"/>
      <c r="B41" s="1558" t="s">
        <v>6340</v>
      </c>
      <c r="C41" s="1554"/>
      <c r="D41" s="1554"/>
      <c r="E41" s="1555"/>
      <c r="F41" s="1555"/>
      <c r="G41" s="1555"/>
      <c r="H41" s="1555"/>
    </row>
    <row r="42" spans="1:8" ht="18.75">
      <c r="A42" s="1552"/>
      <c r="B42" s="1558"/>
      <c r="C42" s="1554">
        <v>2</v>
      </c>
      <c r="D42" s="1554">
        <v>1</v>
      </c>
      <c r="E42" s="1555">
        <v>10</v>
      </c>
      <c r="F42" s="1555"/>
      <c r="G42" s="1555"/>
      <c r="H42" s="1556">
        <f>C42*D42*E42</f>
        <v>20</v>
      </c>
    </row>
    <row r="43" spans="1:8" ht="18.75">
      <c r="A43" s="1552"/>
      <c r="B43" s="1557"/>
      <c r="C43" s="1554"/>
      <c r="D43" s="1554"/>
      <c r="E43" s="1555"/>
      <c r="F43" s="1555"/>
      <c r="G43" s="1555"/>
      <c r="H43" s="1555"/>
    </row>
    <row r="44" spans="1:8" ht="93.75">
      <c r="A44" s="1552">
        <v>13</v>
      </c>
      <c r="B44" s="1558" t="s">
        <v>6341</v>
      </c>
      <c r="C44" s="1554"/>
      <c r="D44" s="1554"/>
      <c r="E44" s="1555"/>
      <c r="F44" s="1555"/>
      <c r="G44" s="1555"/>
      <c r="H44" s="1555"/>
    </row>
    <row r="45" spans="1:8" ht="18.75">
      <c r="A45" s="1552"/>
      <c r="B45" s="1558" t="s">
        <v>6335</v>
      </c>
      <c r="C45" s="1554">
        <v>1</v>
      </c>
      <c r="D45" s="1554">
        <v>2</v>
      </c>
      <c r="E45" s="1555">
        <v>1</v>
      </c>
      <c r="F45" s="1555"/>
      <c r="G45" s="1555"/>
      <c r="H45" s="1556">
        <f>C45*D45*E45</f>
        <v>2</v>
      </c>
    </row>
    <row r="46" spans="1:8" ht="18.75">
      <c r="A46" s="1552"/>
      <c r="B46" s="1558"/>
      <c r="C46" s="1554"/>
      <c r="D46" s="1554"/>
      <c r="E46" s="1555"/>
      <c r="F46" s="1555"/>
      <c r="G46" s="1555"/>
      <c r="H46" s="1556"/>
    </row>
    <row r="47" spans="1:8" ht="37.5">
      <c r="A47" s="1552">
        <v>14</v>
      </c>
      <c r="B47" s="1558" t="s">
        <v>6342</v>
      </c>
      <c r="C47" s="1554"/>
      <c r="D47" s="1554"/>
      <c r="E47" s="1555"/>
      <c r="F47" s="1555"/>
      <c r="G47" s="1555"/>
      <c r="H47" s="1556"/>
    </row>
    <row r="48" spans="1:8" ht="18.75">
      <c r="A48" s="1552"/>
      <c r="B48" s="1558" t="s">
        <v>6335</v>
      </c>
      <c r="C48" s="1554">
        <v>1</v>
      </c>
      <c r="D48" s="1554">
        <v>2</v>
      </c>
      <c r="E48" s="1555">
        <v>1</v>
      </c>
      <c r="F48" s="1555"/>
      <c r="G48" s="1555"/>
      <c r="H48" s="1556">
        <f>C48*D48*E48</f>
        <v>2</v>
      </c>
    </row>
    <row r="49" spans="1:8" ht="18.75">
      <c r="A49" s="1552"/>
      <c r="B49" s="1558"/>
      <c r="C49" s="1554"/>
      <c r="D49" s="1554"/>
      <c r="E49" s="1555"/>
      <c r="F49" s="1555"/>
      <c r="G49" s="1555"/>
      <c r="H49" s="1555"/>
    </row>
    <row r="50" spans="1:8" ht="37.5">
      <c r="A50" s="1552">
        <v>15</v>
      </c>
      <c r="B50" s="1558" t="s">
        <v>6343</v>
      </c>
      <c r="C50" s="1554"/>
      <c r="D50" s="1554"/>
      <c r="E50" s="1555"/>
      <c r="F50" s="1555"/>
      <c r="G50" s="1555"/>
      <c r="H50" s="1555"/>
    </row>
    <row r="51" spans="1:8" ht="18.75">
      <c r="A51" s="1552"/>
      <c r="B51" s="1558" t="s">
        <v>6335</v>
      </c>
      <c r="C51" s="1554">
        <v>1</v>
      </c>
      <c r="D51" s="1554">
        <v>2</v>
      </c>
      <c r="E51" s="1555">
        <v>1</v>
      </c>
      <c r="F51" s="1555"/>
      <c r="G51" s="1555"/>
      <c r="H51" s="1556">
        <f>C51*D51*E51</f>
        <v>2</v>
      </c>
    </row>
    <row r="52" spans="1:8" ht="18.75">
      <c r="A52" s="1552"/>
      <c r="B52" s="1558"/>
      <c r="C52" s="1554"/>
      <c r="D52" s="1554"/>
      <c r="E52" s="1555"/>
      <c r="F52" s="1555"/>
      <c r="G52" s="1555"/>
      <c r="H52" s="1555"/>
    </row>
    <row r="53" spans="1:8" ht="37.5">
      <c r="A53" s="1552">
        <v>16</v>
      </c>
      <c r="B53" s="1558" t="s">
        <v>6344</v>
      </c>
      <c r="C53" s="1554"/>
      <c r="D53" s="1554"/>
      <c r="E53" s="1555"/>
      <c r="F53" s="1555"/>
      <c r="G53" s="1555"/>
      <c r="H53" s="1555"/>
    </row>
    <row r="54" spans="1:8" ht="18.75">
      <c r="A54" s="1552"/>
      <c r="B54" s="1558" t="s">
        <v>6335</v>
      </c>
      <c r="C54" s="1554">
        <v>6</v>
      </c>
      <c r="D54" s="1554">
        <v>2</v>
      </c>
      <c r="E54" s="1555">
        <v>1</v>
      </c>
      <c r="F54" s="1555"/>
      <c r="G54" s="1555"/>
      <c r="H54" s="1556">
        <f>C54*D54*E54</f>
        <v>12</v>
      </c>
    </row>
    <row r="55" spans="1:8" ht="18.75">
      <c r="A55" s="1552"/>
      <c r="B55" s="1558"/>
      <c r="C55" s="1554"/>
      <c r="D55" s="1554"/>
      <c r="E55" s="1555"/>
      <c r="F55" s="1555"/>
      <c r="G55" s="1555"/>
      <c r="H55" s="1555"/>
    </row>
    <row r="56" spans="1:8" ht="37.5">
      <c r="A56" s="1552">
        <v>17</v>
      </c>
      <c r="B56" s="1565" t="s">
        <v>3573</v>
      </c>
      <c r="C56" s="1554"/>
      <c r="D56" s="1554"/>
      <c r="E56" s="1554"/>
      <c r="F56" s="1554"/>
      <c r="G56" s="1554"/>
      <c r="H56" s="1554"/>
    </row>
    <row r="57" spans="1:8" ht="18.75">
      <c r="A57" s="1552"/>
      <c r="B57" s="1558" t="s">
        <v>6345</v>
      </c>
      <c r="C57" s="1554">
        <v>1</v>
      </c>
      <c r="D57" s="1554">
        <v>1</v>
      </c>
      <c r="E57" s="1554">
        <v>1</v>
      </c>
      <c r="F57" s="1554"/>
      <c r="G57" s="1554"/>
      <c r="H57" s="1554">
        <v>1</v>
      </c>
    </row>
    <row r="58" spans="1:8" ht="18.75">
      <c r="A58" s="1552"/>
      <c r="B58" s="1558"/>
      <c r="C58" s="1554"/>
      <c r="D58" s="1554"/>
      <c r="E58" s="1554"/>
      <c r="F58" s="1554"/>
      <c r="G58" s="1554"/>
      <c r="H58" s="1554"/>
    </row>
    <row r="59" spans="1:8" ht="37.5">
      <c r="A59" s="1566">
        <v>18</v>
      </c>
      <c r="B59" s="1567" t="s">
        <v>6346</v>
      </c>
      <c r="C59" s="1566"/>
      <c r="D59" s="1566"/>
      <c r="E59" s="1568"/>
      <c r="F59" s="1568"/>
      <c r="G59" s="1568"/>
      <c r="H59" s="1568"/>
    </row>
    <row r="60" spans="1:8" ht="18.75">
      <c r="A60" s="1566"/>
      <c r="B60" s="1569" t="s">
        <v>6347</v>
      </c>
      <c r="C60" s="1566">
        <v>1</v>
      </c>
      <c r="D60" s="1566">
        <v>3</v>
      </c>
      <c r="E60" s="1570">
        <v>1</v>
      </c>
      <c r="F60" s="1568"/>
      <c r="G60" s="1568"/>
      <c r="H60" s="1570">
        <f>E60*C60*D60</f>
        <v>3</v>
      </c>
    </row>
    <row r="61" spans="1:8" ht="18.75">
      <c r="A61" s="1566"/>
      <c r="B61" s="1569" t="s">
        <v>6348</v>
      </c>
      <c r="C61" s="1566">
        <v>1</v>
      </c>
      <c r="D61" s="1566">
        <v>3</v>
      </c>
      <c r="E61" s="1570">
        <v>1</v>
      </c>
      <c r="F61" s="1568"/>
      <c r="G61" s="1568"/>
      <c r="H61" s="1570">
        <f>E61*C61*D61</f>
        <v>3</v>
      </c>
    </row>
    <row r="62" spans="1:8" ht="18.75">
      <c r="A62" s="1566"/>
      <c r="B62" s="1569"/>
      <c r="C62" s="1566"/>
      <c r="D62" s="1566"/>
      <c r="E62" s="1568"/>
      <c r="F62" s="1568"/>
      <c r="G62" s="1568"/>
      <c r="H62" s="1571">
        <f>SUM(H60:H61)</f>
        <v>6</v>
      </c>
    </row>
    <row r="63" spans="1:8" ht="18.75">
      <c r="A63" s="1566"/>
      <c r="B63" s="1572"/>
      <c r="C63" s="1573"/>
      <c r="D63" s="1573"/>
      <c r="E63" s="1573"/>
      <c r="F63" s="1573"/>
      <c r="G63" s="1573"/>
      <c r="H63" s="1573"/>
    </row>
  </sheetData>
  <mergeCells count="8">
    <mergeCell ref="A1:H1"/>
    <mergeCell ref="A2:H2"/>
    <mergeCell ref="A3:H3"/>
    <mergeCell ref="A4:A5"/>
    <mergeCell ref="B4:B5"/>
    <mergeCell ref="C4:D5"/>
    <mergeCell ref="E4:G4"/>
    <mergeCell ref="H4:H5"/>
  </mergeCells>
  <pageMargins left="0.7" right="0.7" top="0.75" bottom="0.75" header="0.3" footer="0.3"/>
  <pageSetup paperSize="9" scale="72" orientation="portrait" horizontalDpi="300" verticalDpi="0" r:id="rId1"/>
</worksheet>
</file>

<file path=xl/worksheets/sheet24.xml><?xml version="1.0" encoding="utf-8"?>
<worksheet xmlns="http://schemas.openxmlformats.org/spreadsheetml/2006/main" xmlns:r="http://schemas.openxmlformats.org/officeDocument/2006/relationships">
  <sheetPr>
    <tabColor rgb="FFFFFF00"/>
  </sheetPr>
  <dimension ref="A1:H104"/>
  <sheetViews>
    <sheetView view="pageBreakPreview" topLeftCell="A68" zoomScale="115" zoomScaleSheetLayoutView="115" workbookViewId="0">
      <selection activeCell="E125" sqref="E125"/>
    </sheetView>
  </sheetViews>
  <sheetFormatPr defaultRowHeight="15.75"/>
  <cols>
    <col min="1" max="1" width="6.44140625" customWidth="1"/>
    <col min="2" max="2" width="31.44140625" customWidth="1"/>
    <col min="3" max="4" width="6" customWidth="1"/>
    <col min="5" max="7" width="7.77734375" customWidth="1"/>
  </cols>
  <sheetData>
    <row r="1" spans="1:8">
      <c r="A1" s="1971" t="s">
        <v>6232</v>
      </c>
      <c r="B1" s="1971"/>
      <c r="C1" s="1971"/>
      <c r="D1" s="1971"/>
      <c r="E1" s="1971"/>
      <c r="F1" s="1971"/>
      <c r="G1" s="1971"/>
      <c r="H1" s="1971"/>
    </row>
    <row r="2" spans="1:8" ht="33" customHeight="1">
      <c r="A2" s="1976" t="str">
        <f>'[10]paver block'!A1:J1</f>
        <v>Name of work : Construction of Fire and Rescue service station building with development works at Kadamalaikundu in Theni District.</v>
      </c>
      <c r="B2" s="1977"/>
      <c r="C2" s="1977"/>
      <c r="D2" s="1977"/>
      <c r="E2" s="1977"/>
      <c r="F2" s="1977"/>
      <c r="G2" s="1977"/>
      <c r="H2" s="1978"/>
    </row>
    <row r="3" spans="1:8">
      <c r="A3" s="1979" t="s">
        <v>6233</v>
      </c>
      <c r="B3" s="1980"/>
      <c r="C3" s="1980"/>
      <c r="D3" s="1980"/>
      <c r="E3" s="1980"/>
      <c r="F3" s="1980"/>
      <c r="G3" s="1980"/>
      <c r="H3" s="1981"/>
    </row>
    <row r="4" spans="1:8">
      <c r="A4" s="1982" t="s">
        <v>6234</v>
      </c>
      <c r="B4" s="1982" t="s">
        <v>1802</v>
      </c>
      <c r="C4" s="1982" t="s">
        <v>1452</v>
      </c>
      <c r="D4" s="1982"/>
      <c r="E4" s="1983" t="s">
        <v>5398</v>
      </c>
      <c r="F4" s="1983"/>
      <c r="G4" s="1983"/>
      <c r="H4" s="1982" t="s">
        <v>1055</v>
      </c>
    </row>
    <row r="5" spans="1:8">
      <c r="A5" s="1982"/>
      <c r="B5" s="1982"/>
      <c r="C5" s="1982"/>
      <c r="D5" s="1982"/>
      <c r="E5" s="1514" t="s">
        <v>5399</v>
      </c>
      <c r="F5" s="1514" t="s">
        <v>1577</v>
      </c>
      <c r="G5" s="1514" t="s">
        <v>5384</v>
      </c>
      <c r="H5" s="1982"/>
    </row>
    <row r="6" spans="1:8" ht="45">
      <c r="A6" s="1515">
        <v>1</v>
      </c>
      <c r="B6" s="1516" t="s">
        <v>6235</v>
      </c>
      <c r="C6" s="1515"/>
      <c r="D6" s="1515"/>
      <c r="E6" s="1515"/>
      <c r="F6" s="1515"/>
      <c r="G6" s="1515"/>
      <c r="H6" s="1515"/>
    </row>
    <row r="7" spans="1:8">
      <c r="A7" s="1515"/>
      <c r="B7" s="1515" t="s">
        <v>6236</v>
      </c>
      <c r="C7" s="1515">
        <v>1</v>
      </c>
      <c r="D7" s="1515">
        <v>1</v>
      </c>
      <c r="E7" s="1517">
        <v>300</v>
      </c>
      <c r="F7" s="1518" t="s">
        <v>1609</v>
      </c>
      <c r="G7" s="1518" t="s">
        <v>1609</v>
      </c>
      <c r="H7" s="1517">
        <f>PRODUCT(D7:E7)</f>
        <v>300</v>
      </c>
    </row>
    <row r="8" spans="1:8">
      <c r="A8" s="1515"/>
      <c r="B8" s="1515"/>
      <c r="C8" s="1515"/>
      <c r="D8" s="1515"/>
      <c r="E8" s="1515"/>
      <c r="F8" s="1515"/>
      <c r="G8" s="1515"/>
      <c r="H8" s="1519">
        <f>SUM(H7:H7)</f>
        <v>300</v>
      </c>
    </row>
    <row r="9" spans="1:8" ht="45">
      <c r="A9" s="1515">
        <v>2</v>
      </c>
      <c r="B9" s="1516" t="s">
        <v>6237</v>
      </c>
      <c r="C9" s="1515"/>
      <c r="D9" s="1515"/>
      <c r="E9" s="1515"/>
      <c r="F9" s="1515"/>
      <c r="G9" s="1515"/>
      <c r="H9" s="1515"/>
    </row>
    <row r="10" spans="1:8">
      <c r="A10" s="1515"/>
      <c r="B10" s="1515" t="s">
        <v>6238</v>
      </c>
      <c r="C10" s="1515">
        <v>1</v>
      </c>
      <c r="D10" s="1515">
        <v>1</v>
      </c>
      <c r="E10" s="1517">
        <v>25</v>
      </c>
      <c r="F10" s="1518" t="s">
        <v>1609</v>
      </c>
      <c r="G10" s="1518" t="s">
        <v>1609</v>
      </c>
      <c r="H10" s="1517">
        <f>PRODUCT(D10:E10)</f>
        <v>25</v>
      </c>
    </row>
    <row r="11" spans="1:8">
      <c r="A11" s="1515"/>
      <c r="B11" s="1515"/>
      <c r="C11" s="1515"/>
      <c r="D11" s="1515"/>
      <c r="E11" s="1515"/>
      <c r="F11" s="1515"/>
      <c r="G11" s="1515"/>
      <c r="H11" s="1519">
        <f>SUM(H10:H10)</f>
        <v>25</v>
      </c>
    </row>
    <row r="12" spans="1:8" ht="30">
      <c r="A12" s="1515">
        <v>3</v>
      </c>
      <c r="B12" s="1516" t="s">
        <v>6239</v>
      </c>
      <c r="C12" s="1515"/>
      <c r="D12" s="1515"/>
      <c r="E12" s="1515"/>
      <c r="F12" s="1515"/>
      <c r="G12" s="1515"/>
      <c r="H12" s="1515"/>
    </row>
    <row r="13" spans="1:8">
      <c r="A13" s="1515"/>
      <c r="B13" s="1515" t="s">
        <v>6240</v>
      </c>
      <c r="C13" s="1515">
        <v>1</v>
      </c>
      <c r="D13" s="1515">
        <v>1</v>
      </c>
      <c r="E13" s="1517">
        <v>1</v>
      </c>
      <c r="F13" s="1518" t="s">
        <v>1609</v>
      </c>
      <c r="G13" s="1518" t="s">
        <v>1609</v>
      </c>
      <c r="H13" s="1517">
        <v>1</v>
      </c>
    </row>
    <row r="14" spans="1:8">
      <c r="A14" s="1520"/>
      <c r="B14" s="1520"/>
      <c r="C14" s="1520"/>
      <c r="D14" s="1520"/>
      <c r="E14" s="1521"/>
      <c r="F14" s="1521"/>
      <c r="G14" s="1521"/>
      <c r="H14" s="1520"/>
    </row>
    <row r="15" spans="1:8" ht="43.5">
      <c r="A15" s="1522">
        <v>4</v>
      </c>
      <c r="B15" s="1523" t="s">
        <v>6241</v>
      </c>
      <c r="C15" s="1524"/>
      <c r="D15" s="1524"/>
      <c r="E15" s="1524"/>
      <c r="F15" s="1524"/>
      <c r="G15" s="1524"/>
      <c r="H15" s="1524"/>
    </row>
    <row r="16" spans="1:8">
      <c r="A16" s="1522"/>
      <c r="B16" s="1524" t="s">
        <v>6242</v>
      </c>
      <c r="C16" s="1524"/>
      <c r="D16" s="1524"/>
      <c r="E16" s="1524"/>
      <c r="F16" s="1524"/>
      <c r="G16" s="1524"/>
      <c r="H16" s="1524"/>
    </row>
    <row r="17" spans="1:8">
      <c r="A17" s="1522"/>
      <c r="B17" s="1524" t="s">
        <v>6243</v>
      </c>
      <c r="C17" s="1524">
        <v>1</v>
      </c>
      <c r="D17" s="1524">
        <v>2</v>
      </c>
      <c r="E17" s="1525">
        <v>1</v>
      </c>
      <c r="F17" s="1526" t="s">
        <v>1609</v>
      </c>
      <c r="G17" s="1526" t="s">
        <v>1609</v>
      </c>
      <c r="H17" s="1525">
        <f>PRODUCT(C17:G17)</f>
        <v>2</v>
      </c>
    </row>
    <row r="18" spans="1:8">
      <c r="A18" s="1522"/>
      <c r="B18" s="1524" t="s">
        <v>6244</v>
      </c>
      <c r="C18" s="1524">
        <v>1</v>
      </c>
      <c r="D18" s="1524">
        <v>1</v>
      </c>
      <c r="E18" s="1525">
        <v>1</v>
      </c>
      <c r="F18" s="1526"/>
      <c r="G18" s="1526"/>
      <c r="H18" s="1525">
        <f>PRODUCT(C18:G18)</f>
        <v>1</v>
      </c>
    </row>
    <row r="19" spans="1:8">
      <c r="A19" s="1522"/>
      <c r="B19" s="1524"/>
      <c r="C19" s="1524"/>
      <c r="D19" s="1524"/>
      <c r="E19" s="1525"/>
      <c r="F19" s="1526"/>
      <c r="G19" s="1526"/>
      <c r="H19" s="1527">
        <f>SUM(H17:H18)</f>
        <v>3</v>
      </c>
    </row>
    <row r="20" spans="1:8" ht="29.25">
      <c r="A20" s="1522">
        <v>5</v>
      </c>
      <c r="B20" s="1528" t="s">
        <v>6245</v>
      </c>
      <c r="C20" s="1524"/>
      <c r="D20" s="1524"/>
      <c r="E20" s="1525"/>
      <c r="F20" s="1525"/>
      <c r="G20" s="1525"/>
      <c r="H20" s="1525"/>
    </row>
    <row r="21" spans="1:8">
      <c r="A21" s="1522"/>
      <c r="B21" s="1524" t="s">
        <v>6246</v>
      </c>
      <c r="C21" s="1524">
        <v>3</v>
      </c>
      <c r="D21" s="1524">
        <v>1</v>
      </c>
      <c r="E21" s="1525">
        <v>1</v>
      </c>
      <c r="F21" s="1526" t="s">
        <v>1609</v>
      </c>
      <c r="G21" s="1526" t="s">
        <v>1609</v>
      </c>
      <c r="H21" s="1525">
        <f>PRODUCT(C21:G21)</f>
        <v>3</v>
      </c>
    </row>
    <row r="22" spans="1:8">
      <c r="A22" s="1522"/>
      <c r="B22" s="1524"/>
      <c r="C22" s="1524"/>
      <c r="D22" s="1524"/>
      <c r="E22" s="1525"/>
      <c r="F22" s="1526"/>
      <c r="G22" s="1526"/>
      <c r="H22" s="1525"/>
    </row>
    <row r="23" spans="1:8" ht="43.5">
      <c r="A23" s="1522">
        <v>6</v>
      </c>
      <c r="B23" s="1523" t="s">
        <v>6247</v>
      </c>
      <c r="C23" s="1524"/>
      <c r="D23" s="1524"/>
      <c r="E23" s="1525"/>
      <c r="F23" s="1525"/>
      <c r="G23" s="1525"/>
      <c r="H23" s="1525"/>
    </row>
    <row r="24" spans="1:8">
      <c r="A24" s="1522"/>
      <c r="B24" s="1524" t="s">
        <v>6248</v>
      </c>
      <c r="C24" s="1524">
        <v>3</v>
      </c>
      <c r="D24" s="1524">
        <v>1</v>
      </c>
      <c r="E24" s="1525">
        <v>1</v>
      </c>
      <c r="F24" s="1526" t="s">
        <v>1609</v>
      </c>
      <c r="G24" s="1526" t="s">
        <v>1609</v>
      </c>
      <c r="H24" s="1525">
        <f>PRODUCT(C24:G24)</f>
        <v>3</v>
      </c>
    </row>
    <row r="25" spans="1:8">
      <c r="A25" s="1522"/>
      <c r="B25" s="1524"/>
      <c r="C25" s="1524"/>
      <c r="D25" s="1524"/>
      <c r="E25" s="1525"/>
      <c r="F25" s="1526"/>
      <c r="G25" s="1526"/>
      <c r="H25" s="1525"/>
    </row>
    <row r="26" spans="1:8" ht="43.5">
      <c r="A26" s="1522">
        <v>7</v>
      </c>
      <c r="B26" s="1523" t="s">
        <v>6249</v>
      </c>
      <c r="C26" s="1524">
        <v>1</v>
      </c>
      <c r="D26" s="1524">
        <v>1</v>
      </c>
      <c r="E26" s="1525">
        <v>1</v>
      </c>
      <c r="F26" s="1526" t="s">
        <v>1609</v>
      </c>
      <c r="G26" s="1526" t="s">
        <v>1609</v>
      </c>
      <c r="H26" s="1525">
        <f>PRODUCT(C26:G26)</f>
        <v>1</v>
      </c>
    </row>
    <row r="27" spans="1:8">
      <c r="A27" s="1522"/>
      <c r="B27" s="1523"/>
      <c r="C27" s="1524"/>
      <c r="D27" s="1524"/>
      <c r="E27" s="1525"/>
      <c r="F27" s="1526"/>
      <c r="G27" s="1526"/>
      <c r="H27" s="1525"/>
    </row>
    <row r="28" spans="1:8" ht="43.5">
      <c r="A28" s="1522">
        <v>8</v>
      </c>
      <c r="B28" s="1523" t="s">
        <v>6250</v>
      </c>
      <c r="C28" s="1524">
        <v>1</v>
      </c>
      <c r="D28" s="1524">
        <v>1</v>
      </c>
      <c r="E28" s="1525">
        <v>1</v>
      </c>
      <c r="F28" s="1526" t="s">
        <v>1609</v>
      </c>
      <c r="G28" s="1526" t="s">
        <v>1609</v>
      </c>
      <c r="H28" s="1525">
        <f>PRODUCT(C28:G28)</f>
        <v>1</v>
      </c>
    </row>
    <row r="29" spans="1:8">
      <c r="A29" s="1522"/>
      <c r="B29" s="1523"/>
      <c r="C29" s="1524"/>
      <c r="D29" s="1524"/>
      <c r="E29" s="1525"/>
      <c r="F29" s="1526"/>
      <c r="G29" s="1526"/>
      <c r="H29" s="1525"/>
    </row>
    <row r="30" spans="1:8" ht="29.25">
      <c r="A30" s="1522">
        <v>9</v>
      </c>
      <c r="B30" s="1523" t="s">
        <v>6251</v>
      </c>
      <c r="C30" s="1524">
        <v>1</v>
      </c>
      <c r="D30" s="1524">
        <v>1</v>
      </c>
      <c r="E30" s="1525">
        <v>1</v>
      </c>
      <c r="F30" s="1526" t="s">
        <v>1609</v>
      </c>
      <c r="G30" s="1526" t="s">
        <v>1609</v>
      </c>
      <c r="H30" s="1525">
        <f>PRODUCT(C30:G30)</f>
        <v>1</v>
      </c>
    </row>
    <row r="31" spans="1:8">
      <c r="A31" s="1522"/>
      <c r="B31" s="1523"/>
      <c r="C31" s="1524"/>
      <c r="D31" s="1524"/>
      <c r="E31" s="1525"/>
      <c r="F31" s="1526"/>
      <c r="G31" s="1526"/>
      <c r="H31" s="1525"/>
    </row>
    <row r="32" spans="1:8" ht="29.25">
      <c r="A32" s="1522">
        <v>10</v>
      </c>
      <c r="B32" s="1523" t="s">
        <v>6252</v>
      </c>
      <c r="C32" s="1524"/>
      <c r="D32" s="1524"/>
      <c r="E32" s="1525"/>
      <c r="F32" s="1526"/>
      <c r="G32" s="1526"/>
      <c r="H32" s="1525"/>
    </row>
    <row r="33" spans="1:8">
      <c r="A33" s="1522"/>
      <c r="B33" s="1523" t="s">
        <v>6253</v>
      </c>
      <c r="C33" s="1524">
        <v>1</v>
      </c>
      <c r="D33" s="1524">
        <v>1</v>
      </c>
      <c r="E33" s="1525">
        <v>300</v>
      </c>
      <c r="F33" s="1526" t="s">
        <v>1609</v>
      </c>
      <c r="G33" s="1526" t="s">
        <v>1609</v>
      </c>
      <c r="H33" s="1525">
        <f t="shared" ref="H33:H73" si="0">PRODUCT(C33:G33)</f>
        <v>300</v>
      </c>
    </row>
    <row r="34" spans="1:8">
      <c r="A34" s="1522"/>
      <c r="B34" s="1523" t="s">
        <v>6254</v>
      </c>
      <c r="C34" s="1524">
        <v>1</v>
      </c>
      <c r="D34" s="1524">
        <v>1</v>
      </c>
      <c r="E34" s="1525">
        <v>25</v>
      </c>
      <c r="F34" s="1526"/>
      <c r="G34" s="1526"/>
      <c r="H34" s="1525">
        <f t="shared" si="0"/>
        <v>25</v>
      </c>
    </row>
    <row r="35" spans="1:8">
      <c r="A35" s="1522"/>
      <c r="B35" s="1523"/>
      <c r="C35" s="1524"/>
      <c r="D35" s="1524"/>
      <c r="E35" s="1525"/>
      <c r="F35" s="1526"/>
      <c r="G35" s="1526"/>
      <c r="H35" s="1527">
        <f>SUM(H33:H34)</f>
        <v>325</v>
      </c>
    </row>
    <row r="36" spans="1:8" ht="29.25">
      <c r="A36" s="1522">
        <v>9</v>
      </c>
      <c r="B36" s="1523" t="s">
        <v>6255</v>
      </c>
      <c r="C36" s="1524"/>
      <c r="D36" s="1524"/>
      <c r="E36" s="1525"/>
      <c r="F36" s="1526"/>
      <c r="G36" s="1526"/>
      <c r="H36" s="1525"/>
    </row>
    <row r="37" spans="1:8">
      <c r="A37" s="1522"/>
      <c r="B37" s="1523" t="s">
        <v>6256</v>
      </c>
      <c r="C37" s="1524">
        <v>1</v>
      </c>
      <c r="D37" s="1524">
        <v>1</v>
      </c>
      <c r="E37" s="1525">
        <v>300</v>
      </c>
      <c r="F37" s="1526" t="s">
        <v>1609</v>
      </c>
      <c r="G37" s="1526" t="s">
        <v>1609</v>
      </c>
      <c r="H37" s="1525">
        <f t="shared" si="0"/>
        <v>300</v>
      </c>
    </row>
    <row r="38" spans="1:8">
      <c r="A38" s="1522"/>
      <c r="B38" s="1523"/>
      <c r="C38" s="1524"/>
      <c r="D38" s="1524"/>
      <c r="E38" s="1525"/>
      <c r="F38" s="1526"/>
      <c r="G38" s="1526"/>
      <c r="H38" s="1527">
        <f>SUM(H37:H37)</f>
        <v>300</v>
      </c>
    </row>
    <row r="39" spans="1:8">
      <c r="A39" s="1522"/>
      <c r="B39" s="1523"/>
      <c r="C39" s="1524"/>
      <c r="D39" s="1524"/>
      <c r="E39" s="1525"/>
      <c r="F39" s="1526"/>
      <c r="G39" s="1529"/>
      <c r="H39" s="1527"/>
    </row>
    <row r="40" spans="1:8" ht="29.25">
      <c r="A40" s="1522">
        <v>10</v>
      </c>
      <c r="B40" s="1523" t="s">
        <v>6257</v>
      </c>
      <c r="C40" s="1524"/>
      <c r="D40" s="1524"/>
      <c r="E40" s="1525"/>
      <c r="F40" s="1526"/>
      <c r="G40" s="1526"/>
      <c r="H40" s="1525"/>
    </row>
    <row r="41" spans="1:8">
      <c r="A41" s="1522"/>
      <c r="B41" s="1530" t="s">
        <v>6258</v>
      </c>
      <c r="C41" s="1524"/>
      <c r="D41" s="1524"/>
      <c r="E41" s="1525"/>
      <c r="F41" s="1526"/>
      <c r="G41" s="1526"/>
      <c r="H41" s="1525"/>
    </row>
    <row r="42" spans="1:8">
      <c r="A42" s="1522"/>
      <c r="B42" s="1523" t="s">
        <v>6259</v>
      </c>
      <c r="C42" s="1524">
        <v>1</v>
      </c>
      <c r="D42" s="1524">
        <v>1</v>
      </c>
      <c r="E42" s="1525">
        <v>15</v>
      </c>
      <c r="F42" s="1526" t="s">
        <v>1609</v>
      </c>
      <c r="G42" s="1526" t="s">
        <v>1609</v>
      </c>
      <c r="H42" s="1525">
        <f t="shared" si="0"/>
        <v>15</v>
      </c>
    </row>
    <row r="43" spans="1:8">
      <c r="A43" s="1522"/>
      <c r="B43" s="1523"/>
      <c r="C43" s="1524"/>
      <c r="D43" s="1524"/>
      <c r="E43" s="1525"/>
      <c r="F43" s="1526"/>
      <c r="G43" s="1526"/>
      <c r="H43" s="1527">
        <f>SUM(H42:H42)</f>
        <v>15</v>
      </c>
    </row>
    <row r="44" spans="1:8">
      <c r="A44" s="1522"/>
      <c r="B44" s="1530" t="s">
        <v>6260</v>
      </c>
      <c r="C44" s="1524"/>
      <c r="D44" s="1524"/>
      <c r="E44" s="1525"/>
      <c r="F44" s="1526"/>
      <c r="G44" s="1526"/>
      <c r="H44" s="1525"/>
    </row>
    <row r="45" spans="1:8">
      <c r="A45" s="1522"/>
      <c r="B45" s="1523" t="s">
        <v>6261</v>
      </c>
      <c r="C45" s="1524">
        <v>1</v>
      </c>
      <c r="D45" s="1524">
        <v>1</v>
      </c>
      <c r="E45" s="1525">
        <v>5</v>
      </c>
      <c r="F45" s="1526" t="s">
        <v>1609</v>
      </c>
      <c r="G45" s="1526" t="s">
        <v>1609</v>
      </c>
      <c r="H45" s="1527">
        <f t="shared" si="0"/>
        <v>5</v>
      </c>
    </row>
    <row r="46" spans="1:8">
      <c r="A46" s="1522"/>
      <c r="B46" s="1530" t="s">
        <v>6262</v>
      </c>
      <c r="C46" s="1524"/>
      <c r="D46" s="1524"/>
      <c r="E46" s="1525"/>
      <c r="F46" s="1526"/>
      <c r="G46" s="1526"/>
      <c r="H46" s="1525"/>
    </row>
    <row r="47" spans="1:8">
      <c r="A47" s="1522"/>
      <c r="B47" s="1523" t="s">
        <v>6263</v>
      </c>
      <c r="C47" s="1524">
        <v>1</v>
      </c>
      <c r="D47" s="1524">
        <v>1</v>
      </c>
      <c r="E47" s="1525">
        <v>3</v>
      </c>
      <c r="F47" s="1526" t="s">
        <v>1609</v>
      </c>
      <c r="G47" s="1526" t="s">
        <v>1609</v>
      </c>
      <c r="H47" s="1525">
        <f t="shared" si="0"/>
        <v>3</v>
      </c>
    </row>
    <row r="48" spans="1:8">
      <c r="A48" s="1522"/>
      <c r="B48" s="1523" t="s">
        <v>6264</v>
      </c>
      <c r="C48" s="1524">
        <v>1</v>
      </c>
      <c r="D48" s="1524">
        <v>1</v>
      </c>
      <c r="E48" s="1525">
        <v>5</v>
      </c>
      <c r="F48" s="1526" t="s">
        <v>1609</v>
      </c>
      <c r="G48" s="1526" t="s">
        <v>1609</v>
      </c>
      <c r="H48" s="1525">
        <f t="shared" si="0"/>
        <v>5</v>
      </c>
    </row>
    <row r="49" spans="1:8">
      <c r="A49" s="1522"/>
      <c r="B49" s="1523" t="s">
        <v>6265</v>
      </c>
      <c r="C49" s="1524">
        <v>1</v>
      </c>
      <c r="D49" s="1524">
        <v>1</v>
      </c>
      <c r="E49" s="1525">
        <v>5</v>
      </c>
      <c r="F49" s="1526" t="s">
        <v>1609</v>
      </c>
      <c r="G49" s="1526" t="s">
        <v>1609</v>
      </c>
      <c r="H49" s="1525">
        <f t="shared" si="0"/>
        <v>5</v>
      </c>
    </row>
    <row r="50" spans="1:8">
      <c r="A50" s="1522"/>
      <c r="B50" s="1523" t="s">
        <v>6266</v>
      </c>
      <c r="C50" s="1524">
        <v>1</v>
      </c>
      <c r="D50" s="1524">
        <v>1</v>
      </c>
      <c r="E50" s="1525">
        <v>3</v>
      </c>
      <c r="F50" s="1526" t="s">
        <v>1609</v>
      </c>
      <c r="G50" s="1526" t="s">
        <v>1609</v>
      </c>
      <c r="H50" s="1525">
        <f t="shared" si="0"/>
        <v>3</v>
      </c>
    </row>
    <row r="51" spans="1:8">
      <c r="A51" s="1522"/>
      <c r="B51" s="1523"/>
      <c r="C51" s="1524"/>
      <c r="D51" s="1524"/>
      <c r="E51" s="1525"/>
      <c r="F51" s="1526"/>
      <c r="G51" s="1526"/>
      <c r="H51" s="1527">
        <f>SUM(H47:H50)</f>
        <v>16</v>
      </c>
    </row>
    <row r="52" spans="1:8">
      <c r="A52" s="1522"/>
      <c r="B52" s="1523"/>
      <c r="C52" s="1524"/>
      <c r="D52" s="1524"/>
      <c r="E52" s="1525"/>
      <c r="F52" s="1526"/>
      <c r="G52" s="1529"/>
      <c r="H52" s="1527"/>
    </row>
    <row r="53" spans="1:8" ht="29.25">
      <c r="A53" s="1522">
        <v>11</v>
      </c>
      <c r="B53" s="1523" t="s">
        <v>6267</v>
      </c>
      <c r="C53" s="1524"/>
      <c r="D53" s="1524"/>
      <c r="E53" s="1525"/>
      <c r="F53" s="1526"/>
      <c r="G53" s="1526"/>
      <c r="H53" s="1525"/>
    </row>
    <row r="54" spans="1:8">
      <c r="A54" s="1522"/>
      <c r="B54" s="1530" t="s">
        <v>6268</v>
      </c>
      <c r="C54" s="1524"/>
      <c r="D54" s="1524"/>
      <c r="E54" s="1525"/>
      <c r="F54" s="1526"/>
      <c r="G54" s="1526"/>
      <c r="H54" s="1525"/>
    </row>
    <row r="55" spans="1:8">
      <c r="A55" s="1522"/>
      <c r="B55" s="1523" t="s">
        <v>6269</v>
      </c>
      <c r="C55" s="1524">
        <v>1</v>
      </c>
      <c r="D55" s="1524">
        <v>1</v>
      </c>
      <c r="E55" s="1525">
        <v>70</v>
      </c>
      <c r="F55" s="1526"/>
      <c r="G55" s="1526"/>
      <c r="H55" s="1525">
        <f>PRODUCT(C55:G55)</f>
        <v>70</v>
      </c>
    </row>
    <row r="56" spans="1:8">
      <c r="A56" s="1522"/>
      <c r="B56" s="1523"/>
      <c r="C56" s="1524"/>
      <c r="D56" s="1524"/>
      <c r="E56" s="1525"/>
      <c r="F56" s="1526"/>
      <c r="G56" s="1526"/>
      <c r="H56" s="1525">
        <f>SUM(H55:H55)</f>
        <v>70</v>
      </c>
    </row>
    <row r="57" spans="1:8">
      <c r="A57" s="1522"/>
      <c r="B57" s="1523"/>
      <c r="C57" s="1524"/>
      <c r="D57" s="1524"/>
      <c r="E57" s="1525"/>
      <c r="F57" s="1529" t="s">
        <v>4322</v>
      </c>
      <c r="G57" s="1111">
        <f>ROUNDUP(H56,1)</f>
        <v>70</v>
      </c>
      <c r="H57" s="1527" t="s">
        <v>6270</v>
      </c>
    </row>
    <row r="58" spans="1:8">
      <c r="A58" s="1522"/>
      <c r="B58" s="1523" t="s">
        <v>6271</v>
      </c>
      <c r="C58" s="1524"/>
      <c r="D58" s="1524"/>
      <c r="E58" s="1525"/>
      <c r="F58" s="1526"/>
      <c r="G58" s="1526"/>
      <c r="H58" s="1525"/>
    </row>
    <row r="59" spans="1:8">
      <c r="A59" s="1522"/>
      <c r="B59" s="1523" t="s">
        <v>6272</v>
      </c>
      <c r="C59" s="1524">
        <v>1</v>
      </c>
      <c r="D59" s="1524">
        <v>1</v>
      </c>
      <c r="E59" s="1525">
        <v>15</v>
      </c>
      <c r="F59" s="1526" t="s">
        <v>1609</v>
      </c>
      <c r="G59" s="1526" t="s">
        <v>1609</v>
      </c>
      <c r="H59" s="1525">
        <f t="shared" si="0"/>
        <v>15</v>
      </c>
    </row>
    <row r="60" spans="1:8">
      <c r="A60" s="1522"/>
      <c r="B60" s="1523"/>
      <c r="C60" s="1524"/>
      <c r="D60" s="1524"/>
      <c r="E60" s="1525"/>
      <c r="F60" s="1526"/>
      <c r="G60" s="1526"/>
      <c r="H60" s="1527">
        <f>SUM(H59:H59)</f>
        <v>15</v>
      </c>
    </row>
    <row r="61" spans="1:8" ht="29.25">
      <c r="A61" s="1522">
        <v>13</v>
      </c>
      <c r="B61" s="1523" t="s">
        <v>6273</v>
      </c>
      <c r="C61" s="1524"/>
      <c r="D61" s="1524"/>
      <c r="E61" s="1525"/>
      <c r="F61" s="1526"/>
      <c r="G61" s="1526"/>
      <c r="H61" s="1525"/>
    </row>
    <row r="62" spans="1:8">
      <c r="A62" s="1522" t="s">
        <v>5556</v>
      </c>
      <c r="B62" s="1523" t="s">
        <v>6274</v>
      </c>
      <c r="C62" s="1524">
        <v>1</v>
      </c>
      <c r="D62" s="1524">
        <v>1</v>
      </c>
      <c r="E62" s="1525">
        <v>5</v>
      </c>
      <c r="F62" s="1526" t="s">
        <v>1609</v>
      </c>
      <c r="G62" s="1526" t="s">
        <v>1609</v>
      </c>
      <c r="H62" s="1525">
        <f t="shared" si="0"/>
        <v>5</v>
      </c>
    </row>
    <row r="63" spans="1:8">
      <c r="A63" s="1522" t="s">
        <v>5559</v>
      </c>
      <c r="B63" s="1523" t="s">
        <v>6275</v>
      </c>
      <c r="C63" s="1524">
        <v>1</v>
      </c>
      <c r="D63" s="1524">
        <v>1</v>
      </c>
      <c r="E63" s="1525">
        <v>6</v>
      </c>
      <c r="F63" s="1526" t="s">
        <v>1609</v>
      </c>
      <c r="G63" s="1526" t="s">
        <v>1609</v>
      </c>
      <c r="H63" s="1525">
        <f t="shared" si="0"/>
        <v>6</v>
      </c>
    </row>
    <row r="64" spans="1:8">
      <c r="A64" s="1522" t="s">
        <v>6276</v>
      </c>
      <c r="B64" s="1523" t="s">
        <v>6277</v>
      </c>
      <c r="C64" s="1524">
        <v>1</v>
      </c>
      <c r="D64" s="1524">
        <v>1</v>
      </c>
      <c r="E64" s="1525">
        <v>3</v>
      </c>
      <c r="F64" s="1526" t="s">
        <v>1609</v>
      </c>
      <c r="G64" s="1526" t="s">
        <v>1609</v>
      </c>
      <c r="H64" s="1525">
        <f t="shared" si="0"/>
        <v>3</v>
      </c>
    </row>
    <row r="65" spans="1:8">
      <c r="A65" s="1522" t="s">
        <v>6278</v>
      </c>
      <c r="B65" s="1523" t="s">
        <v>6279</v>
      </c>
      <c r="C65" s="1524">
        <v>1</v>
      </c>
      <c r="D65" s="1524">
        <v>1</v>
      </c>
      <c r="E65" s="1525">
        <v>1</v>
      </c>
      <c r="F65" s="1526" t="s">
        <v>1609</v>
      </c>
      <c r="G65" s="1526" t="s">
        <v>1609</v>
      </c>
      <c r="H65" s="1525">
        <f t="shared" si="0"/>
        <v>1</v>
      </c>
    </row>
    <row r="66" spans="1:8">
      <c r="A66" s="1522" t="s">
        <v>6280</v>
      </c>
      <c r="B66" s="1523" t="s">
        <v>6281</v>
      </c>
      <c r="C66" s="1524">
        <v>1</v>
      </c>
      <c r="D66" s="1524">
        <v>1</v>
      </c>
      <c r="E66" s="1525">
        <v>3</v>
      </c>
      <c r="F66" s="1526" t="s">
        <v>1609</v>
      </c>
      <c r="G66" s="1526" t="s">
        <v>1609</v>
      </c>
      <c r="H66" s="1525">
        <f t="shared" si="0"/>
        <v>3</v>
      </c>
    </row>
    <row r="67" spans="1:8">
      <c r="A67" s="1522" t="s">
        <v>6282</v>
      </c>
      <c r="B67" s="1523" t="s">
        <v>6283</v>
      </c>
      <c r="C67" s="1524">
        <v>1</v>
      </c>
      <c r="D67" s="1524">
        <v>1</v>
      </c>
      <c r="E67" s="1525">
        <v>5</v>
      </c>
      <c r="F67" s="1526" t="s">
        <v>1609</v>
      </c>
      <c r="G67" s="1526" t="s">
        <v>1609</v>
      </c>
      <c r="H67" s="1525">
        <f t="shared" si="0"/>
        <v>5</v>
      </c>
    </row>
    <row r="68" spans="1:8">
      <c r="A68" s="1522" t="s">
        <v>6284</v>
      </c>
      <c r="B68" s="1523" t="s">
        <v>6285</v>
      </c>
      <c r="C68" s="1524">
        <v>1</v>
      </c>
      <c r="D68" s="1524">
        <v>1</v>
      </c>
      <c r="E68" s="1525">
        <v>1</v>
      </c>
      <c r="F68" s="1526" t="s">
        <v>1609</v>
      </c>
      <c r="G68" s="1526" t="s">
        <v>1609</v>
      </c>
      <c r="H68" s="1525">
        <f t="shared" si="0"/>
        <v>1</v>
      </c>
    </row>
    <row r="69" spans="1:8">
      <c r="A69" s="1522" t="s">
        <v>6286</v>
      </c>
      <c r="B69" s="1523" t="s">
        <v>6287</v>
      </c>
      <c r="C69" s="1524">
        <v>1</v>
      </c>
      <c r="D69" s="1524">
        <v>1</v>
      </c>
      <c r="E69" s="1525">
        <v>3</v>
      </c>
      <c r="F69" s="1526" t="s">
        <v>1609</v>
      </c>
      <c r="G69" s="1526" t="s">
        <v>1609</v>
      </c>
      <c r="H69" s="1525">
        <f t="shared" si="0"/>
        <v>3</v>
      </c>
    </row>
    <row r="70" spans="1:8">
      <c r="A70" s="1522" t="s">
        <v>6288</v>
      </c>
      <c r="B70" s="1523" t="s">
        <v>6289</v>
      </c>
      <c r="C70" s="1524">
        <v>1</v>
      </c>
      <c r="D70" s="1524">
        <v>1</v>
      </c>
      <c r="E70" s="1525">
        <v>2</v>
      </c>
      <c r="F70" s="1526" t="s">
        <v>1609</v>
      </c>
      <c r="G70" s="1526" t="s">
        <v>1609</v>
      </c>
      <c r="H70" s="1525">
        <f t="shared" si="0"/>
        <v>2</v>
      </c>
    </row>
    <row r="71" spans="1:8">
      <c r="A71" s="1522" t="s">
        <v>6290</v>
      </c>
      <c r="B71" s="1523" t="s">
        <v>6291</v>
      </c>
      <c r="C71" s="1524">
        <v>1</v>
      </c>
      <c r="D71" s="1524">
        <v>1</v>
      </c>
      <c r="E71" s="1525">
        <v>2</v>
      </c>
      <c r="F71" s="1526" t="s">
        <v>1609</v>
      </c>
      <c r="G71" s="1526" t="s">
        <v>1609</v>
      </c>
      <c r="H71" s="1525">
        <f t="shared" si="0"/>
        <v>2</v>
      </c>
    </row>
    <row r="72" spans="1:8">
      <c r="A72" s="1522" t="s">
        <v>6292</v>
      </c>
      <c r="B72" s="1523" t="s">
        <v>6293</v>
      </c>
      <c r="C72" s="1524">
        <v>1</v>
      </c>
      <c r="D72" s="1524">
        <v>1</v>
      </c>
      <c r="E72" s="1525">
        <v>2</v>
      </c>
      <c r="F72" s="1526" t="s">
        <v>1609</v>
      </c>
      <c r="G72" s="1526" t="s">
        <v>1609</v>
      </c>
      <c r="H72" s="1525">
        <f t="shared" si="0"/>
        <v>2</v>
      </c>
    </row>
    <row r="73" spans="1:8">
      <c r="A73" s="1522" t="s">
        <v>6294</v>
      </c>
      <c r="B73" s="1523" t="s">
        <v>6295</v>
      </c>
      <c r="C73" s="1524">
        <v>1</v>
      </c>
      <c r="D73" s="1524">
        <v>1</v>
      </c>
      <c r="E73" s="1525">
        <v>2</v>
      </c>
      <c r="F73" s="1526" t="s">
        <v>1609</v>
      </c>
      <c r="G73" s="1526" t="s">
        <v>1609</v>
      </c>
      <c r="H73" s="1525">
        <f t="shared" si="0"/>
        <v>2</v>
      </c>
    </row>
    <row r="74" spans="1:8">
      <c r="A74" s="1524"/>
      <c r="B74" s="1524"/>
      <c r="C74" s="1524"/>
      <c r="D74" s="1524"/>
      <c r="E74" s="1524"/>
      <c r="F74" s="1524"/>
      <c r="G74" s="1524"/>
      <c r="H74" s="1524"/>
    </row>
    <row r="75" spans="1:8" ht="30">
      <c r="A75" s="1524"/>
      <c r="B75" s="1516" t="s">
        <v>6296</v>
      </c>
      <c r="C75" s="1524"/>
      <c r="D75" s="1524"/>
      <c r="E75" s="1524"/>
      <c r="F75" s="1524"/>
      <c r="G75" s="1524"/>
      <c r="H75" s="1524"/>
    </row>
    <row r="76" spans="1:8">
      <c r="A76" s="1524"/>
      <c r="B76" s="1516" t="s">
        <v>6297</v>
      </c>
      <c r="C76" s="1524">
        <v>1</v>
      </c>
      <c r="D76" s="1524">
        <v>1</v>
      </c>
      <c r="E76" s="1524"/>
      <c r="F76" s="1524"/>
      <c r="G76" s="1524"/>
      <c r="H76" s="1527">
        <v>220</v>
      </c>
    </row>
    <row r="77" spans="1:8">
      <c r="A77" s="1524"/>
      <c r="B77" s="1524"/>
      <c r="C77" s="1524"/>
      <c r="D77" s="1524"/>
      <c r="E77" s="1524"/>
      <c r="F77" s="1524"/>
      <c r="G77" s="1524"/>
      <c r="H77" s="1524"/>
    </row>
    <row r="78" spans="1:8">
      <c r="A78" s="1524"/>
      <c r="B78" s="1521" t="s">
        <v>6298</v>
      </c>
      <c r="C78" s="1524"/>
      <c r="D78" s="1524"/>
      <c r="E78" s="1524"/>
      <c r="F78" s="1524"/>
      <c r="G78" s="1524"/>
      <c r="H78" s="1524"/>
    </row>
    <row r="79" spans="1:8" ht="47.25">
      <c r="A79" s="1531">
        <v>1</v>
      </c>
      <c r="B79" s="1532" t="s">
        <v>6299</v>
      </c>
      <c r="C79" s="1531">
        <v>1</v>
      </c>
      <c r="D79" s="1531">
        <v>1</v>
      </c>
      <c r="E79" s="1531">
        <v>1</v>
      </c>
      <c r="F79" s="1533" t="s">
        <v>1609</v>
      </c>
      <c r="G79" s="1533" t="s">
        <v>1609</v>
      </c>
      <c r="H79" s="1534">
        <f>C79*D79*E79</f>
        <v>1</v>
      </c>
    </row>
    <row r="80" spans="1:8">
      <c r="A80" s="1531"/>
      <c r="B80" s="1532"/>
      <c r="C80" s="1531"/>
      <c r="D80" s="1531"/>
      <c r="E80" s="1531"/>
      <c r="F80" s="1531"/>
      <c r="G80" s="1531"/>
      <c r="H80" s="1535"/>
    </row>
    <row r="81" spans="1:8" ht="31.5">
      <c r="A81" s="1531">
        <v>2</v>
      </c>
      <c r="B81" s="1532" t="s">
        <v>6300</v>
      </c>
      <c r="C81" s="1531"/>
      <c r="D81" s="1531"/>
      <c r="E81" s="1531"/>
      <c r="F81" s="1531"/>
      <c r="G81" s="1531"/>
      <c r="H81" s="1535"/>
    </row>
    <row r="82" spans="1:8">
      <c r="A82" s="1531"/>
      <c r="B82" s="1536" t="s">
        <v>6301</v>
      </c>
      <c r="C82" s="1531"/>
      <c r="D82" s="1531"/>
      <c r="E82" s="1531"/>
      <c r="F82" s="1531"/>
      <c r="G82" s="1531"/>
      <c r="H82" s="1535"/>
    </row>
    <row r="83" spans="1:8" ht="31.5">
      <c r="A83" s="1531"/>
      <c r="B83" s="1537" t="s">
        <v>6302</v>
      </c>
      <c r="C83" s="1531">
        <v>1</v>
      </c>
      <c r="D83" s="1531">
        <v>29</v>
      </c>
      <c r="E83" s="1538">
        <v>1</v>
      </c>
      <c r="F83" s="1533"/>
      <c r="G83" s="1533"/>
      <c r="H83" s="1525">
        <v>29</v>
      </c>
    </row>
    <row r="84" spans="1:8">
      <c r="A84" s="1531"/>
      <c r="B84" s="1539" t="s">
        <v>6303</v>
      </c>
      <c r="C84" s="1531">
        <v>1</v>
      </c>
      <c r="D84" s="1531">
        <v>9</v>
      </c>
      <c r="E84" s="1538">
        <v>1</v>
      </c>
      <c r="F84" s="1533"/>
      <c r="G84" s="1533"/>
      <c r="H84" s="1525">
        <v>9</v>
      </c>
    </row>
    <row r="85" spans="1:8">
      <c r="A85" s="1531"/>
      <c r="B85" s="1539" t="s">
        <v>6304</v>
      </c>
      <c r="C85" s="1531">
        <v>1</v>
      </c>
      <c r="D85" s="1531">
        <v>9</v>
      </c>
      <c r="E85" s="1538">
        <v>1</v>
      </c>
      <c r="F85" s="1533"/>
      <c r="G85" s="1533"/>
      <c r="H85" s="1525">
        <v>9</v>
      </c>
    </row>
    <row r="86" spans="1:8">
      <c r="A86" s="1531"/>
      <c r="B86" s="1531"/>
      <c r="C86" s="1531"/>
      <c r="D86" s="1531"/>
      <c r="E86" s="1531"/>
      <c r="F86" s="1531"/>
      <c r="G86" s="1531"/>
      <c r="H86" s="1534">
        <f>+SUM(H83:H85)</f>
        <v>47</v>
      </c>
    </row>
    <row r="87" spans="1:8">
      <c r="A87" s="1531"/>
      <c r="B87" s="1536" t="s">
        <v>6305</v>
      </c>
      <c r="C87" s="1531"/>
      <c r="D87" s="1531"/>
      <c r="E87" s="1531"/>
      <c r="F87" s="1531"/>
      <c r="G87" s="1531"/>
      <c r="H87" s="1531"/>
    </row>
    <row r="88" spans="1:8">
      <c r="A88" s="1531"/>
      <c r="B88" s="1536" t="s">
        <v>5562</v>
      </c>
      <c r="C88" s="1531"/>
      <c r="D88" s="1531"/>
      <c r="E88" s="1531"/>
      <c r="F88" s="1531"/>
      <c r="G88" s="1531"/>
      <c r="H88" s="1535"/>
    </row>
    <row r="89" spans="1:8">
      <c r="A89" s="1531"/>
      <c r="B89" s="1539" t="s">
        <v>6306</v>
      </c>
      <c r="C89" s="1531">
        <v>1</v>
      </c>
      <c r="D89" s="1531">
        <v>13</v>
      </c>
      <c r="E89" s="1538">
        <v>1</v>
      </c>
      <c r="F89" s="1533" t="s">
        <v>1609</v>
      </c>
      <c r="G89" s="1533" t="s">
        <v>1609</v>
      </c>
      <c r="H89" s="1535">
        <v>13</v>
      </c>
    </row>
    <row r="90" spans="1:8">
      <c r="A90" s="1531"/>
      <c r="B90" s="1539" t="s">
        <v>6307</v>
      </c>
      <c r="C90" s="1531">
        <v>1</v>
      </c>
      <c r="D90" s="1531">
        <v>10</v>
      </c>
      <c r="E90" s="1538">
        <v>1</v>
      </c>
      <c r="F90" s="1533"/>
      <c r="G90" s="1533"/>
      <c r="H90" s="1535">
        <v>10</v>
      </c>
    </row>
    <row r="91" spans="1:8">
      <c r="A91" s="1531"/>
      <c r="B91" s="1539" t="s">
        <v>6308</v>
      </c>
      <c r="C91" s="1531">
        <v>1</v>
      </c>
      <c r="D91" s="1531">
        <v>9</v>
      </c>
      <c r="E91" s="1538">
        <v>1</v>
      </c>
      <c r="F91" s="1533"/>
      <c r="G91" s="1533"/>
      <c r="H91" s="1535">
        <v>9</v>
      </c>
    </row>
    <row r="92" spans="1:8">
      <c r="A92" s="1531"/>
      <c r="B92" s="1539" t="s">
        <v>6309</v>
      </c>
      <c r="C92" s="1531">
        <v>1</v>
      </c>
      <c r="D92" s="1531">
        <v>12</v>
      </c>
      <c r="E92" s="1538">
        <v>1</v>
      </c>
      <c r="F92" s="1533"/>
      <c r="G92" s="1533"/>
      <c r="H92" s="1535">
        <v>12</v>
      </c>
    </row>
    <row r="93" spans="1:8">
      <c r="A93" s="1531"/>
      <c r="B93" s="1539" t="s">
        <v>6310</v>
      </c>
      <c r="C93" s="1531">
        <v>1</v>
      </c>
      <c r="D93" s="1531">
        <v>8</v>
      </c>
      <c r="E93" s="1538">
        <v>1</v>
      </c>
      <c r="F93" s="1533"/>
      <c r="G93" s="1533"/>
      <c r="H93" s="1535">
        <v>8</v>
      </c>
    </row>
    <row r="94" spans="1:8">
      <c r="A94" s="1531"/>
      <c r="B94" s="1539" t="s">
        <v>6311</v>
      </c>
      <c r="C94" s="1531">
        <v>1</v>
      </c>
      <c r="D94" s="1531">
        <v>9</v>
      </c>
      <c r="E94" s="1538">
        <v>1</v>
      </c>
      <c r="F94" s="1533" t="s">
        <v>1609</v>
      </c>
      <c r="G94" s="1533" t="s">
        <v>1609</v>
      </c>
      <c r="H94" s="1535">
        <v>9</v>
      </c>
    </row>
    <row r="95" spans="1:8">
      <c r="A95" s="1531"/>
      <c r="B95" s="1532" t="s">
        <v>5566</v>
      </c>
      <c r="C95" s="1531"/>
      <c r="D95" s="1531"/>
      <c r="E95" s="1531"/>
      <c r="F95" s="1531"/>
      <c r="G95" s="1531"/>
      <c r="H95" s="1534"/>
    </row>
    <row r="96" spans="1:8">
      <c r="A96" s="1540"/>
      <c r="B96" s="1539" t="s">
        <v>6312</v>
      </c>
      <c r="C96" s="1531">
        <v>1</v>
      </c>
      <c r="D96" s="1541">
        <v>18</v>
      </c>
      <c r="E96" s="1538">
        <v>1</v>
      </c>
      <c r="F96" s="1542"/>
      <c r="G96" s="1542"/>
      <c r="H96" s="1542">
        <v>18</v>
      </c>
    </row>
    <row r="97" spans="1:8">
      <c r="A97" s="1540"/>
      <c r="B97" s="1543" t="s">
        <v>6313</v>
      </c>
      <c r="C97" s="1531">
        <v>1</v>
      </c>
      <c r="D97" s="1541">
        <v>8</v>
      </c>
      <c r="E97" s="1538">
        <v>1</v>
      </c>
      <c r="F97" s="1542"/>
      <c r="G97" s="1542"/>
      <c r="H97" s="1542">
        <v>8</v>
      </c>
    </row>
    <row r="98" spans="1:8">
      <c r="A98" s="1540"/>
      <c r="B98" s="1543" t="s">
        <v>6314</v>
      </c>
      <c r="C98" s="1531">
        <v>1</v>
      </c>
      <c r="D98" s="1541">
        <v>6</v>
      </c>
      <c r="E98" s="1538">
        <v>1</v>
      </c>
      <c r="F98" s="1542"/>
      <c r="G98" s="1542"/>
      <c r="H98" s="1542">
        <v>6</v>
      </c>
    </row>
    <row r="99" spans="1:8">
      <c r="A99" s="1540"/>
      <c r="B99" s="1543" t="s">
        <v>6315</v>
      </c>
      <c r="C99" s="1531">
        <v>1</v>
      </c>
      <c r="D99" s="1541">
        <v>6</v>
      </c>
      <c r="E99" s="1538">
        <v>1</v>
      </c>
      <c r="F99" s="1542"/>
      <c r="G99" s="1542"/>
      <c r="H99" s="1542">
        <v>6</v>
      </c>
    </row>
    <row r="100" spans="1:8">
      <c r="A100" s="1540"/>
      <c r="B100" s="1539" t="s">
        <v>6310</v>
      </c>
      <c r="C100" s="1531">
        <v>1</v>
      </c>
      <c r="D100" s="1541">
        <v>8</v>
      </c>
      <c r="E100" s="1538">
        <v>1</v>
      </c>
      <c r="F100" s="1542"/>
      <c r="G100" s="1542"/>
      <c r="H100" s="1542">
        <v>8</v>
      </c>
    </row>
    <row r="101" spans="1:8">
      <c r="A101" s="1540"/>
      <c r="B101" s="1539" t="s">
        <v>6311</v>
      </c>
      <c r="C101" s="1531">
        <v>1</v>
      </c>
      <c r="D101" s="1541">
        <v>9</v>
      </c>
      <c r="E101" s="1538">
        <v>1</v>
      </c>
      <c r="F101" s="1542"/>
      <c r="G101" s="1542"/>
      <c r="H101" s="1542">
        <v>9</v>
      </c>
    </row>
    <row r="102" spans="1:8">
      <c r="A102" s="1540"/>
      <c r="B102" s="1544"/>
      <c r="C102" s="1540"/>
      <c r="D102" s="1542"/>
      <c r="E102" s="1542"/>
      <c r="F102" s="1542"/>
      <c r="G102" s="1542"/>
      <c r="H102" s="1545">
        <f>+SUM(H89:H101)</f>
        <v>116</v>
      </c>
    </row>
    <row r="103" spans="1:8">
      <c r="A103" s="1540"/>
      <c r="B103" s="1544"/>
      <c r="C103" s="1540"/>
      <c r="D103" s="1542"/>
      <c r="E103" s="1542"/>
      <c r="F103" s="1542"/>
      <c r="G103" s="1542"/>
      <c r="H103" s="1542"/>
    </row>
    <row r="104" spans="1:8">
      <c r="A104" s="1540"/>
      <c r="B104" s="1544"/>
      <c r="C104" s="1540"/>
      <c r="D104" s="1540"/>
      <c r="E104" s="1540"/>
      <c r="F104" s="1540"/>
      <c r="G104" s="1540"/>
      <c r="H104" s="1540"/>
    </row>
  </sheetData>
  <mergeCells count="8">
    <mergeCell ref="A1:H1"/>
    <mergeCell ref="A2:H2"/>
    <mergeCell ref="A3:H3"/>
    <mergeCell ref="A4:A5"/>
    <mergeCell ref="B4:B5"/>
    <mergeCell ref="C4:D5"/>
    <mergeCell ref="E4:G4"/>
    <mergeCell ref="H4:H5"/>
  </mergeCells>
  <pageMargins left="0.7" right="0.7" top="0.75" bottom="0.75" header="0.3" footer="0.3"/>
  <pageSetup paperSize="9" scale="89" orientation="portrait" horizontalDpi="30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21</vt:i4>
      </vt:variant>
    </vt:vector>
  </HeadingPairs>
  <TitlesOfParts>
    <vt:vector size="45" baseType="lpstr">
      <vt:lpstr>pile data ( M30 grade) (2)</vt:lpstr>
      <vt:lpstr>Abstract </vt:lpstr>
      <vt:lpstr>G. Abstract</vt:lpstr>
      <vt:lpstr>pile data </vt:lpstr>
      <vt:lpstr>  Coastal  Elec.Data </vt:lpstr>
      <vt:lpstr>lead  charge</vt:lpstr>
      <vt:lpstr>Elec.Data</vt:lpstr>
      <vt:lpstr>Sliding and french window</vt:lpstr>
      <vt:lpstr>Data</vt:lpstr>
      <vt:lpstr>Sub Data</vt:lpstr>
      <vt:lpstr>station</vt:lpstr>
      <vt:lpstr>main abst</vt:lpstr>
      <vt:lpstr>G. Abstractfinal</vt:lpstr>
      <vt:lpstr>Abs</vt:lpstr>
      <vt:lpstr>paver block (2)</vt:lpstr>
      <vt:lpstr>S.T</vt:lpstr>
      <vt:lpstr>Sump</vt:lpstr>
      <vt:lpstr>Plinth </vt:lpstr>
      <vt:lpstr>CMW</vt:lpstr>
      <vt:lpstr>Sullage</vt:lpstr>
      <vt:lpstr>Paver Block</vt:lpstr>
      <vt:lpstr>CUlvert</vt:lpstr>
      <vt:lpstr>UG Cable</vt:lpstr>
      <vt:lpstr>EX Water</vt:lpstr>
      <vt:lpstr>'  Coastal  Elec.Data '!Print_Area</vt:lpstr>
      <vt:lpstr>Abs!Print_Area</vt:lpstr>
      <vt:lpstr>'Abstract '!Print_Area</vt:lpstr>
      <vt:lpstr>Data!Print_Area</vt:lpstr>
      <vt:lpstr>Elec.Data!Print_Area</vt:lpstr>
      <vt:lpstr>'G. Abstract'!Print_Area</vt:lpstr>
      <vt:lpstr>'G. Abstractfinal'!Print_Area</vt:lpstr>
      <vt:lpstr>'lead  charge'!Print_Area</vt:lpstr>
      <vt:lpstr>'pile data '!Print_Area</vt:lpstr>
      <vt:lpstr>'pile data ( M30 grade) (2)'!Print_Area</vt:lpstr>
      <vt:lpstr>'Sliding and french window'!Print_Area</vt:lpstr>
      <vt:lpstr>station!Print_Area</vt:lpstr>
      <vt:lpstr>'Sub Data'!Print_Area</vt:lpstr>
      <vt:lpstr>'  Coastal  Elec.Data '!Print_Area_MI</vt:lpstr>
      <vt:lpstr>Data!Print_Area_MI</vt:lpstr>
      <vt:lpstr>Elec.Data!Print_Area_MI</vt:lpstr>
      <vt:lpstr>Abs!Print_Titles</vt:lpstr>
      <vt:lpstr>'Abstract '!Print_Titles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Welcome</cp:lastModifiedBy>
  <cp:lastPrinted>2023-11-21T08:10:45Z</cp:lastPrinted>
  <dcterms:created xsi:type="dcterms:W3CDTF">2003-09-02T05:17:23Z</dcterms:created>
  <dcterms:modified xsi:type="dcterms:W3CDTF">2023-11-21T08:19:46Z</dcterms:modified>
</cp:coreProperties>
</file>